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4.xml" ContentType="application/vnd.openxmlformats-officedocument.drawingml.chartshap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5.xml" ContentType="application/vnd.openxmlformats-officedocument.drawingml.chartshapes+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1.xml" ContentType="application/vnd.ms-office.chartstyle+xml"/>
  <Override PartName="/xl/charts/colors1.xml" ContentType="application/vnd.ms-office.chartcolorstyle+xml"/>
  <Override PartName="/xl/charts/chart43.xml" ContentType="application/vnd.openxmlformats-officedocument.drawingml.chart+xml"/>
  <Override PartName="/xl/charts/style2.xml" ContentType="application/vnd.ms-office.chartstyle+xml"/>
  <Override PartName="/xl/charts/colors2.xml" ContentType="application/vnd.ms-office.chartcolorstyle+xml"/>
  <Override PartName="/xl/charts/chart44.xml" ContentType="application/vnd.openxmlformats-officedocument.drawingml.chart+xml"/>
  <Override PartName="/xl/charts/style3.xml" ContentType="application/vnd.ms-office.chartstyle+xml"/>
  <Override PartName="/xl/charts/colors3.xml" ContentType="application/vnd.ms-office.chartcolorstyle+xml"/>
  <Override PartName="/xl/charts/chart45.xml" ContentType="application/vnd.openxmlformats-officedocument.drawingml.chart+xml"/>
  <Override PartName="/xl/charts/style4.xml" ContentType="application/vnd.ms-office.chartstyle+xml"/>
  <Override PartName="/xl/charts/colors4.xml" ContentType="application/vnd.ms-office.chartcolorstyle+xml"/>
  <Override PartName="/xl/charts/chart46.xml" ContentType="application/vnd.openxmlformats-officedocument.drawingml.chart+xml"/>
  <Override PartName="/xl/charts/style5.xml" ContentType="application/vnd.ms-office.chartstyle+xml"/>
  <Override PartName="/xl/charts/colors5.xml" ContentType="application/vnd.ms-office.chartcolorstyle+xml"/>
  <Override PartName="/xl/charts/chart47.xml" ContentType="application/vnd.openxmlformats-officedocument.drawingml.chart+xml"/>
  <Override PartName="/xl/charts/style6.xml" ContentType="application/vnd.ms-office.chartstyle+xml"/>
  <Override PartName="/xl/charts/colors6.xml" ContentType="application/vnd.ms-office.chartcolorstyle+xml"/>
  <Override PartName="/xl/charts/chart48.xml" ContentType="application/vnd.openxmlformats-officedocument.drawingml.chart+xml"/>
  <Override PartName="/xl/charts/style7.xml" ContentType="application/vnd.ms-office.chartstyle+xml"/>
  <Override PartName="/xl/charts/colors7.xml" ContentType="application/vnd.ms-office.chartcolorstyle+xml"/>
  <Override PartName="/xl/charts/chart49.xml" ContentType="application/vnd.openxmlformats-officedocument.drawingml.chart+xml"/>
  <Override PartName="/xl/charts/style8.xml" ContentType="application/vnd.ms-office.chartstyle+xml"/>
  <Override PartName="/xl/charts/colors8.xml" ContentType="application/vnd.ms-office.chartcolorstyle+xml"/>
  <Override PartName="/xl/charts/chart5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harts/chart51.xml" ContentType="application/vnd.openxmlformats-officedocument.drawingml.chart+xml"/>
  <Override PartName="/xl/charts/style10.xml" ContentType="application/vnd.ms-office.chartstyle+xml"/>
  <Override PartName="/xl/charts/colors10.xml" ContentType="application/vnd.ms-office.chartcolorstyle+xml"/>
  <Override PartName="/xl/charts/chart52.xml" ContentType="application/vnd.openxmlformats-officedocument.drawingml.chart+xml"/>
  <Override PartName="/xl/charts/style11.xml" ContentType="application/vnd.ms-office.chartstyle+xml"/>
  <Override PartName="/xl/charts/colors11.xml" ContentType="application/vnd.ms-office.chartcolorstyle+xml"/>
  <Override PartName="/xl/charts/chart53.xml" ContentType="application/vnd.openxmlformats-officedocument.drawingml.chart+xml"/>
  <Override PartName="/xl/charts/style12.xml" ContentType="application/vnd.ms-office.chartstyle+xml"/>
  <Override PartName="/xl/charts/colors12.xml" ContentType="application/vnd.ms-office.chartcolorstyle+xml"/>
  <Override PartName="/xl/charts/chart54.xml" ContentType="application/vnd.openxmlformats-officedocument.drawingml.chart+xml"/>
  <Override PartName="/xl/charts/style13.xml" ContentType="application/vnd.ms-office.chartstyle+xml"/>
  <Override PartName="/xl/charts/colors13.xml" ContentType="application/vnd.ms-office.chartcolorstyle+xml"/>
  <Override PartName="/xl/charts/chart55.xml" ContentType="application/vnd.openxmlformats-officedocument.drawingml.chart+xml"/>
  <Override PartName="/xl/charts/style14.xml" ContentType="application/vnd.ms-office.chartstyle+xml"/>
  <Override PartName="/xl/charts/colors14.xml" ContentType="application/vnd.ms-office.chartcolorstyle+xml"/>
  <Override PartName="/xl/charts/chart56.xml" ContentType="application/vnd.openxmlformats-officedocument.drawingml.chart+xml"/>
  <Override PartName="/xl/charts/style15.xml" ContentType="application/vnd.ms-office.chartstyle+xml"/>
  <Override PartName="/xl/charts/colors15.xml" ContentType="application/vnd.ms-office.chartcolorstyle+xml"/>
  <Override PartName="/xl/charts/chart57.xml" ContentType="application/vnd.openxmlformats-officedocument.drawingml.chart+xml"/>
  <Override PartName="/xl/charts/style16.xml" ContentType="application/vnd.ms-office.chartstyle+xml"/>
  <Override PartName="/xl/charts/colors16.xml" ContentType="application/vnd.ms-office.chartcolorstyle+xml"/>
  <Override PartName="/xl/charts/chart58.xml" ContentType="application/vnd.openxmlformats-officedocument.drawingml.chart+xml"/>
  <Override PartName="/xl/charts/style17.xml" ContentType="application/vnd.ms-office.chartstyle+xml"/>
  <Override PartName="/xl/charts/colors17.xml" ContentType="application/vnd.ms-office.chartcolorstyle+xml"/>
  <Override PartName="/xl/charts/chart59.xml" ContentType="application/vnd.openxmlformats-officedocument.drawingml.chart+xml"/>
  <Override PartName="/xl/charts/style18.xml" ContentType="application/vnd.ms-office.chartstyle+xml"/>
  <Override PartName="/xl/charts/colors18.xml" ContentType="application/vnd.ms-office.chartcolorstyle+xml"/>
  <Override PartName="/xl/charts/chart60.xml" ContentType="application/vnd.openxmlformats-officedocument.drawingml.chart+xml"/>
  <Override PartName="/xl/charts/style19.xml" ContentType="application/vnd.ms-office.chartstyle+xml"/>
  <Override PartName="/xl/charts/colors19.xml" ContentType="application/vnd.ms-office.chartcolorstyle+xml"/>
  <Override PartName="/xl/charts/chart61.xml" ContentType="application/vnd.openxmlformats-officedocument.drawingml.chart+xml"/>
  <Override PartName="/xl/charts/style20.xml" ContentType="application/vnd.ms-office.chartstyle+xml"/>
  <Override PartName="/xl/charts/colors20.xml" ContentType="application/vnd.ms-office.chartcolorstyle+xml"/>
  <Override PartName="/xl/charts/chart62.xml" ContentType="application/vnd.openxmlformats-officedocument.drawingml.chart+xml"/>
  <Override PartName="/xl/charts/style21.xml" ContentType="application/vnd.ms-office.chartstyle+xml"/>
  <Override PartName="/xl/charts/colors21.xml" ContentType="application/vnd.ms-office.chartcolorstyle+xml"/>
  <Override PartName="/xl/charts/chart63.xml" ContentType="application/vnd.openxmlformats-officedocument.drawingml.chart+xml"/>
  <Override PartName="/xl/charts/style22.xml" ContentType="application/vnd.ms-office.chartstyle+xml"/>
  <Override PartName="/xl/charts/colors22.xml" ContentType="application/vnd.ms-office.chartcolorstyle+xml"/>
  <Override PartName="/xl/charts/chart64.xml" ContentType="application/vnd.openxmlformats-officedocument.drawingml.chart+xml"/>
  <Override PartName="/xl/charts/style23.xml" ContentType="application/vnd.ms-office.chartstyle+xml"/>
  <Override PartName="/xl/charts/colors23.xml" ContentType="application/vnd.ms-office.chartcolorstyle+xml"/>
  <Override PartName="/xl/comments5.xml" ContentType="application/vnd.openxmlformats-officedocument.spreadsheetml.comments+xml"/>
  <Override PartName="/xl/comments6.xml" ContentType="application/vnd.openxmlformats-officedocument.spreadsheetml.comments+xml"/>
  <Override PartName="/xl/drawings/drawing9.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10.xml" ContentType="application/vnd.openxmlformats-officedocument.drawing+xml"/>
  <Override PartName="/xl/comments7.xml" ContentType="application/vnd.openxmlformats-officedocument.spreadsheetml.comments+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11.xml" ContentType="application/vnd.openxmlformats-officedocument.drawingml.chartshapes+xml"/>
  <Override PartName="/xl/charts/chart73.xml" ContentType="application/vnd.openxmlformats-officedocument.drawingml.chart+xml"/>
  <Override PartName="/xl/drawings/drawing12.xml" ContentType="application/vnd.openxmlformats-officedocument.drawingml.chartshapes+xml"/>
  <Override PartName="/xl/charts/chart7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autoCompressPictures="0"/>
  <mc:AlternateContent xmlns:mc="http://schemas.openxmlformats.org/markup-compatibility/2006">
    <mc:Choice Requires="x15">
      <x15ac:absPath xmlns:x15ac="http://schemas.microsoft.com/office/spreadsheetml/2010/11/ac" url="S:\TELECOMS\STOCKS\EUROPE\Germany\Tele Columbus\Models\Current\"/>
    </mc:Choice>
  </mc:AlternateContent>
  <xr:revisionPtr revIDLastSave="0" documentId="8_{76E584BE-77AA-4F22-BCFD-3AF7FD60E945}" xr6:coauthVersionLast="47" xr6:coauthVersionMax="47" xr10:uidLastSave="{00000000-0000-0000-0000-000000000000}"/>
  <bookViews>
    <workbookView xWindow="-98" yWindow="-98" windowWidth="21795" windowHeight="12975" tabRatio="804" xr2:uid="{5008E00E-5CB8-4948-8B0C-DEE5391BDB42}"/>
  </bookViews>
  <sheets>
    <sheet name="Model" sheetId="25" r:id="rId1"/>
    <sheet name="Model also  old" sheetId="1" state="hidden" r:id="rId2"/>
    <sheet name="Fixed" sheetId="24" r:id="rId3"/>
    <sheet name="Interims" sheetId="18" r:id="rId4"/>
    <sheet name="Workings" sheetId="14" r:id="rId5"/>
    <sheet name="Value" sheetId="29" r:id="rId6"/>
    <sheet name="IPO Guidance" sheetId="13" state="hidden" r:id="rId7"/>
    <sheet name="Snaps" sheetId="30" r:id="rId8"/>
    <sheet name="Table" sheetId="27" r:id="rId9"/>
    <sheet name="Beatrice" sheetId="16" r:id="rId10"/>
    <sheet name="Beatrice v2" sheetId="31" r:id="rId11"/>
    <sheet name="EQR" sheetId="17" r:id="rId12"/>
    <sheet name="OLD&gt;&gt;&gt;&gt;&gt;&gt;&gt;&gt;&gt;&gt;&gt;&gt;" sheetId="26" state="hidden" r:id="rId13"/>
    <sheet name="Valuation" sheetId="12" state="hidden" r:id="rId14"/>
    <sheet name="SOP OLD" sheetId="22" state="hidden" r:id="rId15"/>
    <sheet name="Template" sheetId="19" state="hidden" r:id="rId16"/>
    <sheet name="Note Inserts" sheetId="20" state="hidden" r:id="rId17"/>
    <sheet name="Definitions" sheetId="6" state="hidden" r:id="rId18"/>
    <sheet name="MultsComp" sheetId="15" state="hidden" r:id="rId19"/>
    <sheet name="Model Old" sheetId="21" state="hidden" r:id="rId20"/>
    <sheet name="Quarterlies Old" sheetId="11"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s>
  <definedNames>
    <definedName name="\B">[1]B!$M$1:$M$3</definedName>
    <definedName name="\C">[2]C!$M$1:$M$3</definedName>
    <definedName name="\D" localSheetId="19">[3]LBO!#REF!</definedName>
    <definedName name="\D">[3]LBO!#REF!</definedName>
    <definedName name="\M" localSheetId="19">[3]LBO!#REF!</definedName>
    <definedName name="\M">[3]LBO!#REF!</definedName>
    <definedName name="\P" localSheetId="19">[3]LBO!#REF!</definedName>
    <definedName name="\P">[3]LBO!#REF!</definedName>
    <definedName name="\R" localSheetId="19">[3]LBO!#REF!</definedName>
    <definedName name="\R">[3]LBO!#REF!</definedName>
    <definedName name="\S" localSheetId="19">[3]LBO!#REF!</definedName>
    <definedName name="\S">[3]LBO!#REF!</definedName>
    <definedName name="\U" localSheetId="19">[3]LBO!#REF!</definedName>
    <definedName name="\U">[3]LBO!#REF!</definedName>
    <definedName name="___" localSheetId="19">#REF!</definedName>
    <definedName name="___" localSheetId="18">#REF!</definedName>
    <definedName name="___">#REF!</definedName>
    <definedName name="__123Graph_D" localSheetId="19" hidden="1">[4]Proforma!#REF!</definedName>
    <definedName name="__123Graph_D" localSheetId="18" hidden="1">[4]Proforma!#REF!</definedName>
    <definedName name="__123Graph_D" hidden="1">[4]Proforma!#REF!</definedName>
    <definedName name="__Acq1" localSheetId="19">#REF!</definedName>
    <definedName name="__Acq1" localSheetId="18">#REF!</definedName>
    <definedName name="__Acq1">#REF!</definedName>
    <definedName name="__Acq2" localSheetId="19">#REF!</definedName>
    <definedName name="__Acq2" localSheetId="18">#REF!</definedName>
    <definedName name="__Acq2">#REF!</definedName>
    <definedName name="__Acq3" localSheetId="19">#REF!</definedName>
    <definedName name="__Acq3" localSheetId="18">#REF!</definedName>
    <definedName name="__Acq3">#REF!</definedName>
    <definedName name="__Acq4" localSheetId="19">#REF!</definedName>
    <definedName name="__Acq4" localSheetId="18">#REF!</definedName>
    <definedName name="__Acq4">#REF!</definedName>
    <definedName name="__aud2" localSheetId="19">[5]Sensetivities!#REF!</definedName>
    <definedName name="__aud2" localSheetId="18">[5]Sensetivities!#REF!</definedName>
    <definedName name="__aud2">[5]Sensetivities!#REF!</definedName>
    <definedName name="__Avr2006" localSheetId="19">#REF!</definedName>
    <definedName name="__Avr2006" localSheetId="18">#REF!</definedName>
    <definedName name="__Avr2006">#REF!</definedName>
    <definedName name="__bb1"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bb1"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bb12"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bb1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BB13"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BB13"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bb2"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bb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cov1" localSheetId="19">#REF!</definedName>
    <definedName name="__cov1">#REF!</definedName>
    <definedName name="__cov2" localSheetId="19">#REF!</definedName>
    <definedName name="__cov2" localSheetId="18">#REF!</definedName>
    <definedName name="__cov2">#REF!</definedName>
    <definedName name="__cov3" localSheetId="19">#REF!</definedName>
    <definedName name="__cov3" localSheetId="18">#REF!</definedName>
    <definedName name="__cov3">#REF!</definedName>
    <definedName name="__cov4" localSheetId="19">#REF!</definedName>
    <definedName name="__cov4" localSheetId="18">#REF!</definedName>
    <definedName name="__cov4">#REF!</definedName>
    <definedName name="__das2" localSheetId="18"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__das2"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__DCF1" localSheetId="18" hidden="1">{#N/A,#N/A,FALSE,"DCF Summary";#N/A,#N/A,FALSE,"Casema";#N/A,#N/A,FALSE,"Casema NoTel";#N/A,#N/A,FALSE,"UK";#N/A,#N/A,FALSE,"RCF";#N/A,#N/A,FALSE,"Intercable CZ";#N/A,#N/A,FALSE,"Interkabel P"}</definedName>
    <definedName name="__DCF1" hidden="1">{#N/A,#N/A,FALSE,"DCF Summary";#N/A,#N/A,FALSE,"Casema";#N/A,#N/A,FALSE,"Casema NoTel";#N/A,#N/A,FALSE,"UK";#N/A,#N/A,FALSE,"RCF";#N/A,#N/A,FALSE,"Intercable CZ";#N/A,#N/A,FALSE,"Interkabel P"}</definedName>
    <definedName name="__dd2">'[6]OPERATIONS - STATISTICS EV'!$A$26:$IV$26</definedName>
    <definedName name="__DTy97">[7]Fixed!$O$80</definedName>
    <definedName name="__DTy98">[7]Fixed!$O$81</definedName>
    <definedName name="__EPS01">[8]FS!$H$66</definedName>
    <definedName name="__EPS02">[9]FS!$I$66</definedName>
    <definedName name="__EPS03">[9]FS!$J$66</definedName>
    <definedName name="__EPS98">[8]FS!$E$66</definedName>
    <definedName name="__EPS99">[8]FS!$F$66</definedName>
    <definedName name="__Fev2006" localSheetId="19">#REF!</definedName>
    <definedName name="__Fev2006" localSheetId="18">#REF!</definedName>
    <definedName name="__Fev2006">#REF!</definedName>
    <definedName name="__gro1" localSheetId="19">'[10]Fixed assets'!#REF!</definedName>
    <definedName name="__gro1" localSheetId="18">'[10]Fixed assets'!#REF!</definedName>
    <definedName name="__gro1">'[10]Fixed assets'!#REF!</definedName>
    <definedName name="__gro3" localSheetId="19">'[10]Fixed assets'!#REF!</definedName>
    <definedName name="__gro3">'[10]Fixed assets'!#REF!</definedName>
    <definedName name="__gro4" localSheetId="19">'[10]Fixed assets'!#REF!</definedName>
    <definedName name="__gro4">'[10]Fixed assets'!#REF!</definedName>
    <definedName name="__gwp94">'[10]Balance-Pre'!$B$19</definedName>
    <definedName name="__Imm01" localSheetId="19">[11]Ingresos!#REF!</definedName>
    <definedName name="__Imm01">[11]Ingresos!#REF!</definedName>
    <definedName name="__Imm02" localSheetId="19">[11]Ingresos!#REF!</definedName>
    <definedName name="__Imm02">[11]Ingresos!#REF!</definedName>
    <definedName name="__Imm03" localSheetId="19">[11]Ingresos!#REF!</definedName>
    <definedName name="__Imm03">[11]Ingresos!#REF!</definedName>
    <definedName name="__Imm04" localSheetId="19">[11]Ingresos!#REF!</definedName>
    <definedName name="__Imm04">[11]Ingresos!#REF!</definedName>
    <definedName name="__Imm05" localSheetId="19">[11]Ingresos!#REF!</definedName>
    <definedName name="__Imm05">[11]Ingresos!#REF!</definedName>
    <definedName name="__Imm06" localSheetId="19">[11]Ingresos!#REF!</definedName>
    <definedName name="__Imm06">[11]Ingresos!#REF!</definedName>
    <definedName name="__Imm07" localSheetId="19">[11]Ingresos!#REF!</definedName>
    <definedName name="__Imm07">[11]Ingresos!#REF!</definedName>
    <definedName name="__Imm08" localSheetId="19">[11]Ingresos!#REF!</definedName>
    <definedName name="__Imm08">[11]Ingresos!#REF!</definedName>
    <definedName name="__Imm09" localSheetId="19">[11]Ingresos!#REF!</definedName>
    <definedName name="__Imm09">[11]Ingresos!#REF!</definedName>
    <definedName name="__Imm95" localSheetId="19">[11]Ingresos!#REF!</definedName>
    <definedName name="__Imm95">[11]Ingresos!#REF!</definedName>
    <definedName name="__Imm96" localSheetId="19">[11]Ingresos!#REF!</definedName>
    <definedName name="__Imm96">[11]Ingresos!#REF!</definedName>
    <definedName name="__Imm97" localSheetId="19">[11]Ingresos!#REF!</definedName>
    <definedName name="__Imm97">[11]Ingresos!#REF!</definedName>
    <definedName name="__Imm98" localSheetId="19">[11]Ingresos!#REF!</definedName>
    <definedName name="__Imm98">[11]Ingresos!#REF!</definedName>
    <definedName name="__Imm99" localSheetId="19">[11]Ingresos!#REF!</definedName>
    <definedName name="__Imm99">[11]Ingresos!#REF!</definedName>
    <definedName name="__Jan2006" localSheetId="19">#REF!</definedName>
    <definedName name="__Jan2006" localSheetId="18">#REF!</definedName>
    <definedName name="__Jan2006">#REF!</definedName>
    <definedName name="__Jun2006" localSheetId="19">#REF!</definedName>
    <definedName name="__Jun2006" localSheetId="18">#REF!</definedName>
    <definedName name="__Jun2006">#REF!</definedName>
    <definedName name="__L" localSheetId="19">'[12]Fleet &amp; Costs'!#REF!</definedName>
    <definedName name="__L" localSheetId="18">'[12]Fleet &amp; Costs'!#REF!</definedName>
    <definedName name="__L">'[12]Fleet &amp; Costs'!#REF!</definedName>
    <definedName name="__Mai2006" localSheetId="19">#REF!</definedName>
    <definedName name="__Mai2006" localSheetId="18">#REF!</definedName>
    <definedName name="__Mai2006">#REF!</definedName>
    <definedName name="__Mar2006" localSheetId="19">#REF!</definedName>
    <definedName name="__Mar2006" localSheetId="18">#REF!</definedName>
    <definedName name="__Mar2006">#REF!</definedName>
    <definedName name="__nav94">'[10]Balance-Pre'!$G$19</definedName>
    <definedName name="__nd97">[13]Parent!$E$342</definedName>
    <definedName name="__nd99">[13]Parent!$G$342</definedName>
    <definedName name="__NI01">[9]FS!$H$62</definedName>
    <definedName name="__NI02">[9]FS!$I$62</definedName>
    <definedName name="__NI03">[9]FS!$J$62</definedName>
    <definedName name="__NI98">[9]FS!$E$62</definedName>
    <definedName name="__NI99">[9]FS!$F$62</definedName>
    <definedName name="__op2" localSheetId="19">[5]Sensetivities!#REF!</definedName>
    <definedName name="__op2">[5]Sensetivities!#REF!</definedName>
    <definedName name="__pe94">'[10]Balance-Pre'!$D$19</definedName>
    <definedName name="__pe95">'[10]Balance-Pre'!$E$19</definedName>
    <definedName name="__PTy97">[7]Fixed!$O$110</definedName>
    <definedName name="__PTy98">[7]Fixed!$O$111</definedName>
    <definedName name="__TDy97">[7]Fixed!$O$71</definedName>
    <definedName name="__TIy97" localSheetId="19">[7]Fixed!#REF!</definedName>
    <definedName name="__TIy97">[7]Fixed!#REF!</definedName>
    <definedName name="__TIy98" localSheetId="19">[7]Fixed!#REF!</definedName>
    <definedName name="__TIy98">[7]Fixed!#REF!</definedName>
    <definedName name="__TVA15">'[14]STATS LUX 2008'!$A$9:$IV$9</definedName>
    <definedName name="__TVA20" localSheetId="19">#REF!</definedName>
    <definedName name="__TVA20" localSheetId="18">#REF!</definedName>
    <definedName name="__TVA20">#REF!</definedName>
    <definedName name="__TVA5" localSheetId="19">#REF!</definedName>
    <definedName name="__TVA5" localSheetId="18">#REF!</definedName>
    <definedName name="__TVA5">#REF!</definedName>
    <definedName name="__war1" localSheetId="19">#REF!</definedName>
    <definedName name="__war1" localSheetId="18">#REF!</definedName>
    <definedName name="__war1">#REF!</definedName>
    <definedName name="__war2" localSheetId="19">#REF!</definedName>
    <definedName name="__war2" localSheetId="18">#REF!</definedName>
    <definedName name="__war2">#REF!</definedName>
    <definedName name="__x2">'[15]Statistics operations'!$A$129:$IV$129</definedName>
    <definedName name="__xf2"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xf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1_0g" localSheetId="19">[16]CSCCincSKR!#REF!</definedName>
    <definedName name="_1_0g">[16]CSCCincSKR!#REF!</definedName>
    <definedName name="_101ÿ_0CAPEX_Civil_Wo" localSheetId="19">#REF!</definedName>
    <definedName name="_101ÿ_0CAPEX_Civil_Wo" localSheetId="18">#REF!</definedName>
    <definedName name="_101ÿ_0CAPEX_Civil_Wo">#REF!</definedName>
    <definedName name="_102ÿ_0CAPEX_Civil_Wo" localSheetId="19">#REF!</definedName>
    <definedName name="_102ÿ_0CAPEX_Civil_Wo" localSheetId="18">#REF!</definedName>
    <definedName name="_102ÿ_0CAPEX_Civil_Wo">#REF!</definedName>
    <definedName name="_10ÿ_0CAPEX_Equipm" localSheetId="19">#REF!</definedName>
    <definedName name="_10ÿ_0CAPEX_Equipm" localSheetId="18">#REF!</definedName>
    <definedName name="_10ÿ_0CAPEX_Equipm">#REF!</definedName>
    <definedName name="_119ÿ_0CAPEX_computer_softw" localSheetId="19">#REF!</definedName>
    <definedName name="_119ÿ_0CAPEX_computer_softw" localSheetId="18">#REF!</definedName>
    <definedName name="_119ÿ_0CAPEX_computer_softw">#REF!</definedName>
    <definedName name="_11ÿ_0CAPEX_Gateway_Equipm" localSheetId="19">#REF!</definedName>
    <definedName name="_11ÿ_0CAPEX_Gateway_Equipm" localSheetId="18">#REF!</definedName>
    <definedName name="_11ÿ_0CAPEX_Gateway_Equipm">#REF!</definedName>
    <definedName name="_120ÿ_0CAPEX_computer_softw" localSheetId="19">#REF!</definedName>
    <definedName name="_120ÿ_0CAPEX_computer_softw" localSheetId="18">#REF!</definedName>
    <definedName name="_120ÿ_0CAPEX_computer_softw">#REF!</definedName>
    <definedName name="_12ÿ_0CAPEX_Licence_" localSheetId="19">#REF!</definedName>
    <definedName name="_12ÿ_0CAPEX_Licence_" localSheetId="18">#REF!</definedName>
    <definedName name="_12ÿ_0CAPEX_Licence_">#REF!</definedName>
    <definedName name="_137ÿ_0CAPEX_Equipm" localSheetId="19">#REF!</definedName>
    <definedName name="_137ÿ_0CAPEX_Equipm" localSheetId="18">#REF!</definedName>
    <definedName name="_137ÿ_0CAPEX_Equipm">#REF!</definedName>
    <definedName name="_138ÿ_0CAPEX_Equipm" localSheetId="19">#REF!</definedName>
    <definedName name="_138ÿ_0CAPEX_Equipm" localSheetId="18">#REF!</definedName>
    <definedName name="_138ÿ_0CAPEX_Equipm">#REF!</definedName>
    <definedName name="_13ÿ_0CAPEX_Microw" localSheetId="19">#REF!</definedName>
    <definedName name="_13ÿ_0CAPEX_Microw" localSheetId="18">#REF!</definedName>
    <definedName name="_13ÿ_0CAPEX_Microw">#REF!</definedName>
    <definedName name="_14ÿ_0CAPEX_office_furnit" localSheetId="19">#REF!</definedName>
    <definedName name="_14ÿ_0CAPEX_office_furnit" localSheetId="18">#REF!</definedName>
    <definedName name="_14ÿ_0CAPEX_office_furnit">#REF!</definedName>
    <definedName name="_155ÿ_0CAPEX_Gateway_Equipm" localSheetId="19">#REF!</definedName>
    <definedName name="_155ÿ_0CAPEX_Gateway_Equipm" localSheetId="18">#REF!</definedName>
    <definedName name="_155ÿ_0CAPEX_Gateway_Equipm">#REF!</definedName>
    <definedName name="_156ÿ_0CAPEX_Gateway_Equipm" localSheetId="19">#REF!</definedName>
    <definedName name="_156ÿ_0CAPEX_Gateway_Equipm" localSheetId="18">#REF!</definedName>
    <definedName name="_156ÿ_0CAPEX_Gateway_Equipm">#REF!</definedName>
    <definedName name="_15ÿ_0CAPEX_Subscri" localSheetId="19">#REF!</definedName>
    <definedName name="_15ÿ_0CAPEX_Subscri" localSheetId="18">#REF!</definedName>
    <definedName name="_15ÿ_0CAPEX_Subscri">#REF!</definedName>
    <definedName name="_16ÿ_0Cum._Invest_bill" localSheetId="19">#REF!</definedName>
    <definedName name="_16ÿ_0Cum._Invest_bill" localSheetId="18">#REF!</definedName>
    <definedName name="_16ÿ_0Cum._Invest_bill">#REF!</definedName>
    <definedName name="_173ÿ_0CAPEX_Licence_" localSheetId="19">#REF!</definedName>
    <definedName name="_173ÿ_0CAPEX_Licence_" localSheetId="18">#REF!</definedName>
    <definedName name="_173ÿ_0CAPEX_Licence_">#REF!</definedName>
    <definedName name="_174ÿ_0CAPEX_Licence_" localSheetId="19">#REF!</definedName>
    <definedName name="_174ÿ_0CAPEX_Licence_" localSheetId="18">#REF!</definedName>
    <definedName name="_174ÿ_0CAPEX_Licence_">#REF!</definedName>
    <definedName name="_17ÿ_0Depr_base_bill" localSheetId="19">#REF!</definedName>
    <definedName name="_17ÿ_0Depr_base_bill" localSheetId="18">#REF!</definedName>
    <definedName name="_17ÿ_0Depr_base_bill">#REF!</definedName>
    <definedName name="_18_0g" localSheetId="19">[4]CSCCincSKR!#REF!</definedName>
    <definedName name="_18_0g" localSheetId="18">[4]CSCCincSKR!#REF!</definedName>
    <definedName name="_18_0g">[4]CSCCincSKR!#REF!</definedName>
    <definedName name="_18ÿ_0Depr_base_equipm" localSheetId="19">#REF!</definedName>
    <definedName name="_18ÿ_0Depr_base_equipm" localSheetId="18">#REF!</definedName>
    <definedName name="_18ÿ_0Depr_base_equipm">#REF!</definedName>
    <definedName name="_191ÿ_0CAPEX_Microw" localSheetId="19">#REF!</definedName>
    <definedName name="_191ÿ_0CAPEX_Microw" localSheetId="18">#REF!</definedName>
    <definedName name="_191ÿ_0CAPEX_Microw">#REF!</definedName>
    <definedName name="_192ÿ_0CAPEX_Microw" localSheetId="19">#REF!</definedName>
    <definedName name="_192ÿ_0CAPEX_Microw" localSheetId="18">#REF!</definedName>
    <definedName name="_192ÿ_0CAPEX_Microw">#REF!</definedName>
    <definedName name="_1993A" localSheetId="19">#REF!</definedName>
    <definedName name="_1993A" localSheetId="18">#REF!</definedName>
    <definedName name="_1993A">#REF!</definedName>
    <definedName name="_1994A" localSheetId="19">#REF!</definedName>
    <definedName name="_1994A" localSheetId="18">#REF!</definedName>
    <definedName name="_1994A">#REF!</definedName>
    <definedName name="_1995" localSheetId="19">#REF!</definedName>
    <definedName name="_1995" localSheetId="18">#REF!</definedName>
    <definedName name="_1995">#REF!</definedName>
    <definedName name="_1995A" localSheetId="19">#REF!</definedName>
    <definedName name="_1995A" localSheetId="18">#REF!</definedName>
    <definedName name="_1995A">#REF!</definedName>
    <definedName name="_1996A" localSheetId="19">#REF!</definedName>
    <definedName name="_1996A" localSheetId="18">#REF!</definedName>
    <definedName name="_1996A">#REF!</definedName>
    <definedName name="_1997A" localSheetId="19">#REF!</definedName>
    <definedName name="_1997A" localSheetId="18">#REF!</definedName>
    <definedName name="_1997A">#REF!</definedName>
    <definedName name="_1998E" localSheetId="19">#REF!</definedName>
    <definedName name="_1998E" localSheetId="18">#REF!</definedName>
    <definedName name="_1998E">#REF!</definedName>
    <definedName name="_1999E" localSheetId="19">#REF!</definedName>
    <definedName name="_1999E" localSheetId="18">#REF!</definedName>
    <definedName name="_1999E">#REF!</definedName>
    <definedName name="_19ÿ_0Depr_bill" localSheetId="19">#REF!</definedName>
    <definedName name="_19ÿ_0Depr_bill" localSheetId="18">#REF!</definedName>
    <definedName name="_19ÿ_0Depr_bill">#REF!</definedName>
    <definedName name="_2_0Market" localSheetId="19">[17]KPN!#REF!</definedName>
    <definedName name="_2_0Market" localSheetId="18">[17]KPN!#REF!</definedName>
    <definedName name="_2_0Market">[17]KPN!#REF!</definedName>
    <definedName name="_2000E" localSheetId="19">#REF!</definedName>
    <definedName name="_2000E" localSheetId="18">#REF!</definedName>
    <definedName name="_2000E">#REF!</definedName>
    <definedName name="_2001E" localSheetId="19">#REF!</definedName>
    <definedName name="_2001E" localSheetId="18">#REF!</definedName>
    <definedName name="_2001E">#REF!</definedName>
    <definedName name="_2002E" localSheetId="19">#REF!</definedName>
    <definedName name="_2002E" localSheetId="18">#REF!</definedName>
    <definedName name="_2002E">#REF!</definedName>
    <definedName name="_2003E" localSheetId="19">#REF!</definedName>
    <definedName name="_2003E" localSheetId="18">#REF!</definedName>
    <definedName name="_2003E">#REF!</definedName>
    <definedName name="_2004E" localSheetId="19">#REF!</definedName>
    <definedName name="_2004E" localSheetId="18">#REF!</definedName>
    <definedName name="_2004E">#REF!</definedName>
    <definedName name="_2005E" localSheetId="19">#REF!</definedName>
    <definedName name="_2005E" localSheetId="18">#REF!</definedName>
    <definedName name="_2005E">#REF!</definedName>
    <definedName name="_209ÿ_0CAPEX_office_furnit" localSheetId="19">#REF!</definedName>
    <definedName name="_209ÿ_0CAPEX_office_furnit" localSheetId="18">#REF!</definedName>
    <definedName name="_209ÿ_0CAPEX_office_furnit">#REF!</definedName>
    <definedName name="_20ÿ_0Depr_civil_wo" localSheetId="19">#REF!</definedName>
    <definedName name="_20ÿ_0Depr_civil_wo" localSheetId="18">#REF!</definedName>
    <definedName name="_20ÿ_0Depr_civil_wo">#REF!</definedName>
    <definedName name="_21_0Market" localSheetId="19">[17]KPN!#REF!</definedName>
    <definedName name="_21_0Market" localSheetId="18">[17]KPN!#REF!</definedName>
    <definedName name="_21_0Market">[17]KPN!#REF!</definedName>
    <definedName name="_210ÿ_0CAPEX_office_furnit" localSheetId="19">#REF!</definedName>
    <definedName name="_210ÿ_0CAPEX_office_furnit" localSheetId="18">#REF!</definedName>
    <definedName name="_210ÿ_0CAPEX_office_furnit">#REF!</definedName>
    <definedName name="_21ÿ_0Depr_computer_softw" localSheetId="19">#REF!</definedName>
    <definedName name="_21ÿ_0Depr_computer_softw" localSheetId="18">#REF!</definedName>
    <definedName name="_21ÿ_0Depr_computer_softw">#REF!</definedName>
    <definedName name="_227ÿ_0CAPEX_Subscri" localSheetId="19">#REF!</definedName>
    <definedName name="_227ÿ_0CAPEX_Subscri" localSheetId="18">#REF!</definedName>
    <definedName name="_227ÿ_0CAPEX_Subscri">#REF!</definedName>
    <definedName name="_228ÿ_0CAPEX_Subscri" localSheetId="19">#REF!</definedName>
    <definedName name="_228ÿ_0CAPEX_Subscri" localSheetId="18">#REF!</definedName>
    <definedName name="_228ÿ_0CAPEX_Subscri">#REF!</definedName>
    <definedName name="_22ÿ_0Depr_equipm" localSheetId="19">#REF!</definedName>
    <definedName name="_22ÿ_0Depr_equipm" localSheetId="18">#REF!</definedName>
    <definedName name="_22ÿ_0Depr_equipm">#REF!</definedName>
    <definedName name="_23ÿ_0Depr_lice" localSheetId="19">#REF!</definedName>
    <definedName name="_23ÿ_0Depr_lice" localSheetId="18">#REF!</definedName>
    <definedName name="_23ÿ_0Depr_lice">#REF!</definedName>
    <definedName name="_245ÿ_0Cum._Invest_bill" localSheetId="19">#REF!</definedName>
    <definedName name="_245ÿ_0Cum._Invest_bill" localSheetId="18">#REF!</definedName>
    <definedName name="_245ÿ_0Cum._Invest_bill">#REF!</definedName>
    <definedName name="_246ÿ_0Cum._Invest_bill" localSheetId="19">#REF!</definedName>
    <definedName name="_246ÿ_0Cum._Invest_bill" localSheetId="18">#REF!</definedName>
    <definedName name="_246ÿ_0Cum._Invest_bill">#REF!</definedName>
    <definedName name="_24B_0Working_pr" localSheetId="19">[17]KPN!#REF!</definedName>
    <definedName name="_24B_0Working_pr" localSheetId="18">[17]KPN!#REF!</definedName>
    <definedName name="_24B_0Working_pr">[17]KPN!#REF!</definedName>
    <definedName name="_24ÿ_0Depr_office_furnit" localSheetId="19">#REF!</definedName>
    <definedName name="_24ÿ_0Depr_office_furnit" localSheetId="18">#REF!</definedName>
    <definedName name="_24ÿ_0Depr_office_furnit">#REF!</definedName>
    <definedName name="_25ÿ_0GSM_In" localSheetId="19">#REF!</definedName>
    <definedName name="_25ÿ_0GSM_In" localSheetId="18">#REF!</definedName>
    <definedName name="_25ÿ_0GSM_In">#REF!</definedName>
    <definedName name="_263ÿ_0Depr_base_bill" localSheetId="19">#REF!</definedName>
    <definedName name="_263ÿ_0Depr_base_bill" localSheetId="18">#REF!</definedName>
    <definedName name="_263ÿ_0Depr_base_bill">#REF!</definedName>
    <definedName name="_264ÿ_0Depr_base_bill" localSheetId="19">#REF!</definedName>
    <definedName name="_264ÿ_0Depr_base_bill" localSheetId="18">#REF!</definedName>
    <definedName name="_264ÿ_0Depr_base_bill">#REF!</definedName>
    <definedName name="_26ÿ_0Invest" localSheetId="19">#REF!</definedName>
    <definedName name="_26ÿ_0Invest" localSheetId="18">#REF!</definedName>
    <definedName name="_26ÿ_0Invest">#REF!</definedName>
    <definedName name="_27ÿ_0Invest_" localSheetId="19">#REF!</definedName>
    <definedName name="_27ÿ_0Invest_" localSheetId="18">#REF!</definedName>
    <definedName name="_27ÿ_0Invest_">#REF!</definedName>
    <definedName name="_281ÿ_0Depr_base_equipm" localSheetId="19">#REF!</definedName>
    <definedName name="_281ÿ_0Depr_base_equipm" localSheetId="18">#REF!</definedName>
    <definedName name="_281ÿ_0Depr_base_equipm">#REF!</definedName>
    <definedName name="_282ÿ_0Depr_base_equipm" localSheetId="19">#REF!</definedName>
    <definedName name="_282ÿ_0Depr_base_equipm" localSheetId="18">#REF!</definedName>
    <definedName name="_282ÿ_0Depr_base_equipm">#REF!</definedName>
    <definedName name="_28ÿ_0Invest_Gatew" localSheetId="19">#REF!</definedName>
    <definedName name="_28ÿ_0Invest_Gatew" localSheetId="18">#REF!</definedName>
    <definedName name="_28ÿ_0Invest_Gatew">#REF!</definedName>
    <definedName name="_299ÿ_0Depr_bill" localSheetId="19">#REF!</definedName>
    <definedName name="_299ÿ_0Depr_bill" localSheetId="18">#REF!</definedName>
    <definedName name="_299ÿ_0Depr_bill">#REF!</definedName>
    <definedName name="_29D_0Working_l" localSheetId="19">[17]KPN!#REF!</definedName>
    <definedName name="_29D_0Working_l" localSheetId="18">[17]KPN!#REF!</definedName>
    <definedName name="_29D_0Working_l">[17]KPN!#REF!</definedName>
    <definedName name="_29ÿ_0Invest_Microw" localSheetId="19">#REF!</definedName>
    <definedName name="_29ÿ_0Invest_Microw" localSheetId="18">#REF!</definedName>
    <definedName name="_29ÿ_0Invest_Microw">#REF!</definedName>
    <definedName name="_300ÿ_0Depr_bill" localSheetId="19">#REF!</definedName>
    <definedName name="_300ÿ_0Depr_bill" localSheetId="18">#REF!</definedName>
    <definedName name="_300ÿ_0Depr_bill">#REF!</definedName>
    <definedName name="_30Excel_BuiltIn__FilterDatabase_8_1" localSheetId="19">#REF!</definedName>
    <definedName name="_30Excel_BuiltIn__FilterDatabase_8_1" localSheetId="18">#REF!</definedName>
    <definedName name="_30Excel_BuiltIn__FilterDatabase_8_1">#REF!</definedName>
    <definedName name="_30ÿ_0Number" localSheetId="19">#REF!</definedName>
    <definedName name="_30ÿ_0Number" localSheetId="18">#REF!</definedName>
    <definedName name="_30ÿ_0Number">#REF!</definedName>
    <definedName name="_317ÿ_0Depr_civil_wo" localSheetId="19">#REF!</definedName>
    <definedName name="_317ÿ_0Depr_civil_wo" localSheetId="18">#REF!</definedName>
    <definedName name="_317ÿ_0Depr_civil_wo">#REF!</definedName>
    <definedName name="_318ÿ_0Depr_civil_wo" localSheetId="19">#REF!</definedName>
    <definedName name="_318ÿ_0Depr_civil_wo" localSheetId="18">#REF!</definedName>
    <definedName name="_318ÿ_0Depr_civil_wo">#REF!</definedName>
    <definedName name="_31ÿ_0Number_" localSheetId="19">#REF!</definedName>
    <definedName name="_31ÿ_0Number_" localSheetId="18">#REF!</definedName>
    <definedName name="_31ÿ_0Number_">#REF!</definedName>
    <definedName name="_32ÿ_0Number_Gatew" localSheetId="19">#REF!</definedName>
    <definedName name="_32ÿ_0Number_Gatew" localSheetId="18">#REF!</definedName>
    <definedName name="_32ÿ_0Number_Gatew">#REF!</definedName>
    <definedName name="_335ÿ_0Depr_computer_softw" localSheetId="19">#REF!</definedName>
    <definedName name="_335ÿ_0Depr_computer_softw" localSheetId="18">#REF!</definedName>
    <definedName name="_335ÿ_0Depr_computer_softw">#REF!</definedName>
    <definedName name="_336ÿ_0Depr_computer_softw" localSheetId="19">#REF!</definedName>
    <definedName name="_336ÿ_0Depr_computer_softw" localSheetId="18">#REF!</definedName>
    <definedName name="_336ÿ_0Depr_computer_softw">#REF!</definedName>
    <definedName name="_33ÿ_0Number_Microw" localSheetId="19">#REF!</definedName>
    <definedName name="_33ÿ_0Number_Microw" localSheetId="18">#REF!</definedName>
    <definedName name="_33ÿ_0Number_Microw">#REF!</definedName>
    <definedName name="_34ÿ_0Price" localSheetId="19">#REF!</definedName>
    <definedName name="_34ÿ_0Price" localSheetId="18">#REF!</definedName>
    <definedName name="_34ÿ_0Price">#REF!</definedName>
    <definedName name="_353ÿ_0Depr_equipm" localSheetId="19">#REF!</definedName>
    <definedName name="_353ÿ_0Depr_equipm" localSheetId="18">#REF!</definedName>
    <definedName name="_353ÿ_0Depr_equipm">#REF!</definedName>
    <definedName name="_354ÿ_0Depr_equipm" localSheetId="19">#REF!</definedName>
    <definedName name="_354ÿ_0Depr_equipm" localSheetId="18">#REF!</definedName>
    <definedName name="_354ÿ_0Depr_equipm">#REF!</definedName>
    <definedName name="_35ÿ_0Price_" localSheetId="19">#REF!</definedName>
    <definedName name="_35ÿ_0Price_" localSheetId="18">#REF!</definedName>
    <definedName name="_35ÿ_0Price_">#REF!</definedName>
    <definedName name="_36ÿ_0Price_Gate" localSheetId="19">#REF!</definedName>
    <definedName name="_36ÿ_0Price_Gate" localSheetId="18">#REF!</definedName>
    <definedName name="_36ÿ_0Price_Gate">#REF!</definedName>
    <definedName name="_371ÿ_0Depr_lice" localSheetId="19">#REF!</definedName>
    <definedName name="_371ÿ_0Depr_lice" localSheetId="18">#REF!</definedName>
    <definedName name="_371ÿ_0Depr_lice">#REF!</definedName>
    <definedName name="_372ÿ_0Depr_lice" localSheetId="19">#REF!</definedName>
    <definedName name="_372ÿ_0Depr_lice" localSheetId="18">#REF!</definedName>
    <definedName name="_372ÿ_0Depr_lice">#REF!</definedName>
    <definedName name="_37ÿ_0Price_Microw" localSheetId="19">#REF!</definedName>
    <definedName name="_37ÿ_0Price_Microw" localSheetId="18">#REF!</definedName>
    <definedName name="_37ÿ_0Price_Microw">#REF!</definedName>
    <definedName name="_389ÿ_0Depr_office_furnit" localSheetId="19">#REF!</definedName>
    <definedName name="_389ÿ_0Depr_office_furnit" localSheetId="18">#REF!</definedName>
    <definedName name="_389ÿ_0Depr_office_furnit">#REF!</definedName>
    <definedName name="_38ÿ_0Rev_In_Ca" localSheetId="19">#REF!</definedName>
    <definedName name="_38ÿ_0Rev_In_Ca" localSheetId="18">#REF!</definedName>
    <definedName name="_38ÿ_0Rev_In_Ca">#REF!</definedName>
    <definedName name="_390ÿ_0Depr_office_furnit" localSheetId="19">#REF!</definedName>
    <definedName name="_390ÿ_0Depr_office_furnit" localSheetId="18">#REF!</definedName>
    <definedName name="_390ÿ_0Depr_office_furnit">#REF!</definedName>
    <definedName name="_39ÿ_0Tot_Fixed_Ass" localSheetId="19">#REF!</definedName>
    <definedName name="_39ÿ_0Tot_Fixed_Ass" localSheetId="18">#REF!</definedName>
    <definedName name="_39ÿ_0Tot_Fixed_Ass">#REF!</definedName>
    <definedName name="_3B_0Working_pr" localSheetId="19">[17]KPN!#REF!</definedName>
    <definedName name="_3B_0Working_pr" localSheetId="18">[17]KPN!#REF!</definedName>
    <definedName name="_3B_0Working_pr">[17]KPN!#REF!</definedName>
    <definedName name="_407ÿ_0GSM_In" localSheetId="19">#REF!</definedName>
    <definedName name="_407ÿ_0GSM_In" localSheetId="18">#REF!</definedName>
    <definedName name="_407ÿ_0GSM_In">#REF!</definedName>
    <definedName name="_408ÿ_0GSM_In" localSheetId="19">#REF!</definedName>
    <definedName name="_408ÿ_0GSM_In" localSheetId="18">#REF!</definedName>
    <definedName name="_408ÿ_0GSM_In">#REF!</definedName>
    <definedName name="_425ÿ_0Invest" localSheetId="19">#REF!</definedName>
    <definedName name="_425ÿ_0Invest" localSheetId="18">#REF!</definedName>
    <definedName name="_425ÿ_0Invest">#REF!</definedName>
    <definedName name="_426ÿ_0Invest" localSheetId="19">#REF!</definedName>
    <definedName name="_426ÿ_0Invest" localSheetId="18">#REF!</definedName>
    <definedName name="_426ÿ_0Invest">#REF!</definedName>
    <definedName name="_443ÿ_0Invest_" localSheetId="19">#REF!</definedName>
    <definedName name="_443ÿ_0Invest_" localSheetId="18">#REF!</definedName>
    <definedName name="_443ÿ_0Invest_">#REF!</definedName>
    <definedName name="_444ÿ_0Invest_" localSheetId="19">#REF!</definedName>
    <definedName name="_444ÿ_0Invest_" localSheetId="18">#REF!</definedName>
    <definedName name="_444ÿ_0Invest_">#REF!</definedName>
    <definedName name="_461ÿ_0Invest_Gatew" localSheetId="19">#REF!</definedName>
    <definedName name="_461ÿ_0Invest_Gatew" localSheetId="18">#REF!</definedName>
    <definedName name="_461ÿ_0Invest_Gatew">#REF!</definedName>
    <definedName name="_462ÿ_0Invest_Gatew" localSheetId="19">#REF!</definedName>
    <definedName name="_462ÿ_0Invest_Gatew" localSheetId="18">#REF!</definedName>
    <definedName name="_462ÿ_0Invest_Gatew">#REF!</definedName>
    <definedName name="_479ÿ_0Invest_Microw" localSheetId="19">#REF!</definedName>
    <definedName name="_479ÿ_0Invest_Microw" localSheetId="18">#REF!</definedName>
    <definedName name="_479ÿ_0Invest_Microw">#REF!</definedName>
    <definedName name="_47ÿ_0CAPEX" localSheetId="19">#REF!</definedName>
    <definedName name="_47ÿ_0CAPEX" localSheetId="18">#REF!</definedName>
    <definedName name="_47ÿ_0CAPEX">#REF!</definedName>
    <definedName name="_480ÿ_0Invest_Microw" localSheetId="19">#REF!</definedName>
    <definedName name="_480ÿ_0Invest_Microw" localSheetId="18">#REF!</definedName>
    <definedName name="_480ÿ_0Invest_Microw">#REF!</definedName>
    <definedName name="_48ÿ_0CAPEX" localSheetId="19">#REF!</definedName>
    <definedName name="_48ÿ_0CAPEX" localSheetId="18">#REF!</definedName>
    <definedName name="_48ÿ_0CAPEX">#REF!</definedName>
    <definedName name="_497ÿ_0Number" localSheetId="19">#REF!</definedName>
    <definedName name="_497ÿ_0Number" localSheetId="18">#REF!</definedName>
    <definedName name="_497ÿ_0Number">#REF!</definedName>
    <definedName name="_498ÿ_0Number" localSheetId="19">#REF!</definedName>
    <definedName name="_498ÿ_0Number" localSheetId="18">#REF!</definedName>
    <definedName name="_498ÿ_0Number">#REF!</definedName>
    <definedName name="_4D_0Working_l" localSheetId="19">[17]KPN!#REF!</definedName>
    <definedName name="_4D_0Working_l" localSheetId="18">[17]KPN!#REF!</definedName>
    <definedName name="_4D_0Working_l">[17]KPN!#REF!</definedName>
    <definedName name="_515ÿ_0Number_" localSheetId="19">#REF!</definedName>
    <definedName name="_515ÿ_0Number_" localSheetId="18">#REF!</definedName>
    <definedName name="_515ÿ_0Number_">#REF!</definedName>
    <definedName name="_516ÿ_0Number_" localSheetId="19">#REF!</definedName>
    <definedName name="_516ÿ_0Number_" localSheetId="18">#REF!</definedName>
    <definedName name="_516ÿ_0Number_">#REF!</definedName>
    <definedName name="_533ÿ_0Number_Gatew" localSheetId="19">#REF!</definedName>
    <definedName name="_533ÿ_0Number_Gatew" localSheetId="18">#REF!</definedName>
    <definedName name="_533ÿ_0Number_Gatew">#REF!</definedName>
    <definedName name="_534ÿ_0Number_Gatew" localSheetId="19">#REF!</definedName>
    <definedName name="_534ÿ_0Number_Gatew" localSheetId="18">#REF!</definedName>
    <definedName name="_534ÿ_0Number_Gatew">#REF!</definedName>
    <definedName name="_551ÿ_0Number_Microw" localSheetId="19">#REF!</definedName>
    <definedName name="_551ÿ_0Number_Microw" localSheetId="18">#REF!</definedName>
    <definedName name="_551ÿ_0Number_Microw">#REF!</definedName>
    <definedName name="_552ÿ_0Number_Microw" localSheetId="19">#REF!</definedName>
    <definedName name="_552ÿ_0Number_Microw" localSheetId="18">#REF!</definedName>
    <definedName name="_552ÿ_0Number_Microw">#REF!</definedName>
    <definedName name="_569ÿ_0Price" localSheetId="19">#REF!</definedName>
    <definedName name="_569ÿ_0Price" localSheetId="18">#REF!</definedName>
    <definedName name="_569ÿ_0Price">#REF!</definedName>
    <definedName name="_570ÿ_0Price" localSheetId="19">#REF!</definedName>
    <definedName name="_570ÿ_0Price" localSheetId="18">#REF!</definedName>
    <definedName name="_570ÿ_0Price">#REF!</definedName>
    <definedName name="_587ÿ_0Price_" localSheetId="19">#REF!</definedName>
    <definedName name="_587ÿ_0Price_" localSheetId="18">#REF!</definedName>
    <definedName name="_587ÿ_0Price_">#REF!</definedName>
    <definedName name="_588ÿ_0Price_" localSheetId="19">#REF!</definedName>
    <definedName name="_588ÿ_0Price_" localSheetId="18">#REF!</definedName>
    <definedName name="_588ÿ_0Price_">#REF!</definedName>
    <definedName name="_5ÿ_0CAPEX" localSheetId="19">#REF!</definedName>
    <definedName name="_5ÿ_0CAPEX" localSheetId="18">#REF!</definedName>
    <definedName name="_5ÿ_0CAPEX">#REF!</definedName>
    <definedName name="_605ÿ_0Price_Gate" localSheetId="19">#REF!</definedName>
    <definedName name="_605ÿ_0Price_Gate" localSheetId="18">#REF!</definedName>
    <definedName name="_605ÿ_0Price_Gate">#REF!</definedName>
    <definedName name="_606ÿ_0Price_Gate" localSheetId="19">#REF!</definedName>
    <definedName name="_606ÿ_0Price_Gate" localSheetId="18">#REF!</definedName>
    <definedName name="_606ÿ_0Price_Gate">#REF!</definedName>
    <definedName name="_623ÿ_0Price_Microw" localSheetId="19">#REF!</definedName>
    <definedName name="_623ÿ_0Price_Microw" localSheetId="18">#REF!</definedName>
    <definedName name="_623ÿ_0Price_Microw">#REF!</definedName>
    <definedName name="_624ÿ_0Price_Microw" localSheetId="19">#REF!</definedName>
    <definedName name="_624ÿ_0Price_Microw" localSheetId="18">#REF!</definedName>
    <definedName name="_624ÿ_0Price_Microw">#REF!</definedName>
    <definedName name="_641ÿ_0Rev_In_Ca" localSheetId="19">#REF!</definedName>
    <definedName name="_641ÿ_0Rev_In_Ca" localSheetId="18">#REF!</definedName>
    <definedName name="_641ÿ_0Rev_In_Ca">#REF!</definedName>
    <definedName name="_642ÿ_0Rev_In_Ca" localSheetId="19">#REF!</definedName>
    <definedName name="_642ÿ_0Rev_In_Ca" localSheetId="18">#REF!</definedName>
    <definedName name="_642ÿ_0Rev_In_Ca">#REF!</definedName>
    <definedName name="_659ÿ_0Tot_Fixed_Ass" localSheetId="19">#REF!</definedName>
    <definedName name="_659ÿ_0Tot_Fixed_Ass" localSheetId="18">#REF!</definedName>
    <definedName name="_659ÿ_0Tot_Fixed_Ass">#REF!</definedName>
    <definedName name="_65ÿ_0CAPEX_" localSheetId="19">#REF!</definedName>
    <definedName name="_65ÿ_0CAPEX_" localSheetId="18">#REF!</definedName>
    <definedName name="_65ÿ_0CAPEX_">#REF!</definedName>
    <definedName name="_660ÿ_0Tot_Fixed_Ass" localSheetId="19">#REF!</definedName>
    <definedName name="_660ÿ_0Tot_Fixed_Ass" localSheetId="18">#REF!</definedName>
    <definedName name="_660ÿ_0Tot_Fixed_Ass">#REF!</definedName>
    <definedName name="_66ÿ_0CAPEX_" localSheetId="19">#REF!</definedName>
    <definedName name="_66ÿ_0CAPEX_" localSheetId="18">#REF!</definedName>
    <definedName name="_66ÿ_0CAPEX_">#REF!</definedName>
    <definedName name="_6ÿ_0CAPEX_" localSheetId="19">#REF!</definedName>
    <definedName name="_6ÿ_0CAPEX_" localSheetId="18">#REF!</definedName>
    <definedName name="_6ÿ_0CAPEX_">#REF!</definedName>
    <definedName name="_7ÿ_0CAPEX_billing_VMS_" localSheetId="19">#REF!</definedName>
    <definedName name="_7ÿ_0CAPEX_billing_VMS_" localSheetId="18">#REF!</definedName>
    <definedName name="_7ÿ_0CAPEX_billing_VMS_">#REF!</definedName>
    <definedName name="_83ÿ_0CAPEX_billing_VMS_" localSheetId="19">#REF!</definedName>
    <definedName name="_83ÿ_0CAPEX_billing_VMS_" localSheetId="18">#REF!</definedName>
    <definedName name="_83ÿ_0CAPEX_billing_VMS_">#REF!</definedName>
    <definedName name="_84ÿ_0CAPEX_billing_VMS_" localSheetId="19">#REF!</definedName>
    <definedName name="_84ÿ_0CAPEX_billing_VMS_" localSheetId="18">#REF!</definedName>
    <definedName name="_84ÿ_0CAPEX_billing_VMS_">#REF!</definedName>
    <definedName name="_8ÿ_0CAPEX_Civil_Wo" localSheetId="19">#REF!</definedName>
    <definedName name="_8ÿ_0CAPEX_Civil_Wo" localSheetId="18">#REF!</definedName>
    <definedName name="_8ÿ_0CAPEX_Civil_Wo">#REF!</definedName>
    <definedName name="_9ÿ_0CAPEX_computer_softw" localSheetId="19">#REF!</definedName>
    <definedName name="_9ÿ_0CAPEX_computer_softw" localSheetId="18">#REF!</definedName>
    <definedName name="_9ÿ_0CAPEX_computer_softw">#REF!</definedName>
    <definedName name="_Acq1" localSheetId="19">#REF!</definedName>
    <definedName name="_Acq1" localSheetId="18">#REF!</definedName>
    <definedName name="_Acq1">#REF!</definedName>
    <definedName name="_Acq2" localSheetId="19">#REF!</definedName>
    <definedName name="_Acq2" localSheetId="18">#REF!</definedName>
    <definedName name="_Acq2">#REF!</definedName>
    <definedName name="_Acq3" localSheetId="19">#REF!</definedName>
    <definedName name="_Acq3" localSheetId="18">#REF!</definedName>
    <definedName name="_Acq3">#REF!</definedName>
    <definedName name="_Acq4" localSheetId="19">#REF!</definedName>
    <definedName name="_Acq4" localSheetId="18">#REF!</definedName>
    <definedName name="_Acq4">#REF!</definedName>
    <definedName name="_aud2" localSheetId="19">[5]Sensetivities!#REF!</definedName>
    <definedName name="_aud2" localSheetId="18">[5]Sensetivities!#REF!</definedName>
    <definedName name="_aud2">[5]Sensetivities!#REF!</definedName>
    <definedName name="_Avr2006" localSheetId="19">#REF!</definedName>
    <definedName name="_Avr2006" localSheetId="18">#REF!</definedName>
    <definedName name="_Avr2006">#REF!</definedName>
    <definedName name="_bb1"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2"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3"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3"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2"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Ta1">[18]BT1!$A$8:$Q$88</definedName>
    <definedName name="_BTa2">[18]BT2!$B$9:$X$57</definedName>
    <definedName name="_BTM1">[18]Multmod!$D$5:$G$6</definedName>
    <definedName name="_BTM2">[18]Multmod!$D$7:$G$8</definedName>
    <definedName name="_BTM3">[18]Multmod!$D$9:$G$10</definedName>
    <definedName name="_BTM4">[18]Multmod!$D$11:$G$11</definedName>
    <definedName name="_BTM5">[18]Multmod!$C$12:$G$21</definedName>
    <definedName name="_con1">[19]ConsensusSummary!$D$8:$F$10</definedName>
    <definedName name="_con10">[19]ConsensusData!$Q$105:$S$120</definedName>
    <definedName name="_con11">[19]ConsensusData!$Q$123:$S$128</definedName>
    <definedName name="_con12">[19]ConsensusData!$Q$131:$S$150</definedName>
    <definedName name="_con13">[19]ConsensusSummary!$D$112:$F$114</definedName>
    <definedName name="_con14">[19]ConsensusSummary!$D$120:$F$122</definedName>
    <definedName name="_con15">[19]ConsensusSummary!$D$164:$F$166</definedName>
    <definedName name="_con16">[19]ConsensusSummary!$D$172:$F$174</definedName>
    <definedName name="_con2">[19]ConsensusSummary!$D$16:$F$18</definedName>
    <definedName name="_con3">[19]ConsensusSummary!$D$60:$F$62</definedName>
    <definedName name="_con4">[19]ConsensusSummary!$D$68:$F$70</definedName>
    <definedName name="_con5">[19]ConsensusData!$Q$24:$S$28</definedName>
    <definedName name="_con6">[19]ConsensusData!$Q$31:$S$45</definedName>
    <definedName name="_con7">[19]ConsensusData!$Q$48:$S$53</definedName>
    <definedName name="_con8">[19]ConsensusData!$Q$56:$S$75</definedName>
    <definedName name="_con9">[19]ConsensusData!$Q$98:$S$102</definedName>
    <definedName name="_cov1" localSheetId="19">#REF!</definedName>
    <definedName name="_cov1" localSheetId="18">#REF!</definedName>
    <definedName name="_cov1">#REF!</definedName>
    <definedName name="_cov2" localSheetId="19">#REF!</definedName>
    <definedName name="_cov2" localSheetId="18">#REF!</definedName>
    <definedName name="_cov2">#REF!</definedName>
    <definedName name="_cov3" localSheetId="19">#REF!</definedName>
    <definedName name="_cov3" localSheetId="18">#REF!</definedName>
    <definedName name="_cov3">#REF!</definedName>
    <definedName name="_cov4" localSheetId="19">#REF!</definedName>
    <definedName name="_cov4" localSheetId="18">#REF!</definedName>
    <definedName name="_cov4">#REF!</definedName>
    <definedName name="_das2" localSheetId="18"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_das2"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_DCF1" localSheetId="18" hidden="1">{#N/A,#N/A,FALSE,"DCF Summary";#N/A,#N/A,FALSE,"Casema";#N/A,#N/A,FALSE,"Casema NoTel";#N/A,#N/A,FALSE,"UK";#N/A,#N/A,FALSE,"RCF";#N/A,#N/A,FALSE,"Intercable CZ";#N/A,#N/A,FALSE,"Interkabel P"}</definedName>
    <definedName name="_DCF1" hidden="1">{#N/A,#N/A,FALSE,"DCF Summary";#N/A,#N/A,FALSE,"Casema";#N/A,#N/A,FALSE,"Casema NoTel";#N/A,#N/A,FALSE,"UK";#N/A,#N/A,FALSE,"RCF";#N/A,#N/A,FALSE,"Intercable CZ";#N/A,#N/A,FALSE,"Interkabel P"}</definedName>
    <definedName name="_dd2">'[20]OPERATIONS - STATISTICS EV'!$A$26:$IV$26</definedName>
    <definedName name="_DTa1">[18]DT1!$A$8:$Q$87</definedName>
    <definedName name="_DTa2">[18]DT2!$B$9:$X$64</definedName>
    <definedName name="_DTM1">[18]Multmod!$D$25:$G$26</definedName>
    <definedName name="_DTM2">[18]Multmod!$D$27:$G$28</definedName>
    <definedName name="_DTM3">[18]Multmod!$D$29:$G$30</definedName>
    <definedName name="_DTM4">[18]Multmod!$D$31:$G$31</definedName>
    <definedName name="_DTM5">[18]Multmod!$C$32:$G$41</definedName>
    <definedName name="_DTy97">[7]Fixed!$O$80</definedName>
    <definedName name="_DTy98">[7]Fixed!$O$81</definedName>
    <definedName name="_EPS01">[8]FS!$H$66</definedName>
    <definedName name="_EPS02">[9]FS!$I$66</definedName>
    <definedName name="_EPS03">[9]FS!$J$66</definedName>
    <definedName name="_EPS98">[8]FS!$E$66</definedName>
    <definedName name="_EPS99">[8]FS!$F$66</definedName>
    <definedName name="_Fev2006" localSheetId="19">#REF!</definedName>
    <definedName name="_Fev2006" localSheetId="18">#REF!</definedName>
    <definedName name="_Fev2006">#REF!</definedName>
    <definedName name="_xlnm._FilterDatabase" localSheetId="2" hidden="1">Fixed!$B$52:$Z$52</definedName>
    <definedName name="_FTa1">[21]FT1!$A$8:$Q$87</definedName>
    <definedName name="_FTa2">[21]FT2!$B$9:$X$56</definedName>
    <definedName name="_FTM1">[21]Multmod!$D$45:$G$46</definedName>
    <definedName name="_FTM2">[21]Multmod!$D$47:$G$48</definedName>
    <definedName name="_FTM3">[21]Multmod!$D$49:$G$50</definedName>
    <definedName name="_FTM4">[21]Multmod!$D$51:$G$51</definedName>
    <definedName name="_FTM5">[21]Multmod!$C$52:$G$61</definedName>
    <definedName name="_gro1" localSheetId="19">'[10]Fixed assets'!#REF!</definedName>
    <definedName name="_gro1">'[10]Fixed assets'!#REF!</definedName>
    <definedName name="_gro3" localSheetId="19">'[10]Fixed assets'!#REF!</definedName>
    <definedName name="_gro3">'[10]Fixed assets'!#REF!</definedName>
    <definedName name="_gro4" localSheetId="19">'[10]Fixed assets'!#REF!</definedName>
    <definedName name="_gro4">'[10]Fixed assets'!#REF!</definedName>
    <definedName name="_gwp94">'[10]Balance-Pre'!$B$19</definedName>
    <definedName name="_Imm01" localSheetId="19">[11]Ingresos!#REF!</definedName>
    <definedName name="_Imm01">[11]Ingresos!#REF!</definedName>
    <definedName name="_Imm02" localSheetId="19">[11]Ingresos!#REF!</definedName>
    <definedName name="_Imm02">[11]Ingresos!#REF!</definedName>
    <definedName name="_Imm03" localSheetId="19">[11]Ingresos!#REF!</definedName>
    <definedName name="_Imm03">[11]Ingresos!#REF!</definedName>
    <definedName name="_Imm04" localSheetId="19">[11]Ingresos!#REF!</definedName>
    <definedName name="_Imm04">[11]Ingresos!#REF!</definedName>
    <definedName name="_Imm05" localSheetId="19">[11]Ingresos!#REF!</definedName>
    <definedName name="_Imm05">[11]Ingresos!#REF!</definedName>
    <definedName name="_Imm06" localSheetId="19">[11]Ingresos!#REF!</definedName>
    <definedName name="_Imm06">[11]Ingresos!#REF!</definedName>
    <definedName name="_Imm07" localSheetId="19">[11]Ingresos!#REF!</definedName>
    <definedName name="_Imm07">[11]Ingresos!#REF!</definedName>
    <definedName name="_Imm08" localSheetId="19">[11]Ingresos!#REF!</definedName>
    <definedName name="_Imm08">[11]Ingresos!#REF!</definedName>
    <definedName name="_Imm09" localSheetId="19">[11]Ingresos!#REF!</definedName>
    <definedName name="_Imm09">[11]Ingresos!#REF!</definedName>
    <definedName name="_Imm95" localSheetId="19">[11]Ingresos!#REF!</definedName>
    <definedName name="_Imm95">[11]Ingresos!#REF!</definedName>
    <definedName name="_Imm96" localSheetId="19">[11]Ingresos!#REF!</definedName>
    <definedName name="_Imm96">[11]Ingresos!#REF!</definedName>
    <definedName name="_Imm97" localSheetId="19">[11]Ingresos!#REF!</definedName>
    <definedName name="_Imm97">[11]Ingresos!#REF!</definedName>
    <definedName name="_Imm98" localSheetId="19">[11]Ingresos!#REF!</definedName>
    <definedName name="_Imm98">[11]Ingresos!#REF!</definedName>
    <definedName name="_Imm99" localSheetId="19">[11]Ingresos!#REF!</definedName>
    <definedName name="_Imm99">[11]Ingresos!#REF!</definedName>
    <definedName name="_Jan2006" localSheetId="19">#REF!</definedName>
    <definedName name="_Jan2006" localSheetId="18">#REF!</definedName>
    <definedName name="_Jan2006">#REF!</definedName>
    <definedName name="_Jun2006" localSheetId="19">#REF!</definedName>
    <definedName name="_Jun2006" localSheetId="18">#REF!</definedName>
    <definedName name="_Jun2006">#REF!</definedName>
    <definedName name="_Key1" localSheetId="19" hidden="1">#REF!</definedName>
    <definedName name="_Key1" localSheetId="18" hidden="1">#REF!</definedName>
    <definedName name="_Key1" hidden="1">#REF!</definedName>
    <definedName name="_L" localSheetId="19">'[22]Fleet &amp; Costs'!#REF!</definedName>
    <definedName name="_L" localSheetId="18">'[22]Fleet &amp; Costs'!#REF!</definedName>
    <definedName name="_L">'[22]Fleet &amp; Costs'!#REF!</definedName>
    <definedName name="_Mai2006" localSheetId="19">#REF!</definedName>
    <definedName name="_Mai2006" localSheetId="18">#REF!</definedName>
    <definedName name="_Mai2006">#REF!</definedName>
    <definedName name="_Mar2006" localSheetId="19">#REF!</definedName>
    <definedName name="_Mar2006" localSheetId="18">#REF!</definedName>
    <definedName name="_Mar2006">#REF!</definedName>
    <definedName name="_nav94">'[10]Balance-Pre'!$G$19</definedName>
    <definedName name="_nd97">[13]Parent!$E$342</definedName>
    <definedName name="_nd99">[13]Parent!$G$342</definedName>
    <definedName name="_NI01">[9]FS!$H$62</definedName>
    <definedName name="_NI02">[9]FS!$I$62</definedName>
    <definedName name="_NI03">[9]FS!$J$62</definedName>
    <definedName name="_NI98">[9]FS!$E$62</definedName>
    <definedName name="_NI99">[9]FS!$F$62</definedName>
    <definedName name="_op2" localSheetId="19">[5]Sensetivities!#REF!</definedName>
    <definedName name="_op2">[5]Sensetivities!#REF!</definedName>
    <definedName name="_Order1" hidden="1">0</definedName>
    <definedName name="_Order2" hidden="1">0</definedName>
    <definedName name="_pe94">'[10]Balance-Pre'!$D$19</definedName>
    <definedName name="_pe95">'[10]Balance-Pre'!$E$19</definedName>
    <definedName name="_PTa1">[18]PT1!$A$8:$Q$87</definedName>
    <definedName name="_PTa2">[18]PT2!$B$9:$X$59</definedName>
    <definedName name="_PTM1">[18]Multmod!$D$105:$G$106</definedName>
    <definedName name="_PTM2">[18]Multmod!$D$107:$G$108</definedName>
    <definedName name="_PTM3">[18]Multmod!$D$109:$G$110</definedName>
    <definedName name="_PTM4">[18]Multmod!$D$111:$G$111</definedName>
    <definedName name="_PTM5">[18]Multmod!$C$112:$G$122</definedName>
    <definedName name="_PTy97">[7]Fixed!$O$110</definedName>
    <definedName name="_PTy98">[7]Fixed!$O$111</definedName>
    <definedName name="_Table1_In1" localSheetId="19" hidden="1">'[4]#REF'!#REF!</definedName>
    <definedName name="_Table1_In1" hidden="1">'[4]#REF'!#REF!</definedName>
    <definedName name="_Table1_Out" hidden="1">'[4]#REF'!$Q$47:$R$52</definedName>
    <definedName name="_Table2_In1" localSheetId="19" hidden="1">'[4]#REF'!#REF!</definedName>
    <definedName name="_Table2_In1" hidden="1">'[4]#REF'!#REF!</definedName>
    <definedName name="_Table2_In2" hidden="1">'[4]#REF'!$M$14</definedName>
    <definedName name="_Table2_Out" hidden="1">'[4]#REF'!$C$11:$I$22</definedName>
    <definedName name="_TDy97">[7]Fixed!$O$71</definedName>
    <definedName name="_TIa1">[18]TI1!$A$8:$Q$87</definedName>
    <definedName name="_TIa2">[18]TI2!$B$9:$X$59</definedName>
    <definedName name="_TIy97" localSheetId="19">[7]Fixed!#REF!</definedName>
    <definedName name="_TIy97">[7]Fixed!#REF!</definedName>
    <definedName name="_TIy98" localSheetId="19">[7]Fixed!#REF!</definedName>
    <definedName name="_TIy98">[7]Fixed!#REF!</definedName>
    <definedName name="_TVA15">'[23]STATS LUX 2008 2009'!$A$9:$IV$9</definedName>
    <definedName name="_TVA20" localSheetId="19">#REF!</definedName>
    <definedName name="_TVA20" localSheetId="18">#REF!</definedName>
    <definedName name="_TVA20">#REF!</definedName>
    <definedName name="_TVA5" localSheetId="19">#REF!</definedName>
    <definedName name="_TVA5" localSheetId="18">#REF!</definedName>
    <definedName name="_TVA5">#REF!</definedName>
    <definedName name="_UP" localSheetId="19">#REF!</definedName>
    <definedName name="_UP" localSheetId="18">#REF!</definedName>
    <definedName name="_UP">#REF!</definedName>
    <definedName name="_VAT20" localSheetId="19">#REF!</definedName>
    <definedName name="_VAT20" localSheetId="18">#REF!</definedName>
    <definedName name="_VAT20">#REF!</definedName>
    <definedName name="_VAT5" localSheetId="19">#REF!</definedName>
    <definedName name="_VAT5" localSheetId="18">#REF!</definedName>
    <definedName name="_VAT5">#REF!</definedName>
    <definedName name="_war1" localSheetId="19">#REF!</definedName>
    <definedName name="_war1" localSheetId="18">#REF!</definedName>
    <definedName name="_war1">#REF!</definedName>
    <definedName name="_war2" localSheetId="19">#REF!</definedName>
    <definedName name="_war2" localSheetId="18">#REF!</definedName>
    <definedName name="_war2">#REF!</definedName>
    <definedName name="_X1" localSheetId="19">#REF!</definedName>
    <definedName name="_X1" localSheetId="18">#REF!</definedName>
    <definedName name="_X1">#REF!</definedName>
    <definedName name="_X2" localSheetId="19">#REF!</definedName>
    <definedName name="_X2" localSheetId="18">#REF!</definedName>
    <definedName name="_X2">#REF!</definedName>
    <definedName name="_xEV2">'[24]Statistics operations'!$A$129:$IV$129</definedName>
    <definedName name="_xf2"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xf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Y2" localSheetId="19">#REF!</definedName>
    <definedName name="_Y2">#REF!</definedName>
    <definedName name="_yr1996" localSheetId="19">#REF!</definedName>
    <definedName name="_yr1996" localSheetId="18">#REF!</definedName>
    <definedName name="_yr1996">#REF!</definedName>
    <definedName name="_ZPrint" localSheetId="18">{0;0;0;0;1;#N/A;0.393700787401575;0.393700787401575;0.590551181102362;0.590551181102362;2;FALSE;FALSE;FALSE;FALSE;FALSE;#N/A;1;75;#N/A;#N/A;"";""}</definedName>
    <definedName name="_ZPrint">{0;0;0;0;1;#N/A;0.393700787401575;0.393700787401575;0.590551181102362;0.590551181102362;2;FALSE;FALSE;FALSE;FALSE;FALSE;#N/A;1;75;#N/A;#N/A;"";""}</definedName>
    <definedName name="A" localSheetId="19">'[25]Fleet &amp; Costs'!#REF!</definedName>
    <definedName name="A">'[25]Fleet &amp; Costs'!#REF!</definedName>
    <definedName name="A1_">[26]A!$A$1:$K$126</definedName>
    <definedName name="aa"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aa"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AAA" localSheetId="18" hidden="1">{0,0,0,0;TRUE,#N/A,0,0;0,0,0,0;0,0,0,0;0,0,0,0;0,0,0,0;0,0,0,0;0,0,0,0;0,0,0,0;0,0,0,0;#N/A,#N/A,FALSE,0;#N/A,#N/A,FALSE,0;#N/A,#N/A,FALSE,0;#N/A,#N/A,FALSE,0;#N/A,#N/A,FALSE,0;#N/A,#N/A,FALSE,0;#N/A,#N/A,FALSE,0;#N/A,#N/A,FALSE,0}</definedName>
    <definedName name="AAA" hidden="1">{0,0,0,0;TRUE,#N/A,0,0;0,0,0,0;0,0,0,0;0,0,0,0;0,0,0,0;0,0,0,0;0,0,0,0;0,0,0,0;0,0,0,0;#N/A,#N/A,FALSE,0;#N/A,#N/A,FALSE,0;#N/A,#N/A,FALSE,0;#N/A,#N/A,FALSE,0;#N/A,#N/A,FALSE,0;#N/A,#N/A,FALSE,0;#N/A,#N/A,FALSE,0;#N/A,#N/A,FALSE,0}</definedName>
    <definedName name="AAA_DOCTOPS" hidden="1">"AAA_SET"</definedName>
    <definedName name="AAA_duser" hidden="1">"OFF"</definedName>
    <definedName name="AAAAAA" localSheetId="18" hidden="1">{0,0,0,0;0,0,0,0;0,0,0,0;0,0,0,0;0,0,0,0;0,0,0,0;0,0,0,0;0,0,0,0;0,0,0,0;0,0,0,0;0,0,0,0;0,0,0,0;#VALUE!,#VALUE!,TRUE,0;0,#VALUE!,TRUE,0;"000A1750","BERNAROYAT","PHILIPPE","SIEGE";91,"NC NUMERICABLE ILE-DE-FRANCE","INFORMATIQUE",0;0,0,0,0;0,0,0,0}</definedName>
    <definedName name="AAAAAA" hidden="1">{0,0,0,0;0,0,0,0;0,0,0,0;0,0,0,0;0,0,0,0;0,0,0,0;0,0,0,0;0,0,0,0;0,0,0,0;0,0,0,0;0,0,0,0;0,0,0,0;#VALUE!,#VALUE!,TRUE,0;0,#VALUE!,TRUE,0;"000A1750","BERNAROYAT","PHILIPPE","SIEGE";91,"NC NUMERICABLE ILE-DE-FRANCE","INFORMATIQUE",0;0,0,0,0;0,0,0,0}</definedName>
    <definedName name="AAAAAAAAA" localSheetId="18" hidden="1">{0,0,0,0;0,0,0,0;0,0,0,0;0,0,0,0;0,0,0,0;0,0,0,0;"000A1038","MORIZUR","OLIVIER","BORDEAUX";91,"NC NUMERICABLE ILE-DE-FRANCE","VAD CONSEILLERS","FLAICHER";"SUOU500001",100,38628,"CONSEILLER(E) COM.";"TSM","D","CDI",151.57;1217.88,587.6,0,0;0,0,0,0;0,0,0,0;0,0,0,0;0,0,0,0;0,0,0,131.16;0,0,1217.88,0;0,0,0,0}</definedName>
    <definedName name="AAAAAAAAA" hidden="1">{0,0,0,0;0,0,0,0;0,0,0,0;0,0,0,0;0,0,0,0;0,0,0,0;"000A1038","MORIZUR","OLIVIER","BORDEAUX";91,"NC NUMERICABLE ILE-DE-FRANCE","VAD CONSEILLERS","FLAICHER";"SUOU500001",100,38628,"CONSEILLER(E) COM.";"TSM","D","CDI",151.57;1217.88,587.6,0,0;0,0,0,0;0,0,0,0;0,0,0,0;0,0,0,0;0,0,0,131.16;0,0,1217.88,0;0,0,0,0}</definedName>
    <definedName name="AAAAAAAAAAAA" localSheetId="18" hidden="1">{0,0,0,0;0,0,0,0;0,0,0,#VALUE!;0,0,0,0;0,0,0,0;0,0,0,0;0,0,0,0;0,0,0,0;0,0,0,0;0,0,0,0;0,0,0,0;0,0,0,0;#N/A,#N/A,FALSE,0;#N/A,#N/A,FALSE,0;#N/A,#N/A,FALSE,0;#N/A,#N/A,FALSE,0;#N/A,#N/A,FALSE,0;#N/A,#N/A,FALSE,0}</definedName>
    <definedName name="AAAAAAAAAAAA" hidden="1">{0,0,0,0;0,0,0,0;0,0,0,#VALUE!;0,0,0,0;0,0,0,0;0,0,0,0;0,0,0,0;0,0,0,0;0,0,0,0;0,0,0,0;0,0,0,0;0,0,0,0;#N/A,#N/A,FALSE,0;#N/A,#N/A,FALSE,0;#N/A,#N/A,FALSE,0;#N/A,#N/A,FALSE,0;#N/A,#N/A,FALSE,0;#N/A,#N/A,FALSE,0}</definedName>
    <definedName name="AAB_Addin5" hidden="1">"AAB_Description for addin 5,Description for addin 5,Description for addin 5,Description for addin 5,Description for addin 5,Description for addin 5"</definedName>
    <definedName name="aafd" localSheetId="19">#REF!</definedName>
    <definedName name="aafd">#REF!</definedName>
    <definedName name="AB" localSheetId="19">'[25]Fleet &amp; Costs'!#REF!</definedName>
    <definedName name="AB">'[25]Fleet &amp; Costs'!#REF!</definedName>
    <definedName name="Abderrahmane__Aissa" localSheetId="19">#REF!</definedName>
    <definedName name="Abderrahmane__Aissa" localSheetId="18">#REF!</definedName>
    <definedName name="Abderrahmane__Aissa">#REF!</definedName>
    <definedName name="AbilityToPay">#N/A</definedName>
    <definedName name="AbilityToPayCalc">#N/A</definedName>
    <definedName name="AC" localSheetId="19">'[25]Fleet &amp; Costs'!#REF!</definedName>
    <definedName name="AC" localSheetId="18">'[25]Fleet &amp; Costs'!#REF!</definedName>
    <definedName name="AC">'[25]Fleet &amp; Costs'!#REF!</definedName>
    <definedName name="Acquired">[27]INPUT!$E$17</definedName>
    <definedName name="actax" localSheetId="19">'[25]Fleet &amp; Costs'!#REF!</definedName>
    <definedName name="actax">'[25]Fleet &amp; Costs'!#REF!</definedName>
    <definedName name="Actif">[28]ACTIF!$D$6:$D$13,[28]ACTIF!$F$6:$F$13,[28]ACTIF!$D$15:$D$20,[28]ACTIF!$F$15:$F$20,[28]ACTIF!$D$22:$D$34,[28]ACTIF!$F$22:$F$34,[28]ACTIF!$D$37:$D$40,[28]ACTIF!$F$37:$F$40,[28]ACTIF!$D$42:$D$45,[28]ACTIF!$F$42:$F$45,[28]ACTIF!$D$47:$D$57,[28]ACTIF!$F$47:$F$57,[28]ACTIF!$D$59:$D$60,[28]ACTIF!$F$59:$F$60</definedName>
    <definedName name="AD" localSheetId="19">'[25]Fleet &amp; Costs'!#REF!</definedName>
    <definedName name="AD" localSheetId="18">'[25]Fleet &amp; Costs'!#REF!</definedName>
    <definedName name="AD">'[25]Fleet &amp; Costs'!#REF!</definedName>
    <definedName name="Adjustment_factor" localSheetId="19">#REF!</definedName>
    <definedName name="Adjustment_factor" localSheetId="18">#REF!</definedName>
    <definedName name="Adjustment_factor">#REF!</definedName>
    <definedName name="AE" localSheetId="19">'[25]Fleet &amp; Costs'!#REF!</definedName>
    <definedName name="AE" localSheetId="18">'[25]Fleet &amp; Costs'!#REF!</definedName>
    <definedName name="AE">'[25]Fleet &amp; Costs'!#REF!</definedName>
    <definedName name="AE_export_1">[18]Aggregate!$A$991:$S$1007</definedName>
    <definedName name="AE_export_10">[18]Aggregate!$A$1908:$S$1924</definedName>
    <definedName name="AE_export_11">[18]Aggregate!$A$1889:$S$1905</definedName>
    <definedName name="AE_export_12">[18]Aggregate!$A$1775:$S$1791</definedName>
    <definedName name="AE_export_2">[18]Aggregate!$A$1276:$S$1292</definedName>
    <definedName name="AE_export_3">[18]Aggregate!$A$1371:$S$1387</definedName>
    <definedName name="AE_export_4">[18]Aggregate!$A$1295:$S$1311</definedName>
    <definedName name="AE_export_5">[18]Aggregate!$A$1352:$S$1368</definedName>
    <definedName name="AE_export_6">[18]Aggregate!$A$1143:$S$1159</definedName>
    <definedName name="AE_export_7">[18]Aggregate!$A$1585:$S$1601</definedName>
    <definedName name="AE_export_8">[18]Aggregate!$A$1604:$S$1620</definedName>
    <definedName name="AE_export_9">[18]Aggregate!$A$1870:$S$1886</definedName>
    <definedName name="AF" localSheetId="19">'[25]Fleet &amp; Costs'!#REF!</definedName>
    <definedName name="AF">'[25]Fleet &amp; Costs'!#REF!</definedName>
    <definedName name="AGGINCUMB1">[18]GEORGE1!$A$8:$R$86</definedName>
    <definedName name="AGGSOLUTIONS1" localSheetId="19">#REF!</definedName>
    <definedName name="AGGSOLUTIONS1" localSheetId="18">#REF!</definedName>
    <definedName name="AGGSOLUTIONS1">#REF!</definedName>
    <definedName name="ak" localSheetId="19">#REF!</definedName>
    <definedName name="ak" localSheetId="18">#REF!</definedName>
    <definedName name="ak">#REF!</definedName>
    <definedName name="Alarçon__François" localSheetId="19">#REF!</definedName>
    <definedName name="Alarçon__François" localSheetId="18">#REF!</definedName>
    <definedName name="Alarçon__François">#REF!</definedName>
    <definedName name="Albertini__Christian" localSheetId="19">#REF!</definedName>
    <definedName name="Albertini__Christian" localSheetId="18">#REF!</definedName>
    <definedName name="Albertini__Christian">#REF!</definedName>
    <definedName name="Alcantara" localSheetId="19">#REF!</definedName>
    <definedName name="Alcantara" localSheetId="18">#REF!</definedName>
    <definedName name="Alcantara">#REF!</definedName>
    <definedName name="alternative">[29]Assumptions!$D$1</definedName>
    <definedName name="Altice.voice.termination.rate" localSheetId="19">#REF!</definedName>
    <definedName name="Altice.voice.termination.rate" localSheetId="18">#REF!</definedName>
    <definedName name="Altice.voice.termination.rate">#REF!</definedName>
    <definedName name="AM_HY">[27]INPUT!$D$88</definedName>
    <definedName name="AM_Interco">[27]INPUT!$K$84</definedName>
    <definedName name="AM_JunMezz">[27]INPUT!$D$87</definedName>
    <definedName name="AM_Newco">[27]INPUT!$K$85</definedName>
    <definedName name="AM_Refinanced">[27]INPUT!$D$76</definedName>
    <definedName name="AM_SeniorA">[27]INPUT!$D$83</definedName>
    <definedName name="AM_SeniorB">[27]INPUT!$D$84</definedName>
    <definedName name="AM_SeniorC">[27]INPUT!$D$85</definedName>
    <definedName name="AM_SenMezz">[27]INPUT!$D$86</definedName>
    <definedName name="AM_Sh1">'[27]Share price analysis'!$D$96</definedName>
    <definedName name="AM_Sh2">[27]INPUT!$D$97</definedName>
    <definedName name="AM_Sh3">[27]INPUT!$D$98</definedName>
    <definedName name="AM_ShareLoan">[27]INPUT!$D$93</definedName>
    <definedName name="AM_Target">[27]INPUT!$K$76</definedName>
    <definedName name="AM_Vendor">[27]INPUT!$D$92</definedName>
    <definedName name="Ambert__Jacques" localSheetId="19">#REF!</definedName>
    <definedName name="Ambert__Jacques" localSheetId="18">#REF!</definedName>
    <definedName name="Ambert__Jacques">#REF!</definedName>
    <definedName name="Amena.enabled" localSheetId="19">#REF!</definedName>
    <definedName name="Amena.enabled" localSheetId="18">#REF!</definedName>
    <definedName name="Amena.enabled">#REF!</definedName>
    <definedName name="Amena_FinancialAssumptions" localSheetId="19">#REF!</definedName>
    <definedName name="Amena_FinancialAssumptions" localSheetId="18">#REF!</definedName>
    <definedName name="Amena_FinancialAssumptions">#REF!</definedName>
    <definedName name="amort" localSheetId="19">#REF!</definedName>
    <definedName name="amort" localSheetId="18">#REF!</definedName>
    <definedName name="amort">#REF!</definedName>
    <definedName name="AmortJun">[27]INPUT!$E$226:$F$228</definedName>
    <definedName name="AmortSen">[27]INPUT!$E$221:$F$224</definedName>
    <definedName name="AmortTarget">'[27]Share price analysis'!$E$217:$F$219</definedName>
    <definedName name="Amount_Borrowed_by_Subsidiary" localSheetId="19">[3]Main!#REF!</definedName>
    <definedName name="Amount_Borrowed_by_Subsidiary">[3]Main!#REF!</definedName>
    <definedName name="Anarakdim_Belkacem" localSheetId="19">#REF!</definedName>
    <definedName name="Anarakdim_Belkacem" localSheetId="18">#REF!</definedName>
    <definedName name="Anarakdim_Belkacem">#REF!</definedName>
    <definedName name="Aniquet__Michel" localSheetId="19">#REF!</definedName>
    <definedName name="Aniquet__Michel" localSheetId="18">#REF!</definedName>
    <definedName name="Aniquet__Michel">#REF!</definedName>
    <definedName name="ANNEE" localSheetId="19">#REF!</definedName>
    <definedName name="ANNEE" localSheetId="18">#REF!</definedName>
    <definedName name="ANNEE">#REF!</definedName>
    <definedName name="année" localSheetId="19">#REF!</definedName>
    <definedName name="année" localSheetId="18">#REF!</definedName>
    <definedName name="année">#REF!</definedName>
    <definedName name="anscount" hidden="1">1</definedName>
    <definedName name="Anxionnaz__Michel" localSheetId="19">#REF!</definedName>
    <definedName name="Anxionnaz__Michel" localSheetId="18">#REF!</definedName>
    <definedName name="Anxionnaz__Michel">#REF!</definedName>
    <definedName name="Anzanni_Daniel" localSheetId="19">#REF!</definedName>
    <definedName name="Anzanni_Daniel" localSheetId="18">#REF!</definedName>
    <definedName name="Anzanni_Daniel">#REF!</definedName>
    <definedName name="APP" localSheetId="19">#REF!</definedName>
    <definedName name="APP" localSheetId="18">#REF!</definedName>
    <definedName name="APP">#REF!</definedName>
    <definedName name="Aquino__Rocco" localSheetId="19">#REF!</definedName>
    <definedName name="Aquino__Rocco" localSheetId="18">#REF!</definedName>
    <definedName name="Aquino__Rocco">#REF!</definedName>
    <definedName name="Area_Coverage" localSheetId="19">'[10]Cashflow-Post'!#REF!</definedName>
    <definedName name="Area_Coverage" localSheetId="18">'[10]Cashflow-Post'!#REF!</definedName>
    <definedName name="Area_Coverage">'[10]Cashflow-Post'!#REF!</definedName>
    <definedName name="Area_Covered" localSheetId="19">'[10]Cashflow-Post'!#REF!</definedName>
    <definedName name="Area_Covered" localSheetId="18">'[10]Cashflow-Post'!#REF!</definedName>
    <definedName name="Area_Covered">'[10]Cashflow-Post'!#REF!</definedName>
    <definedName name="aRG" localSheetId="19">#REF!</definedName>
    <definedName name="aRG" localSheetId="18">#REF!</definedName>
    <definedName name="aRG">#REF!</definedName>
    <definedName name="Asat">[10]Macros!$C$13</definedName>
    <definedName name="Asat2">[10]Macros!$C$18</definedName>
    <definedName name="asd" localSheetId="18" hidden="1">{#N/A,#N/A,FALSE,"DCF Summary";#N/A,#N/A,FALSE,"Casema";#N/A,#N/A,FALSE,"Casema NoTel";#N/A,#N/A,FALSE,"UK";#N/A,#N/A,FALSE,"RCF";#N/A,#N/A,FALSE,"Intercable CZ";#N/A,#N/A,FALSE,"Interkabel P"}</definedName>
    <definedName name="asd" hidden="1">{#N/A,#N/A,FALSE,"DCF Summary";#N/A,#N/A,FALSE,"Casema";#N/A,#N/A,FALSE,"Casema NoTel";#N/A,#N/A,FALSE,"UK";#N/A,#N/A,FALSE,"RCF";#N/A,#N/A,FALSE,"Intercable CZ";#N/A,#N/A,FALSE,"Interkabel P"}</definedName>
    <definedName name="asset" localSheetId="19">#REF!</definedName>
    <definedName name="asset">#REF!</definedName>
    <definedName name="assoc" localSheetId="19">#REF!</definedName>
    <definedName name="assoc" localSheetId="18">#REF!</definedName>
    <definedName name="assoc">#REF!</definedName>
    <definedName name="ASSUMPTIONS_P">[10]A!$A$1:$V$54</definedName>
    <definedName name="AssumptionSwitch" localSheetId="19">'[10]Balance-Post'!#REF!</definedName>
    <definedName name="AssumptionSwitch">'[10]Balance-Post'!#REF!</definedName>
    <definedName name="Astreinte__Kaminski" localSheetId="19">#REF!</definedName>
    <definedName name="Astreinte__Kaminski" localSheetId="18">#REF!</definedName>
    <definedName name="Astreinte__Kaminski">#REF!</definedName>
    <definedName name="ASTREINTE_INFO" localSheetId="19">#REF!</definedName>
    <definedName name="ASTREINTE_INFO" localSheetId="18">#REF!</definedName>
    <definedName name="ASTREINTE_INFO">#REF!</definedName>
    <definedName name="ats" localSheetId="19">#REF!</definedName>
    <definedName name="ats" localSheetId="18">#REF!</definedName>
    <definedName name="ats">#REF!</definedName>
    <definedName name="AunaGroup.enabled" localSheetId="19">#REF!</definedName>
    <definedName name="AunaGroup.enabled" localSheetId="18">#REF!</definedName>
    <definedName name="AunaGroup.enabled">#REF!</definedName>
    <definedName name="AunaGroup_FinancialAssumptions" localSheetId="19">#REF!</definedName>
    <definedName name="AunaGroup_FinancialAssumptions" localSheetId="18">#REF!</definedName>
    <definedName name="AunaGroup_FinancialAssumptions">#REF!</definedName>
    <definedName name="AunaTLC.enabled" localSheetId="19">#REF!</definedName>
    <definedName name="AunaTLC.enabled" localSheetId="18">#REF!</definedName>
    <definedName name="AunaTLC.enabled">#REF!</definedName>
    <definedName name="AunaTLC_CashConservation.enabled" localSheetId="19">#REF!</definedName>
    <definedName name="AunaTLC_CashConservation.enabled" localSheetId="18">#REF!</definedName>
    <definedName name="AunaTLC_CashConservation.enabled">#REF!</definedName>
    <definedName name="AunaTLC_FinancialAssumptions" localSheetId="19">#REF!</definedName>
    <definedName name="AunaTLC_FinancialAssumptions" localSheetId="18">#REF!</definedName>
    <definedName name="AunaTLC_FinancialAssumptions">#REF!</definedName>
    <definedName name="ave.inbound.mins" localSheetId="19">#REF!</definedName>
    <definedName name="ave.inbound.mins" localSheetId="18">#REF!</definedName>
    <definedName name="ave.inbound.mins">#REF!</definedName>
    <definedName name="ave.outbound.mins" localSheetId="19">#REF!</definedName>
    <definedName name="ave.outbound.mins" localSheetId="18">#REF!</definedName>
    <definedName name="ave.outbound.mins">#REF!</definedName>
    <definedName name="ave.total.minutes" localSheetId="19">#REF!</definedName>
    <definedName name="ave.total.minutes" localSheetId="18">#REF!</definedName>
    <definedName name="ave.total.minutes">#REF!</definedName>
    <definedName name="Average_Staff_Salary" localSheetId="19">'[10]Cashflow-Pre'!#REF!</definedName>
    <definedName name="Average_Staff_Salary" localSheetId="18">'[10]Cashflow-Pre'!#REF!</definedName>
    <definedName name="Average_Staff_Salary">'[10]Cashflow-Pre'!#REF!</definedName>
    <definedName name="Ayme" localSheetId="19">#REF!</definedName>
    <definedName name="Ayme" localSheetId="18">#REF!</definedName>
    <definedName name="Ayme">#REF!</definedName>
    <definedName name="b" localSheetId="18"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b"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baby" localSheetId="19">#REF!</definedName>
    <definedName name="baby" localSheetId="18">#REF!</definedName>
    <definedName name="baby">#REF!</definedName>
    <definedName name="Bagot__Michelle" localSheetId="19">#REF!</definedName>
    <definedName name="Bagot__Michelle" localSheetId="18">#REF!</definedName>
    <definedName name="Bagot__Michelle">#REF!</definedName>
    <definedName name="balance_type">1</definedName>
    <definedName name="BalCurrs" localSheetId="19">#REF!</definedName>
    <definedName name="BalCurrs" localSheetId="18">#REF!</definedName>
    <definedName name="BalCurrs">#REF!</definedName>
    <definedName name="BALSHEET_P">[10]MBO!$A$1:$V$54</definedName>
    <definedName name="Barberye__Daniel" localSheetId="19">#REF!</definedName>
    <definedName name="Barberye__Daniel" localSheetId="18">#REF!</definedName>
    <definedName name="Barberye__Daniel">#REF!</definedName>
    <definedName name="Barbiero__Orland" localSheetId="19">#REF!</definedName>
    <definedName name="Barbiero__Orland" localSheetId="18">#REF!</definedName>
    <definedName name="Barbiero__Orland">#REF!</definedName>
    <definedName name="Barillot_Guillaume" localSheetId="19">#REF!</definedName>
    <definedName name="Barillot_Guillaume" localSheetId="18">#REF!</definedName>
    <definedName name="Barillot_Guillaume">#REF!</definedName>
    <definedName name="BASECASE" localSheetId="19">#REF!</definedName>
    <definedName name="BASECASE" localSheetId="18">#REF!</definedName>
    <definedName name="BASECASE">#REF!</definedName>
    <definedName name="BaseExit">[27]REQUEST_TABLE!$N$64</definedName>
    <definedName name="BasePrivate">[27]REQUEST_TABLE!$J$64</definedName>
    <definedName name="BasePublic">[27]REQUEST_TABLE!$J$65</definedName>
    <definedName name="BaseYear">[27]INPUT!$E$209</definedName>
    <definedName name="bb"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b"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C">[30]saisie!$A$3:$IV$3</definedName>
    <definedName name="BECET_callrev" localSheetId="19">#REF!</definedName>
    <definedName name="BECET_callrev" localSheetId="18">#REF!</definedName>
    <definedName name="BECET_callrev">#REF!</definedName>
    <definedName name="BECET_EV" localSheetId="19">#REF!</definedName>
    <definedName name="BECET_EV" localSheetId="18">#REF!</definedName>
    <definedName name="BECET_EV">#REF!</definedName>
    <definedName name="BECET_marktshare" localSheetId="19">#REF!</definedName>
    <definedName name="BECET_marktshare" localSheetId="18">#REF!</definedName>
    <definedName name="BECET_marktshare">#REF!</definedName>
    <definedName name="BECET_penrate" localSheetId="19">#REF!</definedName>
    <definedName name="BECET_penrate" localSheetId="18">#REF!</definedName>
    <definedName name="BECET_penrate">#REF!</definedName>
    <definedName name="belga1">[18]BELG1!$A$8:$Q$87</definedName>
    <definedName name="belga2">[18]BELG2!$B$9:$X$61</definedName>
    <definedName name="BELGM1">[18]Multmod!$D$285:$G$286</definedName>
    <definedName name="BELGM2">[18]Multmod!$D$287:$G$288</definedName>
    <definedName name="BELGM3">[18]Multmod!$D$289:$G$290</definedName>
    <definedName name="BELGM4">[18]Multmod!$D$291:$G$291</definedName>
    <definedName name="BELGM5">[18]Multmod!$C$292:$G$301</definedName>
    <definedName name="BELGMULT">[18]Multmod!$C$285:$G$301</definedName>
    <definedName name="belgsop1">[18]BELG2!$AA$22:$AG$25</definedName>
    <definedName name="BELGTP1">[18]BELG1!$S$6</definedName>
    <definedName name="belgtp2">[18]BELG2!$AR$4</definedName>
    <definedName name="BENEF1" localSheetId="19">#REF!</definedName>
    <definedName name="BENEF1" localSheetId="18">#REF!</definedName>
    <definedName name="BENEF1">#REF!</definedName>
    <definedName name="BENEF2" localSheetId="19">#REF!</definedName>
    <definedName name="BENEF2" localSheetId="18">#REF!</definedName>
    <definedName name="BENEF2">#REF!</definedName>
    <definedName name="BENEF3" localSheetId="19">#REF!</definedName>
    <definedName name="BENEF3" localSheetId="18">#REF!</definedName>
    <definedName name="BENEF3">#REF!</definedName>
    <definedName name="BENEF4" localSheetId="19">#REF!</definedName>
    <definedName name="BENEF4" localSheetId="18">#REF!</definedName>
    <definedName name="BENEF4">#REF!</definedName>
    <definedName name="BENEF5" localSheetId="19">#REF!</definedName>
    <definedName name="BENEF5" localSheetId="18">#REF!</definedName>
    <definedName name="BENEF5">#REF!</definedName>
    <definedName name="Beta_table" localSheetId="19">#REF!</definedName>
    <definedName name="Beta_table" localSheetId="18">#REF!</definedName>
    <definedName name="Beta_table">#REF!</definedName>
    <definedName name="BidPrice">[27]INPUT!$F$40</definedName>
    <definedName name="bill_exp_per_sub" localSheetId="19">'[10]Cashflow-Pre'!#REF!</definedName>
    <definedName name="bill_exp_per_sub">'[10]Cashflow-Pre'!#REF!</definedName>
    <definedName name="blabla"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abla"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abla2"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abla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ended_SAC_per_Sub" localSheetId="19">#REF!</definedName>
    <definedName name="Blended_SAC_per_Sub">#REF!</definedName>
    <definedName name="bondcos" localSheetId="19">#REF!</definedName>
    <definedName name="bondcos" localSheetId="18">#REF!</definedName>
    <definedName name="bondcos">#REF!</definedName>
    <definedName name="bondcost" localSheetId="19">#REF!</definedName>
    <definedName name="bondcost" localSheetId="18">#REF!</definedName>
    <definedName name="bondcost">#REF!</definedName>
    <definedName name="BRANCHE" localSheetId="19">#REF!</definedName>
    <definedName name="BRANCHE" localSheetId="18">#REF!</definedName>
    <definedName name="BRANCHE">#REF!</definedName>
    <definedName name="Broker">[10]Macros!$C$26</definedName>
    <definedName name="brokerdate">[10]Macros!$C$27</definedName>
    <definedName name="BS_deferredtaxes" localSheetId="19">#REF!</definedName>
    <definedName name="BS_deferredtaxes" localSheetId="18">#REF!</definedName>
    <definedName name="BS_deferredtaxes">#REF!</definedName>
    <definedName name="BS_discontoper" localSheetId="19">#REF!</definedName>
    <definedName name="BS_discontoper" localSheetId="18">#REF!</definedName>
    <definedName name="BS_discontoper">#REF!</definedName>
    <definedName name="BS_goodwill" localSheetId="19">#REF!</definedName>
    <definedName name="BS_goodwill" localSheetId="18">#REF!</definedName>
    <definedName name="BS_goodwill">#REF!</definedName>
    <definedName name="BS_intangibles" localSheetId="19">#REF!</definedName>
    <definedName name="BS_intangibles" localSheetId="18">#REF!</definedName>
    <definedName name="BS_intangibles">#REF!</definedName>
    <definedName name="BS_inventories" localSheetId="19">#REF!</definedName>
    <definedName name="BS_inventories" localSheetId="18">#REF!</definedName>
    <definedName name="BS_inventories">#REF!</definedName>
    <definedName name="BS_minority" localSheetId="19">#REF!</definedName>
    <definedName name="BS_minority" localSheetId="18">#REF!</definedName>
    <definedName name="BS_minority">#REF!</definedName>
    <definedName name="BS_otherCA" localSheetId="19">#REF!</definedName>
    <definedName name="BS_otherCA" localSheetId="18">#REF!</definedName>
    <definedName name="BS_otherCA">#REF!</definedName>
    <definedName name="BS_otherCL" localSheetId="19">#REF!</definedName>
    <definedName name="BS_otherCL" localSheetId="18">#REF!</definedName>
    <definedName name="BS_otherCL">#REF!</definedName>
    <definedName name="BS_otherLTA" localSheetId="19">#REF!</definedName>
    <definedName name="BS_otherLTA" localSheetId="18">#REF!</definedName>
    <definedName name="BS_otherLTA">#REF!</definedName>
    <definedName name="BS_otherLTL" localSheetId="19">#REF!</definedName>
    <definedName name="BS_otherLTL" localSheetId="18">#REF!</definedName>
    <definedName name="BS_otherLTL">#REF!</definedName>
    <definedName name="BS_payables" localSheetId="19">#REF!</definedName>
    <definedName name="BS_payables" localSheetId="18">#REF!</definedName>
    <definedName name="BS_payables">#REF!</definedName>
    <definedName name="BS_PPE" localSheetId="19">#REF!</definedName>
    <definedName name="BS_PPE" localSheetId="18">#REF!</definedName>
    <definedName name="BS_PPE">#REF!</definedName>
    <definedName name="BS_receivables" localSheetId="19">#REF!</definedName>
    <definedName name="BS_receivables" localSheetId="18">#REF!</definedName>
    <definedName name="BS_receivables">#REF!</definedName>
    <definedName name="BS_revolver" localSheetId="19">#REF!</definedName>
    <definedName name="BS_revolver" localSheetId="18">#REF!</definedName>
    <definedName name="BS_revolver">#REF!</definedName>
    <definedName name="BS_straightdebt" localSheetId="19">#REF!</definedName>
    <definedName name="BS_straightdebt" localSheetId="18">#REF!</definedName>
    <definedName name="BS_straightdebt">#REF!</definedName>
    <definedName name="BS_straightpref" localSheetId="19">#REF!</definedName>
    <definedName name="BS_straightpref" localSheetId="18">#REF!</definedName>
    <definedName name="BS_straightpref">#REF!</definedName>
    <definedName name="Bskybrec" localSheetId="19">#REF!</definedName>
    <definedName name="Bskybrec" localSheetId="18">#REF!</definedName>
    <definedName name="Bskybrec">#REF!</definedName>
    <definedName name="bsminority" localSheetId="19">#REF!</definedName>
    <definedName name="bsminority" localSheetId="18">#REF!</definedName>
    <definedName name="bsminority">#REF!</definedName>
    <definedName name="BT_Att" localSheetId="19">#REF!</definedName>
    <definedName name="BT_Att" localSheetId="18">#REF!</definedName>
    <definedName name="BT_Att">#REF!</definedName>
    <definedName name="BT_BSMins" localSheetId="19">#REF!</definedName>
    <definedName name="BT_BSMins" localSheetId="18">#REF!</definedName>
    <definedName name="BT_BSMins">#REF!</definedName>
    <definedName name="BT_CFPS" localSheetId="19">#REF!</definedName>
    <definedName name="BT_CFPS" localSheetId="18">#REF!</definedName>
    <definedName name="BT_CFPS">#REF!</definedName>
    <definedName name="BT_CFPS_fd" localSheetId="19">#REF!</definedName>
    <definedName name="BT_CFPS_fd" localSheetId="18">#REF!</definedName>
    <definedName name="BT_CFPS_fd">#REF!</definedName>
    <definedName name="BT_DPS" localSheetId="19">#REF!</definedName>
    <definedName name="BT_DPS" localSheetId="18">#REF!</definedName>
    <definedName name="BT_DPS">#REF!</definedName>
    <definedName name="BT_DtoE" localSheetId="19">#REF!</definedName>
    <definedName name="BT_DtoE" localSheetId="18">#REF!</definedName>
    <definedName name="BT_DtoE">#REF!</definedName>
    <definedName name="BT_EBITDA" localSheetId="19">#REF!</definedName>
    <definedName name="BT_EBITDA" localSheetId="18">#REF!</definedName>
    <definedName name="BT_EBITDA">#REF!</definedName>
    <definedName name="BT_EPS_fd" localSheetId="19">#REF!</definedName>
    <definedName name="BT_EPS_fd" localSheetId="18">#REF!</definedName>
    <definedName name="BT_EPS_fd">#REF!</definedName>
    <definedName name="BT_FA" localSheetId="19">#REF!</definedName>
    <definedName name="BT_FA" localSheetId="18">#REF!</definedName>
    <definedName name="BT_FA">#REF!</definedName>
    <definedName name="BT_Min" localSheetId="19">#REF!</definedName>
    <definedName name="BT_Min" localSheetId="18">#REF!</definedName>
    <definedName name="BT_Min">#REF!</definedName>
    <definedName name="BT_Minorities" localSheetId="19">#REF!</definedName>
    <definedName name="BT_Minorities" localSheetId="18">#REF!</definedName>
    <definedName name="BT_Minorities">#REF!</definedName>
    <definedName name="BT_Mins" localSheetId="19">#REF!</definedName>
    <definedName name="BT_Mins" localSheetId="18">#REF!</definedName>
    <definedName name="BT_Mins">#REF!</definedName>
    <definedName name="BT_NAV" localSheetId="19">#REF!</definedName>
    <definedName name="BT_NAV" localSheetId="18">#REF!</definedName>
    <definedName name="BT_NAV">#REF!</definedName>
    <definedName name="BT_NDebt" localSheetId="19">#REF!</definedName>
    <definedName name="BT_NDebt" localSheetId="18">#REF!</definedName>
    <definedName name="BT_NDebt">#REF!</definedName>
    <definedName name="BT_netdebt" localSheetId="19">#REF!</definedName>
    <definedName name="BT_netdebt" localSheetId="18">#REF!</definedName>
    <definedName name="BT_netdebt">#REF!</definedName>
    <definedName name="BT_price">[7]Fixed!$A$9</definedName>
    <definedName name="BT_Provs" localSheetId="19">#REF!</definedName>
    <definedName name="BT_Provs" localSheetId="18">#REF!</definedName>
    <definedName name="BT_Provs">#REF!</definedName>
    <definedName name="BT_R" localSheetId="19">#REF!</definedName>
    <definedName name="BT_R" localSheetId="18">#REF!</definedName>
    <definedName name="BT_R">#REF!</definedName>
    <definedName name="BT_Rec" localSheetId="19">#REF!</definedName>
    <definedName name="BT_Rec" localSheetId="18">#REF!</definedName>
    <definedName name="BT_Rec">#REF!</definedName>
    <definedName name="BT_ROCE" localSheetId="19">#REF!</definedName>
    <definedName name="BT_ROCE" localSheetId="18">#REF!</definedName>
    <definedName name="BT_ROCE">#REF!</definedName>
    <definedName name="BT_ROE" localSheetId="19">#REF!</definedName>
    <definedName name="BT_ROE" localSheetId="18">#REF!</definedName>
    <definedName name="BT_ROE">#REF!</definedName>
    <definedName name="BT_Sales" localSheetId="19">#REF!</definedName>
    <definedName name="BT_Sales" localSheetId="18">#REF!</definedName>
    <definedName name="BT_Sales">#REF!</definedName>
    <definedName name="BT_Shf" localSheetId="19">#REF!</definedName>
    <definedName name="BT_Shf" localSheetId="18">#REF!</definedName>
    <definedName name="BT_Shf">#REF!</definedName>
    <definedName name="BT_Shissued" localSheetId="19">#REF!</definedName>
    <definedName name="BT_Shissued" localSheetId="18">#REF!</definedName>
    <definedName name="BT_Shissued">#REF!</definedName>
    <definedName name="BT_UP" localSheetId="19">#REF!</definedName>
    <definedName name="BT_UP" localSheetId="18">#REF!</definedName>
    <definedName name="BT_UP">#REF!</definedName>
    <definedName name="BTebitda96" localSheetId="19">[7]Fixed!#REF!</definedName>
    <definedName name="BTebitda96" localSheetId="18">[7]Fixed!#REF!</definedName>
    <definedName name="BTebitda96">[7]Fixed!#REF!</definedName>
    <definedName name="BTevebitda97">[7]Fixed!$K$9</definedName>
    <definedName name="BTevebitda98">[7]Fixed!$K$10</definedName>
    <definedName name="btmult">[18]Multmod!$C$5:$G$21</definedName>
    <definedName name="BTpe97">[7]Fixed!$H$9</definedName>
    <definedName name="BTpe98">[7]Fixed!$H$10</definedName>
    <definedName name="BTperel97">[7]Fixed!$I$9</definedName>
    <definedName name="BTPErel98">[7]Fixed!$I$10</definedName>
    <definedName name="BTprice" localSheetId="19">[7]Fixed!#REF!</definedName>
    <definedName name="BTprice">[7]Fixed!#REF!</definedName>
    <definedName name="BTrec">[7]Fixed!$A$11</definedName>
    <definedName name="btsop1">[18]BT2!$AA$21:$AG$23</definedName>
    <definedName name="btsummod1">[18]BT!$C$443</definedName>
    <definedName name="btsummod10">[18]BT!$H$426:$K$426</definedName>
    <definedName name="btsummod12">[18]BT!$H$439:$K$439</definedName>
    <definedName name="btsummod15">[18]BT!$H$224:$O$225</definedName>
    <definedName name="btsummod16">[18]BT!$H$227:$O$232</definedName>
    <definedName name="btsummod17">[18]BT!$H$266:$O$266</definedName>
    <definedName name="btsummod18">[18]BT!$H$267:$O$267</definedName>
    <definedName name="btsummod19">[18]BT!$H$268:$O$268</definedName>
    <definedName name="btsummod2">[18]BT!$F$192:$O$204</definedName>
    <definedName name="btsummod3">[18]BT!$H$207:$O$211</definedName>
    <definedName name="btsummod4">[18]BT!$H$214:$O$214</definedName>
    <definedName name="btsummod5">[18]BT!$H$217:$O$217</definedName>
    <definedName name="btsummod6">[18]BT!$F$234:$O$243</definedName>
    <definedName name="btsummod7">[18]BT!$F$246:$O$250</definedName>
    <definedName name="btsummod8">[18]BT!$F$251:$O$263</definedName>
    <definedName name="btsummod9">[18]BT!$F$265:$O$265</definedName>
    <definedName name="BTTP1">[18]BT1!$S$6</definedName>
    <definedName name="bttp2">[18]BT2!$AR$4</definedName>
    <definedName name="BTyld97">[7]Fixed!$O$9</definedName>
    <definedName name="BTyld98">[7]Fixed!$O$10</definedName>
    <definedName name="burp"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urp"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us">[31]Switches!$F$13</definedName>
    <definedName name="bus_pulse_per_call_growth" localSheetId="19">'[10]Cashflow-Post'!#REF!</definedName>
    <definedName name="bus_pulse_per_call_growth">'[10]Cashflow-Post'!#REF!</definedName>
    <definedName name="Bus_Pulses_per_call" localSheetId="19">'[10]Cashflow-Post'!#REF!</definedName>
    <definedName name="Bus_Pulses_per_call">'[10]Cashflow-Post'!#REF!</definedName>
    <definedName name="buscallARPUfrance0110" localSheetId="19">#REF!</definedName>
    <definedName name="buscallARPUfrance0110" localSheetId="18">#REF!</definedName>
    <definedName name="buscallARPUfrance0110">#REF!</definedName>
    <definedName name="Business_VAS_fee" localSheetId="19">'[10]Cashflow-Post'!#REF!</definedName>
    <definedName name="Business_VAS_fee" localSheetId="18">'[10]Cashflow-Post'!#REF!</definedName>
    <definedName name="Business_VAS_fee">'[10]Cashflow-Post'!#REF!</definedName>
    <definedName name="Business_VAS_percentage" localSheetId="19">'[10]Cashflow-Post'!#REF!</definedName>
    <definedName name="Business_VAS_percentage">'[10]Cashflow-Post'!#REF!</definedName>
    <definedName name="Business_VAS_revenues" localSheetId="19">'[10]Cashflow-Post'!#REF!</definedName>
    <definedName name="Business_VAS_revenues">'[10]Cashflow-Post'!#REF!</definedName>
    <definedName name="BusRFS" localSheetId="19">'[32]Statistics France'!#REF!</definedName>
    <definedName name="BusRFS">'[32]Statistics France'!#REF!</definedName>
    <definedName name="busrfs2">'[33]STAT BRU'!$A$27:$IV$27</definedName>
    <definedName name="busrfscodi" localSheetId="19">#REF!</definedName>
    <definedName name="busrfscodi" localSheetId="18">#REF!</definedName>
    <definedName name="busrfscodi">#REF!</definedName>
    <definedName name="busrfsconso">'[34]STAT BRU'!$A$27:$IV$27</definedName>
    <definedName name="busrfsev" localSheetId="19">#REF!</definedName>
    <definedName name="busrfsev" localSheetId="18">#REF!</definedName>
    <definedName name="busrfsev">#REF!</definedName>
    <definedName name="busrfsevconso" localSheetId="19">#REF!</definedName>
    <definedName name="busrfsevconso" localSheetId="18">#REF!</definedName>
    <definedName name="busrfsevconso">#REF!</definedName>
    <definedName name="busrfslux" localSheetId="19">'[35]Statistics '!#REF!</definedName>
    <definedName name="busrfslux" localSheetId="18">'[35]Statistics '!#REF!</definedName>
    <definedName name="busrfslux">'[35]Statistics '!#REF!</definedName>
    <definedName name="Buy" localSheetId="19">#REF!</definedName>
    <definedName name="Buy" localSheetId="18">#REF!</definedName>
    <definedName name="Buy">#REF!</definedName>
    <definedName name="C_TP15" localSheetId="19">Passif [36]HB!$C$40</definedName>
    <definedName name="C_TP15" localSheetId="18">Passif [36]HB!$C$40</definedName>
    <definedName name="C_TP15" localSheetId="5">Passif [36]HB!$C$40</definedName>
    <definedName name="C_TP15">Passif [36]HB!$C$40</definedName>
    <definedName name="C_TP20" localSheetId="19">Passif [36]HB!$C$34</definedName>
    <definedName name="C_TP20" localSheetId="18">Passif [36]HB!$C$34</definedName>
    <definedName name="C_TP20" localSheetId="5">Passif [36]HB!$C$34</definedName>
    <definedName name="C_TP20">Passif [36]HB!$C$34</definedName>
    <definedName name="C_TP40" localSheetId="19">Passif [36]HB!$C$71</definedName>
    <definedName name="C_TP40" localSheetId="18">Passif [36]HB!$C$71</definedName>
    <definedName name="C_TP40" localSheetId="5">Passif [36]HB!$C$71</definedName>
    <definedName name="C_TP40">Passif [36]HB!$C$71</definedName>
    <definedName name="C_TP50" localSheetId="19">Passif [36]HB!$C$86</definedName>
    <definedName name="C_TP50" localSheetId="18">Passif [36]HB!$C$86</definedName>
    <definedName name="C_TP50" localSheetId="5">Passif [36]HB!$C$86</definedName>
    <definedName name="C_TP50">Passif [36]HB!$C$86</definedName>
    <definedName name="C_W_No._Shares" localSheetId="19">#REF!</definedName>
    <definedName name="C_W_No._Shares" localSheetId="18">#REF!</definedName>
    <definedName name="C_W_No._Shares">#REF!</definedName>
    <definedName name="cablprice" localSheetId="19">#REF!</definedName>
    <definedName name="cablprice" localSheetId="18">#REF!</definedName>
    <definedName name="cablprice">#REF!</definedName>
    <definedName name="calc">1</definedName>
    <definedName name="calculations_columns_1" localSheetId="19">#REF!</definedName>
    <definedName name="calculations_columns_1" localSheetId="18">#REF!</definedName>
    <definedName name="calculations_columns_1">#REF!</definedName>
    <definedName name="calculations_columns_2" localSheetId="19">#REF!</definedName>
    <definedName name="calculations_columns_2" localSheetId="18">#REF!</definedName>
    <definedName name="calculations_columns_2">#REF!</definedName>
    <definedName name="calculations_columns_3" localSheetId="19">#REF!</definedName>
    <definedName name="calculations_columns_3" localSheetId="18">#REF!</definedName>
    <definedName name="calculations_columns_3">#REF!</definedName>
    <definedName name="calculations_columns_4" localSheetId="19">#REF!</definedName>
    <definedName name="calculations_columns_4" localSheetId="18">#REF!</definedName>
    <definedName name="calculations_columns_4">#REF!</definedName>
    <definedName name="calculations_rows_1" localSheetId="19">#REF!</definedName>
    <definedName name="calculations_rows_1" localSheetId="18">#REF!</definedName>
    <definedName name="calculations_rows_1">#REF!</definedName>
    <definedName name="calculations_rows_2" localSheetId="19">#REF!</definedName>
    <definedName name="calculations_rows_2" localSheetId="18">#REF!</definedName>
    <definedName name="calculations_rows_2">#REF!</definedName>
    <definedName name="calculations_rows_3" localSheetId="19">#REF!</definedName>
    <definedName name="calculations_rows_3" localSheetId="18">#REF!</definedName>
    <definedName name="calculations_rows_3">#REF!</definedName>
    <definedName name="CALENDAR">'[37]INPUT-AREA'!$G$8:$W$8</definedName>
    <definedName name="Cap_ass">'[38]Options &amp; Results'!$C$45</definedName>
    <definedName name="capes00" localSheetId="19">#REF!</definedName>
    <definedName name="capes00" localSheetId="18">#REF!</definedName>
    <definedName name="capes00">#REF!</definedName>
    <definedName name="capes97" localSheetId="19">#REF!</definedName>
    <definedName name="capes97" localSheetId="18">#REF!</definedName>
    <definedName name="capes97">#REF!</definedName>
    <definedName name="CAPEX">[10]A!$K$35</definedName>
    <definedName name="Capex_figures_exclude_acqusitions__and_are_net_of_proceeds_from_the_sale_of_fixed_assets">"p1"</definedName>
    <definedName name="capex02" localSheetId="19">#REF!</definedName>
    <definedName name="capex02">#REF!</definedName>
    <definedName name="capex03" localSheetId="19">#REF!</definedName>
    <definedName name="capex03" localSheetId="18">#REF!</definedName>
    <definedName name="capex03">#REF!</definedName>
    <definedName name="capex04" localSheetId="19">#REF!</definedName>
    <definedName name="capex04" localSheetId="18">#REF!</definedName>
    <definedName name="capex04">#REF!</definedName>
    <definedName name="capex05" localSheetId="19">#REF!</definedName>
    <definedName name="capex05" localSheetId="18">#REF!</definedName>
    <definedName name="capex05">#REF!</definedName>
    <definedName name="capex06" localSheetId="19">#REF!</definedName>
    <definedName name="capex06" localSheetId="18">#REF!</definedName>
    <definedName name="capex06">#REF!</definedName>
    <definedName name="capex07" localSheetId="19">#REF!</definedName>
    <definedName name="capex07" localSheetId="18">#REF!</definedName>
    <definedName name="capex07">#REF!</definedName>
    <definedName name="capex96" localSheetId="19">#REF!</definedName>
    <definedName name="capex96" localSheetId="18">#REF!</definedName>
    <definedName name="capex96">#REF!</definedName>
    <definedName name="Capital_Employed" localSheetId="19">#REF!</definedName>
    <definedName name="Capital_Employed" localSheetId="18">#REF!</definedName>
    <definedName name="Capital_Employed">#REF!</definedName>
    <definedName name="Carve_Div_1" localSheetId="19">[3]Main!#REF!</definedName>
    <definedName name="Carve_Div_1" localSheetId="18">[3]Main!#REF!</definedName>
    <definedName name="Carve_Div_1">[3]Main!#REF!</definedName>
    <definedName name="Carve_Div_2" localSheetId="19">[3]Main!#REF!</definedName>
    <definedName name="Carve_Div_2" localSheetId="18">[3]Main!#REF!</definedName>
    <definedName name="Carve_Div_2">[3]Main!#REF!</definedName>
    <definedName name="Carve_Div_3" localSheetId="19">[3]Main!#REF!</definedName>
    <definedName name="Carve_Div_3" localSheetId="18">[3]Main!#REF!</definedName>
    <definedName name="Carve_Div_3">[3]Main!#REF!</definedName>
    <definedName name="Carve_Div_4" localSheetId="19">[3]Main!#REF!</definedName>
    <definedName name="Carve_Div_4" localSheetId="18">[3]Main!#REF!</definedName>
    <definedName name="Carve_Div_4">[3]Main!#REF!</definedName>
    <definedName name="Carve_Div_5" localSheetId="19">[3]Main!#REF!</definedName>
    <definedName name="Carve_Div_5" localSheetId="18">[3]Main!#REF!</definedName>
    <definedName name="Carve_Div_5">[3]Main!#REF!</definedName>
    <definedName name="Carve_Div_6" localSheetId="19">[3]Main!#REF!</definedName>
    <definedName name="Carve_Div_6">[3]Main!#REF!</definedName>
    <definedName name="Carve_Div_7" localSheetId="19">[3]Main!#REF!</definedName>
    <definedName name="Carve_Div_7">[3]Main!#REF!</definedName>
    <definedName name="Carve_Div_8" localSheetId="19">[3]Main!#REF!</definedName>
    <definedName name="Carve_Div_8">[3]Main!#REF!</definedName>
    <definedName name="Carve_JV_1" localSheetId="19">[3]Main!#REF!</definedName>
    <definedName name="Carve_JV_1">[3]Main!#REF!</definedName>
    <definedName name="Case" localSheetId="19">#REF!</definedName>
    <definedName name="Case" localSheetId="18">#REF!</definedName>
    <definedName name="Case">#REF!</definedName>
    <definedName name="CASH" localSheetId="19">#REF!</definedName>
    <definedName name="CASH" localSheetId="18">#REF!</definedName>
    <definedName name="CASH">#REF!</definedName>
    <definedName name="cash_fv" localSheetId="19">#REF!</definedName>
    <definedName name="cash_fv" localSheetId="18">#REF!</definedName>
    <definedName name="cash_fv">#REF!</definedName>
    <definedName name="cash_terminal" localSheetId="19">#REF!</definedName>
    <definedName name="cash_terminal" localSheetId="18">#REF!</definedName>
    <definedName name="cash_terminal">#REF!</definedName>
    <definedName name="casheps" localSheetId="19">#REF!</definedName>
    <definedName name="casheps" localSheetId="18">#REF!</definedName>
    <definedName name="casheps">#REF!</definedName>
    <definedName name="CASHFL_P">'[10]Interest &amp; Tax'!$A$1:$V$53</definedName>
    <definedName name="Cashsweep.enabled" localSheetId="19">#REF!</definedName>
    <definedName name="Cashsweep.enabled" localSheetId="18">#REF!</definedName>
    <definedName name="Cashsweep.enabled">#REF!</definedName>
    <definedName name="castr" localSheetId="19">#REF!</definedName>
    <definedName name="castr" localSheetId="18">#REF!</definedName>
    <definedName name="castr">#REF!</definedName>
    <definedName name="CAT" localSheetId="19">#REF!</definedName>
    <definedName name="CAT" localSheetId="18">#REF!</definedName>
    <definedName name="CAT">#REF!</definedName>
    <definedName name="cccc" localSheetId="19">[39]PLAN!#REF!</definedName>
    <definedName name="cccc" localSheetId="18">[39]PLAN!#REF!</definedName>
    <definedName name="cccc">[39]PLAN!#REF!</definedName>
    <definedName name="ccccc" localSheetId="19">#REF!</definedName>
    <definedName name="ccccc" localSheetId="18">#REF!</definedName>
    <definedName name="ccccc">#REF!</definedName>
    <definedName name="ccname">[40]Allg!$C$14</definedName>
    <definedName name="CF_begcash" localSheetId="19">#REF!</definedName>
    <definedName name="CF_begcash" localSheetId="18">#REF!</definedName>
    <definedName name="CF_begcash">#REF!</definedName>
    <definedName name="CF_capex" localSheetId="19">#REF!</definedName>
    <definedName name="CF_capex" localSheetId="18">#REF!</definedName>
    <definedName name="CF_capex">#REF!</definedName>
    <definedName name="CF_commondiv" localSheetId="19">#REF!</definedName>
    <definedName name="CF_commondiv" localSheetId="18">#REF!</definedName>
    <definedName name="CF_commondiv">#REF!</definedName>
    <definedName name="CF_convertdebt" localSheetId="19">#REF!</definedName>
    <definedName name="CF_convertdebt" localSheetId="18">#REF!</definedName>
    <definedName name="CF_convertdebt">#REF!</definedName>
    <definedName name="CF_deferredtaxes" localSheetId="19">#REF!</definedName>
    <definedName name="CF_deferredtaxes" localSheetId="18">#REF!</definedName>
    <definedName name="CF_deferredtaxes">#REF!</definedName>
    <definedName name="CF_deprec" localSheetId="19">#REF!</definedName>
    <definedName name="CF_deprec" localSheetId="18">#REF!</definedName>
    <definedName name="CF_deprec">#REF!</definedName>
    <definedName name="CF_equity" localSheetId="19">#REF!</definedName>
    <definedName name="CF_equity" localSheetId="18">#REF!</definedName>
    <definedName name="CF_equity">#REF!</definedName>
    <definedName name="CF_gwamort" localSheetId="19">#REF!</definedName>
    <definedName name="CF_gwamort" localSheetId="18">#REF!</definedName>
    <definedName name="CF_gwamort">#REF!</definedName>
    <definedName name="CF_intangiblesamort" localSheetId="19">#REF!</definedName>
    <definedName name="CF_intangiblesamort" localSheetId="18">#REF!</definedName>
    <definedName name="CF_intangiblesamort">#REF!</definedName>
    <definedName name="CF_minority" localSheetId="19">#REF!</definedName>
    <definedName name="CF_minority" localSheetId="18">#REF!</definedName>
    <definedName name="CF_minority">#REF!</definedName>
    <definedName name="CF_netinc" localSheetId="19">#REF!</definedName>
    <definedName name="CF_netinc" localSheetId="18">#REF!</definedName>
    <definedName name="CF_netinc">#REF!</definedName>
    <definedName name="CF_NWC" localSheetId="19">#REF!</definedName>
    <definedName name="CF_NWC" localSheetId="18">#REF!</definedName>
    <definedName name="CF_NWC">#REF!</definedName>
    <definedName name="CF_othernonoper" localSheetId="19">#REF!</definedName>
    <definedName name="CF_othernonoper" localSheetId="18">#REF!</definedName>
    <definedName name="CF_othernonoper">#REF!</definedName>
    <definedName name="CF_otheroper" localSheetId="19">#REF!</definedName>
    <definedName name="CF_otheroper" localSheetId="18">#REF!</definedName>
    <definedName name="CF_otheroper">#REF!</definedName>
    <definedName name="CF_revolver" localSheetId="19">#REF!</definedName>
    <definedName name="CF_revolver" localSheetId="18">#REF!</definedName>
    <definedName name="CF_revolver">#REF!</definedName>
    <definedName name="CF_straightdebt" localSheetId="19">#REF!</definedName>
    <definedName name="CF_straightdebt" localSheetId="18">#REF!</definedName>
    <definedName name="CF_straightdebt">#REF!</definedName>
    <definedName name="CH_Factor">'[27]OUTPUT (2)'!$M$107:$P$108</definedName>
    <definedName name="CH_Factor2">'[27]OUTPUT (2)'!$M$110:$O$111</definedName>
    <definedName name="change_in_tax_payable" localSheetId="19">'[10]Cashflow-Pre'!#REF!</definedName>
    <definedName name="change_in_tax_payable">'[10]Cashflow-Pre'!#REF!</definedName>
    <definedName name="ChangeInCommonEquity" localSheetId="19">#REF!</definedName>
    <definedName name="ChangeInCommonEquity" localSheetId="18">#REF!</definedName>
    <definedName name="ChangeInCommonEquity">#REF!</definedName>
    <definedName name="ChangeInConvertiblePreferredStock" localSheetId="19">#REF!</definedName>
    <definedName name="ChangeInConvertiblePreferredStock" localSheetId="18">#REF!</definedName>
    <definedName name="ChangeInConvertiblePreferredStock">#REF!</definedName>
    <definedName name="ChangeInDeferredCompensation" localSheetId="19">#REF!</definedName>
    <definedName name="ChangeInDeferredCompensation" localSheetId="18">#REF!</definedName>
    <definedName name="ChangeInDeferredCompensation">#REF!</definedName>
    <definedName name="ChangeInStraightPreferredStock" localSheetId="19">#REF!</definedName>
    <definedName name="ChangeInStraightPreferredStock" localSheetId="18">#REF!</definedName>
    <definedName name="ChangeInStraightPreferredStock">#REF!</definedName>
    <definedName name="CHDR_Int">'[27]OUTPUT (2)'!$F$100</definedName>
    <definedName name="CHDR_Int_Max">'[27]OUTPUT (2)'!$E$100</definedName>
    <definedName name="CHDR_Int_Min">'[27]OUTPUT (2)'!$D$100</definedName>
    <definedName name="CHDR_Test">[27]Datastream!$C$98</definedName>
    <definedName name="ChEBITA_Int">'[27]OUTPUT (2)'!$P$138</definedName>
    <definedName name="ChEBITA_Int_Max">'[27]OUTPUT (2)'!$O$138</definedName>
    <definedName name="ChEBITA_Int_Min">'[27]OUTPUT (2)'!$N$138</definedName>
    <definedName name="ChEBITA_Test">[27]Datastream!$M$136</definedName>
    <definedName name="ChEBITDA_Int">'[27]OUTPUT (2)'!$K$138</definedName>
    <definedName name="ChEBITDA_Int_Max">'[27]OUTPUT (2)'!$J$138</definedName>
    <definedName name="ChEBITDA_Int_Min">'[27]OUTPUT (2)'!$I$138</definedName>
    <definedName name="ChEBITDA_Test">[27]Datastream!$H$136</definedName>
    <definedName name="check" localSheetId="19">'[10]Fixed assets'!#REF!</definedName>
    <definedName name="check">'[10]Fixed assets'!#REF!</definedName>
    <definedName name="CheckBox_Cashsweep.enabled" localSheetId="19">#REF!</definedName>
    <definedName name="CheckBox_Cashsweep.enabled" localSheetId="18">#REF!</definedName>
    <definedName name="CheckBox_Cashsweep.enabled">#REF!</definedName>
    <definedName name="CheckBox_Cashsweep.payout" localSheetId="19">#REF!</definedName>
    <definedName name="CheckBox_Cashsweep.payout" localSheetId="18">#REF!</definedName>
    <definedName name="CheckBox_Cashsweep.payout">#REF!</definedName>
    <definedName name="CheckBox_Cashsweep_SeniorDebt.enabled" localSheetId="19">#REF!</definedName>
    <definedName name="CheckBox_Cashsweep_SeniorDebt.enabled" localSheetId="18">#REF!</definedName>
    <definedName name="CheckBox_Cashsweep_SeniorDebt.enabled">#REF!</definedName>
    <definedName name="CHFP_Int">'[27]OUTPUT (2)'!$K$100</definedName>
    <definedName name="CHFP_Int_Max">'[27]OUTPUT (2)'!$J$100</definedName>
    <definedName name="CHFP_Int_Max2">'[27]OUTPUT (2)'!$O$100</definedName>
    <definedName name="CHFP_Int_Min">'[27]OUTPUT (2)'!$I$100</definedName>
    <definedName name="CHFP_Int_Min2">'[27]OUTPUT (2)'!$N$100</definedName>
    <definedName name="CHFP_Int2">'[27]OUTPUT (2)'!$P$100</definedName>
    <definedName name="CHFP_Test">[27]Datastream!$H$98</definedName>
    <definedName name="CHFP_Test2">[27]Datastream!$M$98</definedName>
    <definedName name="Chile" localSheetId="19">#REF!</definedName>
    <definedName name="Chile" localSheetId="18">#REF!</definedName>
    <definedName name="Chile">#REF!</definedName>
    <definedName name="ChLA_Int">'[27]OUTPUT (2)'!$F$145</definedName>
    <definedName name="ChLA_Int_Max">'[27]OUTPUT (2)'!$E$145</definedName>
    <definedName name="ChLA_Int_Min">'[27]OUTPUT (2)'!$D$145</definedName>
    <definedName name="ChLA_Test">[27]Datastream!$C$143</definedName>
    <definedName name="ChSales_Int">'[27]OUTPUT (2)'!$F$138</definedName>
    <definedName name="ChSales_Int_Max">'[27]OUTPUT (2)'!$E$138</definedName>
    <definedName name="ChSales_Int_Min">'[27]OUTPUT (2)'!$D$138</definedName>
    <definedName name="ChSales_Test">[27]Datastream!$C$136</definedName>
    <definedName name="churn_a" localSheetId="19">#REF!</definedName>
    <definedName name="churn_a" localSheetId="18">#REF!</definedName>
    <definedName name="churn_a">#REF!</definedName>
    <definedName name="churnjazz">'[41]Jazztel market (lines)'!$A$41:$IV$41</definedName>
    <definedName name="churntot">'[41]Market hypotesis'!$A$34:$IV$34</definedName>
    <definedName name="CIGA" localSheetId="19">#REF!</definedName>
    <definedName name="CIGA" localSheetId="18">#REF!</definedName>
    <definedName name="CIGA">#REF!</definedName>
    <definedName name="Clec">[31]Switches!$F$16</definedName>
    <definedName name="Co" localSheetId="19">#REF!</definedName>
    <definedName name="Co" localSheetId="18">#REF!</definedName>
    <definedName name="Co">#REF!</definedName>
    <definedName name="cogs" localSheetId="19">'[25]Fleet &amp; Costs'!#REF!</definedName>
    <definedName name="cogs" localSheetId="18">'[25]Fleet &amp; Costs'!#REF!</definedName>
    <definedName name="cogs">'[25]Fleet &amp; Costs'!#REF!</definedName>
    <definedName name="com" localSheetId="19">#REF!</definedName>
    <definedName name="com" localSheetId="18">#REF!</definedName>
    <definedName name="com">#REF!</definedName>
    <definedName name="COM_Revolving">'[27]Share price analysis'!$H$120</definedName>
    <definedName name="Comcastrec" localSheetId="19">#REF!</definedName>
    <definedName name="Comcastrec" localSheetId="18">#REF!</definedName>
    <definedName name="Comcastrec">#REF!</definedName>
    <definedName name="commondiv" localSheetId="19">#REF!</definedName>
    <definedName name="commondiv" localSheetId="18">#REF!</definedName>
    <definedName name="commondiv">#REF!</definedName>
    <definedName name="Company">[42]Controls!$C$6</definedName>
    <definedName name="Company_Name" localSheetId="19">#REF!</definedName>
    <definedName name="Company_Name" localSheetId="18">#REF!</definedName>
    <definedName name="Company_Name">#REF!</definedName>
    <definedName name="CompanyName">[43]Cover!$H$26</definedName>
    <definedName name="COMPTE" localSheetId="19">#REF!</definedName>
    <definedName name="COMPTE" localSheetId="18">#REF!</definedName>
    <definedName name="COMPTE">#REF!</definedName>
    <definedName name="comviq1" localSheetId="19">#REF!</definedName>
    <definedName name="comviq1" localSheetId="18">#REF!</definedName>
    <definedName name="comviq1">#REF!</definedName>
    <definedName name="comviqbench" localSheetId="19">#REF!</definedName>
    <definedName name="comviqbench" localSheetId="18">#REF!</definedName>
    <definedName name="comviqbench">#REF!</definedName>
    <definedName name="Coname" localSheetId="19">#REF!</definedName>
    <definedName name="Coname" localSheetId="18">#REF!</definedName>
    <definedName name="Coname">#REF!</definedName>
    <definedName name="Conv">[44]DCF_10!$O$193</definedName>
    <definedName name="Conv_Bonds" localSheetId="19">#REF!</definedName>
    <definedName name="Conv_Bonds" localSheetId="18">#REF!</definedName>
    <definedName name="Conv_Bonds">#REF!</definedName>
    <definedName name="convCA" localSheetId="19">#REF!</definedName>
    <definedName name="convCA" localSheetId="18">#REF!</definedName>
    <definedName name="convCA">#REF!</definedName>
    <definedName name="convdebtrate" localSheetId="19">#REF!</definedName>
    <definedName name="convdebtrate" localSheetId="18">#REF!</definedName>
    <definedName name="convdebtrate">#REF!</definedName>
    <definedName name="convdebtshares" localSheetId="19">#REF!</definedName>
    <definedName name="convdebtshares" localSheetId="18">#REF!</definedName>
    <definedName name="convdebtshares">#REF!</definedName>
    <definedName name="Conversion_rate" localSheetId="19">'[10]Cashflow-Post'!#REF!</definedName>
    <definedName name="Conversion_rate" localSheetId="18">'[10]Cashflow-Post'!#REF!</definedName>
    <definedName name="Conversion_rate">'[10]Cashflow-Post'!#REF!</definedName>
    <definedName name="convprefrate" localSheetId="19">#REF!</definedName>
    <definedName name="convprefrate" localSheetId="18">#REF!</definedName>
    <definedName name="convprefrate">#REF!</definedName>
    <definedName name="convprefshares" localSheetId="19">#REF!</definedName>
    <definedName name="convprefshares" localSheetId="18">#REF!</definedName>
    <definedName name="convprefshares">#REF!</definedName>
    <definedName name="convpricedebt" localSheetId="19">#REF!</definedName>
    <definedName name="convpricedebt" localSheetId="18">#REF!</definedName>
    <definedName name="convpricedebt">#REF!</definedName>
    <definedName name="convpricepref" localSheetId="19">#REF!</definedName>
    <definedName name="convpricepref" localSheetId="18">#REF!</definedName>
    <definedName name="convpricepref">#REF!</definedName>
    <definedName name="Core_old__BT_cap_ex" localSheetId="19">#REF!</definedName>
    <definedName name="Core_old__BT_cap_ex" localSheetId="18">#REF!</definedName>
    <definedName name="Core_old__BT_cap_ex">#REF!</definedName>
    <definedName name="corecapex" localSheetId="19">#REF!</definedName>
    <definedName name="corecapex" localSheetId="18">#REF!</definedName>
    <definedName name="corecapex">#REF!</definedName>
    <definedName name="Corp" localSheetId="19">[3]Main!#REF!</definedName>
    <definedName name="Corp" localSheetId="18">[3]Main!#REF!</definedName>
    <definedName name="Corp">[3]Main!#REF!</definedName>
    <definedName name="COSMOa1" localSheetId="19">#REF!</definedName>
    <definedName name="COSMOa1" localSheetId="18">#REF!</definedName>
    <definedName name="COSMOa1">#REF!</definedName>
    <definedName name="COSMOa2" localSheetId="19">#REF!</definedName>
    <definedName name="COSMOa2" localSheetId="18">#REF!</definedName>
    <definedName name="COSMOa2">#REF!</definedName>
    <definedName name="COSMOSOP" localSheetId="19">#REF!</definedName>
    <definedName name="COSMOSOP" localSheetId="18">#REF!</definedName>
    <definedName name="COSMOSOP">#REF!</definedName>
    <definedName name="COSMOsop1" localSheetId="19">#REF!</definedName>
    <definedName name="COSMOsop1" localSheetId="18">#REF!</definedName>
    <definedName name="COSMOsop1">#REF!</definedName>
    <definedName name="COSMOTP1" localSheetId="19">#REF!</definedName>
    <definedName name="COSMOTP1" localSheetId="18">#REF!</definedName>
    <definedName name="COSMOTP1">#REF!</definedName>
    <definedName name="cosmotp2" localSheetId="19">#REF!</definedName>
    <definedName name="cosmotp2" localSheetId="18">#REF!</definedName>
    <definedName name="cosmotp2">#REF!</definedName>
    <definedName name="cost" localSheetId="19">'[25]Fleet &amp; Costs'!#REF!</definedName>
    <definedName name="cost" localSheetId="18">'[25]Fleet &amp; Costs'!#REF!</definedName>
    <definedName name="cost">'[25]Fleet &amp; Costs'!#REF!</definedName>
    <definedName name="Cost_of_drop_cable" localSheetId="19">'[10]P&amp;L-Pre'!#REF!</definedName>
    <definedName name="Cost_of_drop_cable" localSheetId="18">'[10]P&amp;L-Pre'!#REF!</definedName>
    <definedName name="Cost_of_drop_cable">'[10]P&amp;L-Pre'!#REF!</definedName>
    <definedName name="Cost_of_other_local_loop" localSheetId="19">'[10]P&amp;L-Pre'!#REF!</definedName>
    <definedName name="Cost_of_other_local_loop" localSheetId="18">'[10]P&amp;L-Pre'!#REF!</definedName>
    <definedName name="Cost_of_other_local_loop">'[10]P&amp;L-Pre'!#REF!</definedName>
    <definedName name="COST3P" localSheetId="19">#REF!</definedName>
    <definedName name="COST3P" localSheetId="18">#REF!</definedName>
    <definedName name="COST3P">#REF!</definedName>
    <definedName name="CostCSR" localSheetId="19">#REF!</definedName>
    <definedName name="CostCSR" localSheetId="18">#REF!</definedName>
    <definedName name="CostCSR">#REF!</definedName>
    <definedName name="costcsr2">'[33]STAT BRU'!$A$517:$IV$517</definedName>
    <definedName name="costcsrcodi" localSheetId="19">#REF!</definedName>
    <definedName name="costcsrcodi" localSheetId="18">#REF!</definedName>
    <definedName name="costcsrcodi">#REF!</definedName>
    <definedName name="costcsrconso">'[34]STAT BRU'!$A$517:$IV$517</definedName>
    <definedName name="CostCustServ" localSheetId="19">'[32]Statistics France'!#REF!</definedName>
    <definedName name="CostCustServ">'[32]Statistics France'!#REF!</definedName>
    <definedName name="costcustserv2">'[33]STAT BRU'!$A$516:$IV$516</definedName>
    <definedName name="costcustservcodi" localSheetId="19">#REF!</definedName>
    <definedName name="costcustservcodi" localSheetId="18">#REF!</definedName>
    <definedName name="costcustservcodi">#REF!</definedName>
    <definedName name="costcustservconso">'[34]STAT BRU'!$A$516:$IV$516</definedName>
    <definedName name="costcustservev" localSheetId="19">#REF!</definedName>
    <definedName name="costcustservev" localSheetId="18">#REF!</definedName>
    <definedName name="costcustservev">#REF!</definedName>
    <definedName name="costcustservevconso" localSheetId="19">#REF!</definedName>
    <definedName name="costcustservevconso" localSheetId="18">#REF!</definedName>
    <definedName name="costcustservevconso">#REF!</definedName>
    <definedName name="costcustservlux" localSheetId="19">'[35]Statistics '!#REF!</definedName>
    <definedName name="costcustservlux" localSheetId="18">'[35]Statistics '!#REF!</definedName>
    <definedName name="costcustservlux">'[35]Statistics '!#REF!</definedName>
    <definedName name="costdeposits2">'[33]STAT BRU'!$A$939:$IV$939</definedName>
    <definedName name="costechnicalcod" localSheetId="19">#REF!</definedName>
    <definedName name="costechnicalcod" localSheetId="18">#REF!</definedName>
    <definedName name="costechnicalcod">#REF!</definedName>
    <definedName name="CostGA" localSheetId="19">#REF!</definedName>
    <definedName name="CostGA" localSheetId="18">#REF!</definedName>
    <definedName name="CostGA">#REF!</definedName>
    <definedName name="costGA2">'[33]STAT BRU'!$A$569:$IV$569</definedName>
    <definedName name="costgacodi" localSheetId="19">#REF!</definedName>
    <definedName name="costgacodi" localSheetId="18">#REF!</definedName>
    <definedName name="costgacodi">#REF!</definedName>
    <definedName name="costgacons">'[34]STAT BRU'!$A$569:$IV$569</definedName>
    <definedName name="CostGenAdmin" localSheetId="19">#REF!</definedName>
    <definedName name="CostGenAdmin" localSheetId="18">#REF!</definedName>
    <definedName name="CostGenAdmin">#REF!</definedName>
    <definedName name="costgenadmin2">'[33]STAT BRU'!$A$567:$IV$567</definedName>
    <definedName name="CostGenAdmin3">'[6]OPERATIONS - STATISTICS'!$A$574:$IV$574</definedName>
    <definedName name="costgenadmincodi" localSheetId="19">#REF!</definedName>
    <definedName name="costgenadmincodi" localSheetId="18">#REF!</definedName>
    <definedName name="costgenadmincodi">#REF!</definedName>
    <definedName name="costgenadminconso">'[34]STAT BRU'!$A$567:$IV$567</definedName>
    <definedName name="costgenadminev" localSheetId="19">#REF!</definedName>
    <definedName name="costgenadminev" localSheetId="18">#REF!</definedName>
    <definedName name="costgenadminev">#REF!</definedName>
    <definedName name="costgenadminev2" localSheetId="19">#REF!</definedName>
    <definedName name="costgenadminev2" localSheetId="18">#REF!</definedName>
    <definedName name="costgenadminev2">#REF!</definedName>
    <definedName name="costgenadminevconso" localSheetId="19">#REF!</definedName>
    <definedName name="costgenadminevconso" localSheetId="18">#REF!</definedName>
    <definedName name="costgenadminevconso">#REF!</definedName>
    <definedName name="costgenadminlux" localSheetId="19">#REF!</definedName>
    <definedName name="costgenadminlux" localSheetId="18">#REF!</definedName>
    <definedName name="costgenadminlux">#REF!</definedName>
    <definedName name="CostHQFixed" localSheetId="19">[45]PLAN!#REF!</definedName>
    <definedName name="CostHQFixed" localSheetId="18">[45]PLAN!#REF!</definedName>
    <definedName name="CostHQFixed">[45]PLAN!#REF!</definedName>
    <definedName name="CostHQVariable" localSheetId="19">[45]PLAN!#REF!</definedName>
    <definedName name="CostHQVariable" localSheetId="18">[45]PLAN!#REF!</definedName>
    <definedName name="CostHQVariable">[45]PLAN!#REF!</definedName>
    <definedName name="CostNetWorkOps" localSheetId="19">'[32]Statistics France'!#REF!</definedName>
    <definedName name="CostNetWorkOps" localSheetId="18">'[32]Statistics France'!#REF!</definedName>
    <definedName name="CostNetWorkOps">'[32]Statistics France'!#REF!</definedName>
    <definedName name="costnetworkops2">'[33]STAT BRU'!$A$535:$IV$535</definedName>
    <definedName name="costnetworkopscodi" localSheetId="19">#REF!</definedName>
    <definedName name="costnetworkopscodi" localSheetId="18">#REF!</definedName>
    <definedName name="costnetworkopscodi">#REF!</definedName>
    <definedName name="costnetworkopsconso">'[34]STAT BRU'!$A$535:$IV$535</definedName>
    <definedName name="costnetworkopslux" localSheetId="19">'[35]Statistics '!#REF!</definedName>
    <definedName name="costnetworkopslux">'[35]Statistics '!#REF!</definedName>
    <definedName name="costofsales" localSheetId="19">'[10]Balance-Post'!#REF!</definedName>
    <definedName name="costofsales">'[10]Balance-Post'!#REF!</definedName>
    <definedName name="CostPersonnel" localSheetId="19">#REF!</definedName>
    <definedName name="CostPersonnel" localSheetId="18">#REF!</definedName>
    <definedName name="CostPersonnel">#REF!</definedName>
    <definedName name="costpersonnel2">'[33]STAT LUX'!$A$454:$IV$454</definedName>
    <definedName name="costpersonnelcodi" localSheetId="19">#REF!</definedName>
    <definedName name="costpersonnelcodi" localSheetId="18">#REF!</definedName>
    <definedName name="costpersonnelcodi">#REF!</definedName>
    <definedName name="costpersonnelconso">'[34]STAT LUX'!$A$454:$IV$454</definedName>
    <definedName name="costsalemkg2">'[33]STAT BRU'!$A$482:$IV$482</definedName>
    <definedName name="costsalemkgev2">'[46]STATS YPSO ADSL DEGROUPE'!$A$428:$IV$428</definedName>
    <definedName name="CostSalesMkg" localSheetId="19">'[32]Statistics France'!#REF!</definedName>
    <definedName name="CostSalesMkg">'[32]Statistics France'!#REF!</definedName>
    <definedName name="costsalesmkgconso">'[34]STAT BRU'!$A$482:$IV$482</definedName>
    <definedName name="costsalesmkgev" localSheetId="19">#REF!</definedName>
    <definedName name="costsalesmkgev" localSheetId="18">#REF!</definedName>
    <definedName name="costsalesmkgev">#REF!</definedName>
    <definedName name="costsalesmkgev2" localSheetId="19">#REF!</definedName>
    <definedName name="costsalesmkgev2" localSheetId="18">#REF!</definedName>
    <definedName name="costsalesmkgev2">#REF!</definedName>
    <definedName name="costsalesmkgevconso" localSheetId="19">#REF!</definedName>
    <definedName name="costsalesmkgevconso" localSheetId="18">#REF!</definedName>
    <definedName name="costsalesmkgevconso">#REF!</definedName>
    <definedName name="costsalesmkglux" localSheetId="19">'[35]Statistics '!#REF!</definedName>
    <definedName name="costsalesmkglux" localSheetId="18">'[35]Statistics '!#REF!</definedName>
    <definedName name="costsalesmkglux">'[35]Statistics '!#REF!</definedName>
    <definedName name="costsalesmktcodi" localSheetId="19">#REF!</definedName>
    <definedName name="costsalesmktcodi" localSheetId="18">#REF!</definedName>
    <definedName name="costsalesmktcodi">#REF!</definedName>
    <definedName name="CostTechnical" localSheetId="19">#REF!</definedName>
    <definedName name="CostTechnical" localSheetId="18">#REF!</definedName>
    <definedName name="CostTechnical">#REF!</definedName>
    <definedName name="costtechnical2">'[33]STAT BRU'!$A$536:$IV$536</definedName>
    <definedName name="costtechnicalconso">'[34]STAT BRU'!$A$536:$IV$536</definedName>
    <definedName name="coucou" localSheetId="18" hidden="1">{#N/A,#N/A,TRUE,"Cover sheet";#N/A,#N/A,TRUE,"INPUTS";#N/A,#N/A,TRUE,"OUTPUTS";#N/A,#N/A,TRUE,"VALUATION"}</definedName>
    <definedName name="coucou" hidden="1">{#N/A,#N/A,TRUE,"Cover sheet";#N/A,#N/A,TRUE,"INPUTS";#N/A,#N/A,TRUE,"OUTPUTS";#N/A,#N/A,TRUE,"VALUATION"}</definedName>
    <definedName name="cov2a" localSheetId="19">#REF!</definedName>
    <definedName name="cov2a">#REF!</definedName>
    <definedName name="cov4a" localSheetId="19">#REF!</definedName>
    <definedName name="cov4a" localSheetId="18">#REF!</definedName>
    <definedName name="cov4a">#REF!</definedName>
    <definedName name="CPE" localSheetId="19">#REF!</definedName>
    <definedName name="CPE" localSheetId="18">#REF!</definedName>
    <definedName name="CPE">#REF!</definedName>
    <definedName name="Cplusrec" localSheetId="19">#REF!</definedName>
    <definedName name="Cplusrec" localSheetId="18">#REF!</definedName>
    <definedName name="Cplusrec">#REF!</definedName>
    <definedName name="cpwsop" localSheetId="19">#REF!</definedName>
    <definedName name="cpwsop" localSheetId="18">#REF!</definedName>
    <definedName name="cpwsop">#REF!</definedName>
    <definedName name="CPWT1" localSheetId="19">#REF!</definedName>
    <definedName name="CPWT1" localSheetId="18">#REF!</definedName>
    <definedName name="CPWT1">#REF!</definedName>
    <definedName name="CPWT2" localSheetId="19">#REF!</definedName>
    <definedName name="CPWT2" localSheetId="18">#REF!</definedName>
    <definedName name="CPWT2">#REF!</definedName>
    <definedName name="creditor_days_capital" localSheetId="19">'[10]P&amp;L-Pre'!#REF!</definedName>
    <definedName name="creditor_days_capital" localSheetId="18">'[10]P&amp;L-Pre'!#REF!</definedName>
    <definedName name="creditor_days_capital">'[10]P&amp;L-Pre'!#REF!</definedName>
    <definedName name="creditors" localSheetId="19">#REF!</definedName>
    <definedName name="creditors" localSheetId="18">#REF!</definedName>
    <definedName name="creditors">#REF!</definedName>
    <definedName name="croissinter" localSheetId="19">#REF!</definedName>
    <definedName name="croissinter" localSheetId="18">#REF!</definedName>
    <definedName name="croissinter">#REF!</definedName>
    <definedName name="CTBASIC" localSheetId="19">#REF!</definedName>
    <definedName name="CTBASIC" localSheetId="18">#REF!</definedName>
    <definedName name="CTBASIC">#REF!</definedName>
    <definedName name="CTCABLE" localSheetId="19">#REF!</definedName>
    <definedName name="CTCABLE" localSheetId="18">#REF!</definedName>
    <definedName name="CTCABLE">#REF!</definedName>
    <definedName name="CTCINEMA" localSheetId="19">#REF!</definedName>
    <definedName name="CTCINEMA" localSheetId="18">#REF!</definedName>
    <definedName name="CTCINEMA">#REF!</definedName>
    <definedName name="CTCINETPS" localSheetId="19">#REF!</definedName>
    <definedName name="CTCINETPS" localSheetId="18">#REF!</definedName>
    <definedName name="CTCINETPS">#REF!</definedName>
    <definedName name="CTDISNEY" localSheetId="19">#REF!</definedName>
    <definedName name="CTDISNEY" localSheetId="18">#REF!</definedName>
    <definedName name="CTDISNEY">#REF!</definedName>
    <definedName name="CTINTER" localSheetId="19">#REF!</definedName>
    <definedName name="CTINTER" localSheetId="18">#REF!</definedName>
    <definedName name="CTINTER">#REF!</definedName>
    <definedName name="CTMIDI" localSheetId="19">#REF!</definedName>
    <definedName name="CTMIDI" localSheetId="18">#REF!</definedName>
    <definedName name="CTMIDI">#REF!</definedName>
    <definedName name="CTMINI" localSheetId="19">#REF!</definedName>
    <definedName name="CTMINI" localSheetId="18">#REF!</definedName>
    <definedName name="CTMINI">#REF!</definedName>
    <definedName name="CTSERVICE" localSheetId="19">#REF!</definedName>
    <definedName name="CTSERVICE" localSheetId="18">#REF!</definedName>
    <definedName name="CTSERVICE">#REF!</definedName>
    <definedName name="cu20.ItemTypeCategory" localSheetId="19">#REF!</definedName>
    <definedName name="cu20.ItemTypeCategory" localSheetId="18">#REF!</definedName>
    <definedName name="cu20.ItemTypeCategory">#REF!</definedName>
    <definedName name="cueps" localSheetId="19">#REF!</definedName>
    <definedName name="cueps" localSheetId="18">#REF!</definedName>
    <definedName name="cueps">#REF!</definedName>
    <definedName name="cuolinjz">'[41]Jazztel market (lines)'!$A$6:$IV$6</definedName>
    <definedName name="Curr" localSheetId="19">#REF!</definedName>
    <definedName name="Curr" localSheetId="18">#REF!</definedName>
    <definedName name="Curr">#REF!</definedName>
    <definedName name="currcodes" localSheetId="19">#REF!</definedName>
    <definedName name="currcodes" localSheetId="18">#REF!</definedName>
    <definedName name="currcodes">#REF!</definedName>
    <definedName name="Currency" localSheetId="19">'[10]Cashflow-Post'!#REF!</definedName>
    <definedName name="Currency" localSheetId="18">'[10]Cashflow-Post'!#REF!</definedName>
    <definedName name="Currency">'[10]Cashflow-Post'!#REF!</definedName>
    <definedName name="Currency2" localSheetId="19">'[47]Sources &amp; Uses'!#REF!</definedName>
    <definedName name="Currency2" localSheetId="18">'[47]Sources &amp; Uses'!#REF!</definedName>
    <definedName name="Currency2">'[47]Sources &amp; Uses'!#REF!</definedName>
    <definedName name="currs" localSheetId="19">#REF!</definedName>
    <definedName name="currs" localSheetId="18">#REF!</definedName>
    <definedName name="currs">#REF!</definedName>
    <definedName name="Cust_Prod" localSheetId="19">#REF!</definedName>
    <definedName name="Cust_Prod" localSheetId="18">#REF!</definedName>
    <definedName name="Cust_Prod">#REF!</definedName>
    <definedName name="CustDeposits" localSheetId="19">'[32]Statistics France'!#REF!</definedName>
    <definedName name="CustDeposits" localSheetId="18">'[32]Statistics France'!#REF!</definedName>
    <definedName name="CustDeposits">'[32]Statistics France'!#REF!</definedName>
    <definedName name="custdepositscodi" localSheetId="19">#REF!</definedName>
    <definedName name="custdepositscodi" localSheetId="18">#REF!</definedName>
    <definedName name="custdepositscodi">#REF!</definedName>
    <definedName name="custdepositsconso">'[34]STAT BRU'!$A$939:$IV$939</definedName>
    <definedName name="custdepositsev" localSheetId="19">#REF!</definedName>
    <definedName name="custdepositsev" localSheetId="18">#REF!</definedName>
    <definedName name="custdepositsev">#REF!</definedName>
    <definedName name="custdepositsev2" localSheetId="19">#REF!</definedName>
    <definedName name="custdepositsev2" localSheetId="18">#REF!</definedName>
    <definedName name="custdepositsev2">#REF!</definedName>
    <definedName name="custdepositsevcons" localSheetId="19">#REF!</definedName>
    <definedName name="custdepositsevcons" localSheetId="18">#REF!</definedName>
    <definedName name="custdepositsevcons">#REF!</definedName>
    <definedName name="custdepositslux" localSheetId="19">'[35]Statistics '!#REF!</definedName>
    <definedName name="custdepositslux" localSheetId="18">'[35]Statistics '!#REF!</definedName>
    <definedName name="custdepositslux">'[35]Statistics '!#REF!</definedName>
    <definedName name="custdepostsev2">'[46]STATS YPSO ADSL DEGROUPE'!$A$855:$IV$855</definedName>
    <definedName name="CWADR" localSheetId="19">'[7]Fixed ADRs'!#REF!</definedName>
    <definedName name="CWADR">'[7]Fixed ADRs'!#REF!</definedName>
    <definedName name="cz" localSheetId="19">#REF!</definedName>
    <definedName name="cz" localSheetId="18">#REF!</definedName>
    <definedName name="cz">#REF!</definedName>
    <definedName name="d" localSheetId="19">#REF!</definedName>
    <definedName name="d" localSheetId="18">#REF!</definedName>
    <definedName name="d">#REF!</definedName>
    <definedName name="DA" localSheetId="19">#REF!</definedName>
    <definedName name="DA" localSheetId="18">#REF!</definedName>
    <definedName name="DA">#REF!</definedName>
    <definedName name="das" localSheetId="18"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das"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DATA_C" localSheetId="19">#REF!</definedName>
    <definedName name="DATA_C">#REF!</definedName>
    <definedName name="Data_Forfait_1" localSheetId="19">#REF!</definedName>
    <definedName name="Data_Forfait_1" localSheetId="18">#REF!</definedName>
    <definedName name="Data_Forfait_1">#REF!</definedName>
    <definedName name="Data_Forfait_10" localSheetId="19">#REF!</definedName>
    <definedName name="Data_Forfait_10" localSheetId="18">#REF!</definedName>
    <definedName name="Data_Forfait_10">#REF!</definedName>
    <definedName name="Data_Forfait_11" localSheetId="19">#REF!</definedName>
    <definedName name="Data_Forfait_11" localSheetId="18">#REF!</definedName>
    <definedName name="Data_Forfait_11">#REF!</definedName>
    <definedName name="Data_Forfait_12" localSheetId="19">#REF!</definedName>
    <definedName name="Data_Forfait_12" localSheetId="18">#REF!</definedName>
    <definedName name="Data_Forfait_12">#REF!</definedName>
    <definedName name="Data_Forfait_13" localSheetId="19">#REF!</definedName>
    <definedName name="Data_Forfait_13" localSheetId="18">#REF!</definedName>
    <definedName name="Data_Forfait_13">#REF!</definedName>
    <definedName name="Data_Forfait_14" localSheetId="19">#REF!</definedName>
    <definedName name="Data_Forfait_14" localSheetId="18">#REF!</definedName>
    <definedName name="Data_Forfait_14">#REF!</definedName>
    <definedName name="Data_Forfait_15" localSheetId="19">#REF!</definedName>
    <definedName name="Data_Forfait_15" localSheetId="18">#REF!</definedName>
    <definedName name="Data_Forfait_15">#REF!</definedName>
    <definedName name="Data_Forfait_2" localSheetId="19">#REF!</definedName>
    <definedName name="Data_Forfait_2" localSheetId="18">#REF!</definedName>
    <definedName name="Data_Forfait_2">#REF!</definedName>
    <definedName name="Data_Forfait_3" localSheetId="19">#REF!</definedName>
    <definedName name="Data_Forfait_3" localSheetId="18">#REF!</definedName>
    <definedName name="Data_Forfait_3">#REF!</definedName>
    <definedName name="Data_Forfait_4" localSheetId="19">#REF!</definedName>
    <definedName name="Data_Forfait_4" localSheetId="18">#REF!</definedName>
    <definedName name="Data_Forfait_4">#REF!</definedName>
    <definedName name="Data_Forfait_5" localSheetId="19">#REF!</definedName>
    <definedName name="Data_Forfait_5" localSheetId="18">#REF!</definedName>
    <definedName name="Data_Forfait_5">#REF!</definedName>
    <definedName name="Data_Forfait_6" localSheetId="19">#REF!</definedName>
    <definedName name="Data_Forfait_6" localSheetId="18">#REF!</definedName>
    <definedName name="Data_Forfait_6">#REF!</definedName>
    <definedName name="Data_Forfait_7" localSheetId="19">#REF!</definedName>
    <definedName name="Data_Forfait_7" localSheetId="18">#REF!</definedName>
    <definedName name="Data_Forfait_7">#REF!</definedName>
    <definedName name="Data_Forfait_8" localSheetId="19">#REF!</definedName>
    <definedName name="Data_Forfait_8" localSheetId="18">#REF!</definedName>
    <definedName name="Data_Forfait_8">#REF!</definedName>
    <definedName name="Data_Forfait_9" localSheetId="19">#REF!</definedName>
    <definedName name="Data_Forfait_9" localSheetId="18">#REF!</definedName>
    <definedName name="Data_Forfait_9">#REF!</definedName>
    <definedName name="Data_Hors_Forfait_1" localSheetId="19">#REF!</definedName>
    <definedName name="Data_Hors_Forfait_1" localSheetId="18">#REF!</definedName>
    <definedName name="Data_Hors_Forfait_1">#REF!</definedName>
    <definedName name="Data_Hors_Forfait_10" localSheetId="19">#REF!</definedName>
    <definedName name="Data_Hors_Forfait_10" localSheetId="18">#REF!</definedName>
    <definedName name="Data_Hors_Forfait_10">#REF!</definedName>
    <definedName name="Data_Hors_Forfait_11" localSheetId="19">#REF!</definedName>
    <definedName name="Data_Hors_Forfait_11" localSheetId="18">#REF!</definedName>
    <definedName name="Data_Hors_Forfait_11">#REF!</definedName>
    <definedName name="Data_Hors_Forfait_12" localSheetId="19">#REF!</definedName>
    <definedName name="Data_Hors_Forfait_12" localSheetId="18">#REF!</definedName>
    <definedName name="Data_Hors_Forfait_12">#REF!</definedName>
    <definedName name="Data_Hors_Forfait_13" localSheetId="19">#REF!</definedName>
    <definedName name="Data_Hors_Forfait_13" localSheetId="18">#REF!</definedName>
    <definedName name="Data_Hors_Forfait_13">#REF!</definedName>
    <definedName name="Data_Hors_Forfait_14" localSheetId="19">#REF!</definedName>
    <definedName name="Data_Hors_Forfait_14" localSheetId="18">#REF!</definedName>
    <definedName name="Data_Hors_Forfait_14">#REF!</definedName>
    <definedName name="Data_Hors_Forfait_15" localSheetId="19">#REF!</definedName>
    <definedName name="Data_Hors_Forfait_15" localSheetId="18">#REF!</definedName>
    <definedName name="Data_Hors_Forfait_15">#REF!</definedName>
    <definedName name="Data_Hors_Forfait_2" localSheetId="19">#REF!</definedName>
    <definedName name="Data_Hors_Forfait_2" localSheetId="18">#REF!</definedName>
    <definedName name="Data_Hors_Forfait_2">#REF!</definedName>
    <definedName name="Data_Hors_Forfait_3" localSheetId="19">#REF!</definedName>
    <definedName name="Data_Hors_Forfait_3" localSheetId="18">#REF!</definedName>
    <definedName name="Data_Hors_Forfait_3">#REF!</definedName>
    <definedName name="Data_Hors_Forfait_4" localSheetId="19">#REF!</definedName>
    <definedName name="Data_Hors_Forfait_4" localSheetId="18">#REF!</definedName>
    <definedName name="Data_Hors_Forfait_4">#REF!</definedName>
    <definedName name="Data_Hors_Forfait_5" localSheetId="19">#REF!</definedName>
    <definedName name="Data_Hors_Forfait_5" localSheetId="18">#REF!</definedName>
    <definedName name="Data_Hors_Forfait_5">#REF!</definedName>
    <definedName name="Data_Hors_Forfait_6" localSheetId="19">#REF!</definedName>
    <definedName name="Data_Hors_Forfait_6" localSheetId="18">#REF!</definedName>
    <definedName name="Data_Hors_Forfait_6">#REF!</definedName>
    <definedName name="Data_Hors_Forfait_7" localSheetId="19">#REF!</definedName>
    <definedName name="Data_Hors_Forfait_7" localSheetId="18">#REF!</definedName>
    <definedName name="Data_Hors_Forfait_7">#REF!</definedName>
    <definedName name="Data_Hors_Forfait_8" localSheetId="19">#REF!</definedName>
    <definedName name="Data_Hors_Forfait_8" localSheetId="18">#REF!</definedName>
    <definedName name="Data_Hors_Forfait_8">#REF!</definedName>
    <definedName name="Data_Hors_Forfait_9" localSheetId="19">#REF!</definedName>
    <definedName name="Data_Hors_Forfait_9" localSheetId="18">#REF!</definedName>
    <definedName name="Data_Hors_Forfait_9">#REF!</definedName>
    <definedName name="DATA_P" localSheetId="19">#REF!</definedName>
    <definedName name="DATA_P" localSheetId="18">#REF!</definedName>
    <definedName name="DATA_P">#REF!</definedName>
    <definedName name="Data_revenues" localSheetId="19">#REF!</definedName>
    <definedName name="Data_revenues" localSheetId="18">#REF!</definedName>
    <definedName name="Data_revenues">#REF!</definedName>
    <definedName name="Data_summary" localSheetId="18"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_summary"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_xlnm.Database" localSheetId="19">#REF!</definedName>
    <definedName name="_xlnm.Database">#REF!</definedName>
    <definedName name="DATACALC" localSheetId="19">[3]LBO!#REF!</definedName>
    <definedName name="DATACALC">[3]LBO!#REF!</definedName>
    <definedName name="DATE" localSheetId="19">#REF!</definedName>
    <definedName name="DATE" localSheetId="18">#REF!</definedName>
    <definedName name="DATE">#REF!</definedName>
    <definedName name="DATE1" localSheetId="19">#REF!</definedName>
    <definedName name="DATE1" localSheetId="18">#REF!</definedName>
    <definedName name="DATE1">#REF!</definedName>
    <definedName name="DATE2" localSheetId="19">#REF!</definedName>
    <definedName name="DATE2" localSheetId="18">#REF!</definedName>
    <definedName name="DATE2">#REF!</definedName>
    <definedName name="DATEDOC" localSheetId="19">#REF!</definedName>
    <definedName name="DATEDOC" localSheetId="18">#REF!</definedName>
    <definedName name="DATEDOC">#REF!</definedName>
    <definedName name="DATEFIDUCIE" localSheetId="19">#REF!</definedName>
    <definedName name="DATEFIDUCIE" localSheetId="18">#REF!</definedName>
    <definedName name="DATEFIDUCIE">#REF!</definedName>
    <definedName name="DATEPROTOCOLE" localSheetId="19">#REF!</definedName>
    <definedName name="DATEPROTOCOLE" localSheetId="18">#REF!</definedName>
    <definedName name="DATEPROTOCOLE">#REF!</definedName>
    <definedName name="days.per.year">[48]Names!$B$37</definedName>
    <definedName name="DB">"WIREUK"</definedName>
    <definedName name="DBA.Date2" localSheetId="19">#REF!</definedName>
    <definedName name="DBA.Date2" localSheetId="18">#REF!</definedName>
    <definedName name="DBA.Date2">#REF!</definedName>
    <definedName name="DBA.Price2" localSheetId="19">#REF!</definedName>
    <definedName name="DBA.Price2" localSheetId="18">#REF!</definedName>
    <definedName name="DBA.Price2">#REF!</definedName>
    <definedName name="DBA.PriceRel1" localSheetId="19">#REF!</definedName>
    <definedName name="DBA.PriceRel1" localSheetId="18">#REF!</definedName>
    <definedName name="DBA.PriceRel1">#REF!</definedName>
    <definedName name="dcf">'[49]Debt Schedule'!$A$4:$S$40</definedName>
    <definedName name="dcf.table" localSheetId="19">#REF!</definedName>
    <definedName name="dcf.table" localSheetId="18">#REF!</definedName>
    <definedName name="dcf.table">#REF!</definedName>
    <definedName name="dcf_year" localSheetId="19">#REF!</definedName>
    <definedName name="dcf_year" localSheetId="18">#REF!</definedName>
    <definedName name="dcf_year">#REF!</definedName>
    <definedName name="dcfsept_97_2_DCF_List" localSheetId="19">'[50]Financial Statements'!#REF!</definedName>
    <definedName name="dcfsept_97_2_DCF_List" localSheetId="18">'[50]Financial Statements'!#REF!</definedName>
    <definedName name="dcfsept_97_2_DCF_List">'[50]Financial Statements'!#REF!</definedName>
    <definedName name="dd">'[6]OPERATIONS - STATISTICS EV'!$A$26:$IV$26</definedName>
    <definedName name="dddd" localSheetId="19">'[51]Stats '!#REF!</definedName>
    <definedName name="dddd">'[51]Stats '!#REF!</definedName>
    <definedName name="DEBT" localSheetId="19">#REF!</definedName>
    <definedName name="DEBT" localSheetId="18">#REF!</definedName>
    <definedName name="DEBT">#REF!</definedName>
    <definedName name="debt_fv" localSheetId="19">#REF!</definedName>
    <definedName name="debt_fv" localSheetId="18">#REF!</definedName>
    <definedName name="debt_fv">#REF!</definedName>
    <definedName name="debt_terminal" localSheetId="19">#REF!</definedName>
    <definedName name="debt_terminal" localSheetId="18">#REF!</definedName>
    <definedName name="debt_terminal">#REF!</definedName>
    <definedName name="Debtmargin" localSheetId="19">[52]WACC!#REF!</definedName>
    <definedName name="Debtmargin" localSheetId="18">[52]WACC!#REF!</definedName>
    <definedName name="Debtmargin">[52]WACC!#REF!</definedName>
    <definedName name="DEBTORDAYS">'[37]Inflation &amp; Currency'!$P$67</definedName>
    <definedName name="debtors" localSheetId="19">#REF!</definedName>
    <definedName name="debtors" localSheetId="18">#REF!</definedName>
    <definedName name="debtors">#REF!</definedName>
    <definedName name="DEBTPACKAGE" localSheetId="19">#REF!</definedName>
    <definedName name="DEBTPACKAGE" localSheetId="18">#REF!</definedName>
    <definedName name="DEBTPACKAGE">#REF!</definedName>
    <definedName name="DebtPrepayment" localSheetId="19">[53]Cover!#REF!</definedName>
    <definedName name="DebtPrepayment" localSheetId="18">[53]Cover!#REF!</definedName>
    <definedName name="DebtPrepayment">[53]Cover!#REF!</definedName>
    <definedName name="debut_ano_1" localSheetId="19">#REF!</definedName>
    <definedName name="debut_ano_1" localSheetId="18">#REF!</definedName>
    <definedName name="debut_ano_1">#REF!</definedName>
    <definedName name="DEC_HA" localSheetId="19">#REF!</definedName>
    <definedName name="DEC_HA" localSheetId="18">#REF!</definedName>
    <definedName name="DEC_HA">#REF!</definedName>
    <definedName name="DEC_VTE" localSheetId="19">#REF!</definedName>
    <definedName name="DEC_VTE" localSheetId="18">#REF!</definedName>
    <definedName name="DEC_VTE">#REF!</definedName>
    <definedName name="defrev" localSheetId="19">'[25]Fleet &amp; Costs'!#REF!</definedName>
    <definedName name="defrev" localSheetId="18">'[25]Fleet &amp; Costs'!#REF!</definedName>
    <definedName name="defrev">'[25]Fleet &amp; Costs'!#REF!</definedName>
    <definedName name="demeuro" localSheetId="19">#REF!</definedName>
    <definedName name="demeuro" localSheetId="18">#REF!</definedName>
    <definedName name="demeuro">#REF!</definedName>
    <definedName name="Density" localSheetId="19">'[32]Statistics France'!#REF!</definedName>
    <definedName name="Density" localSheetId="18">'[32]Statistics France'!#REF!</definedName>
    <definedName name="Density">'[32]Statistics France'!#REF!</definedName>
    <definedName name="density2" localSheetId="19">'[33]STAT BRU'!#REF!</definedName>
    <definedName name="density2" localSheetId="18">'[33]STAT BRU'!#REF!</definedName>
    <definedName name="density2">'[33]STAT BRU'!#REF!</definedName>
    <definedName name="densityA1" localSheetId="19">'[54]STAT BRU'!#REF!</definedName>
    <definedName name="densityA1" localSheetId="18">'[54]STAT BRU'!#REF!</definedName>
    <definedName name="densityA1">'[54]STAT BRU'!#REF!</definedName>
    <definedName name="densityA12" localSheetId="19">'[54]STAT BRU'!#REF!</definedName>
    <definedName name="densityA12" localSheetId="18">'[54]STAT BRU'!#REF!</definedName>
    <definedName name="densityA12">'[54]STAT BRU'!#REF!</definedName>
    <definedName name="densitycodi" localSheetId="19">#REF!</definedName>
    <definedName name="densitycodi" localSheetId="18">#REF!</definedName>
    <definedName name="densitycodi">#REF!</definedName>
    <definedName name="densityconso" localSheetId="19">'[34]STAT BRU'!#REF!</definedName>
    <definedName name="densityconso" localSheetId="18">'[34]STAT BRU'!#REF!</definedName>
    <definedName name="densityconso">'[34]STAT BRU'!#REF!</definedName>
    <definedName name="densityev" localSheetId="19">#REF!</definedName>
    <definedName name="densityev" localSheetId="18">#REF!</definedName>
    <definedName name="densityev">#REF!</definedName>
    <definedName name="densityev2" localSheetId="19">'[34]  STAT EV'!#REF!</definedName>
    <definedName name="densityev2" localSheetId="18">'[34]  STAT EV'!#REF!</definedName>
    <definedName name="densityev2">'[34]  STAT EV'!#REF!</definedName>
    <definedName name="densityevconso" localSheetId="19">#REF!</definedName>
    <definedName name="densityevconso" localSheetId="18">#REF!</definedName>
    <definedName name="densityevconso">#REF!</definedName>
    <definedName name="dep" localSheetId="19">'[10]P&amp;L-Pre'!#REF!</definedName>
    <definedName name="dep" localSheetId="18">'[10]P&amp;L-Pre'!#REF!</definedName>
    <definedName name="dep">'[10]P&amp;L-Pre'!#REF!</definedName>
    <definedName name="dep_time">[10]MBO!$G$63</definedName>
    <definedName name="DEPR" localSheetId="19">#REF!</definedName>
    <definedName name="DEPR" localSheetId="18">#REF!</definedName>
    <definedName name="DEPR">#REF!</definedName>
    <definedName name="depre" localSheetId="19">#REF!</definedName>
    <definedName name="depre" localSheetId="18">#REF!</definedName>
    <definedName name="depre">#REF!</definedName>
    <definedName name="depreciation" localSheetId="19">#REF!</definedName>
    <definedName name="depreciation" localSheetId="18">#REF!</definedName>
    <definedName name="depreciation">#REF!</definedName>
    <definedName name="depreciation_rate" localSheetId="19">'[10]P&amp;L-Pre'!#REF!</definedName>
    <definedName name="depreciation_rate" localSheetId="18">'[10]P&amp;L-Pre'!#REF!</definedName>
    <definedName name="depreciation_rate">'[10]P&amp;L-Pre'!#REF!</definedName>
    <definedName name="DepreciationAndAmortisation" localSheetId="19">'[10]Balance-Post'!#REF!</definedName>
    <definedName name="DepreciationAndAmortisation" localSheetId="18">'[10]Balance-Post'!#REF!</definedName>
    <definedName name="DepreciationAndAmortisation">'[10]Balance-Post'!#REF!</definedName>
    <definedName name="DepreciationAnte97" localSheetId="19">[45]PLAN!#REF!</definedName>
    <definedName name="DepreciationAnte97" localSheetId="18">[45]PLAN!#REF!</definedName>
    <definedName name="DepreciationAnte97">[45]PLAN!#REF!</definedName>
    <definedName name="DESCRIPTION" localSheetId="19">#REF!</definedName>
    <definedName name="DESCRIPTION" localSheetId="18">#REF!</definedName>
    <definedName name="DESCRIPTION">#REF!</definedName>
    <definedName name="DESIGNATION" localSheetId="19">#REF!</definedName>
    <definedName name="DESIGNATION" localSheetId="18">#REF!</definedName>
    <definedName name="DESIGNATION">#REF!</definedName>
    <definedName name="DEVISE">[28]PARAM!$B$16</definedName>
    <definedName name="DI" localSheetId="19">#REF!</definedName>
    <definedName name="DI" localSheetId="18">#REF!</definedName>
    <definedName name="DI">#REF!</definedName>
    <definedName name="DI_2" localSheetId="19">#REF!</definedName>
    <definedName name="DI_2" localSheetId="18">#REF!</definedName>
    <definedName name="DI_2">#REF!</definedName>
    <definedName name="Di_Div" localSheetId="19">#REF!</definedName>
    <definedName name="Di_Div" localSheetId="18">#REF!</definedName>
    <definedName name="Di_Div">#REF!</definedName>
    <definedName name="dialarpu0109" localSheetId="19">#REF!</definedName>
    <definedName name="dialarpu0109" localSheetId="18">#REF!</definedName>
    <definedName name="dialarpu0109">#REF!</definedName>
    <definedName name="dialprop0109" localSheetId="19">#REF!</definedName>
    <definedName name="dialprop0109" localSheetId="18">#REF!</definedName>
    <definedName name="dialprop0109">#REF!</definedName>
    <definedName name="Dicval" localSheetId="19">#REF!</definedName>
    <definedName name="Dicval" localSheetId="18">#REF!</definedName>
    <definedName name="Dicval">#REF!</definedName>
    <definedName name="DirCostCATV" localSheetId="19">'[32]Statistics France'!#REF!</definedName>
    <definedName name="DirCostCATV" localSheetId="18">'[32]Statistics France'!#REF!</definedName>
    <definedName name="DirCostCATV">'[32]Statistics France'!#REF!</definedName>
    <definedName name="dircostcatv2">'[33]STAT BRU'!$A$318:$IV$318</definedName>
    <definedName name="dircostcatvcodi" localSheetId="19">#REF!</definedName>
    <definedName name="dircostcatvcodi" localSheetId="18">#REF!</definedName>
    <definedName name="dircostcatvcodi">#REF!</definedName>
    <definedName name="dircostcatvconso">'[34]STAT BRU'!$A$318:$IV$318</definedName>
    <definedName name="dircostcatvev" localSheetId="19">#REF!</definedName>
    <definedName name="dircostcatvev" localSheetId="18">#REF!</definedName>
    <definedName name="dircostcatvev">#REF!</definedName>
    <definedName name="dircostcatvev2" localSheetId="19">#REF!</definedName>
    <definedName name="dircostcatvev2" localSheetId="18">#REF!</definedName>
    <definedName name="dircostcatvev2">#REF!</definedName>
    <definedName name="dircostcatvevconso" localSheetId="19">#REF!</definedName>
    <definedName name="dircostcatvevconso" localSheetId="18">#REF!</definedName>
    <definedName name="dircostcatvevconso">#REF!</definedName>
    <definedName name="dircostcatvlux" localSheetId="19">'[35]Statistics '!#REF!</definedName>
    <definedName name="dircostcatvlux" localSheetId="18">'[35]Statistics '!#REF!</definedName>
    <definedName name="dircostcatvlux">'[35]Statistics '!#REF!</definedName>
    <definedName name="DirCostData" localSheetId="19">'[32]Statistics France'!#REF!</definedName>
    <definedName name="DirCostData" localSheetId="18">'[32]Statistics France'!#REF!</definedName>
    <definedName name="DirCostData">'[32]Statistics France'!#REF!</definedName>
    <definedName name="dircostdata2">'[33]STAT BRU'!$A$334:$IV$334</definedName>
    <definedName name="dircostdatacodi" localSheetId="19">#REF!</definedName>
    <definedName name="dircostdatacodi" localSheetId="18">#REF!</definedName>
    <definedName name="dircostdatacodi">#REF!</definedName>
    <definedName name="dircostdataconso">'[34]STAT BRU'!$A$334:$IV$334</definedName>
    <definedName name="dircostdataev" localSheetId="19">#REF!</definedName>
    <definedName name="dircostdataev" localSheetId="18">#REF!</definedName>
    <definedName name="dircostdataev">#REF!</definedName>
    <definedName name="dircostdataev2" localSheetId="19">#REF!</definedName>
    <definedName name="dircostdataev2" localSheetId="18">#REF!</definedName>
    <definedName name="dircostdataev2">#REF!</definedName>
    <definedName name="dircostdatalux" localSheetId="19">'[35]Statistics '!#REF!</definedName>
    <definedName name="dircostdatalux" localSheetId="18">'[35]Statistics '!#REF!</definedName>
    <definedName name="dircostdatalux">'[35]Statistics '!#REF!</definedName>
    <definedName name="DirCostTel" localSheetId="19">'[32]Statistics France'!#REF!</definedName>
    <definedName name="DirCostTel" localSheetId="18">'[32]Statistics France'!#REF!</definedName>
    <definedName name="DirCostTel">'[32]Statistics France'!#REF!</definedName>
    <definedName name="dircosttel2">'[33]STAT BRU'!$A$330:$IV$330</definedName>
    <definedName name="dircosttelcodi" localSheetId="19">#REF!</definedName>
    <definedName name="dircosttelcodi" localSheetId="18">#REF!</definedName>
    <definedName name="dircosttelcodi">#REF!</definedName>
    <definedName name="dircosttelev" localSheetId="19">#REF!</definedName>
    <definedName name="dircosttelev" localSheetId="18">#REF!</definedName>
    <definedName name="dircosttelev">#REF!</definedName>
    <definedName name="dircosttelev2" localSheetId="19">#REF!</definedName>
    <definedName name="dircosttelev2" localSheetId="18">#REF!</definedName>
    <definedName name="dircosttelev2">#REF!</definedName>
    <definedName name="dircosttelevconso" localSheetId="19">#REF!</definedName>
    <definedName name="dircosttelevconso" localSheetId="18">#REF!</definedName>
    <definedName name="dircosttelevconso">#REF!</definedName>
    <definedName name="dircosttellux" localSheetId="19">'[35]Statistics '!#REF!</definedName>
    <definedName name="dircosttellux" localSheetId="18">'[35]Statistics '!#REF!</definedName>
    <definedName name="dircosttellux">'[35]Statistics '!#REF!</definedName>
    <definedName name="direcostdataevconso" localSheetId="19">#REF!</definedName>
    <definedName name="direcostdataevconso" localSheetId="18">#REF!</definedName>
    <definedName name="direcostdataevconso">#REF!</definedName>
    <definedName name="direcosttelconso">'[34]STAT BRU'!$A$330:$IV$330</definedName>
    <definedName name="directdataev2">'[46]STATS YPSO ADSL DEGROUPE'!$A$283:$IV$283</definedName>
    <definedName name="Disc_Address">[27]Beta!$E$401</definedName>
    <definedName name="Disc_Dividends">'[27]Output Multiples'!$G$123:$T$123</definedName>
    <definedName name="Disc_HY">[27]Beta!$H$144:$U$144</definedName>
    <definedName name="Disc_Interco">[27]Beta!$H$18:$U$18</definedName>
    <definedName name="Disc_JunMezz">[27]Beta!$H$143:$U$143</definedName>
    <definedName name="DISC_RATE">[10]A!$G$41</definedName>
    <definedName name="Disc_Refinanced">[27]Beta!$H$20:$U$20</definedName>
    <definedName name="Disc_Revolving">[27]Beta!$H$19:$U$19</definedName>
    <definedName name="Disc_Revolving_Use">[27]Beta!$H$23:$U$23</definedName>
    <definedName name="Disc_SeniorA">[27]Beta!$H$139:$U$139</definedName>
    <definedName name="Disc_SeniorB">[55]Beta!$H$140:$U$140</definedName>
    <definedName name="Disc_SeniorC">[55]Beta!$H$141:$U$141</definedName>
    <definedName name="Disc_SenMezz">[55]Beta!$H$142:$U$142</definedName>
    <definedName name="Disc_ShareLoan">[55]Beta!$H$147:$U$147</definedName>
    <definedName name="Disc_Vendor">[55]Beta!$H$146:$U$146</definedName>
    <definedName name="disc_years" localSheetId="19">#REF!</definedName>
    <definedName name="disc_years" localSheetId="18">#REF!</definedName>
    <definedName name="disc_years">#REF!</definedName>
    <definedName name="DiscountYears">[56]DCF_10!$N$193</definedName>
    <definedName name="discussion">[10]DCF!$M$1</definedName>
    <definedName name="DisplaySelectedSheetsMacroButton" localSheetId="19">#REF!</definedName>
    <definedName name="DisplaySelectedSheetsMacroButton" localSheetId="18">#REF!</definedName>
    <definedName name="DisplaySelectedSheetsMacroButton">#REF!</definedName>
    <definedName name="disposals" localSheetId="19">#REF!</definedName>
    <definedName name="disposals" localSheetId="18">#REF!</definedName>
    <definedName name="disposals">#REF!</definedName>
    <definedName name="dist" localSheetId="19">[5]Model!#REF!</definedName>
    <definedName name="dist" localSheetId="18">[5]Model!#REF!</definedName>
    <definedName name="dist">[5]Model!#REF!</definedName>
    <definedName name="Distributionexp" localSheetId="19">[5]Model!#REF!</definedName>
    <definedName name="Distributionexp" localSheetId="18">[5]Model!#REF!</definedName>
    <definedName name="Distributionexp">[5]Model!#REF!</definedName>
    <definedName name="Div_1" localSheetId="19">[3]Main!#REF!</definedName>
    <definedName name="Div_1" localSheetId="18">[3]Main!#REF!</definedName>
    <definedName name="Div_1">[3]Main!#REF!</definedName>
    <definedName name="Div_1_BookB" localSheetId="19">[3]Main!#REF!</definedName>
    <definedName name="Div_1_BookB" localSheetId="18">[3]Main!#REF!</definedName>
    <definedName name="Div_1_BookB">[3]Main!#REF!</definedName>
    <definedName name="DIV_1_SaleP" localSheetId="19">[3]Main!#REF!</definedName>
    <definedName name="DIV_1_SaleP" localSheetId="18">[3]Main!#REF!</definedName>
    <definedName name="DIV_1_SaleP">[3]Main!#REF!</definedName>
    <definedName name="Div_1_TaxB" localSheetId="19">[3]Main!#REF!</definedName>
    <definedName name="Div_1_TaxB">[3]Main!#REF!</definedName>
    <definedName name="Div_2" localSheetId="19">[3]Main!#REF!</definedName>
    <definedName name="Div_2">[3]Main!#REF!</definedName>
    <definedName name="Div_2_BookB" localSheetId="19">[3]Main!#REF!</definedName>
    <definedName name="Div_2_BookB">[3]Main!#REF!</definedName>
    <definedName name="Div_2_SaleP" localSheetId="19">[3]Main!#REF!</definedName>
    <definedName name="Div_2_SaleP">[3]Main!#REF!</definedName>
    <definedName name="Div_2_TaxB" localSheetId="19">[3]Main!#REF!</definedName>
    <definedName name="Div_2_TaxB">[3]Main!#REF!</definedName>
    <definedName name="Div_3" localSheetId="19">[3]Main!#REF!</definedName>
    <definedName name="Div_3">[3]Main!#REF!</definedName>
    <definedName name="Div_3_BookB" localSheetId="19">[3]Main!#REF!</definedName>
    <definedName name="Div_3_BookB">[3]Main!#REF!</definedName>
    <definedName name="Div_3_SaleP" localSheetId="19">[3]Main!#REF!</definedName>
    <definedName name="Div_3_SaleP">[3]Main!#REF!</definedName>
    <definedName name="Div_3_TaxB" localSheetId="19">[3]Main!#REF!</definedName>
    <definedName name="Div_3_TaxB">[3]Main!#REF!</definedName>
    <definedName name="Div_4" localSheetId="19">[3]Main!#REF!</definedName>
    <definedName name="Div_4">[3]Main!#REF!</definedName>
    <definedName name="Div_4_BookB" localSheetId="19">[3]Main!#REF!</definedName>
    <definedName name="Div_4_BookB">[3]Main!#REF!</definedName>
    <definedName name="Div_4_SaleP" localSheetId="19">[3]Main!#REF!</definedName>
    <definedName name="Div_4_SaleP">[3]Main!#REF!</definedName>
    <definedName name="Div_4_TaxB" localSheetId="19">[3]Main!#REF!</definedName>
    <definedName name="Div_4_TaxB">[3]Main!#REF!</definedName>
    <definedName name="Div_5" localSheetId="19">[3]Main!#REF!</definedName>
    <definedName name="Div_5">[3]Main!#REF!</definedName>
    <definedName name="Div_5_BookB" localSheetId="19">[3]Main!#REF!</definedName>
    <definedName name="Div_5_BookB">[3]Main!#REF!</definedName>
    <definedName name="Div_5_SaleP" localSheetId="19">[3]Main!#REF!</definedName>
    <definedName name="Div_5_SaleP">[3]Main!#REF!</definedName>
    <definedName name="Div_5_TaxB" localSheetId="19">[3]Main!#REF!</definedName>
    <definedName name="Div_5_TaxB">[3]Main!#REF!</definedName>
    <definedName name="Div_6" localSheetId="19">[3]Main!#REF!</definedName>
    <definedName name="Div_6">[3]Main!#REF!</definedName>
    <definedName name="Div_6_BookB" localSheetId="19">[3]Main!#REF!</definedName>
    <definedName name="Div_6_BookB">[3]Main!#REF!</definedName>
    <definedName name="Div_6_SaleP" localSheetId="19">[3]Main!#REF!</definedName>
    <definedName name="Div_6_SaleP">[3]Main!#REF!</definedName>
    <definedName name="Div_6_TaxB" localSheetId="19">[3]Main!#REF!</definedName>
    <definedName name="Div_6_TaxB">[3]Main!#REF!</definedName>
    <definedName name="Div_7" localSheetId="19">[3]Main!#REF!</definedName>
    <definedName name="Div_7">[3]Main!#REF!</definedName>
    <definedName name="Div_7_BookB" localSheetId="19">[3]Main!#REF!</definedName>
    <definedName name="Div_7_BookB">[3]Main!#REF!</definedName>
    <definedName name="Div_7_SaleP" localSheetId="19">[3]Main!#REF!</definedName>
    <definedName name="Div_7_SaleP">[3]Main!#REF!</definedName>
    <definedName name="Div_7_TaxB" localSheetId="19">[3]Main!#REF!</definedName>
    <definedName name="Div_7_TaxB">[3]Main!#REF!</definedName>
    <definedName name="Div_8" localSheetId="19">[3]Main!#REF!</definedName>
    <definedName name="Div_8">[3]Main!#REF!</definedName>
    <definedName name="Div_8_BookB" localSheetId="19">[3]Main!#REF!</definedName>
    <definedName name="Div_8_BookB">[3]Main!#REF!</definedName>
    <definedName name="Div_8_SaleP" localSheetId="19">[3]Main!#REF!</definedName>
    <definedName name="Div_8_SaleP">[3]Main!#REF!</definedName>
    <definedName name="Div_8_TaxB" localSheetId="19">[3]Main!#REF!</definedName>
    <definedName name="Div_8_TaxB">[3]Main!#REF!</definedName>
    <definedName name="div_verses">[28]ELIM_16!$H$9:$H$65536,[28]ELIM_16!$K$10,[28]ELIM_16!$K$9:$K$65536</definedName>
    <definedName name="divestcash" localSheetId="19">#REF!</definedName>
    <definedName name="divestcash" localSheetId="18">#REF!</definedName>
    <definedName name="divestcash">#REF!</definedName>
    <definedName name="divestproceeds" localSheetId="19">#REF!</definedName>
    <definedName name="divestproceeds" localSheetId="18">#REF!</definedName>
    <definedName name="divestproceeds">#REF!</definedName>
    <definedName name="divestyear" localSheetId="19">#REF!</definedName>
    <definedName name="divestyear" localSheetId="18">#REF!</definedName>
    <definedName name="divestyear">#REF!</definedName>
    <definedName name="Dividends" localSheetId="19">'[10]Balance-Post'!#REF!</definedName>
    <definedName name="Dividends" localSheetId="18">'[10]Balance-Post'!#REF!</definedName>
    <definedName name="Dividends">'[10]Balance-Post'!#REF!</definedName>
    <definedName name="divpaid" localSheetId="19">#REF!</definedName>
    <definedName name="divpaid" localSheetId="18">#REF!</definedName>
    <definedName name="divpaid">#REF!</definedName>
    <definedName name="DollarHeader">[57]Controls!$E$21</definedName>
    <definedName name="Domestic_mobile_ARPU_EUR">[58]Aggregate!$B$2122:$S$2138</definedName>
    <definedName name="Domestic_Mobile_Penetration">[58]Aggregate!$B$2046:$S$2062</definedName>
    <definedName name="Domestic_mobile_subs">[58]Aggregate!$B$2065:$S$2081</definedName>
    <definedName name="DONTPRINT" localSheetId="19">[3]LBO!#REF!</definedName>
    <definedName name="DONTPRINT">[3]LBO!#REF!</definedName>
    <definedName name="dot">[55]Parameters!$H$13</definedName>
    <definedName name="dotautimmofi">[28]IP!$F$7:$F$8,[28]IP!$F$10:$F$14</definedName>
    <definedName name="dps" localSheetId="19">#REF!</definedName>
    <definedName name="dps" localSheetId="18">#REF!</definedName>
    <definedName name="dps">#REF!</definedName>
    <definedName name="draft_date" localSheetId="19">#REF!</definedName>
    <definedName name="draft_date" localSheetId="18">#REF!</definedName>
    <definedName name="draft_date">#REF!</definedName>
    <definedName name="DraftDate" localSheetId="19">#REF!</definedName>
    <definedName name="DraftDate" localSheetId="18">#REF!</definedName>
    <definedName name="DraftDate">#REF!</definedName>
    <definedName name="dsggd" localSheetId="18" hidden="1">{#N/A,#N/A,FALSE,"Cover";"Short outputs",#N/A,FALSE,"Outputs";#N/A,#N/A,FALSE,"Control (In)";"tesco summary",#N/A,FALSE,"Tesco";"Outputs and Co summaries",#N/A,FALSE,"Sainsbury";"Outputs and Co Summaries",#N/A,FALSE,"Carrefour";"Outputs and Co summaries",#N/A,FALSE,"Co D";"Outputs and Co summaries",#N/A,FALSE,"Co E"}</definedName>
    <definedName name="dsggd" hidden="1">{#N/A,#N/A,FALSE,"Cover";"Short outputs",#N/A,FALSE,"Outputs";#N/A,#N/A,FALSE,"Control (In)";"tesco summary",#N/A,FALSE,"Tesco";"Outputs and Co summaries",#N/A,FALSE,"Sainsbury";"Outputs and Co Summaries",#N/A,FALSE,"Carrefour";"Outputs and Co summaries",#N/A,FALSE,"Co D";"Outputs and Co summaries",#N/A,FALSE,"Co E"}</definedName>
    <definedName name="DSL_share_of_broadband">[19]DSL!$B$97:$O$113</definedName>
    <definedName name="DTACALC" localSheetId="19">[3]LBO!#REF!</definedName>
    <definedName name="DTACALC">[3]LBO!#REF!</definedName>
    <definedName name="dtAugment" localSheetId="19">#REF!</definedName>
    <definedName name="dtAugment" localSheetId="18">#REF!</definedName>
    <definedName name="dtAugment">#REF!</definedName>
    <definedName name="DTEVEBITDA97">[7]Fixed!$K$80</definedName>
    <definedName name="DTEVEBITDA98">[7]Fixed!$K$81</definedName>
    <definedName name="dtHiring" localSheetId="19">#REF!</definedName>
    <definedName name="dtHiring" localSheetId="18">#REF!</definedName>
    <definedName name="dtHiring">#REF!</definedName>
    <definedName name="dtmult">[18]Multmod!$C$25:$G$41</definedName>
    <definedName name="DTPE97">[7]Fixed!$H$80</definedName>
    <definedName name="DTPE98">[7]Fixed!$H$81</definedName>
    <definedName name="DTPErel97">[7]Fixed!$I$80</definedName>
    <definedName name="DTPErel98">[7]Fixed!$I$81</definedName>
    <definedName name="DTprice">[7]Fixed!$A$80</definedName>
    <definedName name="DTrec">[7]Fixed!$A$82</definedName>
    <definedName name="dtsop1">[18]DT2!$AA$33:$AG$44</definedName>
    <definedName name="dtsummod1">[18]DT!$C$443</definedName>
    <definedName name="dtsummod10">[18]DT!$H$426:$K$426</definedName>
    <definedName name="dtsummod12">[18]DT!$H$439:$K$439</definedName>
    <definedName name="dtsummod15">[18]DT!$H$236:$O$240</definedName>
    <definedName name="dtsummod16">[18]DT!$H$242:$O$246</definedName>
    <definedName name="dtsummod2">[18]DT!$H$191:$O$201</definedName>
    <definedName name="dtsummod3">[18]DT!$H$203:$O$212</definedName>
    <definedName name="dtsummod4">[18]DT!$H$214:$O$223</definedName>
    <definedName name="dtsummod5">[18]DT!$H$225:$O$234</definedName>
    <definedName name="dtsummod6">[18]DT!$F$252:$O$267</definedName>
    <definedName name="dtsummod7">[18]DT!$F$270:$O$275</definedName>
    <definedName name="dtsummod8">[18]DT!$F$278:$O$283</definedName>
    <definedName name="dtsummod9">[18]DT!$F$287:$O$287</definedName>
    <definedName name="DTTP1">[18]DT1!$S$6</definedName>
    <definedName name="dttp2">[18]DT2!$AR$4</definedName>
    <definedName name="e" localSheetId="19">#REF!</definedName>
    <definedName name="e" localSheetId="18">#REF!</definedName>
    <definedName name="e">#REF!</definedName>
    <definedName name="E_C_Analysys" localSheetId="19">#REF!</definedName>
    <definedName name="E_C_Analysys" localSheetId="18">#REF!</definedName>
    <definedName name="E_C_Analysys">#REF!</definedName>
    <definedName name="E_Sheraton" localSheetId="19">#REF!</definedName>
    <definedName name="E_Sheraton" localSheetId="18">#REF!</definedName>
    <definedName name="E_Sheraton">#REF!</definedName>
    <definedName name="ear" localSheetId="19">[59]Model!#REF!</definedName>
    <definedName name="ear" localSheetId="18">[59]Model!#REF!</definedName>
    <definedName name="ear">[59]Model!#REF!</definedName>
    <definedName name="earyear" localSheetId="19">[59]Model!#REF!</definedName>
    <definedName name="earyear" localSheetId="18">[59]Model!#REF!</definedName>
    <definedName name="earyear">[59]Model!#REF!</definedName>
    <definedName name="EBDIT" localSheetId="19">#REF!</definedName>
    <definedName name="EBDIT" localSheetId="18">#REF!</definedName>
    <definedName name="EBDIT">#REF!</definedName>
    <definedName name="EBIT" localSheetId="19">'[10]Balance-Post'!#REF!</definedName>
    <definedName name="EBIT" localSheetId="18">'[10]Balance-Post'!#REF!</definedName>
    <definedName name="EBIT">'[10]Balance-Post'!#REF!</definedName>
    <definedName name="EBIT01">[9]FS!$H$53</definedName>
    <definedName name="EBIT02">[9]FS!$I$53</definedName>
    <definedName name="EBIT03">[9]FS!$J$53</definedName>
    <definedName name="ebit3" localSheetId="19">[5]Sensetivities!#REF!</definedName>
    <definedName name="ebit3">[5]Sensetivities!#REF!</definedName>
    <definedName name="EBIT98">[9]FS!$E$53</definedName>
    <definedName name="EBIT99">[9]FS!$F$53</definedName>
    <definedName name="EBITDA" localSheetId="19">'[32]Statistics France'!#REF!</definedName>
    <definedName name="EBITDA">'[32]Statistics France'!#REF!</definedName>
    <definedName name="Ebitda_95" localSheetId="19">[60]KPN!#REF!</definedName>
    <definedName name="Ebitda_95">[60]KPN!#REF!</definedName>
    <definedName name="Ebitda_Analysys" localSheetId="19">#REF!</definedName>
    <definedName name="Ebitda_Analysys" localSheetId="18">#REF!</definedName>
    <definedName name="Ebitda_Analysys">#REF!</definedName>
    <definedName name="Ebitda_Analysys_perc" localSheetId="19">#REF!</definedName>
    <definedName name="Ebitda_Analysys_perc" localSheetId="18">#REF!</definedName>
    <definedName name="Ebitda_Analysys_perc">#REF!</definedName>
    <definedName name="EBITDA_mult" localSheetId="19">#REF!</definedName>
    <definedName name="EBITDA_mult" localSheetId="18">#REF!</definedName>
    <definedName name="EBITDA_mult">#REF!</definedName>
    <definedName name="EBITDA2">'[33]STAT BRU'!$A$613:$IV$613</definedName>
    <definedName name="ebitdacodi" localSheetId="19">#REF!</definedName>
    <definedName name="ebitdacodi" localSheetId="18">#REF!</definedName>
    <definedName name="ebitdacodi">#REF!</definedName>
    <definedName name="ebitdaconso">'[34]STAT BRU'!$A$613:$IV$613</definedName>
    <definedName name="ebitdaEV" localSheetId="19">#REF!</definedName>
    <definedName name="ebitdaEV" localSheetId="18">#REF!</definedName>
    <definedName name="ebitdaEV">#REF!</definedName>
    <definedName name="ebitdaevconso" localSheetId="19">#REF!</definedName>
    <definedName name="ebitdaevconso" localSheetId="18">#REF!</definedName>
    <definedName name="ebitdaevconso">#REF!</definedName>
    <definedName name="ebitdalux" localSheetId="19">'[35]Statistics '!#REF!</definedName>
    <definedName name="ebitdalux" localSheetId="18">'[35]Statistics '!#REF!</definedName>
    <definedName name="ebitdalux">'[35]Statistics '!#REF!</definedName>
    <definedName name="EBT" localSheetId="19">'[10]Balance-Post'!#REF!</definedName>
    <definedName name="EBT" localSheetId="18">'[10]Balance-Post'!#REF!</definedName>
    <definedName name="EBT">'[10]Balance-Post'!#REF!</definedName>
    <definedName name="ECART" localSheetId="19">#REF!</definedName>
    <definedName name="ECART" localSheetId="18">#REF!</definedName>
    <definedName name="ECART">#REF!</definedName>
    <definedName name="eee" localSheetId="19">#REF!</definedName>
    <definedName name="eee" localSheetId="18">#REF!</definedName>
    <definedName name="eee">#REF!</definedName>
    <definedName name="eeee" localSheetId="19">'[51]Stats '!#REF!</definedName>
    <definedName name="eeee" localSheetId="18">'[51]Stats '!#REF!</definedName>
    <definedName name="eeee">'[51]Stats '!#REF!</definedName>
    <definedName name="eeeeeeeee" localSheetId="19">'[51]Stats '!#REF!</definedName>
    <definedName name="eeeeeeeee" localSheetId="18">'[51]Stats '!#REF!</definedName>
    <definedName name="eeeeeeeee">'[51]Stats '!#REF!</definedName>
    <definedName name="eeezz" localSheetId="19">[39]PLAN!#REF!</definedName>
    <definedName name="eeezz" localSheetId="18">[39]PLAN!#REF!</definedName>
    <definedName name="eeezz">[39]PLAN!#REF!</definedName>
    <definedName name="eira1">[18]EIR1!$A$8:$Q$87</definedName>
    <definedName name="eira2">[18]EIR2!$B$9:$X$61</definedName>
    <definedName name="EIRM1">[18]Multmod!$D$265:$G$266</definedName>
    <definedName name="EIRM2">[18]Multmod!$D$267:$G$268</definedName>
    <definedName name="EIRM3">[18]Multmod!$D$269:$G$270</definedName>
    <definedName name="EIRM4">[18]Multmod!$D$271:$G$271</definedName>
    <definedName name="EIRM5">[18]Multmod!$C$272:$G$281</definedName>
    <definedName name="EIRMULT">[18]Multmod!$C$265:$G$281</definedName>
    <definedName name="eirsop1">[18]EIR2!$AA$21:$AG$23</definedName>
    <definedName name="EIRTP1">[18]EIR1!$S$6</definedName>
    <definedName name="eirtp2">[18]EIR2!$AR$4</definedName>
    <definedName name="End.to.end.outgoing.calls.cost" localSheetId="19">#REF!</definedName>
    <definedName name="End.to.end.outgoing.calls.cost" localSheetId="18">#REF!</definedName>
    <definedName name="End.to.end.outgoing.calls.cost">#REF!</definedName>
    <definedName name="ENDING" localSheetId="19">#REF!</definedName>
    <definedName name="ENDING" localSheetId="18">#REF!</definedName>
    <definedName name="ENDING">#REF!</definedName>
    <definedName name="Eng_Ass">'[38]Options &amp; Results'!$C$33</definedName>
    <definedName name="eps" localSheetId="19">#REF!</definedName>
    <definedName name="eps" localSheetId="18">#REF!</definedName>
    <definedName name="eps">#REF!</definedName>
    <definedName name="EPS00">[8]FS!$G$66</definedName>
    <definedName name="EQ_Mgt" localSheetId="19">#REF!</definedName>
    <definedName name="EQ_Mgt" localSheetId="18">#REF!</definedName>
    <definedName name="EQ_Mgt">#REF!</definedName>
    <definedName name="EQ_SPONSOR" localSheetId="19">#REF!</definedName>
    <definedName name="EQ_SPONSOR" localSheetId="18">#REF!</definedName>
    <definedName name="EQ_SPONSOR">#REF!</definedName>
    <definedName name="EQUA11" localSheetId="19">#REF!</definedName>
    <definedName name="EQUA11" localSheetId="18">#REF!</definedName>
    <definedName name="EQUA11">#REF!</definedName>
    <definedName name="EQUATP1" localSheetId="19">#REF!</definedName>
    <definedName name="EQUATP1" localSheetId="18">#REF!</definedName>
    <definedName name="EQUATP1">#REF!</definedName>
    <definedName name="equipment_op_ex" localSheetId="19">'[10]Cashflow-Pre'!#REF!</definedName>
    <definedName name="equipment_op_ex" localSheetId="18">'[10]Cashflow-Pre'!#REF!</definedName>
    <definedName name="equipment_op_ex">'[10]Cashflow-Pre'!#REF!</definedName>
    <definedName name="EQUIT" localSheetId="19">#REF!</definedName>
    <definedName name="EQUIT" localSheetId="18">#REF!</definedName>
    <definedName name="EQUIT">#REF!</definedName>
    <definedName name="EqValEBITDA" localSheetId="19">#REF!</definedName>
    <definedName name="EqValEBITDA" localSheetId="18">#REF!</definedName>
    <definedName name="EqValEBITDA">#REF!</definedName>
    <definedName name="EqValHP" localSheetId="19">#REF!</definedName>
    <definedName name="EqValHP" localSheetId="18">#REF!</definedName>
    <definedName name="EqValHP">#REF!</definedName>
    <definedName name="EqValResSub" localSheetId="19">#REF!</definedName>
    <definedName name="EqValResSub" localSheetId="18">#REF!</definedName>
    <definedName name="EqValResSub">#REF!</definedName>
    <definedName name="EqValRGU" localSheetId="19">#REF!</definedName>
    <definedName name="EqValRGU" localSheetId="18">#REF!</definedName>
    <definedName name="EqValRGU">#REF!</definedName>
    <definedName name="EqValTotSub" localSheetId="19">#REF!</definedName>
    <definedName name="EqValTotSub" localSheetId="18">#REF!</definedName>
    <definedName name="EqValTotSub">#REF!</definedName>
    <definedName name="ER">[61]Summary!$C$5</definedName>
    <definedName name="Eric_EPS97" localSheetId="19">[7]Equip!#REF!</definedName>
    <definedName name="Eric_EPS97">[7]Equip!#REF!</definedName>
    <definedName name="Eric_EPS98" localSheetId="19">[7]Equip!#REF!</definedName>
    <definedName name="Eric_EPS98">[7]Equip!#REF!</definedName>
    <definedName name="Eric_EPS99" localSheetId="19">[7]Equip!#REF!</definedName>
    <definedName name="Eric_EPS99">[7]Equip!#REF!</definedName>
    <definedName name="Eric_EVEBITDA97" localSheetId="19">[7]Equip!#REF!</definedName>
    <definedName name="Eric_EVEBITDA97">[7]Equip!#REF!</definedName>
    <definedName name="Eric_EVEBITDA98" localSheetId="19">[7]Equip!#REF!</definedName>
    <definedName name="Eric_EVEBITDA98">[7]Equip!#REF!</definedName>
    <definedName name="Ericrec" localSheetId="19">[7]Equip!#REF!</definedName>
    <definedName name="Ericrec">[7]Equip!#REF!</definedName>
    <definedName name="ErrorsToZap" localSheetId="19">#REF!</definedName>
    <definedName name="ErrorsToZap" localSheetId="18">#REF!</definedName>
    <definedName name="ErrorsToZap">#REF!</definedName>
    <definedName name="Esc">'[10]Balance-Pre'!$C$11</definedName>
    <definedName name="ESPa_X">[62]EURO!$D$6</definedName>
    <definedName name="essais" localSheetId="18" hidden="1">{#N/A,#N/A,FALSE,"F_Plan";#N/A,#N/A,FALSE,"Parameter"}</definedName>
    <definedName name="essais" hidden="1">{#N/A,#N/A,FALSE,"F_Plan";#N/A,#N/A,FALSE,"Parameter"}</definedName>
    <definedName name="essais2" localSheetId="18" hidden="1">{#N/A,#N/A,FALSE,"F_Plan";#N/A,#N/A,FALSE,"Parameter"}</definedName>
    <definedName name="essais2" hidden="1">{#N/A,#N/A,FALSE,"F_Plan";#N/A,#N/A,FALSE,"Parameter"}</definedName>
    <definedName name="Euribor" localSheetId="19">#REF!</definedName>
    <definedName name="Euribor">#REF!</definedName>
    <definedName name="Euro" localSheetId="19">#REF!</definedName>
    <definedName name="Euro" localSheetId="18">#REF!</definedName>
    <definedName name="Euro">#REF!</definedName>
    <definedName name="EUROPOLprice">'[63]Cellular '!$A$50</definedName>
    <definedName name="Eurorec">'[63]Cellular '!$A$52</definedName>
    <definedName name="euros_in_millions">'[64]Operating reports'!$T$82</definedName>
    <definedName name="EV__EXPOPTIONS__" hidden="1">0</definedName>
    <definedName name="EV__LASTREFTIME__" hidden="1">"1.8.2006 8:34:01"</definedName>
    <definedName name="EV__MAXEXPCOLS__" hidden="1">100</definedName>
    <definedName name="EV__MAXEXPROWS__" hidden="1">1000</definedName>
    <definedName name="EV__MEMORYCVW__" hidden="1">0</definedName>
    <definedName name="EV__WBEVMODE__" hidden="1">0</definedName>
    <definedName name="EV__WBREFOPTIONS__" hidden="1">134217728</definedName>
    <definedName name="EV__WBVERSION__" hidden="1">0</definedName>
    <definedName name="evebitdag">"evebitdag"</definedName>
    <definedName name="ewl_banner" localSheetId="19">#REF!</definedName>
    <definedName name="ewl_banner">#REF!</definedName>
    <definedName name="ewl_numbers" localSheetId="19">#REF!</definedName>
    <definedName name="ewl_numbers" localSheetId="18">#REF!</definedName>
    <definedName name="ewl_numbers">#REF!</definedName>
    <definedName name="excess" localSheetId="19">#REF!</definedName>
    <definedName name="excess" localSheetId="18">#REF!</definedName>
    <definedName name="excess">#REF!</definedName>
    <definedName name="ExcessCashrate" localSheetId="19">#REF!</definedName>
    <definedName name="ExcessCashrate" localSheetId="18">#REF!</definedName>
    <definedName name="ExcessCashrate">#REF!</definedName>
    <definedName name="Exchange_rate" localSheetId="19">'[10]Cashflow-Pre'!#REF!</definedName>
    <definedName name="Exchange_rate" localSheetId="18">'[10]Cashflow-Pre'!#REF!</definedName>
    <definedName name="Exchange_rate">'[10]Cashflow-Pre'!#REF!</definedName>
    <definedName name="Exchange_Rates" localSheetId="19">#REF!</definedName>
    <definedName name="Exchange_Rates" localSheetId="18">#REF!</definedName>
    <definedName name="Exchange_Rates">#REF!</definedName>
    <definedName name="EXER" localSheetId="19">'[65]P&amp;L'!#REF!</definedName>
    <definedName name="EXER" localSheetId="18">'[65]P&amp;L'!#REF!</definedName>
    <definedName name="EXER">'[65]P&amp;L'!#REF!</definedName>
    <definedName name="EXERCICE" localSheetId="19">#REF!</definedName>
    <definedName name="EXERCICE" localSheetId="18">#REF!</definedName>
    <definedName name="EXERCICE">#REF!</definedName>
    <definedName name="ExitMultiple">'[55]Share price analysis'!$E$26</definedName>
    <definedName name="ExitYear">[55]REQUEST_TABLE!$T$49</definedName>
    <definedName name="Export" localSheetId="19">#REF!</definedName>
    <definedName name="Export" localSheetId="18">#REF!</definedName>
    <definedName name="Export">#REF!</definedName>
    <definedName name="Export_ADR">'[66]Blue Box'!$A$17:$I$24,'[66]Blue Box'!$M$17:$S$24</definedName>
    <definedName name="Export_don_bal_0405" localSheetId="19">#REF!</definedName>
    <definedName name="Export_don_bal_0405" localSheetId="18">#REF!</definedName>
    <definedName name="Export_don_bal_0405">#REF!</definedName>
    <definedName name="Export_don_bal_format_CRDT" localSheetId="19">#REF!</definedName>
    <definedName name="Export_don_bal_format_CRDT" localSheetId="18">#REF!</definedName>
    <definedName name="Export_don_bal_format_CRDT">#REF!</definedName>
    <definedName name="Export1">[8]BB!$A$5:$I$12</definedName>
    <definedName name="Export2">[8]BB!$L$5:$R$12</definedName>
    <definedName name="ExportADR">[8]BB!$A$18:$R$25</definedName>
    <definedName name="exportADR1">[8]BB!$A$18:$I$25</definedName>
    <definedName name="exportADR2">[8]BB!$L$18:$R$25</definedName>
    <definedName name="ExRate">[67]Asumptions!$C$2</definedName>
    <definedName name="F" localSheetId="19">'[12]Fleet &amp; Costs'!#REF!</definedName>
    <definedName name="F">'[12]Fleet &amp; Costs'!#REF!</definedName>
    <definedName name="F.1981.03" localSheetId="19">#REF!</definedName>
    <definedName name="F.1981.03" localSheetId="18">#REF!</definedName>
    <definedName name="F.1981.03">#REF!</definedName>
    <definedName name="F.1982.03" localSheetId="19">#REF!</definedName>
    <definedName name="F.1982.03" localSheetId="18">#REF!</definedName>
    <definedName name="F.1982.03">#REF!</definedName>
    <definedName name="F.1983.03" localSheetId="19">#REF!</definedName>
    <definedName name="F.1983.03" localSheetId="18">#REF!</definedName>
    <definedName name="F.1983.03">#REF!</definedName>
    <definedName name="F.1984.03" localSheetId="19">#REF!</definedName>
    <definedName name="F.1984.03" localSheetId="18">#REF!</definedName>
    <definedName name="F.1984.03">#REF!</definedName>
    <definedName name="F.1985.03" localSheetId="19">#REF!</definedName>
    <definedName name="F.1985.03" localSheetId="18">#REF!</definedName>
    <definedName name="F.1985.03">#REF!</definedName>
    <definedName name="F.1986.03" localSheetId="19">#REF!</definedName>
    <definedName name="F.1986.03" localSheetId="18">#REF!</definedName>
    <definedName name="F.1986.03">#REF!</definedName>
    <definedName name="F.1987.03" localSheetId="19">#REF!</definedName>
    <definedName name="F.1987.03" localSheetId="18">#REF!</definedName>
    <definedName name="F.1987.03">#REF!</definedName>
    <definedName name="F.1988.03" localSheetId="19">#REF!</definedName>
    <definedName name="F.1988.03" localSheetId="18">#REF!</definedName>
    <definedName name="F.1988.03">#REF!</definedName>
    <definedName name="F.1989.03" localSheetId="19">#REF!</definedName>
    <definedName name="F.1989.03" localSheetId="18">#REF!</definedName>
    <definedName name="F.1989.03">#REF!</definedName>
    <definedName name="F.1990.03" localSheetId="19">#REF!</definedName>
    <definedName name="F.1990.03" localSheetId="18">#REF!</definedName>
    <definedName name="F.1990.03">#REF!</definedName>
    <definedName name="F.1991.03" localSheetId="19">#REF!</definedName>
    <definedName name="F.1991.03" localSheetId="18">#REF!</definedName>
    <definedName name="F.1991.03">#REF!</definedName>
    <definedName name="F.1992.03" localSheetId="19">#REF!</definedName>
    <definedName name="F.1992.03" localSheetId="18">#REF!</definedName>
    <definedName name="F.1992.03">#REF!</definedName>
    <definedName name="F.1993.03" localSheetId="19">#REF!</definedName>
    <definedName name="F.1993.03" localSheetId="18">#REF!</definedName>
    <definedName name="F.1993.03">#REF!</definedName>
    <definedName name="F.1994.03" localSheetId="19">#REF!</definedName>
    <definedName name="F.1994.03" localSheetId="18">#REF!</definedName>
    <definedName name="F.1994.03">#REF!</definedName>
    <definedName name="F.1995.03" localSheetId="19">#REF!</definedName>
    <definedName name="F.1995.03" localSheetId="18">#REF!</definedName>
    <definedName name="F.1995.03">#REF!</definedName>
    <definedName name="F.1998.03" localSheetId="19">#REF!</definedName>
    <definedName name="F.1998.03" localSheetId="18">#REF!</definedName>
    <definedName name="F.1998.03">#REF!</definedName>
    <definedName name="FAMILLE" localSheetId="19">#REF!</definedName>
    <definedName name="FAMILLE" localSheetId="18">#REF!</definedName>
    <definedName name="FAMILLE">#REF!</definedName>
    <definedName name="FCASE" localSheetId="19">#REF!</definedName>
    <definedName name="FCASE" localSheetId="18">#REF!</definedName>
    <definedName name="FCASE">#REF!</definedName>
    <definedName name="fcf" localSheetId="19">#REF!</definedName>
    <definedName name="fcf" localSheetId="18">#REF!</definedName>
    <definedName name="fcf">#REF!</definedName>
    <definedName name="fcf_unlev_terminal1" localSheetId="19">#REF!</definedName>
    <definedName name="fcf_unlev_terminal1" localSheetId="18">#REF!</definedName>
    <definedName name="fcf_unlev_terminal1">#REF!</definedName>
    <definedName name="fcf_unlev_terminal2" localSheetId="19">#REF!</definedName>
    <definedName name="fcf_unlev_terminal2" localSheetId="18">#REF!</definedName>
    <definedName name="fcf_unlev_terminal2">#REF!</definedName>
    <definedName name="fcf_unlev_terminal3" localSheetId="19">#REF!</definedName>
    <definedName name="fcf_unlev_terminal3" localSheetId="18">#REF!</definedName>
    <definedName name="fcf_unlev_terminal3">#REF!</definedName>
    <definedName name="fcf_unlev_terminal4" localSheetId="19">#REF!</definedName>
    <definedName name="fcf_unlev_terminal4" localSheetId="18">#REF!</definedName>
    <definedName name="fcf_unlev_terminal4">#REF!</definedName>
    <definedName name="fcf_unlev_terminal5" localSheetId="19">#REF!</definedName>
    <definedName name="fcf_unlev_terminal5" localSheetId="18">#REF!</definedName>
    <definedName name="fcf_unlev_terminal5">#REF!</definedName>
    <definedName name="fcf_unlev10" localSheetId="19">#REF!</definedName>
    <definedName name="fcf_unlev10" localSheetId="18">#REF!</definedName>
    <definedName name="fcf_unlev10">#REF!</definedName>
    <definedName name="fcf_unlev5" localSheetId="19">#REF!</definedName>
    <definedName name="fcf_unlev5" localSheetId="18">#REF!</definedName>
    <definedName name="fcf_unlev5">#REF!</definedName>
    <definedName name="FFFFFFFF" localSheetId="18"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FFFFFFFF"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FFFFFFFFFFFF" localSheetId="18" hidden="1">{#N/A,#N/A,FALSE,"DCF Summary";#N/A,#N/A,FALSE,"Casema";#N/A,#N/A,FALSE,"Casema NoTel";#N/A,#N/A,FALSE,"UK";#N/A,#N/A,FALSE,"RCF";#N/A,#N/A,FALSE,"Intercable CZ";#N/A,#N/A,FALSE,"Interkabel P"}</definedName>
    <definedName name="FFFFFFFFFFFF" hidden="1">{#N/A,#N/A,FALSE,"DCF Summary";#N/A,#N/A,FALSE,"Casema";#N/A,#N/A,FALSE,"Casema NoTel";#N/A,#N/A,FALSE,"UK";#N/A,#N/A,FALSE,"RCF";#N/A,#N/A,FALSE,"Intercable CZ";#N/A,#N/A,FALSE,"Interkabel P"}</definedName>
    <definedName name="figures">'[10]Group WACC'!$A$8</definedName>
    <definedName name="FINANCINGCASE" localSheetId="19">#REF!</definedName>
    <definedName name="FINANCINGCASE" localSheetId="18">#REF!</definedName>
    <definedName name="FINANCINGCASE">#REF!</definedName>
    <definedName name="firma">[40]Allg!$B$13</definedName>
    <definedName name="firmname">[40]Allg!$C$13</definedName>
    <definedName name="First_Year">'[68]Model Assumption'!$C$3</definedName>
    <definedName name="fiscal_year" localSheetId="19">#REF!</definedName>
    <definedName name="fiscal_year" localSheetId="18">#REF!</definedName>
    <definedName name="fiscal_year">#REF!</definedName>
    <definedName name="Fixed_switching" localSheetId="19">'[10]P&amp;L-Pre'!#REF!</definedName>
    <definedName name="Fixed_switching" localSheetId="18">'[10]P&amp;L-Pre'!#REF!</definedName>
    <definedName name="Fixed_switching">'[10]P&amp;L-Pre'!#REF!</definedName>
    <definedName name="flex_rank" localSheetId="19">#REF!</definedName>
    <definedName name="flex_rank" localSheetId="18">#REF!</definedName>
    <definedName name="flex_rank">#REF!</definedName>
    <definedName name="Forecast_table">'[69]Forecast &amp; Analysis '!$B$6:$BR$209</definedName>
    <definedName name="Foreign_Debt_rate" localSheetId="19">'[10]Cashflow-Post'!#REF!</definedName>
    <definedName name="Foreign_Debt_rate">'[10]Cashflow-Post'!#REF!</definedName>
    <definedName name="Forfait_1" localSheetId="19">#REF!</definedName>
    <definedName name="Forfait_1" localSheetId="18">#REF!</definedName>
    <definedName name="Forfait_1">#REF!</definedName>
    <definedName name="Forfait_10" localSheetId="19">#REF!</definedName>
    <definedName name="Forfait_10" localSheetId="18">#REF!</definedName>
    <definedName name="Forfait_10">#REF!</definedName>
    <definedName name="Forfait_11" localSheetId="19">#REF!</definedName>
    <definedName name="Forfait_11" localSheetId="18">#REF!</definedName>
    <definedName name="Forfait_11">#REF!</definedName>
    <definedName name="Forfait_12" localSheetId="19">#REF!</definedName>
    <definedName name="Forfait_12" localSheetId="18">#REF!</definedName>
    <definedName name="Forfait_12">#REF!</definedName>
    <definedName name="Forfait_13" localSheetId="19">#REF!</definedName>
    <definedName name="Forfait_13" localSheetId="18">#REF!</definedName>
    <definedName name="Forfait_13">#REF!</definedName>
    <definedName name="Forfait_14" localSheetId="19">#REF!</definedName>
    <definedName name="Forfait_14" localSheetId="18">#REF!</definedName>
    <definedName name="Forfait_14">#REF!</definedName>
    <definedName name="Forfait_15" localSheetId="19">#REF!</definedName>
    <definedName name="Forfait_15" localSheetId="18">#REF!</definedName>
    <definedName name="Forfait_15">#REF!</definedName>
    <definedName name="Forfait_2" localSheetId="19">#REF!</definedName>
    <definedName name="Forfait_2" localSheetId="18">#REF!</definedName>
    <definedName name="Forfait_2">#REF!</definedName>
    <definedName name="Forfait_3" localSheetId="19">#REF!</definedName>
    <definedName name="Forfait_3" localSheetId="18">#REF!</definedName>
    <definedName name="Forfait_3">#REF!</definedName>
    <definedName name="Forfait_4" localSheetId="19">#REF!</definedName>
    <definedName name="Forfait_4" localSheetId="18">#REF!</definedName>
    <definedName name="Forfait_4">#REF!</definedName>
    <definedName name="Forfait_5" localSheetId="19">#REF!</definedName>
    <definedName name="Forfait_5" localSheetId="18">#REF!</definedName>
    <definedName name="Forfait_5">#REF!</definedName>
    <definedName name="Forfait_6" localSheetId="19">#REF!</definedName>
    <definedName name="Forfait_6" localSheetId="18">#REF!</definedName>
    <definedName name="Forfait_6">#REF!</definedName>
    <definedName name="Forfait_7" localSheetId="19">#REF!</definedName>
    <definedName name="Forfait_7" localSheetId="18">#REF!</definedName>
    <definedName name="Forfait_7">#REF!</definedName>
    <definedName name="Forfait_8" localSheetId="19">#REF!</definedName>
    <definedName name="Forfait_8" localSheetId="18">#REF!</definedName>
    <definedName name="Forfait_8">#REF!</definedName>
    <definedName name="Forfait_9" localSheetId="19">#REF!</definedName>
    <definedName name="Forfait_9" localSheetId="18">#REF!</definedName>
    <definedName name="Forfait_9">#REF!</definedName>
    <definedName name="forward.ev.usd" localSheetId="19">#REF!</definedName>
    <definedName name="forward.ev.usd" localSheetId="18">#REF!</definedName>
    <definedName name="forward.ev.usd">#REF!</definedName>
    <definedName name="France_Telecom" localSheetId="19">#REF!</definedName>
    <definedName name="France_Telecom" localSheetId="18">#REF!</definedName>
    <definedName name="France_Telecom">#REF!</definedName>
    <definedName name="France_Telecom_Belgium_mobile_interconnect_receipts" localSheetId="19">#REF!</definedName>
    <definedName name="France_Telecom_Belgium_mobile_interconnect_receipts" localSheetId="18">#REF!</definedName>
    <definedName name="France_Telecom_Belgium_mobile_interconnect_receipts">#REF!</definedName>
    <definedName name="France_Telecom_Belgium_mobile_interconnect_receipts_from_fixed_operators" localSheetId="19">#REF!</definedName>
    <definedName name="France_Telecom_Belgium_mobile_interconnect_receipts_from_fixed_operators" localSheetId="18">#REF!</definedName>
    <definedName name="France_Telecom_Belgium_mobile_interconnect_receipts_from_fixed_operators">#REF!</definedName>
    <definedName name="France_Telecom_Belgium_mobile_interconnect_receipts_from_mobile_operators" localSheetId="19">#REF!</definedName>
    <definedName name="France_Telecom_Belgium_mobile_interconnect_receipts_from_mobile_operators" localSheetId="18">#REF!</definedName>
    <definedName name="France_Telecom_Belgium_mobile_interconnect_receipts_from_mobile_operators">#REF!</definedName>
    <definedName name="France_Telecom_Belgium_mobile_other_revenue" localSheetId="19">#REF!</definedName>
    <definedName name="France_Telecom_Belgium_mobile_other_revenue" localSheetId="18">#REF!</definedName>
    <definedName name="France_Telecom_Belgium_mobile_other_revenue">#REF!</definedName>
    <definedName name="France_Telecom_Belgium_mobile_retail_and_wholesale_services_revenue" localSheetId="19">#REF!</definedName>
    <definedName name="France_Telecom_Belgium_mobile_retail_and_wholesale_services_revenue" localSheetId="18">#REF!</definedName>
    <definedName name="France_Telecom_Belgium_mobile_retail_and_wholesale_services_revenue">#REF!</definedName>
    <definedName name="France_Telecom_Belgium_mobile_retail_revenue" localSheetId="19">#REF!</definedName>
    <definedName name="France_Telecom_Belgium_mobile_retail_revenue" localSheetId="18">#REF!</definedName>
    <definedName name="France_Telecom_Belgium_mobile_retail_revenue">#REF!</definedName>
    <definedName name="France_Telecom_Belgium_mobile_retail_subscribers" localSheetId="19">#REF!</definedName>
    <definedName name="France_Telecom_Belgium_mobile_retail_subscribers" localSheetId="18">#REF!</definedName>
    <definedName name="France_Telecom_Belgium_mobile_retail_subscribers">#REF!</definedName>
    <definedName name="France_Telecom_Belgium_mobile_revenue" localSheetId="19">#REF!</definedName>
    <definedName name="France_Telecom_Belgium_mobile_revenue" localSheetId="18">#REF!</definedName>
    <definedName name="France_Telecom_Belgium_mobile_revenue">#REF!</definedName>
    <definedName name="France_Telecom_Belgium_mobile_wholesale_revenue" localSheetId="19">#REF!</definedName>
    <definedName name="France_Telecom_Belgium_mobile_wholesale_revenue" localSheetId="18">#REF!</definedName>
    <definedName name="France_Telecom_Belgium_mobile_wholesale_revenue">#REF!</definedName>
    <definedName name="France_Telecom_Belgium_mobile_wholesale_subscribers" localSheetId="19">#REF!</definedName>
    <definedName name="France_Telecom_Belgium_mobile_wholesale_subscribers" localSheetId="18">#REF!</definedName>
    <definedName name="France_Telecom_Belgium_mobile_wholesale_subscribers">#REF!</definedName>
    <definedName name="France_Telecom_Denmark_mobile_interconnect_receipts" localSheetId="19">#REF!</definedName>
    <definedName name="France_Telecom_Denmark_mobile_interconnect_receipts" localSheetId="18">#REF!</definedName>
    <definedName name="France_Telecom_Denmark_mobile_interconnect_receipts">#REF!</definedName>
    <definedName name="France_Telecom_Denmark_mobile_interconnect_receipts_from_fixed_operators" localSheetId="19">#REF!</definedName>
    <definedName name="France_Telecom_Denmark_mobile_interconnect_receipts_from_fixed_operators" localSheetId="18">#REF!</definedName>
    <definedName name="France_Telecom_Denmark_mobile_interconnect_receipts_from_fixed_operators">#REF!</definedName>
    <definedName name="France_Telecom_Denmark_mobile_interconnect_receipts_from_mobile_operators" localSheetId="19">#REF!</definedName>
    <definedName name="France_Telecom_Denmark_mobile_interconnect_receipts_from_mobile_operators" localSheetId="18">#REF!</definedName>
    <definedName name="France_Telecom_Denmark_mobile_interconnect_receipts_from_mobile_operators">#REF!</definedName>
    <definedName name="France_Telecom_Denmark_mobile_other_revenue" localSheetId="19">#REF!</definedName>
    <definedName name="France_Telecom_Denmark_mobile_other_revenue" localSheetId="18">#REF!</definedName>
    <definedName name="France_Telecom_Denmark_mobile_other_revenue">#REF!</definedName>
    <definedName name="France_Telecom_Denmark_mobile_retail_and_wholesale_services_revenue" localSheetId="19">#REF!</definedName>
    <definedName name="France_Telecom_Denmark_mobile_retail_and_wholesale_services_revenue" localSheetId="18">#REF!</definedName>
    <definedName name="France_Telecom_Denmark_mobile_retail_and_wholesale_services_revenue">#REF!</definedName>
    <definedName name="France_Telecom_Denmark_mobile_retail_revenue" localSheetId="19">#REF!</definedName>
    <definedName name="France_Telecom_Denmark_mobile_retail_revenue" localSheetId="18">#REF!</definedName>
    <definedName name="France_Telecom_Denmark_mobile_retail_revenue">#REF!</definedName>
    <definedName name="France_Telecom_Denmark_mobile_retail_subscribers" localSheetId="19">#REF!</definedName>
    <definedName name="France_Telecom_Denmark_mobile_retail_subscribers" localSheetId="18">#REF!</definedName>
    <definedName name="France_Telecom_Denmark_mobile_retail_subscribers">#REF!</definedName>
    <definedName name="France_Telecom_Denmark_mobile_revenue" localSheetId="19">#REF!</definedName>
    <definedName name="France_Telecom_Denmark_mobile_revenue" localSheetId="18">#REF!</definedName>
    <definedName name="France_Telecom_Denmark_mobile_revenue">#REF!</definedName>
    <definedName name="France_Telecom_Denmark_mobile_wholesale_revenue" localSheetId="19">#REF!</definedName>
    <definedName name="France_Telecom_Denmark_mobile_wholesale_revenue" localSheetId="18">#REF!</definedName>
    <definedName name="France_Telecom_Denmark_mobile_wholesale_revenue">#REF!</definedName>
    <definedName name="France_Telecom_Denmark_mobile_wholesale_subscribers" localSheetId="19">#REF!</definedName>
    <definedName name="France_Telecom_Denmark_mobile_wholesale_subscribers" localSheetId="18">#REF!</definedName>
    <definedName name="France_Telecom_Denmark_mobile_wholesale_subscribers">#REF!</definedName>
    <definedName name="France_Telecom_Egypt_mobile_interconnect_receipts" localSheetId="19">#REF!</definedName>
    <definedName name="France_Telecom_Egypt_mobile_interconnect_receipts" localSheetId="18">#REF!</definedName>
    <definedName name="France_Telecom_Egypt_mobile_interconnect_receipts">#REF!</definedName>
    <definedName name="France_Telecom_Egypt_mobile_interconnect_receipts_from_fixed_operators" localSheetId="19">#REF!</definedName>
    <definedName name="France_Telecom_Egypt_mobile_interconnect_receipts_from_fixed_operators" localSheetId="18">#REF!</definedName>
    <definedName name="France_Telecom_Egypt_mobile_interconnect_receipts_from_fixed_operators">#REF!</definedName>
    <definedName name="France_Telecom_Egypt_mobile_interconnect_receipts_from_mobile_operators" localSheetId="19">#REF!</definedName>
    <definedName name="France_Telecom_Egypt_mobile_interconnect_receipts_from_mobile_operators" localSheetId="18">#REF!</definedName>
    <definedName name="France_Telecom_Egypt_mobile_interconnect_receipts_from_mobile_operators">#REF!</definedName>
    <definedName name="France_Telecom_Egypt_mobile_other_revenue" localSheetId="19">#REF!</definedName>
    <definedName name="France_Telecom_Egypt_mobile_other_revenue" localSheetId="18">#REF!</definedName>
    <definedName name="France_Telecom_Egypt_mobile_other_revenue">#REF!</definedName>
    <definedName name="France_Telecom_Egypt_mobile_retail_and_wholesale_services_revenue" localSheetId="19">#REF!</definedName>
    <definedName name="France_Telecom_Egypt_mobile_retail_and_wholesale_services_revenue" localSheetId="18">#REF!</definedName>
    <definedName name="France_Telecom_Egypt_mobile_retail_and_wholesale_services_revenue">#REF!</definedName>
    <definedName name="France_Telecom_Egypt_mobile_retail_revenue" localSheetId="19">#REF!</definedName>
    <definedName name="France_Telecom_Egypt_mobile_retail_revenue" localSheetId="18">#REF!</definedName>
    <definedName name="France_Telecom_Egypt_mobile_retail_revenue">#REF!</definedName>
    <definedName name="France_Telecom_Egypt_mobile_retail_subscribers" localSheetId="19">#REF!</definedName>
    <definedName name="France_Telecom_Egypt_mobile_retail_subscribers" localSheetId="18">#REF!</definedName>
    <definedName name="France_Telecom_Egypt_mobile_retail_subscribers">#REF!</definedName>
    <definedName name="France_Telecom_Egypt_mobile_revenue" localSheetId="19">#REF!</definedName>
    <definedName name="France_Telecom_Egypt_mobile_revenue" localSheetId="18">#REF!</definedName>
    <definedName name="France_Telecom_Egypt_mobile_revenue">#REF!</definedName>
    <definedName name="France_Telecom_Egypt_mobile_wholesale_revenue" localSheetId="19">#REF!</definedName>
    <definedName name="France_Telecom_Egypt_mobile_wholesale_revenue" localSheetId="18">#REF!</definedName>
    <definedName name="France_Telecom_Egypt_mobile_wholesale_revenue">#REF!</definedName>
    <definedName name="France_Telecom_Egypt_mobile_wholesale_subscribers" localSheetId="19">#REF!</definedName>
    <definedName name="France_Telecom_Egypt_mobile_wholesale_subscribers" localSheetId="18">#REF!</definedName>
    <definedName name="France_Telecom_Egypt_mobile_wholesale_subscribers">#REF!</definedName>
    <definedName name="France_Telecom_France_fixed_broadband_revenue__business" localSheetId="19">#REF!</definedName>
    <definedName name="France_Telecom_France_fixed_broadband_revenue__business" localSheetId="18">#REF!</definedName>
    <definedName name="France_Telecom_France_fixed_broadband_revenue__business">#REF!</definedName>
    <definedName name="France_Telecom_France_fixed_broadband_revenue__residential" localSheetId="19">#REF!</definedName>
    <definedName name="France_Telecom_France_fixed_broadband_revenue__residential" localSheetId="18">#REF!</definedName>
    <definedName name="France_Telecom_France_fixed_broadband_revenue__residential">#REF!</definedName>
    <definedName name="France_Telecom_France_fixed_broadband_revenue__residential___business" localSheetId="19">#REF!</definedName>
    <definedName name="France_Telecom_France_fixed_broadband_revenue__residential___business" localSheetId="18">#REF!</definedName>
    <definedName name="France_Telecom_France_fixed_broadband_revenue__residential___business">#REF!</definedName>
    <definedName name="France_Telecom_France_fixed_interconnect_receipts" localSheetId="19">#REF!</definedName>
    <definedName name="France_Telecom_France_fixed_interconnect_receipts" localSheetId="18">#REF!</definedName>
    <definedName name="France_Telecom_France_fixed_interconnect_receipts">#REF!</definedName>
    <definedName name="France_Telecom_France_fixed_interconnect_receipts_from_fixed_operators" localSheetId="19">#REF!</definedName>
    <definedName name="France_Telecom_France_fixed_interconnect_receipts_from_fixed_operators" localSheetId="18">#REF!</definedName>
    <definedName name="France_Telecom_France_fixed_interconnect_receipts_from_fixed_operators">#REF!</definedName>
    <definedName name="France_Telecom_France_fixed_interconnect_receipts_from_mobile_operators" localSheetId="19">#REF!</definedName>
    <definedName name="France_Telecom_France_fixed_interconnect_receipts_from_mobile_operators" localSheetId="18">#REF!</definedName>
    <definedName name="France_Telecom_France_fixed_interconnect_receipts_from_mobile_operators">#REF!</definedName>
    <definedName name="France_Telecom_France_fixed_other_revenue" localSheetId="19">#REF!</definedName>
    <definedName name="France_Telecom_France_fixed_other_revenue" localSheetId="18">#REF!</definedName>
    <definedName name="France_Telecom_France_fixed_other_revenue">#REF!</definedName>
    <definedName name="France_Telecom_France_fixed_retail_and_wholesale_services_revenue" localSheetId="19">#REF!</definedName>
    <definedName name="France_Telecom_France_fixed_retail_and_wholesale_services_revenue" localSheetId="18">#REF!</definedName>
    <definedName name="France_Telecom_France_fixed_retail_and_wholesale_services_revenue">#REF!</definedName>
    <definedName name="France_Telecom_France_fixed_retail_broadband_business_sites" localSheetId="19">#REF!</definedName>
    <definedName name="France_Telecom_France_fixed_retail_broadband_business_sites" localSheetId="18">#REF!</definedName>
    <definedName name="France_Telecom_France_fixed_retail_broadband_business_sites">#REF!</definedName>
    <definedName name="France_Telecom_France_fixed_retail_broadband_homes" localSheetId="19">#REF!</definedName>
    <definedName name="France_Telecom_France_fixed_retail_broadband_homes" localSheetId="18">#REF!</definedName>
    <definedName name="France_Telecom_France_fixed_retail_broadband_homes">#REF!</definedName>
    <definedName name="France_Telecom_France_fixed_retail_broadband_sites__homes_and_businesses" localSheetId="19">#REF!</definedName>
    <definedName name="France_Telecom_France_fixed_retail_broadband_sites__homes_and_businesses" localSheetId="18">#REF!</definedName>
    <definedName name="France_Telecom_France_fixed_retail_broadband_sites__homes_and_businesses">#REF!</definedName>
    <definedName name="France_Telecom_France_fixed_retail_business_sites" localSheetId="19">#REF!</definedName>
    <definedName name="France_Telecom_France_fixed_retail_business_sites" localSheetId="18">#REF!</definedName>
    <definedName name="France_Telecom_France_fixed_retail_business_sites">#REF!</definedName>
    <definedName name="France_Telecom_France_fixed_retail_homes" localSheetId="19">#REF!</definedName>
    <definedName name="France_Telecom_France_fixed_retail_homes" localSheetId="18">#REF!</definedName>
    <definedName name="France_Telecom_France_fixed_retail_homes">#REF!</definedName>
    <definedName name="France_Telecom_France_fixed_retail_lines__business" localSheetId="19">#REF!</definedName>
    <definedName name="France_Telecom_France_fixed_retail_lines__business" localSheetId="18">#REF!</definedName>
    <definedName name="France_Telecom_France_fixed_retail_lines__business">#REF!</definedName>
    <definedName name="France_Telecom_France_fixed_retail_lines__ISDN" localSheetId="19">#REF!</definedName>
    <definedName name="France_Telecom_France_fixed_retail_lines__ISDN" localSheetId="18">#REF!</definedName>
    <definedName name="France_Telecom_France_fixed_retail_lines__ISDN">#REF!</definedName>
    <definedName name="France_Telecom_France_fixed_retail_lines__PSTN" localSheetId="19">#REF!</definedName>
    <definedName name="France_Telecom_France_fixed_retail_lines__PSTN" localSheetId="18">#REF!</definedName>
    <definedName name="France_Telecom_France_fixed_retail_lines__PSTN">#REF!</definedName>
    <definedName name="France_Telecom_France_fixed_retail_lines__PSTN___ISDN" localSheetId="19">#REF!</definedName>
    <definedName name="France_Telecom_France_fixed_retail_lines__PSTN___ISDN" localSheetId="18">#REF!</definedName>
    <definedName name="France_Telecom_France_fixed_retail_lines__PSTN___ISDN">#REF!</definedName>
    <definedName name="France_Telecom_France_fixed_retail_lines__residential" localSheetId="19">#REF!</definedName>
    <definedName name="France_Telecom_France_fixed_retail_lines__residential" localSheetId="18">#REF!</definedName>
    <definedName name="France_Telecom_France_fixed_retail_lines__residential">#REF!</definedName>
    <definedName name="France_Telecom_France_fixed_retail_lines__residential___business" localSheetId="19">#REF!</definedName>
    <definedName name="France_Telecom_France_fixed_retail_lines__residential___business" localSheetId="18">#REF!</definedName>
    <definedName name="France_Telecom_France_fixed_retail_lines__residential___business">#REF!</definedName>
    <definedName name="France_Telecom_France_fixed_retail_revenue__business" localSheetId="19">#REF!</definedName>
    <definedName name="France_Telecom_France_fixed_retail_revenue__business" localSheetId="18">#REF!</definedName>
    <definedName name="France_Telecom_France_fixed_retail_revenue__business">#REF!</definedName>
    <definedName name="France_Telecom_France_fixed_retail_revenue__residential" localSheetId="19">#REF!</definedName>
    <definedName name="France_Telecom_France_fixed_retail_revenue__residential" localSheetId="18">#REF!</definedName>
    <definedName name="France_Telecom_France_fixed_retail_revenue__residential">#REF!</definedName>
    <definedName name="France_Telecom_France_fixed_retail_revenue__residential___business" localSheetId="19">#REF!</definedName>
    <definedName name="France_Telecom_France_fixed_retail_revenue__residential___business" localSheetId="18">#REF!</definedName>
    <definedName name="France_Telecom_France_fixed_retail_revenue__residential___business">#REF!</definedName>
    <definedName name="France_Telecom_France_fixed_revenue" localSheetId="19">#REF!</definedName>
    <definedName name="France_Telecom_France_fixed_revenue" localSheetId="18">#REF!</definedName>
    <definedName name="France_Telecom_France_fixed_revenue">#REF!</definedName>
    <definedName name="France_Telecom_France_fixed_wholesale_and_interconnect_services_revenue" localSheetId="19">#REF!</definedName>
    <definedName name="France_Telecom_France_fixed_wholesale_and_interconnect_services_revenue" localSheetId="18">#REF!</definedName>
    <definedName name="France_Telecom_France_fixed_wholesale_and_interconnect_services_revenue">#REF!</definedName>
    <definedName name="France_Telecom_France_fixed_wholesale_broadband_business_sites" localSheetId="19">#REF!</definedName>
    <definedName name="France_Telecom_France_fixed_wholesale_broadband_business_sites" localSheetId="18">#REF!</definedName>
    <definedName name="France_Telecom_France_fixed_wholesale_broadband_business_sites">#REF!</definedName>
    <definedName name="France_Telecom_France_fixed_wholesale_broadband_homes" localSheetId="19">#REF!</definedName>
    <definedName name="France_Telecom_France_fixed_wholesale_broadband_homes" localSheetId="18">#REF!</definedName>
    <definedName name="France_Telecom_France_fixed_wholesale_broadband_homes">#REF!</definedName>
    <definedName name="France_Telecom_France_fixed_wholesale_broadband_sites__homes_and_businesses" localSheetId="19">#REF!</definedName>
    <definedName name="France_Telecom_France_fixed_wholesale_broadband_sites__homes_and_businesses" localSheetId="18">#REF!</definedName>
    <definedName name="France_Telecom_France_fixed_wholesale_broadband_sites__homes_and_businesses">#REF!</definedName>
    <definedName name="France_Telecom_France_fixed_wholesale_business_sites" localSheetId="19">#REF!</definedName>
    <definedName name="France_Telecom_France_fixed_wholesale_business_sites" localSheetId="18">#REF!</definedName>
    <definedName name="France_Telecom_France_fixed_wholesale_business_sites">#REF!</definedName>
    <definedName name="France_Telecom_France_fixed_wholesale_homes" localSheetId="19">#REF!</definedName>
    <definedName name="France_Telecom_France_fixed_wholesale_homes" localSheetId="18">#REF!</definedName>
    <definedName name="France_Telecom_France_fixed_wholesale_homes">#REF!</definedName>
    <definedName name="France_Telecom_France_fixed_wholesale_lines__business" localSheetId="19">#REF!</definedName>
    <definedName name="France_Telecom_France_fixed_wholesale_lines__business" localSheetId="18">#REF!</definedName>
    <definedName name="France_Telecom_France_fixed_wholesale_lines__business">#REF!</definedName>
    <definedName name="France_Telecom_France_fixed_wholesale_lines__ISDN" localSheetId="19">#REF!</definedName>
    <definedName name="France_Telecom_France_fixed_wholesale_lines__ISDN" localSheetId="18">#REF!</definedName>
    <definedName name="France_Telecom_France_fixed_wholesale_lines__ISDN">#REF!</definedName>
    <definedName name="France_Telecom_France_fixed_wholesale_lines__PSTN" localSheetId="19">#REF!</definedName>
    <definedName name="France_Telecom_France_fixed_wholesale_lines__PSTN" localSheetId="18">#REF!</definedName>
    <definedName name="France_Telecom_France_fixed_wholesale_lines__PSTN">#REF!</definedName>
    <definedName name="France_Telecom_France_fixed_wholesale_lines__PSTN___ISDN" localSheetId="19">#REF!</definedName>
    <definedName name="France_Telecom_France_fixed_wholesale_lines__PSTN___ISDN" localSheetId="18">#REF!</definedName>
    <definedName name="France_Telecom_France_fixed_wholesale_lines__PSTN___ISDN">#REF!</definedName>
    <definedName name="France_Telecom_France_fixed_wholesale_lines__residential" localSheetId="19">#REF!</definedName>
    <definedName name="France_Telecom_France_fixed_wholesale_lines__residential" localSheetId="18">#REF!</definedName>
    <definedName name="France_Telecom_France_fixed_wholesale_lines__residential">#REF!</definedName>
    <definedName name="France_Telecom_France_fixed_wholesale_lines__residential___business" localSheetId="19">#REF!</definedName>
    <definedName name="France_Telecom_France_fixed_wholesale_lines__residential___business" localSheetId="18">#REF!</definedName>
    <definedName name="France_Telecom_France_fixed_wholesale_lines__residential___business">#REF!</definedName>
    <definedName name="France_Telecom_France_fixed_wholesale_revenue" localSheetId="19">#REF!</definedName>
    <definedName name="France_Telecom_France_fixed_wholesale_revenue" localSheetId="18">#REF!</definedName>
    <definedName name="France_Telecom_France_fixed_wholesale_revenue">#REF!</definedName>
    <definedName name="France_Telecom_France_mobile_interconnect_receipts" localSheetId="19">#REF!</definedName>
    <definedName name="France_Telecom_France_mobile_interconnect_receipts" localSheetId="18">#REF!</definedName>
    <definedName name="France_Telecom_France_mobile_interconnect_receipts">#REF!</definedName>
    <definedName name="France_Telecom_France_mobile_interconnect_receipts_from_fixed_operators" localSheetId="19">#REF!</definedName>
    <definedName name="France_Telecom_France_mobile_interconnect_receipts_from_fixed_operators" localSheetId="18">#REF!</definedName>
    <definedName name="France_Telecom_France_mobile_interconnect_receipts_from_fixed_operators">#REF!</definedName>
    <definedName name="France_Telecom_France_mobile_interconnect_receipts_from_mobile_operators" localSheetId="19">#REF!</definedName>
    <definedName name="France_Telecom_France_mobile_interconnect_receipts_from_mobile_operators" localSheetId="18">#REF!</definedName>
    <definedName name="France_Telecom_France_mobile_interconnect_receipts_from_mobile_operators">#REF!</definedName>
    <definedName name="France_Telecom_France_mobile_other_revenue" localSheetId="19">#REF!</definedName>
    <definedName name="France_Telecom_France_mobile_other_revenue" localSheetId="18">#REF!</definedName>
    <definedName name="France_Telecom_France_mobile_other_revenue">#REF!</definedName>
    <definedName name="France_Telecom_France_mobile_retail_and_wholesale_services_revenue" localSheetId="19">#REF!</definedName>
    <definedName name="France_Telecom_France_mobile_retail_and_wholesale_services_revenue" localSheetId="18">#REF!</definedName>
    <definedName name="France_Telecom_France_mobile_retail_and_wholesale_services_revenue">#REF!</definedName>
    <definedName name="France_Telecom_France_mobile_retail_revenue" localSheetId="19">#REF!</definedName>
    <definedName name="France_Telecom_France_mobile_retail_revenue" localSheetId="18">#REF!</definedName>
    <definedName name="France_Telecom_France_mobile_retail_revenue">#REF!</definedName>
    <definedName name="France_Telecom_France_mobile_retail_subscribers" localSheetId="19">#REF!</definedName>
    <definedName name="France_Telecom_France_mobile_retail_subscribers" localSheetId="18">#REF!</definedName>
    <definedName name="France_Telecom_France_mobile_retail_subscribers">#REF!</definedName>
    <definedName name="France_Telecom_France_mobile_revenue" localSheetId="19">#REF!</definedName>
    <definedName name="France_Telecom_France_mobile_revenue" localSheetId="18">#REF!</definedName>
    <definedName name="France_Telecom_France_mobile_revenue">#REF!</definedName>
    <definedName name="France_Telecom_France_mobile_wholesale_revenue" localSheetId="19">#REF!</definedName>
    <definedName name="France_Telecom_France_mobile_wholesale_revenue" localSheetId="18">#REF!</definedName>
    <definedName name="France_Telecom_France_mobile_wholesale_revenue">#REF!</definedName>
    <definedName name="France_Telecom_France_mobile_wholesale_subscribers" localSheetId="19">#REF!</definedName>
    <definedName name="France_Telecom_France_mobile_wholesale_subscribers" localSheetId="18">#REF!</definedName>
    <definedName name="France_Telecom_France_mobile_wholesale_subscribers">#REF!</definedName>
    <definedName name="France_Telecom_Netherlands_mobile_interconnect_receipts" localSheetId="19">#REF!</definedName>
    <definedName name="France_Telecom_Netherlands_mobile_interconnect_receipts" localSheetId="18">#REF!</definedName>
    <definedName name="France_Telecom_Netherlands_mobile_interconnect_receipts">#REF!</definedName>
    <definedName name="France_Telecom_Netherlands_mobile_interconnect_receipts_from_fixed_operators" localSheetId="19">#REF!</definedName>
    <definedName name="France_Telecom_Netherlands_mobile_interconnect_receipts_from_fixed_operators" localSheetId="18">#REF!</definedName>
    <definedName name="France_Telecom_Netherlands_mobile_interconnect_receipts_from_fixed_operators">#REF!</definedName>
    <definedName name="France_Telecom_Netherlands_mobile_interconnect_receipts_from_mobile_operators" localSheetId="19">#REF!</definedName>
    <definedName name="France_Telecom_Netherlands_mobile_interconnect_receipts_from_mobile_operators" localSheetId="18">#REF!</definedName>
    <definedName name="France_Telecom_Netherlands_mobile_interconnect_receipts_from_mobile_operators">#REF!</definedName>
    <definedName name="France_Telecom_Netherlands_mobile_other_revenue" localSheetId="19">#REF!</definedName>
    <definedName name="France_Telecom_Netherlands_mobile_other_revenue" localSheetId="18">#REF!</definedName>
    <definedName name="France_Telecom_Netherlands_mobile_other_revenue">#REF!</definedName>
    <definedName name="France_Telecom_Netherlands_mobile_retail_and_wholesale_services_revenue" localSheetId="19">#REF!</definedName>
    <definedName name="France_Telecom_Netherlands_mobile_retail_and_wholesale_services_revenue" localSheetId="18">#REF!</definedName>
    <definedName name="France_Telecom_Netherlands_mobile_retail_and_wholesale_services_revenue">#REF!</definedName>
    <definedName name="France_Telecom_Netherlands_mobile_retail_revenue" localSheetId="19">#REF!</definedName>
    <definedName name="France_Telecom_Netherlands_mobile_retail_revenue" localSheetId="18">#REF!</definedName>
    <definedName name="France_Telecom_Netherlands_mobile_retail_revenue">#REF!</definedName>
    <definedName name="France_Telecom_Netherlands_mobile_retail_subscribers" localSheetId="19">#REF!</definedName>
    <definedName name="France_Telecom_Netherlands_mobile_retail_subscribers" localSheetId="18">#REF!</definedName>
    <definedName name="France_Telecom_Netherlands_mobile_retail_subscribers">#REF!</definedName>
    <definedName name="France_Telecom_Netherlands_mobile_revenue" localSheetId="19">#REF!</definedName>
    <definedName name="France_Telecom_Netherlands_mobile_revenue" localSheetId="18">#REF!</definedName>
    <definedName name="France_Telecom_Netherlands_mobile_revenue">#REF!</definedName>
    <definedName name="France_Telecom_Netherlands_mobile_wholesale_revenue" localSheetId="19">#REF!</definedName>
    <definedName name="France_Telecom_Netherlands_mobile_wholesale_revenue" localSheetId="18">#REF!</definedName>
    <definedName name="France_Telecom_Netherlands_mobile_wholesale_revenue">#REF!</definedName>
    <definedName name="France_Telecom_Netherlands_mobile_wholesale_subscribers" localSheetId="19">#REF!</definedName>
    <definedName name="France_Telecom_Netherlands_mobile_wholesale_subscribers" localSheetId="18">#REF!</definedName>
    <definedName name="France_Telecom_Netherlands_mobile_wholesale_subscribers">#REF!</definedName>
    <definedName name="France_Telecom_Poland_fixed_broadband_revenue__business" localSheetId="19">#REF!</definedName>
    <definedName name="France_Telecom_Poland_fixed_broadband_revenue__business" localSheetId="18">#REF!</definedName>
    <definedName name="France_Telecom_Poland_fixed_broadband_revenue__business">#REF!</definedName>
    <definedName name="France_Telecom_Poland_fixed_broadband_revenue__residential" localSheetId="19">#REF!</definedName>
    <definedName name="France_Telecom_Poland_fixed_broadband_revenue__residential" localSheetId="18">#REF!</definedName>
    <definedName name="France_Telecom_Poland_fixed_broadband_revenue__residential">#REF!</definedName>
    <definedName name="France_Telecom_Poland_fixed_broadband_revenue__residential___business" localSheetId="19">#REF!</definedName>
    <definedName name="France_Telecom_Poland_fixed_broadband_revenue__residential___business" localSheetId="18">#REF!</definedName>
    <definedName name="France_Telecom_Poland_fixed_broadband_revenue__residential___business">#REF!</definedName>
    <definedName name="France_Telecom_Poland_fixed_interconnect_receipts" localSheetId="19">#REF!</definedName>
    <definedName name="France_Telecom_Poland_fixed_interconnect_receipts" localSheetId="18">#REF!</definedName>
    <definedName name="France_Telecom_Poland_fixed_interconnect_receipts">#REF!</definedName>
    <definedName name="France_Telecom_Poland_fixed_interconnect_receipts_from_fixed_operators" localSheetId="19">#REF!</definedName>
    <definedName name="France_Telecom_Poland_fixed_interconnect_receipts_from_fixed_operators" localSheetId="18">#REF!</definedName>
    <definedName name="France_Telecom_Poland_fixed_interconnect_receipts_from_fixed_operators">#REF!</definedName>
    <definedName name="France_Telecom_Poland_fixed_interconnect_receipts_from_mobile_operators" localSheetId="19">#REF!</definedName>
    <definedName name="France_Telecom_Poland_fixed_interconnect_receipts_from_mobile_operators" localSheetId="18">#REF!</definedName>
    <definedName name="France_Telecom_Poland_fixed_interconnect_receipts_from_mobile_operators">#REF!</definedName>
    <definedName name="France_Telecom_Poland_fixed_other_revenue" localSheetId="19">#REF!</definedName>
    <definedName name="France_Telecom_Poland_fixed_other_revenue" localSheetId="18">#REF!</definedName>
    <definedName name="France_Telecom_Poland_fixed_other_revenue">#REF!</definedName>
    <definedName name="France_Telecom_Poland_fixed_retail_and_wholesale_services_revenue" localSheetId="19">#REF!</definedName>
    <definedName name="France_Telecom_Poland_fixed_retail_and_wholesale_services_revenue" localSheetId="18">#REF!</definedName>
    <definedName name="France_Telecom_Poland_fixed_retail_and_wholesale_services_revenue">#REF!</definedName>
    <definedName name="France_Telecom_Poland_fixed_retail_broadband_business_sites" localSheetId="19">#REF!</definedName>
    <definedName name="France_Telecom_Poland_fixed_retail_broadband_business_sites" localSheetId="18">#REF!</definedName>
    <definedName name="France_Telecom_Poland_fixed_retail_broadband_business_sites">#REF!</definedName>
    <definedName name="France_Telecom_Poland_fixed_retail_broadband_homes" localSheetId="19">#REF!</definedName>
    <definedName name="France_Telecom_Poland_fixed_retail_broadband_homes" localSheetId="18">#REF!</definedName>
    <definedName name="France_Telecom_Poland_fixed_retail_broadband_homes">#REF!</definedName>
    <definedName name="France_Telecom_Poland_fixed_retail_broadband_sites__homes_and_businesses" localSheetId="19">#REF!</definedName>
    <definedName name="France_Telecom_Poland_fixed_retail_broadband_sites__homes_and_businesses" localSheetId="18">#REF!</definedName>
    <definedName name="France_Telecom_Poland_fixed_retail_broadband_sites__homes_and_businesses">#REF!</definedName>
    <definedName name="France_Telecom_Poland_fixed_retail_business_sites" localSheetId="19">#REF!</definedName>
    <definedName name="France_Telecom_Poland_fixed_retail_business_sites" localSheetId="18">#REF!</definedName>
    <definedName name="France_Telecom_Poland_fixed_retail_business_sites">#REF!</definedName>
    <definedName name="France_Telecom_Poland_fixed_retail_homes" localSheetId="19">#REF!</definedName>
    <definedName name="France_Telecom_Poland_fixed_retail_homes" localSheetId="18">#REF!</definedName>
    <definedName name="France_Telecom_Poland_fixed_retail_homes">#REF!</definedName>
    <definedName name="France_Telecom_Poland_fixed_retail_lines__business" localSheetId="19">#REF!</definedName>
    <definedName name="France_Telecom_Poland_fixed_retail_lines__business" localSheetId="18">#REF!</definedName>
    <definedName name="France_Telecom_Poland_fixed_retail_lines__business">#REF!</definedName>
    <definedName name="France_Telecom_Poland_fixed_retail_lines__ISDN" localSheetId="19">#REF!</definedName>
    <definedName name="France_Telecom_Poland_fixed_retail_lines__ISDN" localSheetId="18">#REF!</definedName>
    <definedName name="France_Telecom_Poland_fixed_retail_lines__ISDN">#REF!</definedName>
    <definedName name="France_Telecom_Poland_fixed_retail_lines__PSTN" localSheetId="19">#REF!</definedName>
    <definedName name="France_Telecom_Poland_fixed_retail_lines__PSTN" localSheetId="18">#REF!</definedName>
    <definedName name="France_Telecom_Poland_fixed_retail_lines__PSTN">#REF!</definedName>
    <definedName name="France_Telecom_Poland_fixed_retail_lines__PSTN___ISDN" localSheetId="19">#REF!</definedName>
    <definedName name="France_Telecom_Poland_fixed_retail_lines__PSTN___ISDN" localSheetId="18">#REF!</definedName>
    <definedName name="France_Telecom_Poland_fixed_retail_lines__PSTN___ISDN">#REF!</definedName>
    <definedName name="France_Telecom_Poland_fixed_retail_lines__residential" localSheetId="19">#REF!</definedName>
    <definedName name="France_Telecom_Poland_fixed_retail_lines__residential" localSheetId="18">#REF!</definedName>
    <definedName name="France_Telecom_Poland_fixed_retail_lines__residential">#REF!</definedName>
    <definedName name="France_Telecom_Poland_fixed_retail_lines__residential___business" localSheetId="19">#REF!</definedName>
    <definedName name="France_Telecom_Poland_fixed_retail_lines__residential___business" localSheetId="18">#REF!</definedName>
    <definedName name="France_Telecom_Poland_fixed_retail_lines__residential___business">#REF!</definedName>
    <definedName name="France_Telecom_Poland_fixed_retail_revenue__business" localSheetId="19">#REF!</definedName>
    <definedName name="France_Telecom_Poland_fixed_retail_revenue__business" localSheetId="18">#REF!</definedName>
    <definedName name="France_Telecom_Poland_fixed_retail_revenue__business">#REF!</definedName>
    <definedName name="France_Telecom_Poland_fixed_retail_revenue__residential" localSheetId="19">#REF!</definedName>
    <definedName name="France_Telecom_Poland_fixed_retail_revenue__residential" localSheetId="18">#REF!</definedName>
    <definedName name="France_Telecom_Poland_fixed_retail_revenue__residential">#REF!</definedName>
    <definedName name="France_Telecom_Poland_fixed_retail_revenue__residential___business" localSheetId="19">#REF!</definedName>
    <definedName name="France_Telecom_Poland_fixed_retail_revenue__residential___business" localSheetId="18">#REF!</definedName>
    <definedName name="France_Telecom_Poland_fixed_retail_revenue__residential___business">#REF!</definedName>
    <definedName name="France_Telecom_Poland_fixed_revenue" localSheetId="19">#REF!</definedName>
    <definedName name="France_Telecom_Poland_fixed_revenue" localSheetId="18">#REF!</definedName>
    <definedName name="France_Telecom_Poland_fixed_revenue">#REF!</definedName>
    <definedName name="France_Telecom_Poland_fixed_wholesale_and_interconnect_services_revenue" localSheetId="19">#REF!</definedName>
    <definedName name="France_Telecom_Poland_fixed_wholesale_and_interconnect_services_revenue" localSheetId="18">#REF!</definedName>
    <definedName name="France_Telecom_Poland_fixed_wholesale_and_interconnect_services_revenue">#REF!</definedName>
    <definedName name="France_Telecom_Poland_fixed_wholesale_broadband_business_sites" localSheetId="19">#REF!</definedName>
    <definedName name="France_Telecom_Poland_fixed_wholesale_broadband_business_sites" localSheetId="18">#REF!</definedName>
    <definedName name="France_Telecom_Poland_fixed_wholesale_broadband_business_sites">#REF!</definedName>
    <definedName name="France_Telecom_Poland_fixed_wholesale_broadband_homes" localSheetId="19">#REF!</definedName>
    <definedName name="France_Telecom_Poland_fixed_wholesale_broadband_homes" localSheetId="18">#REF!</definedName>
    <definedName name="France_Telecom_Poland_fixed_wholesale_broadband_homes">#REF!</definedName>
    <definedName name="France_Telecom_Poland_fixed_wholesale_broadband_sites__homes_and_businesses" localSheetId="19">#REF!</definedName>
    <definedName name="France_Telecom_Poland_fixed_wholesale_broadband_sites__homes_and_businesses" localSheetId="18">#REF!</definedName>
    <definedName name="France_Telecom_Poland_fixed_wholesale_broadband_sites__homes_and_businesses">#REF!</definedName>
    <definedName name="France_Telecom_Poland_fixed_wholesale_business_sites" localSheetId="19">#REF!</definedName>
    <definedName name="France_Telecom_Poland_fixed_wholesale_business_sites" localSheetId="18">#REF!</definedName>
    <definedName name="France_Telecom_Poland_fixed_wholesale_business_sites">#REF!</definedName>
    <definedName name="France_Telecom_Poland_fixed_wholesale_homes" localSheetId="19">#REF!</definedName>
    <definedName name="France_Telecom_Poland_fixed_wholesale_homes" localSheetId="18">#REF!</definedName>
    <definedName name="France_Telecom_Poland_fixed_wholesale_homes">#REF!</definedName>
    <definedName name="France_Telecom_Poland_fixed_wholesale_lines__business" localSheetId="19">#REF!</definedName>
    <definedName name="France_Telecom_Poland_fixed_wholesale_lines__business" localSheetId="18">#REF!</definedName>
    <definedName name="France_Telecom_Poland_fixed_wholesale_lines__business">#REF!</definedName>
    <definedName name="France_Telecom_Poland_fixed_wholesale_lines__ISDN" localSheetId="19">#REF!</definedName>
    <definedName name="France_Telecom_Poland_fixed_wholesale_lines__ISDN" localSheetId="18">#REF!</definedName>
    <definedName name="France_Telecom_Poland_fixed_wholesale_lines__ISDN">#REF!</definedName>
    <definedName name="France_Telecom_Poland_fixed_wholesale_lines__PSTN" localSheetId="19">#REF!</definedName>
    <definedName name="France_Telecom_Poland_fixed_wholesale_lines__PSTN" localSheetId="18">#REF!</definedName>
    <definedName name="France_Telecom_Poland_fixed_wholesale_lines__PSTN">#REF!</definedName>
    <definedName name="France_Telecom_Poland_fixed_wholesale_lines__PSTN___ISDN" localSheetId="19">#REF!</definedName>
    <definedName name="France_Telecom_Poland_fixed_wholesale_lines__PSTN___ISDN" localSheetId="18">#REF!</definedName>
    <definedName name="France_Telecom_Poland_fixed_wholesale_lines__PSTN___ISDN">#REF!</definedName>
    <definedName name="France_Telecom_Poland_fixed_wholesale_lines__residential" localSheetId="19">#REF!</definedName>
    <definedName name="France_Telecom_Poland_fixed_wholesale_lines__residential" localSheetId="18">#REF!</definedName>
    <definedName name="France_Telecom_Poland_fixed_wholesale_lines__residential">#REF!</definedName>
    <definedName name="France_Telecom_Poland_fixed_wholesale_lines__residential___business" localSheetId="19">#REF!</definedName>
    <definedName name="France_Telecom_Poland_fixed_wholesale_lines__residential___business" localSheetId="18">#REF!</definedName>
    <definedName name="France_Telecom_Poland_fixed_wholesale_lines__residential___business">#REF!</definedName>
    <definedName name="France_Telecom_Poland_fixed_wholesale_revenue" localSheetId="19">#REF!</definedName>
    <definedName name="France_Telecom_Poland_fixed_wholesale_revenue" localSheetId="18">#REF!</definedName>
    <definedName name="France_Telecom_Poland_fixed_wholesale_revenue">#REF!</definedName>
    <definedName name="France_Telecom_Poland_mobile_interconnect_receipts" localSheetId="19">#REF!</definedName>
    <definedName name="France_Telecom_Poland_mobile_interconnect_receipts" localSheetId="18">#REF!</definedName>
    <definedName name="France_Telecom_Poland_mobile_interconnect_receipts">#REF!</definedName>
    <definedName name="France_Telecom_Poland_mobile_interconnect_receipts_from_fixed_operators" localSheetId="19">#REF!</definedName>
    <definedName name="France_Telecom_Poland_mobile_interconnect_receipts_from_fixed_operators" localSheetId="18">#REF!</definedName>
    <definedName name="France_Telecom_Poland_mobile_interconnect_receipts_from_fixed_operators">#REF!</definedName>
    <definedName name="France_Telecom_Poland_mobile_interconnect_receipts_from_mobile_operators" localSheetId="19">#REF!</definedName>
    <definedName name="France_Telecom_Poland_mobile_interconnect_receipts_from_mobile_operators" localSheetId="18">#REF!</definedName>
    <definedName name="France_Telecom_Poland_mobile_interconnect_receipts_from_mobile_operators">#REF!</definedName>
    <definedName name="France_Telecom_Poland_mobile_other_revenue" localSheetId="19">#REF!</definedName>
    <definedName name="France_Telecom_Poland_mobile_other_revenue" localSheetId="18">#REF!</definedName>
    <definedName name="France_Telecom_Poland_mobile_other_revenue">#REF!</definedName>
    <definedName name="France_Telecom_Poland_mobile_retail_and_wholesale_services_revenue" localSheetId="19">#REF!</definedName>
    <definedName name="France_Telecom_Poland_mobile_retail_and_wholesale_services_revenue" localSheetId="18">#REF!</definedName>
    <definedName name="France_Telecom_Poland_mobile_retail_and_wholesale_services_revenue">#REF!</definedName>
    <definedName name="France_Telecom_Poland_mobile_retail_revenue" localSheetId="19">#REF!</definedName>
    <definedName name="France_Telecom_Poland_mobile_retail_revenue" localSheetId="18">#REF!</definedName>
    <definedName name="France_Telecom_Poland_mobile_retail_revenue">#REF!</definedName>
    <definedName name="France_Telecom_Poland_mobile_retail_subscribers" localSheetId="19">#REF!</definedName>
    <definedName name="France_Telecom_Poland_mobile_retail_subscribers" localSheetId="18">#REF!</definedName>
    <definedName name="France_Telecom_Poland_mobile_retail_subscribers">#REF!</definedName>
    <definedName name="France_Telecom_Poland_mobile_revenue" localSheetId="19">#REF!</definedName>
    <definedName name="France_Telecom_Poland_mobile_revenue" localSheetId="18">#REF!</definedName>
    <definedName name="France_Telecom_Poland_mobile_revenue">#REF!</definedName>
    <definedName name="France_Telecom_Poland_mobile_wholesale_revenue" localSheetId="19">#REF!</definedName>
    <definedName name="France_Telecom_Poland_mobile_wholesale_revenue" localSheetId="18">#REF!</definedName>
    <definedName name="France_Telecom_Poland_mobile_wholesale_revenue">#REF!</definedName>
    <definedName name="France_Telecom_Poland_mobile_wholesale_subscribers" localSheetId="19">#REF!</definedName>
    <definedName name="France_Telecom_Poland_mobile_wholesale_subscribers" localSheetId="18">#REF!</definedName>
    <definedName name="France_Telecom_Poland_mobile_wholesale_subscribers">#REF!</definedName>
    <definedName name="France_Telecom_Romania_mobile_interconnect_receipts" localSheetId="19">#REF!</definedName>
    <definedName name="France_Telecom_Romania_mobile_interconnect_receipts" localSheetId="18">#REF!</definedName>
    <definedName name="France_Telecom_Romania_mobile_interconnect_receipts">#REF!</definedName>
    <definedName name="France_Telecom_Romania_mobile_interconnect_receipts_from_fixed_operators" localSheetId="19">#REF!</definedName>
    <definedName name="France_Telecom_Romania_mobile_interconnect_receipts_from_fixed_operators" localSheetId="18">#REF!</definedName>
    <definedName name="France_Telecom_Romania_mobile_interconnect_receipts_from_fixed_operators">#REF!</definedName>
    <definedName name="France_Telecom_Romania_mobile_interconnect_receipts_from_mobile_operators" localSheetId="19">#REF!</definedName>
    <definedName name="France_Telecom_Romania_mobile_interconnect_receipts_from_mobile_operators" localSheetId="18">#REF!</definedName>
    <definedName name="France_Telecom_Romania_mobile_interconnect_receipts_from_mobile_operators">#REF!</definedName>
    <definedName name="France_Telecom_Romania_mobile_other_revenue" localSheetId="19">#REF!</definedName>
    <definedName name="France_Telecom_Romania_mobile_other_revenue" localSheetId="18">#REF!</definedName>
    <definedName name="France_Telecom_Romania_mobile_other_revenue">#REF!</definedName>
    <definedName name="France_Telecom_Romania_mobile_retail_and_wholesale_services_revenue" localSheetId="19">#REF!</definedName>
    <definedName name="France_Telecom_Romania_mobile_retail_and_wholesale_services_revenue" localSheetId="18">#REF!</definedName>
    <definedName name="France_Telecom_Romania_mobile_retail_and_wholesale_services_revenue">#REF!</definedName>
    <definedName name="France_Telecom_Romania_mobile_retail_revenue" localSheetId="19">#REF!</definedName>
    <definedName name="France_Telecom_Romania_mobile_retail_revenue" localSheetId="18">#REF!</definedName>
    <definedName name="France_Telecom_Romania_mobile_retail_revenue">#REF!</definedName>
    <definedName name="France_Telecom_Romania_mobile_retail_subscribers" localSheetId="19">#REF!</definedName>
    <definedName name="France_Telecom_Romania_mobile_retail_subscribers" localSheetId="18">#REF!</definedName>
    <definedName name="France_Telecom_Romania_mobile_retail_subscribers">#REF!</definedName>
    <definedName name="France_Telecom_Romania_mobile_revenue" localSheetId="19">#REF!</definedName>
    <definedName name="France_Telecom_Romania_mobile_revenue" localSheetId="18">#REF!</definedName>
    <definedName name="France_Telecom_Romania_mobile_revenue">#REF!</definedName>
    <definedName name="France_Telecom_Romania_mobile_wholesale_revenue" localSheetId="19">#REF!</definedName>
    <definedName name="France_Telecom_Romania_mobile_wholesale_revenue" localSheetId="18">#REF!</definedName>
    <definedName name="France_Telecom_Romania_mobile_wholesale_revenue">#REF!</definedName>
    <definedName name="France_Telecom_Romania_mobile_wholesale_subscribers" localSheetId="19">#REF!</definedName>
    <definedName name="France_Telecom_Romania_mobile_wholesale_subscribers" localSheetId="18">#REF!</definedName>
    <definedName name="France_Telecom_Romania_mobile_wholesale_subscribers">#REF!</definedName>
    <definedName name="France_Telecom_Slovakia_mobile_interconnect_receipts" localSheetId="19">#REF!</definedName>
    <definedName name="France_Telecom_Slovakia_mobile_interconnect_receipts" localSheetId="18">#REF!</definedName>
    <definedName name="France_Telecom_Slovakia_mobile_interconnect_receipts">#REF!</definedName>
    <definedName name="France_Telecom_Slovakia_mobile_interconnect_receipts_from_fixed_operators" localSheetId="19">#REF!</definedName>
    <definedName name="France_Telecom_Slovakia_mobile_interconnect_receipts_from_fixed_operators" localSheetId="18">#REF!</definedName>
    <definedName name="France_Telecom_Slovakia_mobile_interconnect_receipts_from_fixed_operators">#REF!</definedName>
    <definedName name="France_Telecom_Slovakia_mobile_interconnect_receipts_from_mobile_operators" localSheetId="19">#REF!</definedName>
    <definedName name="France_Telecom_Slovakia_mobile_interconnect_receipts_from_mobile_operators" localSheetId="18">#REF!</definedName>
    <definedName name="France_Telecom_Slovakia_mobile_interconnect_receipts_from_mobile_operators">#REF!</definedName>
    <definedName name="France_Telecom_Slovakia_mobile_other_revenue" localSheetId="19">#REF!</definedName>
    <definedName name="France_Telecom_Slovakia_mobile_other_revenue" localSheetId="18">#REF!</definedName>
    <definedName name="France_Telecom_Slovakia_mobile_other_revenue">#REF!</definedName>
    <definedName name="France_Telecom_Slovakia_mobile_retail_and_wholesale_services_revenue" localSheetId="19">#REF!</definedName>
    <definedName name="France_Telecom_Slovakia_mobile_retail_and_wholesale_services_revenue" localSheetId="18">#REF!</definedName>
    <definedName name="France_Telecom_Slovakia_mobile_retail_and_wholesale_services_revenue">#REF!</definedName>
    <definedName name="France_Telecom_Slovakia_mobile_retail_revenue" localSheetId="19">#REF!</definedName>
    <definedName name="France_Telecom_Slovakia_mobile_retail_revenue" localSheetId="18">#REF!</definedName>
    <definedName name="France_Telecom_Slovakia_mobile_retail_revenue">#REF!</definedName>
    <definedName name="France_Telecom_Slovakia_mobile_retail_subscribers" localSheetId="19">#REF!</definedName>
    <definedName name="France_Telecom_Slovakia_mobile_retail_subscribers" localSheetId="18">#REF!</definedName>
    <definedName name="France_Telecom_Slovakia_mobile_retail_subscribers">#REF!</definedName>
    <definedName name="France_Telecom_Slovakia_mobile_revenue" localSheetId="19">#REF!</definedName>
    <definedName name="France_Telecom_Slovakia_mobile_revenue" localSheetId="18">#REF!</definedName>
    <definedName name="France_Telecom_Slovakia_mobile_revenue">#REF!</definedName>
    <definedName name="France_Telecom_Slovakia_mobile_wholesale_revenue" localSheetId="19">#REF!</definedName>
    <definedName name="France_Telecom_Slovakia_mobile_wholesale_revenue" localSheetId="18">#REF!</definedName>
    <definedName name="France_Telecom_Slovakia_mobile_wholesale_revenue">#REF!</definedName>
    <definedName name="France_Telecom_Slovakia_mobile_wholesale_subscribers" localSheetId="19">#REF!</definedName>
    <definedName name="France_Telecom_Slovakia_mobile_wholesale_subscribers" localSheetId="18">#REF!</definedName>
    <definedName name="France_Telecom_Slovakia_mobile_wholesale_subscribers">#REF!</definedName>
    <definedName name="France_Telecom_Switzerland_mobile_interconnect_receipts" localSheetId="19">#REF!</definedName>
    <definedName name="France_Telecom_Switzerland_mobile_interconnect_receipts" localSheetId="18">#REF!</definedName>
    <definedName name="France_Telecom_Switzerland_mobile_interconnect_receipts">#REF!</definedName>
    <definedName name="France_Telecom_Switzerland_mobile_interconnect_receipts_from_fixed_operators" localSheetId="19">#REF!</definedName>
    <definedName name="France_Telecom_Switzerland_mobile_interconnect_receipts_from_fixed_operators" localSheetId="18">#REF!</definedName>
    <definedName name="France_Telecom_Switzerland_mobile_interconnect_receipts_from_fixed_operators">#REF!</definedName>
    <definedName name="France_Telecom_Switzerland_mobile_interconnect_receipts_from_mobile_operators" localSheetId="19">#REF!</definedName>
    <definedName name="France_Telecom_Switzerland_mobile_interconnect_receipts_from_mobile_operators" localSheetId="18">#REF!</definedName>
    <definedName name="France_Telecom_Switzerland_mobile_interconnect_receipts_from_mobile_operators">#REF!</definedName>
    <definedName name="France_Telecom_Switzerland_mobile_other_revenue" localSheetId="19">#REF!</definedName>
    <definedName name="France_Telecom_Switzerland_mobile_other_revenue" localSheetId="18">#REF!</definedName>
    <definedName name="France_Telecom_Switzerland_mobile_other_revenue">#REF!</definedName>
    <definedName name="France_Telecom_Switzerland_mobile_retail_and_wholesale_services_revenue" localSheetId="19">#REF!</definedName>
    <definedName name="France_Telecom_Switzerland_mobile_retail_and_wholesale_services_revenue" localSheetId="18">#REF!</definedName>
    <definedName name="France_Telecom_Switzerland_mobile_retail_and_wholesale_services_revenue">#REF!</definedName>
    <definedName name="France_Telecom_Switzerland_mobile_retail_revenue" localSheetId="19">#REF!</definedName>
    <definedName name="France_Telecom_Switzerland_mobile_retail_revenue" localSheetId="18">#REF!</definedName>
    <definedName name="France_Telecom_Switzerland_mobile_retail_revenue">#REF!</definedName>
    <definedName name="France_Telecom_Switzerland_mobile_retail_subscribers" localSheetId="19">#REF!</definedName>
    <definedName name="France_Telecom_Switzerland_mobile_retail_subscribers" localSheetId="18">#REF!</definedName>
    <definedName name="France_Telecom_Switzerland_mobile_retail_subscribers">#REF!</definedName>
    <definedName name="France_Telecom_Switzerland_mobile_revenue" localSheetId="19">#REF!</definedName>
    <definedName name="France_Telecom_Switzerland_mobile_revenue" localSheetId="18">#REF!</definedName>
    <definedName name="France_Telecom_Switzerland_mobile_revenue">#REF!</definedName>
    <definedName name="France_Telecom_Switzerland_mobile_wholesale_revenue" localSheetId="19">#REF!</definedName>
    <definedName name="France_Telecom_Switzerland_mobile_wholesale_revenue" localSheetId="18">#REF!</definedName>
    <definedName name="France_Telecom_Switzerland_mobile_wholesale_revenue">#REF!</definedName>
    <definedName name="France_Telecom_Switzerland_mobile_wholesale_subscribers" localSheetId="19">#REF!</definedName>
    <definedName name="France_Telecom_Switzerland_mobile_wholesale_subscribers" localSheetId="18">#REF!</definedName>
    <definedName name="France_Telecom_Switzerland_mobile_wholesale_subscribers">#REF!</definedName>
    <definedName name="France_Telecom2" localSheetId="19">#REF!</definedName>
    <definedName name="France_Telecom2" localSheetId="18">#REF!</definedName>
    <definedName name="France_Telecom2">#REF!</definedName>
    <definedName name="France_TelecomFrancefixedretail_revenue__residential" localSheetId="19">#REF!</definedName>
    <definedName name="France_TelecomFrancefixedretail_revenue__residential" localSheetId="18">#REF!</definedName>
    <definedName name="France_TelecomFrancefixedretail_revenue__residential">#REF!</definedName>
    <definedName name="Franchise_Area" localSheetId="19">'[10]Cashflow-Post'!#REF!</definedName>
    <definedName name="Franchise_Area" localSheetId="18">'[10]Cashflow-Post'!#REF!</definedName>
    <definedName name="Franchise_Area">'[10]Cashflow-Post'!#REF!</definedName>
    <definedName name="Frank" localSheetId="18" hidden="1">{#N/A,#N/A,TRUE,"Cover sheet";#N/A,#N/A,TRUE,"DCF analysis";#N/A,#N/A,TRUE,"WACC calculation"}</definedName>
    <definedName name="Frank" hidden="1">{#N/A,#N/A,TRUE,"Cover sheet";#N/A,#N/A,TRUE,"DCF analysis";#N/A,#N/A,TRUE,"WACC calculation"}</definedName>
    <definedName name="FreeAfterTaxOperatingCashflow" localSheetId="19">'[10]Balance-Post'!#REF!</definedName>
    <definedName name="FreeAfterTaxOperatingCashflow">'[10]Balance-Post'!#REF!</definedName>
    <definedName name="Fren" localSheetId="19">[70]Deals!#REF!</definedName>
    <definedName name="Fren">[70]Deals!#REF!</definedName>
    <definedName name="FREQ" localSheetId="19">#REF!</definedName>
    <definedName name="FREQ" localSheetId="18">#REF!</definedName>
    <definedName name="FREQ">#REF!</definedName>
    <definedName name="freshebitda" localSheetId="19">'[12]Fleet &amp; Costs'!#REF!</definedName>
    <definedName name="freshebitda" localSheetId="18">'[12]Fleet &amp; Costs'!#REF!</definedName>
    <definedName name="freshebitda">'[12]Fleet &amp; Costs'!#REF!</definedName>
    <definedName name="freshrev" localSheetId="19">'[12]Fleet &amp; Costs'!#REF!</definedName>
    <definedName name="freshrev">'[12]Fleet &amp; Costs'!#REF!</definedName>
    <definedName name="frontsheet" localSheetId="19">#REF!</definedName>
    <definedName name="frontsheet" localSheetId="18">#REF!</definedName>
    <definedName name="frontsheet">#REF!</definedName>
    <definedName name="FS_Current">[55]INPUT!$P$67:$S$151</definedName>
    <definedName name="FS_Current2">[55]Beta!$B$403:$U$423</definedName>
    <definedName name="FS_Name">[55]INPUT!$E$242:$E$247</definedName>
    <definedName name="FS_Name_Current">'[55]Share price analysis'!$K$55</definedName>
    <definedName name="FS_Name_New">[55]INPUT!$I$58</definedName>
    <definedName name="FS_Number">[55]INPUT!$E$240</definedName>
    <definedName name="FTEVEBITDA97">[7]Fixed!$K$120</definedName>
    <definedName name="FTEVEBITDA98">[7]Fixed!$K$121</definedName>
    <definedName name="ftmult">[21]Multmod!$C$45:$G$61</definedName>
    <definedName name="FTPE_97">[7]Fixed!$H$120</definedName>
    <definedName name="FTPE_98">[7]Fixed!$H$121</definedName>
    <definedName name="FTPERel97">[7]Fixed!$I$120</definedName>
    <definedName name="FTPERel98">[7]Fixed!$I$121</definedName>
    <definedName name="FTPrice">[7]Fixed!$A$120</definedName>
    <definedName name="ftsop1">[21]FT2!$AA$28:$AG$36</definedName>
    <definedName name="fttp2">[21]FT2!$AR$4</definedName>
    <definedName name="FTYIELD97">[7]Fixed!$O$120</definedName>
    <definedName name="FTYIELD98">[7]Fixed!$O$121</definedName>
    <definedName name="fuffuy" localSheetId="18" hidden="1">{#N/A,#N/A,FALSE,"Cover";"outputs total",#N/A,FALSE,"Outputs"}</definedName>
    <definedName name="fuffuy" hidden="1">{#N/A,#N/A,FALSE,"Cover";"outputs total",#N/A,FALSE,"Outputs"}</definedName>
    <definedName name="fwd.ev.ebitda.g">"Chart 150"</definedName>
    <definedName name="fwd.ev.opfcf.g">"Chart 150"</definedName>
    <definedName name="FX" localSheetId="19">#REF!</definedName>
    <definedName name="FX">#REF!</definedName>
    <definedName name="Fx_rates">[19]Aggregate!$B$4:$U$9</definedName>
    <definedName name="fxa">[10]B!$A$29</definedName>
    <definedName name="fxats">[10]B!$B$28</definedName>
    <definedName name="fxusd">'[10]P&amp;L-Post'!$A$64</definedName>
    <definedName name="fxx">'[71]100% Debt'!$W$9</definedName>
    <definedName name="FY">97</definedName>
    <definedName name="fyProjectName" localSheetId="19">#REF!</definedName>
    <definedName name="fyProjectName">#REF!</definedName>
    <definedName name="fySheetName" localSheetId="19">#REF!</definedName>
    <definedName name="fySheetName" localSheetId="18">#REF!</definedName>
    <definedName name="fySheetName">#REF!</definedName>
    <definedName name="G">#N/A</definedName>
    <definedName name="GCBrec" localSheetId="19">#REF!</definedName>
    <definedName name="GCBrec" localSheetId="18">#REF!</definedName>
    <definedName name="GCBrec">#REF!</definedName>
    <definedName name="gdps" localSheetId="19">#REF!</definedName>
    <definedName name="gdps" localSheetId="18">#REF!</definedName>
    <definedName name="gdps">#REF!</definedName>
    <definedName name="gdsfg" localSheetId="18" hidden="1">{#N/A,#N/A,TRUE,"Cover sheet";#N/A,#N/A,TRUE,"INPUTS";#N/A,#N/A,TRUE,"OUTPUTS";#N/A,#N/A,TRUE,"VALUATION"}</definedName>
    <definedName name="gdsfg" hidden="1">{#N/A,#N/A,TRUE,"Cover sheet";#N/A,#N/A,TRUE,"INPUTS";#N/A,#N/A,TRUE,"OUTPUTS";#N/A,#N/A,TRUE,"VALUATION"}</definedName>
    <definedName name="get_trunks" localSheetId="19">[72]!get_trunks</definedName>
    <definedName name="get_trunks" localSheetId="5">[72]!get_trunks</definedName>
    <definedName name="get_trunks">[72]!get_trunks</definedName>
    <definedName name="gInsertNewCompany">#N/A</definedName>
    <definedName name="glenrev" localSheetId="19">[5]Sensetivities!#REF!</definedName>
    <definedName name="glenrev">[5]Sensetivities!#REF!</definedName>
    <definedName name="glop" localSheetId="19">#REF!</definedName>
    <definedName name="glop" localSheetId="18">#REF!</definedName>
    <definedName name="glop">#REF!</definedName>
    <definedName name="gmarg" localSheetId="19">#REF!</definedName>
    <definedName name="gmarg" localSheetId="18">#REF!</definedName>
    <definedName name="gmarg">#REF!</definedName>
    <definedName name="gogo" localSheetId="18" hidden="1">{#N/A,#N/A,TRUE,"Cover sheet";#N/A,#N/A,TRUE,"INPUTS";#N/A,#N/A,TRUE,"OUTPUTS";#N/A,#N/A,TRUE,"VALUATION"}</definedName>
    <definedName name="gogo" hidden="1">{#N/A,#N/A,TRUE,"Cover sheet";#N/A,#N/A,TRUE,"INPUTS";#N/A,#N/A,TRUE,"OUTPUTS";#N/A,#N/A,TRUE,"VALUATION"}</definedName>
    <definedName name="goodbye" localSheetId="18" hidden="1">{#N/A,#N/A,FALSE,"Cover";"Short outputs",#N/A,FALSE,"Outputs";#N/A,#N/A,FALSE,"Control (In)";"tesco summary",#N/A,FALSE,"Tesco";"Outputs and Co summaries",#N/A,FALSE,"Sainsbury";"Outputs and Co Summaries",#N/A,FALSE,"Carrefour";"Outputs and Co summaries",#N/A,FALSE,"Co D";"Outputs and Co summaries",#N/A,FALSE,"Co E"}</definedName>
    <definedName name="goodbye" hidden="1">{#N/A,#N/A,FALSE,"Cover";"Short outputs",#N/A,FALSE,"Outputs";#N/A,#N/A,FALSE,"Control (In)";"tesco summary",#N/A,FALSE,"Tesco";"Outputs and Co summaries",#N/A,FALSE,"Sainsbury";"Outputs and Co Summaries",#N/A,FALSE,"Carrefour";"Outputs and Co summaries",#N/A,FALSE,"Co D";"Outputs and Co summaries",#N/A,FALSE,"Co E"}</definedName>
    <definedName name="Goodwill" localSheetId="19">'[12]Fleet &amp; Costs'!#REF!</definedName>
    <definedName name="Goodwill">'[12]Fleet &amp; Costs'!#REF!</definedName>
    <definedName name="gPrintActivitiesPage">#N/A</definedName>
    <definedName name="gPrintAll">#N/A</definedName>
    <definedName name="gPrintBaseDataPage">#N/A</definedName>
    <definedName name="gPrintBBExecPage">#N/A</definedName>
    <definedName name="gPrintMultiplesPage">#N/A</definedName>
    <definedName name="gPrintTitlePage">#N/A</definedName>
    <definedName name="gProtectAll">#N/A</definedName>
    <definedName name="gratuite" localSheetId="19">#REF!</definedName>
    <definedName name="gratuite" localSheetId="18">#REF!</definedName>
    <definedName name="gratuite">#REF!</definedName>
    <definedName name="GrossMargin" localSheetId="19">'[10]Balance-Post'!#REF!</definedName>
    <definedName name="GrossMargin" localSheetId="18">'[10]Balance-Post'!#REF!</definedName>
    <definedName name="GrossMargin">'[10]Balance-Post'!#REF!</definedName>
    <definedName name="GrossMarginTot" localSheetId="19">'[32]Statistics France'!#REF!</definedName>
    <definedName name="GrossMarginTot">'[32]Statistics France'!#REF!</definedName>
    <definedName name="grossmargintotcodi" localSheetId="19">#REF!</definedName>
    <definedName name="grossmargintotcodi" localSheetId="18">#REF!</definedName>
    <definedName name="grossmargintotcodi">#REF!</definedName>
    <definedName name="grossmargintotcons">'[34]STAT BRU'!$A$345:$IV$345</definedName>
    <definedName name="grossmargintotev" localSheetId="19">#REF!</definedName>
    <definedName name="grossmargintotev" localSheetId="18">#REF!</definedName>
    <definedName name="grossmargintotev">#REF!</definedName>
    <definedName name="grossmargintotev2" localSheetId="19">#REF!</definedName>
    <definedName name="grossmargintotev2" localSheetId="18">#REF!</definedName>
    <definedName name="grossmargintotev2">#REF!</definedName>
    <definedName name="grossmargintotevconso" localSheetId="19">#REF!</definedName>
    <definedName name="grossmargintotevconso" localSheetId="18">#REF!</definedName>
    <definedName name="grossmargintotevconso">#REF!</definedName>
    <definedName name="grossmarginttot2">'[33]STAT BRU'!$A$345:$IV$345</definedName>
    <definedName name="GrossProfit" localSheetId="19">'[10]Balance-Post'!#REF!</definedName>
    <definedName name="GrossProfit">'[10]Balance-Post'!#REF!</definedName>
    <definedName name="GROUPE" localSheetId="19">'[73]CA NCN 04-09 2005'!#REF!</definedName>
    <definedName name="GROUPE">'[73]CA NCN 04-09 2005'!#REF!</definedName>
    <definedName name="GROUPE_REF" localSheetId="19">#REF!</definedName>
    <definedName name="GROUPE_REF" localSheetId="18">#REF!</definedName>
    <definedName name="GROUPE_REF">#REF!</definedName>
    <definedName name="GROUPE_SOCIETE">'[74]Paramètres OPEN'!$B$19</definedName>
    <definedName name="GroupSales" localSheetId="19">'[10]Balance-Post'!#REF!</definedName>
    <definedName name="GroupSales">'[10]Balance-Post'!#REF!</definedName>
    <definedName name="Growth_rate" localSheetId="19">#REF!</definedName>
    <definedName name="Growth_rate" localSheetId="18">#REF!</definedName>
    <definedName name="Growth_rate">#REF!</definedName>
    <definedName name="Growth_Rate_Table">[75]RevAss!$E$24:$I$53</definedName>
    <definedName name="Growthrate">'[76]Terminal  value DCF'!$C$1</definedName>
    <definedName name="gUnprotectAll">#N/A</definedName>
    <definedName name="gwamort" localSheetId="19">#REF!</definedName>
    <definedName name="gwamort" localSheetId="18">#REF!</definedName>
    <definedName name="gwamort">#REF!</definedName>
    <definedName name="H" localSheetId="19">'[12]Fleet &amp; Costs'!#REF!</definedName>
    <definedName name="H" localSheetId="18">'[12]Fleet &amp; Costs'!#REF!</definedName>
    <definedName name="H">'[12]Fleet &amp; Costs'!#REF!</definedName>
    <definedName name="Header" localSheetId="19">#REF!</definedName>
    <definedName name="Header" localSheetId="18">#REF!</definedName>
    <definedName name="Header">#REF!</definedName>
    <definedName name="hello" localSheetId="18" hidden="1">{#N/A,#N/A,FALSE,"Cover";"outputs total",#N/A,FALSE,"Outputs"}</definedName>
    <definedName name="hello" hidden="1">{#N/A,#N/A,FALSE,"Cover";"outputs total",#N/A,FALSE,"Outputs"}</definedName>
    <definedName name="high.estimate.connected.sites">[77]Forecasts!$E$245:$J$246</definedName>
    <definedName name="HKTpercentCABL" localSheetId="19">#REF!</definedName>
    <definedName name="HKTpercentCABL" localSheetId="18">#REF!</definedName>
    <definedName name="HKTpercentCABL">#REF!</definedName>
    <definedName name="Hotel_Project" localSheetId="19">#REF!</definedName>
    <definedName name="Hotel_Project" localSheetId="18">#REF!</definedName>
    <definedName name="Hotel_Project">#REF!</definedName>
    <definedName name="household_coverage" localSheetId="19">'[10]Cashflow-Post'!#REF!</definedName>
    <definedName name="household_coverage" localSheetId="18">'[10]Cashflow-Post'!#REF!</definedName>
    <definedName name="household_coverage">'[10]Cashflow-Post'!#REF!</definedName>
    <definedName name="Households">[58]Aggregate!$B$2773:$S$2789</definedName>
    <definedName name="Households_in_Covered_Area" localSheetId="19">'[10]Cashflow-Post'!#REF!</definedName>
    <definedName name="Households_in_Covered_Area">'[10]Cashflow-Post'!#REF!</definedName>
    <definedName name="hp_analysys" localSheetId="19">#REF!</definedName>
    <definedName name="hp_analysys" localSheetId="18">#REF!</definedName>
    <definedName name="hp_analysys">#REF!</definedName>
    <definedName name="hp_bp" localSheetId="19">#REF!</definedName>
    <definedName name="hp_bp" localSheetId="18">#REF!</definedName>
    <definedName name="hp_bp">#REF!</definedName>
    <definedName name="HPDigTV" localSheetId="19">'[32]Statistics France'!#REF!</definedName>
    <definedName name="HPDigTV" localSheetId="18">'[32]Statistics France'!#REF!</definedName>
    <definedName name="HPDigTV">'[32]Statistics France'!#REF!</definedName>
    <definedName name="HPDigTV2">'[33]STAT BRU'!$A$22:$IV$22</definedName>
    <definedName name="hpdigtvcodi" localSheetId="19">#REF!</definedName>
    <definedName name="hpdigtvcodi" localSheetId="18">#REF!</definedName>
    <definedName name="hpdigtvcodi">#REF!</definedName>
    <definedName name="hpdigtvconso">'[34]STAT BRU'!$A$22:$IV$22</definedName>
    <definedName name="hpdigtvev" localSheetId="19">#REF!</definedName>
    <definedName name="hpdigtvev" localSheetId="18">#REF!</definedName>
    <definedName name="hpdigtvev">#REF!</definedName>
    <definedName name="hpdigtvev2" localSheetId="19">#REF!</definedName>
    <definedName name="hpdigtvev2" localSheetId="18">#REF!</definedName>
    <definedName name="hpdigtvev2">#REF!</definedName>
    <definedName name="hpdigtvevconso" localSheetId="19">#REF!</definedName>
    <definedName name="hpdigtvevconso" localSheetId="18">#REF!</definedName>
    <definedName name="hpdigtvevconso">#REF!</definedName>
    <definedName name="hpfrsdataconso">'[34]STAT BRU'!$A$24:$IV$24</definedName>
    <definedName name="hpfrstelcodit" localSheetId="19">#REF!</definedName>
    <definedName name="hpfrstelcodit" localSheetId="18">#REF!</definedName>
    <definedName name="hpfrstelcodit">#REF!</definedName>
    <definedName name="hpfstelevconso" localSheetId="19">#REF!</definedName>
    <definedName name="hpfstelevconso" localSheetId="18">#REF!</definedName>
    <definedName name="hpfstelevconso">#REF!</definedName>
    <definedName name="hpi_analysys" localSheetId="19">#REF!</definedName>
    <definedName name="hpi_analysys" localSheetId="18">#REF!</definedName>
    <definedName name="hpi_analysys">#REF!</definedName>
    <definedName name="hpi_bp" localSheetId="19">#REF!</definedName>
    <definedName name="hpi_bp" localSheetId="18">#REF!</definedName>
    <definedName name="hpi_bp">#REF!</definedName>
    <definedName name="HPRFSData" localSheetId="19">'[32]Statistics France'!#REF!</definedName>
    <definedName name="HPRFSData" localSheetId="18">'[32]Statistics France'!#REF!</definedName>
    <definedName name="HPRFSData">'[32]Statistics France'!#REF!</definedName>
    <definedName name="hprfsdata2">'[33]STAT BRU'!$A$24:$IV$24</definedName>
    <definedName name="hprfsdatacodi" localSheetId="19">#REF!</definedName>
    <definedName name="hprfsdatacodi" localSheetId="18">#REF!</definedName>
    <definedName name="hprfsdatacodi">#REF!</definedName>
    <definedName name="hprfsdataev" localSheetId="19">#REF!</definedName>
    <definedName name="hprfsdataev" localSheetId="18">#REF!</definedName>
    <definedName name="hprfsdataev">#REF!</definedName>
    <definedName name="hprfsdataev2" localSheetId="19">#REF!</definedName>
    <definedName name="hprfsdataev2" localSheetId="18">#REF!</definedName>
    <definedName name="hprfsdataev2">#REF!</definedName>
    <definedName name="hprfsdataevconso" localSheetId="19">#REF!</definedName>
    <definedName name="hprfsdataevconso" localSheetId="18">#REF!</definedName>
    <definedName name="hprfsdataevconso">#REF!</definedName>
    <definedName name="HPRFSTel" localSheetId="19">'[32]Statistics France'!#REF!</definedName>
    <definedName name="HPRFSTel" localSheetId="18">'[32]Statistics France'!#REF!</definedName>
    <definedName name="HPRFSTel">'[32]Statistics France'!#REF!</definedName>
    <definedName name="hprfstel2">'[33]STAT BRU'!$A$23:$IV$23</definedName>
    <definedName name="hprfstelconso">'[34]STAT BRU'!$A$23:$IV$23</definedName>
    <definedName name="hprfstelev" localSheetId="19">#REF!</definedName>
    <definedName name="hprfstelev" localSheetId="18">#REF!</definedName>
    <definedName name="hprfstelev">#REF!</definedName>
    <definedName name="hprfstelev2" localSheetId="19">#REF!</definedName>
    <definedName name="hprfstelev2" localSheetId="18">#REF!</definedName>
    <definedName name="hprfstelev2">#REF!</definedName>
    <definedName name="HPTV" localSheetId="19">'[32]Statistics France'!#REF!</definedName>
    <definedName name="HPTV" localSheetId="18">'[32]Statistics France'!#REF!</definedName>
    <definedName name="HPTV">'[32]Statistics France'!#REF!</definedName>
    <definedName name="hptv2">'[33]STAT BRU'!$A$20:$IV$20</definedName>
    <definedName name="hptvcodi" localSheetId="19">#REF!</definedName>
    <definedName name="hptvcodi" localSheetId="18">#REF!</definedName>
    <definedName name="hptvcodi">#REF!</definedName>
    <definedName name="hptvconso">'[34]STAT BRU'!$A$20:$IV$20</definedName>
    <definedName name="hptvev" localSheetId="19">#REF!</definedName>
    <definedName name="hptvev" localSheetId="18">#REF!</definedName>
    <definedName name="hptvev">#REF!</definedName>
    <definedName name="hptvev2" localSheetId="19">#REF!</definedName>
    <definedName name="hptvev2" localSheetId="18">#REF!</definedName>
    <definedName name="hptvev2">#REF!</definedName>
    <definedName name="hptvevconso" localSheetId="19">#REF!</definedName>
    <definedName name="hptvevconso" localSheetId="18">#REF!</definedName>
    <definedName name="hptvevconso">#REF!</definedName>
    <definedName name="HY" localSheetId="19">'[78]Sources &amp; Uses'!#REF!</definedName>
    <definedName name="HY" localSheetId="18">'[78]Sources &amp; Uses'!#REF!</definedName>
    <definedName name="HY">'[78]Sources &amp; Uses'!#REF!</definedName>
    <definedName name="hye" localSheetId="19">#REF!</definedName>
    <definedName name="hye" localSheetId="18">#REF!</definedName>
    <definedName name="hye">#REF!</definedName>
    <definedName name="I" localSheetId="19">'[12]Fleet &amp; Costs'!#REF!</definedName>
    <definedName name="I" localSheetId="18">'[12]Fleet &amp; Costs'!#REF!</definedName>
    <definedName name="I">'[12]Fleet &amp; Costs'!#REF!</definedName>
    <definedName name="I_TUP">[28]TUP!$G$26,[28]TUP!$H$44</definedName>
    <definedName name="I1.1989.09" localSheetId="19">#REF!</definedName>
    <definedName name="I1.1989.09" localSheetId="18">#REF!</definedName>
    <definedName name="I1.1989.09">#REF!</definedName>
    <definedName name="I1.1990.09" localSheetId="19">#REF!</definedName>
    <definedName name="I1.1990.09" localSheetId="18">#REF!</definedName>
    <definedName name="I1.1990.09">#REF!</definedName>
    <definedName name="I1.1991.09" localSheetId="19">#REF!</definedName>
    <definedName name="I1.1991.09" localSheetId="18">#REF!</definedName>
    <definedName name="I1.1991.09">#REF!</definedName>
    <definedName name="I1.1992.09" localSheetId="19">#REF!</definedName>
    <definedName name="I1.1992.09" localSheetId="18">#REF!</definedName>
    <definedName name="I1.1992.09">#REF!</definedName>
    <definedName name="I1.1993.09" localSheetId="19">#REF!</definedName>
    <definedName name="I1.1993.09" localSheetId="18">#REF!</definedName>
    <definedName name="I1.1993.09">#REF!</definedName>
    <definedName name="I1.1994.09" localSheetId="19">#REF!</definedName>
    <definedName name="I1.1994.09" localSheetId="18">#REF!</definedName>
    <definedName name="I1.1994.09">#REF!</definedName>
    <definedName name="I1.1995.09" localSheetId="19">#REF!</definedName>
    <definedName name="I1.1995.09" localSheetId="18">#REF!</definedName>
    <definedName name="I1.1995.09">#REF!</definedName>
    <definedName name="I1.1996.09" localSheetId="19">#REF!</definedName>
    <definedName name="I1.1996.09" localSheetId="18">#REF!</definedName>
    <definedName name="I1.1996.09">#REF!</definedName>
    <definedName name="I1.1997.09" localSheetId="19">#REF!</definedName>
    <definedName name="I1.1997.09" localSheetId="18">#REF!</definedName>
    <definedName name="I1.1997.09">#REF!</definedName>
    <definedName name="I1.1998.09" localSheetId="19">#REF!</definedName>
    <definedName name="I1.1998.09" localSheetId="18">#REF!</definedName>
    <definedName name="I1.1998.09">#REF!</definedName>
    <definedName name="I1.1999.09" localSheetId="19">#REF!</definedName>
    <definedName name="I1.1999.09" localSheetId="18">#REF!</definedName>
    <definedName name="I1.1999.09">#REF!</definedName>
    <definedName name="I2.1996.03" localSheetId="19">#REF!</definedName>
    <definedName name="I2.1996.03" localSheetId="18">#REF!</definedName>
    <definedName name="I2.1996.03">#REF!</definedName>
    <definedName name="I2.1997.03" localSheetId="19">#REF!</definedName>
    <definedName name="I2.1997.03" localSheetId="18">#REF!</definedName>
    <definedName name="I2.1997.03">#REF!</definedName>
    <definedName name="ID" localSheetId="19">'[79]Détail OPEX'!#REF!</definedName>
    <definedName name="ID" localSheetId="18">'[79]Détail OPEX'!#REF!</definedName>
    <definedName name="ID">'[79]Détail OPEX'!#REF!</definedName>
    <definedName name="IDC" localSheetId="19">#REF!</definedName>
    <definedName name="IDC" localSheetId="18">#REF!</definedName>
    <definedName name="IDC">#REF!</definedName>
    <definedName name="Imm00" localSheetId="19">[11]Ingresos!#REF!</definedName>
    <definedName name="Imm00" localSheetId="18">[11]Ingresos!#REF!</definedName>
    <definedName name="Imm00">[11]Ingresos!#REF!</definedName>
    <definedName name="in_traffic_voice" localSheetId="19">#REF!</definedName>
    <definedName name="in_traffic_voice" localSheetId="18">#REF!</definedName>
    <definedName name="in_traffic_voice">#REF!</definedName>
    <definedName name="IncBPCosts" localSheetId="19">'[80]Assump. &amp; Sens.'!#REF!</definedName>
    <definedName name="IncBPCosts" localSheetId="18">'[80]Assump. &amp; Sens.'!#REF!</definedName>
    <definedName name="IncBPCosts">'[80]Assump. &amp; Sens.'!#REF!</definedName>
    <definedName name="inccred" localSheetId="19">#REF!</definedName>
    <definedName name="inccred" localSheetId="18">#REF!</definedName>
    <definedName name="inccred">#REF!</definedName>
    <definedName name="IncCurrs" localSheetId="19">#REF!</definedName>
    <definedName name="IncCurrs" localSheetId="18">#REF!</definedName>
    <definedName name="IncCurrs">#REF!</definedName>
    <definedName name="incoming_call_cost" localSheetId="19">#REF!</definedName>
    <definedName name="incoming_call_cost" localSheetId="18">#REF!</definedName>
    <definedName name="incoming_call_cost">#REF!</definedName>
    <definedName name="incoming_cost" localSheetId="19">#REF!</definedName>
    <definedName name="incoming_cost" localSheetId="18">#REF!</definedName>
    <definedName name="incoming_cost">#REF!</definedName>
    <definedName name="incpenprov" localSheetId="19">#REF!</definedName>
    <definedName name="incpenprov" localSheetId="18">#REF!</definedName>
    <definedName name="incpenprov">#REF!</definedName>
    <definedName name="increc" localSheetId="19">#REF!</definedName>
    <definedName name="increc" localSheetId="18">#REF!</definedName>
    <definedName name="increc">#REF!</definedName>
    <definedName name="Incremental_Number_of_Lines" localSheetId="19">'[10]P&amp;L-Pre'!#REF!</definedName>
    <definedName name="Incremental_Number_of_Lines" localSheetId="18">'[10]P&amp;L-Pre'!#REF!</definedName>
    <definedName name="Incremental_Number_of_Lines">'[10]P&amp;L-Pre'!#REF!</definedName>
    <definedName name="incstock" localSheetId="19">#REF!</definedName>
    <definedName name="incstock" localSheetId="18">#REF!</definedName>
    <definedName name="incstock">#REF!</definedName>
    <definedName name="IncSubFees" localSheetId="19">'[80]Assump. &amp; Sens.'!#REF!</definedName>
    <definedName name="IncSubFees" localSheetId="18">'[80]Assump. &amp; Sens.'!#REF!</definedName>
    <definedName name="IncSubFees">'[80]Assump. &amp; Sens.'!#REF!</definedName>
    <definedName name="incumbassoc">[18]Prices!$H$4:$H$42</definedName>
    <definedName name="incumbfx">[18]Prices!$K$4:$K$28</definedName>
    <definedName name="INCUMBMULTS">[18]Multiples!$B$6:$X$64</definedName>
    <definedName name="incumbprices">[18]Prices!$C$4:$C$19</definedName>
    <definedName name="incumbrating">[21]Prices!$D$20:$D$34</definedName>
    <definedName name="incumbtarget">[21]Prices!$C$20:$C$34</definedName>
    <definedName name="IndDigitalTVScenario" localSheetId="19">[43]Transaction!#REF!</definedName>
    <definedName name="IndDigitalTVScenario">[43]Transaction!#REF!</definedName>
    <definedName name="Index_Inflación" localSheetId="19">#REF!</definedName>
    <definedName name="Index_Inflación" localSheetId="18">#REF!</definedName>
    <definedName name="Index_Inflación">#REF!</definedName>
    <definedName name="indicators_columns_1" localSheetId="19">#REF!</definedName>
    <definedName name="indicators_columns_1" localSheetId="18">#REF!</definedName>
    <definedName name="indicators_columns_1">#REF!</definedName>
    <definedName name="indicators_rows_1" localSheetId="19">#REF!</definedName>
    <definedName name="indicators_rows_1" localSheetId="18">#REF!</definedName>
    <definedName name="indicators_rows_1">#REF!</definedName>
    <definedName name="indicators_rows_2" localSheetId="19">#REF!</definedName>
    <definedName name="indicators_rows_2" localSheetId="18">#REF!</definedName>
    <definedName name="indicators_rows_2">#REF!</definedName>
    <definedName name="indicators_rows_3" localSheetId="19">#REF!</definedName>
    <definedName name="indicators_rows_3" localSheetId="18">#REF!</definedName>
    <definedName name="indicators_rows_3">#REF!</definedName>
    <definedName name="IndInflation" localSheetId="19">#REF!</definedName>
    <definedName name="IndInflation" localSheetId="18">#REF!</definedName>
    <definedName name="IndInflation">#REF!</definedName>
    <definedName name="IndInternet" localSheetId="19">[81]Cover!#REF!</definedName>
    <definedName name="IndInternet" localSheetId="18">[81]Cover!#REF!</definedName>
    <definedName name="IndInternet">[81]Cover!#REF!</definedName>
    <definedName name="IndInternetScenario" localSheetId="19">[43]Transaction!#REF!</definedName>
    <definedName name="IndInternetScenario" localSheetId="18">[43]Transaction!#REF!</definedName>
    <definedName name="IndInternetScenario">[43]Transaction!#REF!</definedName>
    <definedName name="IndNtwkDigit" localSheetId="19">[81]Cover!#REF!</definedName>
    <definedName name="IndNtwkDigit" localSheetId="18">[81]Cover!#REF!</definedName>
    <definedName name="IndNtwkDigit">[81]Cover!#REF!</definedName>
    <definedName name="IndResidentialTelephony" localSheetId="19">[81]Cover!#REF!</definedName>
    <definedName name="IndResidentialTelephony" localSheetId="18">[81]Cover!#REF!</definedName>
    <definedName name="IndResidentialTelephony">[81]Cover!#REF!</definedName>
    <definedName name="IndResidTelScenario" localSheetId="19">[43]Transaction!#REF!</definedName>
    <definedName name="IndResidTelScenario" localSheetId="18">[43]Transaction!#REF!</definedName>
    <definedName name="IndResidTelScenario">[43]Transaction!#REF!</definedName>
    <definedName name="Inflation" localSheetId="19">'[32]Statistics France'!#REF!</definedName>
    <definedName name="Inflation">'[32]Statistics France'!#REF!</definedName>
    <definedName name="inflation2">'[33]STAT BRU'!$A$8:$IV$8</definedName>
    <definedName name="inflationcodi" localSheetId="19">#REF!</definedName>
    <definedName name="inflationcodi" localSheetId="18">#REF!</definedName>
    <definedName name="inflationcodi">#REF!</definedName>
    <definedName name="inflationconso">'[34]STAT BRU'!$A$8:$IV$8</definedName>
    <definedName name="inflationev" localSheetId="19">#REF!</definedName>
    <definedName name="inflationev" localSheetId="18">#REF!</definedName>
    <definedName name="inflationev">#REF!</definedName>
    <definedName name="inflationev2" localSheetId="19">#REF!</definedName>
    <definedName name="inflationev2" localSheetId="18">#REF!</definedName>
    <definedName name="inflationev2">#REF!</definedName>
    <definedName name="inflationevconso" localSheetId="19">#REF!</definedName>
    <definedName name="inflationevconso" localSheetId="18">#REF!</definedName>
    <definedName name="inflationevconso">#REF!</definedName>
    <definedName name="INFO_06_EFF">[28]INFO_06!$C$8,[28]INFO_06!$C$11:$C$12,[28]INFO_06!$C$14:$C$17</definedName>
    <definedName name="INFO11" localSheetId="19">#REF!</definedName>
    <definedName name="INFO11" localSheetId="18">#REF!</definedName>
    <definedName name="INFO11">#REF!</definedName>
    <definedName name="INFO7_ENG">[28]INFO_07!$H$20,[28]INFO_07!$H$37</definedName>
    <definedName name="INFOTP1" localSheetId="19">#REF!</definedName>
    <definedName name="INFOTP1" localSheetId="18">#REF!</definedName>
    <definedName name="INFOTP1">#REF!</definedName>
    <definedName name="inject" localSheetId="19">'[12]Fleet &amp; Costs'!#REF!</definedName>
    <definedName name="inject" localSheetId="18">'[12]Fleet &amp; Costs'!#REF!</definedName>
    <definedName name="inject">'[12]Fleet &amp; Costs'!#REF!</definedName>
    <definedName name="INSERTCO" localSheetId="19">#REF!</definedName>
    <definedName name="INSERTCO" localSheetId="18">#REF!</definedName>
    <definedName name="INSERTCO">#REF!</definedName>
    <definedName name="Int">[31]Switches!$F$10</definedName>
    <definedName name="INT_HY_Cash">[55]INPUT!$G$130</definedName>
    <definedName name="INT_HY_PIK">[55]INPUT!$H$130</definedName>
    <definedName name="INT_Interco_Cash">[55]INPUT!$G$123</definedName>
    <definedName name="INT_JunMezz_Cash">[55]INPUT!$G$129</definedName>
    <definedName name="INT_JunMezz_PIK">[55]INPUT!$H$129</definedName>
    <definedName name="INT_Newco_Cash">[55]INPUT!$G$118</definedName>
    <definedName name="INT_Refinanced_Cash">[55]INPUT!$G$121</definedName>
    <definedName name="INT_Revolving_Cash">[55]INPUT!$G$120</definedName>
    <definedName name="INT_SeniorA_Cash">[55]INPUT!$G$125</definedName>
    <definedName name="INT_SeniorB_Cash">[55]INPUT!$G$126</definedName>
    <definedName name="INT_SeniorC_Cash">[55]INPUT!$G$127</definedName>
    <definedName name="INT_SenMezz_Cash">[55]INPUT!$G$128</definedName>
    <definedName name="INT_SenMezz_PIK">[55]INPUT!$H$128</definedName>
    <definedName name="INT_ShareLoan_PIK">[55]INPUT!$H$132</definedName>
    <definedName name="INT_Target_Cash">[55]INPUT!$G$117</definedName>
    <definedName name="INT_Vendor_Cash">[55]INPUT!$G$131</definedName>
    <definedName name="INT_Vendor_PIK">[55]INPUT!$H$131</definedName>
    <definedName name="Intangible_Fixed_Assets" localSheetId="19">#REF!</definedName>
    <definedName name="Intangible_Fixed_Assets" localSheetId="18">#REF!</definedName>
    <definedName name="Intangible_Fixed_Assets">#REF!</definedName>
    <definedName name="InTC" localSheetId="19">#REF!</definedName>
    <definedName name="InTC" localSheetId="18">#REF!</definedName>
    <definedName name="InTC">#REF!</definedName>
    <definedName name="Intercolijst" localSheetId="19">#REF!</definedName>
    <definedName name="Intercolijst" localSheetId="18">#REF!</definedName>
    <definedName name="Intercolijst">#REF!</definedName>
    <definedName name="INTERDEP">'[37]Inflation &amp; Currency'!$H$62:$W$62</definedName>
    <definedName name="Interest_rate">[82]Assumption!$B$12</definedName>
    <definedName name="Interest_rate_on_VAT_facility">[82]Assumption!$B$41</definedName>
    <definedName name="Internet_revenues" localSheetId="19">#REF!</definedName>
    <definedName name="Internet_revenues" localSheetId="18">#REF!</definedName>
    <definedName name="Internet_revenues">#REF!</definedName>
    <definedName name="internetarpu0109" localSheetId="19">#REF!</definedName>
    <definedName name="internetarpu0109" localSheetId="18">#REF!</definedName>
    <definedName name="internetarpu0109">#REF!</definedName>
    <definedName name="internetprop0109" localSheetId="19">#REF!</definedName>
    <definedName name="internetprop0109" localSheetId="18">#REF!</definedName>
    <definedName name="internetprop0109">#REF!</definedName>
    <definedName name="INTEROVERDRFT">'[37]Inflation &amp; Currency'!$H$65:$W$65</definedName>
    <definedName name="interpolation">[48]Names!$C$15:$C$20</definedName>
    <definedName name="interpolation.curves">[48]Names!$D$6:$N$11</definedName>
    <definedName name="INTERSHLTYPEI">'[37]Inflation &amp; Currency'!$H$63:$W$63</definedName>
    <definedName name="INTERUSDLOAN">'[37]Inflation &amp; Currency'!$H$64:$W$64</definedName>
    <definedName name="investments" localSheetId="19">#REF!</definedName>
    <definedName name="investments" localSheetId="18">#REF!</definedName>
    <definedName name="investments">#REF!</definedName>
    <definedName name="IP_D_29">[28]IP!$E$7:$E$8,[28]IP!$E$10:$E$14</definedName>
    <definedName name="IP_R_29">[28]IP!$G$7:$G$8,[28]IP!$G$10:$G$14</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Q_1YR" hidden="1">"c1641"</definedName>
    <definedName name="IQ_EST_EPS_SURPRISE" hidden="1">"c1635"</definedName>
    <definedName name="IQ_EST_REV_GROWTH_1YR" hidden="1">"c1638"</definedName>
    <definedName name="IQ_EST_REV_GROWTH_2YR" hidden="1">"c1639"</definedName>
    <definedName name="IQ_EST_REV_GROWTH_Q_1YR" hidden="1">"c1640"</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39289.4729398148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R">[75]CFlow!$E$52</definedName>
    <definedName name="IRR_EquitySponsor">'[55]Return Analysis'!$F$41</definedName>
    <definedName name="IS_COGS" localSheetId="19">#REF!</definedName>
    <definedName name="IS_COGS" localSheetId="18">#REF!</definedName>
    <definedName name="IS_COGS">#REF!</definedName>
    <definedName name="IS_convprefdiv" localSheetId="19">#REF!</definedName>
    <definedName name="IS_convprefdiv" localSheetId="18">#REF!</definedName>
    <definedName name="IS_convprefdiv">#REF!</definedName>
    <definedName name="IS_deprec" localSheetId="19">#REF!</definedName>
    <definedName name="IS_deprec" localSheetId="18">#REF!</definedName>
    <definedName name="IS_deprec">#REF!</definedName>
    <definedName name="IS_eps" localSheetId="19">#REF!</definedName>
    <definedName name="IS_eps" localSheetId="18">#REF!</definedName>
    <definedName name="IS_eps">#REF!</definedName>
    <definedName name="IS_goodwill" localSheetId="19">#REF!</definedName>
    <definedName name="IS_goodwill" localSheetId="18">#REF!</definedName>
    <definedName name="IS_goodwill">#REF!</definedName>
    <definedName name="IS_inctaxes" localSheetId="19">#REF!</definedName>
    <definedName name="IS_inctaxes" localSheetId="18">#REF!</definedName>
    <definedName name="IS_inctaxes">#REF!</definedName>
    <definedName name="IS_intangamort" localSheetId="19">#REF!</definedName>
    <definedName name="IS_intangamort" localSheetId="18">#REF!</definedName>
    <definedName name="IS_intangamort">#REF!</definedName>
    <definedName name="IS_intconvert" localSheetId="19">#REF!</definedName>
    <definedName name="IS_intconvert" localSheetId="18">#REF!</definedName>
    <definedName name="IS_intconvert">#REF!</definedName>
    <definedName name="IS_intexisting" localSheetId="19">#REF!</definedName>
    <definedName name="IS_intexisting" localSheetId="18">#REF!</definedName>
    <definedName name="IS_intexisting">#REF!</definedName>
    <definedName name="IS_intincome" localSheetId="19">#REF!</definedName>
    <definedName name="IS_intincome" localSheetId="18">#REF!</definedName>
    <definedName name="IS_intincome">#REF!</definedName>
    <definedName name="IS_intrevolver" localSheetId="19">#REF!</definedName>
    <definedName name="IS_intrevolver" localSheetId="18">#REF!</definedName>
    <definedName name="IS_intrevolver">#REF!</definedName>
    <definedName name="IS_minority" localSheetId="19">#REF!</definedName>
    <definedName name="IS_minority" localSheetId="18">#REF!</definedName>
    <definedName name="IS_minority">#REF!</definedName>
    <definedName name="IS_otherexp" localSheetId="19">#REF!</definedName>
    <definedName name="IS_otherexp" localSheetId="18">#REF!</definedName>
    <definedName name="IS_otherexp">#REF!</definedName>
    <definedName name="IS_revenues" localSheetId="19">#REF!</definedName>
    <definedName name="IS_revenues" localSheetId="18">#REF!</definedName>
    <definedName name="IS_revenues">#REF!</definedName>
    <definedName name="IS_SGA" localSheetId="19">#REF!</definedName>
    <definedName name="IS_SGA" localSheetId="18">#REF!</definedName>
    <definedName name="IS_SGA">#REF!</definedName>
    <definedName name="IS_straightprefdiv" localSheetId="19">#REF!</definedName>
    <definedName name="IS_straightprefdiv" localSheetId="18">#REF!</definedName>
    <definedName name="IS_straightprefdiv">#REF!</definedName>
    <definedName name="issmin" localSheetId="19">#REF!</definedName>
    <definedName name="issmin" localSheetId="18">#REF!</definedName>
    <definedName name="issmin">#REF!</definedName>
    <definedName name="issord" localSheetId="19">#REF!</definedName>
    <definedName name="issord" localSheetId="18">#REF!</definedName>
    <definedName name="issord">#REF!</definedName>
    <definedName name="ITC" localSheetId="19">#REF!</definedName>
    <definedName name="ITC" localSheetId="18">#REF!</definedName>
    <definedName name="ITC">#REF!</definedName>
    <definedName name="itl" localSheetId="19">#REF!</definedName>
    <definedName name="itl" localSheetId="18">#REF!</definedName>
    <definedName name="itl">#REF!</definedName>
    <definedName name="J" localSheetId="19">'[12]Fleet &amp; Costs'!#REF!</definedName>
    <definedName name="J" localSheetId="18">'[12]Fleet &amp; Costs'!#REF!</definedName>
    <definedName name="J">'[12]Fleet &amp; Costs'!#REF!</definedName>
    <definedName name="JAZZ11" localSheetId="19">#REF!</definedName>
    <definedName name="JAZZ11" localSheetId="18">#REF!</definedName>
    <definedName name="JAZZ11">#REF!</definedName>
    <definedName name="JAZZTP1" localSheetId="19">#REF!</definedName>
    <definedName name="JAZZTP1" localSheetId="18">#REF!</definedName>
    <definedName name="JAZZTP1">#REF!</definedName>
    <definedName name="jfjfj" localSheetId="18" hidden="1">{#N/A,#N/A,TRUE,"Cover sheet";#N/A,#N/A,TRUE,"DCF analysis";#N/A,#N/A,TRUE,"WACC calculation"}</definedName>
    <definedName name="jfjfj" hidden="1">{#N/A,#N/A,TRUE,"Cover sheet";#N/A,#N/A,TRUE,"DCF analysis";#N/A,#N/A,TRUE,"WACC calculation"}</definedName>
    <definedName name="joinfeefree">'[83]Jazztel tariffs'!$A$15:$IV$15</definedName>
    <definedName name="JUNK">[26]A!$M$1:$M$4</definedName>
    <definedName name="JV_1" localSheetId="19">[3]Main!#REF!</definedName>
    <definedName name="JV_1">[3]Main!#REF!</definedName>
    <definedName name="JV_1_BookB" localSheetId="19">[3]Main!#REF!</definedName>
    <definedName name="JV_1_BookB">[3]Main!#REF!</definedName>
    <definedName name="JV_1_SaleP" localSheetId="19">[3]Main!#REF!</definedName>
    <definedName name="JV_1_SaleP">[3]Main!#REF!</definedName>
    <definedName name="JV_1_TaxB" localSheetId="19">[3]Main!#REF!</definedName>
    <definedName name="JV_1_TaxB">[3]Main!#REF!</definedName>
    <definedName name="JV_2" localSheetId="19">[3]Main!#REF!</definedName>
    <definedName name="JV_2">[3]Main!#REF!</definedName>
    <definedName name="JV_2_BookB" localSheetId="19">[3]Main!#REF!</definedName>
    <definedName name="JV_2_BookB">[3]Main!#REF!</definedName>
    <definedName name="JV_2_SaleP" localSheetId="19">[3]Main!#REF!</definedName>
    <definedName name="JV_2_SaleP">[3]Main!#REF!</definedName>
    <definedName name="JV_2_TaxB" localSheetId="19">[3]Main!#REF!</definedName>
    <definedName name="JV_2_TaxB">[3]Main!#REF!</definedName>
    <definedName name="k">1000</definedName>
    <definedName name="kbits.per.Mbyte">[48]Names!$B$42</definedName>
    <definedName name="kgkgk" localSheetId="18" hidden="1">{#N/A,#N/A,TRUE,"Cover sheet";#N/A,#N/A,TRUE,"DCF analysis";#N/A,#N/A,TRUE,"WACC calculation"}</definedName>
    <definedName name="kgkgk" hidden="1">{#N/A,#N/A,TRUE,"Cover sheet";#N/A,#N/A,TRUE,"DCF analysis";#N/A,#N/A,TRUE,"WACC calculation"}</definedName>
    <definedName name="kmh" localSheetId="18" hidden="1">{#N/A,#N/A,TRUE,"Cover sheet";#N/A,#N/A,TRUE,"DCF analysis";#N/A,#N/A,TRUE,"WACC calculation"}</definedName>
    <definedName name="kmh" hidden="1">{#N/A,#N/A,TRUE,"Cover sheet";#N/A,#N/A,TRUE,"DCF analysis";#N/A,#N/A,TRUE,"WACC calculation"}</definedName>
    <definedName name="kostenst">[40]Allg!$B$14</definedName>
    <definedName name="kpna1">[18]KPN1!$A$8:$Q$87</definedName>
    <definedName name="KPNa2">[18]KPN2!$B$9:$X$59</definedName>
    <definedName name="KPNM1">[18]Multmod!$D$65:$G$66</definedName>
    <definedName name="KPNM2">[18]Multmod!$D$67:$G$68</definedName>
    <definedName name="KPNM3">[18]Multmod!$D$69:$G$70</definedName>
    <definedName name="KPNM4">[18]Multmod!$D$71:$G$71</definedName>
    <definedName name="KPNM5">[18]Multmod!$C$72:$G$81</definedName>
    <definedName name="kpnmult">[18]Multmod!$C$65:$G$81</definedName>
    <definedName name="KPNprice">[7]Fixed!$A$60</definedName>
    <definedName name="KPNrec">[7]Fixed!$A$62</definedName>
    <definedName name="kpnsop1">[18]KPN2!$AA$24:$AG$29</definedName>
    <definedName name="KPNTP1">[18]KPN1!$S$6</definedName>
    <definedName name="kpntp2">[18]KPN2!$AR$4</definedName>
    <definedName name="Land_area" localSheetId="19">'[10]P&amp;L-Pre'!#REF!</definedName>
    <definedName name="Land_area">'[10]P&amp;L-Pre'!#REF!</definedName>
    <definedName name="lang">[84]Parameters!$E$8</definedName>
    <definedName name="LCF">'[55]Output Multiples (3)'!$F$19</definedName>
    <definedName name="Leased" localSheetId="19">#REF!</definedName>
    <definedName name="Leased" localSheetId="18">#REF!</definedName>
    <definedName name="Leased">#REF!</definedName>
    <definedName name="Libertel" localSheetId="19">#REF!</definedName>
    <definedName name="Libertel" localSheetId="18">#REF!</definedName>
    <definedName name="Libertel">#REF!</definedName>
    <definedName name="libmobmod" localSheetId="19">#REF!</definedName>
    <definedName name="libmobmod" localSheetId="18">#REF!</definedName>
    <definedName name="libmobmod">#REF!</definedName>
    <definedName name="LIBOR" localSheetId="19">'[85]S&amp;U'!#REF!</definedName>
    <definedName name="LIBOR" localSheetId="18">'[85]S&amp;U'!#REF!</definedName>
    <definedName name="LIBOR">'[85]S&amp;U'!#REF!</definedName>
    <definedName name="Line_sharing_DSL_subs">[19]DSL!$B$952:$O$968</definedName>
    <definedName name="Linerent" localSheetId="19">#REF!</definedName>
    <definedName name="Linerent" localSheetId="18">#REF!</definedName>
    <definedName name="Linerent">#REF!</definedName>
    <definedName name="Lines__PSTN_ISDN">[19]Aggregate!$B$991:$Q$1007</definedName>
    <definedName name="Lines_per_100_pop" localSheetId="19">#REF!</definedName>
    <definedName name="Lines_per_100_pop" localSheetId="18">#REF!</definedName>
    <definedName name="Lines_per_100_pop">#REF!</definedName>
    <definedName name="linmedac">'[83]Market hypotesis'!$A$31:$IV$31</definedName>
    <definedName name="linmedbc">'[83]Market hypotesis'!$A$30:$IV$30</definedName>
    <definedName name="LISTE_VENTE" localSheetId="19">#REF!</definedName>
    <definedName name="LISTE_VENTE" localSheetId="18">#REF!</definedName>
    <definedName name="LISTE_VENTE">#REF!</definedName>
    <definedName name="Liste_Vente_2" localSheetId="19">#REF!</definedName>
    <definedName name="Liste_Vente_2" localSheetId="18">#REF!</definedName>
    <definedName name="Liste_Vente_2">#REF!</definedName>
    <definedName name="ListSheetsMacroButton" localSheetId="19">#REF!</definedName>
    <definedName name="ListSheetsMacroButton" localSheetId="18">#REF!</definedName>
    <definedName name="ListSheetsMacroButton">#REF!</definedName>
    <definedName name="lkj" localSheetId="18"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lkj"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Local_Debt_rate" localSheetId="19">'[10]Cashflow-Post'!#REF!</definedName>
    <definedName name="Local_Debt_rate">'[10]Cashflow-Post'!#REF!</definedName>
    <definedName name="Local_loop_fix" localSheetId="19">'[10]P&amp;L-Pre'!#REF!</definedName>
    <definedName name="Local_loop_fix">'[10]P&amp;L-Pre'!#REF!</definedName>
    <definedName name="Local_loop_var" localSheetId="19">'[10]P&amp;L-Pre'!#REF!</definedName>
    <definedName name="Local_loop_var">'[10]P&amp;L-Pre'!#REF!</definedName>
    <definedName name="localEV" localSheetId="19">#REF!</definedName>
    <definedName name="localEV" localSheetId="18">#REF!</definedName>
    <definedName name="localEV">#REF!</definedName>
    <definedName name="LOCALINFLATION">'[37]Inflation &amp; Currency'!$H$10:$W$10</definedName>
    <definedName name="Log_Check">[75]Integ!$H$34</definedName>
    <definedName name="long_dist" localSheetId="19">#REF!</definedName>
    <definedName name="long_dist" localSheetId="18">#REF!</definedName>
    <definedName name="long_dist">#REF!</definedName>
    <definedName name="Long_term_facility_commitment_2002">[82]Assumption!$F$7</definedName>
    <definedName name="LookUpRange">[55]Regressions!$F$6:$N$24</definedName>
    <definedName name="low.estimate.connected.sites">[77]Forecasts!$E$226:$J$227</definedName>
    <definedName name="ltd" localSheetId="19">#REF!</definedName>
    <definedName name="ltd" localSheetId="18">#REF!</definedName>
    <definedName name="ltd">#REF!</definedName>
    <definedName name="LTM">[42]Controls!$C$24</definedName>
    <definedName name="M" localSheetId="19">#REF!</definedName>
    <definedName name="M" localSheetId="18">#REF!</definedName>
    <definedName name="M">#REF!</definedName>
    <definedName name="Macro.nodeB.rollout" localSheetId="19">#REF!</definedName>
    <definedName name="Macro.nodeB.rollout" localSheetId="18">#REF!</definedName>
    <definedName name="Macro.nodeB.rollout">#REF!</definedName>
    <definedName name="Macros.sum_mins" localSheetId="19">[86]!Macros.sum_mins</definedName>
    <definedName name="Macros.sum_mins" localSheetId="5">[86]!Macros.sum_mins</definedName>
    <definedName name="Macros.sum_mins">[86]!Macros.sum_mins</definedName>
    <definedName name="Main_ConvR_FileMode">[13]EURO!$G$6</definedName>
    <definedName name="main_numbers" localSheetId="19">#REF!</definedName>
    <definedName name="main_numbers" localSheetId="18">#REF!</definedName>
    <definedName name="main_numbers">#REF!</definedName>
    <definedName name="make" localSheetId="19">'[12]Fleet &amp; Costs'!#REF!</definedName>
    <definedName name="make" localSheetId="18">'[12]Fleet &amp; Costs'!#REF!</definedName>
    <definedName name="make">'[12]Fleet &amp; Costs'!#REF!</definedName>
    <definedName name="ManagementFee" localSheetId="19">'[32]Statistics France'!#REF!</definedName>
    <definedName name="ManagementFee">'[32]Statistics France'!#REF!</definedName>
    <definedName name="managementfee2">'[33]STAT BRU'!$A$581:$IV$581</definedName>
    <definedName name="managementfeecodi" localSheetId="19">#REF!</definedName>
    <definedName name="managementfeecodi" localSheetId="18">#REF!</definedName>
    <definedName name="managementfeecodi">#REF!</definedName>
    <definedName name="managementfeeconso">'[34]STAT BRU'!$A$581:$IV$581</definedName>
    <definedName name="managementfeeev" localSheetId="19">#REF!</definedName>
    <definedName name="managementfeeev" localSheetId="18">#REF!</definedName>
    <definedName name="managementfeeev">#REF!</definedName>
    <definedName name="managementfeeev2" localSheetId="19">#REF!</definedName>
    <definedName name="managementfeeev2" localSheetId="18">#REF!</definedName>
    <definedName name="managementfeeev2">#REF!</definedName>
    <definedName name="managementfeeevconso" localSheetId="19">#REF!</definedName>
    <definedName name="managementfeeevconso" localSheetId="18">#REF!</definedName>
    <definedName name="managementfeeevconso">#REF!</definedName>
    <definedName name="managementfeelux" localSheetId="19">'[35]Statistics '!#REF!</definedName>
    <definedName name="managementfeelux" localSheetId="18">'[35]Statistics '!#REF!</definedName>
    <definedName name="managementfeelux">'[35]Statistics '!#REF!</definedName>
    <definedName name="MAR_CashNewco">[55]INPUT!$F$118</definedName>
    <definedName name="MAR_CashTarget">[55]INPUT!$F$117</definedName>
    <definedName name="MAR_HY">[55]INPUT!$F$130</definedName>
    <definedName name="MAR_Interco">[55]INPUT!$F$123</definedName>
    <definedName name="MAR_JunMezz">[55]INPUT!$F$129</definedName>
    <definedName name="MAR_Refinanced">[55]INPUT!$F$121</definedName>
    <definedName name="MAR_Revolving">[55]INPUT!$F$120</definedName>
    <definedName name="MAR_SeniorA">[55]INPUT!$F$125</definedName>
    <definedName name="MAR_SeniorB">[55]INPUT!$F$126</definedName>
    <definedName name="MAR_SeniorC">[55]INPUT!$F$127</definedName>
    <definedName name="MAR_SenMezz">[55]INPUT!$F$128</definedName>
    <definedName name="marg1" localSheetId="19">#REF!</definedName>
    <definedName name="marg1" localSheetId="18">#REF!</definedName>
    <definedName name="marg1">#REF!</definedName>
    <definedName name="marg2" localSheetId="19">#REF!</definedName>
    <definedName name="marg2" localSheetId="18">#REF!</definedName>
    <definedName name="marg2">#REF!</definedName>
    <definedName name="marg3" localSheetId="19">#REF!</definedName>
    <definedName name="marg3" localSheetId="18">#REF!</definedName>
    <definedName name="marg3">#REF!</definedName>
    <definedName name="marg4" localSheetId="19">#REF!</definedName>
    <definedName name="marg4" localSheetId="18">#REF!</definedName>
    <definedName name="marg4">#REF!</definedName>
    <definedName name="margin2" localSheetId="19">[5]Model!#REF!</definedName>
    <definedName name="margin2" localSheetId="18">[5]Model!#REF!</definedName>
    <definedName name="margin2">[5]Model!#REF!</definedName>
    <definedName name="margin3" localSheetId="19">[5]Model!#REF!</definedName>
    <definedName name="margin3" localSheetId="18">[5]Model!#REF!</definedName>
    <definedName name="margin3">[5]Model!#REF!</definedName>
    <definedName name="margin4" localSheetId="19">[5]Model!#REF!</definedName>
    <definedName name="margin4" localSheetId="18">[5]Model!#REF!</definedName>
    <definedName name="margin4">[5]Model!#REF!</definedName>
    <definedName name="margin5" localSheetId="19">[5]Model!#REF!</definedName>
    <definedName name="margin5" localSheetId="18">[5]Model!#REF!</definedName>
    <definedName name="margin5">[5]Model!#REF!</definedName>
    <definedName name="Market_broadband_subs">[19]DSL!$B$990:$O$1006</definedName>
    <definedName name="Market_DSL_subs">[19]DSL!$B$895:$O$911</definedName>
    <definedName name="Market_PE" localSheetId="19">[87]KPN!#REF!</definedName>
    <definedName name="Market_PE">[87]KPN!#REF!</definedName>
    <definedName name="Market_value_table">'[84]Market Values'!$A$6:$BB$256</definedName>
    <definedName name="marketing_exp_percent" localSheetId="19">'[10]Cashflow-Pre'!#REF!</definedName>
    <definedName name="marketing_exp_percent">'[10]Cashflow-Pre'!#REF!</definedName>
    <definedName name="marketing_expense" localSheetId="19">'[10]Cashflow-Pre'!#REF!</definedName>
    <definedName name="marketing_expense">'[10]Cashflow-Pre'!#REF!</definedName>
    <definedName name="MarketShIntBus" localSheetId="19">[45]PLAN!#REF!</definedName>
    <definedName name="MarketShIntBus">[45]PLAN!#REF!</definedName>
    <definedName name="MarketShIntRes" localSheetId="19">[45]PLAN!#REF!</definedName>
    <definedName name="MarketShIntRes">[45]PLAN!#REF!</definedName>
    <definedName name="Mars">[30]saisie!$D$1:$D$65536</definedName>
    <definedName name="MAT_HY">[55]INPUT!$I$130</definedName>
    <definedName name="MAT_JunMezz">[55]INPUT!$I$129</definedName>
    <definedName name="MAT_Refinanced">'[55]Share price analysis'!$I$121</definedName>
    <definedName name="MAT_SeniorA">[55]INPUT!$I$125</definedName>
    <definedName name="MAT_SeniorB">[55]INPUT!$I$126</definedName>
    <definedName name="MAT_SeniorC">[55]INPUT!$I$127</definedName>
    <definedName name="MAT_SenMezz">[55]INPUT!$I$128</definedName>
    <definedName name="MAT_ShareLoan">[55]INPUT!$I$132</definedName>
    <definedName name="MAT_Vendor">[55]INPUT!$I$131</definedName>
    <definedName name="Matricule">[88]Salaires!$A$1:$AU$1267</definedName>
    <definedName name="MAX_Revolving">[55]INPUT!$D$120</definedName>
    <definedName name="MB3P" localSheetId="19">#REF!</definedName>
    <definedName name="MB3P" localSheetId="18">#REF!</definedName>
    <definedName name="MB3P">#REF!</definedName>
    <definedName name="Mbit.per.Mbyte">[48]Names!$B$41</definedName>
    <definedName name="me" localSheetId="19">#REF!</definedName>
    <definedName name="me" localSheetId="18">#REF!</definedName>
    <definedName name="me">#REF!</definedName>
    <definedName name="medium_dist" localSheetId="19">#REF!</definedName>
    <definedName name="medium_dist" localSheetId="18">#REF!</definedName>
    <definedName name="medium_dist">#REF!</definedName>
    <definedName name="mes" localSheetId="19">#REF!</definedName>
    <definedName name="mes" localSheetId="18">#REF!</definedName>
    <definedName name="mes">#REF!</definedName>
    <definedName name="METIER" localSheetId="19">'[89]P&amp;L'!#REF!</definedName>
    <definedName name="METIER" localSheetId="18">'[89]P&amp;L'!#REF!</definedName>
    <definedName name="METIER">'[89]P&amp;L'!#REF!</definedName>
    <definedName name="mgin" localSheetId="19">#REF!</definedName>
    <definedName name="mgin" localSheetId="18">#REF!</definedName>
    <definedName name="mgin">#REF!</definedName>
    <definedName name="micro.nodeB.rollout" localSheetId="19">#REF!</definedName>
    <definedName name="micro.nodeB.rollout" localSheetId="18">#REF!</definedName>
    <definedName name="micro.nodeB.rollout">#REF!</definedName>
    <definedName name="mincash" localSheetId="19">#REF!</definedName>
    <definedName name="mincash" localSheetId="18">#REF!</definedName>
    <definedName name="mincash">#REF!</definedName>
    <definedName name="MinCashBalance">'[81]2003 Transaction'!$C$33</definedName>
    <definedName name="MinCashBalanceOpCo" localSheetId="19">#REF!</definedName>
    <definedName name="MinCashBalanceOpCo" localSheetId="18">#REF!</definedName>
    <definedName name="MinCashBalanceOpCo">#REF!</definedName>
    <definedName name="minorities">[10]Macros!$C$20</definedName>
    <definedName name="minority" localSheetId="19">#REF!</definedName>
    <definedName name="minority" localSheetId="18">#REF!</definedName>
    <definedName name="minority">#REF!</definedName>
    <definedName name="Minutes_Forfait_1" localSheetId="19">#REF!</definedName>
    <definedName name="Minutes_Forfait_1" localSheetId="18">#REF!</definedName>
    <definedName name="Minutes_Forfait_1">#REF!</definedName>
    <definedName name="Minutes_Forfait_10" localSheetId="19">#REF!</definedName>
    <definedName name="Minutes_Forfait_10" localSheetId="18">#REF!</definedName>
    <definedName name="Minutes_Forfait_10">#REF!</definedName>
    <definedName name="Minutes_Forfait_11" localSheetId="19">#REF!</definedName>
    <definedName name="Minutes_Forfait_11" localSheetId="18">#REF!</definedName>
    <definedName name="Minutes_Forfait_11">#REF!</definedName>
    <definedName name="Minutes_Forfait_12" localSheetId="19">#REF!</definedName>
    <definedName name="Minutes_Forfait_12" localSheetId="18">#REF!</definedName>
    <definedName name="Minutes_Forfait_12">#REF!</definedName>
    <definedName name="Minutes_Forfait_13" localSheetId="19">#REF!</definedName>
    <definedName name="Minutes_Forfait_13" localSheetId="18">#REF!</definedName>
    <definedName name="Minutes_Forfait_13">#REF!</definedName>
    <definedName name="Minutes_Forfait_14" localSheetId="19">#REF!</definedName>
    <definedName name="Minutes_Forfait_14" localSheetId="18">#REF!</definedName>
    <definedName name="Minutes_Forfait_14">#REF!</definedName>
    <definedName name="Minutes_Forfait_15" localSheetId="19">#REF!</definedName>
    <definedName name="Minutes_Forfait_15" localSheetId="18">#REF!</definedName>
    <definedName name="Minutes_Forfait_15">#REF!</definedName>
    <definedName name="Minutes_Forfait_2" localSheetId="19">#REF!</definedName>
    <definedName name="Minutes_Forfait_2" localSheetId="18">#REF!</definedName>
    <definedName name="Minutes_Forfait_2">#REF!</definedName>
    <definedName name="Minutes_Forfait_3" localSheetId="19">#REF!</definedName>
    <definedName name="Minutes_Forfait_3" localSheetId="18">#REF!</definedName>
    <definedName name="Minutes_Forfait_3">#REF!</definedName>
    <definedName name="Minutes_Forfait_4" localSheetId="19">#REF!</definedName>
    <definedName name="Minutes_Forfait_4" localSheetId="18">#REF!</definedName>
    <definedName name="Minutes_Forfait_4">#REF!</definedName>
    <definedName name="Minutes_Forfait_5" localSheetId="19">#REF!</definedName>
    <definedName name="Minutes_Forfait_5" localSheetId="18">#REF!</definedName>
    <definedName name="Minutes_Forfait_5">#REF!</definedName>
    <definedName name="Minutes_Forfait_6" localSheetId="19">#REF!</definedName>
    <definedName name="Minutes_Forfait_6" localSheetId="18">#REF!</definedName>
    <definedName name="Minutes_Forfait_6">#REF!</definedName>
    <definedName name="Minutes_Forfait_7" localSheetId="19">#REF!</definedName>
    <definedName name="Minutes_Forfait_7" localSheetId="18">#REF!</definedName>
    <definedName name="Minutes_Forfait_7">#REF!</definedName>
    <definedName name="Minutes_Forfait_8" localSheetId="19">#REF!</definedName>
    <definedName name="Minutes_Forfait_8" localSheetId="18">#REF!</definedName>
    <definedName name="Minutes_Forfait_8">#REF!</definedName>
    <definedName name="Minutes_Forfait_9" localSheetId="19">#REF!</definedName>
    <definedName name="Minutes_Forfait_9" localSheetId="18">#REF!</definedName>
    <definedName name="Minutes_Forfait_9">#REF!</definedName>
    <definedName name="Mix_Forfait_1" localSheetId="19">#REF!</definedName>
    <definedName name="Mix_Forfait_1" localSheetId="18">#REF!</definedName>
    <definedName name="Mix_Forfait_1">#REF!</definedName>
    <definedName name="Mix_Forfait_10" localSheetId="19">#REF!</definedName>
    <definedName name="Mix_Forfait_10" localSheetId="18">#REF!</definedName>
    <definedName name="Mix_Forfait_10">#REF!</definedName>
    <definedName name="Mix_Forfait_11" localSheetId="19">#REF!</definedName>
    <definedName name="Mix_Forfait_11" localSheetId="18">#REF!</definedName>
    <definedName name="Mix_Forfait_11">#REF!</definedName>
    <definedName name="Mix_Forfait_12" localSheetId="19">#REF!</definedName>
    <definedName name="Mix_Forfait_12" localSheetId="18">#REF!</definedName>
    <definedName name="Mix_Forfait_12">#REF!</definedName>
    <definedName name="Mix_Forfait_13" localSheetId="19">#REF!</definedName>
    <definedName name="Mix_Forfait_13" localSheetId="18">#REF!</definedName>
    <definedName name="Mix_Forfait_13">#REF!</definedName>
    <definedName name="Mix_Forfait_14" localSheetId="19">#REF!</definedName>
    <definedName name="Mix_Forfait_14" localSheetId="18">#REF!</definedName>
    <definedName name="Mix_Forfait_14">#REF!</definedName>
    <definedName name="Mix_Forfait_15" localSheetId="19">#REF!</definedName>
    <definedName name="Mix_Forfait_15" localSheetId="18">#REF!</definedName>
    <definedName name="Mix_Forfait_15">#REF!</definedName>
    <definedName name="Mix_Forfait_2" localSheetId="19">#REF!</definedName>
    <definedName name="Mix_Forfait_2" localSheetId="18">#REF!</definedName>
    <definedName name="Mix_Forfait_2">#REF!</definedName>
    <definedName name="Mix_Forfait_3" localSheetId="19">#REF!</definedName>
    <definedName name="Mix_Forfait_3" localSheetId="18">#REF!</definedName>
    <definedName name="Mix_Forfait_3">#REF!</definedName>
    <definedName name="Mix_Forfait_4" localSheetId="19">#REF!</definedName>
    <definedName name="Mix_Forfait_4" localSheetId="18">#REF!</definedName>
    <definedName name="Mix_Forfait_4">#REF!</definedName>
    <definedName name="Mix_Forfait_5" localSheetId="19">#REF!</definedName>
    <definedName name="Mix_Forfait_5" localSheetId="18">#REF!</definedName>
    <definedName name="Mix_Forfait_5">#REF!</definedName>
    <definedName name="Mix_Forfait_6" localSheetId="19">#REF!</definedName>
    <definedName name="Mix_Forfait_6" localSheetId="18">#REF!</definedName>
    <definedName name="Mix_Forfait_6">#REF!</definedName>
    <definedName name="Mix_Forfait_7" localSheetId="19">#REF!</definedName>
    <definedName name="Mix_Forfait_7" localSheetId="18">#REF!</definedName>
    <definedName name="Mix_Forfait_7">#REF!</definedName>
    <definedName name="Mix_Forfait_8" localSheetId="19">#REF!</definedName>
    <definedName name="Mix_Forfait_8" localSheetId="18">#REF!</definedName>
    <definedName name="Mix_Forfait_8">#REF!</definedName>
    <definedName name="Mix_Forfait_9" localSheetId="19">#REF!</definedName>
    <definedName name="Mix_Forfait_9" localSheetId="18">#REF!</definedName>
    <definedName name="Mix_Forfait_9">#REF!</definedName>
    <definedName name="mktcap">[90]BB!$A$11</definedName>
    <definedName name="MM_capital_percent" localSheetId="19">'[10]Cashflow-Pre'!#REF!</definedName>
    <definedName name="MM_capital_percent">'[10]Cashflow-Pre'!#REF!</definedName>
    <definedName name="MMS.termination.rate" localSheetId="19">#REF!</definedName>
    <definedName name="MMS.termination.rate" localSheetId="18">#REF!</definedName>
    <definedName name="MMS.termination.rate">#REF!</definedName>
    <definedName name="moba1" localSheetId="19">#REF!</definedName>
    <definedName name="moba1" localSheetId="18">#REF!</definedName>
    <definedName name="moba1">#REF!</definedName>
    <definedName name="moba2" localSheetId="19">#REF!</definedName>
    <definedName name="moba2" localSheetId="18">#REF!</definedName>
    <definedName name="moba2">#REF!</definedName>
    <definedName name="mobbench" localSheetId="19">#REF!</definedName>
    <definedName name="mobbench" localSheetId="18">#REF!</definedName>
    <definedName name="mobbench">#REF!</definedName>
    <definedName name="Mobile" localSheetId="19">#REF!</definedName>
    <definedName name="Mobile" localSheetId="18">#REF!</definedName>
    <definedName name="Mobile">#REF!</definedName>
    <definedName name="MobistarPrice" localSheetId="19">'[63]Cellular '!#REF!</definedName>
    <definedName name="MobistarPrice" localSheetId="18">'[63]Cellular '!#REF!</definedName>
    <definedName name="MobistarPrice">'[63]Cellular '!#REF!</definedName>
    <definedName name="mobrec1" localSheetId="19">#REF!</definedName>
    <definedName name="mobrec1" localSheetId="18">#REF!</definedName>
    <definedName name="mobrec1">#REF!</definedName>
    <definedName name="mobrec2" localSheetId="19">#REF!</definedName>
    <definedName name="mobrec2" localSheetId="18">#REF!</definedName>
    <definedName name="mobrec2">#REF!</definedName>
    <definedName name="Model" localSheetId="19">#REF!</definedName>
    <definedName name="Model" localSheetId="18">#REF!</definedName>
    <definedName name="Model">#REF!</definedName>
    <definedName name="ModelIntegrity">[75]Integ!$H$16</definedName>
    <definedName name="MOIS" localSheetId="19">#REF!</definedName>
    <definedName name="MOIS" localSheetId="18">#REF!</definedName>
    <definedName name="MOIS">#REF!</definedName>
    <definedName name="Mois_1" localSheetId="19">#REF!</definedName>
    <definedName name="Mois_1" localSheetId="18">#REF!</definedName>
    <definedName name="Mois_1">#REF!</definedName>
    <definedName name="mois2" localSheetId="19">#REF!</definedName>
    <definedName name="mois2" localSheetId="18">#REF!</definedName>
    <definedName name="mois2">#REF!</definedName>
    <definedName name="moiscloture05" localSheetId="19">#REF!</definedName>
    <definedName name="moiscloture05" localSheetId="18">#REF!</definedName>
    <definedName name="moiscloture05">#REF!</definedName>
    <definedName name="moisprecedent" localSheetId="19">#REF!</definedName>
    <definedName name="moisprecedent" localSheetId="18">#REF!</definedName>
    <definedName name="moisprecedent">#REF!</definedName>
    <definedName name="moisref" localSheetId="19">#REF!</definedName>
    <definedName name="moisref" localSheetId="18">#REF!</definedName>
    <definedName name="moisref">#REF!</definedName>
    <definedName name="moisreporting" localSheetId="19">#REF!</definedName>
    <definedName name="moisreporting" localSheetId="18">#REF!</definedName>
    <definedName name="moisreporting">#REF!</definedName>
    <definedName name="monat1" localSheetId="19">#REF!</definedName>
    <definedName name="monat1" localSheetId="18">#REF!</definedName>
    <definedName name="monat1">#REF!</definedName>
    <definedName name="MonIndice">1.0392475</definedName>
    <definedName name="Montant_EURO" localSheetId="19">#REF!</definedName>
    <definedName name="Montant_EURO">#REF!</definedName>
    <definedName name="MONTH" localSheetId="19">#REF!</definedName>
    <definedName name="MONTH" localSheetId="18">#REF!</definedName>
    <definedName name="MONTH">#REF!</definedName>
    <definedName name="month.per.quarter">[77]Names!$C$4</definedName>
    <definedName name="month.per.year">[48]Names!$B$39</definedName>
    <definedName name="Month_Report">'[91]&lt;&lt;&lt;&lt;MANAGEMENT&gt;&gt;&gt;&gt;'!$B$2</definedName>
    <definedName name="MRP" localSheetId="19">#REF!</definedName>
    <definedName name="MRP" localSheetId="18">#REF!</definedName>
    <definedName name="MRP">#REF!</definedName>
    <definedName name="msrec" localSheetId="19">#REF!</definedName>
    <definedName name="msrec" localSheetId="18">#REF!</definedName>
    <definedName name="msrec">#REF!</definedName>
    <definedName name="MULT" localSheetId="19">[3]LBO!#REF!</definedName>
    <definedName name="MULT" localSheetId="18">[3]LBO!#REF!</definedName>
    <definedName name="MULT">[3]LBO!#REF!</definedName>
    <definedName name="mult_sen" localSheetId="19">#REF!</definedName>
    <definedName name="mult_sen" localSheetId="18">#REF!</definedName>
    <definedName name="mult_sen">#REF!</definedName>
    <definedName name="Multiple">[55]INPUT!$E$40</definedName>
    <definedName name="MULTIPLE_C" localSheetId="19">#REF!</definedName>
    <definedName name="MULTIPLE_C" localSheetId="18">#REF!</definedName>
    <definedName name="MULTIPLE_C">#REF!</definedName>
    <definedName name="MULTIPLE_F" localSheetId="19">#REF!</definedName>
    <definedName name="MULTIPLE_F" localSheetId="18">#REF!</definedName>
    <definedName name="MULTIPLE_F">#REF!</definedName>
    <definedName name="MULTIPLES_P" localSheetId="19">#REF!</definedName>
    <definedName name="MULTIPLES_P" localSheetId="18">#REF!</definedName>
    <definedName name="MULTIPLES_P">#REF!</definedName>
    <definedName name="multiplesa2" localSheetId="19">#REF!</definedName>
    <definedName name="multiplesa2" localSheetId="18">#REF!</definedName>
    <definedName name="multiplesa2">#REF!</definedName>
    <definedName name="N" localSheetId="19">'[12]Fleet &amp; Costs'!#REF!</definedName>
    <definedName name="N" localSheetId="18">'[12]Fleet &amp; Costs'!#REF!</definedName>
    <definedName name="N">'[12]Fleet &amp; Costs'!#REF!</definedName>
    <definedName name="N_HY">'[55]Share price analysis'!$B$88</definedName>
    <definedName name="N_Interco">'[55]Share price analysis'!$I$84</definedName>
    <definedName name="N_JunMezz">'[55]Share price analysis'!$B$87</definedName>
    <definedName name="N_Newco">'[55]Share price analysis'!$I$85</definedName>
    <definedName name="N_Refinanced">'[55]Share price analysis'!$B$76</definedName>
    <definedName name="N_Revolving">'[55]Share price analysis'!$B$120</definedName>
    <definedName name="N_SeniorA">'[55]Share price analysis'!$B$83</definedName>
    <definedName name="N_SeniorB">'[55]Share price analysis'!$B$84</definedName>
    <definedName name="N_SeniorC">'[55]Share price analysis'!$B$85</definedName>
    <definedName name="N_SenMezz">'[55]Share price analysis'!$B$86</definedName>
    <definedName name="N_Sh1">'[55]Share price analysis'!$B$96</definedName>
    <definedName name="N_SH2">'[55]Share price analysis'!$B$97</definedName>
    <definedName name="N_Sh3">'[55]Share price analysis'!$B$98</definedName>
    <definedName name="N_ShareLoan">'[55]Share price analysis'!$B$93</definedName>
    <definedName name="N_Target">'[55]Share price analysis'!$I$76</definedName>
    <definedName name="N_Vendor">'[55]Share price analysis'!$B$92</definedName>
    <definedName name="na">[55]INPUT!$E$201</definedName>
    <definedName name="names" localSheetId="19">#REF!</definedName>
    <definedName name="names" localSheetId="18">#REF!</definedName>
    <definedName name="names">#REF!</definedName>
    <definedName name="nb" localSheetId="19">'[35]Statistics '!#REF!</definedName>
    <definedName name="nb">'[35]Statistics '!#REF!</definedName>
    <definedName name="NB_JOURS_SEMAINE">'[92]PARAM N'!$C$10</definedName>
    <definedName name="NbABUs">'[93]Assump. &amp; Sens.'!$N$8</definedName>
    <definedName name="nbasictotaveevconso" localSheetId="19">#REF!</definedName>
    <definedName name="nbasictotaveevconso" localSheetId="18">#REF!</definedName>
    <definedName name="nbasictotaveevconso">#REF!</definedName>
    <definedName name="NbBasicAnalAve" localSheetId="19">'[32]Statistics France'!#REF!</definedName>
    <definedName name="NbBasicAnalAve" localSheetId="18">'[32]Statistics France'!#REF!</definedName>
    <definedName name="NbBasicAnalAve">'[32]Statistics France'!#REF!</definedName>
    <definedName name="nbbasicanalave2">'[33]STAT BRU'!$A$59:$IV$59</definedName>
    <definedName name="nbbasicanalavecodi" localSheetId="19">#REF!</definedName>
    <definedName name="nbbasicanalavecodi" localSheetId="18">#REF!</definedName>
    <definedName name="nbbasicanalavecodi">#REF!</definedName>
    <definedName name="nbbasicanalaveconso">'[34]STAT BRU'!$A$59:$IV$59</definedName>
    <definedName name="nbbasicanalaveev" localSheetId="19">#REF!</definedName>
    <definedName name="nbbasicanalaveev" localSheetId="18">#REF!</definedName>
    <definedName name="nbbasicanalaveev">#REF!</definedName>
    <definedName name="nbbasicanalaveev2" localSheetId="19">#REF!</definedName>
    <definedName name="nbbasicanalaveev2" localSheetId="18">#REF!</definedName>
    <definedName name="nbbasicanalaveev2">#REF!</definedName>
    <definedName name="nbbasicanalaveevconsol" localSheetId="19">#REF!</definedName>
    <definedName name="nbbasicanalaveevconsol" localSheetId="18">#REF!</definedName>
    <definedName name="nbbasicanalaveevconsol">#REF!</definedName>
    <definedName name="NbBasicAnalEnd" localSheetId="19">#REF!</definedName>
    <definedName name="NbBasicAnalEnd" localSheetId="18">#REF!</definedName>
    <definedName name="NbBasicAnalEnd">#REF!</definedName>
    <definedName name="nbbasicanalend2">'[33]STAT BRU'!$A$58:$IV$58</definedName>
    <definedName name="nbbasicanalendcodi" localSheetId="19">#REF!</definedName>
    <definedName name="nbbasicanalendcodi" localSheetId="18">#REF!</definedName>
    <definedName name="nbbasicanalendcodi">#REF!</definedName>
    <definedName name="nbbasicanalendconso">'[34]STAT BRU'!$A$58:$IV$58</definedName>
    <definedName name="nbbasicanalendev" localSheetId="19">#REF!</definedName>
    <definedName name="nbbasicanalendev" localSheetId="18">#REF!</definedName>
    <definedName name="nbbasicanalendev">#REF!</definedName>
    <definedName name="nbbasicanalendev2" localSheetId="19">#REF!</definedName>
    <definedName name="nbbasicanalendev2" localSheetId="18">#REF!</definedName>
    <definedName name="nbbasicanalendev2">#REF!</definedName>
    <definedName name="nbbasicanalendevconso" localSheetId="19">#REF!</definedName>
    <definedName name="nbbasicanalendevconso" localSheetId="18">#REF!</definedName>
    <definedName name="nbbasicanalendevconso">#REF!</definedName>
    <definedName name="nbBasicAnalGA" localSheetId="19">#REF!</definedName>
    <definedName name="nbBasicAnalGA" localSheetId="18">#REF!</definedName>
    <definedName name="nbBasicAnalGA">#REF!</definedName>
    <definedName name="nbbasicanalga2">'[33]STAT BRU'!$A$49:$IV$49</definedName>
    <definedName name="nbbasicanalgacodi" localSheetId="19">#REF!</definedName>
    <definedName name="nbbasicanalgacodi" localSheetId="18">#REF!</definedName>
    <definedName name="nbbasicanalgacodi">#REF!</definedName>
    <definedName name="nbbasicanalgaconso">'[34]STAT BRU'!$A$49:$IV$49</definedName>
    <definedName name="NbBasicAnalNA" localSheetId="19">#REF!</definedName>
    <definedName name="NbBasicAnalNA" localSheetId="18">#REF!</definedName>
    <definedName name="NbBasicAnalNA">#REF!</definedName>
    <definedName name="nbbasicanalna2">'[33]STAT BRU'!$A$60:$IV$60</definedName>
    <definedName name="nbbasicanalnacodi" localSheetId="19">#REF!</definedName>
    <definedName name="nbbasicanalnacodi" localSheetId="18">#REF!</definedName>
    <definedName name="nbbasicanalnacodi">#REF!</definedName>
    <definedName name="nbbasicanalnaconso">'[34]STAT BRU'!$A$60:$IV$60</definedName>
    <definedName name="nbbasicanalnaev" localSheetId="19">#REF!</definedName>
    <definedName name="nbbasicanalnaev" localSheetId="18">#REF!</definedName>
    <definedName name="nbbasicanalnaev">#REF!</definedName>
    <definedName name="nbbasicanalnaev2" localSheetId="19">#REF!</definedName>
    <definedName name="nbbasicanalnaev2" localSheetId="18">#REF!</definedName>
    <definedName name="nbbasicanalnaev2">#REF!</definedName>
    <definedName name="nbbasicanalnaevconso" localSheetId="19">#REF!</definedName>
    <definedName name="nbbasicanalnaevconso" localSheetId="18">#REF!</definedName>
    <definedName name="nbbasicanalnaevconso">#REF!</definedName>
    <definedName name="nbbasicanlagaev" localSheetId="19">#REF!</definedName>
    <definedName name="nbbasicanlagaev" localSheetId="18">#REF!</definedName>
    <definedName name="nbbasicanlagaev">#REF!</definedName>
    <definedName name="nbbasicanlagaev2" localSheetId="19">#REF!</definedName>
    <definedName name="nbbasicanlagaev2" localSheetId="18">#REF!</definedName>
    <definedName name="nbbasicanlagaev2">#REF!</definedName>
    <definedName name="nbbasicanlagaevconso" localSheetId="19">#REF!</definedName>
    <definedName name="nbbasicanlagaevconso" localSheetId="18">#REF!</definedName>
    <definedName name="nbbasicanlagaevconso">#REF!</definedName>
    <definedName name="NbBasicDigAve" localSheetId="19">'[32]Statistics France'!#REF!</definedName>
    <definedName name="NbBasicDigAve" localSheetId="18">'[32]Statistics France'!#REF!</definedName>
    <definedName name="NbBasicDigAve">'[32]Statistics France'!#REF!</definedName>
    <definedName name="nbbasicdigave2">'[33]STAT BRU'!$A$67:$IV$67</definedName>
    <definedName name="nbbasicdigavecodi" localSheetId="19">#REF!</definedName>
    <definedName name="nbbasicdigavecodi" localSheetId="18">#REF!</definedName>
    <definedName name="nbbasicdigavecodi">#REF!</definedName>
    <definedName name="nbbasicdigaveev" localSheetId="19">#REF!</definedName>
    <definedName name="nbbasicdigaveev" localSheetId="18">#REF!</definedName>
    <definedName name="nbbasicdigaveev">#REF!</definedName>
    <definedName name="nbbasicdigaveevconso" localSheetId="19">#REF!</definedName>
    <definedName name="nbbasicdigaveevconso" localSheetId="18">#REF!</definedName>
    <definedName name="nbbasicdigaveevconso">#REF!</definedName>
    <definedName name="NbBasicDigEnd" localSheetId="19">'[32]Statistics France'!#REF!</definedName>
    <definedName name="NbBasicDigEnd" localSheetId="18">'[32]Statistics France'!#REF!</definedName>
    <definedName name="NbBasicDigEnd">'[32]Statistics France'!#REF!</definedName>
    <definedName name="nbbasicdigend2">'[33]STAT BRU'!$A$66:$IV$66</definedName>
    <definedName name="nbbasicdigendcodi" localSheetId="19">#REF!</definedName>
    <definedName name="nbbasicdigendcodi" localSheetId="18">#REF!</definedName>
    <definedName name="nbbasicdigendcodi">#REF!</definedName>
    <definedName name="nbbasicdigendconso">'[34]STAT BRU'!$A$66:$IV$66</definedName>
    <definedName name="nbbasicdigendev" localSheetId="19">#REF!</definedName>
    <definedName name="nbbasicdigendev" localSheetId="18">#REF!</definedName>
    <definedName name="nbbasicdigendev">#REF!</definedName>
    <definedName name="nbbasicdigendev2">'[34]  STAT EV'!$A$59:$IV$59</definedName>
    <definedName name="nbbasicdigendevconso" localSheetId="19">#REF!</definedName>
    <definedName name="nbbasicdigendevconso" localSheetId="18">#REF!</definedName>
    <definedName name="nbbasicdigendevconso">#REF!</definedName>
    <definedName name="NbBasicDigGA" localSheetId="19">'[32]Statistics France'!#REF!</definedName>
    <definedName name="NbBasicDigGA" localSheetId="18">'[32]Statistics France'!#REF!</definedName>
    <definedName name="NbBasicDigGA">'[32]Statistics France'!#REF!</definedName>
    <definedName name="nbbasicdigga2">'[33]STAT BRU'!$A$64:$IV$64</definedName>
    <definedName name="nbbasicdiggacodi" localSheetId="19">#REF!</definedName>
    <definedName name="nbbasicdiggacodi" localSheetId="18">#REF!</definedName>
    <definedName name="nbbasicdiggacodi">#REF!</definedName>
    <definedName name="nbbasicdiggaconsol">'[34]STAT BRU'!$A$64:$IV$64</definedName>
    <definedName name="nbbasicdiggaev" localSheetId="19">#REF!</definedName>
    <definedName name="nbbasicdiggaev" localSheetId="18">#REF!</definedName>
    <definedName name="nbbasicdiggaev">#REF!</definedName>
    <definedName name="nbbasicdiggaevconso" localSheetId="19">#REF!</definedName>
    <definedName name="nbbasicdiggaevconso" localSheetId="18">#REF!</definedName>
    <definedName name="nbbasicdiggaevconso">#REF!</definedName>
    <definedName name="NbBasicDigNA" localSheetId="19">'[32]Statistics France'!#REF!</definedName>
    <definedName name="NbBasicDigNA" localSheetId="18">'[32]Statistics France'!#REF!</definedName>
    <definedName name="NbBasicDigNA">'[32]Statistics France'!#REF!</definedName>
    <definedName name="nbbasicdigna2">'[33]STAT BRU'!$A$68:$IV$68</definedName>
    <definedName name="nbbasicdignacodi" localSheetId="19">#REF!</definedName>
    <definedName name="nbbasicdignacodi" localSheetId="18">#REF!</definedName>
    <definedName name="nbbasicdignacodi">#REF!</definedName>
    <definedName name="nbbasicdignaconso">'[34]STAT BRU'!$A$68:$IV$68</definedName>
    <definedName name="nbbasicdignaev" localSheetId="19">#REF!</definedName>
    <definedName name="nbbasicdignaev" localSheetId="18">#REF!</definedName>
    <definedName name="nbbasicdignaev">#REF!</definedName>
    <definedName name="nbbasicdignaevconso" localSheetId="19">#REF!</definedName>
    <definedName name="nbbasicdignaevconso" localSheetId="18">#REF!</definedName>
    <definedName name="nbbasicdignaevconso">#REF!</definedName>
    <definedName name="NbBasicTotAve" localSheetId="19">'[32]Statistics France'!#REF!</definedName>
    <definedName name="NbBasicTotAve" localSheetId="18">'[32]Statistics France'!#REF!</definedName>
    <definedName name="NbBasicTotAve">'[32]Statistics France'!#REF!</definedName>
    <definedName name="nbbasictotave2">'[33]STAT BRU'!$A$83:$IV$83</definedName>
    <definedName name="nbbasictotavecodi" localSheetId="19">#REF!</definedName>
    <definedName name="nbbasictotavecodi" localSheetId="18">#REF!</definedName>
    <definedName name="nbbasictotavecodi">#REF!</definedName>
    <definedName name="nbbasictotaveconso">'[34]STAT BRU'!$A$83:$IV$83</definedName>
    <definedName name="nbbasictotaveev" localSheetId="19">#REF!</definedName>
    <definedName name="nbbasictotaveev" localSheetId="18">#REF!</definedName>
    <definedName name="nbbasictotaveev">#REF!</definedName>
    <definedName name="nbbasictotaveev2" localSheetId="19">#REF!</definedName>
    <definedName name="nbbasictotaveev2" localSheetId="18">#REF!</definedName>
    <definedName name="nbbasictotaveev2">#REF!</definedName>
    <definedName name="NbBasicTotEnd" localSheetId="19">#REF!</definedName>
    <definedName name="NbBasicTotEnd" localSheetId="18">#REF!</definedName>
    <definedName name="NbBasicTotEnd">#REF!</definedName>
    <definedName name="nbbasictotend2">'[33]STAT BRU'!$A$82:$IV$82</definedName>
    <definedName name="nbbasictotendcodi" localSheetId="19">#REF!</definedName>
    <definedName name="nbbasictotendcodi" localSheetId="18">#REF!</definedName>
    <definedName name="nbbasictotendcodi">#REF!</definedName>
    <definedName name="nbbasictotendconso">'[34]STAT BRU'!$A$82:$IV$82</definedName>
    <definedName name="nbbasictotendev" localSheetId="19">#REF!</definedName>
    <definedName name="nbbasictotendev" localSheetId="18">#REF!</definedName>
    <definedName name="nbbasictotendev">#REF!</definedName>
    <definedName name="nbbasictotendev2" localSheetId="19">#REF!</definedName>
    <definedName name="nbbasictotendev2" localSheetId="18">#REF!</definedName>
    <definedName name="nbbasictotendev2">#REF!</definedName>
    <definedName name="nbbasictotendevcons" localSheetId="19">#REF!</definedName>
    <definedName name="nbbasictotendevcons" localSheetId="18">#REF!</definedName>
    <definedName name="nbbasictotendevcons">#REF!</definedName>
    <definedName name="NbBasicTotGA" localSheetId="19">#REF!</definedName>
    <definedName name="NbBasicTotGA" localSheetId="18">#REF!</definedName>
    <definedName name="NbBasicTotGA">#REF!</definedName>
    <definedName name="nbbasictotga2">'[33]STAT BRU'!$A$80:$IV$80</definedName>
    <definedName name="nbbasictotgacodi" localSheetId="19">#REF!</definedName>
    <definedName name="nbbasictotgacodi" localSheetId="18">#REF!</definedName>
    <definedName name="nbbasictotgacodi">#REF!</definedName>
    <definedName name="nbbasictotgaconso">'[34]STAT BRU'!$A$80:$IV$80</definedName>
    <definedName name="nbbasictotgaev" localSheetId="19">#REF!</definedName>
    <definedName name="nbbasictotgaev" localSheetId="18">#REF!</definedName>
    <definedName name="nbbasictotgaev">#REF!</definedName>
    <definedName name="nbbasictotgaev2" localSheetId="19">#REF!</definedName>
    <definedName name="nbbasictotgaev2" localSheetId="18">#REF!</definedName>
    <definedName name="nbbasictotgaev2">#REF!</definedName>
    <definedName name="nbbasictotgaevconso" localSheetId="19">#REF!</definedName>
    <definedName name="nbbasictotgaevconso" localSheetId="18">#REF!</definedName>
    <definedName name="nbbasictotgaevconso">#REF!</definedName>
    <definedName name="NbBasicTotNA" localSheetId="19">#REF!</definedName>
    <definedName name="NbBasicTotNA" localSheetId="18">#REF!</definedName>
    <definedName name="NbBasicTotNA">#REF!</definedName>
    <definedName name="nbbasictotna2">'[33]STAT BRU'!$A$84:$IV$84</definedName>
    <definedName name="nbbasictotnacodi" localSheetId="19">#REF!</definedName>
    <definedName name="nbbasictotnacodi" localSheetId="18">#REF!</definedName>
    <definedName name="nbbasictotnacodi">#REF!</definedName>
    <definedName name="nbbasictotnaconso">'[34]STAT BRU'!$A$84:$IV$84</definedName>
    <definedName name="nbbasictotnaev" localSheetId="19">#REF!</definedName>
    <definedName name="nbbasictotnaev" localSheetId="18">#REF!</definedName>
    <definedName name="nbbasictotnaev">#REF!</definedName>
    <definedName name="nbbasictotnaev2" localSheetId="19">#REF!</definedName>
    <definedName name="nbbasictotnaev2" localSheetId="18">#REF!</definedName>
    <definedName name="nbbasictotnaev2">#REF!</definedName>
    <definedName name="nbbasictotnaevconso" localSheetId="19">#REF!</definedName>
    <definedName name="nbbasictotnaevconso" localSheetId="18">#REF!</definedName>
    <definedName name="nbbasictotnaevconso">#REF!</definedName>
    <definedName name="NbConnectSalesman" localSheetId="19">[45]PLAN!#REF!</definedName>
    <definedName name="NbConnectSalesman" localSheetId="18">[45]PLAN!#REF!</definedName>
    <definedName name="NbConnectSalesman">[45]PLAN!#REF!</definedName>
    <definedName name="NBED" localSheetId="19">#REF!</definedName>
    <definedName name="NBED" localSheetId="18">#REF!</definedName>
    <definedName name="NBED">#REF!</definedName>
    <definedName name="NBED2" localSheetId="19">#REF!</definedName>
    <definedName name="NBED2" localSheetId="18">#REF!</definedName>
    <definedName name="NBED2">#REF!</definedName>
    <definedName name="NBED3" localSheetId="19">#REF!</definedName>
    <definedName name="NBED3" localSheetId="18">#REF!</definedName>
    <definedName name="NBED3">#REF!</definedName>
    <definedName name="NBED4" localSheetId="19">#REF!</definedName>
    <definedName name="NBED4" localSheetId="18">#REF!</definedName>
    <definedName name="NBED4">#REF!</definedName>
    <definedName name="nbmois" localSheetId="19">#REF!</definedName>
    <definedName name="nbmois" localSheetId="18">#REF!</definedName>
    <definedName name="nbmois">#REF!</definedName>
    <definedName name="NBPERSEV" localSheetId="19">#REF!</definedName>
    <definedName name="NBPERSEV" localSheetId="18">#REF!</definedName>
    <definedName name="NBPERSEV">#REF!</definedName>
    <definedName name="nbpersev2" localSheetId="19">#REF!</definedName>
    <definedName name="nbpersev2" localSheetId="18">#REF!</definedName>
    <definedName name="nbpersev2">#REF!</definedName>
    <definedName name="nbppeventsev2" localSheetId="19">#REF!</definedName>
    <definedName name="nbppeventsev2" localSheetId="18">#REF!</definedName>
    <definedName name="nbppeventsev2">#REF!</definedName>
    <definedName name="NbPPVEvents" localSheetId="19">'[32]Statistics France'!#REF!</definedName>
    <definedName name="NbPPVEvents" localSheetId="18">'[32]Statistics France'!#REF!</definedName>
    <definedName name="NbPPVEvents">'[32]Statistics France'!#REF!</definedName>
    <definedName name="nbppvevents2">'[33]STAT BRU'!$A$101:$IV$101</definedName>
    <definedName name="nbppveventscodi" localSheetId="19">#REF!</definedName>
    <definedName name="nbppveventscodi" localSheetId="18">#REF!</definedName>
    <definedName name="nbppveventscodi">#REF!</definedName>
    <definedName name="nbppveventsconso">'[34]STAT BRU'!$A$101:$IV$101</definedName>
    <definedName name="nbppveventsev" localSheetId="19">#REF!</definedName>
    <definedName name="nbppveventsev" localSheetId="18">#REF!</definedName>
    <definedName name="nbppveventsev">#REF!</definedName>
    <definedName name="nbppveventsevconso" localSheetId="19">#REF!</definedName>
    <definedName name="nbppveventsevconso" localSheetId="18">#REF!</definedName>
    <definedName name="nbppveventsevconso">#REF!</definedName>
    <definedName name="nbpremiumaev2" localSheetId="19">#REF!</definedName>
    <definedName name="nbpremiumaev2" localSheetId="18">#REF!</definedName>
    <definedName name="nbpremiumaev2">#REF!</definedName>
    <definedName name="NbPremiumAve" localSheetId="19">'[32]Statistics France'!#REF!</definedName>
    <definedName name="NbPremiumAve" localSheetId="18">'[32]Statistics France'!#REF!</definedName>
    <definedName name="NbPremiumAve">'[32]Statistics France'!#REF!</definedName>
    <definedName name="nbpremiumave2">'[33]STAT BRU'!$A$91:$IV$91</definedName>
    <definedName name="nbpremiumavecodi" localSheetId="19">#REF!</definedName>
    <definedName name="nbpremiumavecodi" localSheetId="18">#REF!</definedName>
    <definedName name="nbpremiumavecodi">#REF!</definedName>
    <definedName name="nbpremiumaveconso">'[34]STAT BRU'!$A$91:$IV$91</definedName>
    <definedName name="nbpremiumaveev" localSheetId="19">#REF!</definedName>
    <definedName name="nbpremiumaveev" localSheetId="18">#REF!</definedName>
    <definedName name="nbpremiumaveev">#REF!</definedName>
    <definedName name="nbpremiumaveev2" localSheetId="19">#REF!</definedName>
    <definedName name="nbpremiumaveev2" localSheetId="18">#REF!</definedName>
    <definedName name="nbpremiumaveev2">#REF!</definedName>
    <definedName name="nbpremiumaveevconsol" localSheetId="19">#REF!</definedName>
    <definedName name="nbpremiumaveevconsol" localSheetId="18">#REF!</definedName>
    <definedName name="nbpremiumaveevconsol">#REF!</definedName>
    <definedName name="NbPremiumEnd" localSheetId="19">'[32]Statistics France'!#REF!</definedName>
    <definedName name="NbPremiumEnd" localSheetId="18">'[32]Statistics France'!#REF!</definedName>
    <definedName name="NbPremiumEnd">'[32]Statistics France'!#REF!</definedName>
    <definedName name="nbpremiumend2">'[33]STAT BRU'!$A$90:$IV$90</definedName>
    <definedName name="nbpremiumendcodi" localSheetId="19">#REF!</definedName>
    <definedName name="nbpremiumendcodi" localSheetId="18">#REF!</definedName>
    <definedName name="nbpremiumendcodi">#REF!</definedName>
    <definedName name="nbpremiumendconsol">'[34]STAT BRU'!$A$90:$IV$90</definedName>
    <definedName name="nbpremiumendev" localSheetId="19">#REF!</definedName>
    <definedName name="nbpremiumendev" localSheetId="18">#REF!</definedName>
    <definedName name="nbpremiumendev">#REF!</definedName>
    <definedName name="nbpremiumendev2" localSheetId="19">#REF!</definedName>
    <definedName name="nbpremiumendev2" localSheetId="18">#REF!</definedName>
    <definedName name="nbpremiumendev2">#REF!</definedName>
    <definedName name="nbpremiumendevconso" localSheetId="19">#REF!</definedName>
    <definedName name="nbpremiumendevconso" localSheetId="18">#REF!</definedName>
    <definedName name="nbpremiumendevconso">#REF!</definedName>
    <definedName name="NbPremiumGA" localSheetId="19">'[32]Statistics France'!#REF!</definedName>
    <definedName name="NbPremiumGA" localSheetId="18">'[32]Statistics France'!#REF!</definedName>
    <definedName name="NbPremiumGA">'[32]Statistics France'!#REF!</definedName>
    <definedName name="nbpremiumga2">'[33]STAT BRU'!$A$88:$IV$88</definedName>
    <definedName name="nbpremiumgacodi" localSheetId="19">#REF!</definedName>
    <definedName name="nbpremiumgacodi" localSheetId="18">#REF!</definedName>
    <definedName name="nbpremiumgacodi">#REF!</definedName>
    <definedName name="nbpremiumgaconso">'[34]STAT BRU'!$A$88:$IV$88</definedName>
    <definedName name="nbpremiumgaev" localSheetId="19">#REF!</definedName>
    <definedName name="nbpremiumgaev" localSheetId="18">#REF!</definedName>
    <definedName name="nbpremiumgaev">#REF!</definedName>
    <definedName name="nbpremiumgaev2" localSheetId="19">#REF!</definedName>
    <definedName name="nbpremiumgaev2" localSheetId="18">#REF!</definedName>
    <definedName name="nbpremiumgaev2">#REF!</definedName>
    <definedName name="nbpremiumgaevconso" localSheetId="19">#REF!</definedName>
    <definedName name="nbpremiumgaevconso" localSheetId="18">#REF!</definedName>
    <definedName name="nbpremiumgaevconso">#REF!</definedName>
    <definedName name="NbPremiumNA" localSheetId="19">'[32]Statistics France'!#REF!</definedName>
    <definedName name="NbPremiumNA" localSheetId="18">'[32]Statistics France'!#REF!</definedName>
    <definedName name="NbPremiumNA">'[32]Statistics France'!#REF!</definedName>
    <definedName name="nbpremiumna2">'[33]STAT BRU'!$A$92:$IV$92</definedName>
    <definedName name="nbpremiumnacodi" localSheetId="19">#REF!</definedName>
    <definedName name="nbpremiumnacodi" localSheetId="18">#REF!</definedName>
    <definedName name="nbpremiumnacodi">#REF!</definedName>
    <definedName name="nbpremiumnaconso">'[34]STAT BRU'!$A$92:$IV$92</definedName>
    <definedName name="nbpremiumnaev" localSheetId="19">#REF!</definedName>
    <definedName name="nbpremiumnaev" localSheetId="18">#REF!</definedName>
    <definedName name="nbpremiumnaev">#REF!</definedName>
    <definedName name="nbpremiumnaev2" localSheetId="19">#REF!</definedName>
    <definedName name="nbpremiumnaev2" localSheetId="18">#REF!</definedName>
    <definedName name="nbpremiumnaev2">#REF!</definedName>
    <definedName name="nbpremiumnaevconso" localSheetId="19">#REF!</definedName>
    <definedName name="nbpremiumnaevconso" localSheetId="18">#REF!</definedName>
    <definedName name="nbpremiumnaevconso">#REF!</definedName>
    <definedName name="nbpveventsev2" localSheetId="19">#REF!</definedName>
    <definedName name="nbpveventsev2" localSheetId="18">#REF!</definedName>
    <definedName name="nbpveventsev2">#REF!</definedName>
    <definedName name="NbResCableTelAve" localSheetId="19">'[32]Statistics France'!#REF!</definedName>
    <definedName name="NbResCableTelAve" localSheetId="18">'[32]Statistics France'!#REF!</definedName>
    <definedName name="NbResCableTelAve">'[32]Statistics France'!#REF!</definedName>
    <definedName name="nbrescabletelave2">'[33]STAT BRU'!$A$122:$IV$122</definedName>
    <definedName name="nbrescabletelavecodit" localSheetId="19">#REF!</definedName>
    <definedName name="nbrescabletelavecodit" localSheetId="18">#REF!</definedName>
    <definedName name="nbrescabletelavecodit">#REF!</definedName>
    <definedName name="nbrescabletelaveconso">'[34]STAT BRU'!$A$122:$IV$122</definedName>
    <definedName name="nbrescabletelaveev" localSheetId="19">#REF!</definedName>
    <definedName name="nbrescabletelaveev" localSheetId="18">#REF!</definedName>
    <definedName name="nbrescabletelaveev">#REF!</definedName>
    <definedName name="nbrescabletelaveevcons" localSheetId="19">#REF!</definedName>
    <definedName name="nbrescabletelaveevcons" localSheetId="18">#REF!</definedName>
    <definedName name="nbrescabletelaveevcons">#REF!</definedName>
    <definedName name="nbrescabletelavelux" localSheetId="19">'[35]Statistics '!#REF!</definedName>
    <definedName name="nbrescabletelavelux" localSheetId="18">'[35]Statistics '!#REF!</definedName>
    <definedName name="nbrescabletelavelux">'[35]Statistics '!#REF!</definedName>
    <definedName name="NbResCableTelEnd" localSheetId="19">'[32]Statistics France'!#REF!</definedName>
    <definedName name="NbResCableTelEnd" localSheetId="18">'[32]Statistics France'!#REF!</definedName>
    <definedName name="NbResCableTelEnd">'[32]Statistics France'!#REF!</definedName>
    <definedName name="nbrescabletelend2">'[33]STAT BRU'!$A$121:$IV$121</definedName>
    <definedName name="nbrescabletelendcodi" localSheetId="19">#REF!</definedName>
    <definedName name="nbrescabletelendcodi" localSheetId="18">#REF!</definedName>
    <definedName name="nbrescabletelendcodi">#REF!</definedName>
    <definedName name="nbrescabletelendev" localSheetId="19">#REF!</definedName>
    <definedName name="nbrescabletelendev" localSheetId="18">#REF!</definedName>
    <definedName name="nbrescabletelendev">#REF!</definedName>
    <definedName name="nbrescabletelendevconso" localSheetId="19">#REF!</definedName>
    <definedName name="nbrescabletelendevconso" localSheetId="18">#REF!</definedName>
    <definedName name="nbrescabletelendevconso">#REF!</definedName>
    <definedName name="nbrescabletelendlux" localSheetId="19">'[35]Statistics '!#REF!</definedName>
    <definedName name="nbrescabletelendlux" localSheetId="18">'[35]Statistics '!#REF!</definedName>
    <definedName name="nbrescabletelendlux">'[35]Statistics '!#REF!</definedName>
    <definedName name="NbResCableTelGA" localSheetId="19">'[32]Statistics France'!#REF!</definedName>
    <definedName name="NbResCableTelGA" localSheetId="18">'[32]Statistics France'!#REF!</definedName>
    <definedName name="NbResCableTelGA">'[32]Statistics France'!#REF!</definedName>
    <definedName name="nbrescabletelga2">'[33]STAT BRU'!$A$119:$IV$119</definedName>
    <definedName name="nbrescabletelgacodi" localSheetId="19">#REF!</definedName>
    <definedName name="nbrescabletelgacodi" localSheetId="18">#REF!</definedName>
    <definedName name="nbrescabletelgacodi">#REF!</definedName>
    <definedName name="nbrescabletelgaconso">'[34]STAT BRU'!$A$119:$IV$119</definedName>
    <definedName name="nbrescabletelgaev" localSheetId="19">#REF!</definedName>
    <definedName name="nbrescabletelgaev" localSheetId="18">#REF!</definedName>
    <definedName name="nbrescabletelgaev">#REF!</definedName>
    <definedName name="nbrescabletelgaevconso" localSheetId="19">#REF!</definedName>
    <definedName name="nbrescabletelgaevconso" localSheetId="18">#REF!</definedName>
    <definedName name="nbrescabletelgaevconso">#REF!</definedName>
    <definedName name="NbResCableTelNA" localSheetId="19">'[32]Statistics France'!#REF!</definedName>
    <definedName name="NbResCableTelNA" localSheetId="18">'[32]Statistics France'!#REF!</definedName>
    <definedName name="NbResCableTelNA">'[32]Statistics France'!#REF!</definedName>
    <definedName name="nbrescabletelnacodi" localSheetId="19">#REF!</definedName>
    <definedName name="nbrescabletelnacodi" localSheetId="18">#REF!</definedName>
    <definedName name="nbrescabletelnacodi">#REF!</definedName>
    <definedName name="nbrescabletelnaconso">'[34]STAT BRU'!$A$123:$IV$123</definedName>
    <definedName name="nbrescabletelnaev" localSheetId="19">#REF!</definedName>
    <definedName name="nbrescabletelnaev" localSheetId="18">#REF!</definedName>
    <definedName name="nbrescabletelnaev">#REF!</definedName>
    <definedName name="nbrescabletelnaevcons" localSheetId="19">#REF!</definedName>
    <definedName name="nbrescabletelnaevcons" localSheetId="18">#REF!</definedName>
    <definedName name="nbrescabletelnaevcons">#REF!</definedName>
    <definedName name="nbrescabltelendconso">'[34]STAT BRU'!$A$121:$IV$121</definedName>
    <definedName name="NbResCustAve" localSheetId="19">'[32]Statistics France'!#REF!</definedName>
    <definedName name="NbResCustAve">'[32]Statistics France'!#REF!</definedName>
    <definedName name="nbrescustave2">'[33]STAT BRU'!$A$176:$IV$176</definedName>
    <definedName name="nbrescustavecodi" localSheetId="19">#REF!</definedName>
    <definedName name="nbrescustavecodi" localSheetId="18">#REF!</definedName>
    <definedName name="nbrescustavecodi">#REF!</definedName>
    <definedName name="nbrescustaveconso">'[34]STAT BRU'!$A$176:$IV$176</definedName>
    <definedName name="nbrescustaveev" localSheetId="19">#REF!</definedName>
    <definedName name="nbrescustaveev" localSheetId="18">#REF!</definedName>
    <definedName name="nbrescustaveev">#REF!</definedName>
    <definedName name="nbrescustaveev2" localSheetId="19">#REF!</definedName>
    <definedName name="nbrescustaveev2" localSheetId="18">#REF!</definedName>
    <definedName name="nbrescustaveev2">#REF!</definedName>
    <definedName name="nbrescustaveevconso" localSheetId="19">#REF!</definedName>
    <definedName name="nbrescustaveevconso" localSheetId="18">#REF!</definedName>
    <definedName name="nbrescustaveevconso">#REF!</definedName>
    <definedName name="NbResCustEnd" localSheetId="19">'[32]Statistics France'!#REF!</definedName>
    <definedName name="NbResCustEnd" localSheetId="18">'[32]Statistics France'!#REF!</definedName>
    <definedName name="NbResCustEnd">'[32]Statistics France'!#REF!</definedName>
    <definedName name="nbrescustend2">'[33]STAT BRU'!$A$175:$IV$175</definedName>
    <definedName name="nbrescustendcodi" localSheetId="19">#REF!</definedName>
    <definedName name="nbrescustendcodi" localSheetId="18">#REF!</definedName>
    <definedName name="nbrescustendcodi">#REF!</definedName>
    <definedName name="nbrescustendconso">'[34]STAT BRU'!$A$175:$IV$175</definedName>
    <definedName name="nbrescustendev" localSheetId="19">#REF!</definedName>
    <definedName name="nbrescustendev" localSheetId="18">#REF!</definedName>
    <definedName name="nbrescustendev">#REF!</definedName>
    <definedName name="nbrescustendev2" localSheetId="19">#REF!</definedName>
    <definedName name="nbrescustendev2" localSheetId="18">#REF!</definedName>
    <definedName name="nbrescustendev2">#REF!</definedName>
    <definedName name="nbrescustendevconso" localSheetId="19">#REF!</definedName>
    <definedName name="nbrescustendevconso" localSheetId="18">#REF!</definedName>
    <definedName name="nbrescustendevconso">#REF!</definedName>
    <definedName name="NbResDataAve" localSheetId="19">'[32]Statistics France'!#REF!</definedName>
    <definedName name="NbResDataAve" localSheetId="18">'[32]Statistics France'!#REF!</definedName>
    <definedName name="NbResDataAve">'[32]Statistics France'!#REF!</definedName>
    <definedName name="nbresdataave2">'[33]STAT BRU'!$A$156:$IV$156</definedName>
    <definedName name="nbresdataavecodi" localSheetId="19">#REF!</definedName>
    <definedName name="nbresdataavecodi" localSheetId="18">#REF!</definedName>
    <definedName name="nbresdataavecodi">#REF!</definedName>
    <definedName name="nbresdataaveconso">'[34]STAT BRU'!$A$156:$IV$156</definedName>
    <definedName name="nbresdataaveeev2" localSheetId="19">#REF!</definedName>
    <definedName name="nbresdataaveeev2" localSheetId="18">#REF!</definedName>
    <definedName name="nbresdataaveeev2">#REF!</definedName>
    <definedName name="nbresdataaveev" localSheetId="19">#REF!</definedName>
    <definedName name="nbresdataaveev" localSheetId="18">#REF!</definedName>
    <definedName name="nbresdataaveev">#REF!</definedName>
    <definedName name="nbresdataaveev2" localSheetId="19">#REF!</definedName>
    <definedName name="nbresdataaveev2" localSheetId="18">#REF!</definedName>
    <definedName name="nbresdataaveev2">#REF!</definedName>
    <definedName name="nbresdataaveevconso" localSheetId="19">#REF!</definedName>
    <definedName name="nbresdataaveevconso" localSheetId="18">#REF!</definedName>
    <definedName name="nbresdataaveevconso">#REF!</definedName>
    <definedName name="NbResDataEnd" localSheetId="19">#REF!</definedName>
    <definedName name="NbResDataEnd" localSheetId="18">#REF!</definedName>
    <definedName name="NbResDataEnd">#REF!</definedName>
    <definedName name="nbresdataend2">'[33]STAT BRU'!$A$155:$IV$155</definedName>
    <definedName name="nbresdataendcodi" localSheetId="19">#REF!</definedName>
    <definedName name="nbresdataendcodi" localSheetId="18">#REF!</definedName>
    <definedName name="nbresdataendcodi">#REF!</definedName>
    <definedName name="nbresdataendconso">'[34]STAT BRU'!$A$155:$IV$155</definedName>
    <definedName name="nbresdataendev" localSheetId="19">#REF!</definedName>
    <definedName name="nbresdataendev" localSheetId="18">#REF!</definedName>
    <definedName name="nbresdataendev">#REF!</definedName>
    <definedName name="nbresdataendev2" localSheetId="19">#REF!</definedName>
    <definedName name="nbresdataendev2" localSheetId="18">#REF!</definedName>
    <definedName name="nbresdataendev2">#REF!</definedName>
    <definedName name="nbresdataendevconso" localSheetId="19">#REF!</definedName>
    <definedName name="nbresdataendevconso" localSheetId="18">#REF!</definedName>
    <definedName name="nbresdataendevconso">#REF!</definedName>
    <definedName name="NbResDataGA" localSheetId="19">#REF!</definedName>
    <definedName name="NbResDataGA" localSheetId="18">#REF!</definedName>
    <definedName name="NbResDataGA">#REF!</definedName>
    <definedName name="nbresdataga2">'[33]STAT BRU'!$A$153:$IV$153</definedName>
    <definedName name="nbresdatagacodi" localSheetId="19">#REF!</definedName>
    <definedName name="nbresdatagacodi" localSheetId="18">#REF!</definedName>
    <definedName name="nbresdatagacodi">#REF!</definedName>
    <definedName name="nbresdatagacons">'[34]STAT BRU'!$A$153:$IV$153</definedName>
    <definedName name="nbresdatagaev" localSheetId="19">#REF!</definedName>
    <definedName name="nbresdatagaev" localSheetId="18">#REF!</definedName>
    <definedName name="nbresdatagaev">#REF!</definedName>
    <definedName name="nbresdatagaev2" localSheetId="19">#REF!</definedName>
    <definedName name="nbresdatagaev2" localSheetId="18">#REF!</definedName>
    <definedName name="nbresdatagaev2">#REF!</definedName>
    <definedName name="nbresdatagaevconso" localSheetId="19">#REF!</definedName>
    <definedName name="nbresdatagaevconso" localSheetId="18">#REF!</definedName>
    <definedName name="nbresdatagaevconso">#REF!</definedName>
    <definedName name="NbResDataNA" localSheetId="19">#REF!</definedName>
    <definedName name="NbResDataNA" localSheetId="18">#REF!</definedName>
    <definedName name="NbResDataNA">#REF!</definedName>
    <definedName name="nbresdatana2">'[33]STAT BRU'!$A$157:$IV$157</definedName>
    <definedName name="nbresdatanacodi" localSheetId="19">#REF!</definedName>
    <definedName name="nbresdatanacodi" localSheetId="18">#REF!</definedName>
    <definedName name="nbresdatanacodi">#REF!</definedName>
    <definedName name="nbresdatanaconso">'[34]STAT BRU'!$A$157:$IV$157</definedName>
    <definedName name="nbresdatanaev" localSheetId="19">#REF!</definedName>
    <definedName name="nbresdatanaev" localSheetId="18">#REF!</definedName>
    <definedName name="nbresdatanaev">#REF!</definedName>
    <definedName name="nbresdatanaev2" localSheetId="19">#REF!</definedName>
    <definedName name="nbresdatanaev2" localSheetId="18">#REF!</definedName>
    <definedName name="nbresdatanaev2">#REF!</definedName>
    <definedName name="nbresdatanaevconso" localSheetId="19">#REF!</definedName>
    <definedName name="nbresdatanaevconso" localSheetId="18">#REF!</definedName>
    <definedName name="nbresdatanaevconso">#REF!</definedName>
    <definedName name="NbResIPTelAve" localSheetId="19">'[32]Statistics France'!#REF!</definedName>
    <definedName name="NbResIPTelAve" localSheetId="18">'[32]Statistics France'!#REF!</definedName>
    <definedName name="NbResIPTelAve">'[32]Statistics France'!#REF!</definedName>
    <definedName name="nbresiptelave2">'[33]STAT BRU'!$A$131:$IV$131</definedName>
    <definedName name="nbresiptelavecodi" localSheetId="19">#REF!</definedName>
    <definedName name="nbresiptelavecodi" localSheetId="18">#REF!</definedName>
    <definedName name="nbresiptelavecodi">#REF!</definedName>
    <definedName name="nbresiptelaveconso">'[34]STAT BRU'!$A$131:$IV$131</definedName>
    <definedName name="nbresiptelaveev" localSheetId="19">#REF!</definedName>
    <definedName name="nbresiptelaveev" localSheetId="18">#REF!</definedName>
    <definedName name="nbresiptelaveev">#REF!</definedName>
    <definedName name="nbresiptelaveev2" localSheetId="19">#REF!</definedName>
    <definedName name="nbresiptelaveev2" localSheetId="18">#REF!</definedName>
    <definedName name="nbresiptelaveev2">#REF!</definedName>
    <definedName name="nbresiptelaveevconso" localSheetId="19">#REF!</definedName>
    <definedName name="nbresiptelaveevconso" localSheetId="18">#REF!</definedName>
    <definedName name="nbresiptelaveevconso">#REF!</definedName>
    <definedName name="NbResIPTelEnd" localSheetId="19">'[32]Statistics France'!#REF!</definedName>
    <definedName name="NbResIPTelEnd" localSheetId="18">'[32]Statistics France'!#REF!</definedName>
    <definedName name="NbResIPTelEnd">'[32]Statistics France'!#REF!</definedName>
    <definedName name="nbresiptelend2">'[33]STAT BRU'!$A$130:$IV$130</definedName>
    <definedName name="nbresiptelendcodi" localSheetId="19">#REF!</definedName>
    <definedName name="nbresiptelendcodi" localSheetId="18">#REF!</definedName>
    <definedName name="nbresiptelendcodi">#REF!</definedName>
    <definedName name="nbresiptelendconso">'[34]STAT BRU'!$A$130:$IV$130</definedName>
    <definedName name="nbresiptelendev" localSheetId="19">#REF!</definedName>
    <definedName name="nbresiptelendev" localSheetId="18">#REF!</definedName>
    <definedName name="nbresiptelendev">#REF!</definedName>
    <definedName name="nbresiptelendev2" localSheetId="19">#REF!</definedName>
    <definedName name="nbresiptelendev2" localSheetId="18">#REF!</definedName>
    <definedName name="nbresiptelendev2">#REF!</definedName>
    <definedName name="nbresiptelendevconso" localSheetId="19">#REF!</definedName>
    <definedName name="nbresiptelendevconso" localSheetId="18">#REF!</definedName>
    <definedName name="nbresiptelendevconso">#REF!</definedName>
    <definedName name="NbResIPTelGA" localSheetId="19">'[32]Statistics France'!#REF!</definedName>
    <definedName name="NbResIPTelGA" localSheetId="18">'[32]Statistics France'!#REF!</definedName>
    <definedName name="NbResIPTelGA">'[32]Statistics France'!#REF!</definedName>
    <definedName name="nbresiptelga2">'[33]STAT BRU'!$A$128:$IV$128</definedName>
    <definedName name="nbresiptelgacodi" localSheetId="19">#REF!</definedName>
    <definedName name="nbresiptelgacodi" localSheetId="18">#REF!</definedName>
    <definedName name="nbresiptelgacodi">#REF!</definedName>
    <definedName name="nbresiptelgaconso">'[34]STAT BRU'!$A$128:$IV$128</definedName>
    <definedName name="nbresiptelgaev" localSheetId="19">#REF!</definedName>
    <definedName name="nbresiptelgaev" localSheetId="18">#REF!</definedName>
    <definedName name="nbresiptelgaev">#REF!</definedName>
    <definedName name="nbresiptelgaev2" localSheetId="19">#REF!</definedName>
    <definedName name="nbresiptelgaev2" localSheetId="18">#REF!</definedName>
    <definedName name="nbresiptelgaev2">#REF!</definedName>
    <definedName name="nbresiptelgaevconso" localSheetId="19">#REF!</definedName>
    <definedName name="nbresiptelgaevconso" localSheetId="18">#REF!</definedName>
    <definedName name="nbresiptelgaevconso">#REF!</definedName>
    <definedName name="NbResIPTelNA" localSheetId="19">'[32]Statistics France'!#REF!</definedName>
    <definedName name="NbResIPTelNA" localSheetId="18">'[32]Statistics France'!#REF!</definedName>
    <definedName name="NbResIPTelNA">'[32]Statistics France'!#REF!</definedName>
    <definedName name="nbresiptelna2">'[33]STAT BRU'!$A$132:$IV$132</definedName>
    <definedName name="nbresiptelnacodi" localSheetId="19">#REF!</definedName>
    <definedName name="nbresiptelnacodi" localSheetId="18">#REF!</definedName>
    <definedName name="nbresiptelnacodi">#REF!</definedName>
    <definedName name="nbresiptelnaconso">'[34]STAT BRU'!$A$132:$IV$132</definedName>
    <definedName name="nbresiptelnaev" localSheetId="19">#REF!</definedName>
    <definedName name="nbresiptelnaev" localSheetId="18">#REF!</definedName>
    <definedName name="nbresiptelnaev">#REF!</definedName>
    <definedName name="nbresiptelnaev2" localSheetId="19">#REF!</definedName>
    <definedName name="nbresiptelnaev2" localSheetId="18">#REF!</definedName>
    <definedName name="nbresiptelnaev2">#REF!</definedName>
    <definedName name="nbresiptelnaevconso" localSheetId="19">#REF!</definedName>
    <definedName name="nbresiptelnaevconso" localSheetId="18">#REF!</definedName>
    <definedName name="nbresiptelnaevconso">#REF!</definedName>
    <definedName name="NbResRGUAve" localSheetId="19">'[32]Statistics France'!#REF!</definedName>
    <definedName name="NbResRGUAve" localSheetId="18">'[32]Statistics France'!#REF!</definedName>
    <definedName name="NbResRGUAve">'[32]Statistics France'!#REF!</definedName>
    <definedName name="nbresrguave2">'[33]STAT BRU'!$A$167:$IV$167</definedName>
    <definedName name="nbresrguavecodi" localSheetId="19">#REF!</definedName>
    <definedName name="nbresrguavecodi" localSheetId="18">#REF!</definedName>
    <definedName name="nbresrguavecodi">#REF!</definedName>
    <definedName name="nbresrguaveconso">'[34]STAT BRU'!$A$167:$IV$167</definedName>
    <definedName name="nbresrguaveev" localSheetId="19">#REF!</definedName>
    <definedName name="nbresrguaveev" localSheetId="18">#REF!</definedName>
    <definedName name="nbresrguaveev">#REF!</definedName>
    <definedName name="nbresrguaveev2" localSheetId="19">#REF!</definedName>
    <definedName name="nbresrguaveev2" localSheetId="18">#REF!</definedName>
    <definedName name="nbresrguaveev2">#REF!</definedName>
    <definedName name="nbresrguaveevconso" localSheetId="19">#REF!</definedName>
    <definedName name="nbresrguaveevconso" localSheetId="18">#REF!</definedName>
    <definedName name="nbresrguaveevconso">#REF!</definedName>
    <definedName name="NbResRGUEnd" localSheetId="19">'[32]Statistics France'!#REF!</definedName>
    <definedName name="NbResRGUEnd" localSheetId="18">'[32]Statistics France'!#REF!</definedName>
    <definedName name="NbResRGUEnd">'[32]Statistics France'!#REF!</definedName>
    <definedName name="nbresrguend2">'[33]STAT BRU'!$A$166:$IV$166</definedName>
    <definedName name="nbresrguendcodi" localSheetId="19">#REF!</definedName>
    <definedName name="nbresrguendcodi" localSheetId="18">#REF!</definedName>
    <definedName name="nbresrguendcodi">#REF!</definedName>
    <definedName name="nbresrguendconso">'[34]STAT BRU'!$A$166:$IV$166</definedName>
    <definedName name="nbresrguendev" localSheetId="19">#REF!</definedName>
    <definedName name="nbresrguendev" localSheetId="18">#REF!</definedName>
    <definedName name="nbresrguendev">#REF!</definedName>
    <definedName name="nbresrguendev2" localSheetId="19">#REF!</definedName>
    <definedName name="nbresrguendev2" localSheetId="18">#REF!</definedName>
    <definedName name="nbresrguendev2">#REF!</definedName>
    <definedName name="nbresrguendevconso" localSheetId="19">#REF!</definedName>
    <definedName name="nbresrguendevconso" localSheetId="18">#REF!</definedName>
    <definedName name="nbresrguendevconso">#REF!</definedName>
    <definedName name="NbResTelAve" localSheetId="19">'[32]Statistics France'!#REF!</definedName>
    <definedName name="NbResTelAve" localSheetId="18">'[32]Statistics France'!#REF!</definedName>
    <definedName name="NbResTelAve">'[32]Statistics France'!#REF!</definedName>
    <definedName name="nbrestelave2">'[33]STAT BRU'!$A$140:$IV$140</definedName>
    <definedName name="nbrestelavecodi" localSheetId="19">#REF!</definedName>
    <definedName name="nbrestelavecodi" localSheetId="18">#REF!</definedName>
    <definedName name="nbrestelavecodi">#REF!</definedName>
    <definedName name="nbrestelaveconso">'[34]STAT BRU'!$A$140:$IV$140</definedName>
    <definedName name="nbrestelaveev" localSheetId="19">#REF!</definedName>
    <definedName name="nbrestelaveev" localSheetId="18">#REF!</definedName>
    <definedName name="nbrestelaveev">#REF!</definedName>
    <definedName name="nbrestelaveev2" localSheetId="19">#REF!</definedName>
    <definedName name="nbrestelaveev2" localSheetId="18">#REF!</definedName>
    <definedName name="nbrestelaveev2">#REF!</definedName>
    <definedName name="nbrestelaveevconso" localSheetId="19">#REF!</definedName>
    <definedName name="nbrestelaveevconso" localSheetId="18">#REF!</definedName>
    <definedName name="nbrestelaveevconso">#REF!</definedName>
    <definedName name="NbResTelEnd" localSheetId="19">'[32]Statistics France'!#REF!</definedName>
    <definedName name="NbResTelEnd" localSheetId="18">'[32]Statistics France'!#REF!</definedName>
    <definedName name="NbResTelEnd">'[32]Statistics France'!#REF!</definedName>
    <definedName name="nbrestelend2">'[33]STAT BRU'!$A$139:$IV$139</definedName>
    <definedName name="nbrestelendcodi" localSheetId="19">#REF!</definedName>
    <definedName name="nbrestelendcodi" localSheetId="18">#REF!</definedName>
    <definedName name="nbrestelendcodi">#REF!</definedName>
    <definedName name="nbrestelendconso">'[34]STAT BRU'!$A$139:$IV$139</definedName>
    <definedName name="nbrestelendev" localSheetId="19">#REF!</definedName>
    <definedName name="nbrestelendev" localSheetId="18">#REF!</definedName>
    <definedName name="nbrestelendev">#REF!</definedName>
    <definedName name="nbrestelendev2" localSheetId="19">#REF!</definedName>
    <definedName name="nbrestelendev2" localSheetId="18">#REF!</definedName>
    <definedName name="nbrestelendev2">#REF!</definedName>
    <definedName name="nbrestelendevconso" localSheetId="19">#REF!</definedName>
    <definedName name="nbrestelendevconso" localSheetId="18">#REF!</definedName>
    <definedName name="nbrestelendevconso">#REF!</definedName>
    <definedName name="NbResTelGA" localSheetId="19">'[32]Statistics France'!#REF!</definedName>
    <definedName name="NbResTelGA" localSheetId="18">'[32]Statistics France'!#REF!</definedName>
    <definedName name="NbResTelGA">'[32]Statistics France'!#REF!</definedName>
    <definedName name="nbrestelga2">'[33]STAT BRU'!$A$137:$IV$137</definedName>
    <definedName name="nbrestelgacodi" localSheetId="19">#REF!</definedName>
    <definedName name="nbrestelgacodi" localSheetId="18">#REF!</definedName>
    <definedName name="nbrestelgacodi">#REF!</definedName>
    <definedName name="nbrestelgaconso">'[34]STAT BRU'!$A$137:$IV$137</definedName>
    <definedName name="nbrestelgaev" localSheetId="19">#REF!</definedName>
    <definedName name="nbrestelgaev" localSheetId="18">#REF!</definedName>
    <definedName name="nbrestelgaev">#REF!</definedName>
    <definedName name="nbrestelgaev2" localSheetId="19">#REF!</definedName>
    <definedName name="nbrestelgaev2" localSheetId="18">#REF!</definedName>
    <definedName name="nbrestelgaev2">#REF!</definedName>
    <definedName name="nbrestelgaevconso" localSheetId="19">#REF!</definedName>
    <definedName name="nbrestelgaevconso" localSheetId="18">#REF!</definedName>
    <definedName name="nbrestelgaevconso">#REF!</definedName>
    <definedName name="NbResTelNA" localSheetId="19">'[32]Statistics France'!#REF!</definedName>
    <definedName name="NbResTelNA" localSheetId="18">'[32]Statistics France'!#REF!</definedName>
    <definedName name="NbResTelNA">'[32]Statistics France'!#REF!</definedName>
    <definedName name="nbrestelna2">'[33]STAT BRU'!$A$141:$IV$141</definedName>
    <definedName name="nbrestelnacodi" localSheetId="19">#REF!</definedName>
    <definedName name="nbrestelnacodi" localSheetId="18">#REF!</definedName>
    <definedName name="nbrestelnacodi">#REF!</definedName>
    <definedName name="nbrestelnaconso">'[34]STAT BRU'!$A$141:$IV$141</definedName>
    <definedName name="nbrestelnaev" localSheetId="19">#REF!</definedName>
    <definedName name="nbrestelnaev" localSheetId="18">#REF!</definedName>
    <definedName name="nbrestelnaev">#REF!</definedName>
    <definedName name="nbrestelnaev2" localSheetId="19">#REF!</definedName>
    <definedName name="nbrestelnaev2" localSheetId="18">#REF!</definedName>
    <definedName name="nbrestelnaev2">#REF!</definedName>
    <definedName name="nbrestelnaevconso" localSheetId="19">#REF!</definedName>
    <definedName name="nbrestelnaevconso" localSheetId="18">#REF!</definedName>
    <definedName name="nbrestelnaevconso">#REF!</definedName>
    <definedName name="NbSélecteurs" localSheetId="19">[45]PLAN!#REF!</definedName>
    <definedName name="NbSélecteurs" localSheetId="18">[45]PLAN!#REF!</definedName>
    <definedName name="NbSélecteurs">[45]PLAN!#REF!</definedName>
    <definedName name="NbTelTotConect" localSheetId="19">[45]PLAN!#REF!</definedName>
    <definedName name="NbTelTotConect" localSheetId="18">[45]PLAN!#REF!</definedName>
    <definedName name="NbTelTotConect">[45]PLAN!#REF!</definedName>
    <definedName name="NCC_lijst" localSheetId="19">#REF!</definedName>
    <definedName name="NCC_lijst" localSheetId="18">#REF!</definedName>
    <definedName name="NCC_lijst">#REF!</definedName>
    <definedName name="net.debt" localSheetId="19">#REF!</definedName>
    <definedName name="net.debt" localSheetId="18">#REF!</definedName>
    <definedName name="net.debt">#REF!</definedName>
    <definedName name="Net_Assets" localSheetId="19">#REF!</definedName>
    <definedName name="Net_Assets" localSheetId="18">#REF!</definedName>
    <definedName name="Net_Assets">#REF!</definedName>
    <definedName name="net_ebitda97">'[63]Cellular '!$K$81</definedName>
    <definedName name="net_ebitda98">'[63]Cellular '!$K$82</definedName>
    <definedName name="Net_Profit_SGW_Adjusted_" localSheetId="19">#REF!</definedName>
    <definedName name="Net_Profit_SGW_Adjusted_" localSheetId="18">#REF!</definedName>
    <definedName name="Net_Profit_SGW_Adjusted_">#REF!</definedName>
    <definedName name="netab" localSheetId="19">#REF!</definedName>
    <definedName name="netab" localSheetId="18">#REF!</definedName>
    <definedName name="netab">#REF!</definedName>
    <definedName name="netasa" localSheetId="19">#REF!</definedName>
    <definedName name="netasa" localSheetId="18">#REF!</definedName>
    <definedName name="netasa">#REF!</definedName>
    <definedName name="netcom_perpop">'[63]Cellular '!$A$80</definedName>
    <definedName name="netcomprice">'[63]Cellular '!$A$81</definedName>
    <definedName name="Netcomrec">'[63]Cellular '!$A$83</definedName>
    <definedName name="netdebt">[10]Macros!$C$17</definedName>
    <definedName name="netint" localSheetId="19">#REF!</definedName>
    <definedName name="netint" localSheetId="18">#REF!</definedName>
    <definedName name="netint">#REF!</definedName>
    <definedName name="netprofit" localSheetId="19">#REF!</definedName>
    <definedName name="netprofit" localSheetId="18">#REF!</definedName>
    <definedName name="netprofit">#REF!</definedName>
    <definedName name="neufsop" localSheetId="19">#REF!</definedName>
    <definedName name="neufsop" localSheetId="18">#REF!</definedName>
    <definedName name="neufsop">#REF!</definedName>
    <definedName name="Newco">[55]INPUT!$E$11</definedName>
    <definedName name="newDC" localSheetId="18" hidden="1">{#N/A,#N/A,TRUE,"Cover sheet";#N/A,#N/A,TRUE,"DCF analysis";#N/A,#N/A,TRUE,"WACC calculation"}</definedName>
    <definedName name="newDC" hidden="1">{#N/A,#N/A,TRUE,"Cover sheet";#N/A,#N/A,TRUE,"DCF analysis";#N/A,#N/A,TRUE,"WACC calculation"}</definedName>
    <definedName name="NewTaxGW" localSheetId="19">#REF!</definedName>
    <definedName name="NewTaxGW">#REF!</definedName>
    <definedName name="NewTaxIntangibles" localSheetId="19">#REF!</definedName>
    <definedName name="NewTaxIntangibles" localSheetId="18">#REF!</definedName>
    <definedName name="NewTaxIntangibles">#REF!</definedName>
    <definedName name="NEWTIMCdol" localSheetId="19">'[7]Fixed ADRs'!#REF!</definedName>
    <definedName name="NEWTIMCdol" localSheetId="18">'[7]Fixed ADRs'!#REF!</definedName>
    <definedName name="NEWTIMCdol">'[7]Fixed ADRs'!#REF!</definedName>
    <definedName name="NEWTIprice">[7]Fixed!$A$90</definedName>
    <definedName name="NEWTIrec">[7]Fixed!$A$92</definedName>
    <definedName name="NG" localSheetId="19">#REF!</definedName>
    <definedName name="NG" localSheetId="18">#REF!</definedName>
    <definedName name="NG">#REF!</definedName>
    <definedName name="ni_divs" localSheetId="19">#REF!</definedName>
    <definedName name="ni_divs" localSheetId="18">#REF!</definedName>
    <definedName name="ni_divs">#REF!</definedName>
    <definedName name="ni_terminal" localSheetId="19">#REF!</definedName>
    <definedName name="ni_terminal" localSheetId="18">#REF!</definedName>
    <definedName name="ni_terminal">#REF!</definedName>
    <definedName name="NI00">[9]FS!$G$62</definedName>
    <definedName name="nidivs" localSheetId="19">#REF!</definedName>
    <definedName name="nidivs" localSheetId="18">#REF!</definedName>
    <definedName name="nidivs">#REF!</definedName>
    <definedName name="nlgeuro" localSheetId="19">#REF!</definedName>
    <definedName name="nlgeuro" localSheetId="18">#REF!</definedName>
    <definedName name="nlgeuro">#REF!</definedName>
    <definedName name="NM">"NM  "</definedName>
    <definedName name="non.core.assets" localSheetId="19">#REF!</definedName>
    <definedName name="non.core.assets" localSheetId="18">#REF!</definedName>
    <definedName name="non.core.assets">#REF!</definedName>
    <definedName name="nosh" localSheetId="19">#REF!</definedName>
    <definedName name="nosh" localSheetId="18">#REF!</definedName>
    <definedName name="nosh">#REF!</definedName>
    <definedName name="noshare">'[10]Balance-Pre'!$K$19</definedName>
    <definedName name="NOTES" localSheetId="19">#REF!</definedName>
    <definedName name="NOTES" localSheetId="18">#REF!</definedName>
    <definedName name="NOTES">#REF!</definedName>
    <definedName name="notified_BNPP">[55]Regressions!$B$7</definedName>
    <definedName name="notified_dates">[55]Regressions!$D$6</definedName>
    <definedName name="notified_pages">[55]Regressions!$D$7</definedName>
    <definedName name="notified_paths">[55]Regressions!$B$6</definedName>
    <definedName name="NTA" localSheetId="19">#REF!</definedName>
    <definedName name="NTA" localSheetId="18">#REF!</definedName>
    <definedName name="NTA">#REF!</definedName>
    <definedName name="NTELevebitda97">'[63]Cellular '!$K$50</definedName>
    <definedName name="NTELevebitda98">'[63]Cellular '!$K$51</definedName>
    <definedName name="NTELpe97">'[63]Cellular '!$H$50</definedName>
    <definedName name="NTELpe98">'[63]Cellular '!$H$51</definedName>
    <definedName name="NTELperpop">'[63]Cellular '!$A$49</definedName>
    <definedName name="NTELprice">'[63]Cellular '!$A$50</definedName>
    <definedName name="NUM" localSheetId="19">#REF!</definedName>
    <definedName name="NUM" localSheetId="18">#REF!</definedName>
    <definedName name="NUM">#REF!</definedName>
    <definedName name="Number_of_Staff" localSheetId="19">'[10]Cashflow-Pre'!#REF!</definedName>
    <definedName name="Number_of_Staff" localSheetId="18">'[10]Cashflow-Pre'!#REF!</definedName>
    <definedName name="Number_of_Staff">'[10]Cashflow-Pre'!#REF!</definedName>
    <definedName name="NUMERO" localSheetId="19">#REF!</definedName>
    <definedName name="NUMERO" localSheetId="18">#REF!</definedName>
    <definedName name="NUMERO">#REF!</definedName>
    <definedName name="numlinac">'[83]Market hypotesis'!$A$26:$IV$26</definedName>
    <definedName name="numlinbc">'[83]Market hypotesis'!$A$24:$IV$24</definedName>
    <definedName name="nuovo" localSheetId="18"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uov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O" localSheetId="19">'[12]Fleet &amp; Costs'!#REF!</definedName>
    <definedName name="O">'[12]Fleet &amp; Costs'!#REF!</definedName>
    <definedName name="O_M_Analysys" localSheetId="19">#REF!</definedName>
    <definedName name="O_M_Analysys" localSheetId="18">#REF!</definedName>
    <definedName name="O_M_Analysys">#REF!</definedName>
    <definedName name="offering" localSheetId="19">[94]VAL!#REF!</definedName>
    <definedName name="offering" localSheetId="18">[94]VAL!#REF!</definedName>
    <definedName name="offering">[94]VAL!#REF!</definedName>
    <definedName name="office_exp_percent" localSheetId="19">'[10]Cashflow-Pre'!#REF!</definedName>
    <definedName name="office_exp_percent">'[10]Cashflow-Pre'!#REF!</definedName>
    <definedName name="office_expense" localSheetId="19">'[10]Cashflow-Pre'!#REF!</definedName>
    <definedName name="office_expense">'[10]Cashflow-Pre'!#REF!</definedName>
    <definedName name="OfficeExpensePerEmployeePerYear" localSheetId="19">[45]PLAN!#REF!</definedName>
    <definedName name="OfficeExpensePerEmployeePerYear">[45]PLAN!#REF!</definedName>
    <definedName name="old_year_end" localSheetId="19">#REF!</definedName>
    <definedName name="old_year_end" localSheetId="18">#REF!</definedName>
    <definedName name="old_year_end">#REF!</definedName>
    <definedName name="oldcueps" localSheetId="19">#REF!</definedName>
    <definedName name="oldcueps" localSheetId="18">#REF!</definedName>
    <definedName name="oldcueps">#REF!</definedName>
    <definedName name="olo" localSheetId="19">#REF!</definedName>
    <definedName name="olo" localSheetId="18">#REF!</definedName>
    <definedName name="olo">#REF!</definedName>
    <definedName name="one.million">[77]Names!$C$5</definedName>
    <definedName name="one.thousand">[77]Names!$C$6</definedName>
    <definedName name="OOMa1" localSheetId="19">#REF!</definedName>
    <definedName name="OOMa1" localSheetId="18">#REF!</definedName>
    <definedName name="OOMa1">#REF!</definedName>
    <definedName name="ooma2" localSheetId="19">#REF!</definedName>
    <definedName name="ooma2" localSheetId="18">#REF!</definedName>
    <definedName name="ooma2">#REF!</definedName>
    <definedName name="oomsop" localSheetId="19">#REF!</definedName>
    <definedName name="oomsop" localSheetId="18">#REF!</definedName>
    <definedName name="oomsop">#REF!</definedName>
    <definedName name="OOMSOP1" localSheetId="19">#REF!</definedName>
    <definedName name="OOMSOP1" localSheetId="18">#REF!</definedName>
    <definedName name="OOMSOP1">#REF!</definedName>
    <definedName name="OOMTP1" localSheetId="19">#REF!</definedName>
    <definedName name="OOMTP1" localSheetId="18">#REF!</definedName>
    <definedName name="OOMTP1">#REF!</definedName>
    <definedName name="oomtp2" localSheetId="19">#REF!</definedName>
    <definedName name="oomtp2" localSheetId="18">#REF!</definedName>
    <definedName name="oomtp2">#REF!</definedName>
    <definedName name="op_ex_excluding_ic" localSheetId="19">'[10]Cashflow-Pre'!#REF!</definedName>
    <definedName name="op_ex_excluding_ic" localSheetId="18">'[10]Cashflow-Pre'!#REF!</definedName>
    <definedName name="op_ex_excluding_ic">'[10]Cashflow-Pre'!#REF!</definedName>
    <definedName name="OperatingCase">[55]INPUT!$K$8</definedName>
    <definedName name="OperatingExpenses" localSheetId="19">'[10]Balance-Post'!#REF!</definedName>
    <definedName name="OperatingExpenses">'[10]Balance-Post'!#REF!</definedName>
    <definedName name="opex" localSheetId="19">'[12]Fleet &amp; Costs'!#REF!</definedName>
    <definedName name="opex">'[12]Fleet &amp; Costs'!#REF!</definedName>
    <definedName name="opinrement">[10]Macros!$C$32</definedName>
    <definedName name="oppro" localSheetId="19">#REF!</definedName>
    <definedName name="oppro" localSheetId="18">#REF!</definedName>
    <definedName name="oppro">#REF!</definedName>
    <definedName name="opprofit" localSheetId="19">#REF!</definedName>
    <definedName name="opprofit" localSheetId="18">#REF!</definedName>
    <definedName name="opprofit">#REF!</definedName>
    <definedName name="OPT_diluted_shares">'[55]Share price analysis'!$J$194</definedName>
    <definedName name="OPT_proceeds">'[55]Share price analysis'!$I$194</definedName>
    <definedName name="OPT_undiluted_price">'[55]Share price analysis'!$F$161</definedName>
    <definedName name="OPT_undiluted_shares">'[55]Share price analysis'!$D$194</definedName>
    <definedName name="OPTION" localSheetId="19">#REF!</definedName>
    <definedName name="OPTION" localSheetId="18">#REF!</definedName>
    <definedName name="OPTION">#REF!</definedName>
    <definedName name="optionprice" localSheetId="19">#REF!</definedName>
    <definedName name="optionprice" localSheetId="18">#REF!</definedName>
    <definedName name="optionprice">#REF!</definedName>
    <definedName name="options" localSheetId="19">#REF!</definedName>
    <definedName name="options" localSheetId="18">#REF!</definedName>
    <definedName name="options">#REF!</definedName>
    <definedName name="ORAevebitda98">'[63]Cellular '!$K$72</definedName>
    <definedName name="ORAevebitda99">'[63]Cellular '!$K$73</definedName>
    <definedName name="oramobmod" localSheetId="19">#REF!</definedName>
    <definedName name="oramobmod" localSheetId="18">#REF!</definedName>
    <definedName name="oramobmod">#REF!</definedName>
    <definedName name="Orangerec">'[63]Cellular '!$A$73</definedName>
    <definedName name="ORAperpop">'[63]Cellular '!$A$70</definedName>
    <definedName name="ORAprice">'[63]Cellular '!$A$71</definedName>
    <definedName name="original_year_end" localSheetId="19">#REF!</definedName>
    <definedName name="original_year_end" localSheetId="18">#REF!</definedName>
    <definedName name="original_year_end">#REF!</definedName>
    <definedName name="origination_cost" localSheetId="19">#REF!</definedName>
    <definedName name="origination_cost" localSheetId="18">#REF!</definedName>
    <definedName name="origination_cost">#REF!</definedName>
    <definedName name="Oss" localSheetId="19">#REF!</definedName>
    <definedName name="Oss" localSheetId="18">#REF!</definedName>
    <definedName name="Oss">#REF!</definedName>
    <definedName name="OTEa1">[18]OTE1!$A$8:$Q$87</definedName>
    <definedName name="OTEa2">[18]OTE2!$B$9:$X$63</definedName>
    <definedName name="OTEM1">[18]Multmod!$D$85:$G$86</definedName>
    <definedName name="OTEM2">[18]Multmod!$D$87:$G$88</definedName>
    <definedName name="OTEM3">[18]Multmod!$D$89:$G$90</definedName>
    <definedName name="OTEM4">[18]Multmod!$D$91:$G$91</definedName>
    <definedName name="OTEM5">[18]Multmod!$C$92:$G$102</definedName>
    <definedName name="otemult">[18]Multmod!$C$85:$G$102</definedName>
    <definedName name="otesop1">[18]OTE2!$AA$28:$AG$36</definedName>
    <definedName name="OTETP1">[18]OTE1!$S$6</definedName>
    <definedName name="otetp2">[18]OTE2!$AR$4</definedName>
    <definedName name="OTHER" localSheetId="19">#REF!</definedName>
    <definedName name="OTHER" localSheetId="18">#REF!</definedName>
    <definedName name="OTHER">#REF!</definedName>
    <definedName name="other.shares.outstanding" localSheetId="19">#REF!</definedName>
    <definedName name="other.shares.outstanding" localSheetId="18">#REF!</definedName>
    <definedName name="other.shares.outstanding">#REF!</definedName>
    <definedName name="Other_Long_Term_Liabilities" localSheetId="19">#REF!</definedName>
    <definedName name="Other_Long_Term_Liabilities" localSheetId="18">#REF!</definedName>
    <definedName name="Other_Long_Term_Liabilities">#REF!</definedName>
    <definedName name="Otherinc" localSheetId="19">#REF!</definedName>
    <definedName name="Otherinc" localSheetId="18">#REF!</definedName>
    <definedName name="Otherinc">#REF!</definedName>
    <definedName name="OtherIncome" localSheetId="19">'[10]Balance-Post'!#REF!</definedName>
    <definedName name="OtherIncome" localSheetId="18">'[10]Balance-Post'!#REF!</definedName>
    <definedName name="OtherIncome">'[10]Balance-Post'!#REF!</definedName>
    <definedName name="Otherop" localSheetId="19">#REF!</definedName>
    <definedName name="Otherop" localSheetId="18">#REF!</definedName>
    <definedName name="Otherop">#REF!</definedName>
    <definedName name="Otheropcf" localSheetId="19">#REF!</definedName>
    <definedName name="Otheropcf" localSheetId="18">#REF!</definedName>
    <definedName name="Otheropcf">#REF!</definedName>
    <definedName name="OtherOperatingExpenses" localSheetId="19">'[10]Balance-Post'!#REF!</definedName>
    <definedName name="OtherOperatingExpenses" localSheetId="18">'[10]Balance-Post'!#REF!</definedName>
    <definedName name="OtherOperatingExpenses">'[10]Balance-Post'!#REF!</definedName>
    <definedName name="out_traffic_voice" localSheetId="19">#REF!</definedName>
    <definedName name="out_traffic_voice" localSheetId="18">#REF!</definedName>
    <definedName name="out_traffic_voice">#REF!</definedName>
    <definedName name="output_03_01" localSheetId="19">#REF!</definedName>
    <definedName name="output_03_01" localSheetId="18">#REF!</definedName>
    <definedName name="output_03_01">#REF!</definedName>
    <definedName name="OUTPUT_03_02" localSheetId="19">#REF!</definedName>
    <definedName name="OUTPUT_03_02" localSheetId="18">#REF!</definedName>
    <definedName name="OUTPUT_03_02">#REF!</definedName>
    <definedName name="OUTPUT_03_03" localSheetId="19">#REF!</definedName>
    <definedName name="OUTPUT_03_03" localSheetId="18">#REF!</definedName>
    <definedName name="OUTPUT_03_03">#REF!</definedName>
    <definedName name="OUTPUT_03_04" localSheetId="19">[28]OUTPUT_03!#REF!</definedName>
    <definedName name="OUTPUT_03_04" localSheetId="18">[28]OUTPUT_03!#REF!</definedName>
    <definedName name="OUTPUT_03_04">[28]OUTPUT_03!#REF!</definedName>
    <definedName name="output_03_actif" localSheetId="19">#REF!</definedName>
    <definedName name="output_03_actif" localSheetId="18">#REF!</definedName>
    <definedName name="output_03_actif">#REF!</definedName>
    <definedName name="output_03_passif" localSheetId="19">#REF!</definedName>
    <definedName name="output_03_passif" localSheetId="18">#REF!</definedName>
    <definedName name="output_03_passif">#REF!</definedName>
    <definedName name="output_03_rt1" localSheetId="19">#REF!</definedName>
    <definedName name="output_03_rt1" localSheetId="18">#REF!</definedName>
    <definedName name="output_03_rt1">#REF!</definedName>
    <definedName name="output_03_rt2" localSheetId="19">#REF!</definedName>
    <definedName name="output_03_rt2" localSheetId="18">#REF!</definedName>
    <definedName name="output_03_rt2">#REF!</definedName>
    <definedName name="over" localSheetId="19">#REF!</definedName>
    <definedName name="over" localSheetId="18">#REF!</definedName>
    <definedName name="over">#REF!</definedName>
    <definedName name="overview_columns_1" localSheetId="19">#REF!</definedName>
    <definedName name="overview_columns_1" localSheetId="18">#REF!</definedName>
    <definedName name="overview_columns_1">#REF!</definedName>
    <definedName name="overview_columns_2" localSheetId="19">#REF!</definedName>
    <definedName name="overview_columns_2" localSheetId="18">#REF!</definedName>
    <definedName name="overview_columns_2">#REF!</definedName>
    <definedName name="overview_columns_3" localSheetId="19">#REF!</definedName>
    <definedName name="overview_columns_3" localSheetId="18">#REF!</definedName>
    <definedName name="overview_columns_3">#REF!</definedName>
    <definedName name="overview_rows_1" localSheetId="19">#REF!</definedName>
    <definedName name="overview_rows_1" localSheetId="18">#REF!</definedName>
    <definedName name="overview_rows_1">#REF!</definedName>
    <definedName name="overview_rows_2" localSheetId="19">#REF!</definedName>
    <definedName name="overview_rows_2" localSheetId="18">#REF!</definedName>
    <definedName name="overview_rows_2">#REF!</definedName>
    <definedName name="overview_rows_3" localSheetId="19">#REF!</definedName>
    <definedName name="overview_rows_3" localSheetId="18">#REF!</definedName>
    <definedName name="overview_rows_3">#REF!</definedName>
    <definedName name="OWN_JunMezz">[55]INPUT!$F$146</definedName>
    <definedName name="OWN_SenMezz">[55]INPUT!$F$147</definedName>
    <definedName name="ownwork" localSheetId="19">#REF!</definedName>
    <definedName name="ownwork" localSheetId="18">#REF!</definedName>
    <definedName name="ownwork">#REF!</definedName>
    <definedName name="p" localSheetId="19">#REF!</definedName>
    <definedName name="p" localSheetId="18">#REF!</definedName>
    <definedName name="p">#REF!</definedName>
    <definedName name="p_BaseCaseBS">'[55]Market Values'!$B$39:$AA$57</definedName>
    <definedName name="p_BaseCaseIS_CF">'[55]Market Values'!$B$4:$AA$36</definedName>
    <definedName name="p_ConsoBS_Ratios">[55]Ratios!$B$75:$AB$145</definedName>
    <definedName name="p_ConsoFinancials">[55]Ratios!$B$4:$AB$72</definedName>
    <definedName name="p_ConsoIS_CF">[55]Ratios!$B$4:$AB$72</definedName>
    <definedName name="p_ConsoKeyRatios">[55]Ratios!$B$123:$AB$145</definedName>
    <definedName name="p_DCF">[56]DCF_10!$A$1:$Q$57</definedName>
    <definedName name="p_DebtSchedule1">[55]Beta!$B$231:$AB$303</definedName>
    <definedName name="p_DebtSchedule2">[55]Beta!$B$306:$AB$392</definedName>
    <definedName name="p_Input">'[55]Share price analysis'!$B$3:$O$150</definedName>
    <definedName name="p_NewcoDebt1">[55]Beta!$B$111:$AB$194</definedName>
    <definedName name="p_NewcoDebt2">[55]Beta!$B$196:$AB$228</definedName>
    <definedName name="p_NewcoFinancials">'[55]Output Multiples (3)'!$B$88:$AB$164</definedName>
    <definedName name="p_NewcoTax">'[55]Output Multiples (3)'!$B$4:$AB$85</definedName>
    <definedName name="p_Output1">[55]REQUEST_TABLE!$B$2:$V$55</definedName>
    <definedName name="p_Output2">'[55]OUTPUT (2)'!$B$2:$S$54</definedName>
    <definedName name="p_Output3">'[55]Datastream clean'!$B$2:$T$48</definedName>
    <definedName name="p_ReturnAnalysis">'[55]Forecast &amp; Analysis '!$B$4:$AB$87</definedName>
    <definedName name="p_SensitivityAnalysis">'[55]Forecast &amp; Analysis '!$B$89:$AB$145</definedName>
    <definedName name="p_Target_Debt">[55]Beta!$B$4:$AB$108</definedName>
    <definedName name="p_TargetFinancials">'[55]Output Multiples'!$B$66:$AA$161</definedName>
    <definedName name="p_TargetKeyRatios">'[55]Output Multiples'!$B$163:$AA$185</definedName>
    <definedName name="p_TargetOperatingSc">'[55]Output Multiples'!$B$4:$AA$63</definedName>
    <definedName name="p1_" localSheetId="19">#REF!</definedName>
    <definedName name="p1_" localSheetId="18">#REF!</definedName>
    <definedName name="p1_">#REF!</definedName>
    <definedName name="p2_" localSheetId="19">#REF!</definedName>
    <definedName name="p2_" localSheetId="18">#REF!</definedName>
    <definedName name="p2_">#REF!</definedName>
    <definedName name="Page_1" localSheetId="19">#REF!</definedName>
    <definedName name="Page_1" localSheetId="18">#REF!</definedName>
    <definedName name="Page_1">#REF!</definedName>
    <definedName name="Page_2" localSheetId="19">#REF!</definedName>
    <definedName name="Page_2" localSheetId="18">#REF!</definedName>
    <definedName name="Page_2">#REF!</definedName>
    <definedName name="Page_3" localSheetId="19">#REF!</definedName>
    <definedName name="Page_3" localSheetId="18">#REF!</definedName>
    <definedName name="Page_3">#REF!</definedName>
    <definedName name="Page_4" localSheetId="19">#REF!</definedName>
    <definedName name="Page_4" localSheetId="18">#REF!</definedName>
    <definedName name="Page_4">#REF!</definedName>
    <definedName name="page1" localSheetId="19">#REF!</definedName>
    <definedName name="page1" localSheetId="18">#REF!</definedName>
    <definedName name="page1">#REF!</definedName>
    <definedName name="PAGE1A" localSheetId="19">#REF!</definedName>
    <definedName name="PAGE1A" localSheetId="18">#REF!</definedName>
    <definedName name="PAGE1A">#REF!</definedName>
    <definedName name="page2" localSheetId="19">#REF!</definedName>
    <definedName name="page2" localSheetId="18">#REF!</definedName>
    <definedName name="page2">#REF!</definedName>
    <definedName name="page3" localSheetId="19">#REF!</definedName>
    <definedName name="page3" localSheetId="18">#REF!</definedName>
    <definedName name="page3">#REF!</definedName>
    <definedName name="page5" localSheetId="19">#REF!</definedName>
    <definedName name="page5" localSheetId="18">#REF!</definedName>
    <definedName name="page5">#REF!</definedName>
    <definedName name="page7" localSheetId="19">#REF!</definedName>
    <definedName name="page7" localSheetId="18">#REF!</definedName>
    <definedName name="page7">#REF!</definedName>
    <definedName name="page8" localSheetId="19">#REF!</definedName>
    <definedName name="page8" localSheetId="18">#REF!</definedName>
    <definedName name="page8">#REF!</definedName>
    <definedName name="pan" localSheetId="19">#REF!</definedName>
    <definedName name="pan" localSheetId="18">#REF!</definedName>
    <definedName name="pan">#REF!</definedName>
    <definedName name="PANDL_P">'[10]Net debt'!$A$1:$V$44</definedName>
    <definedName name="PAT" localSheetId="19">'[10]Balance-Post'!#REF!</definedName>
    <definedName name="PAT">'[10]Balance-Post'!#REF!</definedName>
    <definedName name="payables_capital" localSheetId="19">'[10]P&amp;L-Pre'!#REF!</definedName>
    <definedName name="payables_capital">'[10]P&amp;L-Pre'!#REF!</definedName>
    <definedName name="payables_op" localSheetId="19">'[10]Cashflow-Pre'!#REF!</definedName>
    <definedName name="payables_op">'[10]Cashflow-Pre'!#REF!</definedName>
    <definedName name="payante" localSheetId="19">#REF!</definedName>
    <definedName name="payante" localSheetId="18">#REF!</definedName>
    <definedName name="payante">#REF!</definedName>
    <definedName name="PBT" localSheetId="19">#REF!</definedName>
    <definedName name="PBT" localSheetId="18">#REF!</definedName>
    <definedName name="PBT">#REF!</definedName>
    <definedName name="penbasicanalogev" localSheetId="19">#REF!</definedName>
    <definedName name="penbasicanalogev" localSheetId="18">#REF!</definedName>
    <definedName name="penbasicanalogev">#REF!</definedName>
    <definedName name="penbasicanalogev2" localSheetId="19">#REF!</definedName>
    <definedName name="penbasicanalogev2" localSheetId="18">#REF!</definedName>
    <definedName name="penbasicanalogev2">#REF!</definedName>
    <definedName name="penbasicanalogevconso" localSheetId="19">#REF!</definedName>
    <definedName name="penbasicanalogevconso" localSheetId="18">#REF!</definedName>
    <definedName name="penbasicanalogevconso">#REF!</definedName>
    <definedName name="PeneAddServ" localSheetId="19">[45]PLAN!#REF!</definedName>
    <definedName name="PeneAddServ" localSheetId="18">[45]PLAN!#REF!</definedName>
    <definedName name="PeneAddServ">[45]PLAN!#REF!</definedName>
    <definedName name="PeneBasic" localSheetId="19">#REF!</definedName>
    <definedName name="PeneBasic" localSheetId="18">#REF!</definedName>
    <definedName name="PeneBasic">#REF!</definedName>
    <definedName name="PeneBasicAnalog" localSheetId="19">'[32]Statistics France'!#REF!</definedName>
    <definedName name="PeneBasicAnalog" localSheetId="18">'[32]Statistics France'!#REF!</definedName>
    <definedName name="PeneBasicAnalog">'[32]Statistics France'!#REF!</definedName>
    <definedName name="penebasicanalog2">'[33]STAT BRU'!$A$32:$IV$32</definedName>
    <definedName name="penebasicanalogcodi" localSheetId="19">#REF!</definedName>
    <definedName name="penebasicanalogcodi" localSheetId="18">#REF!</definedName>
    <definedName name="penebasicanalogcodi">#REF!</definedName>
    <definedName name="penebasicanalogconso">'[34]STAT BRU'!$A$32:$IV$32</definedName>
    <definedName name="PeneBasicDigital" localSheetId="19">'[32]Statistics France'!#REF!</definedName>
    <definedName name="PeneBasicDigital">'[32]Statistics France'!#REF!</definedName>
    <definedName name="penebasicdigital2">'[33]STAT BRU'!$A$34:$IV$34</definedName>
    <definedName name="penebasicdigitalcodi" localSheetId="19">#REF!</definedName>
    <definedName name="penebasicdigitalcodi" localSheetId="18">#REF!</definedName>
    <definedName name="penebasicdigitalcodi">#REF!</definedName>
    <definedName name="penebasicdigitalconso">'[34]STAT BRU'!$A$34:$IV$34</definedName>
    <definedName name="penebasicdigitalev" localSheetId="19">#REF!</definedName>
    <definedName name="penebasicdigitalev" localSheetId="18">#REF!</definedName>
    <definedName name="penebasicdigitalev">#REF!</definedName>
    <definedName name="penebasicdigitalevconso" localSheetId="19">#REF!</definedName>
    <definedName name="penebasicdigitalevconso" localSheetId="18">#REF!</definedName>
    <definedName name="penebasicdigitalevconso">#REF!</definedName>
    <definedName name="PENECINE" localSheetId="19">#REF!</definedName>
    <definedName name="PENECINE" localSheetId="18">#REF!</definedName>
    <definedName name="PENECINE">#REF!</definedName>
    <definedName name="PENECINF" localSheetId="19">#REF!</definedName>
    <definedName name="PENECINF" localSheetId="18">#REF!</definedName>
    <definedName name="PENECINF">#REF!</definedName>
    <definedName name="PENECINFMO" localSheetId="19">#REF!</definedName>
    <definedName name="PENECINFMO" localSheetId="18">#REF!</definedName>
    <definedName name="PENECINFMO">#REF!</definedName>
    <definedName name="PENECMO" localSheetId="19">#REF!</definedName>
    <definedName name="PENECMO" localSheetId="18">#REF!</definedName>
    <definedName name="PENECMO">#REF!</definedName>
    <definedName name="PENECMU" localSheetId="19">#REF!</definedName>
    <definedName name="PENECMU" localSheetId="18">#REF!</definedName>
    <definedName name="PENECMU">#REF!</definedName>
    <definedName name="PENECMUINF" localSheetId="19">#REF!</definedName>
    <definedName name="PENECMUINF" localSheetId="18">#REF!</definedName>
    <definedName name="PENECMUINF">#REF!</definedName>
    <definedName name="PENECMUINFMO" localSheetId="19">#REF!</definedName>
    <definedName name="PENECMUINFMO" localSheetId="18">#REF!</definedName>
    <definedName name="PENECMUINFMO">#REF!</definedName>
    <definedName name="PENECMUMO" localSheetId="19">#REF!</definedName>
    <definedName name="PENECMUMO" localSheetId="18">#REF!</definedName>
    <definedName name="PENECMUMO">#REF!</definedName>
    <definedName name="PENEINFMO" localSheetId="19">#REF!</definedName>
    <definedName name="PENEINFMO" localSheetId="18">#REF!</definedName>
    <definedName name="PENEINFMO">#REF!</definedName>
    <definedName name="PENEINFOS" localSheetId="19">#REF!</definedName>
    <definedName name="PENEINFOS" localSheetId="18">#REF!</definedName>
    <definedName name="PENEINFOS">#REF!</definedName>
    <definedName name="PENEMONDE" localSheetId="19">#REF!</definedName>
    <definedName name="PENEMONDE" localSheetId="18">#REF!</definedName>
    <definedName name="PENEMONDE">#REF!</definedName>
    <definedName name="PENEMUINF" localSheetId="19">#REF!</definedName>
    <definedName name="PENEMUINF" localSheetId="18">#REF!</definedName>
    <definedName name="PENEMUINF">#REF!</definedName>
    <definedName name="PENEMUINFMO" localSheetId="19">#REF!</definedName>
    <definedName name="PENEMUINFMO" localSheetId="18">#REF!</definedName>
    <definedName name="PENEMUINFMO">#REF!</definedName>
    <definedName name="PENEMUMO" localSheetId="19">#REF!</definedName>
    <definedName name="PENEMUMO" localSheetId="18">#REF!</definedName>
    <definedName name="PENEMUMO">#REF!</definedName>
    <definedName name="PENEMUSIC" localSheetId="19">#REF!</definedName>
    <definedName name="PENEMUSIC" localSheetId="18">#REF!</definedName>
    <definedName name="PENEMUSIC">#REF!</definedName>
    <definedName name="PenePPV" localSheetId="19">#REF!</definedName>
    <definedName name="PenePPV" localSheetId="18">#REF!</definedName>
    <definedName name="PenePPV">#REF!</definedName>
    <definedName name="PenePremium" localSheetId="19">'[32]Statistics France'!#REF!</definedName>
    <definedName name="PenePremium" localSheetId="18">'[32]Statistics France'!#REF!</definedName>
    <definedName name="PenePremium">'[32]Statistics France'!#REF!</definedName>
    <definedName name="penepremium2">'[33]STAT BRU'!$A$37:$IV$37</definedName>
    <definedName name="penepremiumcodi" localSheetId="19">#REF!</definedName>
    <definedName name="penepremiumcodi" localSheetId="18">#REF!</definedName>
    <definedName name="penepremiumcodi">#REF!</definedName>
    <definedName name="penepremiumconso">'[34]STAT BRU'!$A$37:$IV$37</definedName>
    <definedName name="penepremiumev" localSheetId="19">#REF!</definedName>
    <definedName name="penepremiumev" localSheetId="18">#REF!</definedName>
    <definedName name="penepremiumev">#REF!</definedName>
    <definedName name="penepremiumev2" localSheetId="19">#REF!</definedName>
    <definedName name="penepremiumev2" localSheetId="18">#REF!</definedName>
    <definedName name="penepremiumev2">#REF!</definedName>
    <definedName name="penepremiumevconso" localSheetId="19">#REF!</definedName>
    <definedName name="penepremiumevconso" localSheetId="18">#REF!</definedName>
    <definedName name="penepremiumevconso">#REF!</definedName>
    <definedName name="PeneResCableTel" localSheetId="19">'[32]Statistics France'!#REF!</definedName>
    <definedName name="PeneResCableTel" localSheetId="18">'[32]Statistics France'!#REF!</definedName>
    <definedName name="PeneResCableTel">'[32]Statistics France'!#REF!</definedName>
    <definedName name="penerescabletel2">'[33]STAT BRU'!$A$107:$IV$107</definedName>
    <definedName name="penerescabletelcodi" localSheetId="19">#REF!</definedName>
    <definedName name="penerescabletelcodi" localSheetId="18">#REF!</definedName>
    <definedName name="penerescabletelcodi">#REF!</definedName>
    <definedName name="penerescabletelconso">'[34]STAT BRU'!$A$107:$IV$107</definedName>
    <definedName name="penerescabletelev" localSheetId="19">#REF!</definedName>
    <definedName name="penerescabletelev" localSheetId="18">#REF!</definedName>
    <definedName name="penerescabletelev">#REF!</definedName>
    <definedName name="penerescabletelevconso" localSheetId="19">#REF!</definedName>
    <definedName name="penerescabletelevconso" localSheetId="18">#REF!</definedName>
    <definedName name="penerescabletelevconso">#REF!</definedName>
    <definedName name="PeneResData" localSheetId="19">'[32]Statistics France'!#REF!</definedName>
    <definedName name="PeneResData" localSheetId="18">'[32]Statistics France'!#REF!</definedName>
    <definedName name="PeneResData">'[32]Statistics France'!#REF!</definedName>
    <definedName name="peneresdata2">'[33]STAT BRU'!$A$147:$IV$147</definedName>
    <definedName name="peneresdatacodi" localSheetId="19">#REF!</definedName>
    <definedName name="peneresdatacodi" localSheetId="18">#REF!</definedName>
    <definedName name="peneresdatacodi">#REF!</definedName>
    <definedName name="peneresdataconso">'[34]STAT BRU'!$A$147:$IV$147</definedName>
    <definedName name="peneresdataeve" localSheetId="19">#REF!</definedName>
    <definedName name="peneresdataeve" localSheetId="18">#REF!</definedName>
    <definedName name="peneresdataeve">#REF!</definedName>
    <definedName name="peneresdataeve2" localSheetId="19">#REF!</definedName>
    <definedName name="peneresdataeve2" localSheetId="18">#REF!</definedName>
    <definedName name="peneresdataeve2">#REF!</definedName>
    <definedName name="peneresdataeveconso" localSheetId="19">#REF!</definedName>
    <definedName name="peneresdataeveconso" localSheetId="18">#REF!</definedName>
    <definedName name="peneresdataeveconso">#REF!</definedName>
    <definedName name="PeneResIPTel" localSheetId="19">'[32]Statistics France'!#REF!</definedName>
    <definedName name="PeneResIPTel" localSheetId="18">'[32]Statistics France'!#REF!</definedName>
    <definedName name="PeneResIPTel">'[32]Statistics France'!#REF!</definedName>
    <definedName name="peneresiptel2">'[33]STAT BRU'!$A$108:$IV$108</definedName>
    <definedName name="peneresiptelcodi" localSheetId="19">#REF!</definedName>
    <definedName name="peneresiptelcodi" localSheetId="18">#REF!</definedName>
    <definedName name="peneresiptelcodi">#REF!</definedName>
    <definedName name="peneresiptelconso">'[34]STAT BRU'!$A$108:$IV$108</definedName>
    <definedName name="peneresiptelev" localSheetId="19">#REF!</definedName>
    <definedName name="peneresiptelev" localSheetId="18">#REF!</definedName>
    <definedName name="peneresiptelev">#REF!</definedName>
    <definedName name="peneresiptelev2" localSheetId="19">#REF!</definedName>
    <definedName name="peneresiptelev2" localSheetId="18">#REF!</definedName>
    <definedName name="peneresiptelev2">#REF!</definedName>
    <definedName name="peneresiptelevconso" localSheetId="19">#REF!</definedName>
    <definedName name="peneresiptelevconso" localSheetId="18">#REF!</definedName>
    <definedName name="peneresiptelevconso">#REF!</definedName>
    <definedName name="penpremiumev2" localSheetId="19">#REF!</definedName>
    <definedName name="penpremiumev2" localSheetId="18">#REF!</definedName>
    <definedName name="penpremiumev2">#REF!</definedName>
    <definedName name="penrescabletelev2" localSheetId="19">#REF!</definedName>
    <definedName name="penrescabletelev2" localSheetId="18">#REF!</definedName>
    <definedName name="penrescabletelev2">#REF!</definedName>
    <definedName name="penresdataeve2" localSheetId="19">#REF!</definedName>
    <definedName name="penresdataeve2" localSheetId="18">#REF!</definedName>
    <definedName name="penresdataeve2">#REF!</definedName>
    <definedName name="PER" localSheetId="19">#REF!</definedName>
    <definedName name="PER" localSheetId="18">#REF!</definedName>
    <definedName name="PER">#REF!</definedName>
    <definedName name="percentage_additional_costs" localSheetId="19">'[10]Cashflow-Pre'!#REF!</definedName>
    <definedName name="percentage_additional_costs" localSheetId="18">'[10]Cashflow-Pre'!#REF!</definedName>
    <definedName name="percentage_additional_costs">'[10]Cashflow-Pre'!#REF!</definedName>
    <definedName name="percentage_ic_payment" localSheetId="19">'[10]Cashflow-Pre'!#REF!</definedName>
    <definedName name="percentage_ic_payment" localSheetId="18">'[10]Cashflow-Pre'!#REF!</definedName>
    <definedName name="percentage_ic_payment">'[10]Cashflow-Pre'!#REF!</definedName>
    <definedName name="percilinesservedconso">'[34]STAT BRU'!$F$124</definedName>
    <definedName name="PercLinesserved" localSheetId="19">'[32]Statistics France'!#REF!</definedName>
    <definedName name="PercLinesserved">'[32]Statistics France'!#REF!</definedName>
    <definedName name="perclinesserved2">'[33]STAT BRU'!$F$124</definedName>
    <definedName name="perclinesservedcodi" localSheetId="19">#REF!</definedName>
    <definedName name="perclinesservedcodi" localSheetId="18">#REF!</definedName>
    <definedName name="perclinesservedcodi">#REF!</definedName>
    <definedName name="perclinsservedev" localSheetId="19">#REF!</definedName>
    <definedName name="perclinsservedev" localSheetId="18">#REF!</definedName>
    <definedName name="perclinsservedev">#REF!</definedName>
    <definedName name="perclinsservedevconso" localSheetId="19">#REF!</definedName>
    <definedName name="perclinsservedevconso" localSheetId="18">#REF!</definedName>
    <definedName name="perclinsservedevconso">#REF!</definedName>
    <definedName name="PerEndDateSerial" localSheetId="19">#REF!</definedName>
    <definedName name="PerEndDateSerial" localSheetId="18">#REF!</definedName>
    <definedName name="PerEndDateSerial">#REF!</definedName>
    <definedName name="period">12</definedName>
    <definedName name="PERIODE" localSheetId="19">'[73]CA NCN 04-09 2005'!#REF!</definedName>
    <definedName name="PERIODE" localSheetId="18">'[73]CA NCN 04-09 2005'!#REF!</definedName>
    <definedName name="PERIODE">'[73]CA NCN 04-09 2005'!#REF!</definedName>
    <definedName name="Période_1" localSheetId="19">#REF!</definedName>
    <definedName name="Période_1" localSheetId="18">#REF!</definedName>
    <definedName name="Période_1">#REF!</definedName>
    <definedName name="Période_10" localSheetId="19">#REF!</definedName>
    <definedName name="Période_10" localSheetId="18">#REF!</definedName>
    <definedName name="Période_10">#REF!</definedName>
    <definedName name="Période_10b" localSheetId="19">#REF!</definedName>
    <definedName name="Période_10b" localSheetId="18">#REF!</definedName>
    <definedName name="Période_10b">#REF!</definedName>
    <definedName name="Période_11" localSheetId="19">#REF!</definedName>
    <definedName name="Période_11" localSheetId="18">#REF!</definedName>
    <definedName name="Période_11">#REF!</definedName>
    <definedName name="Période_11b" localSheetId="19">#REF!</definedName>
    <definedName name="Période_11b" localSheetId="18">#REF!</definedName>
    <definedName name="Période_11b">#REF!</definedName>
    <definedName name="Période_12" localSheetId="19">#REF!</definedName>
    <definedName name="Période_12" localSheetId="18">#REF!</definedName>
    <definedName name="Période_12">#REF!</definedName>
    <definedName name="Période_12b" localSheetId="19">#REF!</definedName>
    <definedName name="Période_12b" localSheetId="18">#REF!</definedName>
    <definedName name="Période_12b">#REF!</definedName>
    <definedName name="Période_1b" localSheetId="19">#REF!</definedName>
    <definedName name="Période_1b" localSheetId="18">#REF!</definedName>
    <definedName name="Période_1b">#REF!</definedName>
    <definedName name="Période_2" localSheetId="19">#REF!</definedName>
    <definedName name="Période_2" localSheetId="18">#REF!</definedName>
    <definedName name="Période_2">#REF!</definedName>
    <definedName name="Période_2b" localSheetId="19">#REF!</definedName>
    <definedName name="Période_2b" localSheetId="18">#REF!</definedName>
    <definedName name="Période_2b">#REF!</definedName>
    <definedName name="Période_3" localSheetId="19">#REF!</definedName>
    <definedName name="Période_3" localSheetId="18">#REF!</definedName>
    <definedName name="Période_3">#REF!</definedName>
    <definedName name="Période_3b" localSheetId="19">#REF!</definedName>
    <definedName name="Période_3b" localSheetId="18">#REF!</definedName>
    <definedName name="Période_3b">#REF!</definedName>
    <definedName name="Période_4" localSheetId="19">#REF!</definedName>
    <definedName name="Période_4" localSheetId="18">#REF!</definedName>
    <definedName name="Période_4">#REF!</definedName>
    <definedName name="Période_4b" localSheetId="19">#REF!</definedName>
    <definedName name="Période_4b" localSheetId="18">#REF!</definedName>
    <definedName name="Période_4b">#REF!</definedName>
    <definedName name="Période_5" localSheetId="19">#REF!</definedName>
    <definedName name="Période_5" localSheetId="18">#REF!</definedName>
    <definedName name="Période_5">#REF!</definedName>
    <definedName name="Période_5b" localSheetId="19">#REF!</definedName>
    <definedName name="Période_5b" localSheetId="18">#REF!</definedName>
    <definedName name="Période_5b">#REF!</definedName>
    <definedName name="Période_6" localSheetId="19">#REF!</definedName>
    <definedName name="Période_6" localSheetId="18">#REF!</definedName>
    <definedName name="Période_6">#REF!</definedName>
    <definedName name="Période_6b" localSheetId="19">#REF!</definedName>
    <definedName name="Période_6b" localSheetId="18">#REF!</definedName>
    <definedName name="Période_6b">#REF!</definedName>
    <definedName name="Période_7" localSheetId="19">#REF!</definedName>
    <definedName name="Période_7" localSheetId="18">#REF!</definedName>
    <definedName name="Période_7">#REF!</definedName>
    <definedName name="Période_7b" localSheetId="19">#REF!</definedName>
    <definedName name="Période_7b" localSheetId="18">#REF!</definedName>
    <definedName name="Période_7b">#REF!</definedName>
    <definedName name="Période_8" localSheetId="19">#REF!</definedName>
    <definedName name="Période_8" localSheetId="18">#REF!</definedName>
    <definedName name="Période_8">#REF!</definedName>
    <definedName name="Période_8b" localSheetId="19">#REF!</definedName>
    <definedName name="Période_8b" localSheetId="18">#REF!</definedName>
    <definedName name="Période_8b">#REF!</definedName>
    <definedName name="Période_9" localSheetId="19">#REF!</definedName>
    <definedName name="Période_9" localSheetId="18">#REF!</definedName>
    <definedName name="Période_9">#REF!</definedName>
    <definedName name="Période_9b" localSheetId="19">#REF!</definedName>
    <definedName name="Période_9b" localSheetId="18">#REF!</definedName>
    <definedName name="Période_9b">#REF!</definedName>
    <definedName name="periods" localSheetId="19">#REF!</definedName>
    <definedName name="periods" localSheetId="18">#REF!</definedName>
    <definedName name="periods">#REF!</definedName>
    <definedName name="perp_unlev" localSheetId="19">#REF!</definedName>
    <definedName name="perp_unlev" localSheetId="18">#REF!</definedName>
    <definedName name="perp_unlev">#REF!</definedName>
    <definedName name="perp_unlev_sen" localSheetId="19">#REF!</definedName>
    <definedName name="perp_unlev_sen" localSheetId="18">#REF!</definedName>
    <definedName name="perp_unlev_sen">#REF!</definedName>
    <definedName name="perp_unlev1" localSheetId="19">#REF!</definedName>
    <definedName name="perp_unlev1" localSheetId="18">#REF!</definedName>
    <definedName name="perp_unlev1">#REF!</definedName>
    <definedName name="perp_unlev2" localSheetId="19">#REF!</definedName>
    <definedName name="perp_unlev2" localSheetId="18">#REF!</definedName>
    <definedName name="perp_unlev2">#REF!</definedName>
    <definedName name="perp_unlev3" localSheetId="19">#REF!</definedName>
    <definedName name="perp_unlev3" localSheetId="18">#REF!</definedName>
    <definedName name="perp_unlev3">#REF!</definedName>
    <definedName name="perp_unlev4" localSheetId="19">#REF!</definedName>
    <definedName name="perp_unlev4" localSheetId="18">#REF!</definedName>
    <definedName name="perp_unlev4">#REF!</definedName>
    <definedName name="perp_unlev5" localSheetId="19">#REF!</definedName>
    <definedName name="perp_unlev5" localSheetId="18">#REF!</definedName>
    <definedName name="perp_unlev5">#REF!</definedName>
    <definedName name="Peru" localSheetId="19">#REF!</definedName>
    <definedName name="Peru" localSheetId="18">#REF!</definedName>
    <definedName name="Peru">#REF!</definedName>
    <definedName name="PHASE" localSheetId="19">#REF!</definedName>
    <definedName name="PHASE" localSheetId="18">#REF!</definedName>
    <definedName name="PHASE">#REF!</definedName>
    <definedName name="PIKTERM" localSheetId="19">[59]Model!#REF!</definedName>
    <definedName name="PIKTERM" localSheetId="18">[59]Model!#REF!</definedName>
    <definedName name="PIKTERM">[59]Model!#REF!</definedName>
    <definedName name="PIKTERM1" localSheetId="19">[59]Model!#REF!</definedName>
    <definedName name="PIKTERM1" localSheetId="18">[59]Model!#REF!</definedName>
    <definedName name="PIKTERM1">[59]Model!#REF!</definedName>
    <definedName name="PMCINE" localSheetId="19">#REF!</definedName>
    <definedName name="PMCINE" localSheetId="18">#REF!</definedName>
    <definedName name="PMCINE">#REF!</definedName>
    <definedName name="PMCINF" localSheetId="19">#REF!</definedName>
    <definedName name="PMCINF" localSheetId="18">#REF!</definedName>
    <definedName name="PMCINF">#REF!</definedName>
    <definedName name="PMCINFMO" localSheetId="19">#REF!</definedName>
    <definedName name="PMCINFMO" localSheetId="18">#REF!</definedName>
    <definedName name="PMCINFMO">#REF!</definedName>
    <definedName name="PMCMO" localSheetId="19">#REF!</definedName>
    <definedName name="PMCMO" localSheetId="18">#REF!</definedName>
    <definedName name="PMCMO">#REF!</definedName>
    <definedName name="PMCMU" localSheetId="19">#REF!</definedName>
    <definedName name="PMCMU" localSheetId="18">#REF!</definedName>
    <definedName name="PMCMU">#REF!</definedName>
    <definedName name="PMCMUINF" localSheetId="19">#REF!</definedName>
    <definedName name="PMCMUINF" localSheetId="18">#REF!</definedName>
    <definedName name="PMCMUINF">#REF!</definedName>
    <definedName name="PMCMUINFMO" localSheetId="19">#REF!</definedName>
    <definedName name="PMCMUINFMO" localSheetId="18">#REF!</definedName>
    <definedName name="PMCMUINFMO">#REF!</definedName>
    <definedName name="PMCMUMO" localSheetId="19">#REF!</definedName>
    <definedName name="PMCMUMO" localSheetId="18">#REF!</definedName>
    <definedName name="PMCMUMO">#REF!</definedName>
    <definedName name="PMINFMO" localSheetId="19">#REF!</definedName>
    <definedName name="PMINFMO" localSheetId="18">#REF!</definedName>
    <definedName name="PMINFMO">#REF!</definedName>
    <definedName name="PMINFOS" localSheetId="19">#REF!</definedName>
    <definedName name="PMINFOS" localSheetId="18">#REF!</definedName>
    <definedName name="PMINFOS">#REF!</definedName>
    <definedName name="PMMONDE" localSheetId="19">#REF!</definedName>
    <definedName name="PMMONDE" localSheetId="18">#REF!</definedName>
    <definedName name="PMMONDE">#REF!</definedName>
    <definedName name="PMMUINF" localSheetId="19">#REF!</definedName>
    <definedName name="PMMUINF" localSheetId="18">#REF!</definedName>
    <definedName name="PMMUINF">#REF!</definedName>
    <definedName name="PMMUINFMO" localSheetId="19">#REF!</definedName>
    <definedName name="PMMUINFMO" localSheetId="18">#REF!</definedName>
    <definedName name="PMMUINFMO">#REF!</definedName>
    <definedName name="PMMUMO" localSheetId="19">#REF!</definedName>
    <definedName name="PMMUMO" localSheetId="18">#REF!</definedName>
    <definedName name="PMMUMO">#REF!</definedName>
    <definedName name="PMMUSIC" localSheetId="19">#REF!</definedName>
    <definedName name="PMMUSIC" localSheetId="18">#REF!</definedName>
    <definedName name="PMMUSIC">#REF!</definedName>
    <definedName name="population.coverage" localSheetId="19">#REF!</definedName>
    <definedName name="population.coverage" localSheetId="18">#REF!</definedName>
    <definedName name="population.coverage">#REF!</definedName>
    <definedName name="Port">[31]Switches!$F$4</definedName>
    <definedName name="Portugal" localSheetId="19">#REF!</definedName>
    <definedName name="Portugal" localSheetId="18">#REF!</definedName>
    <definedName name="Portugal">#REF!</definedName>
    <definedName name="Postpaid_SAC_per_Sub" localSheetId="19">#REF!</definedName>
    <definedName name="Postpaid_SAC_per_Sub" localSheetId="18">#REF!</definedName>
    <definedName name="Postpaid_SAC_per_Sub">#REF!</definedName>
    <definedName name="prefrate" localSheetId="19">#REF!</definedName>
    <definedName name="prefrate" localSheetId="18">#REF!</definedName>
    <definedName name="prefrate">#REF!</definedName>
    <definedName name="PREFS" localSheetId="19">#REF!</definedName>
    <definedName name="PREFS" localSheetId="18">#REF!</definedName>
    <definedName name="PREFS">#REF!</definedName>
    <definedName name="premiermois" localSheetId="19">#REF!</definedName>
    <definedName name="premiermois" localSheetId="18">#REF!</definedName>
    <definedName name="premiermois">#REF!</definedName>
    <definedName name="Prepaid_SAC_per_Sub" localSheetId="19">#REF!</definedName>
    <definedName name="Prepaid_SAC_per_Sub" localSheetId="18">#REF!</definedName>
    <definedName name="Prepaid_SAC_per_Sub">#REF!</definedName>
    <definedName name="Pres" localSheetId="18" hidden="1">{#N/A,#N/A,TRUE,"Cover sheet";#N/A,#N/A,TRUE,"Summary";#N/A,#N/A,TRUE,"Key Assumptions";#N/A,#N/A,TRUE,"Profit &amp; Loss";#N/A,#N/A,TRUE,"Balance Sheet";#N/A,#N/A,TRUE,"Cashflow";#N/A,#N/A,TRUE,"IRR";#N/A,#N/A,TRUE,"Ratios";#N/A,#N/A,TRUE,"Debt analysis"}</definedName>
    <definedName name="Pres" hidden="1">{#N/A,#N/A,TRUE,"Cover sheet";#N/A,#N/A,TRUE,"Summary";#N/A,#N/A,TRUE,"Key Assumptions";#N/A,#N/A,TRUE,"Profit &amp; Loss";#N/A,#N/A,TRUE,"Balance Sheet";#N/A,#N/A,TRUE,"Cashflow";#N/A,#N/A,TRUE,"IRR";#N/A,#N/A,TRUE,"Ratios";#N/A,#N/A,TRUE,"Debt analysis"}</definedName>
    <definedName name="PresentationNormalA4" localSheetId="19">#REF!</definedName>
    <definedName name="PresentationNormalA4">#REF!</definedName>
    <definedName name="Price" localSheetId="19">#REF!</definedName>
    <definedName name="Price" localSheetId="18">#REF!</definedName>
    <definedName name="Price">#REF!</definedName>
    <definedName name="price4" localSheetId="19">[5]Sensetivities!#REF!</definedName>
    <definedName name="price4" localSheetId="18">[5]Sensetivities!#REF!</definedName>
    <definedName name="price4">[5]Sensetivities!#REF!</definedName>
    <definedName name="PRINT" localSheetId="19">[3]LBO!#REF!</definedName>
    <definedName name="PRINT">[3]LBO!#REF!</definedName>
    <definedName name="_xlnm.Print_Area" localSheetId="17">Definitions!$A$2:$D$48</definedName>
    <definedName name="_xlnm.Print_Area" localSheetId="1">'Model also  old'!$A$34:$AB$139</definedName>
    <definedName name="_xlnm.Print_Area" localSheetId="19">'Model Old'!$A$30:$AA$77</definedName>
    <definedName name="_xlnm.Print_Area" localSheetId="13">Valuation!$B$2:$N$90</definedName>
    <definedName name="PRINT_MENU" localSheetId="19">[3]LBO!#REF!</definedName>
    <definedName name="PRINT_MENU">[3]LBO!#REF!</definedName>
    <definedName name="_xlnm.Print_Titles" localSheetId="19">#REF!</definedName>
    <definedName name="_xlnm.Print_Titles" localSheetId="18">#REF!</definedName>
    <definedName name="_xlnm.Print_Titles">#REF!</definedName>
    <definedName name="print1">[56]Financing!$A$1:$L$35</definedName>
    <definedName name="print2">[56]Financing!$AF$248:$AV$300</definedName>
    <definedName name="print3">[56]Financing!$AF$303:$AV$363</definedName>
    <definedName name="print4">[56]Financing!$AF$366:$AV$409</definedName>
    <definedName name="print5">[56]Financing!$AF$81:$AV$141</definedName>
    <definedName name="print6">[56]Financing!$AF$142:$AV$186</definedName>
    <definedName name="print7">[56]Financing!$AF$410:$AV$613</definedName>
    <definedName name="print8">[56]Financing!$AF$614:$AV$630</definedName>
    <definedName name="PRINTALL" localSheetId="19">#REF!</definedName>
    <definedName name="PRINTALL" localSheetId="18">#REF!</definedName>
    <definedName name="PRINTALL">#REF!</definedName>
    <definedName name="PRINTASS" localSheetId="19">#REF!</definedName>
    <definedName name="PRINTASS" localSheetId="18">#REF!</definedName>
    <definedName name="PRINTASS">#REF!</definedName>
    <definedName name="PRINTBAL" localSheetId="19">#REF!</definedName>
    <definedName name="PRINTBAL" localSheetId="18">#REF!</definedName>
    <definedName name="PRINTBAL">#REF!</definedName>
    <definedName name="PRINTBBEXEC" localSheetId="19">#REF!</definedName>
    <definedName name="PRINTBBEXEC" localSheetId="18">#REF!</definedName>
    <definedName name="PRINTBBEXEC">#REF!</definedName>
    <definedName name="PRINTCASH" localSheetId="19">#REF!</definedName>
    <definedName name="PRINTCASH" localSheetId="18">#REF!</definedName>
    <definedName name="PRINTCASH">#REF!</definedName>
    <definedName name="printcontrol">[55]Regressions!$P$6:$X$24</definedName>
    <definedName name="PRINTDATA" localSheetId="19">#REF!</definedName>
    <definedName name="PRINTDATA" localSheetId="18">#REF!</definedName>
    <definedName name="PRINTDATA">#REF!</definedName>
    <definedName name="PrintManagerQuery" localSheetId="19">#REF!</definedName>
    <definedName name="PrintManagerQuery" localSheetId="18">#REF!</definedName>
    <definedName name="PrintManagerQuery">#REF!</definedName>
    <definedName name="PRINTMULT" localSheetId="19">#REF!</definedName>
    <definedName name="PRINTMULT" localSheetId="18">#REF!</definedName>
    <definedName name="PRINTMULT">#REF!</definedName>
    <definedName name="PRINTPANDL" localSheetId="19">#REF!</definedName>
    <definedName name="PRINTPANDL" localSheetId="18">#REF!</definedName>
    <definedName name="PRINTPANDL">#REF!</definedName>
    <definedName name="PRINTPVCALCS" localSheetId="19">#REF!</definedName>
    <definedName name="PRINTPVCALCS" localSheetId="18">#REF!</definedName>
    <definedName name="PRINTPVCALCS">#REF!</definedName>
    <definedName name="PrintSelectedSheetsMacroButton" localSheetId="19">#REF!</definedName>
    <definedName name="PrintSelectedSheetsMacroButton" localSheetId="18">#REF!</definedName>
    <definedName name="PrintSelectedSheetsMacroButton">#REF!</definedName>
    <definedName name="PRINTSENS" localSheetId="19">#REF!</definedName>
    <definedName name="PRINTSENS" localSheetId="18">#REF!</definedName>
    <definedName name="PRINTSENS">#REF!</definedName>
    <definedName name="PRINTSYN" localSheetId="19">#REF!</definedName>
    <definedName name="PRINTSYN" localSheetId="18">#REF!</definedName>
    <definedName name="PRINTSYN">#REF!</definedName>
    <definedName name="PRINTTITLE" localSheetId="19">#REF!</definedName>
    <definedName name="PRINTTITLE" localSheetId="18">#REF!</definedName>
    <definedName name="PRINTTITLE">#REF!</definedName>
    <definedName name="Private">[55]INPUT!$E$16</definedName>
    <definedName name="prive4" localSheetId="19">[5]Sensetivities!#REF!</definedName>
    <definedName name="prive4">[5]Sensetivities!#REF!</definedName>
    <definedName name="PRIX23122002" localSheetId="19">#REF!</definedName>
    <definedName name="PRIX23122002" localSheetId="18">#REF!</definedName>
    <definedName name="PRIX23122002">#REF!</definedName>
    <definedName name="PRIX25112003" localSheetId="19">#REF!</definedName>
    <definedName name="PRIX25112003" localSheetId="18">#REF!</definedName>
    <definedName name="PRIX25112003">#REF!</definedName>
    <definedName name="PRIXING" localSheetId="19">#REF!</definedName>
    <definedName name="PRIXING" localSheetId="18">#REF!</definedName>
    <definedName name="PRIXING">#REF!</definedName>
    <definedName name="proebitda" localSheetId="19">'[12]Fleet &amp; Costs'!#REF!</definedName>
    <definedName name="proebitda" localSheetId="18">'[12]Fleet &amp; Costs'!#REF!</definedName>
    <definedName name="proebitda">'[12]Fleet &amp; Costs'!#REF!</definedName>
    <definedName name="ProjectName" localSheetId="18">{"Client Name or Project Name"}</definedName>
    <definedName name="ProjectName">{"Client Name or Project Name"}</definedName>
    <definedName name="PROM1" localSheetId="19">#REF!</definedName>
    <definedName name="PROM1">#REF!</definedName>
    <definedName name="PROM2" localSheetId="19">#REF!</definedName>
    <definedName name="PROM2" localSheetId="18">#REF!</definedName>
    <definedName name="PROM2">#REF!</definedName>
    <definedName name="PROM3" localSheetId="19">#REF!</definedName>
    <definedName name="PROM3" localSheetId="18">#REF!</definedName>
    <definedName name="PROM3">#REF!</definedName>
    <definedName name="PROM4" localSheetId="19">#REF!</definedName>
    <definedName name="PROM4" localSheetId="18">#REF!</definedName>
    <definedName name="PROM4">#REF!</definedName>
    <definedName name="prorev" localSheetId="19">'[12]Fleet &amp; Costs'!#REF!</definedName>
    <definedName name="prorev" localSheetId="18">'[12]Fleet &amp; Costs'!#REF!</definedName>
    <definedName name="prorev">'[12]Fleet &amp; Costs'!#REF!</definedName>
    <definedName name="PROTECT" localSheetId="19">#REF!</definedName>
    <definedName name="PROTECT" localSheetId="18">#REF!</definedName>
    <definedName name="PROTECT">#REF!</definedName>
    <definedName name="PROTWORKS" localSheetId="19">#REF!</definedName>
    <definedName name="PROTWORKS" localSheetId="18">#REF!</definedName>
    <definedName name="PROTWORKS">#REF!</definedName>
    <definedName name="prova" localSheetId="18"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ova"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S_busishare" localSheetId="19">#REF!</definedName>
    <definedName name="PS_busishare">#REF!</definedName>
    <definedName name="PS_callrev" localSheetId="19">#REF!</definedName>
    <definedName name="PS_callrev" localSheetId="18">#REF!</definedName>
    <definedName name="PS_callrev">#REF!</definedName>
    <definedName name="PS_EV" localSheetId="19">#REF!</definedName>
    <definedName name="PS_EV" localSheetId="18">#REF!</definedName>
    <definedName name="PS_EV">#REF!</definedName>
    <definedName name="PS_penetr" localSheetId="19">#REF!</definedName>
    <definedName name="PS_penetr" localSheetId="18">#REF!</definedName>
    <definedName name="PS_penetr">#REF!</definedName>
    <definedName name="PTADR" localSheetId="19">'[7]Fixed ADRs'!#REF!</definedName>
    <definedName name="PTADR" localSheetId="18">'[7]Fixed ADRs'!#REF!</definedName>
    <definedName name="PTADR">'[7]Fixed ADRs'!#REF!</definedName>
    <definedName name="PTE_X">[13]EURO!$D$5</definedName>
    <definedName name="PTEa_X">[13]EURO!$D$7</definedName>
    <definedName name="PTEVEBITDA97">[7]Fixed!$K$110</definedName>
    <definedName name="PTEVEBITDA98">[7]Fixed!$K$111</definedName>
    <definedName name="PTMCdol" localSheetId="19">'[7]Fixed ADRs'!#REF!</definedName>
    <definedName name="PTMCdol">'[7]Fixed ADRs'!#REF!</definedName>
    <definedName name="ptmult">[18]Multmod!$C$105:$G$122</definedName>
    <definedName name="PTPE98">[7]Fixed!$H$111</definedName>
    <definedName name="PTPERel97">[7]Fixed!$I$110</definedName>
    <definedName name="PTPERel98">[7]Fixed!$I$111</definedName>
    <definedName name="PTprice">[7]Fixed!$A$110</definedName>
    <definedName name="PTrec">[7]Fixed!$A$112</definedName>
    <definedName name="ptsop1">[18]PT2!$AA$25:$AG$29</definedName>
    <definedName name="PTTP1">[18]PT1!$S$6</definedName>
    <definedName name="pttp2">[18]PT2!$AR$4</definedName>
    <definedName name="Purchase_of_tangible_fixed_assets" localSheetId="19">#REF!</definedName>
    <definedName name="Purchase_of_tangible_fixed_assets" localSheetId="18">#REF!</definedName>
    <definedName name="Purchase_of_tangible_fixed_assets">#REF!</definedName>
    <definedName name="purfai" localSheetId="19">#REF!</definedName>
    <definedName name="purfai" localSheetId="18">#REF!</definedName>
    <definedName name="purfai">#REF!</definedName>
    <definedName name="pursub" localSheetId="19">#REF!</definedName>
    <definedName name="pursub" localSheetId="18">#REF!</definedName>
    <definedName name="pursub">#REF!</definedName>
    <definedName name="purtfa" localSheetId="19">#REF!</definedName>
    <definedName name="purtfa" localSheetId="18">#REF!</definedName>
    <definedName name="purtfa">#REF!</definedName>
    <definedName name="PVBASIC" localSheetId="19">#REF!</definedName>
    <definedName name="PVBASIC" localSheetId="18">#REF!</definedName>
    <definedName name="PVBASIC">#REF!</definedName>
    <definedName name="PVCALCS_P">[10]Offer!$A$1:$Y$53</definedName>
    <definedName name="PVCINECANAL" localSheetId="19">#REF!</definedName>
    <definedName name="PVCINECANAL" localSheetId="18">#REF!</definedName>
    <definedName name="PVCINECANAL">#REF!</definedName>
    <definedName name="PVCINETPS" localSheetId="19">#REF!</definedName>
    <definedName name="PVCINETPS" localSheetId="18">#REF!</definedName>
    <definedName name="PVCINETPS">#REF!</definedName>
    <definedName name="PVINFOS" localSheetId="19">#REF!</definedName>
    <definedName name="PVINFOS" localSheetId="18">#REF!</definedName>
    <definedName name="PVINFOS">#REF!</definedName>
    <definedName name="PVINTERN" localSheetId="19">#REF!</definedName>
    <definedName name="PVINTERN" localSheetId="18">#REF!</definedName>
    <definedName name="PVINTERN">#REF!</definedName>
    <definedName name="PVJEUNESSE" localSheetId="19">#REF!</definedName>
    <definedName name="PVJEUNESSE" localSheetId="18">#REF!</definedName>
    <definedName name="PVJEUNESSE">#REF!</definedName>
    <definedName name="PVMUSIQUE" localSheetId="19">#REF!</definedName>
    <definedName name="PVMUSIQUE" localSheetId="18">#REF!</definedName>
    <definedName name="PVMUSIQUE">#REF!</definedName>
    <definedName name="PVNATURE" localSheetId="19">#REF!</definedName>
    <definedName name="PVNATURE" localSheetId="18">#REF!</definedName>
    <definedName name="PVNATURE">#REF!</definedName>
    <definedName name="PVSERVICES" localSheetId="19">#REF!</definedName>
    <definedName name="PVSERVICES" localSheetId="18">#REF!</definedName>
    <definedName name="PVSERVICES">#REF!</definedName>
    <definedName name="PVSPECTACLE" localSheetId="19">#REF!</definedName>
    <definedName name="PVSPECTACLE" localSheetId="18">#REF!</definedName>
    <definedName name="PVSPECTACLE">#REF!</definedName>
    <definedName name="PVSPORT" localSheetId="19">#REF!</definedName>
    <definedName name="PVSPORT" localSheetId="18">#REF!</definedName>
    <definedName name="PVSPORT">#REF!</definedName>
    <definedName name="q">[75]RevAss!$D$98</definedName>
    <definedName name="qgg" localSheetId="18" hidden="1">{#N/A,#N/A,FALSE,"Cover";"outputs total",#N/A,FALSE,"Outputs"}</definedName>
    <definedName name="qgg" hidden="1">{#N/A,#N/A,FALSE,"Cover";"outputs total",#N/A,FALSE,"Outputs"}</definedName>
    <definedName name="QPNCN">'[95]STATEMENTS NCN'!$AB$7</definedName>
    <definedName name="QPNCNDebt1">'[96]STATEMENTS NCN'!$AB$11</definedName>
    <definedName name="QPNumericable">'[95]STATEMENTS NUMERICABLE'!$AB$7</definedName>
    <definedName name="QPNumericableDebt1">'[96]STATEMENTS NUMERICABLE'!$AB$12</definedName>
    <definedName name="qsfd" localSheetId="18" hidden="1">{#N/A,#N/A,TRUE,"Cover sheet";#N/A,#N/A,TRUE,"INPUTS";#N/A,#N/A,TRUE,"OUTPUTS";#N/A,#N/A,TRUE,"VALUATION"}</definedName>
    <definedName name="qsfd" hidden="1">{#N/A,#N/A,TRUE,"Cover sheet";#N/A,#N/A,TRUE,"INPUTS";#N/A,#N/A,TRUE,"OUTPUTS";#N/A,#N/A,TRUE,"VALUATION"}</definedName>
    <definedName name="r_" localSheetId="19">#REF!</definedName>
    <definedName name="r_">#REF!</definedName>
    <definedName name="Rate" localSheetId="19">'[78]Sources &amp; Uses'!#REF!</definedName>
    <definedName name="Rate">'[78]Sources &amp; Uses'!#REF!</definedName>
    <definedName name="rateaccessppevev2" localSheetId="19">#REF!</definedName>
    <definedName name="rateaccessppevev2" localSheetId="18">#REF!</definedName>
    <definedName name="rateaccessppevev2">#REF!</definedName>
    <definedName name="RateAccessPPV" localSheetId="19">'[32]Statistics France'!#REF!</definedName>
    <definedName name="RateAccessPPV" localSheetId="18">'[32]Statistics France'!#REF!</definedName>
    <definedName name="RateAccessPPV">'[32]Statistics France'!#REF!</definedName>
    <definedName name="rateaccessppv2">'[33]STAT BRU'!$A$210:$IV$210</definedName>
    <definedName name="rateaccessppvconso">'[34]STAT BRU'!$A$210:$IV$210</definedName>
    <definedName name="rateaccessppvev" localSheetId="19">#REF!</definedName>
    <definedName name="rateaccessppvev" localSheetId="18">#REF!</definedName>
    <definedName name="rateaccessppvev">#REF!</definedName>
    <definedName name="rateaccessppvev2" localSheetId="19">#REF!</definedName>
    <definedName name="rateaccessppvev2" localSheetId="18">#REF!</definedName>
    <definedName name="rateaccessppvev2">#REF!</definedName>
    <definedName name="rateaccessppvevconso" localSheetId="19">#REF!</definedName>
    <definedName name="rateaccessppvevconso" localSheetId="18">#REF!</definedName>
    <definedName name="rateaccessppvevconso">#REF!</definedName>
    <definedName name="RateAccessPremium" localSheetId="19">'[32]Statistics France'!#REF!</definedName>
    <definedName name="RateAccessPremium" localSheetId="18">'[32]Statistics France'!#REF!</definedName>
    <definedName name="RateAccessPremium">'[32]Statistics France'!#REF!</definedName>
    <definedName name="rateaccesspremium2">'[33]STAT BRU'!$A$209:$IV$209</definedName>
    <definedName name="rateaccesspremiumcodi" localSheetId="19">#REF!</definedName>
    <definedName name="rateaccesspremiumcodi" localSheetId="18">#REF!</definedName>
    <definedName name="rateaccesspremiumcodi">#REF!</definedName>
    <definedName name="rateaccesspremiumconos">'[34]STAT BRU'!$A$209:$IV$209</definedName>
    <definedName name="rateaccesspremiumev" localSheetId="19">#REF!</definedName>
    <definedName name="rateaccesspremiumev" localSheetId="18">#REF!</definedName>
    <definedName name="rateaccesspremiumev">#REF!</definedName>
    <definedName name="rateaccesspremiumev2" localSheetId="19">#REF!</definedName>
    <definedName name="rateaccesspremiumev2" localSheetId="18">#REF!</definedName>
    <definedName name="rateaccesspremiumev2">#REF!</definedName>
    <definedName name="RateBasicAnal" localSheetId="19">'[32]Statistics France'!#REF!</definedName>
    <definedName name="RateBasicAnal" localSheetId="18">'[32]Statistics France'!#REF!</definedName>
    <definedName name="RateBasicAnal">'[32]Statistics France'!#REF!</definedName>
    <definedName name="ratebasicanal2">'[33]STAT BRU'!$A$192:$IV$192</definedName>
    <definedName name="ratebasicanalcodi" localSheetId="19">#REF!</definedName>
    <definedName name="ratebasicanalcodi" localSheetId="18">#REF!</definedName>
    <definedName name="ratebasicanalcodi">#REF!</definedName>
    <definedName name="ratebasicanalconso">'[34]STAT BRU'!$A$192:$IV$192</definedName>
    <definedName name="ratebasicanalev" localSheetId="19">#REF!</definedName>
    <definedName name="ratebasicanalev" localSheetId="18">#REF!</definedName>
    <definedName name="ratebasicanalev">#REF!</definedName>
    <definedName name="ratebasicanalev2" localSheetId="19">#REF!</definedName>
    <definedName name="ratebasicanalev2" localSheetId="18">#REF!</definedName>
    <definedName name="ratebasicanalev2">#REF!</definedName>
    <definedName name="RateBasicDig" localSheetId="19">'[32]Statistics France'!#REF!</definedName>
    <definedName name="RateBasicDig" localSheetId="18">'[32]Statistics France'!#REF!</definedName>
    <definedName name="RateBasicDig">'[32]Statistics France'!#REF!</definedName>
    <definedName name="RateConnectCompColl" localSheetId="19">[45]PLAN!#REF!</definedName>
    <definedName name="RateConnectCompColl" localSheetId="18">[45]PLAN!#REF!</definedName>
    <definedName name="RateConnectCompColl">[45]PLAN!#REF!</definedName>
    <definedName name="rateinstaldig2">'[33]STAT BRU'!$A$208:$IV$208</definedName>
    <definedName name="rateinstaldigcodi" localSheetId="19">#REF!</definedName>
    <definedName name="rateinstaldigcodi" localSheetId="18">#REF!</definedName>
    <definedName name="rateinstaldigcodi">#REF!</definedName>
    <definedName name="RateInstallAnal" localSheetId="19">'[32]Statistics France'!#REF!</definedName>
    <definedName name="RateInstallAnal" localSheetId="18">'[32]Statistics France'!#REF!</definedName>
    <definedName name="RateInstallAnal">'[32]Statistics France'!#REF!</definedName>
    <definedName name="rateinstallanal2">'[33]STAT BRU'!$A$207:$IV$207</definedName>
    <definedName name="rateinstallanalcodi" localSheetId="19">#REF!</definedName>
    <definedName name="rateinstallanalcodi" localSheetId="18">#REF!</definedName>
    <definedName name="rateinstallanalcodi">#REF!</definedName>
    <definedName name="rateinstallanalconso">'[34]STAT BRU'!$A$207:$IV$207</definedName>
    <definedName name="rateinstallanalev" localSheetId="19">#REF!</definedName>
    <definedName name="rateinstallanalev" localSheetId="18">#REF!</definedName>
    <definedName name="rateinstallanalev">#REF!</definedName>
    <definedName name="rateinstallanalev2" localSheetId="19">#REF!</definedName>
    <definedName name="rateinstallanalev2" localSheetId="18">#REF!</definedName>
    <definedName name="rateinstallanalev2">#REF!</definedName>
    <definedName name="rateinstallanalevconso" localSheetId="19">#REF!</definedName>
    <definedName name="rateinstallanalevconso" localSheetId="18">#REF!</definedName>
    <definedName name="rateinstallanalevconso">#REF!</definedName>
    <definedName name="RateInstallDig" localSheetId="19">'[32]Statistics France'!#REF!</definedName>
    <definedName name="RateInstallDig" localSheetId="18">'[32]Statistics France'!#REF!</definedName>
    <definedName name="RateInstallDig">'[32]Statistics France'!#REF!</definedName>
    <definedName name="rateinstalldigconso">'[34]STAT BRU'!$A$208:$IV$208</definedName>
    <definedName name="rateinstalldigev" localSheetId="19">#REF!</definedName>
    <definedName name="rateinstalldigev" localSheetId="18">#REF!</definedName>
    <definedName name="rateinstalldigev">#REF!</definedName>
    <definedName name="rateinstalldigev2" localSheetId="19">#REF!</definedName>
    <definedName name="rateinstalldigev2" localSheetId="18">#REF!</definedName>
    <definedName name="rateinstalldigev2">#REF!</definedName>
    <definedName name="rateinstalldigevconso" localSheetId="19">#REF!</definedName>
    <definedName name="rateinstalldigevconso" localSheetId="18">#REF!</definedName>
    <definedName name="rateinstalldigevconso">#REF!</definedName>
    <definedName name="RatePPV" localSheetId="19">#REF!</definedName>
    <definedName name="RatePPV" localSheetId="18">#REF!</definedName>
    <definedName name="RatePPV">#REF!</definedName>
    <definedName name="RatePremium" localSheetId="19">'[32]Statistics France'!#REF!</definedName>
    <definedName name="RatePremium" localSheetId="18">'[32]Statistics France'!#REF!</definedName>
    <definedName name="RatePremium">'[32]Statistics France'!#REF!</definedName>
    <definedName name="ratepremium2">'[33]STAT BRU'!$A$194:$IV$194</definedName>
    <definedName name="ratepremiumcodi" localSheetId="19">#REF!</definedName>
    <definedName name="ratepremiumcodi" localSheetId="18">#REF!</definedName>
    <definedName name="ratepremiumcodi">#REF!</definedName>
    <definedName name="ratepremiumconso">'[34]STAT BRU'!$A$194:$IV$194</definedName>
    <definedName name="ratepremiumev" localSheetId="19">#REF!</definedName>
    <definedName name="ratepremiumev" localSheetId="18">#REF!</definedName>
    <definedName name="ratepremiumev">#REF!</definedName>
    <definedName name="ratepremiumev2" localSheetId="19">#REF!</definedName>
    <definedName name="ratepremiumev2" localSheetId="18">#REF!</definedName>
    <definedName name="ratepremiumev2">#REF!</definedName>
    <definedName name="ratepremiumevconso" localSheetId="19">#REF!</definedName>
    <definedName name="ratepremiumevconso" localSheetId="18">#REF!</definedName>
    <definedName name="ratepremiumevconso">#REF!</definedName>
    <definedName name="RateResData" localSheetId="19">'[32]Statistics France'!#REF!</definedName>
    <definedName name="RateResData" localSheetId="18">'[32]Statistics France'!#REF!</definedName>
    <definedName name="RateResData">'[32]Statistics France'!#REF!</definedName>
    <definedName name="rateresdata2">'[33]STAT BRU'!$A$245:$IV$245</definedName>
    <definedName name="rateresdatacodi" localSheetId="19">#REF!</definedName>
    <definedName name="rateresdatacodi" localSheetId="18">#REF!</definedName>
    <definedName name="rateresdatacodi">#REF!</definedName>
    <definedName name="rateresdataconso">'[34]STAT BRU'!$A$245:$IV$245</definedName>
    <definedName name="RateResDataDecod" localSheetId="19">'[32]Statistics France'!#REF!</definedName>
    <definedName name="RateResDataDecod">'[32]Statistics France'!#REF!</definedName>
    <definedName name="RateResDataDecod1" localSheetId="19">#REF!</definedName>
    <definedName name="RateResDataDecod1" localSheetId="18">#REF!</definedName>
    <definedName name="RateResDataDecod1">#REF!</definedName>
    <definedName name="rateresdatadecod12">'[33]STAT BRU'!$A$244:$IV$244</definedName>
    <definedName name="rateresdatadecod1codi" localSheetId="19">#REF!</definedName>
    <definedName name="rateresdatadecod1codi" localSheetId="18">#REF!</definedName>
    <definedName name="rateresdatadecod1codi">#REF!</definedName>
    <definedName name="rateresdatadecod1conso">'[34]STAT BRU'!$A$244:$IV$244</definedName>
    <definedName name="rateresdatadecod1ev" localSheetId="19">#REF!</definedName>
    <definedName name="rateresdatadecod1ev" localSheetId="18">#REF!</definedName>
    <definedName name="rateresdatadecod1ev">#REF!</definedName>
    <definedName name="rateresdatadecod1EV2" localSheetId="19">#REF!</definedName>
    <definedName name="rateresdatadecod1EV2" localSheetId="18">#REF!</definedName>
    <definedName name="rateresdatadecod1EV2">#REF!</definedName>
    <definedName name="rateresdatadecod1evconso" localSheetId="19">#REF!</definedName>
    <definedName name="rateresdatadecod1evconso" localSheetId="18">#REF!</definedName>
    <definedName name="rateresdatadecod1evconso">#REF!</definedName>
    <definedName name="rateresdatadecod2">'[33]STAT BRU'!$A$246:$IV$246</definedName>
    <definedName name="rateresdatadecodcodi" localSheetId="19">#REF!</definedName>
    <definedName name="rateresdatadecodcodi" localSheetId="18">#REF!</definedName>
    <definedName name="rateresdatadecodcodi">#REF!</definedName>
    <definedName name="rateresdatadecodconso">'[34]STAT BRU'!$A$246:$IV$246</definedName>
    <definedName name="rateresdatadecodev" localSheetId="19">#REF!</definedName>
    <definedName name="rateresdatadecodev" localSheetId="18">#REF!</definedName>
    <definedName name="rateresdatadecodev">#REF!</definedName>
    <definedName name="rateresdatadecodev2" localSheetId="19">#REF!</definedName>
    <definedName name="rateresdatadecodev2" localSheetId="18">#REF!</definedName>
    <definedName name="rateresdatadecodev2">#REF!</definedName>
    <definedName name="rateresdataev" localSheetId="19">#REF!</definedName>
    <definedName name="rateresdataev" localSheetId="18">#REF!</definedName>
    <definedName name="rateresdataev">#REF!</definedName>
    <definedName name="rateresdataev2" localSheetId="19">#REF!</definedName>
    <definedName name="rateresdataev2" localSheetId="18">#REF!</definedName>
    <definedName name="rateresdataev2">#REF!</definedName>
    <definedName name="rateresdataevconso" localSheetId="19">#REF!</definedName>
    <definedName name="rateresdataevconso" localSheetId="18">#REF!</definedName>
    <definedName name="rateresdataevconso">#REF!</definedName>
    <definedName name="RateResDataInstall" localSheetId="19">'[32]Statistics France'!#REF!</definedName>
    <definedName name="RateResDataInstall" localSheetId="18">'[32]Statistics France'!#REF!</definedName>
    <definedName name="RateResDataInstall">'[32]Statistics France'!#REF!</definedName>
    <definedName name="rateresdatainstall2">'[33]STAT BRU'!$A$254:$IV$254</definedName>
    <definedName name="rateresdatainstallcodi" localSheetId="19">#REF!</definedName>
    <definedName name="rateresdatainstallcodi" localSheetId="18">#REF!</definedName>
    <definedName name="rateresdatainstallcodi">#REF!</definedName>
    <definedName name="rateresdatainstallconso">'[34]STAT BRU'!$A$254:$IV$254</definedName>
    <definedName name="rateresdatainstallev" localSheetId="19">#REF!</definedName>
    <definedName name="rateresdatainstallev" localSheetId="18">#REF!</definedName>
    <definedName name="rateresdatainstallev">#REF!</definedName>
    <definedName name="rateresdatainstallev2" localSheetId="19">#REF!</definedName>
    <definedName name="rateresdatainstallev2" localSheetId="18">#REF!</definedName>
    <definedName name="rateresdatainstallev2">#REF!</definedName>
    <definedName name="rateresdatainstallevconso" localSheetId="19">#REF!</definedName>
    <definedName name="rateresdatainstallevconso" localSheetId="18">#REF!</definedName>
    <definedName name="rateresdatainstallevconso">#REF!</definedName>
    <definedName name="rateresdatdecodevconso" localSheetId="19">#REF!</definedName>
    <definedName name="rateresdatdecodevconso" localSheetId="18">#REF!</definedName>
    <definedName name="rateresdatdecodevconso">#REF!</definedName>
    <definedName name="RateResTelInstall" localSheetId="19">'[32]Statistics France'!#REF!</definedName>
    <definedName name="RateResTelInstall" localSheetId="18">'[32]Statistics France'!#REF!</definedName>
    <definedName name="RateResTelInstall">'[32]Statistics France'!#REF!</definedName>
    <definedName name="raterestelinstall2">'[33]STAT BRU'!$A$232:$IV$232</definedName>
    <definedName name="raterestelinstallcodi" localSheetId="19">#REF!</definedName>
    <definedName name="raterestelinstallcodi" localSheetId="18">#REF!</definedName>
    <definedName name="raterestelinstallcodi">#REF!</definedName>
    <definedName name="raterestelinstallconso">'[34]STAT BRU'!$A$232:$IV$232</definedName>
    <definedName name="raterestelinstallev" localSheetId="19">#REF!</definedName>
    <definedName name="raterestelinstallev" localSheetId="18">#REF!</definedName>
    <definedName name="raterestelinstallev">#REF!</definedName>
    <definedName name="raterestelinstallev2" localSheetId="19">#REF!</definedName>
    <definedName name="raterestelinstallev2" localSheetId="18">#REF!</definedName>
    <definedName name="raterestelinstallev2">#REF!</definedName>
    <definedName name="raterestelinstallevconso" localSheetId="19">#REF!</definedName>
    <definedName name="raterestelinstallevconso" localSheetId="18">#REF!</definedName>
    <definedName name="raterestelinstallevconso">#REF!</definedName>
    <definedName name="RateResTelInterco" localSheetId="19">'[32]Statistics France'!#REF!</definedName>
    <definedName name="RateResTelInterco" localSheetId="18">'[32]Statistics France'!#REF!</definedName>
    <definedName name="RateResTelInterco">'[32]Statistics France'!#REF!</definedName>
    <definedName name="raterestelinterco2">'[33]STAT BRU'!$A$223:$IV$223</definedName>
    <definedName name="raterestelintercocodi" localSheetId="19">#REF!</definedName>
    <definedName name="raterestelintercocodi" localSheetId="18">#REF!</definedName>
    <definedName name="raterestelintercocodi">#REF!</definedName>
    <definedName name="raterestelintercoconso">'[34]STAT BRU'!$A$223:$IV$223</definedName>
    <definedName name="raterestelintercoev" localSheetId="19">#REF!</definedName>
    <definedName name="raterestelintercoev" localSheetId="18">#REF!</definedName>
    <definedName name="raterestelintercoev">#REF!</definedName>
    <definedName name="raterestelintercoevconso" localSheetId="19">#REF!</definedName>
    <definedName name="raterestelintercoevconso" localSheetId="18">#REF!</definedName>
    <definedName name="raterestelintercoevconso">#REF!</definedName>
    <definedName name="RateResTelRental" localSheetId="19">'[32]Statistics France'!#REF!</definedName>
    <definedName name="RateResTelRental" localSheetId="18">'[32]Statistics France'!#REF!</definedName>
    <definedName name="RateResTelRental">'[32]Statistics France'!#REF!</definedName>
    <definedName name="raterestelrental2">'[33]STAT BRU'!$A$221:$IV$221</definedName>
    <definedName name="raterestelrentalcodi" localSheetId="19">#REF!</definedName>
    <definedName name="raterestelrentalcodi" localSheetId="18">#REF!</definedName>
    <definedName name="raterestelrentalcodi">#REF!</definedName>
    <definedName name="raterestelrentalconso">'[34]STAT BRU'!$A$221:$IV$221</definedName>
    <definedName name="raterestelrentalev" localSheetId="19">#REF!</definedName>
    <definedName name="raterestelrentalev" localSheetId="18">#REF!</definedName>
    <definedName name="raterestelrentalev">#REF!</definedName>
    <definedName name="raterestelrentalev2" localSheetId="19">#REF!</definedName>
    <definedName name="raterestelrentalev2" localSheetId="18">#REF!</definedName>
    <definedName name="raterestelrentalev2">#REF!</definedName>
    <definedName name="raterestelrentalevconso" localSheetId="19">#REF!</definedName>
    <definedName name="raterestelrentalevconso" localSheetId="18">#REF!</definedName>
    <definedName name="raterestelrentalevconso">#REF!</definedName>
    <definedName name="RateResTelService" localSheetId="19">'[32]Statistics France'!#REF!</definedName>
    <definedName name="RateResTelService" localSheetId="18">'[32]Statistics France'!#REF!</definedName>
    <definedName name="RateResTelService">'[32]Statistics France'!#REF!</definedName>
    <definedName name="raterestelservice2">'[33]STAT BRU'!$A$224:$IV$224</definedName>
    <definedName name="raterestelservicecodi" localSheetId="19">#REF!</definedName>
    <definedName name="raterestelservicecodi" localSheetId="18">#REF!</definedName>
    <definedName name="raterestelservicecodi">#REF!</definedName>
    <definedName name="raterestelserviceconso">'[34]STAT BRU'!$A$224:$IV$224</definedName>
    <definedName name="raterestelserviceev" localSheetId="19">#REF!</definedName>
    <definedName name="raterestelserviceev" localSheetId="18">#REF!</definedName>
    <definedName name="raterestelserviceev">#REF!</definedName>
    <definedName name="raterestelserviceev2" localSheetId="19">#REF!</definedName>
    <definedName name="raterestelserviceev2" localSheetId="18">#REF!</definedName>
    <definedName name="raterestelserviceev2">#REF!</definedName>
    <definedName name="raterestelserviceevcons" localSheetId="19">#REF!</definedName>
    <definedName name="raterestelserviceevcons" localSheetId="18">#REF!</definedName>
    <definedName name="raterestelserviceevcons">#REF!</definedName>
    <definedName name="RateResTelUsage" localSheetId="19">'[32]Statistics France'!#REF!</definedName>
    <definedName name="RateResTelUsage" localSheetId="18">'[32]Statistics France'!#REF!</definedName>
    <definedName name="RateResTelUsage">'[32]Statistics France'!#REF!</definedName>
    <definedName name="raterestelusage2">'[33]STAT BRU'!$A$222:$IV$222</definedName>
    <definedName name="raterestelusagecodi" localSheetId="19">#REF!</definedName>
    <definedName name="raterestelusagecodi" localSheetId="18">#REF!</definedName>
    <definedName name="raterestelusagecodi">#REF!</definedName>
    <definedName name="raterestelusageconso">'[34]STAT BRU'!$A$222:$IV$222</definedName>
    <definedName name="raterestelusageev" localSheetId="19">#REF!</definedName>
    <definedName name="raterestelusageev" localSheetId="18">#REF!</definedName>
    <definedName name="raterestelusageev">#REF!</definedName>
    <definedName name="raterestelusageev2" localSheetId="19">#REF!</definedName>
    <definedName name="raterestelusageev2" localSheetId="18">#REF!</definedName>
    <definedName name="raterestelusageev2">#REF!</definedName>
    <definedName name="raterestelusageevconso" localSheetId="19">#REF!</definedName>
    <definedName name="raterestelusageevconso" localSheetId="18">#REF!</definedName>
    <definedName name="raterestelusageevconso">#REF!</definedName>
    <definedName name="RateTVDecod" localSheetId="19">'[32]Statistics France'!#REF!</definedName>
    <definedName name="RateTVDecod" localSheetId="18">'[32]Statistics France'!#REF!</definedName>
    <definedName name="RateTVDecod">'[32]Statistics France'!#REF!</definedName>
    <definedName name="ratetvdecod2">'[33]STAT BRU'!$A$196:$IV$196</definedName>
    <definedName name="ratetvdecodcodi" localSheetId="19">#REF!</definedName>
    <definedName name="ratetvdecodcodi" localSheetId="18">#REF!</definedName>
    <definedName name="ratetvdecodcodi">#REF!</definedName>
    <definedName name="ratetvdecodconso">'[34]STAT BRU'!$A$196:$IV$196</definedName>
    <definedName name="ratetvdecodev" localSheetId="19">#REF!</definedName>
    <definedName name="ratetvdecodev" localSheetId="18">#REF!</definedName>
    <definedName name="ratetvdecodev">#REF!</definedName>
    <definedName name="ratetvdecodev2" localSheetId="19">#REF!</definedName>
    <definedName name="ratetvdecodev2" localSheetId="18">#REF!</definedName>
    <definedName name="ratetvdecodev2">#REF!</definedName>
    <definedName name="ratetvdecodevcons" localSheetId="19">#REF!</definedName>
    <definedName name="ratetvdecodevcons" localSheetId="18">#REF!</definedName>
    <definedName name="ratetvdecodevcons">#REF!</definedName>
    <definedName name="rec" localSheetId="19">#REF!</definedName>
    <definedName name="rec" localSheetId="18">#REF!</definedName>
    <definedName name="rec">#REF!</definedName>
    <definedName name="Recommendation" localSheetId="19">#REF!</definedName>
    <definedName name="Recommendation" localSheetId="18">#REF!</definedName>
    <definedName name="Recommendation">#REF!</definedName>
    <definedName name="redo" localSheetId="18" hidden="1">{#N/A,#N/A,FALSE,"ACQ_GRAPHS";#N/A,#N/A,FALSE,"T_1 GRAPHS";#N/A,#N/A,FALSE,"T_2 GRAPHS";#N/A,#N/A,FALSE,"COMB_GRAPHS"}</definedName>
    <definedName name="redo" hidden="1">{#N/A,#N/A,FALSE,"ACQ_GRAPHS";#N/A,#N/A,FALSE,"T_1 GRAPHS";#N/A,#N/A,FALSE,"T_2 GRAPHS";#N/A,#N/A,FALSE,"COMB_GRAPHS"}</definedName>
    <definedName name="Redundancy" localSheetId="19">#REF!</definedName>
    <definedName name="Redundancy" localSheetId="18">#REF!</definedName>
    <definedName name="Redundancy">#REF!</definedName>
    <definedName name="reel2010"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reel2010"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ReferenceMult">'[55]Share price analysis'!$E$23</definedName>
    <definedName name="ReferenceYear">'[55]Share price analysis'!$E$22</definedName>
    <definedName name="RefYear" localSheetId="19">#REF!</definedName>
    <definedName name="RefYear" localSheetId="18">#REF!</definedName>
    <definedName name="RefYear">#REF!</definedName>
    <definedName name="remO" localSheetId="19">#REF!</definedName>
    <definedName name="remO" localSheetId="18">#REF!</definedName>
    <definedName name="remO">#REF!</definedName>
    <definedName name="REP_HY">[55]INPUT!$K$130</definedName>
    <definedName name="REP_JunMezz">[55]INPUT!$K$129</definedName>
    <definedName name="REP_Refinanced">'[55]Share price analysis'!$K$121</definedName>
    <definedName name="REP_SeniorA">[55]INPUT!$K$125</definedName>
    <definedName name="REP_SeniorB">[55]INPUT!$K$126</definedName>
    <definedName name="REP_SeniorC">[55]INPUT!$K$127</definedName>
    <definedName name="REP_SenMezz">[55]INPUT!$K$128</definedName>
    <definedName name="REP_ShareLoan">[55]INPUT!$K$132</definedName>
    <definedName name="REP_Vendor">[55]INPUT!$K$131</definedName>
    <definedName name="repautimmo">[28]IP!$H$7:$H$8,[28]IP!$H$10:$H$14</definedName>
    <definedName name="Res" localSheetId="19">'[12]Fleet &amp; Costs'!#REF!</definedName>
    <definedName name="Res" localSheetId="18">'[12]Fleet &amp; Costs'!#REF!</definedName>
    <definedName name="Res">'[12]Fleet &amp; Costs'!#REF!</definedName>
    <definedName name="res_pulse_per_call_growth" localSheetId="19">'[10]Cashflow-Post'!#REF!</definedName>
    <definedName name="res_pulse_per_call_growth" localSheetId="18">'[10]Cashflow-Post'!#REF!</definedName>
    <definedName name="res_pulse_per_call_growth">'[10]Cashflow-Post'!#REF!</definedName>
    <definedName name="Res_Pulses_per_call" localSheetId="19">'[10]Cashflow-Post'!#REF!</definedName>
    <definedName name="Res_Pulses_per_call">'[10]Cashflow-Post'!#REF!</definedName>
    <definedName name="rescallARPUfrance0110" localSheetId="19">#REF!</definedName>
    <definedName name="rescallARPUfrance0110" localSheetId="18">#REF!</definedName>
    <definedName name="rescallARPUfrance0110">#REF!</definedName>
    <definedName name="Residential_subs">[58]DSL!$B$876:$O$892</definedName>
    <definedName name="Residential_VAS_fee" localSheetId="19">'[10]Cashflow-Post'!#REF!</definedName>
    <definedName name="Residential_VAS_fee">'[10]Cashflow-Post'!#REF!</definedName>
    <definedName name="Residential_VAS_percentage" localSheetId="19">'[10]Cashflow-Post'!#REF!</definedName>
    <definedName name="Residential_VAS_percentage">'[10]Cashflow-Post'!#REF!</definedName>
    <definedName name="Residential_VAS_revenues" localSheetId="19">'[10]Cashflow-Post'!#REF!</definedName>
    <definedName name="Residential_VAS_revenues">'[10]Cashflow-Post'!#REF!</definedName>
    <definedName name="RESP_DGC" localSheetId="19">#REF!</definedName>
    <definedName name="RESP_DGC" localSheetId="18">#REF!</definedName>
    <definedName name="RESP_DGC">#REF!</definedName>
    <definedName name="retail.minus.percentage">[48]Sensitivity!$F$219</definedName>
    <definedName name="retail.minus.selection">[48]Sensitivity!$E$17</definedName>
    <definedName name="rev" localSheetId="19">'[12]Fleet &amp; Costs'!#REF!</definedName>
    <definedName name="rev">'[12]Fleet &amp; Costs'!#REF!</definedName>
    <definedName name="RevAntennaService" localSheetId="19">[45]PLAN!#REF!</definedName>
    <definedName name="RevAntennaService">[45]PLAN!#REF!</definedName>
    <definedName name="RevCATV" localSheetId="19">'[32]Statistics France'!#REF!</definedName>
    <definedName name="RevCATV">'[32]Statistics France'!#REF!</definedName>
    <definedName name="revcatv2">'[33]STAT BRU'!$A$273:$IV$273</definedName>
    <definedName name="revcatvcodi" localSheetId="19">#REF!</definedName>
    <definedName name="revcatvcodi" localSheetId="18">#REF!</definedName>
    <definedName name="revcatvcodi">#REF!</definedName>
    <definedName name="revcatvconso">'[34]STAT BRU'!$A$273:$IV$273</definedName>
    <definedName name="revcatvev" localSheetId="19">#REF!</definedName>
    <definedName name="revcatvev" localSheetId="18">#REF!</definedName>
    <definedName name="revcatvev">#REF!</definedName>
    <definedName name="revcatvev2" localSheetId="19">#REF!</definedName>
    <definedName name="revcatvev2" localSheetId="18">#REF!</definedName>
    <definedName name="revcatvev2">#REF!</definedName>
    <definedName name="revcatvevconso" localSheetId="19">#REF!</definedName>
    <definedName name="revcatvevconso" localSheetId="18">#REF!</definedName>
    <definedName name="revcatvevconso">#REF!</definedName>
    <definedName name="RevDataRes" localSheetId="19">'[32]Statistics France'!#REF!</definedName>
    <definedName name="RevDataRes" localSheetId="18">'[32]Statistics France'!#REF!</definedName>
    <definedName name="RevDataRes">'[32]Statistics France'!#REF!</definedName>
    <definedName name="revdatares2">'[33]STAT BRU'!$A$291:$IV$291</definedName>
    <definedName name="revdatarescodi" localSheetId="19">#REF!</definedName>
    <definedName name="revdatarescodi" localSheetId="18">#REF!</definedName>
    <definedName name="revdatarescodi">#REF!</definedName>
    <definedName name="revdataresconso">'[34]STAT BRU'!$A$291:$IV$291</definedName>
    <definedName name="revdataresev" localSheetId="19">#REF!</definedName>
    <definedName name="revdataresev" localSheetId="18">#REF!</definedName>
    <definedName name="revdataresev">#REF!</definedName>
    <definedName name="revdataresev2" localSheetId="19">#REF!</definedName>
    <definedName name="revdataresev2" localSheetId="18">#REF!</definedName>
    <definedName name="revdataresev2">#REF!</definedName>
    <definedName name="revdataresevconso" localSheetId="19">#REF!</definedName>
    <definedName name="revdataresevconso" localSheetId="18">#REF!</definedName>
    <definedName name="revdataresevconso">#REF!</definedName>
    <definedName name="Revenue" localSheetId="19">#REF!</definedName>
    <definedName name="Revenue" localSheetId="18">#REF!</definedName>
    <definedName name="Revenue">#REF!</definedName>
    <definedName name="revenue_95" localSheetId="19">[97]BTMAIN!#REF!</definedName>
    <definedName name="revenue_95" localSheetId="18">[97]BTMAIN!#REF!</definedName>
    <definedName name="revenue_95">[97]BTMAIN!#REF!</definedName>
    <definedName name="Revenue1" localSheetId="19">#REF!</definedName>
    <definedName name="Revenue1" localSheetId="18">#REF!</definedName>
    <definedName name="Revenue1">#REF!</definedName>
    <definedName name="Revenue10" localSheetId="19">#REF!</definedName>
    <definedName name="Revenue10" localSheetId="18">#REF!</definedName>
    <definedName name="Revenue10">#REF!</definedName>
    <definedName name="Revenue11" localSheetId="19">#REF!</definedName>
    <definedName name="Revenue11" localSheetId="18">#REF!</definedName>
    <definedName name="Revenue11">#REF!</definedName>
    <definedName name="Revenue12" localSheetId="19">#REF!</definedName>
    <definedName name="Revenue12" localSheetId="18">#REF!</definedName>
    <definedName name="Revenue12">#REF!</definedName>
    <definedName name="Revenue13" localSheetId="19">#REF!</definedName>
    <definedName name="Revenue13" localSheetId="18">#REF!</definedName>
    <definedName name="Revenue13">#REF!</definedName>
    <definedName name="Revenue14" localSheetId="19">#REF!</definedName>
    <definedName name="Revenue14" localSheetId="18">#REF!</definedName>
    <definedName name="Revenue14">#REF!</definedName>
    <definedName name="Revenue15" localSheetId="19">#REF!</definedName>
    <definedName name="Revenue15" localSheetId="18">#REF!</definedName>
    <definedName name="Revenue15">#REF!</definedName>
    <definedName name="Revenue16" localSheetId="19">#REF!</definedName>
    <definedName name="Revenue16" localSheetId="18">#REF!</definedName>
    <definedName name="Revenue16">#REF!</definedName>
    <definedName name="Revenue2" localSheetId="19">#REF!</definedName>
    <definedName name="Revenue2" localSheetId="18">#REF!</definedName>
    <definedName name="Revenue2">#REF!</definedName>
    <definedName name="Revenue3" localSheetId="19">#REF!</definedName>
    <definedName name="Revenue3" localSheetId="18">#REF!</definedName>
    <definedName name="Revenue3">#REF!</definedName>
    <definedName name="Revenue4" localSheetId="19">#REF!</definedName>
    <definedName name="Revenue4" localSheetId="18">#REF!</definedName>
    <definedName name="Revenue4">#REF!</definedName>
    <definedName name="Revenue5" localSheetId="19">#REF!</definedName>
    <definedName name="Revenue5" localSheetId="18">#REF!</definedName>
    <definedName name="Revenue5">#REF!</definedName>
    <definedName name="Revenue6" localSheetId="19">#REF!</definedName>
    <definedName name="Revenue6" localSheetId="18">#REF!</definedName>
    <definedName name="Revenue6">#REF!</definedName>
    <definedName name="Revenue7" localSheetId="19">#REF!</definedName>
    <definedName name="Revenue7" localSheetId="18">#REF!</definedName>
    <definedName name="Revenue7">#REF!</definedName>
    <definedName name="Revenue8" localSheetId="19">#REF!</definedName>
    <definedName name="Revenue8" localSheetId="18">#REF!</definedName>
    <definedName name="Revenue8">#REF!</definedName>
    <definedName name="Revenue9" localSheetId="19">#REF!</definedName>
    <definedName name="Revenue9" localSheetId="18">#REF!</definedName>
    <definedName name="Revenue9">#REF!</definedName>
    <definedName name="revenues_95" localSheetId="19">[60]KPN!#REF!</definedName>
    <definedName name="revenues_95" localSheetId="18">[60]KPN!#REF!</definedName>
    <definedName name="revenues_95">[60]KPN!#REF!</definedName>
    <definedName name="revenues2" localSheetId="19">[5]Sensetivities!#REF!</definedName>
    <definedName name="revenues2" localSheetId="18">[5]Sensetivities!#REF!</definedName>
    <definedName name="revenues2">[5]Sensetivities!#REF!</definedName>
    <definedName name="reveunes2" localSheetId="19">[5]Sensetivities!#REF!</definedName>
    <definedName name="reveunes2" localSheetId="18">[5]Sensetivities!#REF!</definedName>
    <definedName name="reveunes2">[5]Sensetivities!#REF!</definedName>
    <definedName name="revised.data.revenues">[77]Forecasts!$E$117:$J$117</definedName>
    <definedName name="revised.voice.revenues">[77]Forecasts!$E$116:$J$116</definedName>
    <definedName name="revised.wholesale.capacity.revenues">[77]Forecasts!$E$129:$J$129</definedName>
    <definedName name="revised.wholesale.internet.revenues">[77]Forecasts!$E$128:$J$128</definedName>
    <definedName name="revised.wholesale.voice.revenues">[77]Forecasts!$E$127:$J$127</definedName>
    <definedName name="revised_year_end" localSheetId="19">#REF!</definedName>
    <definedName name="revised_year_end" localSheetId="18">#REF!</definedName>
    <definedName name="revised_year_end">#REF!</definedName>
    <definedName name="Revnue4" localSheetId="19">#REF!</definedName>
    <definedName name="Revnue4" localSheetId="18">#REF!</definedName>
    <definedName name="Revnue4">#REF!</definedName>
    <definedName name="RevProf" localSheetId="19">[45]PLAN!#REF!</definedName>
    <definedName name="RevProf" localSheetId="18">[45]PLAN!#REF!</definedName>
    <definedName name="RevProf">[45]PLAN!#REF!</definedName>
    <definedName name="Revsub" localSheetId="19">'[85]Rev Breakout'!#REF!</definedName>
    <definedName name="Revsub" localSheetId="18">'[85]Rev Breakout'!#REF!</definedName>
    <definedName name="Revsub">'[85]Rev Breakout'!#REF!</definedName>
    <definedName name="RevTelRes" localSheetId="19">'[32]Statistics France'!#REF!</definedName>
    <definedName name="RevTelRes" localSheetId="18">'[32]Statistics France'!#REF!</definedName>
    <definedName name="RevTelRes">'[32]Statistics France'!#REF!</definedName>
    <definedName name="revtelres2">'[33]STAT BRU'!$A$285:$IV$285</definedName>
    <definedName name="revtelresconso">'[34]STAT BRU'!$A$285:$IV$285</definedName>
    <definedName name="revtelresev" localSheetId="19">#REF!</definedName>
    <definedName name="revtelresev" localSheetId="18">#REF!</definedName>
    <definedName name="revtelresev">#REF!</definedName>
    <definedName name="revtelresev2" localSheetId="19">#REF!</definedName>
    <definedName name="revtelresev2" localSheetId="18">#REF!</definedName>
    <definedName name="revtelresev2">#REF!</definedName>
    <definedName name="revtelresevconso" localSheetId="19">#REF!</definedName>
    <definedName name="revtelresevconso" localSheetId="18">#REF!</definedName>
    <definedName name="revtelresevconso">#REF!</definedName>
    <definedName name="RevTotal" localSheetId="19">#REF!</definedName>
    <definedName name="RevTotal" localSheetId="18">#REF!</definedName>
    <definedName name="RevTotal">#REF!</definedName>
    <definedName name="revwhole" localSheetId="19">'[85]Rev Breakout'!#REF!</definedName>
    <definedName name="revwhole" localSheetId="18">'[85]Rev Breakout'!#REF!</definedName>
    <definedName name="revwhole">'[85]Rev Breakout'!#REF!</definedName>
    <definedName name="RfR" localSheetId="19">#REF!</definedName>
    <definedName name="RfR" localSheetId="18">#REF!</definedName>
    <definedName name="RfR">#REF!</definedName>
    <definedName name="round">1</definedName>
    <definedName name="rrrrr" localSheetId="18" hidden="1">{#N/A,#N/A,FALSE,"BANNERS";#N/A,#N/A,FALSE,"Market";#N/A,#N/A,FALSE,"Tel Rev";#N/A,#N/A,FALSE,"Revenues IOL";#N/A,#N/A,FALSE,"Invest";#N/A,#N/A,FALSE,"Op Cost1";#N/A,#N/A,FALSE,"Op Cost2";#N/A,#N/A,FALSE,"Oth_&amp;_Tot_Revenues";#N/A,#N/A,FALSE,"Fin Mod";#N/A,#N/A,FALSE,"FinMod_RoW";#N/A,#N/A,FALSE,"P&amp;E Burocrat";#N/A,#N/A,FALSE,"cash flow"}</definedName>
    <definedName name="rrrrr" hidden="1">{#N/A,#N/A,FALSE,"BANNERS";#N/A,#N/A,FALSE,"Market";#N/A,#N/A,FALSE,"Tel Rev";#N/A,#N/A,FALSE,"Revenues IOL";#N/A,#N/A,FALSE,"Invest";#N/A,#N/A,FALSE,"Op Cost1";#N/A,#N/A,FALSE,"Op Cost2";#N/A,#N/A,FALSE,"Oth_&amp;_Tot_Revenues";#N/A,#N/A,FALSE,"Fin Mod";#N/A,#N/A,FALSE,"FinMod_RoW";#N/A,#N/A,FALSE,"P&amp;E Burocrat";#N/A,#N/A,FALSE,"cash flow"}</definedName>
    <definedName name="RTNTABLE" localSheetId="19">[3]LBO!#REF!</definedName>
    <definedName name="RTNTABLE">[3]LBO!#REF!</definedName>
    <definedName name="Rtrrec" localSheetId="19">#REF!</definedName>
    <definedName name="Rtrrec" localSheetId="18">#REF!</definedName>
    <definedName name="Rtrrec">#REF!</definedName>
    <definedName name="RUNSENS1" localSheetId="19">#REF!</definedName>
    <definedName name="RUNSENS1" localSheetId="18">#REF!</definedName>
    <definedName name="RUNSENS1">#REF!</definedName>
    <definedName name="RUNSENS2" localSheetId="19">#REF!</definedName>
    <definedName name="RUNSENS2" localSheetId="18">#REF!</definedName>
    <definedName name="RUNSENS2">#REF!</definedName>
    <definedName name="s" localSheetId="19">'[12]Fleet &amp; Costs'!#REF!</definedName>
    <definedName name="s" localSheetId="18">'[12]Fleet &amp; Costs'!#REF!</definedName>
    <definedName name="s">'[12]Fleet &amp; Costs'!#REF!</definedName>
    <definedName name="S_A" localSheetId="19">#REF!</definedName>
    <definedName name="S_A" localSheetId="18">#REF!</definedName>
    <definedName name="S_A">#REF!</definedName>
    <definedName name="Sacem" localSheetId="19">#REF!</definedName>
    <definedName name="Sacem" localSheetId="18">#REF!</definedName>
    <definedName name="Sacem">#REF!</definedName>
    <definedName name="sadd"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dd"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dd2"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d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lefa" localSheetId="19">#REF!</definedName>
    <definedName name="salefa" localSheetId="18">#REF!</definedName>
    <definedName name="salefa">#REF!</definedName>
    <definedName name="sales" localSheetId="19">#REF!</definedName>
    <definedName name="sales" localSheetId="18">#REF!</definedName>
    <definedName name="sales">#REF!</definedName>
    <definedName name="Sales00">[8]FS!$G$39</definedName>
    <definedName name="Sales01">[8]FS!$H$39</definedName>
    <definedName name="Sales02">[9]FS!$I$39</definedName>
    <definedName name="Sales03">[9]FS!$J$39</definedName>
    <definedName name="sales1" localSheetId="19">[5]Sensetivities!#REF!</definedName>
    <definedName name="sales1">[5]Sensetivities!#REF!</definedName>
    <definedName name="sales3" localSheetId="19">[5]Sensetivities!#REF!</definedName>
    <definedName name="sales3">[5]Sensetivities!#REF!</definedName>
    <definedName name="sales4" localSheetId="19">[5]Sensetivities!#REF!</definedName>
    <definedName name="sales4">[5]Sensetivities!#REF!</definedName>
    <definedName name="Sales98">[8]FS!$E$39</definedName>
    <definedName name="Sales99">[8]FS!$F$39</definedName>
    <definedName name="salesebitda" localSheetId="19">[5]Model!#REF!</definedName>
    <definedName name="salesebitda">[5]Model!#REF!</definedName>
    <definedName name="Sat_Cap_Table">[75]OpAss!$D$36:$G$42</definedName>
    <definedName name="sBonus" localSheetId="19">#REF!</definedName>
    <definedName name="sBonus" localSheetId="18">#REF!</definedName>
    <definedName name="sBonus">#REF!</definedName>
    <definedName name="sCars" localSheetId="19">#REF!</definedName>
    <definedName name="sCars" localSheetId="18">#REF!</definedName>
    <definedName name="sCars">#REF!</definedName>
    <definedName name="scen" localSheetId="19">#REF!</definedName>
    <definedName name="scen" localSheetId="18">#REF!</definedName>
    <definedName name="scen">#REF!</definedName>
    <definedName name="scenario">[29]Assumptions!$B$1</definedName>
    <definedName name="Scenario_1" localSheetId="19">#REF!</definedName>
    <definedName name="Scenario_1" localSheetId="18">#REF!</definedName>
    <definedName name="Scenario_1">#REF!</definedName>
    <definedName name="Scenario_10" localSheetId="19">#REF!</definedName>
    <definedName name="Scenario_10" localSheetId="18">#REF!</definedName>
    <definedName name="Scenario_10">#REF!</definedName>
    <definedName name="Scenario_11" localSheetId="19">#REF!</definedName>
    <definedName name="Scenario_11" localSheetId="18">#REF!</definedName>
    <definedName name="Scenario_11">#REF!</definedName>
    <definedName name="Scenario_12" localSheetId="19">#REF!</definedName>
    <definedName name="Scenario_12" localSheetId="18">#REF!</definedName>
    <definedName name="Scenario_12">#REF!</definedName>
    <definedName name="Scenario_13" localSheetId="19">#REF!</definedName>
    <definedName name="Scenario_13" localSheetId="18">#REF!</definedName>
    <definedName name="Scenario_13">#REF!</definedName>
    <definedName name="Scenario_14" localSheetId="19">#REF!</definedName>
    <definedName name="Scenario_14" localSheetId="18">#REF!</definedName>
    <definedName name="Scenario_14">#REF!</definedName>
    <definedName name="Scenario_15" localSheetId="19">#REF!</definedName>
    <definedName name="Scenario_15" localSheetId="18">#REF!</definedName>
    <definedName name="Scenario_15">#REF!</definedName>
    <definedName name="Scenario_16" localSheetId="19">#REF!</definedName>
    <definedName name="Scenario_16" localSheetId="18">#REF!</definedName>
    <definedName name="Scenario_16">#REF!</definedName>
    <definedName name="Scenario_17" localSheetId="19">#REF!</definedName>
    <definedName name="Scenario_17" localSheetId="18">#REF!</definedName>
    <definedName name="Scenario_17">#REF!</definedName>
    <definedName name="Scenario_18" localSheetId="19">#REF!</definedName>
    <definedName name="Scenario_18" localSheetId="18">#REF!</definedName>
    <definedName name="Scenario_18">#REF!</definedName>
    <definedName name="Scenario_2" localSheetId="19">#REF!</definedName>
    <definedName name="Scenario_2" localSheetId="18">#REF!</definedName>
    <definedName name="Scenario_2">#REF!</definedName>
    <definedName name="Scenario_20" localSheetId="19">#REF!</definedName>
    <definedName name="Scenario_20" localSheetId="18">#REF!</definedName>
    <definedName name="Scenario_20">#REF!</definedName>
    <definedName name="Scenario_21" localSheetId="19">#REF!</definedName>
    <definedName name="Scenario_21" localSheetId="18">#REF!</definedName>
    <definedName name="Scenario_21">#REF!</definedName>
    <definedName name="Scenario_22" localSheetId="19">#REF!</definedName>
    <definedName name="Scenario_22" localSheetId="18">#REF!</definedName>
    <definedName name="Scenario_22">#REF!</definedName>
    <definedName name="Scenario_23" localSheetId="19">#REF!</definedName>
    <definedName name="Scenario_23" localSheetId="18">#REF!</definedName>
    <definedName name="Scenario_23">#REF!</definedName>
    <definedName name="Scenario_24" localSheetId="19">#REF!</definedName>
    <definedName name="Scenario_24" localSheetId="18">#REF!</definedName>
    <definedName name="Scenario_24">#REF!</definedName>
    <definedName name="Scenario_25" localSheetId="19">#REF!</definedName>
    <definedName name="Scenario_25" localSheetId="18">#REF!</definedName>
    <definedName name="Scenario_25">#REF!</definedName>
    <definedName name="Scenario_26" localSheetId="19">#REF!</definedName>
    <definedName name="Scenario_26" localSheetId="18">#REF!</definedName>
    <definedName name="Scenario_26">#REF!</definedName>
    <definedName name="Scenario_27" localSheetId="19">#REF!</definedName>
    <definedName name="Scenario_27" localSheetId="18">#REF!</definedName>
    <definedName name="Scenario_27">#REF!</definedName>
    <definedName name="Scenario_28" localSheetId="19">#REF!</definedName>
    <definedName name="Scenario_28" localSheetId="18">#REF!</definedName>
    <definedName name="Scenario_28">#REF!</definedName>
    <definedName name="Scenario_29" localSheetId="19">#REF!</definedName>
    <definedName name="Scenario_29" localSheetId="18">#REF!</definedName>
    <definedName name="Scenario_29">#REF!</definedName>
    <definedName name="Scenario_3" localSheetId="19">#REF!</definedName>
    <definedName name="Scenario_3" localSheetId="18">#REF!</definedName>
    <definedName name="Scenario_3">#REF!</definedName>
    <definedName name="Scenario_30" localSheetId="19">#REF!</definedName>
    <definedName name="Scenario_30" localSheetId="18">#REF!</definedName>
    <definedName name="Scenario_30">#REF!</definedName>
    <definedName name="Scenario_31" localSheetId="19">#REF!</definedName>
    <definedName name="Scenario_31" localSheetId="18">#REF!</definedName>
    <definedName name="Scenario_31">#REF!</definedName>
    <definedName name="Scenario_32" localSheetId="19">#REF!</definedName>
    <definedName name="Scenario_32" localSheetId="18">#REF!</definedName>
    <definedName name="Scenario_32">#REF!</definedName>
    <definedName name="Scenario_33" localSheetId="19">#REF!</definedName>
    <definedName name="Scenario_33" localSheetId="18">#REF!</definedName>
    <definedName name="Scenario_33">#REF!</definedName>
    <definedName name="Scenario_34" localSheetId="19">#REF!</definedName>
    <definedName name="Scenario_34" localSheetId="18">#REF!</definedName>
    <definedName name="Scenario_34">#REF!</definedName>
    <definedName name="Scenario_35" localSheetId="19">#REF!</definedName>
    <definedName name="Scenario_35" localSheetId="18">#REF!</definedName>
    <definedName name="Scenario_35">#REF!</definedName>
    <definedName name="Scenario_36" localSheetId="19">#REF!</definedName>
    <definedName name="Scenario_36" localSheetId="18">#REF!</definedName>
    <definedName name="Scenario_36">#REF!</definedName>
    <definedName name="Scenario_4" localSheetId="19">#REF!</definedName>
    <definedName name="Scenario_4" localSheetId="18">#REF!</definedName>
    <definedName name="Scenario_4">#REF!</definedName>
    <definedName name="Scenario_5" localSheetId="19">#REF!</definedName>
    <definedName name="Scenario_5" localSheetId="18">#REF!</definedName>
    <definedName name="Scenario_5">#REF!</definedName>
    <definedName name="Scenario_6" localSheetId="19">#REF!</definedName>
    <definedName name="Scenario_6" localSheetId="18">#REF!</definedName>
    <definedName name="Scenario_6">#REF!</definedName>
    <definedName name="Scenario_7" localSheetId="19">#REF!</definedName>
    <definedName name="Scenario_7" localSheetId="18">#REF!</definedName>
    <definedName name="Scenario_7">#REF!</definedName>
    <definedName name="Scenario_8" localSheetId="19">#REF!</definedName>
    <definedName name="Scenario_8" localSheetId="18">#REF!</definedName>
    <definedName name="Scenario_8">#REF!</definedName>
    <definedName name="Scenario_9" localSheetId="19">#REF!</definedName>
    <definedName name="Scenario_9" localSheetId="18">#REF!</definedName>
    <definedName name="Scenario_9">#REF!</definedName>
    <definedName name="ScenName" localSheetId="19">#REF!</definedName>
    <definedName name="ScenName" localSheetId="18">#REF!</definedName>
    <definedName name="ScenName">#REF!</definedName>
    <definedName name="ScenOp">[55]INPUT!$E$213:$F$215</definedName>
    <definedName name="sDpt" localSheetId="19">#REF!</definedName>
    <definedName name="sDpt" localSheetId="18">#REF!</definedName>
    <definedName name="sDpt">#REF!</definedName>
    <definedName name="SeasonRate" localSheetId="19">'[32]Statistics France'!#REF!</definedName>
    <definedName name="SeasonRate" localSheetId="18">'[32]Statistics France'!#REF!</definedName>
    <definedName name="SeasonRate">'[32]Statistics France'!#REF!</definedName>
    <definedName name="seasonrate2">'[33]STAT BRU'!$A$12:$IV$12</definedName>
    <definedName name="seasonratecodi" localSheetId="19">#REF!</definedName>
    <definedName name="seasonratecodi" localSheetId="18">#REF!</definedName>
    <definedName name="seasonratecodi">#REF!</definedName>
    <definedName name="seasonrateconso">'[34]STAT BRU'!$A$12:$IV$12</definedName>
    <definedName name="seasonrateev" localSheetId="19">#REF!</definedName>
    <definedName name="seasonrateev" localSheetId="18">#REF!</definedName>
    <definedName name="seasonrateev">#REF!</definedName>
    <definedName name="seasonrateev2">'[34]  STAT EV'!$A$12:$IV$12</definedName>
    <definedName name="seasonrateev3" localSheetId="19">#REF!</definedName>
    <definedName name="seasonrateev3" localSheetId="18">#REF!</definedName>
    <definedName name="seasonrateev3">#REF!</definedName>
    <definedName name="seasonrateevconso" localSheetId="19">#REF!</definedName>
    <definedName name="seasonrateevconso" localSheetId="18">#REF!</definedName>
    <definedName name="seasonrateevconso">#REF!</definedName>
    <definedName name="seclected.MTR.scenario">[48]Sensitivity!$E$23</definedName>
    <definedName name="seconds.per.hour">[48]Names!$B$38</definedName>
    <definedName name="seconds.per.minute">[48]Names!$B$43</definedName>
    <definedName name="SECTIONS_2" localSheetId="19">'[98]CAPEX 2006'!#REF!</definedName>
    <definedName name="SECTIONS_2">'[98]CAPEX 2006'!#REF!</definedName>
    <definedName name="selected.case" localSheetId="19">#REF!</definedName>
    <definedName name="selected.case" localSheetId="18">#REF!</definedName>
    <definedName name="selected.case">#REF!</definedName>
    <definedName name="selected.negotiated.tariff.scenario">[48]Sensitivity!$E$28</definedName>
    <definedName name="SelectScenario">[81]Assumptions!$J$25</definedName>
    <definedName name="Sell_Div_1" localSheetId="19">[3]Main!#REF!</definedName>
    <definedName name="Sell_Div_1">[3]Main!#REF!</definedName>
    <definedName name="Sell_Div_2" localSheetId="19">[3]Main!#REF!</definedName>
    <definedName name="Sell_Div_2">[3]Main!#REF!</definedName>
    <definedName name="Sell_Div_3" localSheetId="19">[3]Main!#REF!</definedName>
    <definedName name="Sell_Div_3">[3]Main!#REF!</definedName>
    <definedName name="Sell_Div_4" localSheetId="19">[3]Main!#REF!</definedName>
    <definedName name="Sell_Div_4">[3]Main!#REF!</definedName>
    <definedName name="Sell_Div_5" localSheetId="19">[3]Main!#REF!</definedName>
    <definedName name="Sell_Div_5">[3]Main!#REF!</definedName>
    <definedName name="Sell_Div_6" localSheetId="19">[3]Main!#REF!</definedName>
    <definedName name="Sell_Div_6">[3]Main!#REF!</definedName>
    <definedName name="Sell_Div_7" localSheetId="19">[3]Main!#REF!</definedName>
    <definedName name="Sell_Div_7">[3]Main!#REF!</definedName>
    <definedName name="Sell_Div_8" localSheetId="19">[3]Main!#REF!</definedName>
    <definedName name="Sell_Div_8">[3]Main!#REF!</definedName>
    <definedName name="Sell_JV_1" localSheetId="19">[3]Main!#REF!</definedName>
    <definedName name="Sell_JV_1">[3]Main!#REF!</definedName>
    <definedName name="Sell_JV_2" localSheetId="19">[3]Main!#REF!</definedName>
    <definedName name="Sell_JV_2">[3]Main!#REF!</definedName>
    <definedName name="Senior_TrancheA1_HoldCo" localSheetId="19">#REF!</definedName>
    <definedName name="Senior_TrancheA1_HoldCo" localSheetId="18">#REF!</definedName>
    <definedName name="Senior_TrancheA1_HoldCo">#REF!</definedName>
    <definedName name="Senior_TrancheA1_OpCo" localSheetId="19">#REF!</definedName>
    <definedName name="Senior_TrancheA1_OpCo" localSheetId="18">#REF!</definedName>
    <definedName name="Senior_TrancheA1_OpCo">#REF!</definedName>
    <definedName name="Senior_TrancheA2_HoldCo" localSheetId="19">#REF!</definedName>
    <definedName name="Senior_TrancheA2_HoldCo" localSheetId="18">#REF!</definedName>
    <definedName name="Senior_TrancheA2_HoldCo">#REF!</definedName>
    <definedName name="Senior_TrancheA2_OpCo" localSheetId="19">#REF!</definedName>
    <definedName name="Senior_TrancheA2_OpCo" localSheetId="18">#REF!</definedName>
    <definedName name="Senior_TrancheA2_OpCo">#REF!</definedName>
    <definedName name="Senior_TrancheB_HoldCo" localSheetId="19">#REF!</definedName>
    <definedName name="Senior_TrancheB_HoldCo" localSheetId="18">#REF!</definedName>
    <definedName name="Senior_TrancheB_HoldCo">#REF!</definedName>
    <definedName name="Senior_TrancheB_OpCo" localSheetId="19">#REF!</definedName>
    <definedName name="Senior_TrancheB_OpCo" localSheetId="18">#REF!</definedName>
    <definedName name="Senior_TrancheB_OpCo">#REF!</definedName>
    <definedName name="Senior_TrancheC_HoldCo" localSheetId="19">#REF!</definedName>
    <definedName name="Senior_TrancheC_HoldCo" localSheetId="18">#REF!</definedName>
    <definedName name="Senior_TrancheC_HoldCo">#REF!</definedName>
    <definedName name="Senior_TrancheC_OpCo" localSheetId="19">#REF!</definedName>
    <definedName name="Senior_TrancheC_OpCo" localSheetId="18">#REF!</definedName>
    <definedName name="Senior_TrancheC_OpCo">#REF!</definedName>
    <definedName name="SeniorDebt_Allocation_Range" localSheetId="19">#REF!</definedName>
    <definedName name="SeniorDebt_Allocation_Range" localSheetId="18">#REF!</definedName>
    <definedName name="SeniorDebt_Allocation_Range">#REF!</definedName>
    <definedName name="sens" localSheetId="19">#REF!</definedName>
    <definedName name="sens" localSheetId="18">#REF!</definedName>
    <definedName name="sens">#REF!</definedName>
    <definedName name="SENS_P" localSheetId="19">#REF!</definedName>
    <definedName name="SENS_P" localSheetId="18">#REF!</definedName>
    <definedName name="SENS_P">#REF!</definedName>
    <definedName name="Sens1">[99]IRR!$D$3</definedName>
    <definedName name="Sens2">[99]IRR!$D$4</definedName>
    <definedName name="Sens3">[76]IRR!$D$5</definedName>
    <definedName name="Sens4">[76]IRR!$D$6</definedName>
    <definedName name="Sens5">[99]IRR!$D$7</definedName>
    <definedName name="Sens6">[99]IRR!$D$8</definedName>
    <definedName name="Sens7" localSheetId="19">[11]DCF!#REF!</definedName>
    <definedName name="Sens7">[11]DCF!#REF!</definedName>
    <definedName name="Sensitivity" localSheetId="19">[100]!Sensitivity</definedName>
    <definedName name="Sensitivity" localSheetId="5">[100]!Sensitivity</definedName>
    <definedName name="Sensitivity">[100]!Sensitivity</definedName>
    <definedName name="server" localSheetId="19">#REF!</definedName>
    <definedName name="server" localSheetId="18">#REF!</definedName>
    <definedName name="server">#REF!</definedName>
    <definedName name="SH" localSheetId="19">'[78]Sources &amp; Uses'!#REF!</definedName>
    <definedName name="SH" localSheetId="18">'[78]Sources &amp; Uses'!#REF!</definedName>
    <definedName name="SH">'[78]Sources &amp; Uses'!#REF!</definedName>
    <definedName name="share_tog" localSheetId="19">#REF!</definedName>
    <definedName name="share_tog" localSheetId="18">#REF!</definedName>
    <definedName name="share_tog">#REF!</definedName>
    <definedName name="SHAREA" localSheetId="19">[101]Financing!#REF!</definedName>
    <definedName name="SHAREA" localSheetId="18">[101]Financing!#REF!</definedName>
    <definedName name="SHAREA">[101]Financing!#REF!</definedName>
    <definedName name="SHAREB" localSheetId="19">[101]Financing!#REF!</definedName>
    <definedName name="SHAREB" localSheetId="18">[101]Financing!#REF!</definedName>
    <definedName name="SHAREB">[101]Financing!#REF!</definedName>
    <definedName name="sharecap" localSheetId="19">#REF!</definedName>
    <definedName name="sharecap" localSheetId="18">#REF!</definedName>
    <definedName name="sharecap">#REF!</definedName>
    <definedName name="shares" localSheetId="19">#REF!</definedName>
    <definedName name="shares" localSheetId="18">#REF!</definedName>
    <definedName name="shares">#REF!</definedName>
    <definedName name="sHeadcount" localSheetId="19">#REF!</definedName>
    <definedName name="sHeadcount" localSheetId="18">#REF!</definedName>
    <definedName name="sHeadcount">#REF!</definedName>
    <definedName name="sHiring" localSheetId="19">#REF!</definedName>
    <definedName name="sHiring" localSheetId="18">#REF!</definedName>
    <definedName name="sHiring">#REF!</definedName>
    <definedName name="shos" localSheetId="19">#REF!</definedName>
    <definedName name="shos" localSheetId="18">#REF!</definedName>
    <definedName name="shos">#REF!</definedName>
    <definedName name="SL_Sh2">[55]INPUT!$H$144</definedName>
    <definedName name="SL_Sh3">[55]INPUT!$H$145</definedName>
    <definedName name="SMS.termination.rate" localSheetId="19">#REF!</definedName>
    <definedName name="SMS.termination.rate" localSheetId="18">#REF!</definedName>
    <definedName name="SMS.termination.rate">#REF!</definedName>
    <definedName name="SMS_Forfait_1" localSheetId="19">#REF!</definedName>
    <definedName name="SMS_Forfait_1" localSheetId="18">#REF!</definedName>
    <definedName name="SMS_Forfait_1">#REF!</definedName>
    <definedName name="SMS_Forfait_10" localSheetId="19">#REF!</definedName>
    <definedName name="SMS_Forfait_10" localSheetId="18">#REF!</definedName>
    <definedName name="SMS_Forfait_10">#REF!</definedName>
    <definedName name="SMS_Forfait_11" localSheetId="19">#REF!</definedName>
    <definedName name="SMS_Forfait_11" localSheetId="18">#REF!</definedName>
    <definedName name="SMS_Forfait_11">#REF!</definedName>
    <definedName name="SMS_Forfait_12" localSheetId="19">#REF!</definedName>
    <definedName name="SMS_Forfait_12" localSheetId="18">#REF!</definedName>
    <definedName name="SMS_Forfait_12">#REF!</definedName>
    <definedName name="SMS_Forfait_13" localSheetId="19">#REF!</definedName>
    <definedName name="SMS_Forfait_13" localSheetId="18">#REF!</definedName>
    <definedName name="SMS_Forfait_13">#REF!</definedName>
    <definedName name="SMS_Forfait_14" localSheetId="19">#REF!</definedName>
    <definedName name="SMS_Forfait_14" localSheetId="18">#REF!</definedName>
    <definedName name="SMS_Forfait_14">#REF!</definedName>
    <definedName name="SMS_Forfait_15" localSheetId="19">#REF!</definedName>
    <definedName name="SMS_Forfait_15" localSheetId="18">#REF!</definedName>
    <definedName name="SMS_Forfait_15">#REF!</definedName>
    <definedName name="SMS_Forfait_2" localSheetId="19">#REF!</definedName>
    <definedName name="SMS_Forfait_2" localSheetId="18">#REF!</definedName>
    <definedName name="SMS_Forfait_2">#REF!</definedName>
    <definedName name="SMS_Forfait_3" localSheetId="19">#REF!</definedName>
    <definedName name="SMS_Forfait_3" localSheetId="18">#REF!</definedName>
    <definedName name="SMS_Forfait_3">#REF!</definedName>
    <definedName name="SMS_Forfait_4" localSheetId="19">#REF!</definedName>
    <definedName name="SMS_Forfait_4" localSheetId="18">#REF!</definedName>
    <definedName name="SMS_Forfait_4">#REF!</definedName>
    <definedName name="SMS_Forfait_5" localSheetId="19">#REF!</definedName>
    <definedName name="SMS_Forfait_5" localSheetId="18">#REF!</definedName>
    <definedName name="SMS_Forfait_5">#REF!</definedName>
    <definedName name="SMS_Forfait_6" localSheetId="19">#REF!</definedName>
    <definedName name="SMS_Forfait_6" localSheetId="18">#REF!</definedName>
    <definedName name="SMS_Forfait_6">#REF!</definedName>
    <definedName name="SMS_Forfait_7" localSheetId="19">#REF!</definedName>
    <definedName name="SMS_Forfait_7" localSheetId="18">#REF!</definedName>
    <definedName name="SMS_Forfait_7">#REF!</definedName>
    <definedName name="SMS_Forfait_8" localSheetId="19">#REF!</definedName>
    <definedName name="SMS_Forfait_8" localSheetId="18">#REF!</definedName>
    <definedName name="SMS_Forfait_8">#REF!</definedName>
    <definedName name="SMS_Forfait_9" localSheetId="19">#REF!</definedName>
    <definedName name="SMS_Forfait_9" localSheetId="18">#REF!</definedName>
    <definedName name="SMS_Forfait_9">#REF!</definedName>
    <definedName name="SMS_Hors_Forfait_1" localSheetId="19">#REF!</definedName>
    <definedName name="SMS_Hors_Forfait_1" localSheetId="18">#REF!</definedName>
    <definedName name="SMS_Hors_Forfait_1">#REF!</definedName>
    <definedName name="SMS_Hors_Forfait_10" localSheetId="19">#REF!</definedName>
    <definedName name="SMS_Hors_Forfait_10" localSheetId="18">#REF!</definedName>
    <definedName name="SMS_Hors_Forfait_10">#REF!</definedName>
    <definedName name="SMS_Hors_Forfait_11" localSheetId="19">#REF!</definedName>
    <definedName name="SMS_Hors_Forfait_11" localSheetId="18">#REF!</definedName>
    <definedName name="SMS_Hors_Forfait_11">#REF!</definedName>
    <definedName name="SMS_Hors_Forfait_12" localSheetId="19">#REF!</definedName>
    <definedName name="SMS_Hors_Forfait_12" localSheetId="18">#REF!</definedName>
    <definedName name="SMS_Hors_Forfait_12">#REF!</definedName>
    <definedName name="SMS_Hors_Forfait_13" localSheetId="19">#REF!</definedName>
    <definedName name="SMS_Hors_Forfait_13" localSheetId="18">#REF!</definedName>
    <definedName name="SMS_Hors_Forfait_13">#REF!</definedName>
    <definedName name="SMS_Hors_Forfait_14" localSheetId="19">#REF!</definedName>
    <definedName name="SMS_Hors_Forfait_14" localSheetId="18">#REF!</definedName>
    <definedName name="SMS_Hors_Forfait_14">#REF!</definedName>
    <definedName name="SMS_Hors_Forfait_15" localSheetId="19">#REF!</definedName>
    <definedName name="SMS_Hors_Forfait_15" localSheetId="18">#REF!</definedName>
    <definedName name="SMS_Hors_Forfait_15">#REF!</definedName>
    <definedName name="SMS_Hors_Forfait_2" localSheetId="19">#REF!</definedName>
    <definedName name="SMS_Hors_Forfait_2" localSheetId="18">#REF!</definedName>
    <definedName name="SMS_Hors_Forfait_2">#REF!</definedName>
    <definedName name="SMS_Hors_Forfait_3" localSheetId="19">#REF!</definedName>
    <definedName name="SMS_Hors_Forfait_3" localSheetId="18">#REF!</definedName>
    <definedName name="SMS_Hors_Forfait_3">#REF!</definedName>
    <definedName name="SMS_Hors_Forfait_4" localSheetId="19">#REF!</definedName>
    <definedName name="SMS_Hors_Forfait_4" localSheetId="18">#REF!</definedName>
    <definedName name="SMS_Hors_Forfait_4">#REF!</definedName>
    <definedName name="SMS_Hors_Forfait_5" localSheetId="19">#REF!</definedName>
    <definedName name="SMS_Hors_Forfait_5" localSheetId="18">#REF!</definedName>
    <definedName name="SMS_Hors_Forfait_5">#REF!</definedName>
    <definedName name="SMS_Hors_Forfait_6" localSheetId="19">#REF!</definedName>
    <definedName name="SMS_Hors_Forfait_6" localSheetId="18">#REF!</definedName>
    <definedName name="SMS_Hors_Forfait_6">#REF!</definedName>
    <definedName name="SMS_Hors_Forfait_7" localSheetId="19">#REF!</definedName>
    <definedName name="SMS_Hors_Forfait_7" localSheetId="18">#REF!</definedName>
    <definedName name="SMS_Hors_Forfait_7">#REF!</definedName>
    <definedName name="SMS_Hors_Forfait_8" localSheetId="19">#REF!</definedName>
    <definedName name="SMS_Hors_Forfait_8" localSheetId="18">#REF!</definedName>
    <definedName name="SMS_Hors_Forfait_8">#REF!</definedName>
    <definedName name="SMS_Hors_Forfait_9" localSheetId="19">#REF!</definedName>
    <definedName name="SMS_Hors_Forfait_9" localSheetId="18">#REF!</definedName>
    <definedName name="SMS_Hors_Forfait_9">#REF!</definedName>
    <definedName name="SocialCost" localSheetId="19">#REF!</definedName>
    <definedName name="SocialCost" localSheetId="18">#REF!</definedName>
    <definedName name="SocialCost">#REF!</definedName>
    <definedName name="SOCIETE" localSheetId="19">#REF!</definedName>
    <definedName name="SOCIETE" localSheetId="18">#REF!</definedName>
    <definedName name="SOCIETE">#REF!</definedName>
    <definedName name="SOCIETES" localSheetId="19">'[73]CA NCN 04-09 2005'!#REF!</definedName>
    <definedName name="SOCIETES" localSheetId="18">'[73]CA NCN 04-09 2005'!#REF!</definedName>
    <definedName name="SOCIETES">'[73]CA NCN 04-09 2005'!#REF!</definedName>
    <definedName name="SOLUTIONSMULTS" localSheetId="19">#REF!</definedName>
    <definedName name="SOLUTIONSMULTS" localSheetId="18">#REF!</definedName>
    <definedName name="SOLUTIONSMULTS">#REF!</definedName>
    <definedName name="sonbench" localSheetId="19">#REF!</definedName>
    <definedName name="sonbench" localSheetId="18">#REF!</definedName>
    <definedName name="sonbench">#REF!</definedName>
    <definedName name="sonlabels" localSheetId="19">#REF!</definedName>
    <definedName name="sonlabels" localSheetId="18">#REF!</definedName>
    <definedName name="sonlabels">#REF!</definedName>
    <definedName name="sonsoparea" localSheetId="19">#REF!</definedName>
    <definedName name="sonsoparea" localSheetId="18">#REF!</definedName>
    <definedName name="sonsoparea">#REF!</definedName>
    <definedName name="Source_workin_capital">"Zone combinée 21"</definedName>
    <definedName name="Sources_CashEquity" localSheetId="19">#REF!</definedName>
    <definedName name="Sources_CashEquity">#REF!</definedName>
    <definedName name="Sources_PIKPref" localSheetId="19">#REF!</definedName>
    <definedName name="Sources_PIKPref" localSheetId="18">#REF!</definedName>
    <definedName name="Sources_PIKPref">#REF!</definedName>
    <definedName name="Sources_RefiProForma" localSheetId="19">#REF!</definedName>
    <definedName name="Sources_RefiProForma" localSheetId="18">#REF!</definedName>
    <definedName name="Sources_RefiProForma">#REF!</definedName>
    <definedName name="Sources_SecondLien" localSheetId="19">#REF!</definedName>
    <definedName name="Sources_SecondLien" localSheetId="18">#REF!</definedName>
    <definedName name="Sources_SecondLien">#REF!</definedName>
    <definedName name="Sources_SeniorDebtTrA" localSheetId="19">#REF!</definedName>
    <definedName name="Sources_SeniorDebtTrA" localSheetId="18">#REF!</definedName>
    <definedName name="Sources_SeniorDebtTrA">#REF!</definedName>
    <definedName name="Sources_SeniorDebtTrB" localSheetId="19">#REF!</definedName>
    <definedName name="Sources_SeniorDebtTrB" localSheetId="18">#REF!</definedName>
    <definedName name="Sources_SeniorDebtTrB">#REF!</definedName>
    <definedName name="Sources_SeniorDebtTrC" localSheetId="19">#REF!</definedName>
    <definedName name="Sources_SeniorDebtTrC" localSheetId="18">#REF!</definedName>
    <definedName name="Sources_SeniorDebtTrC">#REF!</definedName>
    <definedName name="Sources_ShareholdersLoans" localSheetId="19">#REF!</definedName>
    <definedName name="Sources_ShareholdersLoans" localSheetId="18">#REF!</definedName>
    <definedName name="Sources_ShareholdersLoans">#REF!</definedName>
    <definedName name="Sources_SubDebt" localSheetId="19">#REF!</definedName>
    <definedName name="Sources_SubDebt" localSheetId="18">#REF!</definedName>
    <definedName name="Sources_SubDebt">#REF!</definedName>
    <definedName name="sp" localSheetId="19">#REF!</definedName>
    <definedName name="sp" localSheetId="18">#REF!</definedName>
    <definedName name="sp">#REF!</definedName>
    <definedName name="Spin_Div_1" localSheetId="19">[3]Main!#REF!</definedName>
    <definedName name="Spin_Div_1" localSheetId="18">[3]Main!#REF!</definedName>
    <definedName name="Spin_Div_1">[3]Main!#REF!</definedName>
    <definedName name="Spin_Div_2" localSheetId="19">[3]Main!#REF!</definedName>
    <definedName name="Spin_Div_2" localSheetId="18">[3]Main!#REF!</definedName>
    <definedName name="Spin_Div_2">[3]Main!#REF!</definedName>
    <definedName name="Spin_Div_3" localSheetId="19">[3]Main!#REF!</definedName>
    <definedName name="Spin_Div_3" localSheetId="18">[3]Main!#REF!</definedName>
    <definedName name="Spin_Div_3">[3]Main!#REF!</definedName>
    <definedName name="Spin_Div_4" localSheetId="19">[3]Main!#REF!</definedName>
    <definedName name="Spin_Div_4" localSheetId="18">[3]Main!#REF!</definedName>
    <definedName name="Spin_Div_4">[3]Main!#REF!</definedName>
    <definedName name="Spin_Div_5" localSheetId="19">[3]Main!#REF!</definedName>
    <definedName name="Spin_Div_5" localSheetId="18">[3]Main!#REF!</definedName>
    <definedName name="Spin_Div_5">[3]Main!#REF!</definedName>
    <definedName name="Spin_Div_5\" localSheetId="19">[3]Main!#REF!</definedName>
    <definedName name="Spin_Div_5\">[3]Main!#REF!</definedName>
    <definedName name="Spin_Div_6" localSheetId="19">[3]Main!#REF!</definedName>
    <definedName name="Spin_Div_6">[3]Main!#REF!</definedName>
    <definedName name="Spin_Div_7" localSheetId="19">[3]Main!#REF!</definedName>
    <definedName name="Spin_Div_7">[3]Main!#REF!</definedName>
    <definedName name="Spin_Div_8" localSheetId="19">[3]Main!#REF!</definedName>
    <definedName name="Spin_Div_8">[3]Main!#REF!</definedName>
    <definedName name="Spin_JV_1" localSheetId="19">[3]Main!#REF!</definedName>
    <definedName name="Spin_JV_1">[3]Main!#REF!</definedName>
    <definedName name="Spin_JV_2" localSheetId="19">[3]Main!#REF!</definedName>
    <definedName name="Spin_JV_2">[3]Main!#REF!</definedName>
    <definedName name="spsales" localSheetId="19">[5]Sensetivities!#REF!</definedName>
    <definedName name="spsales">[5]Sensetivities!#REF!</definedName>
    <definedName name="spunit">[10]Macros!$D$12</definedName>
    <definedName name="sSalaires" localSheetId="19">#REF!</definedName>
    <definedName name="sSalaires" localSheetId="18">#REF!</definedName>
    <definedName name="sSalaires">#REF!</definedName>
    <definedName name="SSGROUPE" localSheetId="19">'[73]CA NCN 04-09 2005'!#REF!</definedName>
    <definedName name="SSGROUPE" localSheetId="18">'[73]CA NCN 04-09 2005'!#REF!</definedName>
    <definedName name="SSGROUPE">'[73]CA NCN 04-09 2005'!#REF!</definedName>
    <definedName name="Staff" localSheetId="19">#REF!</definedName>
    <definedName name="Staff" localSheetId="18">#REF!</definedName>
    <definedName name="Staff">#REF!</definedName>
    <definedName name="Staff_to_Line_Ratio" localSheetId="19">'[10]Cashflow-Pre'!#REF!</definedName>
    <definedName name="Staff_to_Line_Ratio" localSheetId="18">'[10]Cashflow-Pre'!#REF!</definedName>
    <definedName name="Staff_to_Line_Ratio">'[10]Cashflow-Pre'!#REF!</definedName>
    <definedName name="staffcosts" localSheetId="19">#REF!</definedName>
    <definedName name="staffcosts" localSheetId="18">#REF!</definedName>
    <definedName name="staffcosts">#REF!</definedName>
    <definedName name="Standby_facility_committed">[82]Assumption!$B$9</definedName>
    <definedName name="START_D" localSheetId="19">#REF!</definedName>
    <definedName name="START_D" localSheetId="18">#REF!</definedName>
    <definedName name="START_D">#REF!</definedName>
    <definedName name="START_M" localSheetId="19">#REF!</definedName>
    <definedName name="START_M" localSheetId="18">#REF!</definedName>
    <definedName name="START_M">#REF!</definedName>
    <definedName name="static.ce.target.price" localSheetId="19">#REF!</definedName>
    <definedName name="static.ce.target.price" localSheetId="18">#REF!</definedName>
    <definedName name="static.ce.target.price">#REF!</definedName>
    <definedName name="StatsBox" localSheetId="19">#REF!</definedName>
    <definedName name="StatsBox" localSheetId="18">#REF!</definedName>
    <definedName name="StatsBox">#REF!</definedName>
    <definedName name="std" localSheetId="19">#REF!</definedName>
    <definedName name="std" localSheetId="18">#REF!</definedName>
    <definedName name="std">#REF!</definedName>
    <definedName name="stet" localSheetId="19">#REF!</definedName>
    <definedName name="stet" localSheetId="18">#REF!</definedName>
    <definedName name="stet">#REF!</definedName>
    <definedName name="STETEVEBITDA97" localSheetId="19">[7]Fixed!#REF!</definedName>
    <definedName name="STETEVEBITDA97" localSheetId="18">[7]Fixed!#REF!</definedName>
    <definedName name="STETEVEBITDA97">[7]Fixed!#REF!</definedName>
    <definedName name="STETEVEBITDA98" localSheetId="19">[7]Fixed!#REF!</definedName>
    <definedName name="STETEVEBITDA98" localSheetId="18">[7]Fixed!#REF!</definedName>
    <definedName name="STETEVEBITDA98">[7]Fixed!#REF!</definedName>
    <definedName name="STETHELprice" localSheetId="19">'[63]Cellular '!#REF!</definedName>
    <definedName name="STETHELprice" localSheetId="18">'[63]Cellular '!#REF!</definedName>
    <definedName name="STETHELprice">'[63]Cellular '!#REF!</definedName>
    <definedName name="STETPE97" localSheetId="19">[7]Fixed!#REF!</definedName>
    <definedName name="STETPE97" localSheetId="18">[7]Fixed!#REF!</definedName>
    <definedName name="STETPE97">[7]Fixed!#REF!</definedName>
    <definedName name="STETPE98" localSheetId="19">[7]Fixed!#REF!</definedName>
    <definedName name="STETPE98" localSheetId="18">[7]Fixed!#REF!</definedName>
    <definedName name="STETPE98">[7]Fixed!#REF!</definedName>
    <definedName name="STETPERel97" localSheetId="19">[7]Fixed!#REF!</definedName>
    <definedName name="STETPERel97">[7]Fixed!#REF!</definedName>
    <definedName name="STETPERel98" localSheetId="19">[7]Fixed!#REF!</definedName>
    <definedName name="STETPERel98">[7]Fixed!#REF!</definedName>
    <definedName name="STETprice" localSheetId="19">[7]Fixed!#REF!</definedName>
    <definedName name="STETprice">[7]Fixed!#REF!</definedName>
    <definedName name="STETrec" localSheetId="19">[7]Fixed!#REF!</definedName>
    <definedName name="STETrec">[7]Fixed!#REF!</definedName>
    <definedName name="STETTi_evebitda97" localSheetId="19">[7]Fixed!#REF!</definedName>
    <definedName name="STETTi_evebitda97">[7]Fixed!#REF!</definedName>
    <definedName name="STETTi_evebitda98" localSheetId="19">[7]Fixed!#REF!</definedName>
    <definedName name="STETTi_evebitda98">[7]Fixed!#REF!</definedName>
    <definedName name="STETTi_pe97" localSheetId="19">[7]Fixed!#REF!</definedName>
    <definedName name="STETTi_pe97">[7]Fixed!#REF!</definedName>
    <definedName name="STETTi_pe98" localSheetId="19">[7]Fixed!#REF!</definedName>
    <definedName name="STETTi_pe98">[7]Fixed!#REF!</definedName>
    <definedName name="STETTi_price" localSheetId="19">[7]Fixed!#REF!</definedName>
    <definedName name="STETTi_price">[7]Fixed!#REF!</definedName>
    <definedName name="STETTi_y97" localSheetId="19">[7]Fixed!#REF!</definedName>
    <definedName name="STETTi_y97">[7]Fixed!#REF!</definedName>
    <definedName name="STETTi_y98" localSheetId="19">[7]Fixed!#REF!</definedName>
    <definedName name="STETTi_y98">[7]Fixed!#REF!</definedName>
    <definedName name="STETTirec" localSheetId="19">[7]Fixed!#REF!</definedName>
    <definedName name="STETTirec">[7]Fixed!#REF!</definedName>
    <definedName name="STETy97" localSheetId="19">[7]Fixed!#REF!</definedName>
    <definedName name="STETy97">[7]Fixed!#REF!</definedName>
    <definedName name="STETy98" localSheetId="19">[7]Fixed!#REF!</definedName>
    <definedName name="STETy98">[7]Fixed!#REF!</definedName>
    <definedName name="stocks" localSheetId="19">#REF!</definedName>
    <definedName name="stocks" localSheetId="18">#REF!</definedName>
    <definedName name="stocks">#REF!</definedName>
    <definedName name="sTravels" localSheetId="19">#REF!</definedName>
    <definedName name="sTravels" localSheetId="18">#REF!</definedName>
    <definedName name="sTravels">#REF!</definedName>
    <definedName name="strucO" localSheetId="19">#REF!</definedName>
    <definedName name="strucO" localSheetId="18">#REF!</definedName>
    <definedName name="strucO">#REF!</definedName>
    <definedName name="Structure" localSheetId="19">#REF!</definedName>
    <definedName name="Structure" localSheetId="18">#REF!</definedName>
    <definedName name="Structure">#REF!</definedName>
    <definedName name="su" localSheetId="19">[102]Frontsheet!#REF!</definedName>
    <definedName name="su" localSheetId="18">[102]Frontsheet!#REF!</definedName>
    <definedName name="su">[102]Frontsheet!#REF!</definedName>
    <definedName name="sub" localSheetId="19">#REF!</definedName>
    <definedName name="sub" localSheetId="18">#REF!</definedName>
    <definedName name="sub">#REF!</definedName>
    <definedName name="Sub_Name1" localSheetId="19">#REF!</definedName>
    <definedName name="Sub_Name1" localSheetId="18">#REF!</definedName>
    <definedName name="Sub_Name1">#REF!</definedName>
    <definedName name="Sub_Name2" localSheetId="19">#REF!</definedName>
    <definedName name="Sub_Name2" localSheetId="18">#REF!</definedName>
    <definedName name="Sub_Name2">#REF!</definedName>
    <definedName name="Sub_Name3" localSheetId="19">#REF!</definedName>
    <definedName name="Sub_Name3" localSheetId="18">#REF!</definedName>
    <definedName name="Sub_Name3">#REF!</definedName>
    <definedName name="Sub_sectors">[84]Parameters!$D$40:$D$57</definedName>
    <definedName name="SUBPIKYRS" localSheetId="19">[3]LBO!#REF!</definedName>
    <definedName name="SUBPIKYRS">[3]LBO!#REF!</definedName>
    <definedName name="subrev" localSheetId="19">'[85]Rev Breakout'!#REF!</definedName>
    <definedName name="subrev">'[85]Rev Breakout'!#REF!</definedName>
    <definedName name="sum_loc_mins" localSheetId="19">[103]!sum_loc_mins</definedName>
    <definedName name="sum_loc_mins" localSheetId="5">[103]!sum_loc_mins</definedName>
    <definedName name="sum_loc_mins">[103]!sum_loc_mins</definedName>
    <definedName name="sum_mins" localSheetId="19">[103]!sum_mins</definedName>
    <definedName name="sum_mins" localSheetId="5">[103]!sum_mins</definedName>
    <definedName name="sum_mins">[103]!sum_mins</definedName>
    <definedName name="summary" localSheetId="19">#REF!</definedName>
    <definedName name="summary" localSheetId="18">#REF!</definedName>
    <definedName name="summary">#REF!</definedName>
    <definedName name="Supplier_credit" localSheetId="19">'[10]Cashflow-Post'!#REF!</definedName>
    <definedName name="Supplier_credit" localSheetId="18">'[10]Cashflow-Post'!#REF!</definedName>
    <definedName name="Supplier_credit">'[10]Cashflow-Post'!#REF!</definedName>
    <definedName name="SUPPLIERDAYSCAP">'[37]Inflation &amp; Currency'!$F$67</definedName>
    <definedName name="SUPPLIERDAYSOP">'[37]Inflation &amp; Currency'!$J$67</definedName>
    <definedName name="swap" localSheetId="19">#REF!</definedName>
    <definedName name="swap" localSheetId="18">#REF!</definedName>
    <definedName name="swap">#REF!</definedName>
    <definedName name="swingcogs" localSheetId="19">[5]Model!#REF!</definedName>
    <definedName name="swingcogs" localSheetId="18">[5]Model!#REF!</definedName>
    <definedName name="swingcogs">[5]Model!#REF!</definedName>
    <definedName name="swinggross" localSheetId="19">[5]Model!#REF!</definedName>
    <definedName name="swinggross">[5]Model!#REF!</definedName>
    <definedName name="swingop" localSheetId="19">[5]Model!#REF!</definedName>
    <definedName name="swingop">[5]Model!#REF!</definedName>
    <definedName name="SWISSa1">[18]SWISS1!$A$8:$Q$87</definedName>
    <definedName name="SWISSa2">[18]SWISS2!$B$9:$X$62</definedName>
    <definedName name="SWISSM1">[18]Multmod!$D$125:$G$126</definedName>
    <definedName name="SWISSM2">[18]Multmod!$D$127:$G$128</definedName>
    <definedName name="SWISSM3">[18]Multmod!$D$129:$G$130</definedName>
    <definedName name="SWISSM4">[18]Multmod!$D$131:$G$131</definedName>
    <definedName name="SWISSM5">[18]Multmod!$C$132:$G$141</definedName>
    <definedName name="swissmult">[18]Multmod!$C$125:$G$141</definedName>
    <definedName name="swisssop1">[18]SWISS2!$AA$23:$AG$26</definedName>
    <definedName name="SWISSTP1">[18]SWISS1!$S$6</definedName>
    <definedName name="swisstp2">[18]SWISS2!$AR$4</definedName>
    <definedName name="switchcase">[104]Assumptions!$N$31</definedName>
    <definedName name="syncheck" localSheetId="19">#REF!</definedName>
    <definedName name="syncheck" localSheetId="18">#REF!</definedName>
    <definedName name="syncheck">#REF!</definedName>
    <definedName name="SYNERGIES_P">[10]Debt!$A$1:$V$50</definedName>
    <definedName name="T" localSheetId="19">'[12]Fleet &amp; Costs'!#REF!</definedName>
    <definedName name="T">'[12]Fleet &amp; Costs'!#REF!</definedName>
    <definedName name="TABLE1">[10]Offer!$Q$10:$R$23</definedName>
    <definedName name="TABLE2" localSheetId="19">#REF!</definedName>
    <definedName name="TABLE2" localSheetId="18">#REF!</definedName>
    <definedName name="TABLE2">#REF!</definedName>
    <definedName name="Tangible_Fixed_Assets" localSheetId="19">#REF!</definedName>
    <definedName name="Tangible_Fixed_Assets" localSheetId="18">#REF!</definedName>
    <definedName name="Tangible_Fixed_Assets">#REF!</definedName>
    <definedName name="Tar_ass">'[38]Options &amp; Results'!$C$38</definedName>
    <definedName name="tarcuoac">'[83]Market hypotesis'!$A$134:$IV$134</definedName>
    <definedName name="tarcuobc">'[83]Market hypotesis'!$A$125:$IV$125</definedName>
    <definedName name="Target">[55]INPUT!$E$10</definedName>
    <definedName name="Target_IRR">[55]REQUEST_TABLE!$G$52</definedName>
    <definedName name="TargetExit">[55]REQUEST_TABLE!$O$64</definedName>
    <definedName name="TargetPrivate">[55]REQUEST_TABLE!$K$64</definedName>
    <definedName name="TargetPublic">[55]REQUEST_TABLE!$K$65</definedName>
    <definedName name="Tarif_Forfait_1" localSheetId="19">#REF!</definedName>
    <definedName name="Tarif_Forfait_1" localSheetId="18">#REF!</definedName>
    <definedName name="Tarif_Forfait_1">#REF!</definedName>
    <definedName name="Tarif_Forfait_10" localSheetId="19">#REF!</definedName>
    <definedName name="Tarif_Forfait_10" localSheetId="18">#REF!</definedName>
    <definedName name="Tarif_Forfait_10">#REF!</definedName>
    <definedName name="Tarif_Forfait_11" localSheetId="19">#REF!</definedName>
    <definedName name="Tarif_Forfait_11" localSheetId="18">#REF!</definedName>
    <definedName name="Tarif_Forfait_11">#REF!</definedName>
    <definedName name="Tarif_Forfait_12" localSheetId="19">#REF!</definedName>
    <definedName name="Tarif_Forfait_12" localSheetId="18">#REF!</definedName>
    <definedName name="Tarif_Forfait_12">#REF!</definedName>
    <definedName name="Tarif_Forfait_13" localSheetId="19">#REF!</definedName>
    <definedName name="Tarif_Forfait_13" localSheetId="18">#REF!</definedName>
    <definedName name="Tarif_Forfait_13">#REF!</definedName>
    <definedName name="Tarif_Forfait_14" localSheetId="19">#REF!</definedName>
    <definedName name="Tarif_Forfait_14" localSheetId="18">#REF!</definedName>
    <definedName name="Tarif_Forfait_14">#REF!</definedName>
    <definedName name="Tarif_Forfait_15" localSheetId="19">#REF!</definedName>
    <definedName name="Tarif_Forfait_15" localSheetId="18">#REF!</definedName>
    <definedName name="Tarif_Forfait_15">#REF!</definedName>
    <definedName name="Tarif_Forfait_2" localSheetId="19">#REF!</definedName>
    <definedName name="Tarif_Forfait_2" localSheetId="18">#REF!</definedName>
    <definedName name="Tarif_Forfait_2">#REF!</definedName>
    <definedName name="Tarif_Forfait_3" localSheetId="19">#REF!</definedName>
    <definedName name="Tarif_Forfait_3" localSheetId="18">#REF!</definedName>
    <definedName name="Tarif_Forfait_3">#REF!</definedName>
    <definedName name="Tarif_Forfait_4" localSheetId="19">#REF!</definedName>
    <definedName name="Tarif_Forfait_4" localSheetId="18">#REF!</definedName>
    <definedName name="Tarif_Forfait_4">#REF!</definedName>
    <definedName name="Tarif_Forfait_5" localSheetId="19">#REF!</definedName>
    <definedName name="Tarif_Forfait_5" localSheetId="18">#REF!</definedName>
    <definedName name="Tarif_Forfait_5">#REF!</definedName>
    <definedName name="Tarif_Forfait_6" localSheetId="19">#REF!</definedName>
    <definedName name="Tarif_Forfait_6" localSheetId="18">#REF!</definedName>
    <definedName name="Tarif_Forfait_6">#REF!</definedName>
    <definedName name="Tarif_Forfait_7" localSheetId="19">#REF!</definedName>
    <definedName name="Tarif_Forfait_7" localSheetId="18">#REF!</definedName>
    <definedName name="Tarif_Forfait_7">#REF!</definedName>
    <definedName name="Tarif_Forfait_8" localSheetId="19">#REF!</definedName>
    <definedName name="Tarif_Forfait_8" localSheetId="18">#REF!</definedName>
    <definedName name="Tarif_Forfait_8">#REF!</definedName>
    <definedName name="Tarif_Forfait_9" localSheetId="19">#REF!</definedName>
    <definedName name="Tarif_Forfait_9" localSheetId="18">#REF!</definedName>
    <definedName name="Tarif_Forfait_9">#REF!</definedName>
    <definedName name="tarinpac">'[83]Market hypotesis'!$A$130:$IV$130</definedName>
    <definedName name="tarinpbc">'[83]Market hypotesis'!$A$121:$IV$121</definedName>
    <definedName name="tarintac">'[83]Market hypotesis'!$A$129:$IV$129</definedName>
    <definedName name="tarintbc">'[83]Market hypotesis'!$A$120:$IV$120</definedName>
    <definedName name="tarjoiac">'[83]Market hypotesis'!$A$135:$IV$135</definedName>
    <definedName name="tarjoibc">'[83]Market hypotesis'!$A$126:$IV$126</definedName>
    <definedName name="tarlocac">'[83]Market hypotesis'!$A$132:$IV$132</definedName>
    <definedName name="tarlocbc">'[83]Market hypotesis'!$A$123:$IV$123</definedName>
    <definedName name="tarmobac">'[83]Market hypotesis'!$A$133:$IV$133</definedName>
    <definedName name="tarmobbc">'[83]Market hypotesis'!$A$124:$IV$124</definedName>
    <definedName name="tarproac">'[83]Market hypotesis'!$A$131:$IV$131</definedName>
    <definedName name="tarprobc">'[83]Market hypotesis'!$A$122:$IV$122</definedName>
    <definedName name="TAUX_MARGE" localSheetId="19">'[105]Darty P&amp;L NUM'!#REF!</definedName>
    <definedName name="TAUX_MARGE">'[105]Darty P&amp;L NUM'!#REF!</definedName>
    <definedName name="Tavola_Comunale_Query" localSheetId="19">#REF!</definedName>
    <definedName name="Tavola_Comunale_Query" localSheetId="18">#REF!</definedName>
    <definedName name="Tavola_Comunale_Query">#REF!</definedName>
    <definedName name="Tax" localSheetId="19">'[10]Balance-Post'!#REF!</definedName>
    <definedName name="Tax" localSheetId="18">'[10]Balance-Post'!#REF!</definedName>
    <definedName name="Tax">'[10]Balance-Post'!#REF!</definedName>
    <definedName name="Tax_Free_Dividend_Paid" localSheetId="19">[3]Main!#REF!</definedName>
    <definedName name="Tax_Free_Dividend_Paid" localSheetId="18">[3]Main!#REF!</definedName>
    <definedName name="Tax_Free_Dividend_Paid">[3]Main!#REF!</definedName>
    <definedName name="TaxConso">[55]INPUT!$K$10</definedName>
    <definedName name="Taxes" localSheetId="19">[106]DCF!#REF!</definedName>
    <definedName name="Taxes">[106]DCF!#REF!</definedName>
    <definedName name="taxpaid" localSheetId="19">#REF!</definedName>
    <definedName name="taxpaid" localSheetId="18">#REF!</definedName>
    <definedName name="taxpaid">#REF!</definedName>
    <definedName name="TaxRate" localSheetId="19">'[10]Balance-Post'!#REF!</definedName>
    <definedName name="TaxRate" localSheetId="18">'[10]Balance-Post'!#REF!</definedName>
    <definedName name="TaxRate">'[10]Balance-Post'!#REF!</definedName>
    <definedName name="TCELevebitda97" localSheetId="19">'[63]Cellular '!#REF!</definedName>
    <definedName name="TCELevebitda97" localSheetId="18">'[63]Cellular '!#REF!</definedName>
    <definedName name="TCELevebitda97">'[63]Cellular '!#REF!</definedName>
    <definedName name="TCELevebitda98" localSheetId="19">'[63]Cellular '!#REF!</definedName>
    <definedName name="TCELevebitda98" localSheetId="18">'[63]Cellular '!#REF!</definedName>
    <definedName name="TCELevebitda98">'[63]Cellular '!#REF!</definedName>
    <definedName name="TCELpe97" localSheetId="19">'[63]Cellular '!#REF!</definedName>
    <definedName name="TCELpe97">'[63]Cellular '!#REF!</definedName>
    <definedName name="TCELpe98" localSheetId="19">'[63]Cellular '!#REF!</definedName>
    <definedName name="TCELpe98">'[63]Cellular '!#REF!</definedName>
    <definedName name="TCELperpop" localSheetId="19">'[63]Cellular '!#REF!</definedName>
    <definedName name="TCELperpop">'[63]Cellular '!#REF!</definedName>
    <definedName name="TCELprice">'[63]Cellular '!$A$61</definedName>
    <definedName name="TCELrec">'[63]Cellular '!$A$63</definedName>
    <definedName name="TDCa1">[18]TDC1!$A$8:$Q$87</definedName>
    <definedName name="TDCa2">[18]TDC2!$B$9:$X$63</definedName>
    <definedName name="TDCM1">[18]Multmod!$D$145:$G$146</definedName>
    <definedName name="tdcm2">[18]Multmod!$D$147:$G$148</definedName>
    <definedName name="tdcm3">[18]Multmod!$D$149:$G$150</definedName>
    <definedName name="tdcm4">[18]Multmod!$D$151:$G$151</definedName>
    <definedName name="tdcm5">[18]Multmod!$C$152:$G$161</definedName>
    <definedName name="tdcmult">[18]Multmod!$C$145:$G$161</definedName>
    <definedName name="tdcsop1">[18]TDC2!$AA$29:$AG$38</definedName>
    <definedName name="TDCTP1">[18]TDC1!$S$6</definedName>
    <definedName name="tdctp2">[18]TDC2!$AR$4</definedName>
    <definedName name="TDevebitda97">'[7]Euro Fixed'!$K$70</definedName>
    <definedName name="TDpe97">'[7]Euro Fixed'!$H$70</definedName>
    <definedName name="TDperel97">'[7]Euro Fixed'!$I$70</definedName>
    <definedName name="TDprice">[7]Fixed!$A$70</definedName>
    <definedName name="TDrec">[7]Fixed!$A$72</definedName>
    <definedName name="TEFa1">[18]TEF1!$A$8:$Q$87</definedName>
    <definedName name="TEFa2">[18]TEF2!$B$9:$X$59</definedName>
    <definedName name="TEFADR" localSheetId="19">'[7]Fixed ADRs'!#REF!</definedName>
    <definedName name="TEFADR">'[7]Fixed ADRs'!#REF!</definedName>
    <definedName name="TEFevebitda97">'[7]Euro Fixed'!$K$100</definedName>
    <definedName name="TEFevebitda98">'[7]Euro Fixed'!$K$101</definedName>
    <definedName name="TEFM1">[18]Multmod!$D$185:$G$186</definedName>
    <definedName name="TEFM2">[18]Multmod!$D$187:$G$188</definedName>
    <definedName name="TEFM3">[18]Multmod!$D$189:$G$190</definedName>
    <definedName name="TEFM4">[18]Multmod!$D$191:$G$191</definedName>
    <definedName name="TEFM5">[18]Multmod!$C$192:$G$201</definedName>
    <definedName name="TEFMCdol" localSheetId="19">'[7]Fixed ADRs'!#REF!</definedName>
    <definedName name="TEFMCdol">'[7]Fixed ADRs'!#REF!</definedName>
    <definedName name="tefmult">[18]Multmod!$C$185:$G$201</definedName>
    <definedName name="TEFpe97">'[7]Euro Fixed'!$H$100</definedName>
    <definedName name="TEFpe98">'[7]Euro Fixed'!$H$101</definedName>
    <definedName name="TEFperel97">'[7]Euro Fixed'!$I$100</definedName>
    <definedName name="TEFperel98">'[7]Euro Fixed'!$I$101</definedName>
    <definedName name="Tefprice">[7]Fixed!$A$100</definedName>
    <definedName name="Tefrec">[7]Fixed!$A$102</definedName>
    <definedName name="tefsop1">[18]TEF2!$AA$29:$AG$40</definedName>
    <definedName name="tefsummod1">[18]TEF!$C$443</definedName>
    <definedName name="tefsummod10">[18]TEF!$H$426:$K$426</definedName>
    <definedName name="tefsummod12">[18]TEF!$H$439:$K$439</definedName>
    <definedName name="tefsummod13">[18]TEF!$H$422:$K$422</definedName>
    <definedName name="tefsummod15">[18]TEF!$H$281:$O$283</definedName>
    <definedName name="tefsummod16">[18]TEF!$H$285:$O$290</definedName>
    <definedName name="tefsummod17">[18]TEF!$F$212:$O$216</definedName>
    <definedName name="tefsummod2">[18]TEF!$H$191:$O$210</definedName>
    <definedName name="tefsummod3">[18]TEF!$H$218:$O$237</definedName>
    <definedName name="tefsummod4">[18]TEF!$H$239:$O$258</definedName>
    <definedName name="tefsummod5">[18]TEF!$H$260:$O$279</definedName>
    <definedName name="tefsummod6">[18]TEF!$F$292:$O$303</definedName>
    <definedName name="tefsummod7">[18]TEF!$F$305:$O$312</definedName>
    <definedName name="tefsummod8">[18]TEF!$F$314:$O$330</definedName>
    <definedName name="tefsummod9">[18]TEF!$F$332:$O$332</definedName>
    <definedName name="TEFTP1">[18]TEF1!$S$6</definedName>
    <definedName name="teftp2">[18]TEF2!$AR$4</definedName>
    <definedName name="Tefy97">[7]Fixed!$O$100</definedName>
    <definedName name="Tefy98">[7]Fixed!$O$101</definedName>
    <definedName name="telcel" localSheetId="19">#REF!</definedName>
    <definedName name="telcel" localSheetId="18">#REF!</definedName>
    <definedName name="telcel">#REF!</definedName>
    <definedName name="telcopay" localSheetId="19">#REF!</definedName>
    <definedName name="telcopay" localSheetId="18">#REF!</definedName>
    <definedName name="telcopay">#REF!</definedName>
    <definedName name="TELE_EV" localSheetId="19">#REF!</definedName>
    <definedName name="TELE_EV" localSheetId="18">#REF!</definedName>
    <definedName name="TELE_EV">#REF!</definedName>
    <definedName name="tele2labels" localSheetId="19">#REF!</definedName>
    <definedName name="tele2labels" localSheetId="18">#REF!</definedName>
    <definedName name="tele2labels">#REF!</definedName>
    <definedName name="Telecelrec" localSheetId="19">'[63]Cellular '!#REF!</definedName>
    <definedName name="Telecelrec" localSheetId="18">'[63]Cellular '!#REF!</definedName>
    <definedName name="Telecelrec">'[63]Cellular '!#REF!</definedName>
    <definedName name="Telesp" localSheetId="19">#REF!</definedName>
    <definedName name="Telesp" localSheetId="18">#REF!</definedName>
    <definedName name="Telesp">#REF!</definedName>
    <definedName name="TELKAa1">[18]TELKA1!$A$8:$Q$87</definedName>
    <definedName name="TELKAa2">[18]TELKA2!$B$9:$X$60</definedName>
    <definedName name="TELKAM1">[18]Multmod!$D$205:$G$206</definedName>
    <definedName name="TELKAM2">[18]Multmod!$D$207:$G$208</definedName>
    <definedName name="TELKAM3">[18]Multmod!$D$209:$G$210</definedName>
    <definedName name="TELKAM4">[18]Multmod!$D$211:$G$211</definedName>
    <definedName name="TELKAM5">[18]Multmod!$C$212:$G$221</definedName>
    <definedName name="telkamult">[18]Multmod!$C$205:$G$221</definedName>
    <definedName name="telkasop1">[18]TELKA2!$AA$24:$AG$28</definedName>
    <definedName name="TELKATP1">[18]TELKA1!$S$6</definedName>
    <definedName name="telkatp2">[18]TELKA2!$AR$4</definedName>
    <definedName name="telmob" localSheetId="19">#REF!</definedName>
    <definedName name="telmob" localSheetId="18">#REF!</definedName>
    <definedName name="telmob">#REF!</definedName>
    <definedName name="temexa1" localSheetId="19">#REF!</definedName>
    <definedName name="temexa1" localSheetId="18">#REF!</definedName>
    <definedName name="temexa1">#REF!</definedName>
    <definedName name="temexa2" localSheetId="19">#REF!</definedName>
    <definedName name="temexa2" localSheetId="18">#REF!</definedName>
    <definedName name="temexa2">#REF!</definedName>
    <definedName name="temexbench" localSheetId="19">#REF!</definedName>
    <definedName name="temexbench" localSheetId="18">#REF!</definedName>
    <definedName name="temexbench">#REF!</definedName>
    <definedName name="temexrec1" localSheetId="19">#REF!</definedName>
    <definedName name="temexrec1" localSheetId="18">#REF!</definedName>
    <definedName name="temexrec1">#REF!</definedName>
    <definedName name="temexrec2" localSheetId="19">#REF!</definedName>
    <definedName name="temexrec2" localSheetId="18">#REF!</definedName>
    <definedName name="temexrec2">#REF!</definedName>
    <definedName name="temmobmod" localSheetId="19">#REF!</definedName>
    <definedName name="temmobmod" localSheetId="18">#REF!</definedName>
    <definedName name="temmobmod">#REF!</definedName>
    <definedName name="Template.WIRE">"DBACCESS"</definedName>
    <definedName name="TERLB.TERLB" localSheetId="19">[72]!TERLB.TERLB</definedName>
    <definedName name="TERLB.TERLB" localSheetId="5">[72]!TERLB.TERLB</definedName>
    <definedName name="TERLB.TERLB">[72]!TERLB.TERLB</definedName>
    <definedName name="TERM_RATE">[10]Offer!$H$22</definedName>
    <definedName name="term_value" localSheetId="19">#REF!</definedName>
    <definedName name="term_value" localSheetId="18">#REF!</definedName>
    <definedName name="term_value">#REF!</definedName>
    <definedName name="term_year" localSheetId="19">#REF!</definedName>
    <definedName name="term_year" localSheetId="18">#REF!</definedName>
    <definedName name="term_year">#REF!</definedName>
    <definedName name="termination_cost_voice" localSheetId="19">#REF!</definedName>
    <definedName name="termination_cost_voice" localSheetId="18">#REF!</definedName>
    <definedName name="termination_cost_voice">#REF!</definedName>
    <definedName name="test" localSheetId="18" hidden="1">{#N/A,#N/A,FALSE,"F_Plan";#N/A,#N/A,FALSE,"Parameter"}</definedName>
    <definedName name="test" hidden="1">{#N/A,#N/A,FALSE,"F_Plan";#N/A,#N/A,FALSE,"Parameter"}</definedName>
    <definedName name="test_selected" localSheetId="19">#REF!</definedName>
    <definedName name="test_selected">#REF!</definedName>
    <definedName name="test1" localSheetId="18" hidden="1">{#N/A,#N/A,FALSE,"Umsatz";#N/A,#N/A,FALSE,"Base V.02";#N/A,#N/A,FALSE,"Charts"}</definedName>
    <definedName name="test1" hidden="1">{#N/A,#N/A,FALSE,"Umsatz";#N/A,#N/A,FALSE,"Base V.02";#N/A,#N/A,FALSE,"Charts"}</definedName>
    <definedName name="test2" localSheetId="18" hidden="1">{#N/A,#N/A,FALSE,"F_Plan";#N/A,#N/A,FALSE,"Parameter"}</definedName>
    <definedName name="test2" hidden="1">{#N/A,#N/A,FALSE,"F_Plan";#N/A,#N/A,FALSE,"Parameter"}</definedName>
    <definedName name="test3" localSheetId="18" hidden="1">{#N/A,#N/A,FALSE,"Umsatz";#N/A,#N/A,FALSE,"Base V.02";#N/A,#N/A,FALSE,"Charts"}</definedName>
    <definedName name="test3" hidden="1">{#N/A,#N/A,FALSE,"Umsatz";#N/A,#N/A,FALSE,"Base V.02";#N/A,#N/A,FALSE,"Charts"}</definedName>
    <definedName name="test4" localSheetId="18" hidden="1">{#N/A,#N/A,FALSE,"F_Plan";#N/A,#N/A,FALSE,"Parameter"}</definedName>
    <definedName name="test4" hidden="1">{#N/A,#N/A,FALSE,"F_Plan";#N/A,#N/A,FALSE,"Parameter"}</definedName>
    <definedName name="TestAdd">"Test RefersTo1"</definedName>
    <definedName name="tests" localSheetId="18" hidden="1">{#N/A,#N/A,FALSE,"F_Plan";#N/A,#N/A,FALSE,"Parameter"}</definedName>
    <definedName name="tests" hidden="1">{#N/A,#N/A,FALSE,"F_Plan";#N/A,#N/A,FALSE,"Parameter"}</definedName>
    <definedName name="testv2" localSheetId="18" hidden="1">{#N/A,#N/A,FALSE,"F_Plan";#N/A,#N/A,FALSE,"Parameter"}</definedName>
    <definedName name="testv2" hidden="1">{#N/A,#N/A,FALSE,"F_Plan";#N/A,#N/A,FALSE,"Parameter"}</definedName>
    <definedName name="testv3" localSheetId="18" hidden="1">{#N/A,#N/A,FALSE,"Umsatz";#N/A,#N/A,FALSE,"Base V.02";#N/A,#N/A,FALSE,"Charts"}</definedName>
    <definedName name="testv3" hidden="1">{#N/A,#N/A,FALSE,"Umsatz";#N/A,#N/A,FALSE,"Base V.02";#N/A,#N/A,FALSE,"Charts"}</definedName>
    <definedName name="testv4" localSheetId="18" hidden="1">{#N/A,#N/A,FALSE,"F_Plan";#N/A,#N/A,FALSE,"Parameter"}</definedName>
    <definedName name="testv4" hidden="1">{#N/A,#N/A,FALSE,"F_Plan";#N/A,#N/A,FALSE,"Parameter"}</definedName>
    <definedName name="testv5" localSheetId="18" hidden="1">{#N/A,#N/A,FALSE,"Umsatz";#N/A,#N/A,FALSE,"Base V.02";#N/A,#N/A,FALSE,"Charts"}</definedName>
    <definedName name="testv5" hidden="1">{#N/A,#N/A,FALSE,"Umsatz";#N/A,#N/A,FALSE,"Base V.02";#N/A,#N/A,FALSE,"Charts"}</definedName>
    <definedName name="tfa" localSheetId="19">#REF!</definedName>
    <definedName name="tfa" localSheetId="18">#REF!</definedName>
    <definedName name="tfa">#REF!</definedName>
    <definedName name="TIADRratio" localSheetId="19">'[7]Fixed ADRs'!#REF!</definedName>
    <definedName name="TIADRratio" localSheetId="18">'[7]Fixed ADRs'!#REF!</definedName>
    <definedName name="TIADRratio">'[7]Fixed ADRs'!#REF!</definedName>
    <definedName name="Ticker" localSheetId="19">#REF!</definedName>
    <definedName name="Ticker" localSheetId="18">#REF!</definedName>
    <definedName name="Ticker">#REF!</definedName>
    <definedName name="tim_mkt_cap" localSheetId="19">'[63]Cellular '!#REF!</definedName>
    <definedName name="tim_mkt_cap" localSheetId="18">'[63]Cellular '!#REF!</definedName>
    <definedName name="tim_mkt_cap">'[63]Cellular '!#REF!</definedName>
    <definedName name="TIMa1" localSheetId="19">#REF!</definedName>
    <definedName name="TIMa1" localSheetId="18">#REF!</definedName>
    <definedName name="TIMa1">#REF!</definedName>
    <definedName name="TIMa2" localSheetId="19">#REF!</definedName>
    <definedName name="TIMa2" localSheetId="18">#REF!</definedName>
    <definedName name="TIMa2">#REF!</definedName>
    <definedName name="TIMevebitda97" localSheetId="19">'[63]Cellular '!#REF!</definedName>
    <definedName name="TIMevebitda97" localSheetId="18">'[63]Cellular '!#REF!</definedName>
    <definedName name="TIMevebitda97">'[63]Cellular '!#REF!</definedName>
    <definedName name="TIMevebitda98" localSheetId="19">'[63]Cellular '!#REF!</definedName>
    <definedName name="TIMevebitda98" localSheetId="18">'[63]Cellular '!#REF!</definedName>
    <definedName name="TIMevebitda98">'[63]Cellular '!#REF!</definedName>
    <definedName name="TIMpe97" localSheetId="19">'[63]Cellular '!#REF!</definedName>
    <definedName name="TIMpe97" localSheetId="18">'[63]Cellular '!#REF!</definedName>
    <definedName name="TIMpe97">'[63]Cellular '!#REF!</definedName>
    <definedName name="TIMpe98" localSheetId="19">'[63]Cellular '!#REF!</definedName>
    <definedName name="TIMpe98" localSheetId="18">'[63]Cellular '!#REF!</definedName>
    <definedName name="TIMpe98">'[63]Cellular '!#REF!</definedName>
    <definedName name="TIMperpop" localSheetId="19">'[63]Cellular '!#REF!</definedName>
    <definedName name="TIMperpop" localSheetId="18">'[63]Cellular '!#REF!</definedName>
    <definedName name="TIMperpop">'[63]Cellular '!#REF!</definedName>
    <definedName name="TIMprice">'[63]Cellular '!$A$39</definedName>
    <definedName name="TIMrec">'[63]Cellular '!$A$41</definedName>
    <definedName name="timult">[18]Multmod!$C$165:$G$181</definedName>
    <definedName name="TIPE97" localSheetId="19">[7]Fixed!#REF!</definedName>
    <definedName name="TIPE97">[7]Fixed!#REF!</definedName>
    <definedName name="TIPE98" localSheetId="19">[7]Fixed!#REF!</definedName>
    <definedName name="TIPE98">[7]Fixed!#REF!</definedName>
    <definedName name="TIPERel97" localSheetId="19">[7]Fixed!#REF!</definedName>
    <definedName name="TIPERel97">[7]Fixed!#REF!</definedName>
    <definedName name="TIPERel98" localSheetId="19">[7]Fixed!#REF!</definedName>
    <definedName name="TIPERel98">[7]Fixed!#REF!</definedName>
    <definedName name="TIprice" localSheetId="19">[7]Fixed!#REF!</definedName>
    <definedName name="TIprice">[7]Fixed!#REF!</definedName>
    <definedName name="TIrec" localSheetId="19">[7]Fixed!#REF!</definedName>
    <definedName name="TIrec">[7]Fixed!#REF!</definedName>
    <definedName name="tisop1">[18]TI2!$AA$27:$AG$35</definedName>
    <definedName name="tisummod1">[18]TI!$C$443</definedName>
    <definedName name="tisummod10">[18]TI!$H$426:$K$426</definedName>
    <definedName name="tisummod12">[18]TI!$H$439:$K$439</definedName>
    <definedName name="tisummod15">[18]TI!$H$241:$P$243</definedName>
    <definedName name="tisummod16">[18]TI!$H$245:$P$246</definedName>
    <definedName name="tisummod17">[18]TI!$G$293:$P$302</definedName>
    <definedName name="tisummod18">[18]TI!$G$304:$P$317</definedName>
    <definedName name="tisummod19">[18]TI!$H$422:$K$422</definedName>
    <definedName name="tisummod2">[18]TI!$G$191:$P$209</definedName>
    <definedName name="tisummod3">[18]TI!$H$211:$P$219</definedName>
    <definedName name="tisummod4">[18]TI!$H$221:$P$229</definedName>
    <definedName name="tisummod5">[18]TI!$H$231:$P$239</definedName>
    <definedName name="tisummod6">[18]TI!$G$248:$P$261</definedName>
    <definedName name="tisummod7">[18]TI!$G$263:$P$275</definedName>
    <definedName name="tisummod8">[18]TI!$G$277:$P$289</definedName>
    <definedName name="tisummod9">[18]TI!$G$291:$P$291</definedName>
    <definedName name="Title_Day" localSheetId="19">#REF!</definedName>
    <definedName name="Title_Day" localSheetId="18">#REF!</definedName>
    <definedName name="Title_Day">#REF!</definedName>
    <definedName name="Title_Month" localSheetId="19">#REF!</definedName>
    <definedName name="Title_Month" localSheetId="18">#REF!</definedName>
    <definedName name="Title_Month">#REF!</definedName>
    <definedName name="TITLE_P" localSheetId="19">#REF!</definedName>
    <definedName name="TITLE_P" localSheetId="18">#REF!</definedName>
    <definedName name="TITLE_P">#REF!</definedName>
    <definedName name="Title_Today" localSheetId="19">#REF!</definedName>
    <definedName name="Title_Today" localSheetId="18">#REF!</definedName>
    <definedName name="Title_Today">#REF!</definedName>
    <definedName name="TITP1">[18]TI1!$S$6</definedName>
    <definedName name="titp2">[18]TI2!$AR$4</definedName>
    <definedName name="tlarate" localSheetId="19">[85]Income!#REF!</definedName>
    <definedName name="tlarate">[85]Income!#REF!</definedName>
    <definedName name="tmoblabels" localSheetId="19">#REF!</definedName>
    <definedName name="tmoblabels" localSheetId="18">#REF!</definedName>
    <definedName name="tmoblabels">#REF!</definedName>
    <definedName name="TNORa1">[18]TNOR1!$A$8:$Q$87</definedName>
    <definedName name="TNORa2">[18]TNOR2!$B$9:$X$59</definedName>
    <definedName name="TNORM1">[18]Multmod!$D$225:$G$226</definedName>
    <definedName name="TNORM2">[18]Multmod!$D$227:$G$228</definedName>
    <definedName name="TNORM3">[18]Multmod!$D$229:$G$230</definedName>
    <definedName name="TNORM4">[18]Multmod!$D$231:$G$231</definedName>
    <definedName name="TNORM5">[18]Multmod!$C$232:$G$241</definedName>
    <definedName name="tnormult">[18]Multmod!$C$225:$G$241</definedName>
    <definedName name="tnorsop1">[18]TNOR2!$AA$37:$AG$51</definedName>
    <definedName name="TNORTP1">[18]TNOR1!$S$6</definedName>
    <definedName name="tnortp2">[18]TNOR2!$AR$4</definedName>
    <definedName name="totaaccpaycodi" localSheetId="19">#REF!</definedName>
    <definedName name="totaaccpaycodi" localSheetId="18">#REF!</definedName>
    <definedName name="totaaccpaycodi">#REF!</definedName>
    <definedName name="total.mins.growth" localSheetId="19">#REF!</definedName>
    <definedName name="total.mins.growth" localSheetId="18">#REF!</definedName>
    <definedName name="total.mins.growth">#REF!</definedName>
    <definedName name="Total_96" localSheetId="19">'[10]Cashflow-Pre'!#REF!</definedName>
    <definedName name="Total_96" localSheetId="18">'[10]Cashflow-Pre'!#REF!</definedName>
    <definedName name="Total_96">'[10]Cashflow-Pre'!#REF!</definedName>
    <definedName name="Total_97" localSheetId="19">'[10]Cashflow-Pre'!#REF!</definedName>
    <definedName name="Total_97" localSheetId="18">'[10]Cashflow-Pre'!#REF!</definedName>
    <definedName name="Total_97">'[10]Cashflow-Pre'!#REF!</definedName>
    <definedName name="Total_98" localSheetId="19">'[10]Cashflow-Pre'!#REF!</definedName>
    <definedName name="Total_98" localSheetId="18">'[10]Cashflow-Pre'!#REF!</definedName>
    <definedName name="Total_98">'[10]Cashflow-Pre'!#REF!</definedName>
    <definedName name="total_bill_expense" localSheetId="19">'[10]Cashflow-Pre'!#REF!</definedName>
    <definedName name="total_bill_expense" localSheetId="18">'[10]Cashflow-Pre'!#REF!</definedName>
    <definedName name="total_bill_expense">'[10]Cashflow-Pre'!#REF!</definedName>
    <definedName name="Total_Cost_per_Staff" localSheetId="19">'[10]Cashflow-Pre'!#REF!</definedName>
    <definedName name="Total_Cost_per_Staff" localSheetId="18">'[10]Cashflow-Pre'!#REF!</definedName>
    <definedName name="Total_Cost_per_Staff">'[10]Cashflow-Pre'!#REF!</definedName>
    <definedName name="Total_Gen_Admin" localSheetId="19">'[10]Cashflow-Pre'!#REF!</definedName>
    <definedName name="Total_Gen_Admin">'[10]Cashflow-Pre'!#REF!</definedName>
    <definedName name="Total_lines" localSheetId="19">#REF!</definedName>
    <definedName name="Total_lines" localSheetId="18">#REF!</definedName>
    <definedName name="Total_lines">#REF!</definedName>
    <definedName name="Total_MM" localSheetId="19">'[10]Cashflow-Pre'!#REF!</definedName>
    <definedName name="Total_MM" localSheetId="18">'[10]Cashflow-Pre'!#REF!</definedName>
    <definedName name="Total_MM">'[10]Cashflow-Pre'!#REF!</definedName>
    <definedName name="Total_Number_of_Lines" localSheetId="19">'[10]P&amp;L-Pre'!#REF!</definedName>
    <definedName name="Total_Number_of_Lines" localSheetId="18">'[10]P&amp;L-Pre'!#REF!</definedName>
    <definedName name="Total_Number_of_Lines">'[10]P&amp;L-Pre'!#REF!</definedName>
    <definedName name="Total_op_ex" localSheetId="19">'[10]Cashflow-Pre'!#REF!</definedName>
    <definedName name="Total_op_ex" localSheetId="18">'[10]Cashflow-Pre'!#REF!</definedName>
    <definedName name="Total_op_ex">'[10]Cashflow-Pre'!#REF!</definedName>
    <definedName name="Total_Other_Op_Ex" localSheetId="19">'[10]Cashflow-Pre'!#REF!</definedName>
    <definedName name="Total_Other_Op_Ex">'[10]Cashflow-Pre'!#REF!</definedName>
    <definedName name="Total_Res_Usage_Rev_per_line" localSheetId="19">'[10]Cashflow-Post'!#REF!</definedName>
    <definedName name="Total_Res_Usage_Rev_per_line">'[10]Cashflow-Post'!#REF!</definedName>
    <definedName name="Total_Staff_Costs" localSheetId="19">'[10]Cashflow-Pre'!#REF!</definedName>
    <definedName name="Total_Staff_Costs">'[10]Cashflow-Pre'!#REF!</definedName>
    <definedName name="Total_VAS_Revenue" localSheetId="19">'[10]Cashflow-Post'!#REF!</definedName>
    <definedName name="Total_VAS_Revenue">'[10]Cashflow-Post'!#REF!</definedName>
    <definedName name="TotalAccPay" localSheetId="19">'[32]Statistics France'!#REF!</definedName>
    <definedName name="TotalAccPay">'[32]Statistics France'!#REF!</definedName>
    <definedName name="totalaccpayconso">'[34]STAT BRU'!$A$930:$IV$930</definedName>
    <definedName name="totalaccpayev" localSheetId="19">#REF!</definedName>
    <definedName name="totalaccpayev" localSheetId="18">#REF!</definedName>
    <definedName name="totalaccpayev">#REF!</definedName>
    <definedName name="totalaccpayev2" localSheetId="19">#REF!</definedName>
    <definedName name="totalaccpayev2" localSheetId="18">#REF!</definedName>
    <definedName name="totalaccpayev2">#REF!</definedName>
    <definedName name="totalaccpayevconso" localSheetId="19">#REF!</definedName>
    <definedName name="totalaccpayevconso" localSheetId="18">#REF!</definedName>
    <definedName name="totalaccpayevconso">#REF!</definedName>
    <definedName name="TotalAccRec" localSheetId="19">'[32]Statistics France'!#REF!</definedName>
    <definedName name="TotalAccRec" localSheetId="18">'[32]Statistics France'!#REF!</definedName>
    <definedName name="TotalAccRec">'[32]Statistics France'!#REF!</definedName>
    <definedName name="totalaccrec2">'[33]STAT BRU'!$A$927:$IV$927</definedName>
    <definedName name="totalaccreccodi" localSheetId="19">#REF!</definedName>
    <definedName name="totalaccreccodi" localSheetId="18">#REF!</definedName>
    <definedName name="totalaccreccodi">#REF!</definedName>
    <definedName name="totalaccrecconso">'[34]STAT BRU'!$A$927:$IV$927</definedName>
    <definedName name="totalaccrecev" localSheetId="19">#REF!</definedName>
    <definedName name="totalaccrecev" localSheetId="18">#REF!</definedName>
    <definedName name="totalaccrecev">#REF!</definedName>
    <definedName name="totalaccrecev2" localSheetId="19">#REF!</definedName>
    <definedName name="totalaccrecev2" localSheetId="18">#REF!</definedName>
    <definedName name="totalaccrecev2">#REF!</definedName>
    <definedName name="totalaccrecevconso" localSheetId="19">#REF!</definedName>
    <definedName name="totalaccrecevconso" localSheetId="18">#REF!</definedName>
    <definedName name="totalaccrecevconso">#REF!</definedName>
    <definedName name="TotalCapex" localSheetId="19">'[32]Statistics France'!#REF!</definedName>
    <definedName name="TotalCapex" localSheetId="18">'[32]Statistics France'!#REF!</definedName>
    <definedName name="TotalCapex">'[32]Statistics France'!#REF!</definedName>
    <definedName name="totalcapex2">'[33]STAT BRU'!$A$762:$IV$762</definedName>
    <definedName name="totalcapexbur" localSheetId="19">#REF!</definedName>
    <definedName name="totalcapexbur" localSheetId="18">#REF!</definedName>
    <definedName name="totalcapexbur">#REF!</definedName>
    <definedName name="totalcapexbur2">'[33]STAT A1'!$A$762:$IV$762</definedName>
    <definedName name="totalcapexburconso" localSheetId="19">#REF!</definedName>
    <definedName name="totalcapexburconso" localSheetId="18">#REF!</definedName>
    <definedName name="totalcapexburconso">#REF!</definedName>
    <definedName name="totalcapexcodi" localSheetId="19">#REF!</definedName>
    <definedName name="totalcapexcodi" localSheetId="18">#REF!</definedName>
    <definedName name="totalcapexcodi">#REF!</definedName>
    <definedName name="totalcapexconso">'[34]STAT BRU'!$A$762:$IV$762</definedName>
    <definedName name="totalcapexev" localSheetId="19">#REF!</definedName>
    <definedName name="totalcapexev" localSheetId="18">#REF!</definedName>
    <definedName name="totalcapexev">#REF!</definedName>
    <definedName name="totalcapexev2" localSheetId="19">#REF!</definedName>
    <definedName name="totalcapexev2" localSheetId="18">#REF!</definedName>
    <definedName name="totalcapexev2">#REF!</definedName>
    <definedName name="totalcapexevconso" localSheetId="19">#REF!</definedName>
    <definedName name="totalcapexevconso" localSheetId="18">#REF!</definedName>
    <definedName name="totalcapexevconso">#REF!</definedName>
    <definedName name="TotalDecodersExp" localSheetId="19">[45]PLAN!#REF!</definedName>
    <definedName name="TotalDecodersExp" localSheetId="18">[45]PLAN!#REF!</definedName>
    <definedName name="TotalDecodersExp">[45]PLAN!#REF!</definedName>
    <definedName name="TotalDepreciation" localSheetId="19">'[32]Statistics France'!#REF!</definedName>
    <definedName name="TotalDepreciation" localSheetId="18">'[32]Statistics France'!#REF!</definedName>
    <definedName name="TotalDepreciation">'[32]Statistics France'!#REF!</definedName>
    <definedName name="totaldepreciation2">'[33]STAT BRU'!$A$921:$IV$921</definedName>
    <definedName name="totaldepreciationcodi" localSheetId="19">#REF!</definedName>
    <definedName name="totaldepreciationcodi" localSheetId="18">#REF!</definedName>
    <definedName name="totaldepreciationcodi">#REF!</definedName>
    <definedName name="totaldepreciationconso">'[34]STAT BRU'!$A$921:$IV$921</definedName>
    <definedName name="totaldepreciationev" localSheetId="19">#REF!</definedName>
    <definedName name="totaldepreciationev" localSheetId="18">#REF!</definedName>
    <definedName name="totaldepreciationev">#REF!</definedName>
    <definedName name="totaldepreciationev2" localSheetId="19">#REF!</definedName>
    <definedName name="totaldepreciationev2" localSheetId="18">#REF!</definedName>
    <definedName name="totaldepreciationev2">#REF!</definedName>
    <definedName name="totaldepreciationevcons" localSheetId="19">#REF!</definedName>
    <definedName name="totaldepreciationevcons" localSheetId="18">#REF!</definedName>
    <definedName name="totaldepreciationevcons">#REF!</definedName>
    <definedName name="totalgross" localSheetId="19">[5]Model!#REF!</definedName>
    <definedName name="totalgross" localSheetId="18">[5]Model!#REF!</definedName>
    <definedName name="totalgross">[5]Model!#REF!</definedName>
    <definedName name="TotalHeadOffice" localSheetId="19">[45]PLAN!#REF!</definedName>
    <definedName name="TotalHeadOffice" localSheetId="18">[45]PLAN!#REF!</definedName>
    <definedName name="TotalHeadOffice">[45]PLAN!#REF!</definedName>
    <definedName name="TotalInventory" localSheetId="19">'[32]Statistics France'!#REF!</definedName>
    <definedName name="TotalInventory" localSheetId="18">'[32]Statistics France'!#REF!</definedName>
    <definedName name="TotalInventory">'[32]Statistics France'!#REF!</definedName>
    <definedName name="totalinventorycodi" localSheetId="19">#REF!</definedName>
    <definedName name="totalinventorycodi" localSheetId="18">#REF!</definedName>
    <definedName name="totalinventorycodi">#REF!</definedName>
    <definedName name="totalinventoryconso" localSheetId="19">'[34]STAT BRU'!#REF!</definedName>
    <definedName name="totalinventoryconso" localSheetId="18">'[34]STAT BRU'!#REF!</definedName>
    <definedName name="totalinventoryconso">'[34]STAT BRU'!#REF!</definedName>
    <definedName name="totalinventoryev" localSheetId="19">#REF!</definedName>
    <definedName name="totalinventoryev" localSheetId="18">#REF!</definedName>
    <definedName name="totalinventoryev">#REF!</definedName>
    <definedName name="totalinventoryev2" localSheetId="19">#REF!</definedName>
    <definedName name="totalinventoryev2" localSheetId="18">#REF!</definedName>
    <definedName name="totalinventoryev2">#REF!</definedName>
    <definedName name="totalinventoryevconso" localSheetId="19">#REF!</definedName>
    <definedName name="totalinventoryevconso" localSheetId="18">#REF!</definedName>
    <definedName name="totalinventoryevconso">#REF!</definedName>
    <definedName name="totalinvestory2" localSheetId="19">'[33]STAT BRU'!#REF!</definedName>
    <definedName name="totalinvestory2" localSheetId="18">'[33]STAT BRU'!#REF!</definedName>
    <definedName name="totalinvestory2">'[33]STAT BRU'!#REF!</definedName>
    <definedName name="TotSubs00">[67]Asumptions!$C$4</definedName>
    <definedName name="TP_line_city" localSheetId="19">#REF!</definedName>
    <definedName name="TP_line_city" localSheetId="18">#REF!</definedName>
    <definedName name="TP_line_city">#REF!</definedName>
    <definedName name="TP_price_call" localSheetId="19">#REF!</definedName>
    <definedName name="TP_price_call" localSheetId="18">#REF!</definedName>
    <definedName name="TP_price_call">#REF!</definedName>
    <definedName name="TP_traff_line" localSheetId="19">#REF!</definedName>
    <definedName name="TP_traff_line" localSheetId="18">#REF!</definedName>
    <definedName name="TP_traff_line">#REF!</definedName>
    <definedName name="TR_1" localSheetId="19">#REF!</definedName>
    <definedName name="TR_1" localSheetId="18">#REF!</definedName>
    <definedName name="TR_1">#REF!</definedName>
    <definedName name="TR_10" localSheetId="19">#REF!</definedName>
    <definedName name="TR_10" localSheetId="18">#REF!</definedName>
    <definedName name="TR_10">#REF!</definedName>
    <definedName name="TR_2" localSheetId="19">#REF!</definedName>
    <definedName name="TR_2" localSheetId="18">#REF!</definedName>
    <definedName name="TR_2">#REF!</definedName>
    <definedName name="TR_3" localSheetId="19">#REF!</definedName>
    <definedName name="TR_3" localSheetId="18">#REF!</definedName>
    <definedName name="TR_3">#REF!</definedName>
    <definedName name="TR_4" localSheetId="19">#REF!</definedName>
    <definedName name="TR_4" localSheetId="18">#REF!</definedName>
    <definedName name="TR_4">#REF!</definedName>
    <definedName name="TR_5" localSheetId="19">#REF!</definedName>
    <definedName name="TR_5" localSheetId="18">#REF!</definedName>
    <definedName name="TR_5">#REF!</definedName>
    <definedName name="TR_6" localSheetId="19">#REF!</definedName>
    <definedName name="TR_6" localSheetId="18">#REF!</definedName>
    <definedName name="TR_6">#REF!</definedName>
    <definedName name="TR_7" localSheetId="19">#REF!</definedName>
    <definedName name="TR_7" localSheetId="18">#REF!</definedName>
    <definedName name="TR_7">#REF!</definedName>
    <definedName name="TR_8" localSheetId="19">#REF!</definedName>
    <definedName name="TR_8" localSheetId="18">#REF!</definedName>
    <definedName name="TR_8">#REF!</definedName>
    <definedName name="TR_9" localSheetId="19">#REF!</definedName>
    <definedName name="TR_9" localSheetId="18">#REF!</definedName>
    <definedName name="TR_9">#REF!</definedName>
    <definedName name="Trace">FALSE</definedName>
    <definedName name="trainpac">'[83]Market hypotesis'!$A$90:$IV$90</definedName>
    <definedName name="trainpbc">'[83]Market hypotesis'!$A$82:$IV$82</definedName>
    <definedName name="traintac">'[83]Market hypotesis'!$A$89:$IV$89</definedName>
    <definedName name="traintbc">'[83]Market hypotesis'!$A$81:$IV$81</definedName>
    <definedName name="tralocac">'[83]Market hypotesis'!$A$92:$IV$92</definedName>
    <definedName name="tralocbc">'[83]Market hypotesis'!$A$84:$IV$84</definedName>
    <definedName name="tramobac">'[83]Market hypotesis'!$A$93:$IV$93</definedName>
    <definedName name="tramobbc">'[83]Market hypotesis'!$A$85:$IV$85</definedName>
    <definedName name="TrancheA_RepaymentSchedule_Amena" localSheetId="19">#REF!</definedName>
    <definedName name="TrancheA_RepaymentSchedule_Amena" localSheetId="18">#REF!</definedName>
    <definedName name="TrancheA_RepaymentSchedule_Amena">#REF!</definedName>
    <definedName name="TrancheA_RepaymentSchedule_AunaGroup" localSheetId="19">#REF!</definedName>
    <definedName name="TrancheA_RepaymentSchedule_AunaGroup" localSheetId="18">#REF!</definedName>
    <definedName name="TrancheA_RepaymentSchedule_AunaGroup">#REF!</definedName>
    <definedName name="TrancheA_RepaymentSchedule_AunaTLC" localSheetId="19">#REF!</definedName>
    <definedName name="TrancheA_RepaymentSchedule_AunaTLC" localSheetId="18">#REF!</definedName>
    <definedName name="TrancheA_RepaymentSchedule_AunaTLC">#REF!</definedName>
    <definedName name="Transfer_charge" localSheetId="19">#REF!</definedName>
    <definedName name="Transfer_charge" localSheetId="18">#REF!</definedName>
    <definedName name="Transfer_charge">#REF!</definedName>
    <definedName name="traproac">'[83]Market hypotesis'!$A$91:$IV$91</definedName>
    <definedName name="traprobc">'[83]Market hypotesis'!$A$83:$IV$83</definedName>
    <definedName name="TrYear" localSheetId="19">#REF!</definedName>
    <definedName name="TrYear" localSheetId="18">#REF!</definedName>
    <definedName name="TrYear">#REF!</definedName>
    <definedName name="TrYr" localSheetId="19">'[78]Sources &amp; Uses'!#REF!</definedName>
    <definedName name="TrYr" localSheetId="18">'[78]Sources &amp; Uses'!#REF!</definedName>
    <definedName name="TrYr">'[78]Sources &amp; Uses'!#REF!</definedName>
    <definedName name="TSONa1">[18]TSON1!$A$8:$Q$87</definedName>
    <definedName name="TSONa2">[18]TSON2!$B$9:$X$59</definedName>
    <definedName name="tsonm1">[18]Multmod!$D$245:$G$246</definedName>
    <definedName name="tsonm2">[18]Multmod!$D$247:$G$248</definedName>
    <definedName name="tsonm3">[18]Multmod!$D$249:$G$250</definedName>
    <definedName name="tsonm4">[18]Multmod!$D$251:$G$251</definedName>
    <definedName name="tsonm5">[18]Multmod!$C$252:$G$261</definedName>
    <definedName name="tsonmult">[18]Multmod!$C$245:$G$261</definedName>
    <definedName name="tsonsop1">[18]TSON2!$AA$30:$AG$42</definedName>
    <definedName name="TSONTP1">[18]TSON1!$S$6</definedName>
    <definedName name="tsontp2">[18]TSON2!$AR$4</definedName>
    <definedName name="tt" localSheetId="18" hidden="1">{#N/A,#N/A,FALSE,"655.755";#N/A,#N/A,FALSE,"661500";#N/A,#N/A,FALSE,"681500";#N/A,#N/A,FALSE,"686500";#N/A,#N/A,FALSE,"68662.";#N/A,#N/A,FALSE,"687500";#N/A,#N/A,FALSE,"7631.";#N/A,#N/A,FALSE,"771."}</definedName>
    <definedName name="tt" hidden="1">{#N/A,#N/A,FALSE,"655.755";#N/A,#N/A,FALSE,"661500";#N/A,#N/A,FALSE,"681500";#N/A,#N/A,FALSE,"686500";#N/A,#N/A,FALSE,"68662.";#N/A,#N/A,FALSE,"687500";#N/A,#N/A,FALSE,"7631.";#N/A,#N/A,FALSE,"771."}</definedName>
    <definedName name="turkbench" localSheetId="19">#REF!</definedName>
    <definedName name="turkbench" localSheetId="18">#REF!</definedName>
    <definedName name="turkbench">#REF!</definedName>
    <definedName name="turklabels" localSheetId="19">#REF!</definedName>
    <definedName name="turklabels" localSheetId="18">#REF!</definedName>
    <definedName name="turklabels">#REF!</definedName>
    <definedName name="TVA20LUX">'[14]STATS LUX 2008'!$A$10:$IV$10</definedName>
    <definedName name="TWTrec" localSheetId="19">#REF!</definedName>
    <definedName name="TWTrec" localSheetId="18">#REF!</definedName>
    <definedName name="TWTrec">#REF!</definedName>
    <definedName name="TxAugment" localSheetId="19">#REF!</definedName>
    <definedName name="TxAugment" localSheetId="18">#REF!</definedName>
    <definedName name="TxAugment">#REF!</definedName>
    <definedName name="TxBonus" localSheetId="19">#REF!</definedName>
    <definedName name="TxBonus" localSheetId="18">#REF!</definedName>
    <definedName name="TxBonus">#REF!</definedName>
    <definedName name="TxBonusMKT" localSheetId="19">#REF!</definedName>
    <definedName name="TxBonusMKT" localSheetId="18">#REF!</definedName>
    <definedName name="TxBonusMKT">#REF!</definedName>
    <definedName name="TxComm" localSheetId="19">#REF!</definedName>
    <definedName name="TxComm" localSheetId="18">#REF!</definedName>
    <definedName name="TxComm">#REF!</definedName>
    <definedName name="TxCS" localSheetId="19">#REF!</definedName>
    <definedName name="TxCS" localSheetId="18">#REF!</definedName>
    <definedName name="TxCS">#REF!</definedName>
    <definedName name="TxHiring" localSheetId="19">#REF!</definedName>
    <definedName name="TxHiring" localSheetId="18">#REF!</definedName>
    <definedName name="TxHiring">#REF!</definedName>
    <definedName name="TxRate">[67]Asumptions!$C$3</definedName>
    <definedName name="TYPE_VENTE" localSheetId="19">#REF!</definedName>
    <definedName name="TYPE_VENTE" localSheetId="18">#REF!</definedName>
    <definedName name="TYPE_VENTE">#REF!</definedName>
    <definedName name="TYPE_VENTE2" localSheetId="19">#REF!</definedName>
    <definedName name="TYPE_VENTE2" localSheetId="18">#REF!</definedName>
    <definedName name="TYPE_VENTE2">#REF!</definedName>
    <definedName name="U" localSheetId="19">'[25]Fleet &amp; Costs'!#REF!</definedName>
    <definedName name="U" localSheetId="18">'[25]Fleet &amp; Costs'!#REF!</definedName>
    <definedName name="U">'[25]Fleet &amp; Costs'!#REF!</definedName>
    <definedName name="ufcf96" localSheetId="19">#REF!</definedName>
    <definedName name="ufcf96" localSheetId="18">#REF!</definedName>
    <definedName name="ufcf96">#REF!</definedName>
    <definedName name="ufcf97" localSheetId="19">#REF!</definedName>
    <definedName name="ufcf97" localSheetId="18">#REF!</definedName>
    <definedName name="ufcf97">#REF!</definedName>
    <definedName name="ufcf98" localSheetId="19">#REF!</definedName>
    <definedName name="ufcf98" localSheetId="18">#REF!</definedName>
    <definedName name="ufcf98">#REF!</definedName>
    <definedName name="ufcf99" localSheetId="19">#REF!</definedName>
    <definedName name="ufcf99" localSheetId="18">#REF!</definedName>
    <definedName name="ufcf99">#REF!</definedName>
    <definedName name="uhg" localSheetId="19">#REF!</definedName>
    <definedName name="uhg" localSheetId="18">#REF!</definedName>
    <definedName name="uhg">#REF!</definedName>
    <definedName name="uk">[55]INPUT!$E$8</definedName>
    <definedName name="UK_population__ms" localSheetId="19">#REF!</definedName>
    <definedName name="UK_population__ms" localSheetId="18">#REF!</definedName>
    <definedName name="UK_population__ms">#REF!</definedName>
    <definedName name="unadjusted" localSheetId="19">#REF!</definedName>
    <definedName name="unadjusted" localSheetId="18">#REF!</definedName>
    <definedName name="unadjusted">#REF!</definedName>
    <definedName name="UNIDADES_TEXTO">'[107]HIPOTESIS FINANCIERAS'!$C$42</definedName>
    <definedName name="unit" localSheetId="19">#REF!</definedName>
    <definedName name="unit" localSheetId="18">#REF!</definedName>
    <definedName name="unit">#REF!</definedName>
    <definedName name="UNITSCODES" localSheetId="19">#REF!</definedName>
    <definedName name="UNITSCODES" localSheetId="18">#REF!</definedName>
    <definedName name="UNITSCODES">#REF!</definedName>
    <definedName name="unlev_fcf_rate" localSheetId="19">#REF!</definedName>
    <definedName name="unlev_fcf_rate" localSheetId="18">#REF!</definedName>
    <definedName name="unlev_fcf_rate">#REF!</definedName>
    <definedName name="UNPROTECT">'[10]Cashflow-Pre'!$M$1</definedName>
    <definedName name="UNPROTWORKS" localSheetId="19">#REF!</definedName>
    <definedName name="UNPROTWORKS" localSheetId="18">#REF!</definedName>
    <definedName name="UNPROTWORKS">#REF!</definedName>
    <definedName name="UpgradeVersion">"v2.35"</definedName>
    <definedName name="USDRATE">'[37]Inflation &amp; Currency'!$H$24:$W$24</definedName>
    <definedName name="Uses_DebtValue" localSheetId="19">#REF!</definedName>
    <definedName name="Uses_DebtValue" localSheetId="18">#REF!</definedName>
    <definedName name="Uses_DebtValue">#REF!</definedName>
    <definedName name="Uses_EquityValue" localSheetId="19">#REF!</definedName>
    <definedName name="Uses_EquityValue" localSheetId="18">#REF!</definedName>
    <definedName name="Uses_EquityValue">#REF!</definedName>
    <definedName name="usinc" localSheetId="19">#REF!</definedName>
    <definedName name="usinc" localSheetId="18">#REF!</definedName>
    <definedName name="usinc">#REF!</definedName>
    <definedName name="USINFLATION">'[37]Inflation &amp; Currency'!$H$14:$W$14</definedName>
    <definedName name="using.MVNE" localSheetId="19">#REF!</definedName>
    <definedName name="using.MVNE" localSheetId="18">#REF!</definedName>
    <definedName name="using.MVNE">#REF!</definedName>
    <definedName name="uuu" localSheetId="19">#REF!</definedName>
    <definedName name="uuu" localSheetId="18">#REF!</definedName>
    <definedName name="uuu">#REF!</definedName>
    <definedName name="uuuuttt" localSheetId="19">#REF!</definedName>
    <definedName name="uuuuttt" localSheetId="18">#REF!</definedName>
    <definedName name="uuuuttt">#REF!</definedName>
    <definedName name="uuuuuuuu" localSheetId="19">#REF!</definedName>
    <definedName name="uuuuuuuu" localSheetId="18">#REF!</definedName>
    <definedName name="uuuuuuuu">#REF!</definedName>
    <definedName name="V" localSheetId="19">#REF!</definedName>
    <definedName name="V" localSheetId="18">#REF!</definedName>
    <definedName name="V">#REF!</definedName>
    <definedName name="v_ecpf">[108]R01!$E$31,[108]R01!$E$33</definedName>
    <definedName name="v_rapA221">'[108]A22-1'!$E$9:$E$22,'[108]A22-1'!$E$32:$E$47</definedName>
    <definedName name="v_rapA222">'[108]A22-2'!$E$8:$E$15,'[108]A22-2'!$E$23:$E$30</definedName>
    <definedName name="v_vncea26div">[108]A38!$H$11:$I$11,[108]A38!$H$20:$I$41</definedName>
    <definedName name="ValuationYear" localSheetId="19">[56]DCF_10!#REF!</definedName>
    <definedName name="ValuationYear" localSheetId="18">[56]DCF_10!#REF!</definedName>
    <definedName name="ValuationYear">[56]DCF_10!#REF!</definedName>
    <definedName name="value">3</definedName>
    <definedName name="value_date" localSheetId="19">#REF!</definedName>
    <definedName name="value_date" localSheetId="18">#REF!</definedName>
    <definedName name="value_date">#REF!</definedName>
    <definedName name="Variable__switching" localSheetId="19">'[10]P&amp;L-Pre'!#REF!</definedName>
    <definedName name="Variable__switching" localSheetId="18">'[10]P&amp;L-Pre'!#REF!</definedName>
    <definedName name="Variable__switching">'[10]P&amp;L-Pre'!#REF!</definedName>
    <definedName name="Variable_cost_per_line" localSheetId="19">'[10]P&amp;L-Pre'!#REF!</definedName>
    <definedName name="Variable_cost_per_line" localSheetId="18">'[10]P&amp;L-Pre'!#REF!</definedName>
    <definedName name="Variable_cost_per_line">'[10]P&amp;L-Pre'!#REF!</definedName>
    <definedName name="VAT_facility_committed">[82]Assumption!$B$39</definedName>
    <definedName name="VATGENERAL">'[37]INPUT-AREA'!$H$57</definedName>
    <definedName name="VATTARRIFS">'[37]INPUT-AREA'!$H$56</definedName>
    <definedName name="VehiclesAddedReplace" localSheetId="19">[45]PLAN!#REF!</definedName>
    <definedName name="VehiclesAddedReplace">[45]PLAN!#REF!</definedName>
    <definedName name="VehiclesAddedStaff" localSheetId="19">[45]PLAN!#REF!</definedName>
    <definedName name="VehiclesAddedStaff">[45]PLAN!#REF!</definedName>
    <definedName name="VENDEURS" localSheetId="19">#REF!</definedName>
    <definedName name="VENDEURS" localSheetId="18">#REF!</definedName>
    <definedName name="VENDEURS">#REF!</definedName>
    <definedName name="Verizon_Discount" localSheetId="19">#REF!</definedName>
    <definedName name="Verizon_Discount" localSheetId="18">#REF!</definedName>
    <definedName name="Verizon_Discount">#REF!</definedName>
    <definedName name="VERS11" localSheetId="19">#REF!</definedName>
    <definedName name="VERS11" localSheetId="18">#REF!</definedName>
    <definedName name="VERS11">#REF!</definedName>
    <definedName name="versbond" localSheetId="19">#REF!</definedName>
    <definedName name="versbond" localSheetId="18">#REF!</definedName>
    <definedName name="versbond">#REF!</definedName>
    <definedName name="versbond1" localSheetId="19">#REF!</definedName>
    <definedName name="versbond1" localSheetId="18">#REF!</definedName>
    <definedName name="versbond1">#REF!</definedName>
    <definedName name="versd1" localSheetId="19">#REF!</definedName>
    <definedName name="versd1" localSheetId="18">#REF!</definedName>
    <definedName name="versd1">#REF!</definedName>
    <definedName name="versd2" localSheetId="19">#REF!</definedName>
    <definedName name="versd2" localSheetId="18">#REF!</definedName>
    <definedName name="versd2">#REF!</definedName>
    <definedName name="versd3" localSheetId="19">#REF!</definedName>
    <definedName name="versd3" localSheetId="18">#REF!</definedName>
    <definedName name="versd3">#REF!</definedName>
    <definedName name="versd4" localSheetId="19">#REF!</definedName>
    <definedName name="versd4" localSheetId="18">#REF!</definedName>
    <definedName name="versd4">#REF!</definedName>
    <definedName name="versd5" localSheetId="19">#REF!</definedName>
    <definedName name="versd5" localSheetId="18">#REF!</definedName>
    <definedName name="versd5">#REF!</definedName>
    <definedName name="versd6" localSheetId="19">#REF!</definedName>
    <definedName name="versd6" localSheetId="18">#REF!</definedName>
    <definedName name="versd6">#REF!</definedName>
    <definedName name="versd7" localSheetId="19">#REF!</definedName>
    <definedName name="versd7" localSheetId="18">#REF!</definedName>
    <definedName name="versd7">#REF!</definedName>
    <definedName name="versd8" localSheetId="19">#REF!</definedName>
    <definedName name="versd8" localSheetId="18">#REF!</definedName>
    <definedName name="versd8">#REF!</definedName>
    <definedName name="VERSION" localSheetId="19">#REF!</definedName>
    <definedName name="VERSION" localSheetId="18">#REF!</definedName>
    <definedName name="VERSION">#REF!</definedName>
    <definedName name="Version.WIRE">1</definedName>
    <definedName name="versionno">1</definedName>
    <definedName name="VERSTP1" localSheetId="19">#REF!</definedName>
    <definedName name="VERSTP1" localSheetId="18">#REF!</definedName>
    <definedName name="VERSTP1">#REF!</definedName>
    <definedName name="VODADR" localSheetId="19">'[7]Fixed ADRs'!#REF!</definedName>
    <definedName name="VODADR" localSheetId="18">'[7]Fixed ADRs'!#REF!</definedName>
    <definedName name="VODADR">'[7]Fixed ADRs'!#REF!</definedName>
    <definedName name="VODevebitda98">'[63]Cellular '!$K$29</definedName>
    <definedName name="VODevebitda99">'[109]Cellular '!$K$30</definedName>
    <definedName name="Vodgrperpop">'[63]Cellular '!$A$9</definedName>
    <definedName name="vodlabels" localSheetId="19">#REF!</definedName>
    <definedName name="vodlabels" localSheetId="18">#REF!</definedName>
    <definedName name="vodlabels">#REF!</definedName>
    <definedName name="vodmobmod" localSheetId="19">#REF!</definedName>
    <definedName name="vodmobmod" localSheetId="18">#REF!</definedName>
    <definedName name="vodmobmod">#REF!</definedName>
    <definedName name="VODprice">'[109]Cellular '!$A$29</definedName>
    <definedName name="VODrec">'[63]Cellular '!$A$31</definedName>
    <definedName name="Voice_revenues" localSheetId="19">#REF!</definedName>
    <definedName name="Voice_revenues" localSheetId="18">#REF!</definedName>
    <definedName name="Voice_revenues">#REF!</definedName>
    <definedName name="Voix_Hors_Forfait_1" localSheetId="19">#REF!</definedName>
    <definedName name="Voix_Hors_Forfait_1" localSheetId="18">#REF!</definedName>
    <definedName name="Voix_Hors_Forfait_1">#REF!</definedName>
    <definedName name="Voix_Hors_Forfait_10" localSheetId="19">#REF!</definedName>
    <definedName name="Voix_Hors_Forfait_10" localSheetId="18">#REF!</definedName>
    <definedName name="Voix_Hors_Forfait_10">#REF!</definedName>
    <definedName name="Voix_Hors_Forfait_11" localSheetId="19">#REF!</definedName>
    <definedName name="Voix_Hors_Forfait_11" localSheetId="18">#REF!</definedName>
    <definedName name="Voix_Hors_Forfait_11">#REF!</definedName>
    <definedName name="Voix_Hors_Forfait_12" localSheetId="19">#REF!</definedName>
    <definedName name="Voix_Hors_Forfait_12" localSheetId="18">#REF!</definedName>
    <definedName name="Voix_Hors_Forfait_12">#REF!</definedName>
    <definedName name="Voix_Hors_Forfait_13" localSheetId="19">#REF!</definedName>
    <definedName name="Voix_Hors_Forfait_13" localSheetId="18">#REF!</definedName>
    <definedName name="Voix_Hors_Forfait_13">#REF!</definedName>
    <definedName name="Voix_Hors_Forfait_14" localSheetId="19">#REF!</definedName>
    <definedName name="Voix_Hors_Forfait_14" localSheetId="18">#REF!</definedName>
    <definedName name="Voix_Hors_Forfait_14">#REF!</definedName>
    <definedName name="Voix_Hors_Forfait_15" localSheetId="19">#REF!</definedName>
    <definedName name="Voix_Hors_Forfait_15" localSheetId="18">#REF!</definedName>
    <definedName name="Voix_Hors_Forfait_15">#REF!</definedName>
    <definedName name="Voix_Hors_Forfait_2" localSheetId="19">#REF!</definedName>
    <definedName name="Voix_Hors_Forfait_2" localSheetId="18">#REF!</definedName>
    <definedName name="Voix_Hors_Forfait_2">#REF!</definedName>
    <definedName name="Voix_Hors_Forfait_3" localSheetId="19">#REF!</definedName>
    <definedName name="Voix_Hors_Forfait_3" localSheetId="18">#REF!</definedName>
    <definedName name="Voix_Hors_Forfait_3">#REF!</definedName>
    <definedName name="Voix_Hors_Forfait_4" localSheetId="19">#REF!</definedName>
    <definedName name="Voix_Hors_Forfait_4" localSheetId="18">#REF!</definedName>
    <definedName name="Voix_Hors_Forfait_4">#REF!</definedName>
    <definedName name="Voix_Hors_Forfait_5" localSheetId="19">#REF!</definedName>
    <definedName name="Voix_Hors_Forfait_5" localSheetId="18">#REF!</definedName>
    <definedName name="Voix_Hors_Forfait_5">#REF!</definedName>
    <definedName name="Voix_Hors_Forfait_6" localSheetId="19">#REF!</definedName>
    <definedName name="Voix_Hors_Forfait_6" localSheetId="18">#REF!</definedName>
    <definedName name="Voix_Hors_Forfait_6">#REF!</definedName>
    <definedName name="Voix_Hors_Forfait_7" localSheetId="19">#REF!</definedName>
    <definedName name="Voix_Hors_Forfait_7" localSheetId="18">#REF!</definedName>
    <definedName name="Voix_Hors_Forfait_7">#REF!</definedName>
    <definedName name="Voix_Hors_Forfait_8" localSheetId="19">#REF!</definedName>
    <definedName name="Voix_Hors_Forfait_8" localSheetId="18">#REF!</definedName>
    <definedName name="Voix_Hors_Forfait_8">#REF!</definedName>
    <definedName name="Voix_Hors_Forfait_9" localSheetId="19">#REF!</definedName>
    <definedName name="Voix_Hors_Forfait_9" localSheetId="18">#REF!</definedName>
    <definedName name="Voix_Hors_Forfait_9">#REF!</definedName>
    <definedName name="W" localSheetId="19">'[25]Fleet &amp; Costs'!#REF!</definedName>
    <definedName name="W" localSheetId="18">'[25]Fleet &amp; Costs'!#REF!</definedName>
    <definedName name="W">'[25]Fleet &amp; Costs'!#REF!</definedName>
    <definedName name="WACC" localSheetId="19">#REF!</definedName>
    <definedName name="WACC" localSheetId="18">#REF!</definedName>
    <definedName name="WACC">#REF!</definedName>
    <definedName name="WACC_sen" localSheetId="19">#REF!</definedName>
    <definedName name="WACC_sen" localSheetId="18">#REF!</definedName>
    <definedName name="WACC_sen">#REF!</definedName>
    <definedName name="wcass1" localSheetId="19">'[12]Fleet &amp; Costs'!#REF!</definedName>
    <definedName name="wcass1" localSheetId="18">'[12]Fleet &amp; Costs'!#REF!</definedName>
    <definedName name="wcass1">'[12]Fleet &amp; Costs'!#REF!</definedName>
    <definedName name="wcass2" localSheetId="19">'[12]Fleet &amp; Costs'!#REF!</definedName>
    <definedName name="wcass2" localSheetId="18">'[12]Fleet &amp; Costs'!#REF!</definedName>
    <definedName name="wcass2">'[12]Fleet &amp; Costs'!#REF!</definedName>
    <definedName name="wcass3" localSheetId="19">'[25]Fleet &amp; Costs'!#REF!</definedName>
    <definedName name="wcass3" localSheetId="18">'[25]Fleet &amp; Costs'!#REF!</definedName>
    <definedName name="wcass3">'[25]Fleet &amp; Costs'!#REF!</definedName>
    <definedName name="wcass4" localSheetId="19">'[12]Fleet &amp; Costs'!#REF!</definedName>
    <definedName name="wcass4" localSheetId="18">'[12]Fleet &amp; Costs'!#REF!</definedName>
    <definedName name="wcass4">'[12]Fleet &amp; Costs'!#REF!</definedName>
    <definedName name="wcliab1" localSheetId="19">'[12]Fleet &amp; Costs'!#REF!</definedName>
    <definedName name="wcliab1" localSheetId="18">'[12]Fleet &amp; Costs'!#REF!</definedName>
    <definedName name="wcliab1">'[12]Fleet &amp; Costs'!#REF!</definedName>
    <definedName name="wcliab2" localSheetId="19">'[25]Fleet &amp; Costs'!#REF!</definedName>
    <definedName name="wcliab2">'[25]Fleet &amp; Costs'!#REF!</definedName>
    <definedName name="wcliab3" localSheetId="19">'[12]Fleet &amp; Costs'!#REF!</definedName>
    <definedName name="wcliab3">'[12]Fleet &amp; Costs'!#REF!</definedName>
    <definedName name="web_bs">'[110]Web - CoView'!$A$46:$N$58</definedName>
    <definedName name="web_cashflow">'[110]Web - CoView'!$A$33:$N$43</definedName>
    <definedName name="web_dcf">'[110]Web - CoView'!$A$63:$N$97</definedName>
    <definedName name="web_operational_stats">'[110]Web - CoView'!$A$107:$N$121</definedName>
    <definedName name="web_pl">'[110]Web - CoView'!$A$3:$N$28</definedName>
    <definedName name="web_valuations">'[110]Web - CoView'!$A$124:$N$143</definedName>
    <definedName name="whorev" localSheetId="19">'[111]Rev Breakout'!#REF!</definedName>
    <definedName name="whorev">'[111]Rev Breakout'!#REF!</definedName>
    <definedName name="WLITA1" localSheetId="19">#REF!</definedName>
    <definedName name="WLITA1" localSheetId="18">#REF!</definedName>
    <definedName name="WLITA1">#REF!</definedName>
    <definedName name="WLITA2" localSheetId="19">#REF!</definedName>
    <definedName name="WLITA2" localSheetId="18">#REF!</definedName>
    <definedName name="WLITA2">#REF!</definedName>
    <definedName name="Workbook.Author" localSheetId="19">#REF!</definedName>
    <definedName name="Workbook.Author" localSheetId="18">#REF!</definedName>
    <definedName name="Workbook.Author">#REF!</definedName>
    <definedName name="Workbook.Authors_Email_Address" localSheetId="19">#REF!</definedName>
    <definedName name="Workbook.Authors_Email_Address" localSheetId="18">#REF!</definedName>
    <definedName name="Workbook.Authors_Email_Address">#REF!</definedName>
    <definedName name="Workbook.Objective" localSheetId="19">#REF!</definedName>
    <definedName name="Workbook.Objective" localSheetId="18">#REF!</definedName>
    <definedName name="Workbook.Objective">#REF!</definedName>
    <definedName name="Workbook.Status" localSheetId="19">#REF!</definedName>
    <definedName name="Workbook.Status" localSheetId="18">#REF!</definedName>
    <definedName name="Workbook.Status">#REF!</definedName>
    <definedName name="Workbook.Title" localSheetId="19">#REF!</definedName>
    <definedName name="Workbook.Title" localSheetId="18">#REF!</definedName>
    <definedName name="Workbook.Title">#REF!</definedName>
    <definedName name="Workbook.Version" localSheetId="19">#REF!</definedName>
    <definedName name="Workbook.Version" localSheetId="18">#REF!</definedName>
    <definedName name="Workbook.Version">#REF!</definedName>
    <definedName name="WorkbookAuthor" localSheetId="19">#REF!</definedName>
    <definedName name="WorkbookAuthor" localSheetId="18">#REF!</definedName>
    <definedName name="WorkbookAuthor">#REF!</definedName>
    <definedName name="WorkCapIncrease" localSheetId="19">'[32]Statistics France'!#REF!</definedName>
    <definedName name="WorkCapIncrease" localSheetId="18">'[32]Statistics France'!#REF!</definedName>
    <definedName name="WorkCapIncrease">'[32]Statistics France'!#REF!</definedName>
    <definedName name="workcapincrease2">'[33]STAT BRU'!$A$935:$IV$935</definedName>
    <definedName name="workcapincreasecodi" localSheetId="19">#REF!</definedName>
    <definedName name="workcapincreasecodi" localSheetId="18">#REF!</definedName>
    <definedName name="workcapincreasecodi">#REF!</definedName>
    <definedName name="workcapincreaseconso">'[34]STAT BRU'!$A$935:$IV$935</definedName>
    <definedName name="workcapincreaseev" localSheetId="19">#REF!</definedName>
    <definedName name="workcapincreaseev" localSheetId="18">#REF!</definedName>
    <definedName name="workcapincreaseev">#REF!</definedName>
    <definedName name="workcapincreaseev2" localSheetId="19">#REF!</definedName>
    <definedName name="workcapincreaseev2" localSheetId="18">#REF!</definedName>
    <definedName name="workcapincreaseev2">#REF!</definedName>
    <definedName name="workcapincreaseevconso" localSheetId="19">#REF!</definedName>
    <definedName name="workcapincreaseevconso" localSheetId="18">#REF!</definedName>
    <definedName name="workcapincreaseevconso">#REF!</definedName>
    <definedName name="Working_list" localSheetId="19">[87]KPN!#REF!</definedName>
    <definedName name="Working_list" localSheetId="18">[87]KPN!#REF!</definedName>
    <definedName name="Working_list">[87]KPN!#REF!</definedName>
    <definedName name="Working_print" localSheetId="19">[87]KPN!#REF!</definedName>
    <definedName name="Working_print" localSheetId="18">[87]KPN!#REF!</definedName>
    <definedName name="Working_print">[87]KPN!#REF!</definedName>
    <definedName name="Write_offs" localSheetId="19">'[10]P&amp;L-Pre'!#REF!</definedName>
    <definedName name="Write_offs" localSheetId="18">'[10]P&amp;L-Pre'!#REF!</definedName>
    <definedName name="Write_offs">'[10]P&amp;L-Pre'!#REF!</definedName>
    <definedName name="WriteUp_inventories" localSheetId="19">#REF!</definedName>
    <definedName name="WriteUp_inventories" localSheetId="18">#REF!</definedName>
    <definedName name="WriteUp_inventories">#REF!</definedName>
    <definedName name="WriteUp_otherCA" localSheetId="19">#REF!</definedName>
    <definedName name="WriteUp_otherCA" localSheetId="18">#REF!</definedName>
    <definedName name="WriteUp_otherCA">#REF!</definedName>
    <definedName name="WriteUp_otherCL" localSheetId="19">#REF!</definedName>
    <definedName name="WriteUp_otherCL" localSheetId="18">#REF!</definedName>
    <definedName name="WriteUp_otherCL">#REF!</definedName>
    <definedName name="WriteUp_otherLTA" localSheetId="19">#REF!</definedName>
    <definedName name="WriteUp_otherLTA" localSheetId="18">#REF!</definedName>
    <definedName name="WriteUp_otherLTA">#REF!</definedName>
    <definedName name="WriteUp_otherLTL" localSheetId="19">#REF!</definedName>
    <definedName name="WriteUp_otherLTL" localSheetId="18">#REF!</definedName>
    <definedName name="WriteUp_otherLTL">#REF!</definedName>
    <definedName name="WriteUp_payables" localSheetId="19">#REF!</definedName>
    <definedName name="WriteUp_payables" localSheetId="18">#REF!</definedName>
    <definedName name="WriteUp_payables">#REF!</definedName>
    <definedName name="WriteUP_PPE" localSheetId="19">#REF!</definedName>
    <definedName name="WriteUP_PPE" localSheetId="18">#REF!</definedName>
    <definedName name="WriteUP_PPE">#REF!</definedName>
    <definedName name="WriteUp_receivables" localSheetId="19">#REF!</definedName>
    <definedName name="WriteUp_receivables" localSheetId="18">#REF!</definedName>
    <definedName name="WriteUp_receivables">#REF!</definedName>
    <definedName name="writeupdeprec" localSheetId="19">#REF!</definedName>
    <definedName name="writeupdeprec" localSheetId="18">#REF!</definedName>
    <definedName name="writeupdeprec">#REF!</definedName>
    <definedName name="written_down_value" localSheetId="19">'[10]P&amp;L-Pre'!#REF!</definedName>
    <definedName name="written_down_value" localSheetId="18">'[10]P&amp;L-Pre'!#REF!</definedName>
    <definedName name="written_down_value">'[10]P&amp;L-Pre'!#REF!</definedName>
    <definedName name="wrn" localSheetId="18" hidden="1">{#N/A,#N/A,FALSE,"DCF Summary";#N/A,#N/A,FALSE,"Casema";#N/A,#N/A,FALSE,"Casema NoTel";#N/A,#N/A,FALSE,"UK";#N/A,#N/A,FALSE,"RCF";#N/A,#N/A,FALSE,"Intercable CZ";#N/A,#N/A,FALSE,"Interkabel P"}</definedName>
    <definedName name="wrn" hidden="1">{#N/A,#N/A,FALSE,"DCF Summary";#N/A,#N/A,FALSE,"Casema";#N/A,#N/A,FALSE,"Casema NoTel";#N/A,#N/A,FALSE,"UK";#N/A,#N/A,FALSE,"RCF";#N/A,#N/A,FALSE,"Intercable CZ";#N/A,#N/A,FALSE,"Interkabel P"}</definedName>
    <definedName name="wrn.ALL." localSheetId="18" hidden="1">{#N/A,#N/A,FALSE,"INPUTS";#N/A,#N/A,FALSE,"PROFORMA BSHEET";#N/A,#N/A,FALSE,"COMBINED";#N/A,#N/A,FALSE,"ACQUIROR";#N/A,#N/A,FALSE,"TARGET 1";#N/A,#N/A,FALSE,"TARGET 2";#N/A,#N/A,FALSE,"HIGH YIELD";#N/A,#N/A,FALSE,"OVERFUND"}</definedName>
    <definedName name="wrn.ALL." hidden="1">{#N/A,#N/A,FALSE,"INPUTS";#N/A,#N/A,FALSE,"PROFORMA BSHEET";#N/A,#N/A,FALSE,"COMBINED";#N/A,#N/A,FALSE,"ACQUIROR";#N/A,#N/A,FALSE,"TARGET 1";#N/A,#N/A,FALSE,"TARGET 2";#N/A,#N/A,FALSE,"HIGH YIELD";#N/A,#N/A,FALSE,"OVERFUND"}</definedName>
    <definedName name="wrn.ARPU._.composition." localSheetId="18" hidden="1">{#N/A,#N/A,FALSE,"Additional ARPU"}</definedName>
    <definedName name="wrn.ARPU._.composition." hidden="1">{#N/A,#N/A,FALSE,"Additional ARPU"}</definedName>
    <definedName name="wrn.backup." localSheetId="18" hidden="1">{"financials",#N/A,FALSE,"BASIC";"interest",#N/A,FALSE,"BASIC";"leasing and financing",#N/A,FALSE,"BASIC";"returns back up",#N/A,FALSE,"BASIC"}</definedName>
    <definedName name="wrn.backup." hidden="1">{"financials",#N/A,FALSE,"BASIC";"interest",#N/A,FALSE,"BASIC";"leasing and financing",#N/A,FALSE,"BASIC";"returns back up",#N/A,FALSE,"BASIC"}</definedName>
    <definedName name="wrn.bank._.model." localSheetId="18" hidden="1">{"banks",#N/A,FALSE,"BASIC"}</definedName>
    <definedName name="wrn.bank._.model." hidden="1">{"banks",#N/A,FALSE,"BASIC"}</definedName>
    <definedName name="wrn.BILAN." localSheetId="18" hidden="1">{#N/A,#N/A,FALSE,"titres";#N/A,#N/A,FALSE,"15.";#N/A,#N/A,FALSE,"408100";#N/A,#N/A,FALSE,"4081XX";#N/A,#N/A,FALSE,"408200";#N/A,#N/A,FALSE,"409100";#N/A,#N/A,FALSE,"411100";#N/A,#N/A,FALSE,"418100";#N/A,#N/A,FALSE,"421000";#N/A,#N/A,FALSE,"438700";#N/A,#N/A,FALSE,"451870";#N/A,#N/A,FALSE,"451860";#N/A,#N/A,FALSE,"455096";#N/A,#N/A,FALSE,"486."}</definedName>
    <definedName name="wrn.BILAN." hidden="1">{#N/A,#N/A,FALSE,"titres";#N/A,#N/A,FALSE,"15.";#N/A,#N/A,FALSE,"408100";#N/A,#N/A,FALSE,"4081XX";#N/A,#N/A,FALSE,"408200";#N/A,#N/A,FALSE,"409100";#N/A,#N/A,FALSE,"411100";#N/A,#N/A,FALSE,"418100";#N/A,#N/A,FALSE,"421000";#N/A,#N/A,FALSE,"438700";#N/A,#N/A,FALSE,"451870";#N/A,#N/A,FALSE,"451860";#N/A,#N/A,FALSE,"455096";#N/A,#N/A,FALSE,"486."}</definedName>
    <definedName name="wrn.BP._.print." localSheetId="18" hidden="1">{#N/A,#N/A,FALSE,"BANNERS";#N/A,#N/A,FALSE,"Market";#N/A,#N/A,FALSE,"Tel Rev";#N/A,#N/A,FALSE,"Revenues IOL";#N/A,#N/A,FALSE,"Invest";#N/A,#N/A,FALSE,"Op Cost1";#N/A,#N/A,FALSE,"Op Cost2";#N/A,#N/A,FALSE,"Oth_&amp;_Tot_Revenues";#N/A,#N/A,FALSE,"Fin Mod";#N/A,#N/A,FALSE,"FinMod_RoW";#N/A,#N/A,FALSE,"P&amp;E Burocrat";#N/A,#N/A,FALSE,"cash flow"}</definedName>
    <definedName name="wrn.BP._.print." hidden="1">{#N/A,#N/A,FALSE,"BANNERS";#N/A,#N/A,FALSE,"Market";#N/A,#N/A,FALSE,"Tel Rev";#N/A,#N/A,FALSE,"Revenues IOL";#N/A,#N/A,FALSE,"Invest";#N/A,#N/A,FALSE,"Op Cost1";#N/A,#N/A,FALSE,"Op Cost2";#N/A,#N/A,FALSE,"Oth_&amp;_Tot_Revenues";#N/A,#N/A,FALSE,"Fin Mod";#N/A,#N/A,FALSE,"FinMod_RoW";#N/A,#N/A,FALSE,"P&amp;E Burocrat";#N/A,#N/A,FALSE,"cash flow"}</definedName>
    <definedName name="wrn.BPlan." localSheetId="18" hidden="1">{#N/A,#N/A,FALSE,"F_Plan";#N/A,#N/A,FALSE,"Parameter"}</definedName>
    <definedName name="wrn.BPlan." hidden="1">{#N/A,#N/A,FALSE,"F_Plan";#N/A,#N/A,FALSE,"Parameter"}</definedName>
    <definedName name="wrn.COMBINED." localSheetId="18" hidden="1">{#N/A,#N/A,FALSE,"INPUTS";#N/A,#N/A,FALSE,"PROFORMA BSHEET";#N/A,#N/A,FALSE,"COMBINED";#N/A,#N/A,FALSE,"HIGH YIELD";#N/A,#N/A,FALSE,"COMB_GRAPHS"}</definedName>
    <definedName name="wrn.COMBINED." hidden="1">{#N/A,#N/A,FALSE,"INPUTS";#N/A,#N/A,FALSE,"PROFORMA BSHEET";#N/A,#N/A,FALSE,"COMBINED";#N/A,#N/A,FALSE,"HIGH YIELD";#N/A,#N/A,FALSE,"COMB_GRAPHS"}</definedName>
    <definedName name="wrn.Complete." localSheetId="18" hidden="1">{#N/A,#N/A,TRUE,"DCF Summary";#N/A,#N/A,TRUE,"Casema";#N/A,#N/A,TRUE,"UK";#N/A,#N/A,TRUE,"RCF";#N/A,#N/A,TRUE,"Intercable CZ";#N/A,#N/A,TRUE,"Interkabel P";#N/A,#N/A,TRUE,"LBO-Total";#N/A,#N/A,TRUE,"LBO-Casema"}</definedName>
    <definedName name="wrn.Complete." hidden="1">{#N/A,#N/A,TRUE,"DCF Summary";#N/A,#N/A,TRUE,"Casema";#N/A,#N/A,TRUE,"UK";#N/A,#N/A,TRUE,"RCF";#N/A,#N/A,TRUE,"Intercable CZ";#N/A,#N/A,TRUE,"Interkabel P";#N/A,#N/A,TRUE,"LBO-Total";#N/A,#N/A,TRUE,"LBO-Casema"}</definedName>
    <definedName name="wrn.DCF._.Only." localSheetId="18" hidden="1">{#N/A,#N/A,FALSE,"DCF Summary";#N/A,#N/A,FALSE,"Casema";#N/A,#N/A,FALSE,"Casema NoTel";#N/A,#N/A,FALSE,"UK";#N/A,#N/A,FALSE,"RCF";#N/A,#N/A,FALSE,"Intercable CZ";#N/A,#N/A,FALSE,"Interkabel P"}</definedName>
    <definedName name="wrn.DCF._.Only." hidden="1">{#N/A,#N/A,FALSE,"DCF Summary";#N/A,#N/A,FALSE,"Casema";#N/A,#N/A,FALSE,"Casema NoTel";#N/A,#N/A,FALSE,"UK";#N/A,#N/A,FALSE,"RCF";#N/A,#N/A,FALSE,"Intercable CZ";#N/A,#N/A,FALSE,"Interkabel P"}</definedName>
    <definedName name="wrn.ev" localSheetId="18" hidden="1">{#N/A,#N/A,FALSE,"INPUTS";#N/A,#N/A,FALSE,"PROFORMA BSHEET";#N/A,#N/A,FALSE,"COMBINED";#N/A,#N/A,FALSE,"ACQUIROR";#N/A,#N/A,FALSE,"TARGET 1";#N/A,#N/A,FALSE,"TARGET 2";#N/A,#N/A,FALSE,"HIGH YIELD";#N/A,#N/A,FALSE,"OVERFUND"}</definedName>
    <definedName name="wrn.ev" hidden="1">{#N/A,#N/A,FALSE,"INPUTS";#N/A,#N/A,FALSE,"PROFORMA BSHEET";#N/A,#N/A,FALSE,"COMBINED";#N/A,#N/A,FALSE,"ACQUIROR";#N/A,#N/A,FALSE,"TARGET 1";#N/A,#N/A,FALSE,"TARGET 2";#N/A,#N/A,FALSE,"HIGH YIELD";#N/A,#N/A,FALSE,"OVERFUND"}</definedName>
    <definedName name="wrn.Full." localSheetId="18" hidden="1">{#N/A,#N/A,FALSE,"Cover";"outputs total",#N/A,FALSE,"Outputs"}</definedName>
    <definedName name="wrn.Full." hidden="1">{#N/A,#N/A,FALSE,"Cover";"outputs total",#N/A,FALSE,"Outputs"}</definedName>
    <definedName name="wrn.Full._.Model." localSheetId="18" hidden="1">{#N/A,#N/A,TRUE,"Cover sheet";#N/A,#N/A,TRUE,"DCF analysis";#N/A,#N/A,TRUE,"WACC calculation"}</definedName>
    <definedName name="wrn.Full._.Model." hidden="1">{#N/A,#N/A,TRUE,"Cover sheet";#N/A,#N/A,TRUE,"DCF analysis";#N/A,#N/A,TRUE,"WACC calculation"}</definedName>
    <definedName name="wrn.Full._.Report." localSheetId="18" hidden="1">{#N/A,#N/A,FALSE,"Cover";#N/A,#N/A,FALSE,"Ratios";#N/A,#N/A,FALSE,"Cases";#N/A,#N/A,FALSE,"Assumptions";#N/A,#N/A,FALSE,"P&amp;L";#N/A,#N/A,FALSE,"CF";#N/A,#N/A,FALSE,"BS";#N/A,#N/A,FALSE,"Payloads";#N/A,#N/A,FALSE,"Revenues";#N/A,#N/A,FALSE,"Capex";#N/A,#N/A,FALSE,"Debt";#N/A,#N/A,FALSE,"Escrow Account";#N/A,#N/A,FALSE,"FCF"}</definedName>
    <definedName name="wrn.Full._.Report." hidden="1">{#N/A,#N/A,FALSE,"Cover";#N/A,#N/A,FALSE,"Ratios";#N/A,#N/A,FALSE,"Cases";#N/A,#N/A,FALSE,"Assumptions";#N/A,#N/A,FALSE,"P&amp;L";#N/A,#N/A,FALSE,"CF";#N/A,#N/A,FALSE,"BS";#N/A,#N/A,FALSE,"Payloads";#N/A,#N/A,FALSE,"Revenues";#N/A,#N/A,FALSE,"Capex";#N/A,#N/A,FALSE,"Debt";#N/A,#N/A,FALSE,"Escrow Account";#N/A,#N/A,FALSE,"FCF"}</definedName>
    <definedName name="wrn.GRAPHS." localSheetId="18" hidden="1">{#N/A,#N/A,FALSE,"ACQ_GRAPHS";#N/A,#N/A,FALSE,"T_1 GRAPHS";#N/A,#N/A,FALSE,"T_2 GRAPHS";#N/A,#N/A,FALSE,"COMB_GRAPHS"}</definedName>
    <definedName name="wrn.GRAPHS." hidden="1">{#N/A,#N/A,FALSE,"ACQ_GRAPHS";#N/A,#N/A,FALSE,"T_1 GRAPHS";#N/A,#N/A,FALSE,"T_2 GRAPHS";#N/A,#N/A,FALSE,"COMB_GRAPHS"}</definedName>
    <definedName name="wrn.Massimo." localSheetId="18"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assim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odel." localSheetId="18" hidden="1">{"basic",#N/A,FALSE,"BASIC"}</definedName>
    <definedName name="wrn.model." hidden="1">{"basic",#N/A,FALSE,"BASIC"}</definedName>
    <definedName name="wrn.print._.out." localSheetId="18" hidden="1">{#N/A,#N/A,FALSE,"Cover";#N/A,#N/A,FALSE,"Scenari";#N/A,#N/A,FALSE,"P&amp;L - AH";#N/A,#N/A,FALSE,"BS - AH";#N/A,#N/A,FALSE,"CF - AH";#N/A,#N/A,FALSE,"P&amp;L HoldCo";#N/A,#N/A,FALSE,"BS HoldCo";#N/A,#N/A,FALSE,"CF HoldCo";#N/A,#N/A,FALSE,"P&amp;L Conso";#N/A,#N/A,FALSE,"BS Conso";#N/A,#N/A,FALSE,"CF Conso";#N/A,#N/A,FALSE,"Revenues";#N/A,#N/A,FALSE,"Opex";#N/A,#N/A,FALSE,"Capex";#N/A,#N/A,FALSE,"WC";#N/A,#N/A,FALSE,"Debt";#N/A,#N/A,FALSE,"Taxes";#N/A,#N/A,FALSE,"Minorities";#N/A,#N/A,FALSE,"Devaluation"}</definedName>
    <definedName name="wrn.print._.out." hidden="1">{#N/A,#N/A,FALSE,"Cover";#N/A,#N/A,FALSE,"Scenari";#N/A,#N/A,FALSE,"P&amp;L - AH";#N/A,#N/A,FALSE,"BS - AH";#N/A,#N/A,FALSE,"CF - AH";#N/A,#N/A,FALSE,"P&amp;L HoldCo";#N/A,#N/A,FALSE,"BS HoldCo";#N/A,#N/A,FALSE,"CF HoldCo";#N/A,#N/A,FALSE,"P&amp;L Conso";#N/A,#N/A,FALSE,"BS Conso";#N/A,#N/A,FALSE,"CF Conso";#N/A,#N/A,FALSE,"Revenues";#N/A,#N/A,FALSE,"Opex";#N/A,#N/A,FALSE,"Capex";#N/A,#N/A,FALSE,"WC";#N/A,#N/A,FALSE,"Debt";#N/A,#N/A,FALSE,"Taxes";#N/A,#N/A,FALSE,"Minorities";#N/A,#N/A,FALSE,"Devaluation"}</definedName>
    <definedName name="wrn.print._.pages." localSheetId="18"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out." localSheetId="18" hidden="1">{#N/A,#N/A,TRUE,"Cover";#N/A,#N/A,TRUE,"Summary";#N/A,#N/A,TRUE,"P&amp;L";#N/A,#N/A,TRUE,"BS";#N/A,#N/A,TRUE,"CF";#N/A,#N/A,TRUE,"Auna TLC";#N/A,#N/A,TRUE,"Amena - Market Evolution";#N/A,#N/A,TRUE,"Amena - Revenues";#N/A,#N/A,TRUE,"Debt &amp; Obligations";#N/A,#N/A,TRUE,"Assets &amp; Deferred Rights";#N/A,#N/A,TRUE,"BB internet market - comps";#N/A,#N/A,TRUE,"CaTV market - comps"}</definedName>
    <definedName name="wrn.Print.out." hidden="1">{#N/A,#N/A,TRUE,"Cover";#N/A,#N/A,TRUE,"Summary";#N/A,#N/A,TRUE,"P&amp;L";#N/A,#N/A,TRUE,"BS";#N/A,#N/A,TRUE,"CF";#N/A,#N/A,TRUE,"Auna TLC";#N/A,#N/A,TRUE,"Amena - Market Evolution";#N/A,#N/A,TRUE,"Amena - Revenues";#N/A,#N/A,TRUE,"Debt &amp; Obligations";#N/A,#N/A,TRUE,"Assets &amp; Deferred Rights";#N/A,#N/A,TRUE,"BB internet market - comps";#N/A,#N/A,TRUE,"CaTV market - comps"}</definedName>
    <definedName name="wrn.printout." localSheetId="18" hidden="1">{#N/A,#N/A,FALSE,"BANNERS";#N/A,#N/A,FALSE,"Market";#N/A,#N/A,FALSE,"# of POP MAN";#N/A,#N/A,FALSE,"Penet Input";#N/A,#N/A,FALSE,"Tel Rev";#N/A,#N/A,FALSE,"Invest";#N/A,#N/A,FALSE,"Op Cost1";#N/A,#N/A,FALSE,"Op Cost2";#N/A,#N/A,FALSE,"Oth_&amp;_Tot_Revenues";#N/A,#N/A,FALSE,"Fin Mod";#N/A,#N/A,FALSE,"P&amp;E Burocrat";#N/A,#N/A,FALSE,"cash flow"}</definedName>
    <definedName name="wrn.printout." hidden="1">{#N/A,#N/A,FALSE,"BANNERS";#N/A,#N/A,FALSE,"Market";#N/A,#N/A,FALSE,"# of POP MAN";#N/A,#N/A,FALSE,"Penet Input";#N/A,#N/A,FALSE,"Tel Rev";#N/A,#N/A,FALSE,"Invest";#N/A,#N/A,FALSE,"Op Cost1";#N/A,#N/A,FALSE,"Op Cost2";#N/A,#N/A,FALSE,"Oth_&amp;_Tot_Revenues";#N/A,#N/A,FALSE,"Fin Mod";#N/A,#N/A,FALSE,"P&amp;E Burocrat";#N/A,#N/A,FALSE,"cash flow"}</definedName>
    <definedName name="wrn.ProMonte." localSheetId="18" hidden="1">{#N/A,#N/A,FALSE,"Assump";"view1",#N/A,FALSE,"P&amp;L";"view2",#N/A,FALSE,"P&amp;L";#N/A,#N/A,FALSE,"P&amp;L PERC";"view1",#N/A,FALSE,"BS";"view2",#N/A,FALSE,"BS";#N/A,#N/A,FALSE,"CF";#N/A,#N/A,FALSE,"Debt Rep";#N/A,#N/A,FALSE,"Ratios";#N/A,#N/A,FALSE,"adjusted BS";#N/A,#N/A,FALSE,"96-97 P&amp;L";#N/A,#N/A,FALSE,"96-97 BS"}</definedName>
    <definedName name="wrn.ProMonte." hidden="1">{#N/A,#N/A,FALSE,"Assump";"view1",#N/A,FALSE,"P&amp;L";"view2",#N/A,FALSE,"P&amp;L";#N/A,#N/A,FALSE,"P&amp;L PERC";"view1",#N/A,FALSE,"BS";"view2",#N/A,FALSE,"BS";#N/A,#N/A,FALSE,"CF";#N/A,#N/A,FALSE,"Debt Rep";#N/A,#N/A,FALSE,"Ratios";#N/A,#N/A,FALSE,"adjusted BS";#N/A,#N/A,FALSE,"96-97 P&amp;L";#N/A,#N/A,FALSE,"96-97 BS"}</definedName>
    <definedName name="wrn.rapport._.1." localSheetId="18" hidden="1">{#N/A,#N/A,TRUE,"Forecast &amp; Analysis";#N/A,#N/A,TRUE,"Market Values";#N/A,#N/A,TRUE,"Ratios";#N/A,#N/A,TRUE,"Regressions";#N/A,#N/A,TRUE,"Market Values";#N/A,#N/A,TRUE,"Parameters &amp; Results"}</definedName>
    <definedName name="wrn.rapport._.1." hidden="1">{#N/A,#N/A,TRUE,"Forecast &amp; Analysis";#N/A,#N/A,TRUE,"Market Values";#N/A,#N/A,TRUE,"Ratios";#N/A,#N/A,TRUE,"Regressions";#N/A,#N/A,TRUE,"Market Values";#N/A,#N/A,TRUE,"Parameters &amp; Results"}</definedName>
    <definedName name="wrn.Report." localSheetId="18" hidden="1">{#N/A,#N/A,TRUE,"Cover";#N/A,#N/A,TRUE,"Summary";#N/A,#N/A,TRUE,"P&amp;L";#N/A,#N/A,TRUE,"CF";#N/A,#N/A,TRUE,"BS";#N/A,#N/A,TRUE,"CaTV";#N/A,#N/A,TRUE,"Internet";#N/A,#N/A,TRUE,"Network";#N/A,#N/A,TRUE,"Assets &amp; Deferred Rights";#N/A,#N/A,TRUE,"Debt &amp; Obligations"}</definedName>
    <definedName name="wrn.Report." hidden="1">{#N/A,#N/A,TRUE,"Cover";#N/A,#N/A,TRUE,"Summary";#N/A,#N/A,TRUE,"P&amp;L";#N/A,#N/A,TRUE,"CF";#N/A,#N/A,TRUE,"BS";#N/A,#N/A,TRUE,"CaTV";#N/A,#N/A,TRUE,"Internet";#N/A,#N/A,TRUE,"Network";#N/A,#N/A,TRUE,"Assets &amp; Deferred Rights";#N/A,#N/A,TRUE,"Debt &amp; Obligations"}</definedName>
    <definedName name="wrn.Resultat." localSheetId="18" hidden="1">{#N/A,#N/A,FALSE,"655.755";#N/A,#N/A,FALSE,"661500";#N/A,#N/A,FALSE,"681500";#N/A,#N/A,FALSE,"686500";#N/A,#N/A,FALSE,"68662.";#N/A,#N/A,FALSE,"687500";#N/A,#N/A,FALSE,"7631.";#N/A,#N/A,FALSE,"771."}</definedName>
    <definedName name="wrn.Resultat." hidden="1">{#N/A,#N/A,FALSE,"655.755";#N/A,#N/A,FALSE,"661500";#N/A,#N/A,FALSE,"681500";#N/A,#N/A,FALSE,"686500";#N/A,#N/A,FALSE,"68662.";#N/A,#N/A,FALSE,"687500";#N/A,#N/A,FALSE,"7631.";#N/A,#N/A,FALSE,"771."}</definedName>
    <definedName name="wrn.summary." localSheetId="18" hidden="1">{"financials",#N/A,FALSE,"BASIC"}</definedName>
    <definedName name="wrn.summary." hidden="1">{"financials",#N/A,FALSE,"BASIC"}</definedName>
    <definedName name="wrn.Summary._.with._.short._.outputs." localSheetId="18" hidden="1">{#N/A,#N/A,FALSE,"Cover";"Short outputs",#N/A,FALSE,"Outputs";#N/A,#N/A,FALSE,"Control (In)";"tesco summary",#N/A,FALSE,"Tesco";"Outputs and Co summaries",#N/A,FALSE,"Sainsbury";"Outputs and Co Summaries",#N/A,FALSE,"Carrefour";"Outputs and Co summaries",#N/A,FALSE,"Co D";"Outputs and Co summaries",#N/A,FALSE,"Co E"}</definedName>
    <definedName name="wrn.Summary._.with._.short._.outputs." hidden="1">{#N/A,#N/A,FALSE,"Cover";"Short outputs",#N/A,FALSE,"Outputs";#N/A,#N/A,FALSE,"Control (In)";"tesco summary",#N/A,FALSE,"Tesco";"Outputs and Co summaries",#N/A,FALSE,"Sainsbury";"Outputs and Co Summaries",#N/A,FALSE,"Carrefour";"Outputs and Co summaries",#N/A,FALSE,"Co D";"Outputs and Co summaries",#N/A,FALSE,"Co E"}</definedName>
    <definedName name="wrn.Tout._.Sauf._.BG." localSheetId="18"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Umsatz." localSheetId="18" hidden="1">{#N/A,#N/A,FALSE,"Umsatz";#N/A,#N/A,FALSE,"Base V.02";#N/A,#N/A,FALSE,"Charts"}</definedName>
    <definedName name="wrn.Umsatz." hidden="1">{#N/A,#N/A,FALSE,"Umsatz";#N/A,#N/A,FALSE,"Base V.02";#N/A,#N/A,FALSE,"Charts"}</definedName>
    <definedName name="wrn.VALUATION." localSheetId="18"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ERB." localSheetId="18" hidden="1">{#N/A,#N/A,FALSE,"Valuation Assumptions";#N/A,#N/A,FALSE,"Summary";#N/A,#N/A,FALSE,"DCF";#N/A,#N/A,FALSE,"Valuation";#N/A,#N/A,FALSE,"WACC";#N/A,#N/A,FALSE,"UBVH";#N/A,#N/A,FALSE,"Free Cash Flow"}</definedName>
    <definedName name="WRN.VERB." hidden="1">{#N/A,#N/A,FALSE,"Valuation Assumptions";#N/A,#N/A,FALSE,"Summary";#N/A,#N/A,FALSE,"DCF";#N/A,#N/A,FALSE,"Valuation";#N/A,#N/A,FALSE,"WACC";#N/A,#N/A,FALSE,"UBVH";#N/A,#N/A,FALSE,"Free Cash Flow"}</definedName>
    <definedName name="wrn2.Bplan." localSheetId="18" hidden="1">{#N/A,#N/A,FALSE,"F_Plan";#N/A,#N/A,FALSE,"Parameter"}</definedName>
    <definedName name="wrn2.Bplan." hidden="1">{#N/A,#N/A,FALSE,"F_Plan";#N/A,#N/A,FALSE,"Parameter"}</definedName>
    <definedName name="wtdavgshares" localSheetId="19">#REF!</definedName>
    <definedName name="wtdavgshares">#REF!</definedName>
    <definedName name="x">'[112]Statistics operations'!$A$129:$IV$129</definedName>
    <definedName name="xf"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xf"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xrate" localSheetId="19">#REF!</definedName>
    <definedName name="xrate">#REF!</definedName>
    <definedName name="Y" localSheetId="19">'[12]Fleet &amp; Costs'!#REF!</definedName>
    <definedName name="Y">'[12]Fleet &amp; Costs'!#REF!</definedName>
    <definedName name="y_p52">[108]P52!$C$19:$H$19,[108]P52!$C$35:$H$35</definedName>
    <definedName name="yan_1200" localSheetId="19">[28]OUVERTURE!#REF!</definedName>
    <definedName name="yan_1200" localSheetId="18">[28]OUVERTURE!#REF!</definedName>
    <definedName name="yan_1200">[28]OUVERTURE!#REF!</definedName>
    <definedName name="ye" localSheetId="19">#REF!</definedName>
    <definedName name="ye" localSheetId="18">#REF!</definedName>
    <definedName name="ye">#REF!</definedName>
    <definedName name="year" localSheetId="19">#REF!</definedName>
    <definedName name="year" localSheetId="18">#REF!</definedName>
    <definedName name="year">#REF!</definedName>
    <definedName name="Year_ending_March" localSheetId="19">#REF!</definedName>
    <definedName name="Year_ending_March" localSheetId="18">#REF!</definedName>
    <definedName name="Year_ending_March">#REF!</definedName>
    <definedName name="YearEnd" localSheetId="19">#REF!</definedName>
    <definedName name="YearEnd" localSheetId="18">#REF!</definedName>
    <definedName name="YearEnd">#REF!</definedName>
    <definedName name="years" localSheetId="19">#REF!</definedName>
    <definedName name="years" localSheetId="18">#REF!</definedName>
    <definedName name="years">#REF!</definedName>
    <definedName name="Yellow" localSheetId="19">#REF!</definedName>
    <definedName name="Yellow" localSheetId="18">#REF!</definedName>
    <definedName name="Yellow">#REF!</definedName>
    <definedName name="yfj" localSheetId="18" hidden="1">{#N/A,#N/A,TRUE,"Cover sheet";#N/A,#N/A,TRUE,"INPUTS";#N/A,#N/A,TRUE,"OUTPUTS";#N/A,#N/A,TRUE,"VALUATION"}</definedName>
    <definedName name="yfj" hidden="1">{#N/A,#N/A,TRUE,"Cover sheet";#N/A,#N/A,TRUE,"INPUTS";#N/A,#N/A,TRUE,"OUTPUTS";#N/A,#N/A,TRUE,"VALUATION"}</definedName>
    <definedName name="YPSO" localSheetId="19">#REF!</definedName>
    <definedName name="YPSO">#REF!</definedName>
    <definedName name="Yr.Ended" localSheetId="19">#REF!</definedName>
    <definedName name="Yr.Ended" localSheetId="18">#REF!</definedName>
    <definedName name="Yr.Ended">#REF!</definedName>
    <definedName name="Z" localSheetId="19">'[25]Fleet &amp; Costs'!#REF!</definedName>
    <definedName name="Z" localSheetId="18">'[25]Fleet &amp; Costs'!#REF!</definedName>
    <definedName name="Z">'[25]Fleet &amp; Costs'!#REF!</definedName>
    <definedName name="z_005" localSheetId="19">#REF!</definedName>
    <definedName name="z_005" localSheetId="18">#REF!</definedName>
    <definedName name="z_005">#REF!</definedName>
    <definedName name="z_007" localSheetId="19">#REF!</definedName>
    <definedName name="z_007" localSheetId="18">#REF!</definedName>
    <definedName name="z_007">#REF!</definedName>
    <definedName name="z_010" localSheetId="19">#REF!</definedName>
    <definedName name="z_010" localSheetId="18">#REF!</definedName>
    <definedName name="z_010">#REF!</definedName>
    <definedName name="z_011" localSheetId="19">#REF!</definedName>
    <definedName name="z_011" localSheetId="18">#REF!</definedName>
    <definedName name="z_011">#REF!</definedName>
    <definedName name="zCapexConso" localSheetId="19">#REF!,#REF!,#REF!,#REF!</definedName>
    <definedName name="zCapexConso" localSheetId="18">#REF!,#REF!,#REF!,#REF!</definedName>
    <definedName name="zCapexConso">#REF!,#REF!,#REF!,#REF!</definedName>
    <definedName name="zPLconso" localSheetId="19">'[113]001'!#REF!,'[113]001'!$F$3:$R$265,'[113]001'!$S$3:$V$265,'[113]001'!#REF!</definedName>
    <definedName name="zPLconso" localSheetId="18">'[113]001'!#REF!,'[113]001'!$F$3:$R$265,'[113]001'!$S$3:$V$265,'[113]001'!#REF!</definedName>
    <definedName name="zPLconso">'[113]001'!#REF!,'[113]001'!$F$3:$R$265,'[113]001'!$S$3:$V$265,'[113]001'!#REF!</definedName>
    <definedName name="zzz" localSheetId="19">'[51]Stats '!#REF!</definedName>
    <definedName name="zzz" localSheetId="18">'[51]Stats '!#REF!</definedName>
    <definedName name="zzz">'[51]Stats '!#REF!</definedName>
  </definedNames>
  <calcPr calcId="191029" iterate="1"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251" i="14" l="1"/>
  <c r="O1215" i="14"/>
  <c r="O1214" i="14"/>
  <c r="M366" i="24"/>
  <c r="D956" i="14" s="1"/>
  <c r="N366" i="24"/>
  <c r="E956" i="14"/>
  <c r="O366" i="24"/>
  <c r="P366" i="24" s="1"/>
  <c r="Q945" i="14"/>
  <c r="S1063" i="14"/>
  <c r="S1070" i="14"/>
  <c r="S1061" i="14"/>
  <c r="S1071" i="14" s="1"/>
  <c r="O1216" i="14" l="1"/>
  <c r="G956" i="14"/>
  <c r="Q366" i="24"/>
  <c r="S1073" i="14"/>
  <c r="F956" i="14"/>
  <c r="S1074" i="14"/>
  <c r="S1065" i="14"/>
  <c r="R366" i="24" l="1"/>
  <c r="H956" i="14"/>
  <c r="I956" i="14" l="1"/>
  <c r="S366" i="24"/>
  <c r="T366" i="24" l="1"/>
  <c r="J956" i="14"/>
  <c r="U366" i="24" l="1"/>
  <c r="K956" i="14"/>
  <c r="L956" i="14" l="1"/>
  <c r="V366" i="24"/>
  <c r="M956" i="14" l="1"/>
  <c r="W366" i="24"/>
  <c r="X366" i="24" l="1"/>
  <c r="N956" i="14"/>
  <c r="Y366" i="24" l="1"/>
  <c r="O956" i="14"/>
  <c r="Z366" i="24" l="1"/>
  <c r="Q956" i="14" s="1"/>
  <c r="P956" i="14"/>
  <c r="D952" i="14" l="1"/>
  <c r="E952" i="14" s="1"/>
  <c r="F952" i="14" s="1"/>
  <c r="G952" i="14" s="1"/>
  <c r="H952" i="14" s="1"/>
  <c r="I952" i="14" s="1"/>
  <c r="J952" i="14" s="1"/>
  <c r="K952" i="14" s="1"/>
  <c r="L952" i="14" s="1"/>
  <c r="M952" i="14" s="1"/>
  <c r="N952" i="14" s="1"/>
  <c r="O952" i="14" s="1"/>
  <c r="P952" i="14" s="1"/>
  <c r="Q952" i="14" s="1"/>
  <c r="M279" i="24" l="1"/>
  <c r="N279" i="24" s="1"/>
  <c r="O279" i="24" s="1"/>
  <c r="P279" i="24" s="1"/>
  <c r="Q279" i="24" s="1"/>
  <c r="R279" i="24" s="1"/>
  <c r="O302" i="24" l="1"/>
  <c r="P302" i="24" s="1"/>
  <c r="Q302" i="24" s="1"/>
  <c r="R302" i="24" s="1"/>
  <c r="S302" i="24" s="1"/>
  <c r="Q13" i="29" l="1"/>
  <c r="R13" i="29" s="1"/>
  <c r="S13" i="29" s="1"/>
  <c r="T13" i="29" s="1"/>
  <c r="U13" i="29" s="1"/>
  <c r="V13" i="29" s="1"/>
  <c r="W13" i="29" s="1"/>
  <c r="X13" i="29" s="1"/>
  <c r="Y13" i="29" s="1"/>
  <c r="Z13" i="29" s="1"/>
  <c r="C1314" i="14"/>
  <c r="E1319" i="14"/>
  <c r="F1319" i="14" s="1"/>
  <c r="G1319" i="14" s="1"/>
  <c r="H1319" i="14" s="1"/>
  <c r="I1319" i="14" s="1"/>
  <c r="J1319" i="14" s="1"/>
  <c r="K1319" i="14" s="1"/>
  <c r="L1319" i="14" s="1"/>
  <c r="M1319" i="14" s="1"/>
  <c r="N1319" i="14" s="1"/>
  <c r="D1294" i="14" l="1"/>
  <c r="C1230" i="14"/>
  <c r="E1299" i="14"/>
  <c r="F1299" i="14" s="1"/>
  <c r="G1299" i="14" s="1"/>
  <c r="H1299" i="14" s="1"/>
  <c r="I1299" i="14" s="1"/>
  <c r="J1299" i="14" s="1"/>
  <c r="K1299" i="14" s="1"/>
  <c r="L1299" i="14" s="1"/>
  <c r="M1299" i="14" s="1"/>
  <c r="N1299" i="14" s="1"/>
  <c r="E1235" i="14"/>
  <c r="F1235" i="14" s="1"/>
  <c r="G1235" i="14" s="1"/>
  <c r="H1235" i="14" s="1"/>
  <c r="I1235" i="14" s="1"/>
  <c r="J1235" i="14" s="1"/>
  <c r="K1235" i="14" s="1"/>
  <c r="L1235" i="14" s="1"/>
  <c r="M1235" i="14" s="1"/>
  <c r="N1235" i="14" s="1"/>
  <c r="N1260" i="14"/>
  <c r="D1260" i="14"/>
  <c r="C1260" i="14"/>
  <c r="C1261" i="14" s="1"/>
  <c r="F1266" i="14"/>
  <c r="E1266" i="14"/>
  <c r="D1266" i="14"/>
  <c r="E1273" i="14"/>
  <c r="F1273" i="14" s="1"/>
  <c r="D1254" i="14"/>
  <c r="E1254" i="14" s="1"/>
  <c r="F1254" i="14" s="1"/>
  <c r="G1254" i="14" s="1"/>
  <c r="H1254" i="14" s="1"/>
  <c r="I1254" i="14" s="1"/>
  <c r="J1254" i="14" s="1"/>
  <c r="K1254" i="14" s="1"/>
  <c r="L1254" i="14" s="1"/>
  <c r="M1254" i="14" s="1"/>
  <c r="N1254" i="14" s="1"/>
  <c r="B1206" i="14"/>
  <c r="B1270" i="14" s="1"/>
  <c r="B1205" i="14"/>
  <c r="B1269" i="14" s="1"/>
  <c r="B1204" i="14"/>
  <c r="B1267" i="14" s="1"/>
  <c r="B1203" i="14"/>
  <c r="E1209" i="14"/>
  <c r="F1209" i="14" s="1"/>
  <c r="G1209" i="14" s="1"/>
  <c r="H1209" i="14" s="1"/>
  <c r="I1209" i="14" s="1"/>
  <c r="J1209" i="14" s="1"/>
  <c r="K1209" i="14" s="1"/>
  <c r="L1209" i="14" s="1"/>
  <c r="M1209" i="14" s="1"/>
  <c r="N1209" i="14" s="1"/>
  <c r="D1202" i="14"/>
  <c r="E1202" i="14" s="1"/>
  <c r="F1202" i="14" s="1"/>
  <c r="G1202" i="14" s="1"/>
  <c r="H1202" i="14" s="1"/>
  <c r="I1202" i="14" s="1"/>
  <c r="J1202" i="14" s="1"/>
  <c r="K1202" i="14" s="1"/>
  <c r="L1202" i="14" s="1"/>
  <c r="M1202" i="14" s="1"/>
  <c r="N1202" i="14" s="1"/>
  <c r="N1230" i="14" s="1"/>
  <c r="E1294" i="14" l="1"/>
  <c r="D1314" i="14"/>
  <c r="D1230" i="14"/>
  <c r="E1230" i="14"/>
  <c r="F1230" i="14"/>
  <c r="G1230" i="14"/>
  <c r="H1230" i="14"/>
  <c r="I1230" i="14"/>
  <c r="J1230" i="14"/>
  <c r="K1230" i="14"/>
  <c r="L1230" i="14"/>
  <c r="D1261" i="14"/>
  <c r="M1230" i="14"/>
  <c r="G1273" i="14"/>
  <c r="F1294" i="14" l="1"/>
  <c r="E1314" i="14"/>
  <c r="H1273" i="14"/>
  <c r="G1294" i="14" l="1"/>
  <c r="F1314" i="14"/>
  <c r="I1273" i="14"/>
  <c r="H1294" i="14" l="1"/>
  <c r="G1314" i="14"/>
  <c r="J1273" i="14"/>
  <c r="I1294" i="14" l="1"/>
  <c r="H1314" i="14"/>
  <c r="K1273" i="14"/>
  <c r="J1294" i="14" l="1"/>
  <c r="I1314" i="14"/>
  <c r="L1273" i="14"/>
  <c r="K1294" i="14" l="1"/>
  <c r="J1314" i="14"/>
  <c r="M1273" i="14"/>
  <c r="L1294" i="14" l="1"/>
  <c r="K1314" i="14"/>
  <c r="N1273" i="14"/>
  <c r="M1294" i="14" l="1"/>
  <c r="L1314" i="14"/>
  <c r="AP75" i="17"/>
  <c r="AP74" i="17"/>
  <c r="AP73" i="17"/>
  <c r="AP68" i="17"/>
  <c r="C1182" i="14"/>
  <c r="C1175" i="14"/>
  <c r="C1172" i="14"/>
  <c r="C1173" i="14" s="1"/>
  <c r="AP42" i="17"/>
  <c r="AP34" i="17"/>
  <c r="AP35" i="17"/>
  <c r="AP36" i="17"/>
  <c r="AP29" i="17"/>
  <c r="AP18" i="17"/>
  <c r="AP38" i="17" s="1"/>
  <c r="AP19" i="17"/>
  <c r="AP39" i="17" s="1"/>
  <c r="AP20" i="17"/>
  <c r="AP40" i="17" s="1"/>
  <c r="AP21" i="17"/>
  <c r="AP41" i="17" s="1"/>
  <c r="AP10" i="17"/>
  <c r="AP30" i="17" s="1"/>
  <c r="AP11" i="17"/>
  <c r="AP31" i="17" s="1"/>
  <c r="K1152" i="14"/>
  <c r="K1158" i="14" s="1"/>
  <c r="I1158" i="14"/>
  <c r="J1158" i="14"/>
  <c r="H1158" i="14"/>
  <c r="G1158" i="14"/>
  <c r="F1158" i="14"/>
  <c r="E1158" i="14"/>
  <c r="D1158" i="14"/>
  <c r="C1148" i="14"/>
  <c r="J1149" i="14"/>
  <c r="J1148" i="14" s="1"/>
  <c r="I1149" i="14"/>
  <c r="I1148" i="14" s="1"/>
  <c r="H1149" i="14"/>
  <c r="H1148" i="14" s="1"/>
  <c r="G1149" i="14"/>
  <c r="G1148" i="14" s="1"/>
  <c r="F1149" i="14"/>
  <c r="F1148" i="14" s="1"/>
  <c r="E1149" i="14"/>
  <c r="E1148" i="14" s="1"/>
  <c r="D1149" i="14"/>
  <c r="D1148" i="14" s="1"/>
  <c r="O1129" i="14"/>
  <c r="N1129" i="14"/>
  <c r="M1129" i="14"/>
  <c r="L1129" i="14"/>
  <c r="K1129" i="14"/>
  <c r="J1129" i="14"/>
  <c r="I1129" i="14"/>
  <c r="H1129" i="14"/>
  <c r="G1129" i="14"/>
  <c r="F1129" i="14"/>
  <c r="E1129" i="14"/>
  <c r="D1129" i="14"/>
  <c r="C1129" i="14"/>
  <c r="O1141" i="14"/>
  <c r="N1141" i="14"/>
  <c r="M1141" i="14"/>
  <c r="L1141" i="14"/>
  <c r="K1141" i="14"/>
  <c r="J1141" i="14"/>
  <c r="I1141" i="14"/>
  <c r="H1141" i="14"/>
  <c r="G1141" i="14"/>
  <c r="F1141" i="14"/>
  <c r="E1141" i="14"/>
  <c r="D1141" i="14"/>
  <c r="C1141" i="14"/>
  <c r="D1116" i="14"/>
  <c r="E1116" i="14" s="1"/>
  <c r="F1116" i="14" s="1"/>
  <c r="G1116" i="14" s="1"/>
  <c r="H1116" i="14" s="1"/>
  <c r="I1116" i="14" s="1"/>
  <c r="J1116" i="14" s="1"/>
  <c r="K1116" i="14" s="1"/>
  <c r="L1116" i="14" s="1"/>
  <c r="M1116" i="14" s="1"/>
  <c r="N1116" i="14" s="1"/>
  <c r="O1116" i="14" s="1"/>
  <c r="N1294" i="14" l="1"/>
  <c r="N1314" i="14" s="1"/>
  <c r="M1314" i="14"/>
  <c r="AP81" i="17"/>
  <c r="AP70" i="17" s="1"/>
  <c r="AP71" i="17"/>
  <c r="AP7" i="17"/>
  <c r="AP8" i="17" s="1"/>
  <c r="AP27" i="17"/>
  <c r="AP28" i="17" s="1"/>
  <c r="R1148" i="14"/>
  <c r="L1152" i="14"/>
  <c r="I1157" i="14"/>
  <c r="I1159" i="14" s="1"/>
  <c r="I1153" i="14" s="1"/>
  <c r="D1157" i="14"/>
  <c r="D1159" i="14" s="1"/>
  <c r="D1153" i="14" s="1"/>
  <c r="E1157" i="14"/>
  <c r="E1159" i="14" s="1"/>
  <c r="E1153" i="14" s="1"/>
  <c r="F1157" i="14"/>
  <c r="F1159" i="14" s="1"/>
  <c r="F1153" i="14" s="1"/>
  <c r="G1157" i="14"/>
  <c r="G1159" i="14" s="1"/>
  <c r="G1153" i="14" s="1"/>
  <c r="H1157" i="14"/>
  <c r="H1159" i="14" s="1"/>
  <c r="H1153" i="14" s="1"/>
  <c r="J1157" i="14"/>
  <c r="J1159" i="14" s="1"/>
  <c r="J1153" i="14" s="1"/>
  <c r="AP72" i="17" l="1"/>
  <c r="AP76" i="17" s="1"/>
  <c r="M1152" i="14"/>
  <c r="L1158" i="14"/>
  <c r="L1159" i="14" s="1"/>
  <c r="R1159" i="14"/>
  <c r="J1154" i="14"/>
  <c r="J1160" i="14"/>
  <c r="H1154" i="14"/>
  <c r="H1160" i="14"/>
  <c r="I1160" i="14"/>
  <c r="I1154" i="14"/>
  <c r="L1160" i="14" l="1"/>
  <c r="N1152" i="14"/>
  <c r="M1158" i="14"/>
  <c r="M1159" i="14" s="1"/>
  <c r="BK88" i="18"/>
  <c r="M1160" i="14" l="1"/>
  <c r="O1152" i="14"/>
  <c r="O1158" i="14" s="1"/>
  <c r="N1158" i="14"/>
  <c r="N1159" i="14" s="1"/>
  <c r="BL28" i="18"/>
  <c r="N1160" i="14" l="1"/>
  <c r="Q222" i="30"/>
  <c r="P222" i="30"/>
  <c r="O222" i="30"/>
  <c r="N222" i="30"/>
  <c r="M222" i="30"/>
  <c r="L222" i="30"/>
  <c r="Q239" i="30"/>
  <c r="P239" i="30"/>
  <c r="O239" i="30"/>
  <c r="N239" i="30"/>
  <c r="M239" i="30"/>
  <c r="L239" i="30"/>
  <c r="K239" i="30"/>
  <c r="J239" i="30"/>
  <c r="I239" i="30"/>
  <c r="H239" i="30"/>
  <c r="G239" i="30"/>
  <c r="F239" i="30"/>
  <c r="E239" i="30"/>
  <c r="D239" i="30"/>
  <c r="C239" i="30"/>
  <c r="O234" i="30"/>
  <c r="Q233" i="30"/>
  <c r="Q232" i="30"/>
  <c r="Q230" i="30"/>
  <c r="Q229" i="30"/>
  <c r="Q228" i="30"/>
  <c r="Q221" i="30"/>
  <c r="P233" i="30"/>
  <c r="O233" i="30"/>
  <c r="N233" i="30"/>
  <c r="M233" i="30"/>
  <c r="P232" i="30"/>
  <c r="O232" i="30"/>
  <c r="N232" i="30"/>
  <c r="M232" i="30"/>
  <c r="P230" i="30"/>
  <c r="O230" i="30"/>
  <c r="N230" i="30"/>
  <c r="M230" i="30"/>
  <c r="P229" i="30"/>
  <c r="O229" i="30"/>
  <c r="N229" i="30"/>
  <c r="M229" i="30"/>
  <c r="P228" i="30"/>
  <c r="O228" i="30"/>
  <c r="N228" i="30"/>
  <c r="M228" i="30"/>
  <c r="P221" i="30"/>
  <c r="O221" i="30"/>
  <c r="N221" i="30"/>
  <c r="M221" i="30"/>
  <c r="BP26" i="18"/>
  <c r="BD29" i="18"/>
  <c r="BE29" i="18"/>
  <c r="BF29" i="18"/>
  <c r="BG29" i="18"/>
  <c r="BJ29" i="18"/>
  <c r="BK29" i="18"/>
  <c r="BP29" i="18" l="1"/>
  <c r="BP28" i="18" s="1"/>
  <c r="H301" i="30"/>
  <c r="G301" i="30"/>
  <c r="F301" i="30"/>
  <c r="E301" i="30"/>
  <c r="D301" i="30"/>
  <c r="C301" i="30"/>
  <c r="I301" i="30"/>
  <c r="Q38" i="30"/>
  <c r="E38" i="30"/>
  <c r="D38" i="30"/>
  <c r="C38" i="30"/>
  <c r="F38" i="30"/>
  <c r="G38" i="30"/>
  <c r="I38" i="30"/>
  <c r="H38" i="30"/>
  <c r="K38" i="30"/>
  <c r="L38" i="30"/>
  <c r="M38" i="30"/>
  <c r="P38" i="30"/>
  <c r="F289" i="30"/>
  <c r="E289" i="30"/>
  <c r="D289" i="30"/>
  <c r="C289" i="30"/>
  <c r="F288" i="30"/>
  <c r="E288" i="30"/>
  <c r="D288" i="30"/>
  <c r="C288" i="30"/>
  <c r="Q68" i="30"/>
  <c r="P68" i="30"/>
  <c r="O68" i="30"/>
  <c r="N68" i="30"/>
  <c r="I736" i="14"/>
  <c r="I735" i="14"/>
  <c r="I733" i="14"/>
  <c r="H736" i="14"/>
  <c r="H735" i="14"/>
  <c r="H733" i="14"/>
  <c r="G736" i="14"/>
  <c r="G735" i="14"/>
  <c r="G733" i="14"/>
  <c r="I747" i="14"/>
  <c r="H747" i="14"/>
  <c r="G747" i="14"/>
  <c r="F747" i="14"/>
  <c r="I740" i="14"/>
  <c r="H740" i="14"/>
  <c r="G740" i="14"/>
  <c r="I739" i="14"/>
  <c r="H739" i="14"/>
  <c r="G739" i="14"/>
  <c r="Q102" i="30"/>
  <c r="Q99" i="30"/>
  <c r="Q98" i="30"/>
  <c r="Q97" i="30"/>
  <c r="Q96" i="30"/>
  <c r="BK168" i="18"/>
  <c r="BG168" i="18"/>
  <c r="BF168" i="18"/>
  <c r="BE168" i="18"/>
  <c r="BA168" i="18"/>
  <c r="AZ168" i="18"/>
  <c r="AW168" i="18"/>
  <c r="AV168" i="18"/>
  <c r="AU168" i="18"/>
  <c r="Q71" i="30"/>
  <c r="Q67" i="30"/>
  <c r="Q66" i="30"/>
  <c r="Q37" i="30"/>
  <c r="K274" i="30"/>
  <c r="K273" i="30"/>
  <c r="H734" i="14" l="1"/>
  <c r="G734" i="14"/>
  <c r="I734" i="14"/>
  <c r="F290" i="30"/>
  <c r="C290" i="30"/>
  <c r="D290" i="30"/>
  <c r="E290" i="30"/>
  <c r="BK176" i="18"/>
  <c r="BK175" i="18"/>
  <c r="BK174" i="18"/>
  <c r="BK155" i="18"/>
  <c r="C1162" i="14" s="1"/>
  <c r="BK44" i="18"/>
  <c r="BJ44" i="18"/>
  <c r="BG44" i="18"/>
  <c r="BF44" i="18"/>
  <c r="BE44" i="18"/>
  <c r="BD44" i="18"/>
  <c r="BA44" i="18"/>
  <c r="AZ44" i="18"/>
  <c r="AY44" i="18"/>
  <c r="AW44" i="18"/>
  <c r="AV44" i="18"/>
  <c r="AU44" i="18"/>
  <c r="AT44" i="18"/>
  <c r="BK34" i="18"/>
  <c r="BK33" i="18"/>
  <c r="BK32" i="18"/>
  <c r="BK27" i="18"/>
  <c r="BK25" i="18"/>
  <c r="BK40" i="18"/>
  <c r="Q31" i="30" s="1"/>
  <c r="BK39" i="18"/>
  <c r="Q30" i="30" s="1"/>
  <c r="Q36" i="30" s="1"/>
  <c r="BK38" i="18"/>
  <c r="Q29" i="30" s="1"/>
  <c r="BK37" i="18"/>
  <c r="Q28" i="30" s="1"/>
  <c r="BK24" i="18"/>
  <c r="BK16" i="18"/>
  <c r="AD91" i="17"/>
  <c r="AE91" i="17"/>
  <c r="AF91" i="17"/>
  <c r="AG91" i="17"/>
  <c r="AH91" i="17"/>
  <c r="AI91" i="17"/>
  <c r="AJ91" i="17"/>
  <c r="AD84" i="17"/>
  <c r="AE84" i="17" s="1"/>
  <c r="AF84" i="17" s="1"/>
  <c r="AG84" i="17" s="1"/>
  <c r="AH84" i="17" s="1"/>
  <c r="AI84" i="17" s="1"/>
  <c r="AJ84" i="17" s="1"/>
  <c r="C26" i="29"/>
  <c r="AO75" i="17"/>
  <c r="AO74" i="17"/>
  <c r="AO73" i="17"/>
  <c r="AO68" i="17"/>
  <c r="AO42" i="17"/>
  <c r="AP62" i="17" s="1"/>
  <c r="AO36" i="17"/>
  <c r="AP56" i="17" s="1"/>
  <c r="AO35" i="17"/>
  <c r="AP55" i="17" s="1"/>
  <c r="AO34" i="17"/>
  <c r="AO29" i="17"/>
  <c r="AO21" i="17"/>
  <c r="AO41" i="17" s="1"/>
  <c r="AP61" i="17" s="1"/>
  <c r="AO20" i="17"/>
  <c r="AO40" i="17" s="1"/>
  <c r="AP60" i="17" s="1"/>
  <c r="AO19" i="17"/>
  <c r="AO39" i="17" s="1"/>
  <c r="AP59" i="17" s="1"/>
  <c r="AO18" i="17"/>
  <c r="AO38" i="17" s="1"/>
  <c r="AO11" i="17"/>
  <c r="AO71" i="17" s="1"/>
  <c r="AO10" i="17"/>
  <c r="AO81" i="17" s="1"/>
  <c r="AO70" i="17" s="1"/>
  <c r="Q870" i="14"/>
  <c r="P870" i="14"/>
  <c r="O870" i="14"/>
  <c r="N870" i="14"/>
  <c r="M870" i="14"/>
  <c r="L870" i="14"/>
  <c r="K870" i="14"/>
  <c r="J870" i="14"/>
  <c r="I870" i="14"/>
  <c r="H870" i="14"/>
  <c r="G870" i="14"/>
  <c r="F870" i="14"/>
  <c r="E870" i="14"/>
  <c r="H168" i="24"/>
  <c r="BK156" i="18" l="1"/>
  <c r="Q241" i="30" s="1"/>
  <c r="Q238" i="30"/>
  <c r="AO7" i="17"/>
  <c r="AO8" i="17" s="1"/>
  <c r="BK41" i="18"/>
  <c r="Q32" i="30" s="1"/>
  <c r="AO27" i="17"/>
  <c r="AO28" i="17" s="1"/>
  <c r="AO72" i="17"/>
  <c r="AO76" i="17" s="1"/>
  <c r="AO30" i="17"/>
  <c r="AO31" i="17"/>
  <c r="C1005" i="14"/>
  <c r="D1005" i="14"/>
  <c r="Q1005" i="14"/>
  <c r="P1005" i="14"/>
  <c r="O1005" i="14"/>
  <c r="N1005" i="14"/>
  <c r="M1005" i="14"/>
  <c r="L1005" i="14"/>
  <c r="K1005" i="14"/>
  <c r="J1005" i="14"/>
  <c r="D901" i="14"/>
  <c r="C901" i="14"/>
  <c r="Q857" i="14"/>
  <c r="P857" i="14"/>
  <c r="O857" i="14"/>
  <c r="N857" i="14"/>
  <c r="M857" i="14"/>
  <c r="L857" i="14"/>
  <c r="K857" i="14"/>
  <c r="J857" i="14"/>
  <c r="I857" i="14"/>
  <c r="H857" i="14"/>
  <c r="G857" i="14"/>
  <c r="F857" i="14"/>
  <c r="E856" i="14"/>
  <c r="Q855" i="14"/>
  <c r="P855" i="14"/>
  <c r="O855" i="14"/>
  <c r="N855" i="14"/>
  <c r="M855" i="14"/>
  <c r="L855" i="14"/>
  <c r="K855" i="14"/>
  <c r="J855" i="14"/>
  <c r="I855" i="14"/>
  <c r="H855" i="14"/>
  <c r="G855" i="14"/>
  <c r="F855" i="14"/>
  <c r="E855" i="14"/>
  <c r="D854" i="14"/>
  <c r="Q853" i="14"/>
  <c r="P853" i="14"/>
  <c r="O853" i="14"/>
  <c r="N853" i="14"/>
  <c r="M853" i="14"/>
  <c r="L853" i="14"/>
  <c r="K853" i="14"/>
  <c r="J853" i="14"/>
  <c r="I853" i="14"/>
  <c r="H853" i="14"/>
  <c r="G853" i="14"/>
  <c r="F853" i="14"/>
  <c r="E853" i="14"/>
  <c r="D852" i="14"/>
  <c r="C855" i="14"/>
  <c r="C853" i="14"/>
  <c r="C852" i="14"/>
  <c r="C854" i="14"/>
  <c r="D863" i="14"/>
  <c r="E863" i="14" s="1"/>
  <c r="F863" i="14" s="1"/>
  <c r="G863" i="14" s="1"/>
  <c r="H863" i="14" s="1"/>
  <c r="I863" i="14" s="1"/>
  <c r="J863" i="14" s="1"/>
  <c r="K863" i="14" s="1"/>
  <c r="L863" i="14" s="1"/>
  <c r="M863" i="14" s="1"/>
  <c r="N863" i="14" s="1"/>
  <c r="O863" i="14" s="1"/>
  <c r="P863" i="14" s="1"/>
  <c r="Q863" i="14" s="1"/>
  <c r="D847" i="14"/>
  <c r="C847" i="14"/>
  <c r="D842" i="14"/>
  <c r="E842" i="14" s="1"/>
  <c r="F842" i="14" s="1"/>
  <c r="G842" i="14" s="1"/>
  <c r="H842" i="14" s="1"/>
  <c r="I842" i="14" s="1"/>
  <c r="J842" i="14" s="1"/>
  <c r="K842" i="14" s="1"/>
  <c r="L842" i="14" s="1"/>
  <c r="M842" i="14" s="1"/>
  <c r="N842" i="14" s="1"/>
  <c r="O842" i="14" s="1"/>
  <c r="P842" i="14" s="1"/>
  <c r="Q842" i="14" s="1"/>
  <c r="D836" i="14"/>
  <c r="D833" i="14"/>
  <c r="E833" i="14" s="1"/>
  <c r="F833" i="14" s="1"/>
  <c r="G833" i="14" s="1"/>
  <c r="H833" i="14" s="1"/>
  <c r="I833" i="14" s="1"/>
  <c r="J833" i="14" s="1"/>
  <c r="K833" i="14" s="1"/>
  <c r="L833" i="14" s="1"/>
  <c r="M833" i="14" s="1"/>
  <c r="N833" i="14" s="1"/>
  <c r="O833" i="14" s="1"/>
  <c r="P833" i="14" s="1"/>
  <c r="Q833" i="14" s="1"/>
  <c r="C800" i="14"/>
  <c r="C802" i="14" s="1"/>
  <c r="I168" i="24"/>
  <c r="I169" i="24" s="1"/>
  <c r="Z362" i="24"/>
  <c r="Z393" i="24" s="1"/>
  <c r="Q978" i="14" s="1"/>
  <c r="O1061" i="14" s="1"/>
  <c r="Y362" i="24"/>
  <c r="Y393" i="24" s="1"/>
  <c r="P978" i="14" s="1"/>
  <c r="N1061" i="14" s="1"/>
  <c r="X362" i="24"/>
  <c r="X393" i="24" s="1"/>
  <c r="O978" i="14" s="1"/>
  <c r="M1061" i="14" s="1"/>
  <c r="W362" i="24"/>
  <c r="W393" i="24" s="1"/>
  <c r="N978" i="14" s="1"/>
  <c r="L1061" i="14" s="1"/>
  <c r="V362" i="24"/>
  <c r="V393" i="24" s="1"/>
  <c r="M978" i="14" s="1"/>
  <c r="K1061" i="14" s="1"/>
  <c r="U362" i="24"/>
  <c r="U393" i="24" s="1"/>
  <c r="L978" i="14" s="1"/>
  <c r="J1061" i="14" s="1"/>
  <c r="T362" i="24"/>
  <c r="T393" i="24" s="1"/>
  <c r="K978" i="14" s="1"/>
  <c r="I1061" i="14" s="1"/>
  <c r="S362" i="24"/>
  <c r="S393" i="24" s="1"/>
  <c r="J978" i="14" s="1"/>
  <c r="H1061" i="14" s="1"/>
  <c r="R362" i="24"/>
  <c r="R393" i="24" s="1"/>
  <c r="I978" i="14" s="1"/>
  <c r="G1061" i="14" s="1"/>
  <c r="Q362" i="24"/>
  <c r="Q393" i="24" s="1"/>
  <c r="H978" i="14" s="1"/>
  <c r="F1061" i="14" s="1"/>
  <c r="P362" i="24"/>
  <c r="P393" i="24" s="1"/>
  <c r="G978" i="14" s="1"/>
  <c r="E1061" i="14" s="1"/>
  <c r="O362" i="24"/>
  <c r="O393" i="24" s="1"/>
  <c r="F978" i="14" s="1"/>
  <c r="D1061" i="14" s="1"/>
  <c r="N362" i="24"/>
  <c r="N393" i="24" s="1"/>
  <c r="E978" i="14" s="1"/>
  <c r="C1061" i="14" s="1"/>
  <c r="E1260" i="14"/>
  <c r="E1261" i="14" s="1"/>
  <c r="C52" i="24"/>
  <c r="D52" i="24"/>
  <c r="E52" i="24"/>
  <c r="F52" i="24"/>
  <c r="G52" i="24"/>
  <c r="M52" i="24"/>
  <c r="M107" i="24"/>
  <c r="K321" i="24"/>
  <c r="N117" i="24"/>
  <c r="O117" i="24" s="1"/>
  <c r="P117" i="24" s="1"/>
  <c r="Q117" i="24" s="1"/>
  <c r="R117" i="24" s="1"/>
  <c r="S117" i="24" s="1"/>
  <c r="T117" i="24" s="1"/>
  <c r="U117" i="24" s="1"/>
  <c r="V117" i="24" s="1"/>
  <c r="W117" i="24" s="1"/>
  <c r="X117" i="24" s="1"/>
  <c r="Y117" i="24" s="1"/>
  <c r="K319" i="24"/>
  <c r="K320" i="24" s="1"/>
  <c r="L116" i="24" l="1"/>
  <c r="L86" i="24"/>
  <c r="K86" i="24"/>
  <c r="J86" i="24"/>
  <c r="I86" i="24"/>
  <c r="K85" i="24"/>
  <c r="J85" i="24"/>
  <c r="I85" i="24"/>
  <c r="L321" i="24" l="1"/>
  <c r="C843" i="14"/>
  <c r="L70" i="24"/>
  <c r="L85" i="24" s="1"/>
  <c r="M109" i="24"/>
  <c r="M104" i="24"/>
  <c r="E777" i="14"/>
  <c r="BK147" i="18"/>
  <c r="Q234" i="30" s="1"/>
  <c r="BJ147" i="18"/>
  <c r="N179" i="25"/>
  <c r="N143" i="25" s="1"/>
  <c r="N144" i="25" s="1"/>
  <c r="E768" i="14" l="1"/>
  <c r="P234" i="30"/>
  <c r="C845" i="14"/>
  <c r="C844" i="14" l="1"/>
  <c r="C785" i="14" l="1"/>
  <c r="E776" i="14"/>
  <c r="E775" i="14"/>
  <c r="Z281" i="24"/>
  <c r="Y281" i="24"/>
  <c r="X281" i="24"/>
  <c r="W281" i="24"/>
  <c r="V281" i="24"/>
  <c r="U281" i="24"/>
  <c r="T281" i="24"/>
  <c r="S281" i="24"/>
  <c r="R281" i="24"/>
  <c r="Q281" i="24"/>
  <c r="P281" i="24"/>
  <c r="O281" i="24"/>
  <c r="N281" i="24"/>
  <c r="P323" i="24"/>
  <c r="Q323" i="24" s="1"/>
  <c r="R323" i="24" s="1"/>
  <c r="S323" i="24" s="1"/>
  <c r="T323" i="24" s="1"/>
  <c r="U323" i="24" s="1"/>
  <c r="V323" i="24" s="1"/>
  <c r="W323" i="24" s="1"/>
  <c r="X323" i="24" s="1"/>
  <c r="Y323" i="24" s="1"/>
  <c r="Z323" i="24" s="1"/>
  <c r="BO154" i="18"/>
  <c r="BO146" i="18"/>
  <c r="BO145" i="18"/>
  <c r="BO144" i="18"/>
  <c r="BK134" i="18"/>
  <c r="BK95" i="18"/>
  <c r="BK139" i="18"/>
  <c r="Q225" i="30" s="1"/>
  <c r="BK138" i="18"/>
  <c r="Q224" i="30" s="1"/>
  <c r="Q223" i="30" s="1"/>
  <c r="BM10" i="18"/>
  <c r="J168" i="24"/>
  <c r="J169" i="24" s="1"/>
  <c r="L168" i="24"/>
  <c r="C823" i="14" s="1"/>
  <c r="K168" i="24"/>
  <c r="E767" i="14"/>
  <c r="E766" i="14"/>
  <c r="E765" i="14"/>
  <c r="E764" i="14"/>
  <c r="E758" i="14"/>
  <c r="C783" i="14" s="1"/>
  <c r="E757" i="14"/>
  <c r="C774" i="14" s="1"/>
  <c r="C778" i="14" s="1"/>
  <c r="D778" i="14" s="1"/>
  <c r="E779" i="14" l="1"/>
  <c r="C787" i="14"/>
  <c r="D774" i="14"/>
  <c r="C782" i="14" s="1"/>
  <c r="C786" i="14" s="1"/>
  <c r="K169" i="24"/>
  <c r="L169" i="24"/>
  <c r="BK140" i="18"/>
  <c r="Q226" i="30" s="1"/>
  <c r="Q231" i="30" s="1"/>
  <c r="D1106" i="14" l="1"/>
  <c r="D1103" i="14"/>
  <c r="D1109" i="14" s="1"/>
  <c r="D1098" i="14"/>
  <c r="P37" i="30"/>
  <c r="O37" i="30"/>
  <c r="N37" i="30"/>
  <c r="M37" i="30"/>
  <c r="L37" i="30"/>
  <c r="K37" i="30"/>
  <c r="J37" i="30"/>
  <c r="I37" i="30"/>
  <c r="H37" i="30"/>
  <c r="G37" i="30"/>
  <c r="F37" i="30"/>
  <c r="E37" i="30"/>
  <c r="D37" i="30"/>
  <c r="C273" i="30"/>
  <c r="G273" i="30"/>
  <c r="F273" i="30"/>
  <c r="E273" i="30"/>
  <c r="D273" i="30"/>
  <c r="H273" i="30"/>
  <c r="I273" i="30"/>
  <c r="J273" i="30"/>
  <c r="EF86" i="18"/>
  <c r="J277" i="30" s="1"/>
  <c r="J274" i="30"/>
  <c r="I274" i="30"/>
  <c r="H274" i="30"/>
  <c r="G274" i="30"/>
  <c r="F274" i="30"/>
  <c r="E274" i="30"/>
  <c r="D274" i="30"/>
  <c r="C274" i="30"/>
  <c r="I272" i="30"/>
  <c r="BJ37" i="18"/>
  <c r="P28" i="30" s="1"/>
  <c r="P99" i="30"/>
  <c r="P98" i="30"/>
  <c r="P97" i="30"/>
  <c r="P96" i="30"/>
  <c r="P69" i="30"/>
  <c r="P67" i="30"/>
  <c r="P66" i="30"/>
  <c r="D65" i="30"/>
  <c r="D71" i="30" s="1"/>
  <c r="D95" i="30" s="1"/>
  <c r="D102" i="30" s="1"/>
  <c r="E65" i="30"/>
  <c r="E71" i="30" s="1"/>
  <c r="E95" i="30" s="1"/>
  <c r="E102" i="30" s="1"/>
  <c r="F65" i="30"/>
  <c r="F71" i="30" s="1"/>
  <c r="F95" i="30" s="1"/>
  <c r="F102" i="30" s="1"/>
  <c r="G65" i="30"/>
  <c r="G71" i="30" s="1"/>
  <c r="G95" i="30" s="1"/>
  <c r="G102" i="30" s="1"/>
  <c r="H65" i="30"/>
  <c r="H71" i="30" s="1"/>
  <c r="H95" i="30" s="1"/>
  <c r="H102" i="30" s="1"/>
  <c r="I65" i="30"/>
  <c r="I71" i="30" s="1"/>
  <c r="I95" i="30" s="1"/>
  <c r="I102" i="30" s="1"/>
  <c r="J65" i="30"/>
  <c r="J71" i="30" s="1"/>
  <c r="J95" i="30" s="1"/>
  <c r="J102" i="30" s="1"/>
  <c r="K65" i="30"/>
  <c r="K71" i="30" s="1"/>
  <c r="K95" i="30" s="1"/>
  <c r="K102" i="30" s="1"/>
  <c r="L65" i="30"/>
  <c r="L71" i="30" s="1"/>
  <c r="L95" i="30" s="1"/>
  <c r="L102" i="30" s="1"/>
  <c r="M65" i="30"/>
  <c r="M71" i="30" s="1"/>
  <c r="M95" i="30" s="1"/>
  <c r="M102" i="30" s="1"/>
  <c r="N65" i="30"/>
  <c r="N71" i="30" s="1"/>
  <c r="N95" i="30" s="1"/>
  <c r="N102" i="30" s="1"/>
  <c r="O65" i="30"/>
  <c r="O71" i="30" s="1"/>
  <c r="O95" i="30" s="1"/>
  <c r="O102" i="30" s="1"/>
  <c r="O128" i="30" s="1"/>
  <c r="O167" i="30" s="1"/>
  <c r="P65" i="30"/>
  <c r="P71" i="30" s="1"/>
  <c r="P95" i="30" s="1"/>
  <c r="P102" i="30" s="1"/>
  <c r="P128" i="30" s="1"/>
  <c r="P167" i="30" s="1"/>
  <c r="BJ176" i="18"/>
  <c r="BJ175" i="18"/>
  <c r="BJ174" i="18"/>
  <c r="BJ155" i="18"/>
  <c r="AP80" i="17" s="1"/>
  <c r="AP77" i="17" s="1"/>
  <c r="BJ139" i="18"/>
  <c r="BJ138" i="18"/>
  <c r="BJ134" i="18"/>
  <c r="BJ95" i="18"/>
  <c r="BJ40" i="18"/>
  <c r="P31" i="30" s="1"/>
  <c r="BJ38" i="18"/>
  <c r="P29" i="30" s="1"/>
  <c r="BJ34" i="18"/>
  <c r="BJ33" i="18"/>
  <c r="BJ32" i="18"/>
  <c r="BJ27" i="18"/>
  <c r="BJ25" i="18"/>
  <c r="BJ16" i="18"/>
  <c r="C1090" i="14"/>
  <c r="O1067" i="14"/>
  <c r="N1067" i="14"/>
  <c r="M1067" i="14"/>
  <c r="L1067" i="14"/>
  <c r="K1067" i="14"/>
  <c r="J1067" i="14"/>
  <c r="I1067" i="14"/>
  <c r="H1067" i="14"/>
  <c r="G1067" i="14"/>
  <c r="F1067" i="14"/>
  <c r="E1067" i="14"/>
  <c r="D1067" i="14"/>
  <c r="D1065" i="14"/>
  <c r="D1058" i="14"/>
  <c r="E1058" i="14" s="1"/>
  <c r="F1058" i="14" s="1"/>
  <c r="G1058" i="14" s="1"/>
  <c r="H1058" i="14" s="1"/>
  <c r="I1058" i="14" s="1"/>
  <c r="J1058" i="14" s="1"/>
  <c r="K1058" i="14" s="1"/>
  <c r="L1058" i="14" s="1"/>
  <c r="M1058" i="14" s="1"/>
  <c r="N1058" i="14" s="1"/>
  <c r="O1058" i="14" s="1"/>
  <c r="B1056" i="14"/>
  <c r="B1055" i="14"/>
  <c r="B1054" i="14"/>
  <c r="B1053" i="14"/>
  <c r="B1052" i="14"/>
  <c r="B1051" i="14"/>
  <c r="B1050" i="14"/>
  <c r="B1049" i="14"/>
  <c r="B1048" i="14"/>
  <c r="C1047" i="14"/>
  <c r="B1047" i="14"/>
  <c r="C1046" i="14"/>
  <c r="B1046" i="14"/>
  <c r="B1044" i="14"/>
  <c r="E1043" i="14"/>
  <c r="E1041" i="14"/>
  <c r="F1039" i="14"/>
  <c r="B1043" i="14"/>
  <c r="B1042" i="14"/>
  <c r="B1041" i="14"/>
  <c r="B1040" i="14"/>
  <c r="B1039" i="14"/>
  <c r="D1032" i="14"/>
  <c r="E1032" i="14" s="1"/>
  <c r="F1032" i="14" s="1"/>
  <c r="M714" i="14"/>
  <c r="L714" i="14"/>
  <c r="K714" i="14"/>
  <c r="J714" i="14"/>
  <c r="I714" i="14"/>
  <c r="H714" i="14"/>
  <c r="G714" i="14"/>
  <c r="D907" i="14"/>
  <c r="D900" i="14"/>
  <c r="C900" i="14"/>
  <c r="N375" i="24"/>
  <c r="M375" i="24"/>
  <c r="Z252" i="24"/>
  <c r="O252" i="24"/>
  <c r="P252" i="24" s="1"/>
  <c r="Q252" i="24" s="1"/>
  <c r="R252" i="24" s="1"/>
  <c r="S252" i="24" s="1"/>
  <c r="T252" i="24" s="1"/>
  <c r="U252" i="24" s="1"/>
  <c r="V252" i="24" s="1"/>
  <c r="W252" i="24" s="1"/>
  <c r="X252" i="24" s="1"/>
  <c r="C793" i="14"/>
  <c r="C794" i="14"/>
  <c r="C795" i="14"/>
  <c r="G1032" i="14" l="1"/>
  <c r="H1032" i="14" s="1"/>
  <c r="I1032" i="14" s="1"/>
  <c r="J1032" i="14" s="1"/>
  <c r="K1032" i="14" s="1"/>
  <c r="L1032" i="14" s="1"/>
  <c r="M1032" i="14" s="1"/>
  <c r="N1032" i="14" s="1"/>
  <c r="O1032" i="14" s="1"/>
  <c r="P1032" i="14" s="1"/>
  <c r="Q1032" i="14" s="1"/>
  <c r="E763" i="14"/>
  <c r="P225" i="30"/>
  <c r="E762" i="14"/>
  <c r="P224" i="30"/>
  <c r="P223" i="30" s="1"/>
  <c r="BJ156" i="18"/>
  <c r="P241" i="30" s="1"/>
  <c r="P238" i="30"/>
  <c r="E759" i="14"/>
  <c r="BK149" i="18"/>
  <c r="G282" i="30"/>
  <c r="K282" i="30"/>
  <c r="G281" i="30"/>
  <c r="K281" i="30"/>
  <c r="J281" i="30"/>
  <c r="H282" i="30"/>
  <c r="I282" i="30"/>
  <c r="J282" i="30"/>
  <c r="S273" i="30"/>
  <c r="H281" i="30"/>
  <c r="T273" i="30"/>
  <c r="I281" i="30"/>
  <c r="D1108" i="14"/>
  <c r="D1100" i="14"/>
  <c r="BJ140" i="18"/>
  <c r="P226" i="30" s="1"/>
  <c r="P231" i="30" s="1"/>
  <c r="R273" i="30"/>
  <c r="S274" i="30"/>
  <c r="P274" i="30"/>
  <c r="M274" i="30"/>
  <c r="M273" i="30"/>
  <c r="R274" i="30"/>
  <c r="O274" i="30"/>
  <c r="U274" i="30"/>
  <c r="U273" i="30"/>
  <c r="T274" i="30"/>
  <c r="N273" i="30"/>
  <c r="O273" i="30"/>
  <c r="P273" i="30"/>
  <c r="N274" i="30"/>
  <c r="C796" i="14"/>
  <c r="BK148" i="18" l="1"/>
  <c r="Q235" i="30" s="1"/>
  <c r="Q236" i="30"/>
  <c r="BI27" i="18"/>
  <c r="BG27" i="18"/>
  <c r="D789" i="14"/>
  <c r="E789" i="14" s="1"/>
  <c r="F789" i="14" s="1"/>
  <c r="G789" i="14" s="1"/>
  <c r="H789" i="14" s="1"/>
  <c r="B1025" i="14" l="1"/>
  <c r="B1023" i="14"/>
  <c r="B1022" i="14"/>
  <c r="B1021" i="14"/>
  <c r="B1020" i="14"/>
  <c r="B1019" i="14"/>
  <c r="B1018" i="14"/>
  <c r="C1017" i="14"/>
  <c r="B1017" i="14"/>
  <c r="C1016" i="14"/>
  <c r="B1016" i="14"/>
  <c r="D1011" i="14"/>
  <c r="E1011" i="14" s="1"/>
  <c r="F1011" i="14" s="1"/>
  <c r="G1011" i="14" s="1"/>
  <c r="H1011" i="14" s="1"/>
  <c r="I1011" i="14" s="1"/>
  <c r="J1011" i="14" s="1"/>
  <c r="K1011" i="14" s="1"/>
  <c r="L1011" i="14" s="1"/>
  <c r="M1011" i="14" s="1"/>
  <c r="N1011" i="14" s="1"/>
  <c r="O1011" i="14" s="1"/>
  <c r="P1011" i="14" s="1"/>
  <c r="Q1011" i="14" s="1"/>
  <c r="M164" i="25"/>
  <c r="M15" i="29" s="1"/>
  <c r="C887" i="14"/>
  <c r="D887" i="14"/>
  <c r="C888" i="14"/>
  <c r="E888" i="14"/>
  <c r="F888" i="14"/>
  <c r="G888" i="14"/>
  <c r="H888" i="14"/>
  <c r="I888" i="14"/>
  <c r="J888" i="14"/>
  <c r="K888" i="14"/>
  <c r="L888" i="14"/>
  <c r="M888" i="14"/>
  <c r="N888" i="14"/>
  <c r="O888" i="14"/>
  <c r="P888" i="14"/>
  <c r="Q888" i="14"/>
  <c r="C889" i="14"/>
  <c r="D889" i="14"/>
  <c r="C890" i="14"/>
  <c r="E890" i="14"/>
  <c r="C895" i="14"/>
  <c r="D895" i="14"/>
  <c r="C896" i="14"/>
  <c r="E896" i="14"/>
  <c r="F896" i="14"/>
  <c r="G896" i="14"/>
  <c r="H896" i="14"/>
  <c r="I896" i="14"/>
  <c r="J896" i="14"/>
  <c r="K896" i="14"/>
  <c r="L896" i="14"/>
  <c r="M896" i="14"/>
  <c r="N896" i="14"/>
  <c r="O896" i="14"/>
  <c r="P896" i="14"/>
  <c r="Q896" i="14"/>
  <c r="E1008" i="14"/>
  <c r="Q1000" i="14"/>
  <c r="P1000" i="14"/>
  <c r="O1000" i="14"/>
  <c r="N1000" i="14"/>
  <c r="M1000" i="14"/>
  <c r="L1000" i="14"/>
  <c r="K1000" i="14"/>
  <c r="J1000" i="14"/>
  <c r="D1000" i="14"/>
  <c r="C1000" i="14"/>
  <c r="I996" i="14"/>
  <c r="H996" i="14"/>
  <c r="G996" i="14"/>
  <c r="F996" i="14"/>
  <c r="E996" i="14"/>
  <c r="Q995" i="14"/>
  <c r="P995" i="14"/>
  <c r="O995" i="14"/>
  <c r="N995" i="14"/>
  <c r="M995" i="14"/>
  <c r="L995" i="14"/>
  <c r="K995" i="14"/>
  <c r="J995" i="14"/>
  <c r="I995" i="14"/>
  <c r="H995" i="14"/>
  <c r="G995" i="14"/>
  <c r="F995" i="14"/>
  <c r="D995" i="14"/>
  <c r="H994" i="14"/>
  <c r="G994" i="14"/>
  <c r="F994" i="14"/>
  <c r="E994" i="14"/>
  <c r="Q993" i="14"/>
  <c r="P993" i="14"/>
  <c r="O993" i="14"/>
  <c r="N993" i="14"/>
  <c r="M993" i="14"/>
  <c r="L993" i="14"/>
  <c r="K993" i="14"/>
  <c r="J993" i="14"/>
  <c r="I993" i="14"/>
  <c r="H993" i="14"/>
  <c r="G993" i="14"/>
  <c r="F993" i="14"/>
  <c r="E993" i="14"/>
  <c r="C995" i="14"/>
  <c r="Q989" i="14"/>
  <c r="P989" i="14"/>
  <c r="O989" i="14"/>
  <c r="N989" i="14"/>
  <c r="M989" i="14"/>
  <c r="L989" i="14"/>
  <c r="K989" i="14"/>
  <c r="J989" i="14"/>
  <c r="I989" i="14"/>
  <c r="H989" i="14"/>
  <c r="G989" i="14"/>
  <c r="F989" i="14"/>
  <c r="E989" i="14"/>
  <c r="Q988" i="14"/>
  <c r="P988" i="14"/>
  <c r="O988" i="14"/>
  <c r="N988" i="14"/>
  <c r="M988" i="14"/>
  <c r="L988" i="14"/>
  <c r="K988" i="14"/>
  <c r="J988" i="14"/>
  <c r="I988" i="14"/>
  <c r="H988" i="14"/>
  <c r="G988" i="14"/>
  <c r="F988" i="14"/>
  <c r="E988" i="14"/>
  <c r="D983" i="14"/>
  <c r="E983" i="14" s="1"/>
  <c r="F983" i="14" s="1"/>
  <c r="G983" i="14" s="1"/>
  <c r="H983" i="14" s="1"/>
  <c r="I983" i="14" s="1"/>
  <c r="J983" i="14" s="1"/>
  <c r="K983" i="14" s="1"/>
  <c r="L983" i="14" s="1"/>
  <c r="M983" i="14" s="1"/>
  <c r="N983" i="14" s="1"/>
  <c r="O983" i="14" s="1"/>
  <c r="P983" i="14" s="1"/>
  <c r="Q983" i="14" s="1"/>
  <c r="Q267" i="24"/>
  <c r="R267" i="24" s="1"/>
  <c r="S267" i="24" s="1"/>
  <c r="T267" i="24" s="1"/>
  <c r="U267" i="24" s="1"/>
  <c r="V267" i="24" s="1"/>
  <c r="W267" i="24" s="1"/>
  <c r="X267" i="24" s="1"/>
  <c r="Y267" i="24" s="1"/>
  <c r="Z267" i="24" s="1"/>
  <c r="B949" i="14"/>
  <c r="D945" i="14"/>
  <c r="D936" i="14"/>
  <c r="E936" i="14" s="1"/>
  <c r="F936" i="14" s="1"/>
  <c r="G936" i="14" s="1"/>
  <c r="H936" i="14" s="1"/>
  <c r="I936" i="14" s="1"/>
  <c r="J936" i="14" s="1"/>
  <c r="K936" i="14" s="1"/>
  <c r="L936" i="14" s="1"/>
  <c r="M936" i="14" s="1"/>
  <c r="N936" i="14" s="1"/>
  <c r="O936" i="14" s="1"/>
  <c r="P936" i="14" s="1"/>
  <c r="Q936" i="14" s="1"/>
  <c r="I920" i="14"/>
  <c r="H920" i="14"/>
  <c r="G920" i="14"/>
  <c r="Q919" i="14"/>
  <c r="P919" i="14"/>
  <c r="O919" i="14"/>
  <c r="N919" i="14"/>
  <c r="M919" i="14"/>
  <c r="L919" i="14"/>
  <c r="K919" i="14"/>
  <c r="J919" i="14"/>
  <c r="D920" i="14"/>
  <c r="I917" i="14"/>
  <c r="D917" i="14"/>
  <c r="C917" i="14"/>
  <c r="D930" i="14"/>
  <c r="D928" i="14"/>
  <c r="Q927" i="14"/>
  <c r="P927" i="14"/>
  <c r="O927" i="14"/>
  <c r="N927" i="14"/>
  <c r="M927" i="14"/>
  <c r="L927" i="14"/>
  <c r="K927" i="14"/>
  <c r="J927" i="14"/>
  <c r="I927" i="14"/>
  <c r="H927" i="14"/>
  <c r="G927" i="14"/>
  <c r="F927" i="14"/>
  <c r="E927" i="14"/>
  <c r="D927" i="14"/>
  <c r="Q925" i="14"/>
  <c r="P925" i="14"/>
  <c r="O925" i="14"/>
  <c r="N925" i="14"/>
  <c r="M925" i="14"/>
  <c r="L925" i="14"/>
  <c r="K925" i="14"/>
  <c r="J925" i="14"/>
  <c r="I925" i="14"/>
  <c r="H925" i="14"/>
  <c r="G925" i="14"/>
  <c r="F925" i="14"/>
  <c r="E925" i="14"/>
  <c r="D925" i="14"/>
  <c r="D916" i="14"/>
  <c r="E916" i="14" s="1"/>
  <c r="F916" i="14" s="1"/>
  <c r="G916" i="14" s="1"/>
  <c r="H916" i="14" s="1"/>
  <c r="I916" i="14" s="1"/>
  <c r="J916" i="14" s="1"/>
  <c r="K916" i="14" s="1"/>
  <c r="L916" i="14" s="1"/>
  <c r="M916" i="14" s="1"/>
  <c r="N916" i="14" s="1"/>
  <c r="O916" i="14" s="1"/>
  <c r="P916" i="14" s="1"/>
  <c r="Q916" i="14" s="1"/>
  <c r="D885" i="14"/>
  <c r="E885" i="14" s="1"/>
  <c r="F885" i="14" s="1"/>
  <c r="G885" i="14" s="1"/>
  <c r="H885" i="14" s="1"/>
  <c r="I885" i="14" s="1"/>
  <c r="J885" i="14" s="1"/>
  <c r="K885" i="14" s="1"/>
  <c r="L885" i="14" s="1"/>
  <c r="M885" i="14" s="1"/>
  <c r="N885" i="14" s="1"/>
  <c r="O885" i="14" s="1"/>
  <c r="P885" i="14" s="1"/>
  <c r="Q885" i="14" s="1"/>
  <c r="C874" i="14"/>
  <c r="D839" i="14"/>
  <c r="D834" i="14"/>
  <c r="I819" i="14"/>
  <c r="D819" i="14"/>
  <c r="C819" i="14"/>
  <c r="C824" i="14"/>
  <c r="C822" i="14"/>
  <c r="D818" i="14"/>
  <c r="D817" i="14"/>
  <c r="E817" i="14" s="1"/>
  <c r="F817" i="14" s="1"/>
  <c r="G817" i="14" s="1"/>
  <c r="H817" i="14" s="1"/>
  <c r="I817" i="14" s="1"/>
  <c r="J817" i="14" s="1"/>
  <c r="K817" i="14" s="1"/>
  <c r="L817" i="14" s="1"/>
  <c r="M817" i="14" s="1"/>
  <c r="N817" i="14" s="1"/>
  <c r="O817" i="14" s="1"/>
  <c r="P817" i="14" s="1"/>
  <c r="Q817" i="14" s="1"/>
  <c r="P404" i="24"/>
  <c r="P397" i="24"/>
  <c r="O177" i="25"/>
  <c r="Q177" i="25" s="1"/>
  <c r="H1008" i="14" s="1"/>
  <c r="C62" i="29"/>
  <c r="C1048" i="14" s="1"/>
  <c r="S56" i="29"/>
  <c r="T56" i="29" s="1"/>
  <c r="U56" i="29" s="1"/>
  <c r="V56" i="29" s="1"/>
  <c r="W56" i="29" s="1"/>
  <c r="X56" i="29" s="1"/>
  <c r="Y56" i="29" s="1"/>
  <c r="Z56" i="29" s="1"/>
  <c r="M55" i="29"/>
  <c r="L55" i="29"/>
  <c r="J46" i="29"/>
  <c r="K46" i="29" s="1"/>
  <c r="L46" i="29" s="1"/>
  <c r="M46" i="29" s="1"/>
  <c r="N46" i="29" s="1"/>
  <c r="O46" i="29" s="1"/>
  <c r="P46" i="29" s="1"/>
  <c r="Q46" i="29" s="1"/>
  <c r="R46" i="29" s="1"/>
  <c r="S46" i="29" s="1"/>
  <c r="T46" i="29" s="1"/>
  <c r="U46" i="29" s="1"/>
  <c r="V46" i="29" s="1"/>
  <c r="W46" i="29" s="1"/>
  <c r="X46" i="29" s="1"/>
  <c r="Y46" i="29" s="1"/>
  <c r="Z46" i="29" s="1"/>
  <c r="Z50" i="29"/>
  <c r="Q1035" i="14" s="1"/>
  <c r="N1205" i="14" s="1"/>
  <c r="N1269" i="14" s="1"/>
  <c r="Y50" i="29"/>
  <c r="P1035" i="14" s="1"/>
  <c r="M1205" i="14" s="1"/>
  <c r="M1269" i="14" s="1"/>
  <c r="X50" i="29"/>
  <c r="O1035" i="14" s="1"/>
  <c r="L1205" i="14" s="1"/>
  <c r="L1269" i="14" s="1"/>
  <c r="W50" i="29"/>
  <c r="N1035" i="14" s="1"/>
  <c r="K1205" i="14" s="1"/>
  <c r="K1269" i="14" s="1"/>
  <c r="V50" i="29"/>
  <c r="M1035" i="14" s="1"/>
  <c r="J1205" i="14" s="1"/>
  <c r="J1269" i="14" s="1"/>
  <c r="U50" i="29"/>
  <c r="L1035" i="14" s="1"/>
  <c r="I1205" i="14" s="1"/>
  <c r="I1269" i="14" s="1"/>
  <c r="T50" i="29"/>
  <c r="K1035" i="14" s="1"/>
  <c r="H1205" i="14" s="1"/>
  <c r="H1269" i="14" s="1"/>
  <c r="S50" i="29"/>
  <c r="J1035" i="14" s="1"/>
  <c r="G1205" i="14" s="1"/>
  <c r="G1269" i="14" s="1"/>
  <c r="R50" i="29"/>
  <c r="I1035" i="14" s="1"/>
  <c r="F1205" i="14" s="1"/>
  <c r="F1269" i="14" s="1"/>
  <c r="Q50" i="29"/>
  <c r="H1035" i="14" s="1"/>
  <c r="E1205" i="14" s="1"/>
  <c r="E1269" i="14" s="1"/>
  <c r="P50" i="29"/>
  <c r="G1035" i="14" s="1"/>
  <c r="D1205" i="14" s="1"/>
  <c r="D1269" i="14" s="1"/>
  <c r="O50" i="29"/>
  <c r="F1035" i="14" s="1"/>
  <c r="C1205" i="14" s="1"/>
  <c r="C1269" i="14" s="1"/>
  <c r="N50" i="29"/>
  <c r="E1035" i="14" s="1"/>
  <c r="L316" i="24"/>
  <c r="N332" i="24"/>
  <c r="E854" i="14" s="1"/>
  <c r="M333" i="24"/>
  <c r="M316" i="24"/>
  <c r="R133" i="24"/>
  <c r="M133" i="24"/>
  <c r="M134" i="24" s="1"/>
  <c r="M286" i="24"/>
  <c r="D918" i="14" s="1"/>
  <c r="N338" i="24"/>
  <c r="M339" i="24"/>
  <c r="D896" i="14" s="1"/>
  <c r="N330" i="24"/>
  <c r="E852" i="14" s="1"/>
  <c r="M331" i="24"/>
  <c r="M62" i="24"/>
  <c r="M63" i="24"/>
  <c r="M61" i="24"/>
  <c r="L319" i="24"/>
  <c r="L320" i="24" s="1"/>
  <c r="L314" i="24"/>
  <c r="M325" i="24"/>
  <c r="M312" i="24"/>
  <c r="J311" i="24"/>
  <c r="K311" i="24" s="1"/>
  <c r="L311" i="24" s="1"/>
  <c r="M311" i="24" s="1"/>
  <c r="N311" i="24" s="1"/>
  <c r="O311" i="24" s="1"/>
  <c r="P311" i="24" s="1"/>
  <c r="Q311" i="24" s="1"/>
  <c r="R311" i="24" s="1"/>
  <c r="S311" i="24" s="1"/>
  <c r="T311" i="24" s="1"/>
  <c r="U311" i="24" s="1"/>
  <c r="V311" i="24" s="1"/>
  <c r="W311" i="24" s="1"/>
  <c r="X311" i="24" s="1"/>
  <c r="Y311" i="24" s="1"/>
  <c r="Z311" i="24" s="1"/>
  <c r="B767" i="14"/>
  <c r="D767" i="14"/>
  <c r="D766" i="14"/>
  <c r="D765" i="14"/>
  <c r="D764" i="14"/>
  <c r="B766" i="14"/>
  <c r="B765" i="14"/>
  <c r="B764" i="14"/>
  <c r="D758" i="14"/>
  <c r="D757" i="14"/>
  <c r="N180" i="25"/>
  <c r="N184" i="25" s="1"/>
  <c r="N129" i="25" s="1"/>
  <c r="C848" i="14" l="1"/>
  <c r="C849" i="14" s="1"/>
  <c r="D890" i="14"/>
  <c r="D855" i="14"/>
  <c r="C899" i="14"/>
  <c r="D888" i="14"/>
  <c r="D853" i="14"/>
  <c r="E887" i="14"/>
  <c r="L341" i="24"/>
  <c r="O338" i="24"/>
  <c r="E893" i="14"/>
  <c r="Q397" i="24"/>
  <c r="G1039" i="14"/>
  <c r="Q404" i="24"/>
  <c r="E1065" i="14"/>
  <c r="R359" i="24"/>
  <c r="L315" i="24"/>
  <c r="C898" i="14" s="1"/>
  <c r="E889" i="14"/>
  <c r="E895" i="14"/>
  <c r="E945" i="14"/>
  <c r="F945" i="14"/>
  <c r="O948" i="14"/>
  <c r="P948" i="14"/>
  <c r="F1008" i="14"/>
  <c r="G1008" i="14"/>
  <c r="Q948" i="14"/>
  <c r="M948" i="14"/>
  <c r="N948" i="14"/>
  <c r="E948" i="14"/>
  <c r="F948" i="14"/>
  <c r="G948" i="14"/>
  <c r="H948" i="14"/>
  <c r="I948" i="14"/>
  <c r="D1075" i="14" s="1"/>
  <c r="J948" i="14"/>
  <c r="K948" i="14"/>
  <c r="L948" i="14"/>
  <c r="G945" i="14"/>
  <c r="H945" i="14"/>
  <c r="D840" i="14"/>
  <c r="C825" i="14"/>
  <c r="D820" i="14"/>
  <c r="R177" i="25"/>
  <c r="D908" i="14"/>
  <c r="O330" i="24"/>
  <c r="F852" i="14" s="1"/>
  <c r="E1000" i="14"/>
  <c r="Z155" i="25"/>
  <c r="Y155" i="25"/>
  <c r="X155" i="25"/>
  <c r="W155" i="25"/>
  <c r="V155" i="25"/>
  <c r="U155" i="25"/>
  <c r="T155" i="25"/>
  <c r="S155" i="25"/>
  <c r="R155" i="25"/>
  <c r="Q155" i="25"/>
  <c r="P155" i="25"/>
  <c r="O155" i="25"/>
  <c r="N155" i="25"/>
  <c r="Q500" i="14"/>
  <c r="Z7" i="29" s="1"/>
  <c r="P500" i="14"/>
  <c r="Y7" i="29" s="1"/>
  <c r="O500" i="14"/>
  <c r="X7" i="29" s="1"/>
  <c r="N500" i="14"/>
  <c r="W7" i="29" s="1"/>
  <c r="M500" i="14"/>
  <c r="V7" i="29" s="1"/>
  <c r="Z8" i="29"/>
  <c r="Y8" i="29"/>
  <c r="Y363" i="24" s="1"/>
  <c r="P949" i="14" s="1"/>
  <c r="X8" i="29"/>
  <c r="X363" i="24" s="1"/>
  <c r="O949" i="14" s="1"/>
  <c r="W8" i="29"/>
  <c r="W363" i="24" s="1"/>
  <c r="N949" i="14" s="1"/>
  <c r="V8" i="29"/>
  <c r="U8" i="29"/>
  <c r="U363" i="24" s="1"/>
  <c r="L949" i="14" s="1"/>
  <c r="T8" i="29"/>
  <c r="T363" i="24" s="1"/>
  <c r="K949" i="14" s="1"/>
  <c r="S8" i="29"/>
  <c r="R8" i="29"/>
  <c r="R363" i="24" s="1"/>
  <c r="I949" i="14" s="1"/>
  <c r="Q8" i="29"/>
  <c r="P8" i="29"/>
  <c r="P363" i="24" s="1"/>
  <c r="G949" i="14" s="1"/>
  <c r="O8" i="29"/>
  <c r="N8" i="29"/>
  <c r="Z135" i="25"/>
  <c r="Q996" i="14" s="1"/>
  <c r="Y135" i="25"/>
  <c r="P996" i="14" s="1"/>
  <c r="X135" i="25"/>
  <c r="O996" i="14" s="1"/>
  <c r="W135" i="25"/>
  <c r="N996" i="14" s="1"/>
  <c r="V135" i="25"/>
  <c r="M996" i="14" s="1"/>
  <c r="U135" i="25"/>
  <c r="L996" i="14" s="1"/>
  <c r="Z116" i="25"/>
  <c r="Y116" i="25"/>
  <c r="X116" i="25"/>
  <c r="W116" i="25"/>
  <c r="V116" i="25"/>
  <c r="U116" i="25"/>
  <c r="Z109" i="25"/>
  <c r="Y109" i="25"/>
  <c r="X109" i="25"/>
  <c r="W109" i="25"/>
  <c r="V109" i="25"/>
  <c r="U109" i="25"/>
  <c r="Z108" i="25"/>
  <c r="Y108" i="25"/>
  <c r="X108" i="25"/>
  <c r="W108" i="25"/>
  <c r="V108" i="25"/>
  <c r="U108" i="25"/>
  <c r="Z107" i="25"/>
  <c r="Y107" i="25"/>
  <c r="X107" i="25"/>
  <c r="W107" i="25"/>
  <c r="V107" i="25"/>
  <c r="U107" i="25"/>
  <c r="Z104" i="25"/>
  <c r="Y104" i="25"/>
  <c r="X104" i="25"/>
  <c r="W104" i="25"/>
  <c r="V104" i="25"/>
  <c r="U104" i="25"/>
  <c r="Z102" i="25"/>
  <c r="Y102" i="25"/>
  <c r="X102" i="25"/>
  <c r="W102" i="25"/>
  <c r="V102" i="25"/>
  <c r="U102" i="25"/>
  <c r="Z97" i="25"/>
  <c r="Y97" i="25"/>
  <c r="X97" i="25"/>
  <c r="W97" i="25"/>
  <c r="V97" i="25"/>
  <c r="U97" i="25"/>
  <c r="Z96" i="25"/>
  <c r="Y96" i="25"/>
  <c r="X96" i="25"/>
  <c r="W96" i="25"/>
  <c r="V96" i="25"/>
  <c r="U96" i="25"/>
  <c r="Z95" i="25"/>
  <c r="Y95" i="25"/>
  <c r="X95" i="25"/>
  <c r="W95" i="25"/>
  <c r="V95" i="25"/>
  <c r="U95" i="25"/>
  <c r="Z94" i="25"/>
  <c r="Y94" i="25"/>
  <c r="X94" i="25"/>
  <c r="W94" i="25"/>
  <c r="V94" i="25"/>
  <c r="U94" i="25"/>
  <c r="Z91" i="25"/>
  <c r="Y91" i="25"/>
  <c r="X91" i="25"/>
  <c r="W91" i="25"/>
  <c r="V91" i="25"/>
  <c r="U91" i="25"/>
  <c r="Z90" i="25"/>
  <c r="Y90" i="25"/>
  <c r="X90" i="25"/>
  <c r="W90" i="25"/>
  <c r="V90" i="25"/>
  <c r="U90" i="25"/>
  <c r="Z89" i="25"/>
  <c r="Y89" i="25"/>
  <c r="X89" i="25"/>
  <c r="W89" i="25"/>
  <c r="V89" i="25"/>
  <c r="U89" i="25"/>
  <c r="Z76" i="25"/>
  <c r="Y76" i="25"/>
  <c r="X76" i="25"/>
  <c r="W76" i="25"/>
  <c r="V76" i="25"/>
  <c r="U76" i="25"/>
  <c r="Z70" i="25"/>
  <c r="Y70" i="25"/>
  <c r="X70" i="25"/>
  <c r="W70" i="25"/>
  <c r="V70" i="25"/>
  <c r="U70" i="25"/>
  <c r="Z69" i="25"/>
  <c r="Y69" i="25"/>
  <c r="X69" i="25"/>
  <c r="W69" i="25"/>
  <c r="V69" i="25"/>
  <c r="U69" i="25"/>
  <c r="Z63" i="25"/>
  <c r="Y63" i="25"/>
  <c r="X63" i="25"/>
  <c r="W63" i="25"/>
  <c r="V63" i="25"/>
  <c r="U63" i="25"/>
  <c r="Q505" i="14"/>
  <c r="P505" i="14"/>
  <c r="O505" i="14"/>
  <c r="N505" i="14"/>
  <c r="M505" i="14"/>
  <c r="L505" i="14"/>
  <c r="Q503" i="14"/>
  <c r="P503" i="14"/>
  <c r="O503" i="14"/>
  <c r="N503" i="14"/>
  <c r="M503" i="14"/>
  <c r="L503" i="14"/>
  <c r="L500" i="14"/>
  <c r="U7" i="29" s="1"/>
  <c r="Z89" i="29"/>
  <c r="Z84" i="29"/>
  <c r="Y84" i="29"/>
  <c r="Y85" i="29" s="1"/>
  <c r="X84" i="29"/>
  <c r="W84" i="29"/>
  <c r="V84" i="29"/>
  <c r="V85" i="29" s="1"/>
  <c r="V86" i="29" s="1"/>
  <c r="U84" i="29"/>
  <c r="U85" i="29" s="1"/>
  <c r="U86" i="29" s="1"/>
  <c r="P268" i="24"/>
  <c r="Q268" i="24" s="1"/>
  <c r="R268" i="24" s="1"/>
  <c r="S268" i="24" s="1"/>
  <c r="T268" i="24" s="1"/>
  <c r="U268" i="24" s="1"/>
  <c r="V268" i="24" s="1"/>
  <c r="W268" i="24" s="1"/>
  <c r="X268" i="24" s="1"/>
  <c r="Y268" i="24" s="1"/>
  <c r="Z268" i="24" s="1"/>
  <c r="F115" i="24"/>
  <c r="E115" i="24"/>
  <c r="D115" i="24"/>
  <c r="C115" i="24"/>
  <c r="F110" i="24"/>
  <c r="E110" i="24"/>
  <c r="D110" i="24"/>
  <c r="C110" i="24"/>
  <c r="F109" i="24"/>
  <c r="E109" i="24"/>
  <c r="D109" i="24"/>
  <c r="C109" i="24"/>
  <c r="G115" i="24"/>
  <c r="G110" i="24"/>
  <c r="G109" i="24"/>
  <c r="BK66" i="18"/>
  <c r="AP5" i="17" s="1"/>
  <c r="AP69" i="17" s="1"/>
  <c r="BJ66" i="18"/>
  <c r="AO5" i="17" s="1"/>
  <c r="Z304" i="24"/>
  <c r="M288" i="24"/>
  <c r="N301" i="24"/>
  <c r="O301" i="24" s="1"/>
  <c r="P301" i="24" s="1"/>
  <c r="Q301" i="24" s="1"/>
  <c r="P95" i="24"/>
  <c r="Q95" i="24" s="1"/>
  <c r="R95" i="24" s="1"/>
  <c r="S95" i="24" s="1"/>
  <c r="T95" i="24" s="1"/>
  <c r="U95" i="24" s="1"/>
  <c r="V95" i="24" s="1"/>
  <c r="W95" i="24" s="1"/>
  <c r="X95" i="24" s="1"/>
  <c r="Y95" i="24" s="1"/>
  <c r="Z95" i="24" s="1"/>
  <c r="P55" i="24"/>
  <c r="Q55" i="24" s="1"/>
  <c r="R55" i="24" s="1"/>
  <c r="S55" i="24" s="1"/>
  <c r="T55" i="24" s="1"/>
  <c r="U55" i="24" s="1"/>
  <c r="V55" i="24" s="1"/>
  <c r="W55" i="24" s="1"/>
  <c r="X55" i="24" s="1"/>
  <c r="Y55" i="24" s="1"/>
  <c r="Z55" i="24" s="1"/>
  <c r="G100" i="24"/>
  <c r="G157" i="24" s="1"/>
  <c r="F100" i="24"/>
  <c r="F157" i="24" s="1"/>
  <c r="E100" i="24"/>
  <c r="E157" i="24" s="1"/>
  <c r="D100" i="24"/>
  <c r="D157" i="24" s="1"/>
  <c r="C100" i="24"/>
  <c r="C157" i="24" s="1"/>
  <c r="M100" i="24"/>
  <c r="N100" i="24" s="1"/>
  <c r="O100" i="24" s="1"/>
  <c r="P100" i="24" s="1"/>
  <c r="Q100" i="24" s="1"/>
  <c r="R100" i="24" s="1"/>
  <c r="S100" i="24" s="1"/>
  <c r="T100" i="24" s="1"/>
  <c r="U100" i="24" s="1"/>
  <c r="V100" i="24" s="1"/>
  <c r="W100" i="24" s="1"/>
  <c r="X100" i="24" s="1"/>
  <c r="Y100" i="24" s="1"/>
  <c r="Z100" i="24" s="1"/>
  <c r="Z157" i="24" s="1"/>
  <c r="M98" i="24"/>
  <c r="N97" i="24"/>
  <c r="O97" i="24" s="1"/>
  <c r="P97" i="24" s="1"/>
  <c r="Q97" i="24" s="1"/>
  <c r="R97" i="24" s="1"/>
  <c r="S97" i="24" s="1"/>
  <c r="G42" i="24"/>
  <c r="F42" i="24"/>
  <c r="E42" i="24"/>
  <c r="D42" i="24"/>
  <c r="D50" i="24" s="1"/>
  <c r="N40" i="24"/>
  <c r="O40" i="24" s="1"/>
  <c r="P40" i="24" s="1"/>
  <c r="Q40" i="24" s="1"/>
  <c r="R40" i="24" s="1"/>
  <c r="S40" i="24" s="1"/>
  <c r="T40" i="24" s="1"/>
  <c r="U40" i="24" s="1"/>
  <c r="V40" i="24" s="1"/>
  <c r="W40" i="24" s="1"/>
  <c r="X40" i="24" s="1"/>
  <c r="Y40" i="24" s="1"/>
  <c r="Z40" i="24" s="1"/>
  <c r="H41" i="24"/>
  <c r="G41" i="24"/>
  <c r="F41" i="24"/>
  <c r="E41" i="24"/>
  <c r="D41" i="24"/>
  <c r="G49" i="24"/>
  <c r="F49" i="24"/>
  <c r="E49" i="24"/>
  <c r="M36" i="24"/>
  <c r="N36" i="24" s="1"/>
  <c r="O36" i="24" s="1"/>
  <c r="P36" i="24" s="1"/>
  <c r="Q36" i="24" s="1"/>
  <c r="R36" i="24" s="1"/>
  <c r="S36" i="24" s="1"/>
  <c r="T36" i="24" s="1"/>
  <c r="U36" i="24" s="1"/>
  <c r="V36" i="24" s="1"/>
  <c r="W36" i="24" s="1"/>
  <c r="X36" i="24" s="1"/>
  <c r="Y36" i="24" s="1"/>
  <c r="Z36" i="24" s="1"/>
  <c r="H37" i="24"/>
  <c r="G37" i="24"/>
  <c r="F37" i="24"/>
  <c r="K36" i="24"/>
  <c r="N38" i="24"/>
  <c r="G39" i="24"/>
  <c r="F39" i="24"/>
  <c r="E39" i="24"/>
  <c r="D39" i="24"/>
  <c r="G35" i="24"/>
  <c r="F35" i="24"/>
  <c r="E35" i="24"/>
  <c r="D35" i="24"/>
  <c r="M42" i="24"/>
  <c r="M50" i="24" s="1"/>
  <c r="Z138" i="24"/>
  <c r="Y138" i="24"/>
  <c r="X138" i="24"/>
  <c r="W138" i="24"/>
  <c r="V138" i="24"/>
  <c r="U138" i="24"/>
  <c r="F895" i="14" l="1"/>
  <c r="S359" i="24"/>
  <c r="J945" i="14" s="1"/>
  <c r="F1260" i="14"/>
  <c r="F1261" i="14" s="1"/>
  <c r="AP6" i="17"/>
  <c r="AO69" i="17"/>
  <c r="AO6" i="17"/>
  <c r="AO26" i="17" s="1"/>
  <c r="AO25" i="17" s="1"/>
  <c r="E991" i="14"/>
  <c r="AD89" i="17"/>
  <c r="Q100" i="30"/>
  <c r="K272" i="30"/>
  <c r="BK171" i="18"/>
  <c r="BK74" i="18"/>
  <c r="BK79" i="18" s="1"/>
  <c r="BK132" i="18"/>
  <c r="BK87" i="18"/>
  <c r="F887" i="14"/>
  <c r="N52" i="24"/>
  <c r="L343" i="24"/>
  <c r="P338" i="24"/>
  <c r="J272" i="30"/>
  <c r="P100" i="30"/>
  <c r="BJ74" i="18"/>
  <c r="BJ79" i="18" s="1"/>
  <c r="BJ132" i="18"/>
  <c r="BJ87" i="18"/>
  <c r="I945" i="14"/>
  <c r="R404" i="24"/>
  <c r="F1065" i="14"/>
  <c r="R397" i="24"/>
  <c r="H1039" i="14"/>
  <c r="S177" i="25"/>
  <c r="J1008" i="14" s="1"/>
  <c r="I1008" i="14"/>
  <c r="E819" i="14"/>
  <c r="E917" i="14"/>
  <c r="O38" i="24"/>
  <c r="E818" i="14"/>
  <c r="P394" i="24"/>
  <c r="P51" i="29"/>
  <c r="G1036" i="14" s="1"/>
  <c r="D1206" i="14" s="1"/>
  <c r="D1270" i="14" s="1"/>
  <c r="R394" i="24"/>
  <c r="R51" i="29"/>
  <c r="I1036" i="14" s="1"/>
  <c r="F1206" i="14" s="1"/>
  <c r="F1270" i="14" s="1"/>
  <c r="T394" i="24"/>
  <c r="T51" i="29"/>
  <c r="K1036" i="14" s="1"/>
  <c r="H1206" i="14" s="1"/>
  <c r="H1270" i="14" s="1"/>
  <c r="U394" i="24"/>
  <c r="U51" i="29"/>
  <c r="L1036" i="14" s="1"/>
  <c r="I1206" i="14" s="1"/>
  <c r="I1270" i="14" s="1"/>
  <c r="W394" i="24"/>
  <c r="W51" i="29"/>
  <c r="N1036" i="14" s="1"/>
  <c r="K1206" i="14" s="1"/>
  <c r="K1270" i="14" s="1"/>
  <c r="X394" i="24"/>
  <c r="X51" i="29"/>
  <c r="O1036" i="14" s="1"/>
  <c r="L1206" i="14" s="1"/>
  <c r="L1270" i="14" s="1"/>
  <c r="Y394" i="24"/>
  <c r="Y51" i="29"/>
  <c r="P1036" i="14" s="1"/>
  <c r="M1206" i="14" s="1"/>
  <c r="M1270" i="14" s="1"/>
  <c r="Q363" i="24"/>
  <c r="H949" i="14" s="1"/>
  <c r="Z363" i="24"/>
  <c r="Q949" i="14" s="1"/>
  <c r="N363" i="24"/>
  <c r="E949" i="14" s="1"/>
  <c r="O363" i="24"/>
  <c r="F949" i="14" s="1"/>
  <c r="S363" i="24"/>
  <c r="J949" i="14" s="1"/>
  <c r="V363" i="24"/>
  <c r="M949" i="14" s="1"/>
  <c r="P330" i="24"/>
  <c r="G852" i="14" s="1"/>
  <c r="N286" i="24"/>
  <c r="N278" i="24" s="1"/>
  <c r="N133" i="24"/>
  <c r="N134" i="24" s="1"/>
  <c r="BJ169" i="18"/>
  <c r="BK169" i="18"/>
  <c r="U98" i="25"/>
  <c r="V98" i="25"/>
  <c r="W98" i="25"/>
  <c r="V110" i="25"/>
  <c r="W110" i="25"/>
  <c r="Y110" i="25"/>
  <c r="U92" i="25"/>
  <c r="Z110" i="25"/>
  <c r="V92" i="25"/>
  <c r="X98" i="25"/>
  <c r="Y98" i="25"/>
  <c r="Z98" i="25"/>
  <c r="X110" i="25"/>
  <c r="W92" i="25"/>
  <c r="X92" i="25"/>
  <c r="U110" i="25"/>
  <c r="Y92" i="25"/>
  <c r="Z92" i="25"/>
  <c r="W85" i="29"/>
  <c r="W86" i="29" s="1"/>
  <c r="X85" i="29"/>
  <c r="X86" i="29" s="1"/>
  <c r="Z85" i="29"/>
  <c r="Z86" i="29" s="1"/>
  <c r="Y89" i="29" s="1"/>
  <c r="Y86" i="29"/>
  <c r="V157" i="24"/>
  <c r="BK170" i="18"/>
  <c r="W157" i="24"/>
  <c r="X157" i="24"/>
  <c r="Y157" i="24"/>
  <c r="T157" i="24"/>
  <c r="S157" i="24"/>
  <c r="U157" i="24"/>
  <c r="M157" i="24"/>
  <c r="N157" i="24"/>
  <c r="P157" i="24"/>
  <c r="Q157" i="24"/>
  <c r="O157" i="24"/>
  <c r="R157" i="24"/>
  <c r="F101" i="24"/>
  <c r="M287" i="24"/>
  <c r="D919" i="14" s="1"/>
  <c r="D101" i="24"/>
  <c r="E101" i="24"/>
  <c r="G101" i="24"/>
  <c r="BN10" i="18"/>
  <c r="N42" i="24"/>
  <c r="O42" i="24" s="1"/>
  <c r="P42" i="24" s="1"/>
  <c r="Q42" i="24" s="1"/>
  <c r="R42" i="24" s="1"/>
  <c r="S42" i="24" s="1"/>
  <c r="T42" i="24" s="1"/>
  <c r="U42" i="24" s="1"/>
  <c r="V42" i="24" s="1"/>
  <c r="W42" i="24" s="1"/>
  <c r="X42" i="24" s="1"/>
  <c r="Y42" i="24" s="1"/>
  <c r="Z42" i="24" s="1"/>
  <c r="T97" i="24"/>
  <c r="G43" i="24"/>
  <c r="Z34" i="24"/>
  <c r="E43" i="24"/>
  <c r="F43" i="24"/>
  <c r="G50" i="24"/>
  <c r="E50" i="24"/>
  <c r="F50" i="24"/>
  <c r="Y34" i="24"/>
  <c r="P34" i="24"/>
  <c r="R34" i="24"/>
  <c r="N34" i="24"/>
  <c r="N35" i="24" s="1"/>
  <c r="O34" i="24"/>
  <c r="O67" i="24" s="1"/>
  <c r="O1149" i="14" s="1"/>
  <c r="O1148" i="14" s="1"/>
  <c r="Q34" i="24"/>
  <c r="S34" i="24"/>
  <c r="U34" i="24"/>
  <c r="W34" i="24"/>
  <c r="T34" i="24"/>
  <c r="V34" i="24"/>
  <c r="X34" i="24"/>
  <c r="M49" i="24"/>
  <c r="N49" i="24"/>
  <c r="G895" i="14" l="1"/>
  <c r="E920" i="14"/>
  <c r="T359" i="24"/>
  <c r="G1260" i="14"/>
  <c r="G1261" i="14" s="1"/>
  <c r="AP26" i="17"/>
  <c r="AP25" i="17" s="1"/>
  <c r="U89" i="29"/>
  <c r="BK82" i="18"/>
  <c r="K275" i="30" s="1"/>
  <c r="K276" i="30" s="1"/>
  <c r="BK80" i="18"/>
  <c r="L344" i="24"/>
  <c r="L163" i="24" s="1"/>
  <c r="G887" i="14"/>
  <c r="O49" i="24"/>
  <c r="O52" i="24"/>
  <c r="Q338" i="24"/>
  <c r="S397" i="24"/>
  <c r="I1039" i="14"/>
  <c r="S404" i="24"/>
  <c r="G1065" i="14"/>
  <c r="BJ80" i="18"/>
  <c r="BJ82" i="18"/>
  <c r="J275" i="30" s="1"/>
  <c r="G979" i="14"/>
  <c r="E1062" i="14"/>
  <c r="L979" i="14"/>
  <c r="J1062" i="14"/>
  <c r="K979" i="14"/>
  <c r="I1062" i="14"/>
  <c r="O979" i="14"/>
  <c r="M1062" i="14"/>
  <c r="P979" i="14"/>
  <c r="N1062" i="14"/>
  <c r="N979" i="14"/>
  <c r="L1062" i="14"/>
  <c r="I979" i="14"/>
  <c r="G1062" i="14"/>
  <c r="T177" i="25"/>
  <c r="K1008" i="14" s="1"/>
  <c r="F917" i="14"/>
  <c r="F819" i="14"/>
  <c r="P38" i="24"/>
  <c r="F818" i="14"/>
  <c r="N287" i="24"/>
  <c r="E919" i="14" s="1"/>
  <c r="E918" i="14"/>
  <c r="E820" i="14"/>
  <c r="V394" i="24"/>
  <c r="V51" i="29"/>
  <c r="M1036" i="14" s="1"/>
  <c r="J1206" i="14" s="1"/>
  <c r="J1270" i="14" s="1"/>
  <c r="S394" i="24"/>
  <c r="S51" i="29"/>
  <c r="J1036" i="14" s="1"/>
  <c r="G1206" i="14" s="1"/>
  <c r="G1270" i="14" s="1"/>
  <c r="O394" i="24"/>
  <c r="O51" i="29"/>
  <c r="F1036" i="14" s="1"/>
  <c r="C1206" i="14" s="1"/>
  <c r="C1270" i="14" s="1"/>
  <c r="N394" i="24"/>
  <c r="N51" i="29"/>
  <c r="E1036" i="14" s="1"/>
  <c r="Z394" i="24"/>
  <c r="Z51" i="29"/>
  <c r="Q1036" i="14" s="1"/>
  <c r="N1206" i="14" s="1"/>
  <c r="N1270" i="14" s="1"/>
  <c r="Q394" i="24"/>
  <c r="Q51" i="29"/>
  <c r="H1036" i="14" s="1"/>
  <c r="E1206" i="14" s="1"/>
  <c r="E1270" i="14" s="1"/>
  <c r="Q330" i="24"/>
  <c r="H852" i="14" s="1"/>
  <c r="N288" i="24"/>
  <c r="BO10" i="18"/>
  <c r="O133" i="24"/>
  <c r="O134" i="24" s="1"/>
  <c r="V35" i="24"/>
  <c r="V100" i="25"/>
  <c r="W100" i="25"/>
  <c r="U100" i="25"/>
  <c r="Z100" i="25"/>
  <c r="Y100" i="25"/>
  <c r="X100" i="25"/>
  <c r="W89" i="29"/>
  <c r="X89" i="29"/>
  <c r="V89" i="29"/>
  <c r="O35" i="24"/>
  <c r="T35" i="24"/>
  <c r="S50" i="24"/>
  <c r="R50" i="24"/>
  <c r="Q50" i="24"/>
  <c r="P50" i="24"/>
  <c r="Z50" i="24"/>
  <c r="O286" i="24"/>
  <c r="N45" i="24"/>
  <c r="O50" i="24"/>
  <c r="X50" i="24"/>
  <c r="W50" i="24"/>
  <c r="V50" i="24"/>
  <c r="U50" i="24"/>
  <c r="N50" i="24"/>
  <c r="Y50" i="24"/>
  <c r="T50" i="24"/>
  <c r="O45" i="24"/>
  <c r="U97" i="24"/>
  <c r="Z35" i="24"/>
  <c r="X35" i="24"/>
  <c r="W35" i="24"/>
  <c r="U35" i="24"/>
  <c r="S35" i="24"/>
  <c r="R35" i="24"/>
  <c r="Q35" i="24"/>
  <c r="P35" i="24"/>
  <c r="Y35" i="24"/>
  <c r="H895" i="14" l="1"/>
  <c r="F918" i="14"/>
  <c r="O278" i="24"/>
  <c r="O288" i="24" s="1"/>
  <c r="U359" i="24"/>
  <c r="H1260" i="14"/>
  <c r="H1261" i="14" s="1"/>
  <c r="K945" i="14"/>
  <c r="C873" i="14"/>
  <c r="C860" i="14" s="1"/>
  <c r="L201" i="24"/>
  <c r="C875" i="14" s="1"/>
  <c r="P45" i="24"/>
  <c r="P52" i="24"/>
  <c r="H887" i="14"/>
  <c r="J276" i="30"/>
  <c r="R338" i="24"/>
  <c r="T404" i="24"/>
  <c r="H1065" i="14"/>
  <c r="T397" i="24"/>
  <c r="J1039" i="14"/>
  <c r="H979" i="14"/>
  <c r="F1062" i="14"/>
  <c r="Q979" i="14"/>
  <c r="O1062" i="14"/>
  <c r="F979" i="14"/>
  <c r="D1062" i="14"/>
  <c r="E979" i="14"/>
  <c r="C1062" i="14"/>
  <c r="J979" i="14"/>
  <c r="H1062" i="14"/>
  <c r="M979" i="14"/>
  <c r="K1062" i="14"/>
  <c r="U177" i="25"/>
  <c r="L1008" i="14" s="1"/>
  <c r="Q38" i="24"/>
  <c r="Q52" i="24" s="1"/>
  <c r="G818" i="14"/>
  <c r="P49" i="24"/>
  <c r="G917" i="14"/>
  <c r="G819" i="14"/>
  <c r="F820" i="14"/>
  <c r="R330" i="24"/>
  <c r="I852" i="14" s="1"/>
  <c r="P133" i="24"/>
  <c r="P134" i="24" s="1"/>
  <c r="P286" i="24"/>
  <c r="V97" i="24"/>
  <c r="I895" i="14" l="1"/>
  <c r="C1266" i="14"/>
  <c r="F920" i="14"/>
  <c r="F922" i="14"/>
  <c r="D922" i="14"/>
  <c r="E922" i="14"/>
  <c r="G922" i="14"/>
  <c r="H922" i="14"/>
  <c r="O287" i="24"/>
  <c r="F919" i="14" s="1"/>
  <c r="V359" i="24"/>
  <c r="I1260" i="14"/>
  <c r="I1261" i="14" s="1"/>
  <c r="L945" i="14"/>
  <c r="I887" i="14"/>
  <c r="S338" i="24"/>
  <c r="V177" i="25"/>
  <c r="M1008" i="14" s="1"/>
  <c r="U397" i="24"/>
  <c r="K1039" i="14"/>
  <c r="U404" i="24"/>
  <c r="I1065" i="14"/>
  <c r="P287" i="24"/>
  <c r="G919" i="14" s="1"/>
  <c r="G918" i="14"/>
  <c r="G820" i="14"/>
  <c r="Q133" i="24"/>
  <c r="Q134" i="24" s="1"/>
  <c r="H917" i="14"/>
  <c r="H819" i="14"/>
  <c r="R38" i="24"/>
  <c r="H818" i="14"/>
  <c r="Q49" i="24"/>
  <c r="Q45" i="24"/>
  <c r="Q286" i="24"/>
  <c r="R286" i="24"/>
  <c r="P288" i="24"/>
  <c r="S330" i="24"/>
  <c r="J852" i="14" s="1"/>
  <c r="W97" i="24"/>
  <c r="J895" i="14" l="1"/>
  <c r="I922" i="14"/>
  <c r="S279" i="24"/>
  <c r="R52" i="24"/>
  <c r="W359" i="24"/>
  <c r="J1260" i="14"/>
  <c r="J1261" i="14" s="1"/>
  <c r="M945" i="14"/>
  <c r="J887" i="14"/>
  <c r="W177" i="25"/>
  <c r="N1008" i="14" s="1"/>
  <c r="T338" i="24"/>
  <c r="V404" i="24"/>
  <c r="J1065" i="14"/>
  <c r="V397" i="24"/>
  <c r="L1039" i="14"/>
  <c r="H820" i="14"/>
  <c r="S38" i="24"/>
  <c r="S52" i="24" s="1"/>
  <c r="I818" i="14"/>
  <c r="R134" i="24"/>
  <c r="R49" i="24"/>
  <c r="R45" i="24"/>
  <c r="R287" i="24"/>
  <c r="I919" i="14" s="1"/>
  <c r="I918" i="14"/>
  <c r="Q288" i="24"/>
  <c r="H918" i="14"/>
  <c r="R288" i="24"/>
  <c r="T330" i="24"/>
  <c r="K852" i="14" s="1"/>
  <c r="Q287" i="24"/>
  <c r="H919" i="14" s="1"/>
  <c r="X97" i="24"/>
  <c r="K895" i="14" l="1"/>
  <c r="T279" i="24"/>
  <c r="J922" i="14"/>
  <c r="X359" i="24"/>
  <c r="K1260" i="14"/>
  <c r="K1261" i="14" s="1"/>
  <c r="N945" i="14"/>
  <c r="I820" i="14"/>
  <c r="K887" i="14"/>
  <c r="X177" i="25"/>
  <c r="O1008" i="14" s="1"/>
  <c r="U338" i="24"/>
  <c r="W397" i="24"/>
  <c r="M1039" i="14"/>
  <c r="W404" i="24"/>
  <c r="K1065" i="14"/>
  <c r="T38" i="24"/>
  <c r="T52" i="24" s="1"/>
  <c r="J818" i="14"/>
  <c r="S49" i="24"/>
  <c r="S45" i="24"/>
  <c r="U330" i="24"/>
  <c r="L852" i="14" s="1"/>
  <c r="Y97" i="24"/>
  <c r="L895" i="14" l="1"/>
  <c r="U279" i="24"/>
  <c r="K922" i="14"/>
  <c r="Y359" i="24"/>
  <c r="L1260" i="14"/>
  <c r="L1261" i="14" s="1"/>
  <c r="O945" i="14"/>
  <c r="Y177" i="25"/>
  <c r="P1008" i="14" s="1"/>
  <c r="L887" i="14"/>
  <c r="V338" i="24"/>
  <c r="X404" i="24"/>
  <c r="L1065" i="14"/>
  <c r="X397" i="24"/>
  <c r="N1039" i="14"/>
  <c r="U38" i="24"/>
  <c r="U52" i="24" s="1"/>
  <c r="K818" i="14"/>
  <c r="T49" i="24"/>
  <c r="T45" i="24"/>
  <c r="V330" i="24"/>
  <c r="M852" i="14" s="1"/>
  <c r="Z97" i="24"/>
  <c r="M895" i="14" l="1"/>
  <c r="L922" i="14"/>
  <c r="V279" i="24"/>
  <c r="P945" i="14"/>
  <c r="M1260" i="14"/>
  <c r="M1261" i="14" s="1"/>
  <c r="N1261" i="14" s="1"/>
  <c r="Z177" i="25"/>
  <c r="Q1008" i="14" s="1"/>
  <c r="M887" i="14"/>
  <c r="W338" i="24"/>
  <c r="Y397" i="24"/>
  <c r="O1039" i="14"/>
  <c r="Y404" i="24"/>
  <c r="M1065" i="14"/>
  <c r="V38" i="24"/>
  <c r="V52" i="24" s="1"/>
  <c r="L818" i="14"/>
  <c r="U49" i="24"/>
  <c r="U45" i="24"/>
  <c r="W330" i="24"/>
  <c r="N852" i="14" s="1"/>
  <c r="BI155" i="18"/>
  <c r="N895" i="14" l="1"/>
  <c r="M922" i="14"/>
  <c r="W279" i="24"/>
  <c r="BI156" i="18"/>
  <c r="O241" i="30" s="1"/>
  <c r="O238" i="30"/>
  <c r="AO80" i="17"/>
  <c r="AO77" i="17" s="1"/>
  <c r="N887" i="14"/>
  <c r="X338" i="24"/>
  <c r="D759" i="14"/>
  <c r="E760" i="14" s="1"/>
  <c r="E771" i="14" s="1"/>
  <c r="BJ149" i="18"/>
  <c r="Z404" i="24"/>
  <c r="O1065" i="14" s="1"/>
  <c r="N1065" i="14"/>
  <c r="Z397" i="24"/>
  <c r="Q1039" i="14" s="1"/>
  <c r="P1039" i="14"/>
  <c r="W38" i="24"/>
  <c r="W52" i="24" s="1"/>
  <c r="M818" i="14"/>
  <c r="V49" i="24"/>
  <c r="V45" i="24"/>
  <c r="X330" i="24"/>
  <c r="O852" i="14" s="1"/>
  <c r="M416" i="25"/>
  <c r="O22" i="31"/>
  <c r="P22" i="31"/>
  <c r="Q22" i="31"/>
  <c r="R22" i="31"/>
  <c r="S22" i="31"/>
  <c r="O23" i="31"/>
  <c r="P23" i="31"/>
  <c r="Q23" i="31"/>
  <c r="R23" i="31"/>
  <c r="S23" i="31"/>
  <c r="O27" i="31"/>
  <c r="P27" i="31"/>
  <c r="Q27" i="31"/>
  <c r="R27" i="31"/>
  <c r="S27" i="31"/>
  <c r="O29" i="31"/>
  <c r="P29" i="31"/>
  <c r="Q29" i="31"/>
  <c r="R29" i="31"/>
  <c r="S29" i="31"/>
  <c r="O32" i="31"/>
  <c r="P32" i="31"/>
  <c r="Q32" i="31"/>
  <c r="R32" i="31"/>
  <c r="S32" i="31"/>
  <c r="O33" i="31"/>
  <c r="P33" i="31"/>
  <c r="Q33" i="31"/>
  <c r="R33" i="31"/>
  <c r="S33" i="31"/>
  <c r="D417" i="25"/>
  <c r="E417" i="25"/>
  <c r="F417" i="25"/>
  <c r="G417" i="25"/>
  <c r="H417" i="25"/>
  <c r="N417" i="25"/>
  <c r="O417" i="25"/>
  <c r="P417" i="25"/>
  <c r="Q417" i="25"/>
  <c r="R417" i="25"/>
  <c r="S417" i="25"/>
  <c r="T417" i="25"/>
  <c r="C417" i="25"/>
  <c r="P415" i="25"/>
  <c r="Q415" i="25" s="1"/>
  <c r="R415" i="25" s="1"/>
  <c r="S415" i="25" s="1"/>
  <c r="T415" i="25" s="1"/>
  <c r="H35" i="31"/>
  <c r="G35" i="31"/>
  <c r="F35" i="31"/>
  <c r="E35" i="31"/>
  <c r="D35" i="31"/>
  <c r="C35" i="31"/>
  <c r="F30" i="31"/>
  <c r="E30" i="31"/>
  <c r="D30" i="31"/>
  <c r="C30" i="31"/>
  <c r="H23" i="31"/>
  <c r="G23" i="31"/>
  <c r="E23" i="31"/>
  <c r="G22" i="31"/>
  <c r="AN68" i="17"/>
  <c r="AN42" i="17"/>
  <c r="AO62" i="17" s="1"/>
  <c r="AN36" i="17"/>
  <c r="AO56" i="17" s="1"/>
  <c r="AN35" i="17"/>
  <c r="AO55" i="17" s="1"/>
  <c r="AN34" i="17"/>
  <c r="AN29" i="17"/>
  <c r="AN21" i="17"/>
  <c r="AN20" i="17"/>
  <c r="AN40" i="17" s="1"/>
  <c r="AO60" i="17" s="1"/>
  <c r="AN18" i="17"/>
  <c r="AN38" i="17" s="1"/>
  <c r="AN11" i="17"/>
  <c r="AN31" i="17" s="1"/>
  <c r="AN10" i="17"/>
  <c r="AN30" i="17" s="1"/>
  <c r="AN5" i="17"/>
  <c r="AN69" i="17" s="1"/>
  <c r="O895" i="14" l="1"/>
  <c r="X279" i="24"/>
  <c r="N922" i="14"/>
  <c r="P236" i="30"/>
  <c r="AP78" i="17"/>
  <c r="O887" i="14"/>
  <c r="Y338" i="24"/>
  <c r="X38" i="24"/>
  <c r="X52" i="24" s="1"/>
  <c r="N818" i="14"/>
  <c r="W49" i="24"/>
  <c r="W45" i="24"/>
  <c r="Y330" i="24"/>
  <c r="P852" i="14" s="1"/>
  <c r="AN71" i="17"/>
  <c r="AN27" i="17"/>
  <c r="AN28" i="17" s="1"/>
  <c r="AN81" i="17"/>
  <c r="AN7" i="17"/>
  <c r="AN8" i="17" s="1"/>
  <c r="AN41" i="17"/>
  <c r="AO61" i="17" s="1"/>
  <c r="O69" i="30"/>
  <c r="O67" i="30"/>
  <c r="O66" i="30"/>
  <c r="O100" i="30"/>
  <c r="O99" i="30"/>
  <c r="O98" i="30"/>
  <c r="O97" i="30"/>
  <c r="O96" i="30"/>
  <c r="O170" i="30"/>
  <c r="O168" i="30"/>
  <c r="BL166" i="18"/>
  <c r="BK166" i="18"/>
  <c r="BJ166" i="18"/>
  <c r="BI166" i="18"/>
  <c r="BI176" i="18"/>
  <c r="BI175" i="18"/>
  <c r="BI174" i="18"/>
  <c r="BI16" i="18"/>
  <c r="BI139" i="18"/>
  <c r="BI138" i="18"/>
  <c r="BL137" i="18"/>
  <c r="BK137" i="18"/>
  <c r="BJ137" i="18"/>
  <c r="BI137" i="18"/>
  <c r="BI134" i="18"/>
  <c r="BI132" i="18"/>
  <c r="BI95" i="18"/>
  <c r="O169" i="30" s="1"/>
  <c r="BI87" i="18"/>
  <c r="BI74" i="18"/>
  <c r="BI79" i="18" s="1"/>
  <c r="BE88" i="18"/>
  <c r="BF88" i="18" s="1"/>
  <c r="EE2" i="18"/>
  <c r="EE55" i="18" s="1"/>
  <c r="EH146" i="18"/>
  <c r="EG146" i="18"/>
  <c r="EF146" i="18"/>
  <c r="EG145" i="18"/>
  <c r="EG144" i="18"/>
  <c r="EF144" i="18"/>
  <c r="EE144" i="18"/>
  <c r="EG143" i="18"/>
  <c r="EF143" i="18"/>
  <c r="EE143" i="18"/>
  <c r="EG142" i="18"/>
  <c r="EF142" i="18"/>
  <c r="EE142" i="18"/>
  <c r="EG127" i="18"/>
  <c r="EF127" i="18"/>
  <c r="EE127" i="18"/>
  <c r="EH120" i="18"/>
  <c r="EG120" i="18"/>
  <c r="EF120" i="18"/>
  <c r="EE120" i="18"/>
  <c r="EH116" i="18"/>
  <c r="EG116" i="18"/>
  <c r="EF116" i="18"/>
  <c r="EE116" i="18"/>
  <c r="EH112" i="18"/>
  <c r="EG112" i="18"/>
  <c r="EF112" i="18"/>
  <c r="EE112" i="18"/>
  <c r="EH111" i="18"/>
  <c r="EG111" i="18"/>
  <c r="EF111" i="18"/>
  <c r="EE111" i="18"/>
  <c r="EH110" i="18"/>
  <c r="EG110" i="18"/>
  <c r="EF110" i="18"/>
  <c r="EE110" i="18"/>
  <c r="EH109" i="18"/>
  <c r="EG109" i="18"/>
  <c r="EF109" i="18"/>
  <c r="EE109" i="18"/>
  <c r="EH105" i="18"/>
  <c r="EG105" i="18"/>
  <c r="EF105" i="18"/>
  <c r="EE105" i="18"/>
  <c r="EH101" i="18"/>
  <c r="EG101" i="18"/>
  <c r="EF101" i="18"/>
  <c r="EE101" i="18"/>
  <c r="EH100" i="18"/>
  <c r="EG100" i="18"/>
  <c r="EF100" i="18"/>
  <c r="EE100" i="18"/>
  <c r="EH99" i="18"/>
  <c r="EG99" i="18"/>
  <c r="EF99" i="18"/>
  <c r="EE99" i="18"/>
  <c r="EG96" i="18"/>
  <c r="EF96" i="18"/>
  <c r="EE96" i="18"/>
  <c r="EH91" i="18"/>
  <c r="EG91" i="18"/>
  <c r="EF91" i="18"/>
  <c r="EE91" i="18"/>
  <c r="EH90" i="18"/>
  <c r="EG90" i="18"/>
  <c r="EF90" i="18"/>
  <c r="EE90" i="18"/>
  <c r="EH89" i="18"/>
  <c r="EG89" i="18"/>
  <c r="EF89" i="18"/>
  <c r="EE89" i="18"/>
  <c r="EG86" i="18"/>
  <c r="K277" i="30" s="1"/>
  <c r="EH85" i="18"/>
  <c r="EG85" i="18"/>
  <c r="EF85" i="18"/>
  <c r="EE85" i="18"/>
  <c r="EH84" i="18"/>
  <c r="EG84" i="18"/>
  <c r="EF84" i="18"/>
  <c r="EE84" i="18"/>
  <c r="EH83" i="18"/>
  <c r="EG83" i="18"/>
  <c r="EF83" i="18"/>
  <c r="EE83" i="18"/>
  <c r="EH78" i="18"/>
  <c r="EG78" i="18"/>
  <c r="EF78" i="18"/>
  <c r="EE78" i="18"/>
  <c r="EH77" i="18"/>
  <c r="EG77" i="18"/>
  <c r="EF77" i="18"/>
  <c r="EE77" i="18"/>
  <c r="EG76" i="18"/>
  <c r="EF76" i="18"/>
  <c r="EE76" i="18"/>
  <c r="EG73" i="18"/>
  <c r="EF73" i="18"/>
  <c r="EE73" i="18"/>
  <c r="EG72" i="18"/>
  <c r="EF72" i="18"/>
  <c r="EE72" i="18"/>
  <c r="EG65" i="18"/>
  <c r="Q106" i="30" s="1"/>
  <c r="EF65" i="18"/>
  <c r="P106" i="30" s="1"/>
  <c r="EE65" i="18"/>
  <c r="O106" i="30" s="1"/>
  <c r="EG64" i="18"/>
  <c r="Q105" i="30" s="1"/>
  <c r="EF64" i="18"/>
  <c r="P105" i="30" s="1"/>
  <c r="EE64" i="18"/>
  <c r="O105" i="30" s="1"/>
  <c r="EG63" i="18"/>
  <c r="Q104" i="30" s="1"/>
  <c r="EF63" i="18"/>
  <c r="P104" i="30" s="1"/>
  <c r="EE63" i="18"/>
  <c r="O104" i="30" s="1"/>
  <c r="EG62" i="18"/>
  <c r="Q103" i="30" s="1"/>
  <c r="EF62" i="18"/>
  <c r="P103" i="30" s="1"/>
  <c r="EE62" i="18"/>
  <c r="O103" i="30" s="1"/>
  <c r="EH51" i="18"/>
  <c r="EG51" i="18"/>
  <c r="EF51" i="18"/>
  <c r="EE51" i="18"/>
  <c r="EH50" i="18"/>
  <c r="EG50" i="18"/>
  <c r="Q73" i="30" s="1"/>
  <c r="EF50" i="18"/>
  <c r="P73" i="30" s="1"/>
  <c r="EE50" i="18"/>
  <c r="O73" i="30" s="1"/>
  <c r="EH49" i="18"/>
  <c r="EG49" i="18"/>
  <c r="Q72" i="30" s="1"/>
  <c r="EF49" i="18"/>
  <c r="P72" i="30" s="1"/>
  <c r="EE49" i="18"/>
  <c r="O72" i="30" s="1"/>
  <c r="EG23" i="18"/>
  <c r="EF23" i="18"/>
  <c r="EE23" i="18"/>
  <c r="EG20" i="18"/>
  <c r="EF20" i="18"/>
  <c r="EE20" i="18"/>
  <c r="EG19" i="18"/>
  <c r="EF19" i="18"/>
  <c r="EE19" i="18"/>
  <c r="EG15" i="18"/>
  <c r="EF15" i="18"/>
  <c r="EH9" i="18"/>
  <c r="EG9" i="18"/>
  <c r="EF9" i="18"/>
  <c r="EE9" i="18"/>
  <c r="EH5" i="18"/>
  <c r="EG5" i="18"/>
  <c r="EF5" i="18"/>
  <c r="EE5" i="18"/>
  <c r="EH2" i="18"/>
  <c r="EH55" i="18" s="1"/>
  <c r="EG2" i="18"/>
  <c r="EG55" i="18" s="1"/>
  <c r="EF2" i="18"/>
  <c r="EF55" i="18" s="1"/>
  <c r="P895" i="14" l="1"/>
  <c r="Y279" i="24"/>
  <c r="O922" i="14"/>
  <c r="D763" i="14"/>
  <c r="O225" i="30"/>
  <c r="D762" i="14"/>
  <c r="O224" i="30"/>
  <c r="O223" i="30" s="1"/>
  <c r="P887" i="14"/>
  <c r="Z338" i="24"/>
  <c r="Y38" i="24"/>
  <c r="Y302" i="24" s="1"/>
  <c r="O818" i="14"/>
  <c r="X49" i="24"/>
  <c r="X45" i="24"/>
  <c r="Z330" i="24"/>
  <c r="Q852" i="14" s="1"/>
  <c r="BI140" i="18"/>
  <c r="O226" i="30" s="1"/>
  <c r="O231" i="30" s="1"/>
  <c r="BI82" i="18"/>
  <c r="I275" i="30" s="1"/>
  <c r="BI80" i="18"/>
  <c r="AN6" i="17"/>
  <c r="AN26" i="17" s="1"/>
  <c r="AN25" i="17" s="1"/>
  <c r="BI21" i="18"/>
  <c r="BL4" i="18"/>
  <c r="EH4" i="18" s="1"/>
  <c r="BK4" i="18"/>
  <c r="EG4" i="18" s="1"/>
  <c r="BJ4" i="18"/>
  <c r="EF4" i="18" s="1"/>
  <c r="BI4" i="18"/>
  <c r="EE4" i="18" s="1"/>
  <c r="Y52" i="24" l="1"/>
  <c r="P922" i="14"/>
  <c r="Z279" i="24"/>
  <c r="Q922" i="14" s="1"/>
  <c r="BI29" i="18"/>
  <c r="O38" i="30"/>
  <c r="BI44" i="18"/>
  <c r="BJ168" i="18"/>
  <c r="Q887" i="14"/>
  <c r="Q895" i="14"/>
  <c r="I276" i="30"/>
  <c r="BJ39" i="18"/>
  <c r="Y303" i="24"/>
  <c r="Z303" i="24" s="1"/>
  <c r="Y301" i="24"/>
  <c r="Z301" i="24" s="1"/>
  <c r="U302" i="24"/>
  <c r="V302" i="24" s="1"/>
  <c r="W302" i="24" s="1"/>
  <c r="X302" i="24" s="1"/>
  <c r="Z38" i="24"/>
  <c r="P818" i="14"/>
  <c r="Y49" i="24"/>
  <c r="Y45" i="24"/>
  <c r="BJ24" i="18"/>
  <c r="EF21" i="18"/>
  <c r="AN19" i="17"/>
  <c r="BI24" i="18"/>
  <c r="EE21" i="18"/>
  <c r="AM75" i="17"/>
  <c r="AM74" i="17"/>
  <c r="AM73" i="17"/>
  <c r="AM68" i="17"/>
  <c r="AM42" i="17"/>
  <c r="AN62" i="17" s="1"/>
  <c r="AM36" i="17"/>
  <c r="AN56" i="17" s="1"/>
  <c r="AM35" i="17"/>
  <c r="AN55" i="17" s="1"/>
  <c r="AM34" i="17"/>
  <c r="AM29" i="17"/>
  <c r="AM21" i="17"/>
  <c r="AM41" i="17" s="1"/>
  <c r="AN61" i="17" s="1"/>
  <c r="AM20" i="17"/>
  <c r="AM19" i="17"/>
  <c r="AM39" i="17" s="1"/>
  <c r="AM18" i="17"/>
  <c r="AM11" i="17"/>
  <c r="AM31" i="17" s="1"/>
  <c r="AM10" i="17"/>
  <c r="D555" i="14"/>
  <c r="E555" i="14" s="1"/>
  <c r="N170" i="30"/>
  <c r="N168" i="30"/>
  <c r="M168" i="30"/>
  <c r="L168" i="30"/>
  <c r="M170" i="30"/>
  <c r="L170" i="30"/>
  <c r="K170" i="30"/>
  <c r="F740" i="14"/>
  <c r="E740" i="14"/>
  <c r="D740" i="14"/>
  <c r="C740" i="14"/>
  <c r="F739" i="14"/>
  <c r="E739" i="14"/>
  <c r="D739" i="14"/>
  <c r="C739" i="14"/>
  <c r="F733" i="14"/>
  <c r="E733" i="14"/>
  <c r="D733" i="14"/>
  <c r="C733" i="14"/>
  <c r="F735" i="14"/>
  <c r="E735" i="14"/>
  <c r="D735" i="14"/>
  <c r="C735" i="14"/>
  <c r="F736" i="14"/>
  <c r="E736" i="14"/>
  <c r="D736" i="14"/>
  <c r="C736" i="14"/>
  <c r="M710" i="14"/>
  <c r="M721" i="14" s="1"/>
  <c r="L710" i="14"/>
  <c r="L721" i="14" s="1"/>
  <c r="K710" i="14"/>
  <c r="K721" i="14" s="1"/>
  <c r="J710" i="14"/>
  <c r="J721" i="14" s="1"/>
  <c r="I710" i="14"/>
  <c r="I721" i="14" s="1"/>
  <c r="H710" i="14"/>
  <c r="H721" i="14" s="1"/>
  <c r="G710" i="14"/>
  <c r="G721" i="14" s="1"/>
  <c r="F670" i="14"/>
  <c r="C580" i="14"/>
  <c r="C588" i="14"/>
  <c r="BM142" i="18"/>
  <c r="BL142" i="18" s="1"/>
  <c r="EH142" i="18" s="1"/>
  <c r="D509" i="14"/>
  <c r="W509" i="14" s="1"/>
  <c r="F664" i="14"/>
  <c r="E664" i="14"/>
  <c r="D664" i="14"/>
  <c r="C664" i="14"/>
  <c r="F662" i="14"/>
  <c r="E662" i="14"/>
  <c r="I276" i="24"/>
  <c r="BH154" i="18"/>
  <c r="BH153" i="18"/>
  <c r="BH144" i="18"/>
  <c r="BH143" i="18"/>
  <c r="AN74" i="17" s="1"/>
  <c r="BH142" i="18"/>
  <c r="BH76" i="18"/>
  <c r="M240" i="24" s="1"/>
  <c r="BH73" i="18"/>
  <c r="M221" i="24" s="1"/>
  <c r="M37" i="25" s="1"/>
  <c r="BH72" i="18"/>
  <c r="M219" i="24" s="1"/>
  <c r="M35" i="25" s="1"/>
  <c r="BH65" i="18"/>
  <c r="M185" i="24" s="1"/>
  <c r="M8" i="25" s="1"/>
  <c r="BH64" i="18"/>
  <c r="M183" i="24" s="1"/>
  <c r="BH63" i="18"/>
  <c r="M181" i="24" s="1"/>
  <c r="BH62" i="18"/>
  <c r="M179" i="24" s="1"/>
  <c r="M149" i="24"/>
  <c r="AB61" i="16" s="1"/>
  <c r="M148" i="24"/>
  <c r="M147" i="24"/>
  <c r="M158" i="24" s="1"/>
  <c r="D864" i="14" s="1"/>
  <c r="M95" i="24"/>
  <c r="M55" i="24"/>
  <c r="BG155" i="18"/>
  <c r="BG95" i="18"/>
  <c r="N99" i="30"/>
  <c r="N98" i="30"/>
  <c r="M99" i="30"/>
  <c r="M98" i="30"/>
  <c r="M97" i="30"/>
  <c r="M96" i="30"/>
  <c r="L99" i="30"/>
  <c r="L98" i="30"/>
  <c r="L97" i="30"/>
  <c r="L96" i="30"/>
  <c r="K99" i="30"/>
  <c r="K98" i="30"/>
  <c r="K97" i="30"/>
  <c r="K96" i="30"/>
  <c r="N69" i="30"/>
  <c r="N67" i="30"/>
  <c r="N66" i="30"/>
  <c r="N128" i="30"/>
  <c r="N167" i="30" s="1"/>
  <c r="BF17" i="18"/>
  <c r="C559" i="14"/>
  <c r="D559" i="14" s="1"/>
  <c r="E559" i="14" s="1"/>
  <c r="C558" i="14"/>
  <c r="D558" i="14" s="1"/>
  <c r="E558" i="14" s="1"/>
  <c r="AL68" i="17"/>
  <c r="AF68" i="17"/>
  <c r="AG68" i="17"/>
  <c r="AH68" i="17"/>
  <c r="AI68" i="17"/>
  <c r="AJ68" i="17"/>
  <c r="AK68" i="17"/>
  <c r="AL42" i="17"/>
  <c r="AM62" i="17" s="1"/>
  <c r="AL36" i="17"/>
  <c r="AM56" i="17" s="1"/>
  <c r="AL35" i="17"/>
  <c r="AM55" i="17" s="1"/>
  <c r="AL34" i="17"/>
  <c r="AP54" i="17" s="1"/>
  <c r="AL29" i="17"/>
  <c r="AP49" i="17" s="1"/>
  <c r="AL21" i="17"/>
  <c r="AL41" i="17" s="1"/>
  <c r="AL20" i="17"/>
  <c r="AL40" i="17" s="1"/>
  <c r="AL19" i="17"/>
  <c r="AL18" i="17"/>
  <c r="AL7" i="17" s="1"/>
  <c r="AL8" i="17" s="1"/>
  <c r="AL10" i="17"/>
  <c r="AL75" i="17"/>
  <c r="AL74" i="17"/>
  <c r="AL73" i="17"/>
  <c r="K503" i="14"/>
  <c r="J503" i="14"/>
  <c r="I503" i="14"/>
  <c r="AB503" i="14" s="1"/>
  <c r="H503" i="14"/>
  <c r="AA503" i="14" s="1"/>
  <c r="G503" i="14"/>
  <c r="Z503" i="14" s="1"/>
  <c r="F503" i="14"/>
  <c r="Y503" i="14" s="1"/>
  <c r="E503" i="14"/>
  <c r="X503" i="14" s="1"/>
  <c r="M653" i="14"/>
  <c r="M659" i="14" s="1"/>
  <c r="Q604" i="14"/>
  <c r="D655" i="14"/>
  <c r="D658" i="14"/>
  <c r="B652" i="14"/>
  <c r="B651" i="14"/>
  <c r="B650" i="14"/>
  <c r="B649" i="14"/>
  <c r="O604" i="14"/>
  <c r="N604" i="14"/>
  <c r="M604" i="14"/>
  <c r="L604" i="14"/>
  <c r="K604" i="14"/>
  <c r="J604" i="14"/>
  <c r="I603" i="14"/>
  <c r="I605" i="14" s="1"/>
  <c r="E603" i="14"/>
  <c r="E605" i="14" s="1"/>
  <c r="D603" i="14"/>
  <c r="D605" i="14" s="1"/>
  <c r="J603" i="14"/>
  <c r="C551" i="14"/>
  <c r="C541" i="14"/>
  <c r="C540" i="14"/>
  <c r="K505" i="14"/>
  <c r="K500" i="14"/>
  <c r="T7" i="29" s="1"/>
  <c r="D535" i="14"/>
  <c r="E535" i="14" s="1"/>
  <c r="F535" i="14" s="1"/>
  <c r="G535" i="14" s="1"/>
  <c r="H535" i="14" s="1"/>
  <c r="I535" i="14" s="1"/>
  <c r="J535" i="14" s="1"/>
  <c r="W491" i="14"/>
  <c r="X491" i="14" s="1"/>
  <c r="Y491" i="14" s="1"/>
  <c r="Z491" i="14" s="1"/>
  <c r="AA491" i="14" s="1"/>
  <c r="AB491" i="14" s="1"/>
  <c r="D598" i="14"/>
  <c r="C598" i="14"/>
  <c r="D587" i="14"/>
  <c r="C587" i="14"/>
  <c r="D588" i="14"/>
  <c r="D589" i="14" s="1"/>
  <c r="D579" i="14"/>
  <c r="C579" i="14"/>
  <c r="O170" i="25"/>
  <c r="P170" i="25" s="1"/>
  <c r="Q170" i="25" s="1"/>
  <c r="R170" i="25" s="1"/>
  <c r="T170" i="25" s="1"/>
  <c r="U170" i="25" s="1"/>
  <c r="V170" i="25" s="1"/>
  <c r="W170" i="25" s="1"/>
  <c r="X170" i="25" s="1"/>
  <c r="Y170" i="25" s="1"/>
  <c r="Z170" i="25" s="1"/>
  <c r="O180" i="25"/>
  <c r="D580" i="14"/>
  <c r="J505" i="14"/>
  <c r="J500" i="14"/>
  <c r="S7" i="29" s="1"/>
  <c r="D520" i="14"/>
  <c r="E520" i="14" s="1"/>
  <c r="F520" i="14" s="1"/>
  <c r="G520" i="14" s="1"/>
  <c r="H520" i="14" s="1"/>
  <c r="I520" i="14" s="1"/>
  <c r="M180" i="25"/>
  <c r="I500" i="14"/>
  <c r="R7" i="29" s="1"/>
  <c r="H500" i="14"/>
  <c r="Q7" i="29" s="1"/>
  <c r="G500" i="14"/>
  <c r="P7" i="29" s="1"/>
  <c r="F500" i="14"/>
  <c r="O7" i="29" s="1"/>
  <c r="E500" i="14"/>
  <c r="N7" i="29" s="1"/>
  <c r="I505" i="14"/>
  <c r="AB505" i="14" s="1"/>
  <c r="H505" i="14"/>
  <c r="AA505" i="14" s="1"/>
  <c r="G505" i="14"/>
  <c r="Z505" i="14" s="1"/>
  <c r="F505" i="14"/>
  <c r="Y505" i="14" s="1"/>
  <c r="D505" i="14"/>
  <c r="W505" i="14" s="1"/>
  <c r="C505" i="14"/>
  <c r="V505" i="14" s="1"/>
  <c r="BE155" i="18"/>
  <c r="BF155" i="18"/>
  <c r="BF66" i="18"/>
  <c r="M69" i="30"/>
  <c r="M67" i="30"/>
  <c r="M66" i="30"/>
  <c r="M128" i="30"/>
  <c r="M167" i="30" s="1"/>
  <c r="AK74" i="17"/>
  <c r="AK73" i="17"/>
  <c r="AK42" i="17"/>
  <c r="AL62" i="17" s="1"/>
  <c r="AK36" i="17"/>
  <c r="AL56" i="17" s="1"/>
  <c r="AK35" i="17"/>
  <c r="AL55" i="17" s="1"/>
  <c r="AK34" i="17"/>
  <c r="AO54" i="17" s="1"/>
  <c r="AK29" i="17"/>
  <c r="AO49" i="17" s="1"/>
  <c r="AK21" i="17"/>
  <c r="AK41" i="17" s="1"/>
  <c r="AK20" i="17"/>
  <c r="AK19" i="17"/>
  <c r="AK39" i="17" s="1"/>
  <c r="AK18" i="17"/>
  <c r="AK10" i="17"/>
  <c r="AK30" i="17" s="1"/>
  <c r="AO50" i="17" s="1"/>
  <c r="EB76" i="18"/>
  <c r="EA76" i="18"/>
  <c r="BE33" i="18"/>
  <c r="BB33" i="18"/>
  <c r="BA33" i="18"/>
  <c r="AZ33" i="18"/>
  <c r="AW33" i="18"/>
  <c r="AV33" i="18"/>
  <c r="AU33" i="18"/>
  <c r="BE32" i="18"/>
  <c r="BB32" i="18"/>
  <c r="BA32" i="18"/>
  <c r="AZ32" i="18"/>
  <c r="AW32" i="18"/>
  <c r="AV32" i="18"/>
  <c r="AU32" i="18"/>
  <c r="BE145" i="18"/>
  <c r="EF145" i="18" s="1"/>
  <c r="L233" i="30"/>
  <c r="L232" i="30"/>
  <c r="L230" i="30"/>
  <c r="L229" i="30"/>
  <c r="L221" i="30"/>
  <c r="K221" i="30"/>
  <c r="K232" i="30"/>
  <c r="K230" i="30"/>
  <c r="K229" i="30"/>
  <c r="L69" i="30"/>
  <c r="L67" i="30"/>
  <c r="L66" i="30"/>
  <c r="K69" i="30"/>
  <c r="K67" i="30"/>
  <c r="K66" i="30"/>
  <c r="BE95" i="18"/>
  <c r="BE66" i="18"/>
  <c r="F272" i="30" s="1"/>
  <c r="J280" i="30" s="1"/>
  <c r="BD66" i="18"/>
  <c r="L4" i="30"/>
  <c r="K4" i="30"/>
  <c r="L3" i="30"/>
  <c r="K3" i="30"/>
  <c r="DZ76" i="18"/>
  <c r="DX76" i="18"/>
  <c r="DW76" i="18"/>
  <c r="DU76" i="18"/>
  <c r="F21" i="17"/>
  <c r="E21" i="17"/>
  <c r="D21" i="17"/>
  <c r="D41" i="17" s="1"/>
  <c r="G21" i="17"/>
  <c r="G41" i="17" s="1"/>
  <c r="J21" i="17"/>
  <c r="J41" i="17" s="1"/>
  <c r="I21" i="17"/>
  <c r="H21" i="17"/>
  <c r="H41" i="17" s="1"/>
  <c r="K21" i="17"/>
  <c r="K41" i="17" s="1"/>
  <c r="N21" i="17"/>
  <c r="N41" i="17" s="1"/>
  <c r="M21" i="17"/>
  <c r="M41" i="17" s="1"/>
  <c r="L21" i="17"/>
  <c r="L41" i="17" s="1"/>
  <c r="O21" i="17"/>
  <c r="O41" i="17" s="1"/>
  <c r="R21" i="17"/>
  <c r="R41" i="17" s="1"/>
  <c r="Q21" i="17"/>
  <c r="P21" i="17"/>
  <c r="P41" i="17" s="1"/>
  <c r="S21" i="17"/>
  <c r="S41" i="17" s="1"/>
  <c r="V21" i="17"/>
  <c r="V41" i="17" s="1"/>
  <c r="U21" i="17"/>
  <c r="U41" i="17" s="1"/>
  <c r="T21" i="17"/>
  <c r="T41" i="17" s="1"/>
  <c r="W21" i="17"/>
  <c r="Z21" i="17"/>
  <c r="Z41" i="17" s="1"/>
  <c r="Y21" i="17"/>
  <c r="Y41" i="17" s="1"/>
  <c r="X21" i="17"/>
  <c r="X41" i="17" s="1"/>
  <c r="AA21" i="17"/>
  <c r="AA41" i="17" s="1"/>
  <c r="AD21" i="17"/>
  <c r="AD41" i="17" s="1"/>
  <c r="AC21" i="17"/>
  <c r="AC41" i="17" s="1"/>
  <c r="AB21" i="17"/>
  <c r="AB41" i="17" s="1"/>
  <c r="AE21" i="17"/>
  <c r="AE41" i="17" s="1"/>
  <c r="AH21" i="17"/>
  <c r="AG21" i="17"/>
  <c r="AG41" i="17" s="1"/>
  <c r="AF21" i="17"/>
  <c r="AF41" i="17" s="1"/>
  <c r="AJ21" i="17"/>
  <c r="AJ41" i="17" s="1"/>
  <c r="BD16" i="18"/>
  <c r="BD155" i="18"/>
  <c r="BD145" i="18"/>
  <c r="BD131" i="18"/>
  <c r="AJ74" i="17"/>
  <c r="AJ73" i="17"/>
  <c r="BD92" i="18"/>
  <c r="EE92" i="18" s="1"/>
  <c r="AJ20" i="17"/>
  <c r="AJ40" i="17" s="1"/>
  <c r="AJ19" i="17"/>
  <c r="AJ39" i="17" s="1"/>
  <c r="AJ18" i="17"/>
  <c r="AJ7" i="17" s="1"/>
  <c r="AJ42" i="17"/>
  <c r="AK62" i="17" s="1"/>
  <c r="AJ36" i="17"/>
  <c r="AK56" i="17" s="1"/>
  <c r="AJ35" i="17"/>
  <c r="AK55" i="17" s="1"/>
  <c r="AJ34" i="17"/>
  <c r="AN54" i="17" s="1"/>
  <c r="AJ29" i="17"/>
  <c r="AN49" i="17" s="1"/>
  <c r="BC154" i="18"/>
  <c r="L174" i="25" s="1"/>
  <c r="C1006" i="14" s="1"/>
  <c r="BC153" i="18"/>
  <c r="L173" i="25" s="1"/>
  <c r="AB95" i="17" s="1"/>
  <c r="BD146" i="18"/>
  <c r="BH146" i="18" s="1"/>
  <c r="M133" i="25" s="1"/>
  <c r="D994" i="14" s="1"/>
  <c r="E26" i="29"/>
  <c r="AK274" i="24"/>
  <c r="AK273" i="24" s="1"/>
  <c r="AJ274" i="24"/>
  <c r="J28" i="30"/>
  <c r="D238" i="30"/>
  <c r="D241" i="30"/>
  <c r="C241" i="30"/>
  <c r="C238" i="30"/>
  <c r="J233" i="30"/>
  <c r="H233" i="30"/>
  <c r="G233" i="30"/>
  <c r="D233" i="30"/>
  <c r="C233" i="30"/>
  <c r="J228" i="30"/>
  <c r="D228" i="30"/>
  <c r="C228" i="30"/>
  <c r="J232" i="30"/>
  <c r="G232" i="30"/>
  <c r="D232" i="30"/>
  <c r="C232" i="30"/>
  <c r="J230" i="30"/>
  <c r="G230" i="30"/>
  <c r="D230" i="30"/>
  <c r="C230" i="30"/>
  <c r="J229" i="30"/>
  <c r="G229" i="30"/>
  <c r="D229" i="30"/>
  <c r="C229" i="30"/>
  <c r="B225" i="30"/>
  <c r="B226" i="30"/>
  <c r="B229" i="30"/>
  <c r="B230" i="30"/>
  <c r="B232" i="30"/>
  <c r="B233" i="30"/>
  <c r="B235" i="30"/>
  <c r="B236" i="30"/>
  <c r="B224" i="30"/>
  <c r="G195" i="30"/>
  <c r="C195" i="30"/>
  <c r="G141" i="30"/>
  <c r="G142" i="30"/>
  <c r="C142" i="30"/>
  <c r="C141" i="30"/>
  <c r="I4" i="30"/>
  <c r="H4" i="30"/>
  <c r="G4" i="30"/>
  <c r="F4" i="30"/>
  <c r="E4" i="30"/>
  <c r="D4" i="30"/>
  <c r="C4" i="30"/>
  <c r="EK102" i="18"/>
  <c r="EJ102" i="18"/>
  <c r="EI102" i="18"/>
  <c r="EK101" i="18"/>
  <c r="EJ101" i="18"/>
  <c r="EI101" i="18"/>
  <c r="DZ101" i="18"/>
  <c r="EK100" i="18"/>
  <c r="EJ100" i="18"/>
  <c r="EI100" i="18"/>
  <c r="DZ100" i="18"/>
  <c r="DU100" i="18"/>
  <c r="EK99" i="18"/>
  <c r="EJ99" i="18"/>
  <c r="EI99" i="18"/>
  <c r="DZ99" i="18"/>
  <c r="DU99" i="18"/>
  <c r="AI42" i="17"/>
  <c r="AJ62" i="17" s="1"/>
  <c r="AI36" i="17"/>
  <c r="AJ56" i="17" s="1"/>
  <c r="AI35" i="17"/>
  <c r="AJ55" i="17" s="1"/>
  <c r="AI34" i="17"/>
  <c r="AM54" i="17" s="1"/>
  <c r="AI29" i="17"/>
  <c r="AM49" i="17" s="1"/>
  <c r="AI18" i="17"/>
  <c r="AI7" i="17" s="1"/>
  <c r="AI11" i="17"/>
  <c r="AI31" i="17" s="1"/>
  <c r="AI10" i="17"/>
  <c r="AI81" i="17" s="1"/>
  <c r="AI70" i="17" s="1"/>
  <c r="AI75" i="17"/>
  <c r="AI74" i="17"/>
  <c r="AI73" i="17"/>
  <c r="G170" i="30"/>
  <c r="C170" i="30"/>
  <c r="B170" i="30"/>
  <c r="B169" i="30"/>
  <c r="B168" i="30"/>
  <c r="J196" i="30"/>
  <c r="B100" i="30"/>
  <c r="G131" i="30"/>
  <c r="G130" i="30"/>
  <c r="G129" i="30"/>
  <c r="B132" i="30"/>
  <c r="F138" i="30" s="1"/>
  <c r="B131" i="30"/>
  <c r="F137" i="30" s="1"/>
  <c r="C130" i="30"/>
  <c r="B130" i="30"/>
  <c r="F136" i="30" s="1"/>
  <c r="C129" i="30"/>
  <c r="B129" i="30"/>
  <c r="F135" i="30" s="1"/>
  <c r="F105" i="30"/>
  <c r="E105" i="30"/>
  <c r="D105" i="30"/>
  <c r="C105" i="30"/>
  <c r="J99" i="30"/>
  <c r="I99" i="30"/>
  <c r="H99" i="30"/>
  <c r="G99" i="30"/>
  <c r="F99" i="30"/>
  <c r="E99" i="30"/>
  <c r="D99" i="30"/>
  <c r="J98" i="30"/>
  <c r="I98" i="30"/>
  <c r="H98" i="30"/>
  <c r="G98" i="30"/>
  <c r="F98" i="30"/>
  <c r="E98" i="30"/>
  <c r="D98" i="30"/>
  <c r="J97" i="30"/>
  <c r="I97" i="30"/>
  <c r="H97" i="30"/>
  <c r="G97" i="30"/>
  <c r="F97" i="30"/>
  <c r="E97" i="30"/>
  <c r="D97" i="30"/>
  <c r="J96" i="30"/>
  <c r="I96" i="30"/>
  <c r="H96" i="30"/>
  <c r="G96" i="30"/>
  <c r="F96" i="30"/>
  <c r="E96" i="30"/>
  <c r="D96" i="30"/>
  <c r="C99" i="30"/>
  <c r="C98" i="30"/>
  <c r="C97" i="30"/>
  <c r="B99" i="30"/>
  <c r="B106" i="30" s="1"/>
  <c r="B98" i="30"/>
  <c r="B105" i="30" s="1"/>
  <c r="B97" i="30"/>
  <c r="B104" i="30" s="1"/>
  <c r="C96" i="30"/>
  <c r="B96" i="30"/>
  <c r="B103" i="30" s="1"/>
  <c r="J69" i="30"/>
  <c r="J67" i="30"/>
  <c r="J66" i="30"/>
  <c r="D66" i="30"/>
  <c r="E66" i="30"/>
  <c r="F66" i="30"/>
  <c r="G66" i="30"/>
  <c r="H66" i="30"/>
  <c r="I66" i="30"/>
  <c r="D67" i="30"/>
  <c r="E67" i="30"/>
  <c r="F67" i="30"/>
  <c r="G67" i="30"/>
  <c r="H67" i="30"/>
  <c r="I67" i="30"/>
  <c r="D69" i="30"/>
  <c r="E69" i="30"/>
  <c r="F69" i="30"/>
  <c r="G69" i="30"/>
  <c r="H69" i="30"/>
  <c r="I69" i="30"/>
  <c r="C67" i="30"/>
  <c r="C69" i="30"/>
  <c r="C66" i="30"/>
  <c r="B73" i="30"/>
  <c r="B69" i="30"/>
  <c r="B74" i="30" s="1"/>
  <c r="B72" i="30"/>
  <c r="I128" i="30"/>
  <c r="I134" i="30" s="1"/>
  <c r="J128" i="30"/>
  <c r="D3" i="30"/>
  <c r="E128" i="30"/>
  <c r="F128" i="30"/>
  <c r="G128" i="30"/>
  <c r="G167" i="30" s="1"/>
  <c r="H128" i="30"/>
  <c r="C3" i="30"/>
  <c r="BO95" i="18"/>
  <c r="BN95" i="18"/>
  <c r="BM95" i="18"/>
  <c r="C17" i="25"/>
  <c r="C416" i="25" s="1"/>
  <c r="C418" i="25" s="1"/>
  <c r="D17" i="25"/>
  <c r="E17" i="25"/>
  <c r="F17" i="25"/>
  <c r="F416" i="25" s="1"/>
  <c r="F418" i="25" s="1"/>
  <c r="E108" i="31" s="1"/>
  <c r="G17" i="25"/>
  <c r="G416" i="25" s="1"/>
  <c r="G418" i="25" s="1"/>
  <c r="F108" i="31" s="1"/>
  <c r="BC15" i="18"/>
  <c r="BC9" i="18"/>
  <c r="L38" i="24" s="1"/>
  <c r="BC8" i="18"/>
  <c r="BC5" i="18"/>
  <c r="L81" i="25"/>
  <c r="L387" i="25" s="1"/>
  <c r="L406" i="25" s="1"/>
  <c r="K81" i="25"/>
  <c r="K387" i="25" s="1"/>
  <c r="K406" i="25" s="1"/>
  <c r="J81" i="25"/>
  <c r="J387" i="25" s="1"/>
  <c r="J406" i="25" s="1"/>
  <c r="L69" i="25"/>
  <c r="AA81" i="16" s="1"/>
  <c r="K69" i="25"/>
  <c r="Z81" i="16" s="1"/>
  <c r="J69" i="25"/>
  <c r="I30" i="31" s="1"/>
  <c r="L68" i="25"/>
  <c r="BC109" i="18" s="1"/>
  <c r="K68" i="25"/>
  <c r="J68" i="25"/>
  <c r="BC76" i="18"/>
  <c r="BC73" i="18"/>
  <c r="BC72" i="18"/>
  <c r="L219" i="24" s="1"/>
  <c r="L35" i="25" s="1"/>
  <c r="BC65" i="18"/>
  <c r="L185" i="24" s="1"/>
  <c r="BC64" i="18"/>
  <c r="BC63" i="18"/>
  <c r="BC62" i="18"/>
  <c r="L179" i="24" s="1"/>
  <c r="C866" i="14" s="1"/>
  <c r="L149" i="24"/>
  <c r="AA61" i="16" s="1"/>
  <c r="L148" i="24"/>
  <c r="L147" i="24"/>
  <c r="L158" i="24" s="1"/>
  <c r="C864" i="14" s="1"/>
  <c r="AX15" i="18"/>
  <c r="K54" i="24" s="1"/>
  <c r="Z218" i="16" s="1"/>
  <c r="AX8" i="18"/>
  <c r="BC7" i="18"/>
  <c r="L40" i="24" s="1"/>
  <c r="AX7" i="18"/>
  <c r="K40" i="24" s="1"/>
  <c r="AX5" i="18"/>
  <c r="AX6" i="18"/>
  <c r="BC6" i="18"/>
  <c r="L36" i="24" s="1"/>
  <c r="K34" i="24"/>
  <c r="B499" i="14"/>
  <c r="B496" i="14"/>
  <c r="B495" i="14"/>
  <c r="B494" i="14"/>
  <c r="B493" i="14"/>
  <c r="B492" i="14"/>
  <c r="D491" i="14"/>
  <c r="E491" i="14" s="1"/>
  <c r="F491" i="14" s="1"/>
  <c r="G491" i="14" s="1"/>
  <c r="H491" i="14" s="1"/>
  <c r="I491" i="14" s="1"/>
  <c r="J491" i="14" s="1"/>
  <c r="K491" i="14" s="1"/>
  <c r="L491" i="14" s="1"/>
  <c r="M491" i="14" s="1"/>
  <c r="N491" i="14" s="1"/>
  <c r="O491" i="14" s="1"/>
  <c r="P491" i="14" s="1"/>
  <c r="Q491" i="14" s="1"/>
  <c r="AX24" i="18"/>
  <c r="AX23" i="18"/>
  <c r="AY40" i="18" s="1"/>
  <c r="G31" i="30" s="1"/>
  <c r="AX20" i="18"/>
  <c r="K68" i="24" s="1"/>
  <c r="AX19" i="18"/>
  <c r="K67" i="24" s="1"/>
  <c r="K98" i="24" s="1"/>
  <c r="T80" i="17"/>
  <c r="T77" i="17" s="1"/>
  <c r="T75" i="17"/>
  <c r="T74" i="17"/>
  <c r="T73" i="17"/>
  <c r="U80" i="17"/>
  <c r="U77" i="17" s="1"/>
  <c r="U75" i="17"/>
  <c r="U74" i="17"/>
  <c r="U73" i="17"/>
  <c r="V80" i="17"/>
  <c r="V77" i="17" s="1"/>
  <c r="V75" i="17"/>
  <c r="V74" i="17"/>
  <c r="V73" i="17"/>
  <c r="W73" i="17"/>
  <c r="X73" i="17"/>
  <c r="Y73" i="17"/>
  <c r="Z73" i="17"/>
  <c r="AA73" i="17"/>
  <c r="AB73" i="17"/>
  <c r="AC73" i="17"/>
  <c r="AF73" i="17"/>
  <c r="W74" i="17"/>
  <c r="X74" i="17"/>
  <c r="Y74" i="17"/>
  <c r="Z74" i="17"/>
  <c r="AA74" i="17"/>
  <c r="AB74" i="17"/>
  <c r="AC74" i="17"/>
  <c r="AF74" i="17"/>
  <c r="W75" i="17"/>
  <c r="X75" i="17"/>
  <c r="Y75" i="17"/>
  <c r="Z75" i="17"/>
  <c r="AA75" i="17"/>
  <c r="AB75" i="17"/>
  <c r="AC75" i="17"/>
  <c r="W80" i="17"/>
  <c r="W77" i="17" s="1"/>
  <c r="X80" i="17"/>
  <c r="X77" i="17" s="1"/>
  <c r="Y80" i="17"/>
  <c r="Y77" i="17" s="1"/>
  <c r="Z80" i="17"/>
  <c r="Z77" i="17" s="1"/>
  <c r="AA80" i="17"/>
  <c r="AA77" i="17" s="1"/>
  <c r="AB80" i="17"/>
  <c r="AB77" i="17" s="1"/>
  <c r="AC80" i="17"/>
  <c r="AC77" i="17" s="1"/>
  <c r="AB29" i="17"/>
  <c r="AF49" i="17" s="1"/>
  <c r="AC29" i="17"/>
  <c r="AG49" i="17" s="1"/>
  <c r="AD29" i="17"/>
  <c r="AH49" i="17" s="1"/>
  <c r="AE29" i="17"/>
  <c r="AI49" i="17" s="1"/>
  <c r="AF29" i="17"/>
  <c r="AJ49" i="17" s="1"/>
  <c r="AG29" i="17"/>
  <c r="AK49" i="17" s="1"/>
  <c r="AH29" i="17"/>
  <c r="AL49" i="17" s="1"/>
  <c r="AB34" i="17"/>
  <c r="AF54" i="17" s="1"/>
  <c r="AC34" i="17"/>
  <c r="AG54" i="17" s="1"/>
  <c r="AD34" i="17"/>
  <c r="AH54" i="17" s="1"/>
  <c r="AE34" i="17"/>
  <c r="AI54" i="17" s="1"/>
  <c r="AF34" i="17"/>
  <c r="AJ54" i="17" s="1"/>
  <c r="AG34" i="17"/>
  <c r="AK54" i="17" s="1"/>
  <c r="AH34" i="17"/>
  <c r="AL54" i="17" s="1"/>
  <c r="AB35" i="17"/>
  <c r="AC55" i="17" s="1"/>
  <c r="AC35" i="17"/>
  <c r="AD55" i="17" s="1"/>
  <c r="AD35" i="17"/>
  <c r="AE55" i="17" s="1"/>
  <c r="AE35" i="17"/>
  <c r="AF55" i="17" s="1"/>
  <c r="AF35" i="17"/>
  <c r="AG55" i="17" s="1"/>
  <c r="AG35" i="17"/>
  <c r="AH55" i="17" s="1"/>
  <c r="AH35" i="17"/>
  <c r="AI55" i="17" s="1"/>
  <c r="AB36" i="17"/>
  <c r="AC56" i="17" s="1"/>
  <c r="AC36" i="17"/>
  <c r="AD56" i="17" s="1"/>
  <c r="AD36" i="17"/>
  <c r="AE56" i="17" s="1"/>
  <c r="AE36" i="17"/>
  <c r="AF56" i="17" s="1"/>
  <c r="AF36" i="17"/>
  <c r="AG56" i="17" s="1"/>
  <c r="AG36" i="17"/>
  <c r="AH56" i="17" s="1"/>
  <c r="AH36" i="17"/>
  <c r="AI56" i="17" s="1"/>
  <c r="AB42" i="17"/>
  <c r="AC62" i="17" s="1"/>
  <c r="AC42" i="17"/>
  <c r="AD62" i="17" s="1"/>
  <c r="AD42" i="17"/>
  <c r="AE62" i="17" s="1"/>
  <c r="AE42" i="17"/>
  <c r="AF62" i="17" s="1"/>
  <c r="AF42" i="17"/>
  <c r="AG62" i="17" s="1"/>
  <c r="AG42" i="17"/>
  <c r="AH62" i="17" s="1"/>
  <c r="AH42" i="17"/>
  <c r="AI62" i="17" s="1"/>
  <c r="AE68" i="17"/>
  <c r="AD68" i="17"/>
  <c r="AC68" i="17"/>
  <c r="AB68" i="17"/>
  <c r="AA68" i="17"/>
  <c r="Z68" i="17"/>
  <c r="Y68" i="17"/>
  <c r="X68" i="17"/>
  <c r="W68" i="17"/>
  <c r="V68" i="17"/>
  <c r="U68" i="17"/>
  <c r="T68" i="17"/>
  <c r="S68" i="17"/>
  <c r="R68" i="17"/>
  <c r="Q68" i="17"/>
  <c r="P68" i="17"/>
  <c r="O68" i="17"/>
  <c r="N68" i="17"/>
  <c r="AB10" i="17"/>
  <c r="AF10" i="17"/>
  <c r="AF30" i="17" s="1"/>
  <c r="AB11" i="17"/>
  <c r="AB18" i="17"/>
  <c r="AF18" i="17"/>
  <c r="AF7" i="17" s="1"/>
  <c r="AB19" i="17"/>
  <c r="AB39" i="17" s="1"/>
  <c r="AC19" i="17"/>
  <c r="AF19" i="17"/>
  <c r="AG19" i="17"/>
  <c r="AG39" i="17" s="1"/>
  <c r="AH19" i="17"/>
  <c r="AH39" i="17" s="1"/>
  <c r="AB20" i="17"/>
  <c r="AB40" i="17" s="1"/>
  <c r="AC20" i="17"/>
  <c r="AC40" i="17" s="1"/>
  <c r="AE20" i="17"/>
  <c r="AE40" i="17" s="1"/>
  <c r="AF20" i="17"/>
  <c r="AF40" i="17" s="1"/>
  <c r="AG20" i="17"/>
  <c r="AG40" i="17" s="1"/>
  <c r="AH20" i="17"/>
  <c r="AH40" i="17" s="1"/>
  <c r="K24" i="27"/>
  <c r="J24" i="27"/>
  <c r="I24" i="27"/>
  <c r="H24" i="27"/>
  <c r="G24" i="27"/>
  <c r="M20" i="27"/>
  <c r="L20" i="27"/>
  <c r="K20" i="27"/>
  <c r="J20" i="27"/>
  <c r="I20" i="27"/>
  <c r="H20" i="27"/>
  <c r="G20" i="27"/>
  <c r="DZ91" i="18"/>
  <c r="DZ90" i="18"/>
  <c r="DU90" i="18"/>
  <c r="G136" i="30" s="1"/>
  <c r="DZ89" i="18"/>
  <c r="DU89" i="18"/>
  <c r="G135" i="30" s="1"/>
  <c r="DZ64" i="18"/>
  <c r="K105" i="30" s="1"/>
  <c r="DU64" i="18"/>
  <c r="G105" i="30" s="1"/>
  <c r="T89" i="29"/>
  <c r="P293" i="25"/>
  <c r="Q293" i="25"/>
  <c r="R293" i="25"/>
  <c r="S293" i="25"/>
  <c r="T293" i="25"/>
  <c r="S88" i="29"/>
  <c r="R88" i="29" s="1"/>
  <c r="Q88" i="29" s="1"/>
  <c r="P88" i="29" s="1"/>
  <c r="O88" i="29" s="1"/>
  <c r="N88" i="29" s="1"/>
  <c r="M88" i="29" s="1"/>
  <c r="L88" i="29" s="1"/>
  <c r="K88" i="29" s="1"/>
  <c r="J88" i="29" s="1"/>
  <c r="I88" i="29" s="1"/>
  <c r="C1018" i="14"/>
  <c r="J3" i="29"/>
  <c r="K3" i="29" s="1"/>
  <c r="L3" i="29" s="1"/>
  <c r="M3" i="29" s="1"/>
  <c r="N3" i="29" s="1"/>
  <c r="O3" i="29" s="1"/>
  <c r="P3" i="29" s="1"/>
  <c r="Q3" i="29" s="1"/>
  <c r="R3" i="29" s="1"/>
  <c r="S3" i="29" s="1"/>
  <c r="T3" i="29" s="1"/>
  <c r="U3" i="29" s="1"/>
  <c r="V3" i="29" s="1"/>
  <c r="W3" i="29" s="1"/>
  <c r="X3" i="29" s="1"/>
  <c r="Y3" i="29" s="1"/>
  <c r="Z3" i="29" s="1"/>
  <c r="AU153" i="18"/>
  <c r="AT153" i="18"/>
  <c r="P3" i="25"/>
  <c r="Q3" i="25" s="1"/>
  <c r="R3" i="25" s="1"/>
  <c r="S3" i="25" s="1"/>
  <c r="T3" i="25" s="1"/>
  <c r="U3" i="25" s="1"/>
  <c r="V3" i="25" s="1"/>
  <c r="W3" i="25" s="1"/>
  <c r="X3" i="25" s="1"/>
  <c r="Y3" i="25" s="1"/>
  <c r="Z3" i="25" s="1"/>
  <c r="T135" i="25"/>
  <c r="T116" i="25"/>
  <c r="T109" i="25"/>
  <c r="T108" i="25"/>
  <c r="T107" i="25"/>
  <c r="T104" i="25"/>
  <c r="T102" i="25"/>
  <c r="T97" i="25"/>
  <c r="T96" i="25"/>
  <c r="T95" i="25"/>
  <c r="T94" i="25"/>
  <c r="T91" i="25"/>
  <c r="T90" i="25"/>
  <c r="T89" i="25"/>
  <c r="T70" i="25"/>
  <c r="T69" i="25"/>
  <c r="T63" i="25"/>
  <c r="S116" i="25"/>
  <c r="S109" i="25"/>
  <c r="S108" i="25"/>
  <c r="S107" i="25"/>
  <c r="S104" i="25"/>
  <c r="S102" i="25"/>
  <c r="S97" i="25"/>
  <c r="S96" i="25"/>
  <c r="S95" i="25"/>
  <c r="S94" i="25"/>
  <c r="S91" i="25"/>
  <c r="S90" i="25"/>
  <c r="S89" i="25"/>
  <c r="S70" i="25"/>
  <c r="S69" i="25"/>
  <c r="S63" i="25"/>
  <c r="R116" i="25"/>
  <c r="R109" i="25"/>
  <c r="R108" i="25"/>
  <c r="R107" i="25"/>
  <c r="R104" i="25"/>
  <c r="R102" i="25"/>
  <c r="R97" i="25"/>
  <c r="R96" i="25"/>
  <c r="R95" i="25"/>
  <c r="R94" i="25"/>
  <c r="R91" i="25"/>
  <c r="R90" i="25"/>
  <c r="R89" i="25"/>
  <c r="R70" i="25"/>
  <c r="R69" i="25"/>
  <c r="R63" i="25"/>
  <c r="Q116" i="25"/>
  <c r="Q109" i="25"/>
  <c r="Q108" i="25"/>
  <c r="Q107" i="25"/>
  <c r="Q104" i="25"/>
  <c r="Q102" i="25"/>
  <c r="Q97" i="25"/>
  <c r="Q96" i="25"/>
  <c r="Q95" i="25"/>
  <c r="Q94" i="25"/>
  <c r="Q91" i="25"/>
  <c r="Q90" i="25"/>
  <c r="Q89" i="25"/>
  <c r="Q70" i="25"/>
  <c r="Q69" i="25"/>
  <c r="Q63" i="25"/>
  <c r="P116" i="25"/>
  <c r="P109" i="25"/>
  <c r="P108" i="25"/>
  <c r="P107" i="25"/>
  <c r="P104" i="25"/>
  <c r="P102" i="25"/>
  <c r="P97" i="25"/>
  <c r="P96" i="25"/>
  <c r="P95" i="25"/>
  <c r="P94" i="25"/>
  <c r="P91" i="25"/>
  <c r="P90" i="25"/>
  <c r="P89" i="25"/>
  <c r="P70" i="25"/>
  <c r="P69" i="25"/>
  <c r="P63" i="25"/>
  <c r="K149" i="24"/>
  <c r="K148" i="24"/>
  <c r="K147" i="24"/>
  <c r="K158" i="24" s="1"/>
  <c r="BA146" i="18"/>
  <c r="AZ144" i="18"/>
  <c r="AZ142" i="18"/>
  <c r="BA142" i="18" s="1"/>
  <c r="EB142" i="18" s="1"/>
  <c r="AZ143" i="18"/>
  <c r="EA143" i="18" s="1"/>
  <c r="AZ101" i="18"/>
  <c r="BA101" i="18" s="1"/>
  <c r="AZ100" i="18"/>
  <c r="EA100" i="18" s="1"/>
  <c r="AZ99" i="18"/>
  <c r="BA99" i="18" s="1"/>
  <c r="BB99" i="18" s="1"/>
  <c r="EC99" i="18" s="1"/>
  <c r="AZ91" i="18"/>
  <c r="H131" i="30" s="1"/>
  <c r="AZ90" i="18"/>
  <c r="H142" i="30" s="1"/>
  <c r="AZ89" i="18"/>
  <c r="EA89" i="18" s="1"/>
  <c r="AZ96" i="18"/>
  <c r="H170" i="30" s="1"/>
  <c r="AU96" i="18"/>
  <c r="AZ86" i="18"/>
  <c r="EA86" i="18" s="1"/>
  <c r="F277" i="30" s="1"/>
  <c r="AU86" i="18"/>
  <c r="AU76" i="18"/>
  <c r="AY131" i="18"/>
  <c r="AF11" i="17" s="1"/>
  <c r="AF31" i="17" s="1"/>
  <c r="AY145" i="18"/>
  <c r="AT91" i="18"/>
  <c r="C131" i="30" s="1"/>
  <c r="AT101" i="18"/>
  <c r="BG102" i="18"/>
  <c r="BF102" i="18"/>
  <c r="EG102" i="18" s="1"/>
  <c r="BE102" i="18"/>
  <c r="EF102" i="18" s="1"/>
  <c r="BD102" i="18"/>
  <c r="EE102" i="18" s="1"/>
  <c r="AY102" i="18"/>
  <c r="AY103" i="18" s="1"/>
  <c r="BG92" i="18"/>
  <c r="EH92" i="18" s="1"/>
  <c r="BF92" i="18"/>
  <c r="BE92" i="18"/>
  <c r="EF92" i="18" s="1"/>
  <c r="AY92" i="18"/>
  <c r="BC85" i="18"/>
  <c r="BC84" i="18"/>
  <c r="BC83" i="18"/>
  <c r="BC78" i="18"/>
  <c r="BC77" i="18"/>
  <c r="AX153" i="18"/>
  <c r="K173" i="25" s="1"/>
  <c r="BB155" i="18"/>
  <c r="BA155" i="18"/>
  <c r="AZ155" i="18"/>
  <c r="AX154" i="18"/>
  <c r="K174" i="25" s="1"/>
  <c r="D727" i="14" s="1"/>
  <c r="D729" i="14" s="1"/>
  <c r="AY155" i="18"/>
  <c r="BG176" i="18"/>
  <c r="EH176" i="18" s="1"/>
  <c r="BF176" i="18"/>
  <c r="EG176" i="18" s="1"/>
  <c r="BE176" i="18"/>
  <c r="EF176" i="18" s="1"/>
  <c r="BD176" i="18"/>
  <c r="EE176" i="18" s="1"/>
  <c r="BG175" i="18"/>
  <c r="BF175" i="18"/>
  <c r="EG175" i="18" s="1"/>
  <c r="BE175" i="18"/>
  <c r="BD175" i="18"/>
  <c r="BG174" i="18"/>
  <c r="EH174" i="18" s="1"/>
  <c r="BF174" i="18"/>
  <c r="BE174" i="18"/>
  <c r="EF174" i="18" s="1"/>
  <c r="BD174" i="18"/>
  <c r="BE169" i="18"/>
  <c r="BG166" i="18"/>
  <c r="BF166" i="18"/>
  <c r="BE166" i="18"/>
  <c r="BD166" i="18"/>
  <c r="BG137" i="18"/>
  <c r="BF137" i="18"/>
  <c r="BE137" i="18"/>
  <c r="BD137" i="18"/>
  <c r="BF69" i="18"/>
  <c r="BE69" i="18"/>
  <c r="BD69" i="18"/>
  <c r="EE69" i="18" s="1"/>
  <c r="BG55" i="18"/>
  <c r="BF55" i="18"/>
  <c r="BE55" i="18"/>
  <c r="BD55" i="18"/>
  <c r="BF40" i="18"/>
  <c r="M31" i="30" s="1"/>
  <c r="BE40" i="18"/>
  <c r="L31" i="30" s="1"/>
  <c r="BF39" i="18"/>
  <c r="M30" i="30" s="1"/>
  <c r="M36" i="30" s="1"/>
  <c r="BE39" i="18"/>
  <c r="L30" i="30" s="1"/>
  <c r="L36" i="30" s="1"/>
  <c r="BE38" i="18"/>
  <c r="L29" i="30" s="1"/>
  <c r="BE37" i="18"/>
  <c r="L28" i="30" s="1"/>
  <c r="BF34" i="18"/>
  <c r="BE34" i="18"/>
  <c r="BE25" i="18"/>
  <c r="BD25" i="18"/>
  <c r="BE24" i="18"/>
  <c r="BD24" i="18"/>
  <c r="BE16" i="18"/>
  <c r="BG4" i="18"/>
  <c r="EC4" i="18" s="1"/>
  <c r="BF4" i="18"/>
  <c r="EB4" i="18" s="1"/>
  <c r="BE4" i="18"/>
  <c r="EA4" i="18" s="1"/>
  <c r="BD4" i="18"/>
  <c r="DZ4" i="18" s="1"/>
  <c r="BB139" i="18"/>
  <c r="J225" i="30" s="1"/>
  <c r="AX9" i="18"/>
  <c r="M31" i="19" s="1"/>
  <c r="J260" i="24"/>
  <c r="J258" i="24"/>
  <c r="J256" i="24"/>
  <c r="AW155" i="18"/>
  <c r="AX85" i="18"/>
  <c r="AX84" i="18"/>
  <c r="AX83" i="18"/>
  <c r="AX78" i="18"/>
  <c r="AX77" i="18"/>
  <c r="AD20" i="17"/>
  <c r="AO131" i="18"/>
  <c r="AT131" i="18"/>
  <c r="AT134" i="18" s="1"/>
  <c r="AV155" i="18"/>
  <c r="E238" i="30" s="1"/>
  <c r="AV145" i="18"/>
  <c r="E228" i="30" s="1"/>
  <c r="AV142" i="18"/>
  <c r="AD73" i="17" s="1"/>
  <c r="AV144" i="18"/>
  <c r="AW144" i="18" s="1"/>
  <c r="AX144" i="18" s="1"/>
  <c r="K131" i="25" s="1"/>
  <c r="AV146" i="18"/>
  <c r="AV143" i="18"/>
  <c r="AW143" i="18" s="1"/>
  <c r="AX143" i="18" s="1"/>
  <c r="K130" i="25" s="1"/>
  <c r="AV120" i="18"/>
  <c r="AW120" i="18" s="1"/>
  <c r="AV116" i="18"/>
  <c r="AV112" i="18"/>
  <c r="DR112" i="18" s="1"/>
  <c r="AV111" i="18"/>
  <c r="AW111" i="18" s="1"/>
  <c r="AV110" i="18"/>
  <c r="DR110" i="18" s="1"/>
  <c r="AV109" i="18"/>
  <c r="DR109" i="18" s="1"/>
  <c r="AX73" i="18"/>
  <c r="AX72" i="18"/>
  <c r="AR76" i="18"/>
  <c r="AQ76" i="18"/>
  <c r="AP76" i="18"/>
  <c r="AO76" i="18"/>
  <c r="AV105" i="18"/>
  <c r="AW105" i="18" s="1"/>
  <c r="AU100" i="18"/>
  <c r="AV100" i="18" s="1"/>
  <c r="AW100" i="18" s="1"/>
  <c r="AX100" i="18" s="1"/>
  <c r="DT100" i="18" s="1"/>
  <c r="AU99" i="18"/>
  <c r="AV99" i="18" s="1"/>
  <c r="AU90" i="18"/>
  <c r="AU89" i="18"/>
  <c r="D129" i="30" s="1"/>
  <c r="AX65" i="18"/>
  <c r="K185" i="24" s="1"/>
  <c r="K8" i="25" s="1"/>
  <c r="H599" i="14" s="1"/>
  <c r="AO102" i="18"/>
  <c r="AO92" i="18"/>
  <c r="AO66" i="18"/>
  <c r="X5" i="17" s="1"/>
  <c r="X69" i="17" s="1"/>
  <c r="AR61" i="18"/>
  <c r="AQ61" i="18"/>
  <c r="AP61" i="18"/>
  <c r="AO61" i="18"/>
  <c r="AM61" i="18"/>
  <c r="AL61" i="18"/>
  <c r="AK61" i="18"/>
  <c r="AJ61" i="18"/>
  <c r="AH61" i="18"/>
  <c r="AG61" i="18"/>
  <c r="AE61" i="18"/>
  <c r="AC61" i="18"/>
  <c r="AB61" i="18"/>
  <c r="AA61" i="18"/>
  <c r="Z61" i="18"/>
  <c r="X61" i="18"/>
  <c r="W61" i="18"/>
  <c r="V61" i="18"/>
  <c r="U61" i="18"/>
  <c r="R61" i="18"/>
  <c r="Q61" i="18"/>
  <c r="P61" i="18"/>
  <c r="O61" i="18"/>
  <c r="K61" i="18"/>
  <c r="J61" i="18"/>
  <c r="AS60" i="18"/>
  <c r="AN60" i="18"/>
  <c r="AD60" i="18"/>
  <c r="Y60" i="18"/>
  <c r="S60" i="18"/>
  <c r="N60" i="18"/>
  <c r="E61" i="18"/>
  <c r="AS59" i="18"/>
  <c r="AN59" i="18"/>
  <c r="AS58" i="18"/>
  <c r="AN58" i="18"/>
  <c r="AI58" i="18"/>
  <c r="AD58" i="18"/>
  <c r="Y58" i="18"/>
  <c r="S58" i="18"/>
  <c r="N58" i="18"/>
  <c r="AS57" i="18"/>
  <c r="AN57" i="18"/>
  <c r="AI57" i="18"/>
  <c r="AD57" i="18"/>
  <c r="Y57" i="18"/>
  <c r="S57" i="18"/>
  <c r="N57" i="18"/>
  <c r="AH18" i="17"/>
  <c r="AH7" i="17" s="1"/>
  <c r="AG18" i="17"/>
  <c r="AG7" i="17" s="1"/>
  <c r="AG8" i="17" s="1"/>
  <c r="AC18" i="17"/>
  <c r="AC7" i="17" s="1"/>
  <c r="DV64" i="18"/>
  <c r="H105" i="30" s="1"/>
  <c r="EA64" i="18"/>
  <c r="L105" i="30" s="1"/>
  <c r="AD19" i="17"/>
  <c r="AD39" i="17" s="1"/>
  <c r="AE19" i="17"/>
  <c r="AE39" i="17" s="1"/>
  <c r="AX21" i="18"/>
  <c r="AY168" i="18" s="1"/>
  <c r="I58" i="18"/>
  <c r="I57" i="18"/>
  <c r="H160" i="25"/>
  <c r="G160" i="25"/>
  <c r="F160" i="25"/>
  <c r="E160" i="25"/>
  <c r="D160" i="25"/>
  <c r="J149" i="24"/>
  <c r="J148" i="24"/>
  <c r="J147" i="24"/>
  <c r="J158" i="24" s="1"/>
  <c r="AV24" i="18"/>
  <c r="DR24" i="18" s="1"/>
  <c r="AE18" i="17"/>
  <c r="AE7" i="17" s="1"/>
  <c r="AD18" i="17"/>
  <c r="AD38" i="17" s="1"/>
  <c r="EB64" i="18"/>
  <c r="M105" i="30" s="1"/>
  <c r="DW64" i="18"/>
  <c r="I105" i="30" s="1"/>
  <c r="I60" i="18"/>
  <c r="F61" i="18"/>
  <c r="H174" i="25"/>
  <c r="H173" i="25"/>
  <c r="AS161" i="18"/>
  <c r="AS159" i="18"/>
  <c r="AS158" i="18"/>
  <c r="AS157" i="18"/>
  <c r="AS156" i="18"/>
  <c r="AS155" i="18"/>
  <c r="J138" i="25" s="1"/>
  <c r="C723" i="14" s="1"/>
  <c r="C725" i="14" s="1"/>
  <c r="AS154" i="18"/>
  <c r="J174" i="25" s="1"/>
  <c r="C727" i="14" s="1"/>
  <c r="C729" i="14" s="1"/>
  <c r="AS152" i="18"/>
  <c r="AS151" i="18"/>
  <c r="AN159" i="18"/>
  <c r="AN157" i="18"/>
  <c r="AN154" i="18"/>
  <c r="I174" i="25" s="1"/>
  <c r="AN152" i="18"/>
  <c r="AN151" i="18"/>
  <c r="H154" i="25"/>
  <c r="H155" i="25"/>
  <c r="I155" i="25" s="1"/>
  <c r="H387" i="25"/>
  <c r="H406" i="25" s="1"/>
  <c r="G387" i="25"/>
  <c r="G406" i="25" s="1"/>
  <c r="F387" i="25"/>
  <c r="F406" i="25" s="1"/>
  <c r="E387" i="25"/>
  <c r="E406" i="25" s="1"/>
  <c r="D387" i="25"/>
  <c r="D406" i="25" s="1"/>
  <c r="C387" i="25"/>
  <c r="C406" i="25" s="1"/>
  <c r="H82" i="25"/>
  <c r="G82" i="25"/>
  <c r="F82" i="25"/>
  <c r="E82" i="25"/>
  <c r="D82" i="25"/>
  <c r="H148" i="25"/>
  <c r="G148" i="25"/>
  <c r="F148" i="25"/>
  <c r="I148" i="25"/>
  <c r="J148" i="25" s="1"/>
  <c r="K148" i="25" s="1"/>
  <c r="L148" i="25" s="1"/>
  <c r="M148" i="25" s="1"/>
  <c r="N148" i="25" s="1"/>
  <c r="O148" i="25" s="1"/>
  <c r="P148" i="25" s="1"/>
  <c r="Q148" i="25" s="1"/>
  <c r="R148" i="25" s="1"/>
  <c r="S148" i="25" s="1"/>
  <c r="T148" i="25" s="1"/>
  <c r="U148" i="25" s="1"/>
  <c r="V148" i="25" s="1"/>
  <c r="W148" i="25" s="1"/>
  <c r="X148" i="25" s="1"/>
  <c r="Y148" i="25" s="1"/>
  <c r="Z148" i="25" s="1"/>
  <c r="AN161" i="18"/>
  <c r="AN158" i="18"/>
  <c r="H138" i="25"/>
  <c r="G27" i="31" s="1"/>
  <c r="AN144" i="18"/>
  <c r="I131" i="25" s="1"/>
  <c r="I417" i="25" s="1"/>
  <c r="AR149" i="18"/>
  <c r="AS146" i="18"/>
  <c r="J133" i="25" s="1"/>
  <c r="Y115" i="16" s="1"/>
  <c r="AS145" i="18"/>
  <c r="J132" i="25" s="1"/>
  <c r="Y112" i="16" s="1"/>
  <c r="AS144" i="18"/>
  <c r="AS143" i="18"/>
  <c r="J130" i="25" s="1"/>
  <c r="J160" i="25" s="1"/>
  <c r="AS142" i="18"/>
  <c r="J129" i="25" s="1"/>
  <c r="J154" i="25" s="1"/>
  <c r="AN156" i="18"/>
  <c r="AN155" i="18"/>
  <c r="I138" i="25" s="1"/>
  <c r="X9" i="16" s="1"/>
  <c r="X237" i="16" s="1"/>
  <c r="AN146" i="18"/>
  <c r="AN145" i="18"/>
  <c r="I132" i="25" s="1"/>
  <c r="X112" i="16" s="1"/>
  <c r="AN143" i="18"/>
  <c r="AN142" i="18"/>
  <c r="AS127" i="18"/>
  <c r="AS126" i="18"/>
  <c r="AS125" i="18"/>
  <c r="AS124" i="18"/>
  <c r="AS123" i="18"/>
  <c r="AS122" i="18"/>
  <c r="AN126" i="18"/>
  <c r="AN125" i="18"/>
  <c r="AN124" i="18"/>
  <c r="AN123" i="18"/>
  <c r="AN122" i="18"/>
  <c r="AS116" i="18"/>
  <c r="AS120" i="18"/>
  <c r="AN127" i="18"/>
  <c r="AN120" i="18"/>
  <c r="AN116" i="18"/>
  <c r="AS112" i="18"/>
  <c r="AS111" i="18"/>
  <c r="AS110" i="18"/>
  <c r="AS109" i="18"/>
  <c r="AN112" i="18"/>
  <c r="AN111" i="18"/>
  <c r="AN110" i="18"/>
  <c r="AN109" i="18"/>
  <c r="AS105" i="18"/>
  <c r="AS95" i="18"/>
  <c r="L11" i="19" s="1"/>
  <c r="AN105" i="18"/>
  <c r="I63" i="25" s="1"/>
  <c r="I194" i="25" s="1"/>
  <c r="I196" i="25" s="1"/>
  <c r="AN95" i="18"/>
  <c r="G11" i="19" s="1"/>
  <c r="AS85" i="18"/>
  <c r="AS84" i="18"/>
  <c r="J234" i="24" s="1"/>
  <c r="J51" i="25" s="1"/>
  <c r="AS83" i="18"/>
  <c r="AN85" i="18"/>
  <c r="AN84" i="18"/>
  <c r="AN83" i="18"/>
  <c r="I232" i="24" s="1"/>
  <c r="I49" i="25" s="1"/>
  <c r="AS73" i="18"/>
  <c r="J221" i="24" s="1"/>
  <c r="J37" i="25" s="1"/>
  <c r="AS72" i="18"/>
  <c r="AN73" i="18"/>
  <c r="AN72" i="18"/>
  <c r="AN78" i="18"/>
  <c r="I227" i="24" s="1"/>
  <c r="I43" i="25" s="1"/>
  <c r="AN77" i="18"/>
  <c r="I225" i="24" s="1"/>
  <c r="I41" i="25" s="1"/>
  <c r="AS78" i="18"/>
  <c r="J227" i="24" s="1"/>
  <c r="J43" i="25" s="1"/>
  <c r="AS77" i="18"/>
  <c r="H185" i="24"/>
  <c r="H8" i="25" s="1"/>
  <c r="W40" i="16" s="1"/>
  <c r="H183" i="24"/>
  <c r="H7" i="25" s="1"/>
  <c r="E598" i="14" s="1"/>
  <c r="AX64" i="18"/>
  <c r="AX63" i="18"/>
  <c r="K181" i="24" s="1"/>
  <c r="AX62" i="18"/>
  <c r="K179" i="24" s="1"/>
  <c r="K5" i="25" s="1"/>
  <c r="AS65" i="18"/>
  <c r="J185" i="24" s="1"/>
  <c r="AS64" i="18"/>
  <c r="J183" i="24" s="1"/>
  <c r="J7" i="25" s="1"/>
  <c r="G598" i="14" s="1"/>
  <c r="AS63" i="18"/>
  <c r="J181" i="24" s="1"/>
  <c r="J6" i="25" s="1"/>
  <c r="AS62" i="18"/>
  <c r="AN65" i="18"/>
  <c r="AN64" i="18"/>
  <c r="I183" i="24" s="1"/>
  <c r="I207" i="24" s="1"/>
  <c r="AN63" i="18"/>
  <c r="AN62" i="18"/>
  <c r="I149" i="24"/>
  <c r="X61" i="16" s="1"/>
  <c r="I148" i="24"/>
  <c r="I147" i="24"/>
  <c r="I158" i="24" s="1"/>
  <c r="AS45" i="18"/>
  <c r="AD45" i="18"/>
  <c r="AI45" i="18"/>
  <c r="AN46" i="18"/>
  <c r="AN45" i="18"/>
  <c r="AO44" i="18"/>
  <c r="AP44" i="18"/>
  <c r="AQ44" i="18"/>
  <c r="AS15" i="18"/>
  <c r="AS9" i="18"/>
  <c r="J38" i="24" s="1"/>
  <c r="AS8" i="18"/>
  <c r="AS7" i="18"/>
  <c r="J40" i="24" s="1"/>
  <c r="AS6" i="18"/>
  <c r="J36" i="24" s="1"/>
  <c r="AS24" i="18"/>
  <c r="AS23" i="18"/>
  <c r="AS22" i="18"/>
  <c r="AS21" i="18"/>
  <c r="AS20" i="18"/>
  <c r="AS19" i="18"/>
  <c r="AN24" i="18"/>
  <c r="AN23" i="18"/>
  <c r="AN22" i="18"/>
  <c r="AN21" i="18"/>
  <c r="AN20" i="18"/>
  <c r="AN19" i="18"/>
  <c r="AN15" i="18"/>
  <c r="I54" i="24" s="1"/>
  <c r="X218" i="16" s="1"/>
  <c r="AN9" i="18"/>
  <c r="I38" i="24" s="1"/>
  <c r="AN8" i="18"/>
  <c r="AN7" i="18"/>
  <c r="I40" i="24" s="1"/>
  <c r="I41" i="24" s="1"/>
  <c r="AN6" i="18"/>
  <c r="I36" i="24" s="1"/>
  <c r="I37" i="24" s="1"/>
  <c r="AN5" i="18"/>
  <c r="AS5" i="18"/>
  <c r="J34" i="24" s="1"/>
  <c r="BO120" i="18"/>
  <c r="BO116" i="18"/>
  <c r="BO112" i="18"/>
  <c r="BO111" i="18"/>
  <c r="BO110" i="18"/>
  <c r="BO109" i="18"/>
  <c r="BO105" i="18"/>
  <c r="J3" i="24"/>
  <c r="K3" i="24" s="1"/>
  <c r="L3" i="24" s="1"/>
  <c r="M3" i="24" s="1"/>
  <c r="N3" i="24" s="1"/>
  <c r="O3" i="24" s="1"/>
  <c r="P3" i="24" s="1"/>
  <c r="Q3" i="24" s="1"/>
  <c r="R3" i="24" s="1"/>
  <c r="S3" i="24" s="1"/>
  <c r="T3" i="24" s="1"/>
  <c r="U3" i="24" s="1"/>
  <c r="V3" i="24" s="1"/>
  <c r="W3" i="24" s="1"/>
  <c r="X3" i="24" s="1"/>
  <c r="Y3" i="24" s="1"/>
  <c r="Z3" i="24" s="1"/>
  <c r="T138" i="24"/>
  <c r="S138" i="24"/>
  <c r="R138" i="24"/>
  <c r="Q138" i="24"/>
  <c r="P138" i="24"/>
  <c r="EK69" i="18"/>
  <c r="EJ69" i="18"/>
  <c r="EI69" i="18"/>
  <c r="ED69" i="18"/>
  <c r="EA146" i="18"/>
  <c r="DZ144" i="18"/>
  <c r="DZ143" i="18"/>
  <c r="DZ142" i="18"/>
  <c r="EB120" i="18"/>
  <c r="EA120" i="18"/>
  <c r="DZ120" i="18"/>
  <c r="EB116" i="18"/>
  <c r="EA116" i="18"/>
  <c r="DZ116" i="18"/>
  <c r="EB112" i="18"/>
  <c r="EA112" i="18"/>
  <c r="DZ112" i="18"/>
  <c r="EB111" i="18"/>
  <c r="EA111" i="18"/>
  <c r="DZ111" i="18"/>
  <c r="EB110" i="18"/>
  <c r="EA110" i="18"/>
  <c r="DZ110" i="18"/>
  <c r="EB109" i="18"/>
  <c r="EA109" i="18"/>
  <c r="DZ109" i="18"/>
  <c r="EC105" i="18"/>
  <c r="EB105" i="18"/>
  <c r="EA105" i="18"/>
  <c r="DZ105" i="18"/>
  <c r="EC85" i="18"/>
  <c r="EB85" i="18"/>
  <c r="EA85" i="18"/>
  <c r="DZ85" i="18"/>
  <c r="EC84" i="18"/>
  <c r="EB84" i="18"/>
  <c r="EA84" i="18"/>
  <c r="DZ84" i="18"/>
  <c r="EC83" i="18"/>
  <c r="EB83" i="18"/>
  <c r="EA83" i="18"/>
  <c r="DZ83" i="18"/>
  <c r="EC78" i="18"/>
  <c r="EB78" i="18"/>
  <c r="EA78" i="18"/>
  <c r="DZ78" i="18"/>
  <c r="EC77" i="18"/>
  <c r="EB77" i="18"/>
  <c r="EA77" i="18"/>
  <c r="DZ77" i="18"/>
  <c r="EB73" i="18"/>
  <c r="EA73" i="18"/>
  <c r="DZ73" i="18"/>
  <c r="EB72" i="18"/>
  <c r="EA72" i="18"/>
  <c r="DZ72" i="18"/>
  <c r="EA65" i="18"/>
  <c r="L106" i="30" s="1"/>
  <c r="DZ65" i="18"/>
  <c r="K106" i="30" s="1"/>
  <c r="EB63" i="18"/>
  <c r="M104" i="30" s="1"/>
  <c r="EA63" i="18"/>
  <c r="L104" i="30" s="1"/>
  <c r="DZ63" i="18"/>
  <c r="K104" i="30" s="1"/>
  <c r="EB62" i="18"/>
  <c r="M103" i="30" s="1"/>
  <c r="EA62" i="18"/>
  <c r="L103" i="30" s="1"/>
  <c r="DZ62" i="18"/>
  <c r="K103" i="30" s="1"/>
  <c r="EC51" i="18"/>
  <c r="EB51" i="18"/>
  <c r="EA51" i="18"/>
  <c r="DZ51" i="18"/>
  <c r="EC50" i="18"/>
  <c r="N73" i="30" s="1"/>
  <c r="EB50" i="18"/>
  <c r="M73" i="30" s="1"/>
  <c r="EA50" i="18"/>
  <c r="L73" i="30" s="1"/>
  <c r="DZ50" i="18"/>
  <c r="K73" i="30" s="1"/>
  <c r="EC49" i="18"/>
  <c r="N72" i="30" s="1"/>
  <c r="EB49" i="18"/>
  <c r="M72" i="30" s="1"/>
  <c r="EA49" i="18"/>
  <c r="L72" i="30" s="1"/>
  <c r="DZ49" i="18"/>
  <c r="K72" i="30" s="1"/>
  <c r="EB23" i="18"/>
  <c r="EA23" i="18"/>
  <c r="DZ23" i="18"/>
  <c r="EB21" i="18"/>
  <c r="EA21" i="18"/>
  <c r="DZ21" i="18"/>
  <c r="EA20" i="18"/>
  <c r="DZ20" i="18"/>
  <c r="EA19" i="18"/>
  <c r="DZ19" i="18"/>
  <c r="EB15" i="18"/>
  <c r="EA15" i="18"/>
  <c r="DZ15" i="18"/>
  <c r="EA9" i="18"/>
  <c r="DZ9" i="18"/>
  <c r="EA5" i="18"/>
  <c r="DZ5" i="18"/>
  <c r="EC2" i="18"/>
  <c r="EC55" i="18" s="1"/>
  <c r="EB2" i="18"/>
  <c r="EB55" i="18" s="1"/>
  <c r="EA2" i="18"/>
  <c r="EA55" i="18" s="1"/>
  <c r="DZ2" i="18"/>
  <c r="DZ55" i="18" s="1"/>
  <c r="DV146" i="18"/>
  <c r="DU144" i="18"/>
  <c r="DU143" i="18"/>
  <c r="DU142" i="18"/>
  <c r="DX127" i="18"/>
  <c r="DW127" i="18"/>
  <c r="DV127" i="18"/>
  <c r="DU127" i="18"/>
  <c r="DV120" i="18"/>
  <c r="DU120" i="18"/>
  <c r="DV116" i="18"/>
  <c r="DU116" i="18"/>
  <c r="DV112" i="18"/>
  <c r="DU112" i="18"/>
  <c r="DV111" i="18"/>
  <c r="DU111" i="18"/>
  <c r="DV110" i="18"/>
  <c r="DU110" i="18"/>
  <c r="DV109" i="18"/>
  <c r="DU109" i="18"/>
  <c r="DV105" i="18"/>
  <c r="DU105" i="18"/>
  <c r="DX85" i="18"/>
  <c r="DW85" i="18"/>
  <c r="DV85" i="18"/>
  <c r="DU85" i="18"/>
  <c r="DX84" i="18"/>
  <c r="DW84" i="18"/>
  <c r="DV84" i="18"/>
  <c r="DU84" i="18"/>
  <c r="DX83" i="18"/>
  <c r="DW83" i="18"/>
  <c r="DV83" i="18"/>
  <c r="DU83" i="18"/>
  <c r="DX78" i="18"/>
  <c r="DW78" i="18"/>
  <c r="DV78" i="18"/>
  <c r="DU78" i="18"/>
  <c r="DX77" i="18"/>
  <c r="DW77" i="18"/>
  <c r="DV77" i="18"/>
  <c r="DU77" i="18"/>
  <c r="DX73" i="18"/>
  <c r="DW73" i="18"/>
  <c r="DV73" i="18"/>
  <c r="DU73" i="18"/>
  <c r="DX72" i="18"/>
  <c r="DW72" i="18"/>
  <c r="DV72" i="18"/>
  <c r="DU72" i="18"/>
  <c r="DV65" i="18"/>
  <c r="H106" i="30" s="1"/>
  <c r="DU65" i="18"/>
  <c r="G106" i="30" s="1"/>
  <c r="DW63" i="18"/>
  <c r="I104" i="30" s="1"/>
  <c r="DV63" i="18"/>
  <c r="H104" i="30" s="1"/>
  <c r="DU63" i="18"/>
  <c r="G104" i="30" s="1"/>
  <c r="DW62" i="18"/>
  <c r="I103" i="30" s="1"/>
  <c r="DV62" i="18"/>
  <c r="H103" i="30" s="1"/>
  <c r="DU62" i="18"/>
  <c r="G103" i="30" s="1"/>
  <c r="DX51" i="18"/>
  <c r="J74" i="30" s="1"/>
  <c r="DW51" i="18"/>
  <c r="I74" i="30" s="1"/>
  <c r="DV51" i="18"/>
  <c r="H74" i="30" s="1"/>
  <c r="DU51" i="18"/>
  <c r="G74" i="30" s="1"/>
  <c r="DX50" i="18"/>
  <c r="J73" i="30" s="1"/>
  <c r="DW50" i="18"/>
  <c r="I73" i="30" s="1"/>
  <c r="DV50" i="18"/>
  <c r="H73" i="30" s="1"/>
  <c r="DU50" i="18"/>
  <c r="G73" i="30" s="1"/>
  <c r="DX49" i="18"/>
  <c r="J72" i="30" s="1"/>
  <c r="DW49" i="18"/>
  <c r="I72" i="30" s="1"/>
  <c r="DV49" i="18"/>
  <c r="H72" i="30" s="1"/>
  <c r="DU49" i="18"/>
  <c r="G72" i="30" s="1"/>
  <c r="DW23" i="18"/>
  <c r="DV23" i="18"/>
  <c r="DU23" i="18"/>
  <c r="DW21" i="18"/>
  <c r="DV21" i="18"/>
  <c r="DU21" i="18"/>
  <c r="DW20" i="18"/>
  <c r="DV20" i="18"/>
  <c r="DU20" i="18"/>
  <c r="DW19" i="18"/>
  <c r="DV19" i="18"/>
  <c r="DU19" i="18"/>
  <c r="DX15" i="18"/>
  <c r="DW15" i="18"/>
  <c r="DV15" i="18"/>
  <c r="DU15" i="18"/>
  <c r="DV9" i="18"/>
  <c r="DU9" i="18"/>
  <c r="DX5" i="18"/>
  <c r="DW5" i="18"/>
  <c r="DV5" i="18"/>
  <c r="DU5" i="18"/>
  <c r="DX2" i="18"/>
  <c r="DX55" i="18" s="1"/>
  <c r="DW2" i="18"/>
  <c r="DW55" i="18" s="1"/>
  <c r="DV2" i="18"/>
  <c r="DV55" i="18" s="1"/>
  <c r="DU2" i="18"/>
  <c r="DU55" i="18" s="1"/>
  <c r="DQ146" i="18"/>
  <c r="DQ145" i="18"/>
  <c r="DP145" i="18"/>
  <c r="DQ144" i="18"/>
  <c r="DP144" i="18"/>
  <c r="DQ143" i="18"/>
  <c r="DP143" i="18"/>
  <c r="DQ142" i="18"/>
  <c r="DP142" i="18"/>
  <c r="DS127" i="18"/>
  <c r="DR127" i="18"/>
  <c r="DQ127" i="18"/>
  <c r="DP127" i="18"/>
  <c r="DQ120" i="18"/>
  <c r="DP120" i="18"/>
  <c r="DR116" i="18"/>
  <c r="DQ116" i="18"/>
  <c r="DP116" i="18"/>
  <c r="DQ112" i="18"/>
  <c r="DP112" i="18"/>
  <c r="DQ111" i="18"/>
  <c r="DP111" i="18"/>
  <c r="DQ110" i="18"/>
  <c r="DP110" i="18"/>
  <c r="DQ109" i="18"/>
  <c r="DP109" i="18"/>
  <c r="DQ105" i="18"/>
  <c r="DP105" i="18"/>
  <c r="DS85" i="18"/>
  <c r="DR85" i="18"/>
  <c r="DQ85" i="18"/>
  <c r="DP85" i="18"/>
  <c r="DS84" i="18"/>
  <c r="DR84" i="18"/>
  <c r="DQ84" i="18"/>
  <c r="DP84" i="18"/>
  <c r="DS83" i="18"/>
  <c r="DR83" i="18"/>
  <c r="DQ83" i="18"/>
  <c r="DP83" i="18"/>
  <c r="DS78" i="18"/>
  <c r="DR78" i="18"/>
  <c r="DQ78" i="18"/>
  <c r="DP78" i="18"/>
  <c r="DS77" i="18"/>
  <c r="DR77" i="18"/>
  <c r="DQ77" i="18"/>
  <c r="DP77" i="18"/>
  <c r="DS73" i="18"/>
  <c r="DR73" i="18"/>
  <c r="DQ73" i="18"/>
  <c r="DP73" i="18"/>
  <c r="DS72" i="18"/>
  <c r="DR72" i="18"/>
  <c r="DQ72" i="18"/>
  <c r="DP72" i="18"/>
  <c r="DS65" i="18"/>
  <c r="F106" i="30" s="1"/>
  <c r="DQ65" i="18"/>
  <c r="D106" i="30" s="1"/>
  <c r="DP65" i="18"/>
  <c r="C106" i="30" s="1"/>
  <c r="DS63" i="18"/>
  <c r="DR63" i="18"/>
  <c r="DQ63" i="18"/>
  <c r="DP63" i="18"/>
  <c r="DS62" i="18"/>
  <c r="DR62" i="18"/>
  <c r="DQ62" i="18"/>
  <c r="DP62" i="18"/>
  <c r="DS51" i="18"/>
  <c r="F74" i="30" s="1"/>
  <c r="DR51" i="18"/>
  <c r="E74" i="30" s="1"/>
  <c r="DQ51" i="18"/>
  <c r="D74" i="30" s="1"/>
  <c r="DP51" i="18"/>
  <c r="C74" i="30" s="1"/>
  <c r="DS50" i="18"/>
  <c r="F73" i="30" s="1"/>
  <c r="DR50" i="18"/>
  <c r="E73" i="30" s="1"/>
  <c r="DQ50" i="18"/>
  <c r="D73" i="30" s="1"/>
  <c r="DP50" i="18"/>
  <c r="C73" i="30" s="1"/>
  <c r="DS49" i="18"/>
  <c r="F72" i="30" s="1"/>
  <c r="DR49" i="18"/>
  <c r="E72" i="30" s="1"/>
  <c r="DQ49" i="18"/>
  <c r="D72" i="30" s="1"/>
  <c r="DP49" i="18"/>
  <c r="C72" i="30" s="1"/>
  <c r="DS23" i="18"/>
  <c r="DR23" i="18"/>
  <c r="DQ23" i="18"/>
  <c r="DP23" i="18"/>
  <c r="DS21" i="18"/>
  <c r="DR21" i="18"/>
  <c r="DQ21" i="18"/>
  <c r="DP21" i="18"/>
  <c r="DS20" i="18"/>
  <c r="DR20" i="18"/>
  <c r="DQ20" i="18"/>
  <c r="DP20" i="18"/>
  <c r="DS19" i="18"/>
  <c r="DR19" i="18"/>
  <c r="DQ19" i="18"/>
  <c r="DP19" i="18"/>
  <c r="DS15" i="18"/>
  <c r="DR15" i="18"/>
  <c r="DQ15" i="18"/>
  <c r="DP15" i="18"/>
  <c r="DQ9" i="18"/>
  <c r="DP9" i="18"/>
  <c r="DS5" i="18"/>
  <c r="DR5" i="18"/>
  <c r="DQ5" i="18"/>
  <c r="DP5" i="18"/>
  <c r="DS2" i="18"/>
  <c r="DS55" i="18" s="1"/>
  <c r="DR2" i="18"/>
  <c r="DR55" i="18" s="1"/>
  <c r="DQ2" i="18"/>
  <c r="DQ55" i="18" s="1"/>
  <c r="DP2" i="18"/>
  <c r="DP55" i="18" s="1"/>
  <c r="BB176" i="18"/>
  <c r="BA176" i="18"/>
  <c r="AZ176" i="18"/>
  <c r="AY176" i="18"/>
  <c r="BB175" i="18"/>
  <c r="BA175" i="18"/>
  <c r="AZ175" i="18"/>
  <c r="AY175" i="18"/>
  <c r="BB174" i="18"/>
  <c r="BA174" i="18"/>
  <c r="AZ174" i="18"/>
  <c r="AY174" i="18"/>
  <c r="BA169" i="18"/>
  <c r="AZ169" i="18"/>
  <c r="BB166" i="18"/>
  <c r="BA166" i="18"/>
  <c r="AZ166" i="18"/>
  <c r="AY166" i="18"/>
  <c r="BB137" i="18"/>
  <c r="BA137" i="18"/>
  <c r="AZ137" i="18"/>
  <c r="AY137" i="18"/>
  <c r="AY69" i="18"/>
  <c r="AZ66" i="18"/>
  <c r="AZ170" i="18" s="1"/>
  <c r="AY66" i="18"/>
  <c r="BA69" i="18"/>
  <c r="BB55" i="18"/>
  <c r="BA55" i="18"/>
  <c r="AZ55" i="18"/>
  <c r="AY55" i="18"/>
  <c r="BA40" i="18"/>
  <c r="I31" i="30" s="1"/>
  <c r="AZ40" i="18"/>
  <c r="H31" i="30" s="1"/>
  <c r="BA39" i="18"/>
  <c r="I30" i="30" s="1"/>
  <c r="I36" i="30" s="1"/>
  <c r="AZ39" i="18"/>
  <c r="H30" i="30" s="1"/>
  <c r="H36" i="30" s="1"/>
  <c r="BA38" i="18"/>
  <c r="I29" i="30" s="1"/>
  <c r="AZ38" i="18"/>
  <c r="H29" i="30" s="1"/>
  <c r="BA37" i="18"/>
  <c r="AZ37" i="18"/>
  <c r="BB34" i="18"/>
  <c r="BA34" i="18"/>
  <c r="AZ34" i="18"/>
  <c r="BA25" i="18"/>
  <c r="AZ25" i="18"/>
  <c r="AY25" i="18"/>
  <c r="BA24" i="18"/>
  <c r="AZ24" i="18"/>
  <c r="DV24" i="18" s="1"/>
  <c r="AY24" i="18"/>
  <c r="DU24" i="18" s="1"/>
  <c r="BB16" i="18"/>
  <c r="BA16" i="18"/>
  <c r="AZ16" i="18"/>
  <c r="AY16" i="18"/>
  <c r="BB4" i="18"/>
  <c r="DX4" i="18" s="1"/>
  <c r="BA4" i="18"/>
  <c r="DW4" i="18" s="1"/>
  <c r="AZ4" i="18"/>
  <c r="DV4" i="18" s="1"/>
  <c r="AY4" i="18"/>
  <c r="DU4" i="18" s="1"/>
  <c r="AW176" i="18"/>
  <c r="AV176" i="18"/>
  <c r="AU176" i="18"/>
  <c r="AT176" i="18"/>
  <c r="AW175" i="18"/>
  <c r="AV175" i="18"/>
  <c r="AU175" i="18"/>
  <c r="AT175" i="18"/>
  <c r="AW174" i="18"/>
  <c r="AV174" i="18"/>
  <c r="AU174" i="18"/>
  <c r="AT174" i="18"/>
  <c r="AW169" i="18"/>
  <c r="AV169" i="18"/>
  <c r="AU169" i="18"/>
  <c r="AW166" i="18"/>
  <c r="AV166" i="18"/>
  <c r="AU166" i="18"/>
  <c r="AT166" i="18"/>
  <c r="AU149" i="18"/>
  <c r="AW137" i="18"/>
  <c r="AV137" i="18"/>
  <c r="AU137" i="18"/>
  <c r="AT137" i="18"/>
  <c r="AW69" i="18"/>
  <c r="AT69" i="18"/>
  <c r="AW66" i="18"/>
  <c r="AW171" i="18" s="1"/>
  <c r="AU66" i="18"/>
  <c r="AU70" i="18" s="1"/>
  <c r="AT66" i="18"/>
  <c r="AV69" i="18"/>
  <c r="AW55" i="18"/>
  <c r="AV55" i="18"/>
  <c r="AU55" i="18"/>
  <c r="AT55" i="18"/>
  <c r="AW40" i="18"/>
  <c r="F31" i="30" s="1"/>
  <c r="AV40" i="18"/>
  <c r="E31" i="30" s="1"/>
  <c r="AU40" i="18"/>
  <c r="D31" i="30" s="1"/>
  <c r="AW39" i="18"/>
  <c r="F30" i="30" s="1"/>
  <c r="F36" i="30" s="1"/>
  <c r="AV39" i="18"/>
  <c r="E30" i="30" s="1"/>
  <c r="E36" i="30" s="1"/>
  <c r="AU39" i="18"/>
  <c r="D30" i="30" s="1"/>
  <c r="D36" i="30" s="1"/>
  <c r="AW38" i="18"/>
  <c r="F29" i="30" s="1"/>
  <c r="AV38" i="18"/>
  <c r="E29" i="30" s="1"/>
  <c r="AU38" i="18"/>
  <c r="D29" i="30" s="1"/>
  <c r="AW37" i="18"/>
  <c r="F28" i="30" s="1"/>
  <c r="AV37" i="18"/>
  <c r="AU37" i="18"/>
  <c r="AW34" i="18"/>
  <c r="AV34" i="18"/>
  <c r="AU34" i="18"/>
  <c r="AW25" i="18"/>
  <c r="AV25" i="18"/>
  <c r="AU25" i="18"/>
  <c r="AT25" i="18"/>
  <c r="AU16" i="18"/>
  <c r="AT16" i="18"/>
  <c r="AW4" i="18"/>
  <c r="DS4" i="18" s="1"/>
  <c r="AV4" i="18"/>
  <c r="DR4" i="18" s="1"/>
  <c r="AU4" i="18"/>
  <c r="DQ4" i="18" s="1"/>
  <c r="AT4" i="18"/>
  <c r="DP4" i="18" s="1"/>
  <c r="AD4" i="18"/>
  <c r="CZ4" i="18" s="1"/>
  <c r="DT2" i="18"/>
  <c r="BC2" i="18"/>
  <c r="BC137" i="18" s="1"/>
  <c r="BN112" i="18"/>
  <c r="BN109" i="18"/>
  <c r="BM112" i="18"/>
  <c r="BM109" i="18"/>
  <c r="BH112" i="18"/>
  <c r="BH109" i="18"/>
  <c r="EB65" i="18"/>
  <c r="M106" i="30" s="1"/>
  <c r="BA66" i="18"/>
  <c r="DW65" i="18"/>
  <c r="I106" i="30" s="1"/>
  <c r="AZ69" i="18"/>
  <c r="AV66" i="18"/>
  <c r="AV171" i="18" s="1"/>
  <c r="AU69" i="18"/>
  <c r="AT106" i="18"/>
  <c r="AT138" i="18"/>
  <c r="C224" i="30" s="1"/>
  <c r="DU86" i="18"/>
  <c r="DX64" i="18"/>
  <c r="J105" i="30" s="1"/>
  <c r="BS40" i="18"/>
  <c r="BS39" i="18"/>
  <c r="BS38" i="18"/>
  <c r="BS37" i="18"/>
  <c r="BT9" i="18"/>
  <c r="BT131" i="18"/>
  <c r="H471" i="14" s="1"/>
  <c r="BT23" i="18"/>
  <c r="BT21" i="18"/>
  <c r="BT20" i="18"/>
  <c r="BT19" i="18"/>
  <c r="BT5" i="18"/>
  <c r="BR131" i="18"/>
  <c r="F471" i="14" s="1"/>
  <c r="BR95" i="18"/>
  <c r="BR78" i="18"/>
  <c r="BR77" i="18"/>
  <c r="BR73" i="18"/>
  <c r="BR72" i="18"/>
  <c r="BR68" i="18"/>
  <c r="BR65" i="18"/>
  <c r="BR63" i="18"/>
  <c r="BR62" i="18"/>
  <c r="BR51" i="18"/>
  <c r="BR50" i="18"/>
  <c r="BR49" i="18"/>
  <c r="BR23" i="18"/>
  <c r="BR21" i="18"/>
  <c r="BR20" i="18"/>
  <c r="BR19" i="18"/>
  <c r="BR15" i="18"/>
  <c r="BR9" i="18"/>
  <c r="BR5" i="18"/>
  <c r="AA42" i="17"/>
  <c r="AB62" i="17" s="1"/>
  <c r="AA36" i="17"/>
  <c r="AB56" i="17" s="1"/>
  <c r="AA35" i="17"/>
  <c r="AB55" i="17" s="1"/>
  <c r="AA34" i="17"/>
  <c r="AE54" i="17" s="1"/>
  <c r="AA29" i="17"/>
  <c r="AE49" i="17" s="1"/>
  <c r="AA20" i="17"/>
  <c r="AA40" i="17" s="1"/>
  <c r="AA19" i="17"/>
  <c r="AA39" i="17" s="1"/>
  <c r="AA18" i="17"/>
  <c r="AA38" i="17" s="1"/>
  <c r="AA11" i="17"/>
  <c r="AA71" i="17" s="1"/>
  <c r="Z42" i="17"/>
  <c r="AA62" i="17" s="1"/>
  <c r="Z36" i="17"/>
  <c r="AA56" i="17" s="1"/>
  <c r="Z35" i="17"/>
  <c r="AA55" i="17" s="1"/>
  <c r="Z34" i="17"/>
  <c r="Z29" i="17"/>
  <c r="AD49" i="17" s="1"/>
  <c r="Z20" i="17"/>
  <c r="Z40" i="17" s="1"/>
  <c r="Z19" i="17"/>
  <c r="Z39" i="17" s="1"/>
  <c r="Z18" i="17"/>
  <c r="Z11" i="17"/>
  <c r="DR65" i="18"/>
  <c r="E106" i="30" s="1"/>
  <c r="C471" i="14"/>
  <c r="BS24" i="18"/>
  <c r="BT24" i="18" s="1"/>
  <c r="BS95" i="18"/>
  <c r="BT95" i="18" s="1"/>
  <c r="F11" i="22"/>
  <c r="Y42" i="17"/>
  <c r="Z62" i="17" s="1"/>
  <c r="Y36" i="17"/>
  <c r="Z56" i="17" s="1"/>
  <c r="Y35" i="17"/>
  <c r="Z55" i="17" s="1"/>
  <c r="Y34" i="17"/>
  <c r="AC54" i="17" s="1"/>
  <c r="Y29" i="17"/>
  <c r="AC49" i="17" s="1"/>
  <c r="Y20" i="17"/>
  <c r="Y40" i="17" s="1"/>
  <c r="Y19" i="17"/>
  <c r="Y39" i="17" s="1"/>
  <c r="Y18" i="17"/>
  <c r="Y38" i="17" s="1"/>
  <c r="Y11" i="17"/>
  <c r="Y71" i="17" s="1"/>
  <c r="AP149" i="18"/>
  <c r="Y78" i="17" s="1"/>
  <c r="AP66" i="18"/>
  <c r="O249" i="25"/>
  <c r="N249" i="25"/>
  <c r="M249" i="25"/>
  <c r="J249" i="25"/>
  <c r="I249" i="25"/>
  <c r="H249" i="25"/>
  <c r="G249" i="25"/>
  <c r="F249" i="25"/>
  <c r="E249" i="25"/>
  <c r="D249" i="25"/>
  <c r="B249" i="25"/>
  <c r="AO69" i="18"/>
  <c r="AJ69" i="18"/>
  <c r="DY69" i="18"/>
  <c r="DT69" i="18"/>
  <c r="DO69" i="18"/>
  <c r="CC2" i="18"/>
  <c r="CC55" i="18" s="1"/>
  <c r="CC4" i="18"/>
  <c r="BZ32" i="18"/>
  <c r="CA32" i="18"/>
  <c r="CB32" i="18"/>
  <c r="BZ33" i="18"/>
  <c r="CA33" i="18"/>
  <c r="CB33" i="18"/>
  <c r="BZ34" i="18"/>
  <c r="CA34" i="18"/>
  <c r="CB34" i="18"/>
  <c r="BZ37" i="18"/>
  <c r="CA37" i="18"/>
  <c r="CB37" i="18"/>
  <c r="BZ38" i="18"/>
  <c r="CA38" i="18"/>
  <c r="CB38" i="18"/>
  <c r="BZ39" i="18"/>
  <c r="CA39" i="18"/>
  <c r="CB39" i="18"/>
  <c r="BZ40" i="18"/>
  <c r="CA40" i="18"/>
  <c r="CB40" i="18"/>
  <c r="BZ41" i="18"/>
  <c r="CA41" i="18"/>
  <c r="CB41" i="18"/>
  <c r="CC49" i="18"/>
  <c r="CC50" i="18"/>
  <c r="CC51" i="18"/>
  <c r="CC62" i="18"/>
  <c r="CC63" i="18"/>
  <c r="CC65" i="18"/>
  <c r="CC66" i="18"/>
  <c r="CC86" i="18"/>
  <c r="CC127" i="18"/>
  <c r="CC137" i="18"/>
  <c r="CC166" i="18"/>
  <c r="X20" i="17"/>
  <c r="X40" i="17" s="1"/>
  <c r="X19" i="17"/>
  <c r="X39" i="17" s="1"/>
  <c r="X18" i="17"/>
  <c r="X38" i="17" s="1"/>
  <c r="X11" i="17"/>
  <c r="X71" i="17" s="1"/>
  <c r="X42" i="17"/>
  <c r="Y62" i="17" s="1"/>
  <c r="X36" i="17"/>
  <c r="Y56" i="17" s="1"/>
  <c r="X35" i="17"/>
  <c r="Y55" i="17" s="1"/>
  <c r="X34" i="17"/>
  <c r="AB54" i="17" s="1"/>
  <c r="X29" i="17"/>
  <c r="AB49" i="17" s="1"/>
  <c r="O138" i="24"/>
  <c r="N138" i="24"/>
  <c r="M138" i="24"/>
  <c r="L138" i="24"/>
  <c r="K138" i="24"/>
  <c r="J138" i="24"/>
  <c r="I138" i="24"/>
  <c r="H138" i="24"/>
  <c r="G138" i="24"/>
  <c r="F138" i="24"/>
  <c r="E138" i="24"/>
  <c r="D138" i="24"/>
  <c r="J39" i="19"/>
  <c r="I39" i="19"/>
  <c r="H39" i="19"/>
  <c r="H37" i="19"/>
  <c r="J22" i="19"/>
  <c r="I22" i="19"/>
  <c r="H22" i="19"/>
  <c r="DK144" i="18"/>
  <c r="AI144" i="18"/>
  <c r="R169" i="18"/>
  <c r="Q169" i="18"/>
  <c r="P169" i="18"/>
  <c r="R168" i="18"/>
  <c r="Q168" i="18"/>
  <c r="P168" i="18"/>
  <c r="X169" i="18"/>
  <c r="W169" i="18"/>
  <c r="V169" i="18"/>
  <c r="U169" i="18"/>
  <c r="X168" i="18"/>
  <c r="W168" i="18"/>
  <c r="V168" i="18"/>
  <c r="U168" i="18"/>
  <c r="DI146" i="18"/>
  <c r="DH146" i="18"/>
  <c r="DG146" i="18"/>
  <c r="DF146" i="18"/>
  <c r="DI143" i="18"/>
  <c r="DH143" i="18"/>
  <c r="DG143" i="18"/>
  <c r="DF143" i="18"/>
  <c r="DI142" i="18"/>
  <c r="DH142" i="18"/>
  <c r="DG142" i="18"/>
  <c r="DF142" i="18"/>
  <c r="DM116" i="18"/>
  <c r="DN2" i="18"/>
  <c r="DN55" i="18" s="1"/>
  <c r="DM2" i="18"/>
  <c r="DM55" i="18" s="1"/>
  <c r="DL2" i="18"/>
  <c r="DL55" i="18" s="1"/>
  <c r="DK2" i="18"/>
  <c r="DK55" i="18" s="1"/>
  <c r="DI127" i="18"/>
  <c r="DH127" i="18"/>
  <c r="DG127" i="18"/>
  <c r="DF127" i="18"/>
  <c r="DI85" i="18"/>
  <c r="DH85" i="18"/>
  <c r="DG85" i="18"/>
  <c r="DF85" i="18"/>
  <c r="DI84" i="18"/>
  <c r="DH84" i="18"/>
  <c r="DG84" i="18"/>
  <c r="DF84" i="18"/>
  <c r="DI83" i="18"/>
  <c r="DH83" i="18"/>
  <c r="DG83" i="18"/>
  <c r="DF83" i="18"/>
  <c r="DI78" i="18"/>
  <c r="DH78" i="18"/>
  <c r="DG78" i="18"/>
  <c r="DF78" i="18"/>
  <c r="DI77" i="18"/>
  <c r="DH77" i="18"/>
  <c r="DG77" i="18"/>
  <c r="DF77" i="18"/>
  <c r="AC169" i="18"/>
  <c r="AB169" i="18"/>
  <c r="AA169" i="18"/>
  <c r="AC168" i="18"/>
  <c r="AB168" i="18"/>
  <c r="AA168" i="18"/>
  <c r="AF171" i="18"/>
  <c r="AF170" i="18"/>
  <c r="AH169" i="18"/>
  <c r="AG169" i="18"/>
  <c r="AF169" i="18"/>
  <c r="AH168" i="18"/>
  <c r="AG168" i="18"/>
  <c r="AF168" i="18"/>
  <c r="AM169" i="18"/>
  <c r="AL169" i="18"/>
  <c r="AK169" i="18"/>
  <c r="AM168" i="18"/>
  <c r="AL168" i="18"/>
  <c r="AK168" i="18"/>
  <c r="AR166" i="18"/>
  <c r="AQ166" i="18"/>
  <c r="AP166" i="18"/>
  <c r="AO166" i="18"/>
  <c r="AR137" i="18"/>
  <c r="AQ137" i="18"/>
  <c r="AP137" i="18"/>
  <c r="AO137" i="18"/>
  <c r="AR55" i="18"/>
  <c r="AQ55" i="18"/>
  <c r="AP55" i="18"/>
  <c r="AO55" i="18"/>
  <c r="AR4" i="18"/>
  <c r="DN4" i="18" s="1"/>
  <c r="AQ4" i="18"/>
  <c r="DM4" i="18" s="1"/>
  <c r="AP4" i="18"/>
  <c r="DL4" i="18" s="1"/>
  <c r="AO4" i="18"/>
  <c r="DK4" i="18" s="1"/>
  <c r="DO4" i="18"/>
  <c r="DJ4" i="18"/>
  <c r="DO55" i="18"/>
  <c r="DJ55" i="18"/>
  <c r="DM144" i="18"/>
  <c r="DF145" i="18"/>
  <c r="DG145" i="18"/>
  <c r="DH145" i="18"/>
  <c r="DI145" i="18"/>
  <c r="DL144" i="18"/>
  <c r="M25" i="18"/>
  <c r="J51" i="20" s="1"/>
  <c r="L25" i="18"/>
  <c r="I51" i="20" s="1"/>
  <c r="K25" i="18"/>
  <c r="H51" i="20" s="1"/>
  <c r="J25" i="18"/>
  <c r="E25" i="18"/>
  <c r="H25" i="18"/>
  <c r="F51" i="20" s="1"/>
  <c r="G25" i="18"/>
  <c r="E51" i="20" s="1"/>
  <c r="F25" i="18"/>
  <c r="D51" i="20" s="1"/>
  <c r="C25" i="18"/>
  <c r="C51" i="20" s="1"/>
  <c r="DN144" i="18"/>
  <c r="BR144" i="18"/>
  <c r="X23" i="16"/>
  <c r="W23" i="16"/>
  <c r="U23" i="16"/>
  <c r="W22" i="16"/>
  <c r="R22" i="16"/>
  <c r="H29" i="12"/>
  <c r="H72" i="12" s="1"/>
  <c r="G29" i="12"/>
  <c r="G72" i="12" s="1"/>
  <c r="F29" i="12"/>
  <c r="F72" i="12" s="1"/>
  <c r="E29" i="12"/>
  <c r="E72" i="12" s="1"/>
  <c r="D29" i="12"/>
  <c r="D72" i="12" s="1"/>
  <c r="C29" i="12"/>
  <c r="C72" i="12" s="1"/>
  <c r="J103" i="25"/>
  <c r="K103" i="25" s="1"/>
  <c r="L103" i="25" s="1"/>
  <c r="M103" i="25" s="1"/>
  <c r="N103" i="25" s="1"/>
  <c r="O103" i="25" s="1"/>
  <c r="P103" i="25" s="1"/>
  <c r="Q103" i="25" s="1"/>
  <c r="H277" i="25"/>
  <c r="G277" i="25"/>
  <c r="G278" i="25" s="1"/>
  <c r="F277" i="25"/>
  <c r="F278" i="25" s="1"/>
  <c r="E277" i="25"/>
  <c r="E278" i="25" s="1"/>
  <c r="D277" i="25"/>
  <c r="D278" i="25" s="1"/>
  <c r="C277" i="25"/>
  <c r="C278" i="25" s="1"/>
  <c r="I277" i="25"/>
  <c r="G138" i="25"/>
  <c r="V9" i="16" s="1"/>
  <c r="F138" i="25"/>
  <c r="E138" i="25"/>
  <c r="D138" i="25"/>
  <c r="S9" i="16" s="1"/>
  <c r="C138" i="25"/>
  <c r="C28" i="12" s="1"/>
  <c r="C71" i="12" s="1"/>
  <c r="E120" i="25"/>
  <c r="E148" i="25" s="1"/>
  <c r="J120" i="25"/>
  <c r="K120" i="25" s="1"/>
  <c r="L120" i="25" s="1"/>
  <c r="M120" i="25" s="1"/>
  <c r="N120" i="25" s="1"/>
  <c r="O120" i="25" s="1"/>
  <c r="P120" i="25" s="1"/>
  <c r="Q120" i="25" s="1"/>
  <c r="R120" i="25" s="1"/>
  <c r="S120" i="25" s="1"/>
  <c r="T120" i="25" s="1"/>
  <c r="U120" i="25" s="1"/>
  <c r="V120" i="25" s="1"/>
  <c r="W120" i="25" s="1"/>
  <c r="X120" i="25" s="1"/>
  <c r="Y120" i="25" s="1"/>
  <c r="Z120" i="25" s="1"/>
  <c r="F186" i="24"/>
  <c r="E186" i="24"/>
  <c r="D186" i="24"/>
  <c r="G182" i="24"/>
  <c r="F182" i="24"/>
  <c r="E182" i="24"/>
  <c r="D182" i="24"/>
  <c r="J343" i="25"/>
  <c r="K343" i="25" s="1"/>
  <c r="L343" i="25" s="1"/>
  <c r="M343" i="25" s="1"/>
  <c r="N343" i="25" s="1"/>
  <c r="O343" i="25" s="1"/>
  <c r="I334" i="25"/>
  <c r="J332" i="25"/>
  <c r="K332" i="25" s="1"/>
  <c r="L332" i="25" s="1"/>
  <c r="M332" i="25" s="1"/>
  <c r="N332" i="25" s="1"/>
  <c r="O332" i="25" s="1"/>
  <c r="I354" i="25"/>
  <c r="J354" i="25" s="1"/>
  <c r="K354" i="25" s="1"/>
  <c r="L354" i="25" s="1"/>
  <c r="M354" i="25" s="1"/>
  <c r="N354" i="25" s="1"/>
  <c r="O354" i="25" s="1"/>
  <c r="I379" i="25"/>
  <c r="I318" i="25"/>
  <c r="N242" i="25"/>
  <c r="N248" i="25" s="1"/>
  <c r="M242" i="25"/>
  <c r="M248" i="25" s="1"/>
  <c r="L242" i="25"/>
  <c r="L248" i="25" s="1"/>
  <c r="K242" i="25"/>
  <c r="K248" i="25" s="1"/>
  <c r="J242" i="25"/>
  <c r="J248" i="25" s="1"/>
  <c r="D248" i="25"/>
  <c r="D247" i="25"/>
  <c r="F246" i="25"/>
  <c r="E246" i="25"/>
  <c r="D246" i="25"/>
  <c r="H251" i="25"/>
  <c r="I242" i="25"/>
  <c r="I248" i="25" s="1"/>
  <c r="H242" i="25"/>
  <c r="H248" i="25" s="1"/>
  <c r="G242" i="25"/>
  <c r="G248" i="25" s="1"/>
  <c r="F242" i="25"/>
  <c r="F248" i="25" s="1"/>
  <c r="E242" i="25"/>
  <c r="E248" i="25" s="1"/>
  <c r="E239" i="25"/>
  <c r="E245" i="25" s="1"/>
  <c r="F239" i="25"/>
  <c r="F245" i="25" s="1"/>
  <c r="G239" i="25"/>
  <c r="G245" i="25" s="1"/>
  <c r="H239" i="25"/>
  <c r="H245" i="25" s="1"/>
  <c r="I239" i="25"/>
  <c r="I245" i="25" s="1"/>
  <c r="G240" i="25"/>
  <c r="G246" i="25" s="1"/>
  <c r="H240" i="25"/>
  <c r="H246" i="25" s="1"/>
  <c r="I240" i="25"/>
  <c r="I246" i="25" s="1"/>
  <c r="E241" i="25"/>
  <c r="E247" i="25" s="1"/>
  <c r="F241" i="25"/>
  <c r="F247" i="25" s="1"/>
  <c r="G241" i="25"/>
  <c r="G247" i="25" s="1"/>
  <c r="H241" i="25"/>
  <c r="H247" i="25" s="1"/>
  <c r="I241" i="25"/>
  <c r="I247" i="25" s="1"/>
  <c r="J237" i="25"/>
  <c r="J241" i="25" s="1"/>
  <c r="J247" i="25" s="1"/>
  <c r="D239" i="25"/>
  <c r="D245" i="25" s="1"/>
  <c r="I224" i="25"/>
  <c r="X76" i="16" s="1"/>
  <c r="H224" i="25"/>
  <c r="W76" i="16" s="1"/>
  <c r="D220" i="25"/>
  <c r="E220" i="25"/>
  <c r="F220" i="25"/>
  <c r="G220" i="25"/>
  <c r="H220" i="25"/>
  <c r="I220" i="25"/>
  <c r="J220" i="25" s="1"/>
  <c r="K220" i="25" s="1"/>
  <c r="K107" i="25" s="1"/>
  <c r="D221" i="25"/>
  <c r="E221" i="25"/>
  <c r="F221" i="25"/>
  <c r="G221" i="25"/>
  <c r="H221" i="25"/>
  <c r="I221" i="25"/>
  <c r="I384" i="25"/>
  <c r="I404" i="25" s="1"/>
  <c r="H384" i="25"/>
  <c r="H404" i="25" s="1"/>
  <c r="F384" i="25"/>
  <c r="F404" i="25" s="1"/>
  <c r="H383" i="25"/>
  <c r="H403" i="25" s="1"/>
  <c r="C383" i="25"/>
  <c r="C403" i="25" s="1"/>
  <c r="I200" i="25"/>
  <c r="H22" i="31" s="1"/>
  <c r="G206" i="25"/>
  <c r="G200" i="25"/>
  <c r="F200" i="25"/>
  <c r="U22" i="16" s="1"/>
  <c r="G190" i="25"/>
  <c r="G208" i="25" s="1"/>
  <c r="I208" i="25"/>
  <c r="H208" i="25"/>
  <c r="F208" i="25"/>
  <c r="E208" i="25"/>
  <c r="D208" i="25"/>
  <c r="I207" i="25"/>
  <c r="J207" i="25" s="1"/>
  <c r="J206" i="25" s="1"/>
  <c r="Y23" i="16" s="1"/>
  <c r="H207" i="25"/>
  <c r="J205" i="25"/>
  <c r="I205" i="25"/>
  <c r="H205" i="25"/>
  <c r="G205" i="25"/>
  <c r="F205" i="25"/>
  <c r="E205" i="25"/>
  <c r="D205" i="25"/>
  <c r="I213" i="25"/>
  <c r="E200" i="25"/>
  <c r="D22" i="31" s="1"/>
  <c r="D200" i="25"/>
  <c r="C22" i="31" s="1"/>
  <c r="H194" i="25"/>
  <c r="H196" i="25" s="1"/>
  <c r="I268" i="25"/>
  <c r="I265" i="25"/>
  <c r="I109" i="25"/>
  <c r="I280" i="25" s="1"/>
  <c r="I104" i="25"/>
  <c r="I215" i="25" s="1"/>
  <c r="I91" i="25"/>
  <c r="I274" i="25" s="1"/>
  <c r="I97" i="25"/>
  <c r="I271" i="25" s="1"/>
  <c r="BH120" i="18"/>
  <c r="ED120" i="18" s="1"/>
  <c r="BN120" i="18"/>
  <c r="BM120" i="18"/>
  <c r="W42" i="17"/>
  <c r="X62" i="17" s="1"/>
  <c r="W36" i="17"/>
  <c r="X56" i="17" s="1"/>
  <c r="W35" i="17"/>
  <c r="X55" i="17" s="1"/>
  <c r="W34" i="17"/>
  <c r="AA54" i="17" s="1"/>
  <c r="W29" i="17"/>
  <c r="AA49" i="17" s="1"/>
  <c r="W20" i="17"/>
  <c r="W19" i="17"/>
  <c r="W39" i="17" s="1"/>
  <c r="W18" i="17"/>
  <c r="W11" i="17"/>
  <c r="W31" i="17" s="1"/>
  <c r="G470" i="14"/>
  <c r="E470" i="14"/>
  <c r="G471" i="14"/>
  <c r="E471" i="14"/>
  <c r="G469" i="14"/>
  <c r="E469" i="14"/>
  <c r="N214" i="25"/>
  <c r="H104" i="25"/>
  <c r="H283" i="25" s="1"/>
  <c r="H109" i="25"/>
  <c r="H280" i="25" s="1"/>
  <c r="H97" i="25"/>
  <c r="H271" i="25" s="1"/>
  <c r="E459" i="14"/>
  <c r="D459" i="14"/>
  <c r="C459" i="14"/>
  <c r="F273" i="24"/>
  <c r="G185" i="24"/>
  <c r="F8" i="25"/>
  <c r="E8" i="25"/>
  <c r="T40" i="16" s="1"/>
  <c r="D8" i="25"/>
  <c r="C8" i="25"/>
  <c r="R40" i="16" s="1"/>
  <c r="C39" i="19"/>
  <c r="E41" i="19"/>
  <c r="D41" i="19"/>
  <c r="C41" i="19"/>
  <c r="E39" i="19"/>
  <c r="D39" i="19"/>
  <c r="E37" i="19"/>
  <c r="D37" i="19"/>
  <c r="C37" i="19"/>
  <c r="E35" i="19"/>
  <c r="D35" i="19"/>
  <c r="C35" i="19"/>
  <c r="E31" i="19"/>
  <c r="D31" i="19"/>
  <c r="C31" i="19"/>
  <c r="E29" i="19"/>
  <c r="D29" i="19"/>
  <c r="C29" i="19"/>
  <c r="E22" i="19"/>
  <c r="D22" i="19"/>
  <c r="C22" i="19"/>
  <c r="E11" i="19"/>
  <c r="D11" i="19"/>
  <c r="C11" i="19"/>
  <c r="V42" i="17"/>
  <c r="W62" i="17" s="1"/>
  <c r="U42" i="17"/>
  <c r="V62" i="17" s="1"/>
  <c r="T42" i="17"/>
  <c r="U62" i="17" s="1"/>
  <c r="S42" i="17"/>
  <c r="T62" i="17" s="1"/>
  <c r="R42" i="17"/>
  <c r="S62" i="17" s="1"/>
  <c r="Q42" i="17"/>
  <c r="R62" i="17" s="1"/>
  <c r="P42" i="17"/>
  <c r="Q62" i="17" s="1"/>
  <c r="O42" i="17"/>
  <c r="P62" i="17" s="1"/>
  <c r="N42" i="17"/>
  <c r="O62" i="17" s="1"/>
  <c r="M42" i="17"/>
  <c r="N62" i="17" s="1"/>
  <c r="L42" i="17"/>
  <c r="M62" i="17" s="1"/>
  <c r="K42" i="17"/>
  <c r="L62" i="17" s="1"/>
  <c r="J42" i="17"/>
  <c r="K62" i="17" s="1"/>
  <c r="I42" i="17"/>
  <c r="J62" i="17" s="1"/>
  <c r="H42" i="17"/>
  <c r="I62" i="17" s="1"/>
  <c r="G42" i="17"/>
  <c r="H62" i="17" s="1"/>
  <c r="F42" i="17"/>
  <c r="G62" i="17" s="1"/>
  <c r="E42" i="17"/>
  <c r="D42" i="17"/>
  <c r="C42" i="17"/>
  <c r="V36" i="17"/>
  <c r="W56" i="17" s="1"/>
  <c r="U36" i="17"/>
  <c r="V56" i="17" s="1"/>
  <c r="T36" i="17"/>
  <c r="U56" i="17" s="1"/>
  <c r="S36" i="17"/>
  <c r="T56" i="17" s="1"/>
  <c r="R36" i="17"/>
  <c r="S56" i="17" s="1"/>
  <c r="Q36" i="17"/>
  <c r="R56" i="17" s="1"/>
  <c r="P36" i="17"/>
  <c r="Q56" i="17" s="1"/>
  <c r="O36" i="17"/>
  <c r="P56" i="17" s="1"/>
  <c r="N36" i="17"/>
  <c r="O56" i="17" s="1"/>
  <c r="M36" i="17"/>
  <c r="N56" i="17" s="1"/>
  <c r="L36" i="17"/>
  <c r="M56" i="17" s="1"/>
  <c r="K36" i="17"/>
  <c r="L56" i="17" s="1"/>
  <c r="J36" i="17"/>
  <c r="K56" i="17" s="1"/>
  <c r="I36" i="17"/>
  <c r="J56" i="17" s="1"/>
  <c r="H36" i="17"/>
  <c r="I56" i="17" s="1"/>
  <c r="G36" i="17"/>
  <c r="H56" i="17" s="1"/>
  <c r="F36" i="17"/>
  <c r="G56" i="17" s="1"/>
  <c r="E36" i="17"/>
  <c r="D36" i="17"/>
  <c r="C36" i="17"/>
  <c r="V35" i="17"/>
  <c r="W55" i="17" s="1"/>
  <c r="U35" i="17"/>
  <c r="V55" i="17" s="1"/>
  <c r="T35" i="17"/>
  <c r="U55" i="17" s="1"/>
  <c r="S35" i="17"/>
  <c r="T55" i="17" s="1"/>
  <c r="R35" i="17"/>
  <c r="S55" i="17" s="1"/>
  <c r="Q35" i="17"/>
  <c r="R55" i="17" s="1"/>
  <c r="P35" i="17"/>
  <c r="Q55" i="17" s="1"/>
  <c r="O35" i="17"/>
  <c r="P55" i="17" s="1"/>
  <c r="N35" i="17"/>
  <c r="O55" i="17" s="1"/>
  <c r="M35" i="17"/>
  <c r="N55" i="17" s="1"/>
  <c r="L35" i="17"/>
  <c r="M55" i="17" s="1"/>
  <c r="K35" i="17"/>
  <c r="L55" i="17" s="1"/>
  <c r="J35" i="17"/>
  <c r="K55" i="17" s="1"/>
  <c r="I35" i="17"/>
  <c r="J55" i="17" s="1"/>
  <c r="H35" i="17"/>
  <c r="I55" i="17" s="1"/>
  <c r="G35" i="17"/>
  <c r="H55" i="17" s="1"/>
  <c r="F35" i="17"/>
  <c r="G55" i="17" s="1"/>
  <c r="E35" i="17"/>
  <c r="D35" i="17"/>
  <c r="C35" i="17"/>
  <c r="V34" i="17"/>
  <c r="Z54" i="17" s="1"/>
  <c r="U34" i="17"/>
  <c r="Y54" i="17" s="1"/>
  <c r="T34" i="17"/>
  <c r="X54" i="17" s="1"/>
  <c r="S34" i="17"/>
  <c r="W54" i="17" s="1"/>
  <c r="R34" i="17"/>
  <c r="Q34" i="17"/>
  <c r="U54" i="17" s="1"/>
  <c r="P34" i="17"/>
  <c r="T54" i="17" s="1"/>
  <c r="O34" i="17"/>
  <c r="S54" i="17" s="1"/>
  <c r="N34" i="17"/>
  <c r="R54" i="17" s="1"/>
  <c r="M34" i="17"/>
  <c r="Q54" i="17" s="1"/>
  <c r="L34" i="17"/>
  <c r="P54" i="17" s="1"/>
  <c r="K34" i="17"/>
  <c r="O54" i="17" s="1"/>
  <c r="J34" i="17"/>
  <c r="N54" i="17" s="1"/>
  <c r="I34" i="17"/>
  <c r="M54" i="17" s="1"/>
  <c r="H34" i="17"/>
  <c r="L54" i="17" s="1"/>
  <c r="G34" i="17"/>
  <c r="K54" i="17" s="1"/>
  <c r="F34" i="17"/>
  <c r="J54" i="17" s="1"/>
  <c r="E34" i="17"/>
  <c r="D34" i="17"/>
  <c r="H54" i="17" s="1"/>
  <c r="C34" i="17"/>
  <c r="V29" i="17"/>
  <c r="Z49" i="17" s="1"/>
  <c r="U29" i="17"/>
  <c r="Y49" i="17" s="1"/>
  <c r="T29" i="17"/>
  <c r="X49" i="17" s="1"/>
  <c r="S29" i="17"/>
  <c r="W49" i="17" s="1"/>
  <c r="R29" i="17"/>
  <c r="V49" i="17" s="1"/>
  <c r="Q29" i="17"/>
  <c r="U49" i="17" s="1"/>
  <c r="P29" i="17"/>
  <c r="T49" i="17" s="1"/>
  <c r="O29" i="17"/>
  <c r="S49" i="17" s="1"/>
  <c r="N29" i="17"/>
  <c r="R49" i="17" s="1"/>
  <c r="M29" i="17"/>
  <c r="Q49" i="17" s="1"/>
  <c r="L29" i="17"/>
  <c r="P49" i="17" s="1"/>
  <c r="K29" i="17"/>
  <c r="O49" i="17" s="1"/>
  <c r="J29" i="17"/>
  <c r="N49" i="17" s="1"/>
  <c r="I29" i="17"/>
  <c r="M49" i="17" s="1"/>
  <c r="H29" i="17"/>
  <c r="L49" i="17" s="1"/>
  <c r="G29" i="17"/>
  <c r="F29" i="17"/>
  <c r="J49" i="17" s="1"/>
  <c r="E29" i="17"/>
  <c r="I49" i="17" s="1"/>
  <c r="D29" i="17"/>
  <c r="H49" i="17" s="1"/>
  <c r="C29" i="17"/>
  <c r="G49" i="17" s="1"/>
  <c r="V11" i="17"/>
  <c r="U11" i="17"/>
  <c r="T11" i="17"/>
  <c r="S11" i="17"/>
  <c r="R11" i="17"/>
  <c r="R31" i="17" s="1"/>
  <c r="Q11" i="17"/>
  <c r="Q31" i="17" s="1"/>
  <c r="P11" i="17"/>
  <c r="P71" i="17" s="1"/>
  <c r="O11" i="17"/>
  <c r="O31" i="17" s="1"/>
  <c r="N11" i="17"/>
  <c r="N31" i="17" s="1"/>
  <c r="M11" i="17"/>
  <c r="M31" i="17" s="1"/>
  <c r="L11" i="17"/>
  <c r="K11" i="17"/>
  <c r="K31" i="17" s="1"/>
  <c r="J11" i="17"/>
  <c r="I11" i="17"/>
  <c r="H11" i="17"/>
  <c r="H31" i="17" s="1"/>
  <c r="G11" i="17"/>
  <c r="G31" i="17" s="1"/>
  <c r="F11" i="17"/>
  <c r="F31" i="17" s="1"/>
  <c r="E11" i="17"/>
  <c r="E31" i="17" s="1"/>
  <c r="D11" i="17"/>
  <c r="D31" i="17" s="1"/>
  <c r="C11" i="17"/>
  <c r="C31" i="17" s="1"/>
  <c r="L10" i="17"/>
  <c r="L30" i="17" s="1"/>
  <c r="C21" i="17"/>
  <c r="C41" i="17" s="1"/>
  <c r="V20" i="17"/>
  <c r="V40" i="17" s="1"/>
  <c r="U20" i="17"/>
  <c r="U40" i="17" s="1"/>
  <c r="T20" i="17"/>
  <c r="T40" i="17" s="1"/>
  <c r="S20" i="17"/>
  <c r="S40" i="17" s="1"/>
  <c r="R20" i="17"/>
  <c r="Q20" i="17"/>
  <c r="Q40" i="17" s="1"/>
  <c r="P20" i="17"/>
  <c r="O20" i="17"/>
  <c r="O40" i="17" s="1"/>
  <c r="N20" i="17"/>
  <c r="N40" i="17" s="1"/>
  <c r="M20" i="17"/>
  <c r="L20" i="17"/>
  <c r="L40" i="17" s="1"/>
  <c r="K20" i="17"/>
  <c r="K40" i="17" s="1"/>
  <c r="J20" i="17"/>
  <c r="J40" i="17" s="1"/>
  <c r="I20" i="17"/>
  <c r="I40" i="17" s="1"/>
  <c r="H20" i="17"/>
  <c r="H40" i="17" s="1"/>
  <c r="G20" i="17"/>
  <c r="G40" i="17" s="1"/>
  <c r="F40" i="17" s="1"/>
  <c r="F20" i="17"/>
  <c r="E20" i="17"/>
  <c r="D20" i="17"/>
  <c r="D40" i="17" s="1"/>
  <c r="C20" i="17"/>
  <c r="C40" i="17" s="1"/>
  <c r="V19" i="17"/>
  <c r="V39" i="17" s="1"/>
  <c r="U19" i="17"/>
  <c r="T19" i="17"/>
  <c r="T39" i="17" s="1"/>
  <c r="S19" i="17"/>
  <c r="S39" i="17" s="1"/>
  <c r="R19" i="17"/>
  <c r="R39" i="17" s="1"/>
  <c r="Q19" i="17"/>
  <c r="Q39" i="17" s="1"/>
  <c r="P19" i="17"/>
  <c r="P39" i="17" s="1"/>
  <c r="O19" i="17"/>
  <c r="O39" i="17" s="1"/>
  <c r="N19" i="17"/>
  <c r="M19" i="17"/>
  <c r="M39" i="17" s="1"/>
  <c r="L19" i="17"/>
  <c r="L39" i="17" s="1"/>
  <c r="K19" i="17"/>
  <c r="K39" i="17" s="1"/>
  <c r="J19" i="17"/>
  <c r="I19" i="17"/>
  <c r="I39" i="17" s="1"/>
  <c r="H19" i="17"/>
  <c r="G19" i="17"/>
  <c r="G39" i="17" s="1"/>
  <c r="F39" i="17" s="1"/>
  <c r="F19" i="17"/>
  <c r="E19" i="17"/>
  <c r="D19" i="17"/>
  <c r="D39" i="17" s="1"/>
  <c r="C19" i="17"/>
  <c r="C39" i="17" s="1"/>
  <c r="V18" i="17"/>
  <c r="U18" i="17"/>
  <c r="T18" i="17"/>
  <c r="S18" i="17"/>
  <c r="S7" i="17" s="1"/>
  <c r="S8" i="17" s="1"/>
  <c r="R18" i="17"/>
  <c r="R38" i="17" s="1"/>
  <c r="Q18" i="17"/>
  <c r="Q38" i="17" s="1"/>
  <c r="P18" i="17"/>
  <c r="P38" i="17" s="1"/>
  <c r="O18" i="17"/>
  <c r="N18" i="17"/>
  <c r="M18" i="17"/>
  <c r="L18" i="17"/>
  <c r="L7" i="17" s="1"/>
  <c r="K18" i="17"/>
  <c r="K7" i="17" s="1"/>
  <c r="J18" i="17"/>
  <c r="J58" i="17" s="1"/>
  <c r="I18" i="17"/>
  <c r="I38" i="17" s="1"/>
  <c r="H18" i="17"/>
  <c r="H58" i="17" s="1"/>
  <c r="G18" i="17"/>
  <c r="F18" i="17"/>
  <c r="F7" i="17" s="1"/>
  <c r="F8" i="17" s="1"/>
  <c r="E18" i="17"/>
  <c r="E7" i="17" s="1"/>
  <c r="E8" i="17" s="1"/>
  <c r="D18" i="17"/>
  <c r="D7" i="17" s="1"/>
  <c r="D8" i="17" s="1"/>
  <c r="C18" i="17"/>
  <c r="C7" i="17" s="1"/>
  <c r="Q5" i="17"/>
  <c r="Q69" i="17" s="1"/>
  <c r="C5" i="17"/>
  <c r="H380" i="25"/>
  <c r="H379" i="25"/>
  <c r="AK149" i="18"/>
  <c r="U78" i="17" s="1"/>
  <c r="AK25" i="18"/>
  <c r="AK24" i="18"/>
  <c r="DL24" i="18" s="1"/>
  <c r="AK16" i="18"/>
  <c r="AK66" i="18"/>
  <c r="B36" i="18"/>
  <c r="AI146" i="18"/>
  <c r="AI145" i="18"/>
  <c r="AI143" i="18"/>
  <c r="AI142" i="18"/>
  <c r="AJ16" i="18"/>
  <c r="AJ25" i="18"/>
  <c r="AJ24" i="18"/>
  <c r="DK24" i="18" s="1"/>
  <c r="B242" i="25"/>
  <c r="B241" i="25"/>
  <c r="B240" i="25"/>
  <c r="B248" i="25"/>
  <c r="B247" i="25"/>
  <c r="B246" i="25"/>
  <c r="B245" i="25"/>
  <c r="N247" i="25"/>
  <c r="O247" i="25"/>
  <c r="AI4" i="18"/>
  <c r="DE4" i="18" s="1"/>
  <c r="AX4" i="18"/>
  <c r="AS4" i="18"/>
  <c r="AN4" i="18"/>
  <c r="DF120" i="18"/>
  <c r="DH120" i="18"/>
  <c r="DG116" i="18"/>
  <c r="DF116" i="18"/>
  <c r="DH111" i="18"/>
  <c r="DG111" i="18"/>
  <c r="DH110" i="18"/>
  <c r="DF110" i="18"/>
  <c r="DH105" i="18"/>
  <c r="DH72" i="18"/>
  <c r="DG65" i="18"/>
  <c r="AJ66" i="18"/>
  <c r="C5" i="19" s="1"/>
  <c r="DH63" i="18"/>
  <c r="DG62" i="18"/>
  <c r="DG120" i="18"/>
  <c r="DH112" i="18"/>
  <c r="DG112" i="18"/>
  <c r="DF112" i="18"/>
  <c r="DF111" i="18"/>
  <c r="DG110" i="18"/>
  <c r="DF109" i="18"/>
  <c r="DG105" i="18"/>
  <c r="DF105" i="18"/>
  <c r="DH73" i="18"/>
  <c r="DG73" i="18"/>
  <c r="DF73" i="18"/>
  <c r="DG72" i="18"/>
  <c r="DF72" i="18"/>
  <c r="DH65" i="18"/>
  <c r="DF65" i="18"/>
  <c r="DG63" i="18"/>
  <c r="DF63" i="18"/>
  <c r="DH62" i="18"/>
  <c r="DF62" i="18"/>
  <c r="DF50" i="18"/>
  <c r="DI2" i="18"/>
  <c r="DI55" i="18" s="1"/>
  <c r="DH2" i="18"/>
  <c r="DH55" i="18" s="1"/>
  <c r="DG2" i="18"/>
  <c r="DG55" i="18" s="1"/>
  <c r="DF2" i="18"/>
  <c r="DF55" i="18" s="1"/>
  <c r="AJ139" i="18"/>
  <c r="DH109" i="18"/>
  <c r="DG109" i="18"/>
  <c r="AL66" i="18"/>
  <c r="AL139" i="18"/>
  <c r="DH116" i="18"/>
  <c r="AK139" i="18"/>
  <c r="AJ174" i="18"/>
  <c r="AM166" i="18"/>
  <c r="AL166" i="18"/>
  <c r="AK166" i="18"/>
  <c r="AJ166" i="18"/>
  <c r="AM55" i="18"/>
  <c r="AL55" i="18"/>
  <c r="AK55" i="18"/>
  <c r="AJ55" i="18"/>
  <c r="AM137" i="18"/>
  <c r="AL137" i="18"/>
  <c r="AK137" i="18"/>
  <c r="AJ137" i="18"/>
  <c r="AM4" i="18"/>
  <c r="DI4" i="18" s="1"/>
  <c r="AL4" i="18"/>
  <c r="DH4" i="18" s="1"/>
  <c r="AK4" i="18"/>
  <c r="DG4" i="18" s="1"/>
  <c r="AJ4" i="18"/>
  <c r="DF4" i="18" s="1"/>
  <c r="H318" i="25"/>
  <c r="G29" i="31" s="1"/>
  <c r="H301" i="25"/>
  <c r="H268" i="25"/>
  <c r="H265" i="25"/>
  <c r="H203" i="25"/>
  <c r="I199" i="25" s="1"/>
  <c r="G129" i="25"/>
  <c r="AD142" i="18" s="1"/>
  <c r="H91" i="25"/>
  <c r="H274" i="25" s="1"/>
  <c r="AI127" i="18"/>
  <c r="AI120" i="18"/>
  <c r="AI116" i="18"/>
  <c r="H76" i="25" s="1"/>
  <c r="H298" i="25" s="1"/>
  <c r="AI112" i="18"/>
  <c r="AI111" i="18"/>
  <c r="H70" i="25" s="1"/>
  <c r="AI110" i="18"/>
  <c r="H69" i="25" s="1"/>
  <c r="W81" i="16" s="1"/>
  <c r="AI109" i="18"/>
  <c r="H68" i="25" s="1"/>
  <c r="AI105" i="18"/>
  <c r="AI95" i="18"/>
  <c r="AI85" i="18"/>
  <c r="AI84" i="18"/>
  <c r="AI83" i="18"/>
  <c r="AI78" i="18"/>
  <c r="H43" i="25" s="1"/>
  <c r="AI77" i="18"/>
  <c r="AI73" i="18"/>
  <c r="AI72" i="18"/>
  <c r="AI63" i="18"/>
  <c r="H181" i="24" s="1"/>
  <c r="H6" i="25" s="1"/>
  <c r="AI62" i="18"/>
  <c r="H179" i="24" s="1"/>
  <c r="H5" i="25" s="1"/>
  <c r="AI51" i="18"/>
  <c r="DJ51" i="18" s="1"/>
  <c r="AI50" i="18"/>
  <c r="AI49" i="18"/>
  <c r="DJ49" i="18" s="1"/>
  <c r="AI46" i="18"/>
  <c r="AI44" i="18"/>
  <c r="AI23" i="18"/>
  <c r="AI21" i="18"/>
  <c r="AI20" i="18"/>
  <c r="AJ38" i="18" s="1"/>
  <c r="C38" i="19" s="1"/>
  <c r="AI19" i="18"/>
  <c r="AI15" i="18"/>
  <c r="H54" i="24" s="1"/>
  <c r="W218" i="16" s="1"/>
  <c r="AI9" i="18"/>
  <c r="H38" i="24" s="1"/>
  <c r="H52" i="24" s="1"/>
  <c r="AI5" i="18"/>
  <c r="BC112" i="18"/>
  <c r="AX166" i="18"/>
  <c r="AX137" i="18"/>
  <c r="AX55" i="18"/>
  <c r="AH40" i="18"/>
  <c r="AH39" i="18"/>
  <c r="AH38" i="18"/>
  <c r="AH37" i="18"/>
  <c r="AH34" i="18"/>
  <c r="AH33" i="18"/>
  <c r="AH32" i="18"/>
  <c r="AH176" i="18"/>
  <c r="AH175" i="18"/>
  <c r="AH174" i="18"/>
  <c r="EC112" i="18"/>
  <c r="EC109" i="18"/>
  <c r="G180" i="24"/>
  <c r="F180" i="24"/>
  <c r="E180" i="24"/>
  <c r="D180" i="24"/>
  <c r="F187" i="24"/>
  <c r="F173" i="24" s="1"/>
  <c r="E187" i="24"/>
  <c r="E216" i="24" s="1"/>
  <c r="E220" i="24" s="1"/>
  <c r="D187" i="24"/>
  <c r="D5" i="24" s="1"/>
  <c r="C187" i="24"/>
  <c r="C216" i="24" s="1"/>
  <c r="CG18" i="18"/>
  <c r="CH18" i="18"/>
  <c r="CI18" i="18"/>
  <c r="CJ18" i="18"/>
  <c r="CK18" i="18"/>
  <c r="CL18" i="18"/>
  <c r="CM18" i="18"/>
  <c r="CN18" i="18"/>
  <c r="CO18" i="18"/>
  <c r="CP18" i="18"/>
  <c r="AG40" i="18"/>
  <c r="AG39" i="18"/>
  <c r="AG38" i="18"/>
  <c r="AG37" i="18"/>
  <c r="AG34" i="18"/>
  <c r="AG33" i="18"/>
  <c r="AG32" i="18"/>
  <c r="AG24" i="18"/>
  <c r="AG25" i="18" s="1"/>
  <c r="AG176" i="18"/>
  <c r="AG175" i="18"/>
  <c r="AG174" i="18"/>
  <c r="DD4" i="18"/>
  <c r="DC4" i="18"/>
  <c r="DB4" i="18"/>
  <c r="DA4" i="18"/>
  <c r="CY4" i="18"/>
  <c r="CX4" i="18"/>
  <c r="CW4" i="18"/>
  <c r="CV4" i="18"/>
  <c r="CU4" i="18"/>
  <c r="CT4" i="18"/>
  <c r="CS4" i="18"/>
  <c r="CR4" i="18"/>
  <c r="CQ4" i="18"/>
  <c r="CP4" i="18"/>
  <c r="CO4" i="18"/>
  <c r="CN4" i="18"/>
  <c r="CM4" i="18"/>
  <c r="CL4" i="18"/>
  <c r="CK4" i="18"/>
  <c r="CJ4" i="18"/>
  <c r="CI4" i="18"/>
  <c r="CH4" i="18"/>
  <c r="CG4" i="18"/>
  <c r="AG149" i="18"/>
  <c r="AF149" i="18"/>
  <c r="AF176" i="18"/>
  <c r="AF175" i="18"/>
  <c r="AF174" i="18"/>
  <c r="AF139" i="18"/>
  <c r="AF128" i="18"/>
  <c r="AF74" i="18"/>
  <c r="AF79" i="18" s="1"/>
  <c r="AF80" i="18" s="1"/>
  <c r="AF40" i="18"/>
  <c r="AF39" i="18"/>
  <c r="AF38" i="18"/>
  <c r="AF37" i="18"/>
  <c r="AF34" i="18"/>
  <c r="AF33" i="18"/>
  <c r="AF32" i="18"/>
  <c r="G400" i="25"/>
  <c r="G394" i="25"/>
  <c r="G87" i="12" s="1"/>
  <c r="G380" i="25"/>
  <c r="G379" i="25"/>
  <c r="G385" i="25"/>
  <c r="G318" i="25"/>
  <c r="G301" i="25"/>
  <c r="G298" i="25"/>
  <c r="G293" i="25"/>
  <c r="G268" i="25"/>
  <c r="G269" i="25" s="1"/>
  <c r="G265" i="25"/>
  <c r="G260" i="25"/>
  <c r="G257" i="25"/>
  <c r="G224" i="25"/>
  <c r="G203" i="25"/>
  <c r="G194" i="25"/>
  <c r="G196" i="25" s="1"/>
  <c r="G112" i="25"/>
  <c r="G109" i="25"/>
  <c r="G280" i="25" s="1"/>
  <c r="G281" i="25" s="1"/>
  <c r="G104" i="25"/>
  <c r="G283" i="25" s="1"/>
  <c r="G284" i="25" s="1"/>
  <c r="G100" i="25"/>
  <c r="G97" i="25"/>
  <c r="G271" i="25" s="1"/>
  <c r="G272" i="25" s="1"/>
  <c r="G91" i="25"/>
  <c r="G274" i="25" s="1"/>
  <c r="G275" i="25" s="1"/>
  <c r="AE176" i="18"/>
  <c r="AE175" i="18"/>
  <c r="AE174" i="18"/>
  <c r="AE166" i="18"/>
  <c r="AC149" i="18"/>
  <c r="AC139" i="18"/>
  <c r="AD127" i="18"/>
  <c r="AD120" i="18"/>
  <c r="AD116" i="18"/>
  <c r="AD112" i="18"/>
  <c r="AD111" i="18"/>
  <c r="AD110" i="18"/>
  <c r="AD109" i="18"/>
  <c r="AD105" i="18"/>
  <c r="AE66" i="18"/>
  <c r="AH137" i="18"/>
  <c r="AG137" i="18"/>
  <c r="AF137" i="18"/>
  <c r="AE137" i="18"/>
  <c r="AH166" i="18"/>
  <c r="AG166" i="18"/>
  <c r="AF166" i="18"/>
  <c r="DC65" i="18"/>
  <c r="DB65" i="18"/>
  <c r="DA63" i="18"/>
  <c r="DB62" i="18"/>
  <c r="DC120" i="18"/>
  <c r="DB120" i="18"/>
  <c r="DA120" i="18"/>
  <c r="DC116" i="18"/>
  <c r="DB116" i="18"/>
  <c r="DA116" i="18"/>
  <c r="DC112" i="18"/>
  <c r="DB112" i="18"/>
  <c r="DA112" i="18"/>
  <c r="DC111" i="18"/>
  <c r="DB111" i="18"/>
  <c r="DA111" i="18"/>
  <c r="DC110" i="18"/>
  <c r="DB110" i="18"/>
  <c r="DA110" i="18"/>
  <c r="DC109" i="18"/>
  <c r="DB109" i="18"/>
  <c r="DA109" i="18"/>
  <c r="DC105" i="18"/>
  <c r="DB105" i="18"/>
  <c r="DA105" i="18"/>
  <c r="DC95" i="18"/>
  <c r="DB95" i="18"/>
  <c r="DA95" i="18"/>
  <c r="DC85" i="18"/>
  <c r="DB85" i="18"/>
  <c r="DA85" i="18"/>
  <c r="DC84" i="18"/>
  <c r="DB84" i="18"/>
  <c r="DA84" i="18"/>
  <c r="DC83" i="18"/>
  <c r="DB83" i="18"/>
  <c r="DA83" i="18"/>
  <c r="DC78" i="18"/>
  <c r="DB78" i="18"/>
  <c r="DA78" i="18"/>
  <c r="DC77" i="18"/>
  <c r="DB77" i="18"/>
  <c r="DA77" i="18"/>
  <c r="DC73" i="18"/>
  <c r="DB73" i="18"/>
  <c r="DA73" i="18"/>
  <c r="DC72" i="18"/>
  <c r="DB72" i="18"/>
  <c r="DA72" i="18"/>
  <c r="DC63" i="18"/>
  <c r="DB63" i="18"/>
  <c r="DC62" i="18"/>
  <c r="DA62" i="18"/>
  <c r="DA51" i="18"/>
  <c r="DD2" i="18"/>
  <c r="DD55" i="18" s="1"/>
  <c r="DC2" i="18"/>
  <c r="DC55" i="18" s="1"/>
  <c r="DB2" i="18"/>
  <c r="DB55" i="18" s="1"/>
  <c r="DA2" i="18"/>
  <c r="DA55" i="18" s="1"/>
  <c r="DB49" i="18"/>
  <c r="DB50" i="18"/>
  <c r="DC50" i="18"/>
  <c r="DB51" i="18"/>
  <c r="DC51" i="18"/>
  <c r="DA50" i="18"/>
  <c r="DA49" i="18"/>
  <c r="AH55" i="18"/>
  <c r="AG55" i="18"/>
  <c r="AF55" i="18"/>
  <c r="AE55" i="18"/>
  <c r="DA65" i="18"/>
  <c r="DC49" i="18"/>
  <c r="AG66" i="18"/>
  <c r="AG171" i="18" s="1"/>
  <c r="G61" i="25"/>
  <c r="G59" i="25"/>
  <c r="G54" i="25"/>
  <c r="G52" i="25"/>
  <c r="G50" i="25"/>
  <c r="G44" i="25"/>
  <c r="G42" i="25"/>
  <c r="G39" i="25"/>
  <c r="V45" i="16" s="1"/>
  <c r="G38" i="25"/>
  <c r="G36" i="25"/>
  <c r="DB127" i="18"/>
  <c r="G165" i="24"/>
  <c r="G161" i="24" s="1"/>
  <c r="D583" i="14" s="1"/>
  <c r="C583" i="14" s="1"/>
  <c r="G158" i="24"/>
  <c r="G191" i="24" s="1"/>
  <c r="G193" i="24" s="1"/>
  <c r="G95" i="24"/>
  <c r="G55" i="24"/>
  <c r="AD95" i="18"/>
  <c r="AD85" i="18"/>
  <c r="AD84" i="18"/>
  <c r="AD83" i="18"/>
  <c r="AD78" i="18"/>
  <c r="AD77" i="18"/>
  <c r="AD73" i="18"/>
  <c r="AD72" i="18"/>
  <c r="AD65" i="18"/>
  <c r="AD63" i="18"/>
  <c r="AD62" i="18"/>
  <c r="AD51" i="18"/>
  <c r="AD50" i="18"/>
  <c r="AD174" i="18" s="1"/>
  <c r="AD49" i="18"/>
  <c r="AD46" i="18"/>
  <c r="AD44" i="18"/>
  <c r="AD23" i="18"/>
  <c r="AD21" i="18"/>
  <c r="AD20" i="18"/>
  <c r="AD19" i="18"/>
  <c r="AE37" i="18" s="1"/>
  <c r="AD15" i="18"/>
  <c r="AD9" i="18"/>
  <c r="AE33" i="18" s="1"/>
  <c r="AD5" i="18"/>
  <c r="AG139" i="18"/>
  <c r="DC127" i="18"/>
  <c r="AC66" i="18"/>
  <c r="AC55" i="18"/>
  <c r="AC40" i="18"/>
  <c r="AC39" i="18"/>
  <c r="AC38" i="18"/>
  <c r="AC37" i="18"/>
  <c r="AC34" i="18"/>
  <c r="AC33" i="18"/>
  <c r="AC32" i="18"/>
  <c r="AC24" i="18"/>
  <c r="AC16" i="18"/>
  <c r="AB149" i="18"/>
  <c r="AB139" i="18"/>
  <c r="AB66" i="18"/>
  <c r="AB171" i="18" s="1"/>
  <c r="AB40" i="18"/>
  <c r="AB39" i="18"/>
  <c r="AB38" i="18"/>
  <c r="AB37" i="18"/>
  <c r="AB34" i="18"/>
  <c r="AB33" i="18"/>
  <c r="AB32" i="18"/>
  <c r="F368" i="25"/>
  <c r="G368" i="25" s="1"/>
  <c r="S44" i="16"/>
  <c r="T44" i="16"/>
  <c r="U44" i="16"/>
  <c r="R44" i="16"/>
  <c r="J428" i="14"/>
  <c r="K424" i="14"/>
  <c r="K421" i="14"/>
  <c r="C438" i="14"/>
  <c r="C439" i="14" s="1"/>
  <c r="AA139" i="18"/>
  <c r="AA149" i="18"/>
  <c r="AA66" i="18"/>
  <c r="AA170" i="18" s="1"/>
  <c r="AA32" i="18"/>
  <c r="AA33" i="18"/>
  <c r="AA34" i="18"/>
  <c r="AA37" i="18"/>
  <c r="AA38" i="18"/>
  <c r="AA39" i="18"/>
  <c r="AA40" i="18"/>
  <c r="AA16" i="18"/>
  <c r="C428" i="14"/>
  <c r="D428" i="14"/>
  <c r="CU171" i="18"/>
  <c r="CU170" i="18"/>
  <c r="CU169" i="18"/>
  <c r="CU168" i="18"/>
  <c r="AC176" i="18"/>
  <c r="AB176" i="18"/>
  <c r="AA176" i="18"/>
  <c r="Z176" i="18"/>
  <c r="AC175" i="18"/>
  <c r="AB175" i="18"/>
  <c r="AA175" i="18"/>
  <c r="Z175" i="18"/>
  <c r="AC174" i="18"/>
  <c r="AB174" i="18"/>
  <c r="AA174" i="18"/>
  <c r="Z174" i="18"/>
  <c r="X176" i="18"/>
  <c r="W176" i="18"/>
  <c r="V176" i="18"/>
  <c r="U176" i="18"/>
  <c r="X175" i="18"/>
  <c r="W175" i="18"/>
  <c r="V175" i="18"/>
  <c r="U175" i="18"/>
  <c r="X174" i="18"/>
  <c r="W174" i="18"/>
  <c r="V174" i="18"/>
  <c r="U174" i="18"/>
  <c r="P174" i="18"/>
  <c r="Q174" i="18"/>
  <c r="R174" i="18"/>
  <c r="P175" i="18"/>
  <c r="Q175" i="18"/>
  <c r="R175" i="18"/>
  <c r="P176" i="18"/>
  <c r="Q176" i="18"/>
  <c r="R176" i="18"/>
  <c r="O176" i="18"/>
  <c r="O175" i="18"/>
  <c r="O174" i="18"/>
  <c r="AS166" i="18"/>
  <c r="AN166" i="18"/>
  <c r="AI166" i="18"/>
  <c r="AD166" i="18"/>
  <c r="AC166" i="18"/>
  <c r="AB166" i="18"/>
  <c r="AA166" i="18"/>
  <c r="Z166" i="18"/>
  <c r="Y166" i="18"/>
  <c r="X166" i="18"/>
  <c r="W166" i="18"/>
  <c r="V166" i="18"/>
  <c r="U166" i="18"/>
  <c r="T166" i="18"/>
  <c r="S166" i="18"/>
  <c r="R166" i="18"/>
  <c r="Q166" i="18"/>
  <c r="P166" i="18"/>
  <c r="O166" i="18"/>
  <c r="N166" i="18"/>
  <c r="D421" i="14"/>
  <c r="C421" i="14"/>
  <c r="D424" i="14"/>
  <c r="C424" i="14"/>
  <c r="Z139" i="18"/>
  <c r="Z134" i="18"/>
  <c r="F421" i="14"/>
  <c r="Z24" i="18"/>
  <c r="Z25" i="18" s="1"/>
  <c r="Z66" i="18"/>
  <c r="Z74" i="18" s="1"/>
  <c r="Z79" i="18" s="1"/>
  <c r="Z80" i="18" s="1"/>
  <c r="F424" i="14"/>
  <c r="F210" i="24"/>
  <c r="F165" i="24"/>
  <c r="F158" i="24"/>
  <c r="F191" i="24" s="1"/>
  <c r="F150" i="24"/>
  <c r="F95" i="24"/>
  <c r="F55" i="24"/>
  <c r="F25" i="24"/>
  <c r="F22" i="24"/>
  <c r="F379" i="25"/>
  <c r="F203" i="25"/>
  <c r="G199" i="25" s="1"/>
  <c r="F298" i="25"/>
  <c r="F301" i="25"/>
  <c r="E301" i="25"/>
  <c r="F265" i="25"/>
  <c r="F266" i="25" s="1"/>
  <c r="F268" i="25"/>
  <c r="F269" i="25" s="1"/>
  <c r="F257" i="25"/>
  <c r="F260" i="25"/>
  <c r="F224" i="25"/>
  <c r="F318" i="25"/>
  <c r="F194" i="25"/>
  <c r="F196" i="25" s="1"/>
  <c r="F129" i="25"/>
  <c r="F251" i="25" s="1"/>
  <c r="F104" i="25"/>
  <c r="F283" i="25" s="1"/>
  <c r="F284" i="25" s="1"/>
  <c r="F109" i="25"/>
  <c r="F280" i="25" s="1"/>
  <c r="F112" i="25"/>
  <c r="F97" i="25"/>
  <c r="F271" i="25" s="1"/>
  <c r="F272" i="25" s="1"/>
  <c r="F100" i="25"/>
  <c r="F91" i="25"/>
  <c r="F274" i="25" s="1"/>
  <c r="F275" i="25" s="1"/>
  <c r="F59" i="25"/>
  <c r="F61" i="25"/>
  <c r="F64" i="25"/>
  <c r="F73" i="25" s="1"/>
  <c r="F74" i="25" s="1"/>
  <c r="F54" i="25"/>
  <c r="F52" i="25"/>
  <c r="F50" i="25"/>
  <c r="F44" i="25"/>
  <c r="F42" i="25"/>
  <c r="F36" i="25"/>
  <c r="F38" i="25"/>
  <c r="F39" i="25"/>
  <c r="U45" i="16" s="1"/>
  <c r="F207" i="25"/>
  <c r="Y127" i="18"/>
  <c r="Y139" i="18" s="1"/>
  <c r="Y120" i="18"/>
  <c r="Y116" i="18"/>
  <c r="Y112" i="18"/>
  <c r="Y111" i="18"/>
  <c r="Y110" i="18"/>
  <c r="Y109" i="18"/>
  <c r="Y105" i="18"/>
  <c r="Y95" i="18"/>
  <c r="Y85" i="18"/>
  <c r="Y84" i="18"/>
  <c r="Y83" i="18"/>
  <c r="Y78" i="18"/>
  <c r="Y77" i="18"/>
  <c r="Y73" i="18"/>
  <c r="Y72" i="18"/>
  <c r="Y65" i="18"/>
  <c r="Y63" i="18"/>
  <c r="Y62" i="18"/>
  <c r="X66" i="18"/>
  <c r="X128" i="18" s="1"/>
  <c r="Y51" i="18"/>
  <c r="Y176" i="18" s="1"/>
  <c r="Y50" i="18"/>
  <c r="Y174" i="18" s="1"/>
  <c r="Y49" i="18"/>
  <c r="Y175" i="18" s="1"/>
  <c r="Y46" i="18"/>
  <c r="Y44" i="18"/>
  <c r="Y23" i="18"/>
  <c r="Z40" i="18" s="1"/>
  <c r="Y21" i="18"/>
  <c r="Y20" i="18"/>
  <c r="Y19" i="18"/>
  <c r="Y15" i="18"/>
  <c r="Z34" i="18" s="1"/>
  <c r="Y9" i="18"/>
  <c r="Z33" i="18" s="1"/>
  <c r="Y5" i="18"/>
  <c r="Z32" i="18" s="1"/>
  <c r="S222" i="16"/>
  <c r="T222" i="16"/>
  <c r="S223" i="16"/>
  <c r="T223" i="16"/>
  <c r="R223" i="16"/>
  <c r="R222" i="16"/>
  <c r="S219" i="16"/>
  <c r="T219" i="16"/>
  <c r="R219" i="16"/>
  <c r="S218" i="16"/>
  <c r="T218" i="16"/>
  <c r="R218" i="16"/>
  <c r="S216" i="16"/>
  <c r="T216" i="16"/>
  <c r="S217" i="16"/>
  <c r="T217" i="16"/>
  <c r="R217" i="16"/>
  <c r="R216" i="16"/>
  <c r="S80" i="16"/>
  <c r="T80" i="16"/>
  <c r="S81" i="16"/>
  <c r="T81" i="16"/>
  <c r="R81" i="16"/>
  <c r="R80" i="16"/>
  <c r="P75" i="16"/>
  <c r="P72" i="16" s="1"/>
  <c r="S64" i="16"/>
  <c r="T64" i="16"/>
  <c r="S65" i="16"/>
  <c r="T65" i="16"/>
  <c r="S66" i="16"/>
  <c r="T66" i="16"/>
  <c r="S67" i="16"/>
  <c r="T67" i="16"/>
  <c r="R65" i="16"/>
  <c r="R66" i="16"/>
  <c r="R67" i="16"/>
  <c r="R64" i="16"/>
  <c r="S62" i="16"/>
  <c r="T62" i="16"/>
  <c r="R62" i="16"/>
  <c r="S61" i="16"/>
  <c r="T61" i="16"/>
  <c r="R61" i="16"/>
  <c r="S60" i="16"/>
  <c r="T60" i="16"/>
  <c r="R60" i="16"/>
  <c r="S35" i="16"/>
  <c r="T35" i="16"/>
  <c r="U35" i="16"/>
  <c r="R35" i="16"/>
  <c r="S30" i="16"/>
  <c r="T30" i="16"/>
  <c r="R30" i="16"/>
  <c r="P9" i="16"/>
  <c r="P27" i="16" s="1"/>
  <c r="P119" i="16" s="1"/>
  <c r="S5" i="16"/>
  <c r="T5" i="16"/>
  <c r="U5" i="16"/>
  <c r="R5" i="16"/>
  <c r="D88" i="12"/>
  <c r="E88" i="12"/>
  <c r="F88" i="12"/>
  <c r="G88" i="12"/>
  <c r="H88" i="12"/>
  <c r="I88" i="12"/>
  <c r="J88" i="12"/>
  <c r="K88" i="12"/>
  <c r="L88" i="12"/>
  <c r="M88" i="12"/>
  <c r="N88" i="12"/>
  <c r="O88" i="12"/>
  <c r="C88" i="12"/>
  <c r="C74" i="12"/>
  <c r="C38" i="12"/>
  <c r="D34" i="12"/>
  <c r="E34" i="12"/>
  <c r="F766" i="21" s="1"/>
  <c r="F34" i="12"/>
  <c r="C34" i="12"/>
  <c r="N498" i="21" s="1"/>
  <c r="F498" i="21" s="1"/>
  <c r="N499" i="21" s="1"/>
  <c r="C27" i="12"/>
  <c r="C19" i="12"/>
  <c r="D14" i="12"/>
  <c r="E14" i="12" s="1"/>
  <c r="F14" i="12" s="1"/>
  <c r="H355" i="25"/>
  <c r="I355" i="25" s="1"/>
  <c r="J355" i="25" s="1"/>
  <c r="H347" i="25"/>
  <c r="J344" i="25"/>
  <c r="K344" i="25" s="1"/>
  <c r="L344" i="25" s="1"/>
  <c r="M344" i="25" s="1"/>
  <c r="N344" i="25" s="1"/>
  <c r="O344" i="25" s="1"/>
  <c r="O361" i="25"/>
  <c r="G358" i="25"/>
  <c r="J333" i="25"/>
  <c r="K333" i="25" s="1"/>
  <c r="L333" i="25" s="1"/>
  <c r="M333" i="25" s="1"/>
  <c r="N333" i="25" s="1"/>
  <c r="O333" i="25" s="1"/>
  <c r="E359" i="25"/>
  <c r="E360" i="25"/>
  <c r="E361" i="25"/>
  <c r="E362" i="25"/>
  <c r="E363" i="25"/>
  <c r="E364" i="25"/>
  <c r="E365" i="25"/>
  <c r="E358" i="25"/>
  <c r="E345" i="25"/>
  <c r="E356" i="25" s="1"/>
  <c r="E334" i="25"/>
  <c r="CW65" i="18"/>
  <c r="CX65" i="18"/>
  <c r="CX63" i="18"/>
  <c r="CW63" i="18"/>
  <c r="AS55" i="18"/>
  <c r="AN55" i="18"/>
  <c r="AI55" i="18"/>
  <c r="AD55" i="18"/>
  <c r="AB55" i="18"/>
  <c r="AA55" i="18"/>
  <c r="Z55" i="18"/>
  <c r="W139" i="18"/>
  <c r="V139" i="18"/>
  <c r="U139" i="18"/>
  <c r="T139" i="18"/>
  <c r="R139" i="18"/>
  <c r="Q139" i="18"/>
  <c r="P139" i="18"/>
  <c r="O139" i="18"/>
  <c r="AS137" i="18"/>
  <c r="AN137" i="18"/>
  <c r="AI137" i="18"/>
  <c r="AD137" i="18"/>
  <c r="AC137" i="18"/>
  <c r="AB137" i="18"/>
  <c r="AA137" i="18"/>
  <c r="Z137" i="18"/>
  <c r="Y137" i="18"/>
  <c r="X137" i="18"/>
  <c r="W137" i="18"/>
  <c r="V137" i="18"/>
  <c r="U137" i="18"/>
  <c r="T137" i="18"/>
  <c r="S137" i="18"/>
  <c r="R137" i="18"/>
  <c r="Q137" i="18"/>
  <c r="P137" i="18"/>
  <c r="O137" i="18"/>
  <c r="N137" i="18"/>
  <c r="E150" i="24"/>
  <c r="D150" i="24"/>
  <c r="DD109" i="18"/>
  <c r="DI109" i="18"/>
  <c r="DD112" i="18"/>
  <c r="DI112" i="18"/>
  <c r="CS127" i="18"/>
  <c r="CR127" i="18"/>
  <c r="CQ127" i="18"/>
  <c r="CO127" i="18"/>
  <c r="CN127" i="18"/>
  <c r="CM127" i="18"/>
  <c r="CL127" i="18"/>
  <c r="CJ127" i="18"/>
  <c r="CI127" i="18"/>
  <c r="CX120" i="18"/>
  <c r="CW120" i="18"/>
  <c r="CV120" i="18"/>
  <c r="CS120" i="18"/>
  <c r="CR120" i="18"/>
  <c r="CQ120" i="18"/>
  <c r="CO120" i="18"/>
  <c r="CN120" i="18"/>
  <c r="CM120" i="18"/>
  <c r="CL120" i="18"/>
  <c r="CJ120" i="18"/>
  <c r="CI120" i="18"/>
  <c r="CW116" i="18"/>
  <c r="CV116" i="18"/>
  <c r="CS116" i="18"/>
  <c r="CR116" i="18"/>
  <c r="CQ116" i="18"/>
  <c r="CO116" i="18"/>
  <c r="CN116" i="18"/>
  <c r="CM116" i="18"/>
  <c r="CL116" i="18"/>
  <c r="CJ116" i="18"/>
  <c r="CI116" i="18"/>
  <c r="CW112" i="18"/>
  <c r="CV112" i="18"/>
  <c r="CS112" i="18"/>
  <c r="CR112" i="18"/>
  <c r="CQ112" i="18"/>
  <c r="CO112" i="18"/>
  <c r="CN112" i="18"/>
  <c r="CM112" i="18"/>
  <c r="CL112" i="18"/>
  <c r="CJ112" i="18"/>
  <c r="CI112" i="18"/>
  <c r="CW111" i="18"/>
  <c r="CV111" i="18"/>
  <c r="CS111" i="18"/>
  <c r="CR111" i="18"/>
  <c r="CQ111" i="18"/>
  <c r="CO111" i="18"/>
  <c r="CN111" i="18"/>
  <c r="CM111" i="18"/>
  <c r="CL111" i="18"/>
  <c r="CJ111" i="18"/>
  <c r="CI111" i="18"/>
  <c r="CW110" i="18"/>
  <c r="CV110" i="18"/>
  <c r="CS110" i="18"/>
  <c r="CR110" i="18"/>
  <c r="CQ110" i="18"/>
  <c r="CO110" i="18"/>
  <c r="CN110" i="18"/>
  <c r="CM110" i="18"/>
  <c r="CL110" i="18"/>
  <c r="CJ110" i="18"/>
  <c r="CI110" i="18"/>
  <c r="CW109" i="18"/>
  <c r="CV109" i="18"/>
  <c r="CS109" i="18"/>
  <c r="CR109" i="18"/>
  <c r="CQ109" i="18"/>
  <c r="CO109" i="18"/>
  <c r="CN109" i="18"/>
  <c r="CM109" i="18"/>
  <c r="CL109" i="18"/>
  <c r="CJ109" i="18"/>
  <c r="CI109" i="18"/>
  <c r="CS105" i="18"/>
  <c r="CR105" i="18"/>
  <c r="CQ105" i="18"/>
  <c r="CO105" i="18"/>
  <c r="CN105" i="18"/>
  <c r="CM105" i="18"/>
  <c r="CL105" i="18"/>
  <c r="CJ105" i="18"/>
  <c r="CI105" i="18"/>
  <c r="CS95" i="18"/>
  <c r="CR95" i="18"/>
  <c r="CQ95" i="18"/>
  <c r="CO95" i="18"/>
  <c r="CN95" i="18"/>
  <c r="CM95" i="18"/>
  <c r="CL95" i="18"/>
  <c r="CJ95" i="18"/>
  <c r="CI95" i="18"/>
  <c r="CW85" i="18"/>
  <c r="CV85" i="18"/>
  <c r="CS85" i="18"/>
  <c r="CR85" i="18"/>
  <c r="CQ85" i="18"/>
  <c r="CO85" i="18"/>
  <c r="CN85" i="18"/>
  <c r="CM85" i="18"/>
  <c r="CL85" i="18"/>
  <c r="CJ85" i="18"/>
  <c r="CI85" i="18"/>
  <c r="CW84" i="18"/>
  <c r="CV84" i="18"/>
  <c r="CS84" i="18"/>
  <c r="CR84" i="18"/>
  <c r="CQ84" i="18"/>
  <c r="CO84" i="18"/>
  <c r="CN84" i="18"/>
  <c r="CM84" i="18"/>
  <c r="CL84" i="18"/>
  <c r="CJ84" i="18"/>
  <c r="CI84" i="18"/>
  <c r="CW83" i="18"/>
  <c r="CV83" i="18"/>
  <c r="CS83" i="18"/>
  <c r="CR83" i="18"/>
  <c r="CQ83" i="18"/>
  <c r="CO83" i="18"/>
  <c r="CN83" i="18"/>
  <c r="CM83" i="18"/>
  <c r="CL83" i="18"/>
  <c r="CJ83" i="18"/>
  <c r="CI83" i="18"/>
  <c r="CI79" i="18"/>
  <c r="CW78" i="18"/>
  <c r="CV78" i="18"/>
  <c r="CS78" i="18"/>
  <c r="CR78" i="18"/>
  <c r="CQ78" i="18"/>
  <c r="CO78" i="18"/>
  <c r="CN78" i="18"/>
  <c r="CM78" i="18"/>
  <c r="CL78" i="18"/>
  <c r="CJ78" i="18"/>
  <c r="CI78" i="18"/>
  <c r="CW77" i="18"/>
  <c r="CV77" i="18"/>
  <c r="CS77" i="18"/>
  <c r="CR77" i="18"/>
  <c r="CQ77" i="18"/>
  <c r="CO77" i="18"/>
  <c r="CN77" i="18"/>
  <c r="CM77" i="18"/>
  <c r="CL77" i="18"/>
  <c r="CJ77" i="18"/>
  <c r="CI77" i="18"/>
  <c r="CJ74" i="18"/>
  <c r="CI74" i="18"/>
  <c r="CW73" i="18"/>
  <c r="CV73" i="18"/>
  <c r="CS73" i="18"/>
  <c r="CR73" i="18"/>
  <c r="CQ73" i="18"/>
  <c r="CO73" i="18"/>
  <c r="CN73" i="18"/>
  <c r="CM73" i="18"/>
  <c r="CL73" i="18"/>
  <c r="CJ73" i="18"/>
  <c r="CI73" i="18"/>
  <c r="CW72" i="18"/>
  <c r="CV72" i="18"/>
  <c r="CS72" i="18"/>
  <c r="CR72" i="18"/>
  <c r="CQ72" i="18"/>
  <c r="CO72" i="18"/>
  <c r="CN72" i="18"/>
  <c r="CM72" i="18"/>
  <c r="CL72" i="18"/>
  <c r="CJ72" i="18"/>
  <c r="CI72" i="18"/>
  <c r="CJ66" i="18"/>
  <c r="CI66" i="18"/>
  <c r="CV65" i="18"/>
  <c r="CS65" i="18"/>
  <c r="CR65" i="18"/>
  <c r="CQ65" i="18"/>
  <c r="CO65" i="18"/>
  <c r="CN65" i="18"/>
  <c r="CM65" i="18"/>
  <c r="CL65" i="18"/>
  <c r="CJ65" i="18"/>
  <c r="CI65" i="18"/>
  <c r="CV63" i="18"/>
  <c r="CS63" i="18"/>
  <c r="CR63" i="18"/>
  <c r="CQ63" i="18"/>
  <c r="CO63" i="18"/>
  <c r="CN63" i="18"/>
  <c r="CM63" i="18"/>
  <c r="CL63" i="18"/>
  <c r="CJ63" i="18"/>
  <c r="CI63" i="18"/>
  <c r="CX62" i="18"/>
  <c r="CW62" i="18"/>
  <c r="CS62" i="18"/>
  <c r="CR62" i="18"/>
  <c r="CQ62" i="18"/>
  <c r="CO62" i="18"/>
  <c r="CN62" i="18"/>
  <c r="CM62" i="18"/>
  <c r="CL62" i="18"/>
  <c r="CJ62" i="18"/>
  <c r="CI62" i="18"/>
  <c r="CX51" i="18"/>
  <c r="CW51" i="18"/>
  <c r="CV51" i="18"/>
  <c r="CS51" i="18"/>
  <c r="CR51" i="18"/>
  <c r="CQ51" i="18"/>
  <c r="CO51" i="18"/>
  <c r="CN51" i="18"/>
  <c r="CM51" i="18"/>
  <c r="CL51" i="18"/>
  <c r="CJ51" i="18"/>
  <c r="CI51" i="18"/>
  <c r="CH51" i="18"/>
  <c r="CG51" i="18"/>
  <c r="CX50" i="18"/>
  <c r="CW50" i="18"/>
  <c r="CV50" i="18"/>
  <c r="CS50" i="18"/>
  <c r="CR50" i="18"/>
  <c r="CQ50" i="18"/>
  <c r="CO50" i="18"/>
  <c r="CN50" i="18"/>
  <c r="CM50" i="18"/>
  <c r="CL50" i="18"/>
  <c r="CJ50" i="18"/>
  <c r="CI50" i="18"/>
  <c r="CH50" i="18"/>
  <c r="CG50" i="18"/>
  <c r="CX49" i="18"/>
  <c r="CW49" i="18"/>
  <c r="CV49" i="18"/>
  <c r="CS49" i="18"/>
  <c r="CR49" i="18"/>
  <c r="CQ49" i="18"/>
  <c r="CO49" i="18"/>
  <c r="CN49" i="18"/>
  <c r="CM49" i="18"/>
  <c r="CL49" i="18"/>
  <c r="CJ49" i="18"/>
  <c r="CI49" i="18"/>
  <c r="CH49" i="18"/>
  <c r="CG49" i="18"/>
  <c r="CJ24" i="18"/>
  <c r="CI24" i="18"/>
  <c r="CH24" i="18"/>
  <c r="CG24" i="18"/>
  <c r="CS23" i="18"/>
  <c r="CR23" i="18"/>
  <c r="CQ23" i="18"/>
  <c r="CO23" i="18"/>
  <c r="CN23" i="18"/>
  <c r="CM23" i="18"/>
  <c r="CL23" i="18"/>
  <c r="CJ23" i="18"/>
  <c r="CI23" i="18"/>
  <c r="CH23" i="18"/>
  <c r="CG23" i="18"/>
  <c r="CS21" i="18"/>
  <c r="CR21" i="18"/>
  <c r="CQ21" i="18"/>
  <c r="CO21" i="18"/>
  <c r="CN21" i="18"/>
  <c r="CM21" i="18"/>
  <c r="CL21" i="18"/>
  <c r="CJ21" i="18"/>
  <c r="CI21" i="18"/>
  <c r="CH21" i="18"/>
  <c r="CG21" i="18"/>
  <c r="CS20" i="18"/>
  <c r="CR20" i="18"/>
  <c r="CQ20" i="18"/>
  <c r="CO20" i="18"/>
  <c r="CN20" i="18"/>
  <c r="CM20" i="18"/>
  <c r="CL20" i="18"/>
  <c r="CJ20" i="18"/>
  <c r="CI20" i="18"/>
  <c r="CH20" i="18"/>
  <c r="CG20" i="18"/>
  <c r="CS19" i="18"/>
  <c r="CR19" i="18"/>
  <c r="CQ19" i="18"/>
  <c r="CO19" i="18"/>
  <c r="CN19" i="18"/>
  <c r="CM19" i="18"/>
  <c r="CL19" i="18"/>
  <c r="CJ19" i="18"/>
  <c r="CI19" i="18"/>
  <c r="CH19" i="18"/>
  <c r="CG19" i="18"/>
  <c r="CS15" i="18"/>
  <c r="CR15" i="18"/>
  <c r="CQ15" i="18"/>
  <c r="CO15" i="18"/>
  <c r="CN15" i="18"/>
  <c r="CM15" i="18"/>
  <c r="CL15" i="18"/>
  <c r="CJ15" i="18"/>
  <c r="CI15" i="18"/>
  <c r="CH15" i="18"/>
  <c r="CG15" i="18"/>
  <c r="CJ16" i="18"/>
  <c r="CI16" i="18"/>
  <c r="CH16" i="18"/>
  <c r="CG16" i="18"/>
  <c r="CS9" i="18"/>
  <c r="CR9" i="18"/>
  <c r="CQ9" i="18"/>
  <c r="CO9" i="18"/>
  <c r="CN9" i="18"/>
  <c r="CM9" i="18"/>
  <c r="CL9" i="18"/>
  <c r="CJ9" i="18"/>
  <c r="CI9" i="18"/>
  <c r="CH9" i="18"/>
  <c r="CG9" i="18"/>
  <c r="CS5" i="18"/>
  <c r="CR5" i="18"/>
  <c r="CQ5" i="18"/>
  <c r="CO5" i="18"/>
  <c r="CN5" i="18"/>
  <c r="CM5" i="18"/>
  <c r="CL5" i="18"/>
  <c r="CJ5" i="18"/>
  <c r="CI5" i="18"/>
  <c r="CH5" i="18"/>
  <c r="CG5" i="18"/>
  <c r="CW2" i="18"/>
  <c r="CX2" i="18"/>
  <c r="CY2" i="18"/>
  <c r="CZ2" i="18"/>
  <c r="DE2" i="18"/>
  <c r="DE55" i="18" s="1"/>
  <c r="CV2" i="18"/>
  <c r="CU2" i="18"/>
  <c r="CT2" i="18"/>
  <c r="CS2" i="18"/>
  <c r="CR2" i="18"/>
  <c r="CQ2" i="18"/>
  <c r="CP2" i="18"/>
  <c r="CO2" i="18"/>
  <c r="CN2" i="18"/>
  <c r="CM2" i="18"/>
  <c r="CL2" i="18"/>
  <c r="CK2" i="18"/>
  <c r="CJ2" i="18"/>
  <c r="CI2" i="18"/>
  <c r="CH2" i="18"/>
  <c r="CG2" i="18"/>
  <c r="S127" i="18"/>
  <c r="S120" i="18"/>
  <c r="S116" i="18"/>
  <c r="S112" i="18"/>
  <c r="S111" i="18"/>
  <c r="S110" i="18"/>
  <c r="CU110" i="18" s="1"/>
  <c r="S109" i="18"/>
  <c r="S105" i="18"/>
  <c r="S95" i="18"/>
  <c r="S85" i="18"/>
  <c r="S84" i="18"/>
  <c r="S83" i="18"/>
  <c r="S78" i="18"/>
  <c r="S77" i="18"/>
  <c r="S73" i="18"/>
  <c r="S72" i="18"/>
  <c r="S65" i="18"/>
  <c r="S63" i="18"/>
  <c r="S62" i="18"/>
  <c r="S55" i="18"/>
  <c r="N127" i="18"/>
  <c r="N120" i="18"/>
  <c r="N116" i="18"/>
  <c r="N112" i="18"/>
  <c r="N111" i="18"/>
  <c r="N110" i="18"/>
  <c r="N109" i="18"/>
  <c r="N105" i="18"/>
  <c r="N95" i="18"/>
  <c r="N85" i="18"/>
  <c r="N84" i="18"/>
  <c r="N83" i="18"/>
  <c r="N78" i="18"/>
  <c r="N77" i="18"/>
  <c r="N73" i="18"/>
  <c r="N72" i="18"/>
  <c r="N65" i="18"/>
  <c r="N63" i="18"/>
  <c r="N62" i="18"/>
  <c r="N55" i="18"/>
  <c r="I55" i="18"/>
  <c r="S51" i="18"/>
  <c r="S176" i="18" s="1"/>
  <c r="S50" i="18"/>
  <c r="S49" i="18"/>
  <c r="S46" i="18"/>
  <c r="S44" i="18"/>
  <c r="S23" i="18"/>
  <c r="S21" i="18"/>
  <c r="S20" i="18"/>
  <c r="S19" i="18"/>
  <c r="S15" i="18"/>
  <c r="S9" i="18"/>
  <c r="S5" i="18"/>
  <c r="N51" i="18"/>
  <c r="N50" i="18"/>
  <c r="N49" i="18"/>
  <c r="N46" i="18"/>
  <c r="N44" i="18"/>
  <c r="N24" i="18"/>
  <c r="N23" i="18"/>
  <c r="N21" i="18"/>
  <c r="N20" i="18"/>
  <c r="N19" i="18"/>
  <c r="N15" i="18"/>
  <c r="N9" i="18"/>
  <c r="N5" i="18"/>
  <c r="I51" i="18"/>
  <c r="I50" i="18"/>
  <c r="I49" i="18"/>
  <c r="I46" i="18"/>
  <c r="I44" i="18"/>
  <c r="I24" i="18"/>
  <c r="I23" i="18"/>
  <c r="I21" i="18"/>
  <c r="I20" i="18"/>
  <c r="I19" i="18"/>
  <c r="I15" i="18"/>
  <c r="I9" i="18"/>
  <c r="I5" i="18"/>
  <c r="H11" i="19"/>
  <c r="J11" i="19"/>
  <c r="DM109" i="18"/>
  <c r="DL109" i="18"/>
  <c r="DK109" i="18"/>
  <c r="DK95" i="18"/>
  <c r="DM112" i="18"/>
  <c r="DL112" i="18"/>
  <c r="DK112" i="18"/>
  <c r="O364" i="25"/>
  <c r="DD95" i="18"/>
  <c r="O359" i="25"/>
  <c r="O363" i="25"/>
  <c r="O360" i="25"/>
  <c r="G360" i="25"/>
  <c r="CX109" i="18"/>
  <c r="CX112" i="18"/>
  <c r="F334" i="25"/>
  <c r="H334" i="25"/>
  <c r="O362" i="25"/>
  <c r="F365" i="25"/>
  <c r="L364" i="25"/>
  <c r="H364" i="25"/>
  <c r="N363" i="25"/>
  <c r="J363" i="25"/>
  <c r="F363" i="25"/>
  <c r="L362" i="25"/>
  <c r="H362" i="25"/>
  <c r="N361" i="25"/>
  <c r="J361" i="25"/>
  <c r="F361" i="25"/>
  <c r="N359" i="25"/>
  <c r="J359" i="25"/>
  <c r="F359" i="25"/>
  <c r="K364" i="25"/>
  <c r="G364" i="25"/>
  <c r="M363" i="25"/>
  <c r="I363" i="25"/>
  <c r="K362" i="25"/>
  <c r="G362" i="25"/>
  <c r="M361" i="25"/>
  <c r="I361" i="25"/>
  <c r="M359" i="25"/>
  <c r="I359" i="25"/>
  <c r="N364" i="25"/>
  <c r="J364" i="25"/>
  <c r="F364" i="25"/>
  <c r="L363" i="25"/>
  <c r="H363" i="25"/>
  <c r="N362" i="25"/>
  <c r="J362" i="25"/>
  <c r="F362" i="25"/>
  <c r="L361" i="25"/>
  <c r="H361" i="25"/>
  <c r="F360" i="25"/>
  <c r="L359" i="25"/>
  <c r="H359" i="25"/>
  <c r="F358" i="25"/>
  <c r="G365" i="25"/>
  <c r="M364" i="25"/>
  <c r="I364" i="25"/>
  <c r="K363" i="25"/>
  <c r="G363" i="25"/>
  <c r="M362" i="25"/>
  <c r="I362" i="25"/>
  <c r="K361" i="25"/>
  <c r="G361" i="25"/>
  <c r="K359" i="25"/>
  <c r="G359" i="25"/>
  <c r="G345" i="25"/>
  <c r="G356" i="25" s="1"/>
  <c r="F345" i="25"/>
  <c r="CV62" i="18"/>
  <c r="DM95" i="18"/>
  <c r="DF95" i="18"/>
  <c r="DG95" i="18"/>
  <c r="DH95" i="18"/>
  <c r="H360" i="25"/>
  <c r="M360" i="25"/>
  <c r="N360" i="25"/>
  <c r="K360" i="25"/>
  <c r="I360" i="25"/>
  <c r="J360" i="25"/>
  <c r="L360" i="25"/>
  <c r="CV127" i="18"/>
  <c r="G334" i="25"/>
  <c r="J325" i="25"/>
  <c r="K325" i="25" s="1"/>
  <c r="L325" i="25" s="1"/>
  <c r="CV95" i="18"/>
  <c r="CX127" i="18"/>
  <c r="CW127" i="18"/>
  <c r="H345" i="25"/>
  <c r="CY109" i="18"/>
  <c r="CT109" i="18"/>
  <c r="DN112" i="18"/>
  <c r="BR112" i="18"/>
  <c r="DN109" i="18"/>
  <c r="BR109" i="18"/>
  <c r="DI95" i="18"/>
  <c r="F11" i="19"/>
  <c r="F428" i="14"/>
  <c r="CW95" i="18"/>
  <c r="J336" i="25"/>
  <c r="I345" i="25"/>
  <c r="CX95" i="18"/>
  <c r="D400" i="25"/>
  <c r="E90" i="12" s="1"/>
  <c r="E400" i="25"/>
  <c r="F90" i="12" s="1"/>
  <c r="C400" i="25"/>
  <c r="D320" i="25" s="1"/>
  <c r="D394" i="25"/>
  <c r="D87" i="12" s="1"/>
  <c r="S15" i="16" s="1"/>
  <c r="E394" i="25"/>
  <c r="E87" i="12" s="1"/>
  <c r="C394" i="25"/>
  <c r="C87" i="12" s="1"/>
  <c r="E380" i="25"/>
  <c r="D380" i="25"/>
  <c r="E379" i="25"/>
  <c r="D379" i="25"/>
  <c r="D385" i="25"/>
  <c r="E385" i="25"/>
  <c r="C385" i="25"/>
  <c r="V5" i="16"/>
  <c r="G34" i="12"/>
  <c r="F380" i="25"/>
  <c r="D318" i="25"/>
  <c r="C29" i="31" s="1"/>
  <c r="E318" i="25"/>
  <c r="C318" i="25"/>
  <c r="D313" i="25"/>
  <c r="E313" i="25"/>
  <c r="F313" i="25"/>
  <c r="G313" i="25"/>
  <c r="H313" i="25"/>
  <c r="I313" i="25"/>
  <c r="J313" i="25"/>
  <c r="K313" i="25"/>
  <c r="L313" i="25"/>
  <c r="M313" i="25"/>
  <c r="N313" i="25"/>
  <c r="AC114" i="16"/>
  <c r="O313" i="25"/>
  <c r="AD114" i="16"/>
  <c r="C313" i="25"/>
  <c r="D301" i="25"/>
  <c r="C301" i="25"/>
  <c r="D293" i="25"/>
  <c r="E293" i="25"/>
  <c r="F293" i="25"/>
  <c r="H293" i="25"/>
  <c r="I293" i="25"/>
  <c r="J293" i="25"/>
  <c r="K293" i="25"/>
  <c r="L293" i="25"/>
  <c r="M293" i="25"/>
  <c r="N293" i="25"/>
  <c r="O293" i="25"/>
  <c r="C293" i="25"/>
  <c r="D298" i="25"/>
  <c r="E298" i="25"/>
  <c r="C298" i="25"/>
  <c r="D268" i="25"/>
  <c r="D269" i="25" s="1"/>
  <c r="E268" i="25"/>
  <c r="C268" i="25"/>
  <c r="C269" i="25" s="1"/>
  <c r="D265" i="25"/>
  <c r="D266" i="25" s="1"/>
  <c r="E265" i="25"/>
  <c r="E266" i="25" s="1"/>
  <c r="C265" i="25"/>
  <c r="C266" i="25" s="1"/>
  <c r="D257" i="25"/>
  <c r="E257" i="25"/>
  <c r="D260" i="25"/>
  <c r="E260" i="25"/>
  <c r="C260" i="25"/>
  <c r="C257" i="25"/>
  <c r="E59" i="25"/>
  <c r="D59" i="25"/>
  <c r="C59" i="25"/>
  <c r="D224" i="25"/>
  <c r="S76" i="16" s="1"/>
  <c r="E224" i="25"/>
  <c r="T76" i="16" s="1"/>
  <c r="C224" i="25"/>
  <c r="R76" i="16" s="1"/>
  <c r="C221" i="25"/>
  <c r="C220" i="25"/>
  <c r="D203" i="25"/>
  <c r="E203" i="25"/>
  <c r="C203" i="25"/>
  <c r="W5" i="16"/>
  <c r="H34" i="12"/>
  <c r="H82" i="12" s="1"/>
  <c r="H64" i="12" s="1"/>
  <c r="D194" i="25"/>
  <c r="D196" i="25" s="1"/>
  <c r="E194" i="25"/>
  <c r="E196" i="25" s="1"/>
  <c r="C194" i="25"/>
  <c r="C206" i="25" s="1"/>
  <c r="E129" i="25"/>
  <c r="E251" i="25" s="1"/>
  <c r="D129" i="25"/>
  <c r="D154" i="25" s="1"/>
  <c r="C129" i="25"/>
  <c r="C251" i="25" s="1"/>
  <c r="D125" i="25"/>
  <c r="E125" i="25"/>
  <c r="C125" i="25"/>
  <c r="D112" i="25"/>
  <c r="E112" i="25"/>
  <c r="C112" i="25"/>
  <c r="D109" i="25"/>
  <c r="D280" i="25" s="1"/>
  <c r="D281" i="25" s="1"/>
  <c r="E109" i="25"/>
  <c r="E280" i="25" s="1"/>
  <c r="E281" i="25" s="1"/>
  <c r="C109" i="25"/>
  <c r="C280" i="25" s="1"/>
  <c r="C281" i="25" s="1"/>
  <c r="D104" i="25"/>
  <c r="D283" i="25" s="1"/>
  <c r="D284" i="25" s="1"/>
  <c r="E104" i="25"/>
  <c r="E283" i="25" s="1"/>
  <c r="E284" i="25" s="1"/>
  <c r="C104" i="25"/>
  <c r="C283" i="25" s="1"/>
  <c r="C284" i="25" s="1"/>
  <c r="D100" i="25"/>
  <c r="E100" i="25"/>
  <c r="C100" i="25"/>
  <c r="D97" i="25"/>
  <c r="D271" i="25" s="1"/>
  <c r="D272" i="25" s="1"/>
  <c r="E97" i="25"/>
  <c r="E271" i="25" s="1"/>
  <c r="E272" i="25" s="1"/>
  <c r="C97" i="25"/>
  <c r="C271" i="25" s="1"/>
  <c r="C272" i="25" s="1"/>
  <c r="D91" i="25"/>
  <c r="D274" i="25" s="1"/>
  <c r="D275" i="25" s="1"/>
  <c r="E91" i="25"/>
  <c r="E274" i="25" s="1"/>
  <c r="E275" i="25" s="1"/>
  <c r="C91" i="25"/>
  <c r="C274" i="25" s="1"/>
  <c r="C275" i="25" s="1"/>
  <c r="E64" i="25"/>
  <c r="E73" i="25" s="1"/>
  <c r="D64" i="25"/>
  <c r="D65" i="25" s="1"/>
  <c r="C64" i="25"/>
  <c r="C73" i="25" s="1"/>
  <c r="E61" i="25"/>
  <c r="D61" i="25"/>
  <c r="C61" i="25"/>
  <c r="E54" i="25"/>
  <c r="D54" i="25"/>
  <c r="C54" i="25"/>
  <c r="E52" i="25"/>
  <c r="D52" i="25"/>
  <c r="C52" i="25"/>
  <c r="E50" i="25"/>
  <c r="D50" i="25"/>
  <c r="C50" i="25"/>
  <c r="D57" i="25"/>
  <c r="E57" i="25"/>
  <c r="C57" i="25"/>
  <c r="E44" i="25"/>
  <c r="D44" i="25"/>
  <c r="C44" i="25"/>
  <c r="E42" i="25"/>
  <c r="D42" i="25"/>
  <c r="C42" i="25"/>
  <c r="D39" i="25"/>
  <c r="D46" i="25" s="1"/>
  <c r="D47" i="25" s="1"/>
  <c r="E39" i="25"/>
  <c r="C39" i="25"/>
  <c r="C46" i="25" s="1"/>
  <c r="C47" i="25" s="1"/>
  <c r="E38" i="25"/>
  <c r="D38" i="25"/>
  <c r="C38" i="25"/>
  <c r="E36" i="25"/>
  <c r="D36" i="25"/>
  <c r="C36" i="25"/>
  <c r="D5" i="25"/>
  <c r="S38" i="16" s="1"/>
  <c r="E5" i="25"/>
  <c r="T38" i="16" s="1"/>
  <c r="D6" i="25"/>
  <c r="S39" i="16" s="1"/>
  <c r="E6" i="25"/>
  <c r="C6" i="25"/>
  <c r="R39" i="16" s="1"/>
  <c r="C5" i="25"/>
  <c r="G4" i="1"/>
  <c r="G392" i="1" s="1"/>
  <c r="J378" i="25"/>
  <c r="X5" i="16"/>
  <c r="I34" i="12"/>
  <c r="I82" i="12" s="1"/>
  <c r="I64" i="12" s="1"/>
  <c r="I380" i="25"/>
  <c r="K245" i="25"/>
  <c r="K201" i="25"/>
  <c r="L201" i="25" s="1"/>
  <c r="M201" i="25" s="1"/>
  <c r="N201" i="25" s="1"/>
  <c r="O201" i="25" s="1"/>
  <c r="L245" i="25"/>
  <c r="M245" i="25"/>
  <c r="O248" i="25"/>
  <c r="M246" i="25"/>
  <c r="O245" i="25"/>
  <c r="N245" i="25"/>
  <c r="O246" i="25"/>
  <c r="N246" i="25"/>
  <c r="D12" i="24"/>
  <c r="D31" i="22" s="1"/>
  <c r="E12" i="24"/>
  <c r="E31" i="22" s="1"/>
  <c r="C12" i="24"/>
  <c r="C23" i="25" s="1"/>
  <c r="C10" i="12" s="1"/>
  <c r="D8" i="24"/>
  <c r="D12" i="25" s="1"/>
  <c r="C8" i="24"/>
  <c r="D263" i="24"/>
  <c r="E210" i="24"/>
  <c r="D210" i="24"/>
  <c r="E165" i="24"/>
  <c r="E158" i="24"/>
  <c r="E191" i="24" s="1"/>
  <c r="D153" i="24"/>
  <c r="E153" i="24" s="1"/>
  <c r="F153" i="24" s="1"/>
  <c r="D165" i="24"/>
  <c r="C165" i="24"/>
  <c r="C161" i="24" s="1"/>
  <c r="D158" i="24"/>
  <c r="D191" i="24" s="1"/>
  <c r="D193" i="24" s="1"/>
  <c r="D195" i="24" s="1"/>
  <c r="C158" i="24"/>
  <c r="C126" i="24"/>
  <c r="D126" i="24"/>
  <c r="E126" i="24"/>
  <c r="C127" i="24"/>
  <c r="D127" i="24"/>
  <c r="E127" i="24"/>
  <c r="C128" i="24"/>
  <c r="D128" i="24"/>
  <c r="E128" i="24"/>
  <c r="D125" i="24"/>
  <c r="E125" i="24"/>
  <c r="C125" i="24"/>
  <c r="E79" i="24"/>
  <c r="D79" i="24"/>
  <c r="E78" i="24"/>
  <c r="D78" i="24"/>
  <c r="E77" i="24"/>
  <c r="D77" i="24"/>
  <c r="E76" i="24"/>
  <c r="D76" i="24"/>
  <c r="E82" i="24"/>
  <c r="E83" i="24"/>
  <c r="E87" i="24"/>
  <c r="E88" i="24"/>
  <c r="D83" i="24"/>
  <c r="D87" i="24"/>
  <c r="D88" i="24"/>
  <c r="D82" i="24"/>
  <c r="D95" i="24"/>
  <c r="E95" i="24"/>
  <c r="C95" i="24"/>
  <c r="D55" i="24"/>
  <c r="E55" i="24"/>
  <c r="C55" i="24"/>
  <c r="D106" i="24"/>
  <c r="E25" i="24"/>
  <c r="E47" i="24" s="1"/>
  <c r="D25" i="24"/>
  <c r="C25" i="24"/>
  <c r="C47" i="24" s="1"/>
  <c r="E22" i="24"/>
  <c r="D22" i="24"/>
  <c r="C22" i="24"/>
  <c r="CT65" i="18"/>
  <c r="CY50" i="18"/>
  <c r="CT50" i="18"/>
  <c r="DI50" i="18"/>
  <c r="AN174" i="18"/>
  <c r="DD50" i="18"/>
  <c r="E8" i="24"/>
  <c r="E263" i="24"/>
  <c r="U216" i="16"/>
  <c r="U60" i="16"/>
  <c r="U217" i="16"/>
  <c r="AM174" i="18"/>
  <c r="DG50" i="18"/>
  <c r="AK174" i="18"/>
  <c r="CV5" i="18"/>
  <c r="U219" i="16"/>
  <c r="U64" i="16"/>
  <c r="V216" i="16"/>
  <c r="V60" i="16"/>
  <c r="U218" i="16"/>
  <c r="U62" i="16"/>
  <c r="F125" i="24"/>
  <c r="F82" i="24"/>
  <c r="F76" i="24"/>
  <c r="DH50" i="18"/>
  <c r="AL174" i="18"/>
  <c r="CW5" i="18"/>
  <c r="V217" i="16"/>
  <c r="U223" i="16"/>
  <c r="U66" i="16"/>
  <c r="V219" i="16"/>
  <c r="V64" i="16"/>
  <c r="V218" i="16"/>
  <c r="V62" i="16"/>
  <c r="U65" i="16"/>
  <c r="U222" i="16"/>
  <c r="U67" i="16"/>
  <c r="F79" i="24"/>
  <c r="F128" i="24"/>
  <c r="F88" i="24"/>
  <c r="G76" i="24"/>
  <c r="G125" i="24"/>
  <c r="G82" i="24"/>
  <c r="F126" i="24"/>
  <c r="F83" i="24"/>
  <c r="F77" i="24"/>
  <c r="F127" i="24"/>
  <c r="F78" i="24"/>
  <c r="F87" i="24"/>
  <c r="CX5" i="18"/>
  <c r="CV20" i="18"/>
  <c r="CV21" i="18"/>
  <c r="CV23" i="18"/>
  <c r="CV19" i="18"/>
  <c r="F6" i="25"/>
  <c r="CX20" i="18"/>
  <c r="CW20" i="18"/>
  <c r="CW21" i="18"/>
  <c r="V223" i="16"/>
  <c r="V66" i="16"/>
  <c r="V65" i="16"/>
  <c r="V222" i="16"/>
  <c r="V67" i="16"/>
  <c r="CW19" i="18"/>
  <c r="AA24" i="18"/>
  <c r="AA25" i="18" s="1"/>
  <c r="CW23" i="18"/>
  <c r="CT63" i="18"/>
  <c r="G126" i="24"/>
  <c r="G83" i="24"/>
  <c r="G77" i="24"/>
  <c r="G127" i="24"/>
  <c r="G78" i="24"/>
  <c r="G87" i="24"/>
  <c r="G88" i="24"/>
  <c r="G128" i="24"/>
  <c r="G79" i="24"/>
  <c r="H29" i="19"/>
  <c r="DF5" i="18"/>
  <c r="DA5" i="18"/>
  <c r="CX21" i="18"/>
  <c r="CX19" i="18"/>
  <c r="AB24" i="18"/>
  <c r="AB25" i="18" s="1"/>
  <c r="CX23" i="18"/>
  <c r="DN15" i="18"/>
  <c r="DN5" i="18"/>
  <c r="K29" i="19"/>
  <c r="H35" i="19"/>
  <c r="DK19" i="18"/>
  <c r="I29" i="19"/>
  <c r="DK5" i="18"/>
  <c r="F35" i="19"/>
  <c r="DI5" i="18"/>
  <c r="F29" i="19"/>
  <c r="DF19" i="18"/>
  <c r="C36" i="19"/>
  <c r="DI19" i="18"/>
  <c r="DG5" i="18"/>
  <c r="AK32" i="18"/>
  <c r="D30" i="19" s="1"/>
  <c r="DF15" i="18"/>
  <c r="DI15" i="18"/>
  <c r="DA19" i="18"/>
  <c r="AE16" i="18"/>
  <c r="DA9" i="18"/>
  <c r="DA15" i="18"/>
  <c r="DB5" i="18"/>
  <c r="I35" i="19"/>
  <c r="DN19" i="18"/>
  <c r="K35" i="19"/>
  <c r="AP37" i="18"/>
  <c r="I36" i="19" s="1"/>
  <c r="DK15" i="18"/>
  <c r="J29" i="19"/>
  <c r="DL5" i="18"/>
  <c r="AP32" i="18"/>
  <c r="I30" i="19" s="1"/>
  <c r="DL19" i="18"/>
  <c r="AQ37" i="18"/>
  <c r="AR37" i="18"/>
  <c r="K36" i="19" s="1"/>
  <c r="AL32" i="18"/>
  <c r="E30" i="19" s="1"/>
  <c r="DH5" i="18"/>
  <c r="AM32" i="18"/>
  <c r="F30" i="19" s="1"/>
  <c r="DG15" i="18"/>
  <c r="AK34" i="18"/>
  <c r="DG19" i="18"/>
  <c r="AK37" i="18"/>
  <c r="DC5" i="18"/>
  <c r="DB15" i="18"/>
  <c r="DB19" i="18"/>
  <c r="DA20" i="18"/>
  <c r="DB9" i="18"/>
  <c r="AF16" i="18"/>
  <c r="DM19" i="18"/>
  <c r="J35" i="19"/>
  <c r="DM5" i="18"/>
  <c r="AQ32" i="18"/>
  <c r="J30" i="19" s="1"/>
  <c r="AR32" i="18"/>
  <c r="K30" i="19" s="1"/>
  <c r="DL15" i="18"/>
  <c r="AP34" i="18"/>
  <c r="AM37" i="18"/>
  <c r="DH19" i="18"/>
  <c r="AL37" i="18"/>
  <c r="E36" i="19" s="1"/>
  <c r="AL34" i="18"/>
  <c r="DH15" i="18"/>
  <c r="AM34" i="18"/>
  <c r="G263" i="24"/>
  <c r="DC19" i="18"/>
  <c r="DD5" i="18"/>
  <c r="DA23" i="18"/>
  <c r="DC9" i="18"/>
  <c r="AG16" i="18"/>
  <c r="DC15" i="18"/>
  <c r="DB20" i="18"/>
  <c r="DA21" i="18"/>
  <c r="AE24" i="18"/>
  <c r="DM15" i="18"/>
  <c r="AQ34" i="18"/>
  <c r="AR34" i="18"/>
  <c r="DC20" i="18"/>
  <c r="DD15" i="18"/>
  <c r="DB23" i="18"/>
  <c r="DB21" i="18"/>
  <c r="AF24" i="18"/>
  <c r="DD19" i="18"/>
  <c r="DC21" i="18"/>
  <c r="DC23" i="18"/>
  <c r="W319" i="1"/>
  <c r="V319" i="1"/>
  <c r="U319" i="1"/>
  <c r="T319" i="1"/>
  <c r="S319" i="1"/>
  <c r="R319" i="1"/>
  <c r="Q319" i="1"/>
  <c r="P319" i="1"/>
  <c r="O319" i="1"/>
  <c r="N319" i="1"/>
  <c r="F321" i="1"/>
  <c r="E321" i="1"/>
  <c r="D321" i="1"/>
  <c r="C321" i="1"/>
  <c r="B321" i="1"/>
  <c r="F319" i="1"/>
  <c r="E319" i="1"/>
  <c r="D319" i="1"/>
  <c r="C319" i="1"/>
  <c r="B319" i="1"/>
  <c r="D46" i="22"/>
  <c r="D50" i="22" s="1"/>
  <c r="Q111" i="1"/>
  <c r="R111" i="1" s="1"/>
  <c r="Q103" i="1"/>
  <c r="R103" i="1" s="1"/>
  <c r="S103" i="1" s="1"/>
  <c r="T103" i="1" s="1"/>
  <c r="U103" i="1" s="1"/>
  <c r="V103" i="1" s="1"/>
  <c r="W103" i="1" s="1"/>
  <c r="O121" i="1"/>
  <c r="P121" i="1"/>
  <c r="O122" i="1"/>
  <c r="P122" i="1"/>
  <c r="Q122" i="1"/>
  <c r="R122" i="1"/>
  <c r="S122" i="1"/>
  <c r="T122" i="1"/>
  <c r="U122" i="1"/>
  <c r="V122" i="1"/>
  <c r="W122" i="1"/>
  <c r="N122" i="1"/>
  <c r="N121" i="1"/>
  <c r="N306" i="1"/>
  <c r="N307" i="1"/>
  <c r="N308" i="1"/>
  <c r="O242" i="1"/>
  <c r="O243" i="1" s="1"/>
  <c r="L271" i="1"/>
  <c r="L146" i="1"/>
  <c r="L147" i="1"/>
  <c r="L229" i="1"/>
  <c r="L228" i="1"/>
  <c r="N241" i="1" s="1"/>
  <c r="N232" i="1" s="1"/>
  <c r="N124" i="1" s="1"/>
  <c r="L250" i="1"/>
  <c r="N250" i="1" s="1"/>
  <c r="O250" i="1" s="1"/>
  <c r="P250" i="1" s="1"/>
  <c r="Q250" i="1" s="1"/>
  <c r="R250" i="1" s="1"/>
  <c r="S250" i="1" s="1"/>
  <c r="T250" i="1" s="1"/>
  <c r="U250" i="1" s="1"/>
  <c r="V250" i="1" s="1"/>
  <c r="W250" i="1" s="1"/>
  <c r="N172" i="1"/>
  <c r="O172" i="1" s="1"/>
  <c r="P172" i="1" s="1"/>
  <c r="Q172" i="1" s="1"/>
  <c r="R172" i="1" s="1"/>
  <c r="S172" i="1" s="1"/>
  <c r="T172" i="1" s="1"/>
  <c r="U172" i="1" s="1"/>
  <c r="V172" i="1" s="1"/>
  <c r="W172" i="1" s="1"/>
  <c r="N167" i="1"/>
  <c r="O167" i="1" s="1"/>
  <c r="P167" i="1" s="1"/>
  <c r="Q167" i="1" s="1"/>
  <c r="R167" i="1" s="1"/>
  <c r="S167" i="1" s="1"/>
  <c r="T167" i="1" s="1"/>
  <c r="U167" i="1" s="1"/>
  <c r="V167" i="1" s="1"/>
  <c r="W167" i="1" s="1"/>
  <c r="N160" i="1"/>
  <c r="O160" i="1" s="1"/>
  <c r="P160" i="1" s="1"/>
  <c r="Q160" i="1" s="1"/>
  <c r="R160" i="1" s="1"/>
  <c r="S160" i="1" s="1"/>
  <c r="T160" i="1" s="1"/>
  <c r="U160" i="1" s="1"/>
  <c r="V160" i="1" s="1"/>
  <c r="W160" i="1" s="1"/>
  <c r="N159" i="1"/>
  <c r="O159" i="1" s="1"/>
  <c r="P159" i="1" s="1"/>
  <c r="Q159" i="1" s="1"/>
  <c r="R159" i="1" s="1"/>
  <c r="S159" i="1" s="1"/>
  <c r="T159" i="1" s="1"/>
  <c r="U159" i="1" s="1"/>
  <c r="V159" i="1" s="1"/>
  <c r="W159" i="1" s="1"/>
  <c r="L179" i="1"/>
  <c r="L173" i="1"/>
  <c r="N173" i="1" s="1"/>
  <c r="O173" i="1" s="1"/>
  <c r="P173" i="1" s="1"/>
  <c r="Q173" i="1" s="1"/>
  <c r="R173" i="1" s="1"/>
  <c r="S173" i="1" s="1"/>
  <c r="T173" i="1" s="1"/>
  <c r="U173" i="1" s="1"/>
  <c r="V173" i="1" s="1"/>
  <c r="W173" i="1" s="1"/>
  <c r="L168" i="1"/>
  <c r="L161" i="1"/>
  <c r="N161" i="1" s="1"/>
  <c r="O161" i="1" s="1"/>
  <c r="P161" i="1" s="1"/>
  <c r="Q161" i="1" s="1"/>
  <c r="R161" i="1" s="1"/>
  <c r="S161" i="1" s="1"/>
  <c r="T161" i="1" s="1"/>
  <c r="U161" i="1" s="1"/>
  <c r="V161" i="1" s="1"/>
  <c r="W161" i="1" s="1"/>
  <c r="L155" i="1"/>
  <c r="S245" i="1"/>
  <c r="T245" i="1" s="1"/>
  <c r="U245" i="1" s="1"/>
  <c r="V245" i="1" s="1"/>
  <c r="W245" i="1" s="1"/>
  <c r="O97" i="1"/>
  <c r="P97" i="1" s="1"/>
  <c r="Q97" i="1" s="1"/>
  <c r="R97" i="1" s="1"/>
  <c r="S97" i="1" s="1"/>
  <c r="T97" i="1" s="1"/>
  <c r="U97" i="1" s="1"/>
  <c r="V97" i="1" s="1"/>
  <c r="W97" i="1" s="1"/>
  <c r="CT112" i="18"/>
  <c r="CY112" i="18"/>
  <c r="Q243" i="1"/>
  <c r="R243" i="1"/>
  <c r="S243" i="1"/>
  <c r="T243" i="1"/>
  <c r="U243" i="1"/>
  <c r="V243" i="1"/>
  <c r="W243" i="1"/>
  <c r="N243" i="1"/>
  <c r="D20" i="12"/>
  <c r="E20" i="12" s="1"/>
  <c r="F20" i="12" s="1"/>
  <c r="G20" i="12" s="1"/>
  <c r="H20" i="12" s="1"/>
  <c r="I20" i="12" s="1"/>
  <c r="J20" i="12" s="1"/>
  <c r="K20" i="12" s="1"/>
  <c r="L20" i="12" s="1"/>
  <c r="M20" i="12" s="1"/>
  <c r="N20" i="12" s="1"/>
  <c r="O20" i="12" s="1"/>
  <c r="D15" i="12"/>
  <c r="E15" i="12" s="1"/>
  <c r="F15" i="12" s="1"/>
  <c r="G15" i="12" s="1"/>
  <c r="H15" i="12" s="1"/>
  <c r="I15" i="12" s="1"/>
  <c r="J15" i="12" s="1"/>
  <c r="K15" i="12" s="1"/>
  <c r="L15" i="12" s="1"/>
  <c r="M15" i="12" s="1"/>
  <c r="N15" i="12" s="1"/>
  <c r="O15" i="12" s="1"/>
  <c r="CH31" i="1"/>
  <c r="S40" i="20"/>
  <c r="S41" i="20"/>
  <c r="S42" i="20"/>
  <c r="S44" i="20"/>
  <c r="S46" i="20"/>
  <c r="S47" i="20"/>
  <c r="S48" i="20"/>
  <c r="S49" i="20"/>
  <c r="S62" i="20"/>
  <c r="S63" i="20"/>
  <c r="S65" i="20"/>
  <c r="S66" i="20"/>
  <c r="S67" i="20"/>
  <c r="S75" i="20"/>
  <c r="S76" i="20"/>
  <c r="S77" i="20"/>
  <c r="S81" i="20"/>
  <c r="S84" i="20"/>
  <c r="S88" i="20"/>
  <c r="S89" i="20"/>
  <c r="W66" i="18"/>
  <c r="X55" i="18"/>
  <c r="W55" i="18"/>
  <c r="S73" i="20" s="1"/>
  <c r="W32" i="18"/>
  <c r="W33" i="18"/>
  <c r="S54" i="20" s="1"/>
  <c r="W34" i="18"/>
  <c r="S55" i="20" s="1"/>
  <c r="W37" i="18"/>
  <c r="S56" i="20" s="1"/>
  <c r="W38" i="18"/>
  <c r="S57" i="20" s="1"/>
  <c r="W39" i="18"/>
  <c r="S58" i="20" s="1"/>
  <c r="W40" i="18"/>
  <c r="S59" i="20" s="1"/>
  <c r="W16" i="18"/>
  <c r="S43" i="20" s="1"/>
  <c r="W24" i="18"/>
  <c r="CT95" i="18"/>
  <c r="CY95" i="18"/>
  <c r="R40" i="20"/>
  <c r="R41" i="20"/>
  <c r="R42" i="20"/>
  <c r="R44" i="20"/>
  <c r="R46" i="20"/>
  <c r="R47" i="20"/>
  <c r="R48" i="20"/>
  <c r="R49" i="20"/>
  <c r="R62" i="20"/>
  <c r="R63" i="20"/>
  <c r="R65" i="20"/>
  <c r="R66" i="20"/>
  <c r="R67" i="20"/>
  <c r="R75" i="20"/>
  <c r="R76" i="20"/>
  <c r="R77" i="20"/>
  <c r="R81" i="20"/>
  <c r="R84" i="20"/>
  <c r="R88" i="20"/>
  <c r="R89" i="20"/>
  <c r="V66" i="18"/>
  <c r="V55" i="18"/>
  <c r="R73" i="20" s="1"/>
  <c r="V40" i="18"/>
  <c r="R59" i="20" s="1"/>
  <c r="V39" i="18"/>
  <c r="R58" i="20" s="1"/>
  <c r="V38" i="18"/>
  <c r="V33" i="18"/>
  <c r="R54" i="20" s="1"/>
  <c r="U33" i="18"/>
  <c r="Q54" i="20" s="1"/>
  <c r="V37" i="18"/>
  <c r="R56" i="20" s="1"/>
  <c r="V34" i="18"/>
  <c r="R55" i="20" s="1"/>
  <c r="V32" i="18"/>
  <c r="R53" i="20" s="1"/>
  <c r="V24" i="18"/>
  <c r="V16" i="18"/>
  <c r="R43" i="20" s="1"/>
  <c r="U39" i="18"/>
  <c r="H29" i="20"/>
  <c r="H28" i="20"/>
  <c r="H27" i="20"/>
  <c r="H15" i="20"/>
  <c r="L26" i="1"/>
  <c r="CC23" i="18" s="1"/>
  <c r="CC40" i="18" s="1"/>
  <c r="L25" i="1"/>
  <c r="CC21" i="18" s="1"/>
  <c r="L24" i="1"/>
  <c r="H23" i="20" s="1"/>
  <c r="L23" i="1"/>
  <c r="L406" i="1" s="1"/>
  <c r="L21" i="1"/>
  <c r="L404" i="1" s="1"/>
  <c r="L19" i="1"/>
  <c r="L18" i="1"/>
  <c r="CC5" i="18" s="1"/>
  <c r="CC32" i="18" s="1"/>
  <c r="CU11" i="1"/>
  <c r="CU10" i="1"/>
  <c r="Q40" i="20"/>
  <c r="Q84" i="20"/>
  <c r="Q81" i="20"/>
  <c r="Q77" i="20"/>
  <c r="Q76" i="20"/>
  <c r="Q75" i="20"/>
  <c r="Q67" i="20"/>
  <c r="Q66" i="20"/>
  <c r="Q65" i="20"/>
  <c r="Q63" i="20"/>
  <c r="Q62" i="20"/>
  <c r="Q49" i="20"/>
  <c r="Q48" i="20"/>
  <c r="Q47" i="20"/>
  <c r="Q46" i="20"/>
  <c r="Q44" i="20"/>
  <c r="Q42" i="20"/>
  <c r="Q41" i="20"/>
  <c r="P81" i="20"/>
  <c r="P79" i="20"/>
  <c r="P78" i="20"/>
  <c r="P40" i="20"/>
  <c r="P39" i="20"/>
  <c r="L4" i="20"/>
  <c r="L31" i="20" s="1"/>
  <c r="U16" i="18"/>
  <c r="Q43" i="20" s="1"/>
  <c r="U24" i="18"/>
  <c r="U25" i="18" s="1"/>
  <c r="U38" i="18"/>
  <c r="Q57" i="20" s="1"/>
  <c r="U40" i="18"/>
  <c r="U37" i="18"/>
  <c r="Q56" i="20" s="1"/>
  <c r="U34" i="18"/>
  <c r="Q55" i="20" s="1"/>
  <c r="U32" i="18"/>
  <c r="Q53" i="20" s="1"/>
  <c r="T96" i="18"/>
  <c r="T87" i="18"/>
  <c r="P80" i="20" s="1"/>
  <c r="T80" i="18"/>
  <c r="U66" i="18"/>
  <c r="U55" i="18"/>
  <c r="Q73" i="20" s="1"/>
  <c r="T55" i="18"/>
  <c r="P73" i="20" s="1"/>
  <c r="Q88" i="20"/>
  <c r="CP5" i="1"/>
  <c r="CQ5" i="1"/>
  <c r="CP8" i="1"/>
  <c r="CQ8" i="1"/>
  <c r="CP11" i="1"/>
  <c r="CQ11" i="1"/>
  <c r="CP14" i="1"/>
  <c r="CQ14" i="1"/>
  <c r="CP17" i="1"/>
  <c r="CQ17" i="1"/>
  <c r="CP22" i="1"/>
  <c r="CQ22" i="1"/>
  <c r="CJ5" i="1"/>
  <c r="CK5" i="1"/>
  <c r="CJ8" i="1"/>
  <c r="CK8" i="1"/>
  <c r="CJ11" i="1"/>
  <c r="CK11" i="1"/>
  <c r="CJ14" i="1"/>
  <c r="CK14" i="1"/>
  <c r="CJ17" i="1"/>
  <c r="CK17" i="1"/>
  <c r="CJ22" i="1"/>
  <c r="CK22" i="1"/>
  <c r="X39" i="18"/>
  <c r="CT21" i="18"/>
  <c r="CY21" i="18"/>
  <c r="X40" i="18"/>
  <c r="CT23" i="18"/>
  <c r="CY23" i="18"/>
  <c r="X38" i="18"/>
  <c r="CY20" i="18"/>
  <c r="CT20" i="18"/>
  <c r="CD3" i="1"/>
  <c r="CJ3" i="1" s="1"/>
  <c r="CP3" i="1" s="1"/>
  <c r="CE3" i="1"/>
  <c r="CK3" i="1" s="1"/>
  <c r="CQ3" i="1" s="1"/>
  <c r="L84" i="1"/>
  <c r="L112" i="1"/>
  <c r="L90" i="1"/>
  <c r="L94" i="1" s="1"/>
  <c r="L97" i="1" s="1"/>
  <c r="CY16" i="1"/>
  <c r="CZ16" i="1"/>
  <c r="DA16" i="1"/>
  <c r="CY19" i="1"/>
  <c r="CZ19" i="1"/>
  <c r="DA19" i="1"/>
  <c r="CY22" i="1"/>
  <c r="CZ22" i="1"/>
  <c r="DA22" i="1"/>
  <c r="CY28" i="1"/>
  <c r="CZ28" i="1"/>
  <c r="DA28" i="1"/>
  <c r="CX28" i="1"/>
  <c r="CX22" i="1"/>
  <c r="CX19" i="1"/>
  <c r="CX16" i="1"/>
  <c r="CY3" i="1"/>
  <c r="CY14" i="1" s="1"/>
  <c r="CZ3" i="1"/>
  <c r="CZ14" i="1" s="1"/>
  <c r="DA3" i="1"/>
  <c r="DA14" i="1" s="1"/>
  <c r="CX3" i="1"/>
  <c r="Q89" i="20"/>
  <c r="Z96" i="18"/>
  <c r="N84" i="20"/>
  <c r="N81" i="20"/>
  <c r="N77" i="20"/>
  <c r="N76" i="20"/>
  <c r="N75" i="20"/>
  <c r="N67" i="20"/>
  <c r="N66" i="20"/>
  <c r="N65" i="20"/>
  <c r="N63" i="20"/>
  <c r="N62" i="20"/>
  <c r="N49" i="20"/>
  <c r="N48" i="20"/>
  <c r="N47" i="20"/>
  <c r="N46" i="20"/>
  <c r="N44" i="20"/>
  <c r="N42" i="20"/>
  <c r="N41" i="20"/>
  <c r="N40" i="20"/>
  <c r="N39" i="20"/>
  <c r="R66" i="18"/>
  <c r="CO66" i="18" s="1"/>
  <c r="R55" i="18"/>
  <c r="N73" i="20" s="1"/>
  <c r="R32" i="18"/>
  <c r="N53" i="20" s="1"/>
  <c r="R33" i="18"/>
  <c r="N54" i="20" s="1"/>
  <c r="R34" i="18"/>
  <c r="R37" i="18"/>
  <c r="N56" i="20" s="1"/>
  <c r="R38" i="18"/>
  <c r="N57" i="20" s="1"/>
  <c r="R39" i="18"/>
  <c r="N58" i="20" s="1"/>
  <c r="R40" i="18"/>
  <c r="N59" i="20" s="1"/>
  <c r="R24" i="18"/>
  <c r="S24" i="18" s="1"/>
  <c r="R16" i="18"/>
  <c r="N70" i="20"/>
  <c r="N69" i="20"/>
  <c r="N88" i="20"/>
  <c r="N71" i="20"/>
  <c r="W522" i="1"/>
  <c r="W456" i="1"/>
  <c r="W448" i="1"/>
  <c r="W445" i="1"/>
  <c r="W437" i="1"/>
  <c r="W415" i="1"/>
  <c r="W391" i="1"/>
  <c r="W336" i="1"/>
  <c r="W284" i="1"/>
  <c r="W196" i="1" s="1"/>
  <c r="F200" i="1"/>
  <c r="W294" i="1"/>
  <c r="W461" i="1"/>
  <c r="V461" i="1"/>
  <c r="U461" i="1"/>
  <c r="T461" i="1"/>
  <c r="S461" i="1"/>
  <c r="R461" i="1"/>
  <c r="Q461" i="1"/>
  <c r="P461" i="1"/>
  <c r="O461" i="1"/>
  <c r="CC461" i="1" s="1"/>
  <c r="CK461" i="1" s="1"/>
  <c r="CQ461" i="1" s="1"/>
  <c r="N461" i="1"/>
  <c r="CB461" i="1" s="1"/>
  <c r="CJ461" i="1" s="1"/>
  <c r="CP461" i="1" s="1"/>
  <c r="L461" i="1"/>
  <c r="K461" i="1"/>
  <c r="J461" i="1"/>
  <c r="I461" i="1"/>
  <c r="H461" i="1"/>
  <c r="G461" i="1"/>
  <c r="F461" i="1"/>
  <c r="CA461" i="1" s="1"/>
  <c r="CI461" i="1" s="1"/>
  <c r="CO461" i="1" s="1"/>
  <c r="E461" i="1"/>
  <c r="BZ461" i="1" s="1"/>
  <c r="CH461" i="1" s="1"/>
  <c r="CN461" i="1" s="1"/>
  <c r="D461" i="1"/>
  <c r="BY461" i="1" s="1"/>
  <c r="C461" i="1"/>
  <c r="BX461" i="1" s="1"/>
  <c r="B461" i="1"/>
  <c r="BW461" i="1" s="1"/>
  <c r="V415" i="1"/>
  <c r="U415" i="1"/>
  <c r="T415" i="1"/>
  <c r="S415" i="1"/>
  <c r="R415" i="1"/>
  <c r="Q415" i="1"/>
  <c r="P415" i="1"/>
  <c r="O415" i="1"/>
  <c r="N415" i="1"/>
  <c r="L415" i="1"/>
  <c r="K415" i="1"/>
  <c r="J415" i="1"/>
  <c r="I415" i="1"/>
  <c r="H415" i="1"/>
  <c r="G415" i="1"/>
  <c r="F415" i="1"/>
  <c r="E415" i="1"/>
  <c r="D415" i="1"/>
  <c r="C415" i="1"/>
  <c r="B415" i="1"/>
  <c r="V391" i="1"/>
  <c r="U391" i="1"/>
  <c r="T391" i="1"/>
  <c r="S391" i="1"/>
  <c r="R391" i="1"/>
  <c r="Q391" i="1"/>
  <c r="P391" i="1"/>
  <c r="O391" i="1"/>
  <c r="N391" i="1"/>
  <c r="L391" i="1"/>
  <c r="K391" i="1"/>
  <c r="J391" i="1"/>
  <c r="I391" i="1"/>
  <c r="H391" i="1"/>
  <c r="G391" i="1"/>
  <c r="F391" i="1"/>
  <c r="E391" i="1"/>
  <c r="D391" i="1"/>
  <c r="C391" i="1"/>
  <c r="B391" i="1"/>
  <c r="W329" i="1"/>
  <c r="V329" i="1"/>
  <c r="U329" i="1"/>
  <c r="T329" i="1"/>
  <c r="S329" i="1"/>
  <c r="R329" i="1"/>
  <c r="Q329" i="1"/>
  <c r="P329" i="1"/>
  <c r="O329" i="1"/>
  <c r="N329" i="1"/>
  <c r="L329" i="1"/>
  <c r="K329" i="1"/>
  <c r="J329" i="1"/>
  <c r="I329" i="1"/>
  <c r="H329" i="1"/>
  <c r="G329" i="1"/>
  <c r="F329" i="1"/>
  <c r="E329" i="1"/>
  <c r="D329" i="1"/>
  <c r="C329" i="1"/>
  <c r="B329" i="1"/>
  <c r="W316" i="1"/>
  <c r="V316" i="1"/>
  <c r="U316" i="1"/>
  <c r="T316" i="1"/>
  <c r="S316" i="1"/>
  <c r="R316" i="1"/>
  <c r="Q316" i="1"/>
  <c r="P316" i="1"/>
  <c r="O316" i="1"/>
  <c r="N316" i="1"/>
  <c r="L316" i="1"/>
  <c r="K316" i="1"/>
  <c r="J316" i="1"/>
  <c r="I316" i="1"/>
  <c r="H316" i="1"/>
  <c r="G316" i="1"/>
  <c r="F316" i="1"/>
  <c r="E316" i="1"/>
  <c r="D316" i="1"/>
  <c r="C316" i="1"/>
  <c r="B316" i="1"/>
  <c r="W252" i="1"/>
  <c r="V252" i="1"/>
  <c r="U252" i="1"/>
  <c r="T252" i="1"/>
  <c r="S252" i="1"/>
  <c r="R252" i="1"/>
  <c r="Q252" i="1"/>
  <c r="P252" i="1"/>
  <c r="O252" i="1"/>
  <c r="N252" i="1"/>
  <c r="L252" i="1"/>
  <c r="K252" i="1"/>
  <c r="J252" i="1"/>
  <c r="I252" i="1"/>
  <c r="H252" i="1"/>
  <c r="G252" i="1"/>
  <c r="F252" i="1"/>
  <c r="E252" i="1"/>
  <c r="D252" i="1"/>
  <c r="C252" i="1"/>
  <c r="B252" i="1"/>
  <c r="W226" i="1"/>
  <c r="V226" i="1"/>
  <c r="U226" i="1"/>
  <c r="T226" i="1"/>
  <c r="S226" i="1"/>
  <c r="R226" i="1"/>
  <c r="Q226" i="1"/>
  <c r="P226" i="1"/>
  <c r="O226" i="1"/>
  <c r="N226" i="1"/>
  <c r="L226" i="1"/>
  <c r="K226" i="1"/>
  <c r="J226" i="1"/>
  <c r="I226" i="1"/>
  <c r="H226" i="1"/>
  <c r="G226" i="1"/>
  <c r="F226" i="1"/>
  <c r="E226" i="1"/>
  <c r="D226" i="1"/>
  <c r="C226" i="1"/>
  <c r="B226" i="1"/>
  <c r="W205" i="1"/>
  <c r="V205" i="1"/>
  <c r="U205" i="1"/>
  <c r="T205" i="1"/>
  <c r="S205" i="1"/>
  <c r="R205" i="1"/>
  <c r="Q205" i="1"/>
  <c r="P205" i="1"/>
  <c r="O205" i="1"/>
  <c r="N205" i="1"/>
  <c r="L205" i="1"/>
  <c r="K205" i="1"/>
  <c r="J205" i="1"/>
  <c r="I205" i="1"/>
  <c r="H205" i="1"/>
  <c r="G205" i="1"/>
  <c r="F205" i="1"/>
  <c r="E205" i="1"/>
  <c r="D205" i="1"/>
  <c r="C205" i="1"/>
  <c r="B205" i="1"/>
  <c r="W184" i="1"/>
  <c r="V184" i="1"/>
  <c r="U184" i="1"/>
  <c r="T184" i="1"/>
  <c r="S184" i="1"/>
  <c r="R184" i="1"/>
  <c r="Q184" i="1"/>
  <c r="P184" i="1"/>
  <c r="O184" i="1"/>
  <c r="N184" i="1"/>
  <c r="L184" i="1"/>
  <c r="K184" i="1"/>
  <c r="J184" i="1"/>
  <c r="I184" i="1"/>
  <c r="H184" i="1"/>
  <c r="G184" i="1"/>
  <c r="F184" i="1"/>
  <c r="E184" i="1"/>
  <c r="D184" i="1"/>
  <c r="C184" i="1"/>
  <c r="B184" i="1"/>
  <c r="W143" i="1"/>
  <c r="V143" i="1"/>
  <c r="U143" i="1"/>
  <c r="T143" i="1"/>
  <c r="S143" i="1"/>
  <c r="R143" i="1"/>
  <c r="Q143" i="1"/>
  <c r="P143" i="1"/>
  <c r="O143" i="1"/>
  <c r="N143" i="1"/>
  <c r="L143" i="1"/>
  <c r="K143" i="1"/>
  <c r="J143" i="1"/>
  <c r="I143" i="1"/>
  <c r="H143" i="1"/>
  <c r="G143" i="1"/>
  <c r="F143" i="1"/>
  <c r="E143" i="1"/>
  <c r="D143" i="1"/>
  <c r="C143" i="1"/>
  <c r="B143" i="1"/>
  <c r="W88" i="1"/>
  <c r="V88" i="1"/>
  <c r="U88" i="1"/>
  <c r="U265" i="1" s="1"/>
  <c r="T88" i="1"/>
  <c r="T285" i="1" s="1"/>
  <c r="S88" i="1"/>
  <c r="S285" i="1" s="1"/>
  <c r="R88" i="1"/>
  <c r="R305" i="1" s="1"/>
  <c r="Q88" i="1"/>
  <c r="Q295" i="1" s="1"/>
  <c r="P88" i="1"/>
  <c r="O88" i="1"/>
  <c r="N88" i="1"/>
  <c r="N275" i="1" s="1"/>
  <c r="L88" i="1"/>
  <c r="K88" i="1"/>
  <c r="J88" i="1"/>
  <c r="I88" i="1"/>
  <c r="H88" i="1"/>
  <c r="G88" i="1"/>
  <c r="F88" i="1"/>
  <c r="E88" i="1"/>
  <c r="F311" i="14" s="1"/>
  <c r="D88" i="1"/>
  <c r="E311" i="14" s="1"/>
  <c r="C88" i="1"/>
  <c r="D311" i="14" s="1"/>
  <c r="B88" i="1"/>
  <c r="C311" i="14" s="1"/>
  <c r="C62" i="1"/>
  <c r="D62" i="1"/>
  <c r="E62" i="1"/>
  <c r="B43" i="1"/>
  <c r="C43" i="1"/>
  <c r="D43" i="1"/>
  <c r="E43" i="1"/>
  <c r="C34" i="1"/>
  <c r="D34" i="1"/>
  <c r="E34" i="1"/>
  <c r="F34" i="1"/>
  <c r="G34" i="1"/>
  <c r="H34" i="1"/>
  <c r="I34" i="1"/>
  <c r="J34" i="1"/>
  <c r="K34" i="1"/>
  <c r="L34" i="1"/>
  <c r="N34" i="1"/>
  <c r="O34" i="1"/>
  <c r="P34" i="1"/>
  <c r="Q34" i="1"/>
  <c r="R34" i="1"/>
  <c r="S34" i="1"/>
  <c r="T34" i="1"/>
  <c r="U34" i="1"/>
  <c r="V34" i="1"/>
  <c r="W34" i="1"/>
  <c r="B34" i="1"/>
  <c r="W51" i="1"/>
  <c r="L373" i="1"/>
  <c r="L374" i="1" s="1"/>
  <c r="L375" i="1" s="1"/>
  <c r="F44" i="1"/>
  <c r="N572" i="1"/>
  <c r="N194" i="1"/>
  <c r="U115" i="16" s="1"/>
  <c r="H392" i="1"/>
  <c r="I392" i="1"/>
  <c r="J392" i="1"/>
  <c r="K392" i="1"/>
  <c r="H394" i="1"/>
  <c r="I394" i="1"/>
  <c r="J394" i="1"/>
  <c r="K394" i="1"/>
  <c r="G397" i="1"/>
  <c r="H397" i="1"/>
  <c r="I397" i="1"/>
  <c r="J397" i="1"/>
  <c r="H403" i="1"/>
  <c r="J403" i="1"/>
  <c r="H404" i="1"/>
  <c r="J404" i="1"/>
  <c r="H407" i="1"/>
  <c r="J407" i="1"/>
  <c r="H408" i="1"/>
  <c r="J408" i="1"/>
  <c r="H409" i="1"/>
  <c r="J409" i="1"/>
  <c r="H413" i="1"/>
  <c r="J413" i="1"/>
  <c r="C44" i="1"/>
  <c r="D44" i="1"/>
  <c r="E44" i="1"/>
  <c r="C45" i="1"/>
  <c r="D45" i="1"/>
  <c r="E45" i="1"/>
  <c r="C46" i="1"/>
  <c r="D46" i="1"/>
  <c r="E46" i="1"/>
  <c r="C47" i="1"/>
  <c r="D47" i="1"/>
  <c r="E47" i="1"/>
  <c r="C48" i="1"/>
  <c r="D48" i="1"/>
  <c r="E48" i="1"/>
  <c r="F48" i="1"/>
  <c r="F45" i="1"/>
  <c r="F46" i="1"/>
  <c r="F47" i="1"/>
  <c r="C35" i="1"/>
  <c r="D35" i="1"/>
  <c r="E35" i="1"/>
  <c r="C36" i="1"/>
  <c r="D36" i="1"/>
  <c r="E36" i="1"/>
  <c r="F36" i="1"/>
  <c r="F35" i="1"/>
  <c r="M39" i="20"/>
  <c r="M40" i="20"/>
  <c r="M41" i="20"/>
  <c r="M42" i="20"/>
  <c r="M44" i="20"/>
  <c r="M46" i="20"/>
  <c r="M47" i="20"/>
  <c r="M48" i="20"/>
  <c r="M49" i="20"/>
  <c r="M62" i="20"/>
  <c r="M63" i="20"/>
  <c r="M65" i="20"/>
  <c r="M66" i="20"/>
  <c r="M67" i="20"/>
  <c r="M75" i="20"/>
  <c r="M76" i="20"/>
  <c r="M77" i="20"/>
  <c r="M81" i="20"/>
  <c r="M84" i="20"/>
  <c r="F540" i="1"/>
  <c r="X522" i="1"/>
  <c r="V522" i="1"/>
  <c r="U522" i="1"/>
  <c r="T522" i="1"/>
  <c r="S522" i="1"/>
  <c r="R522" i="1"/>
  <c r="Q522" i="1"/>
  <c r="P522" i="1"/>
  <c r="O522" i="1"/>
  <c r="N522" i="1"/>
  <c r="F516" i="1"/>
  <c r="F507" i="1"/>
  <c r="O489" i="1"/>
  <c r="N489" i="1"/>
  <c r="P486" i="1"/>
  <c r="Q486" i="1" s="1"/>
  <c r="F483" i="1"/>
  <c r="CC481" i="1"/>
  <c r="CK481" i="1" s="1"/>
  <c r="CQ481" i="1" s="1"/>
  <c r="CB481" i="1"/>
  <c r="CJ481" i="1" s="1"/>
  <c r="CP481" i="1" s="1"/>
  <c r="CA481" i="1"/>
  <c r="CI481" i="1" s="1"/>
  <c r="CO481" i="1" s="1"/>
  <c r="BZ481" i="1"/>
  <c r="CH481" i="1" s="1"/>
  <c r="CN481" i="1" s="1"/>
  <c r="BY481" i="1"/>
  <c r="BX481" i="1"/>
  <c r="BW481" i="1"/>
  <c r="BV481" i="1"/>
  <c r="N465" i="1"/>
  <c r="O465" i="1" s="1"/>
  <c r="P465" i="1" s="1"/>
  <c r="Q465" i="1" s="1"/>
  <c r="R465" i="1" s="1"/>
  <c r="S465" i="1" s="1"/>
  <c r="T465" i="1" s="1"/>
  <c r="U465" i="1" s="1"/>
  <c r="V465" i="1" s="1"/>
  <c r="W465" i="1" s="1"/>
  <c r="F462" i="1"/>
  <c r="F464" i="1" s="1"/>
  <c r="BV461" i="1"/>
  <c r="V456" i="1"/>
  <c r="U456" i="1"/>
  <c r="T456" i="1"/>
  <c r="S456" i="1"/>
  <c r="R456" i="1"/>
  <c r="Q456" i="1"/>
  <c r="P456" i="1"/>
  <c r="O456" i="1"/>
  <c r="N456" i="1"/>
  <c r="F456" i="1"/>
  <c r="E456" i="1"/>
  <c r="D456" i="1"/>
  <c r="C456" i="1"/>
  <c r="B456" i="1"/>
  <c r="A456" i="1"/>
  <c r="F455" i="1"/>
  <c r="E455" i="1"/>
  <c r="D455" i="1"/>
  <c r="C455" i="1"/>
  <c r="B455" i="1"/>
  <c r="A455" i="1"/>
  <c r="F454" i="1"/>
  <c r="E454" i="1"/>
  <c r="D454" i="1"/>
  <c r="C454" i="1"/>
  <c r="B454" i="1"/>
  <c r="A454" i="1"/>
  <c r="F453" i="1"/>
  <c r="E453" i="1"/>
  <c r="D453" i="1"/>
  <c r="C453" i="1"/>
  <c r="B453" i="1"/>
  <c r="A453" i="1"/>
  <c r="F452" i="1"/>
  <c r="E452" i="1"/>
  <c r="D452" i="1"/>
  <c r="C452" i="1"/>
  <c r="B452" i="1"/>
  <c r="A452" i="1"/>
  <c r="F450" i="1"/>
  <c r="E450" i="1"/>
  <c r="D450" i="1"/>
  <c r="C450" i="1"/>
  <c r="B450" i="1"/>
  <c r="A450" i="1"/>
  <c r="F449" i="1"/>
  <c r="E449" i="1"/>
  <c r="D449" i="1"/>
  <c r="A449" i="1"/>
  <c r="V448" i="1"/>
  <c r="U448" i="1"/>
  <c r="T448" i="1"/>
  <c r="S448" i="1"/>
  <c r="R448" i="1"/>
  <c r="Q448" i="1"/>
  <c r="P448" i="1"/>
  <c r="O448" i="1"/>
  <c r="N448" i="1"/>
  <c r="F448" i="1"/>
  <c r="E448" i="1"/>
  <c r="D448" i="1"/>
  <c r="C448" i="1"/>
  <c r="B448" i="1"/>
  <c r="A448" i="1"/>
  <c r="F447" i="1"/>
  <c r="E447" i="1"/>
  <c r="D447" i="1"/>
  <c r="C447" i="1"/>
  <c r="B447" i="1"/>
  <c r="A447" i="1"/>
  <c r="F446" i="1"/>
  <c r="E446" i="1"/>
  <c r="D446" i="1"/>
  <c r="C446" i="1"/>
  <c r="B446" i="1"/>
  <c r="A446" i="1"/>
  <c r="V445" i="1"/>
  <c r="U445" i="1"/>
  <c r="T445" i="1"/>
  <c r="S445" i="1"/>
  <c r="R445" i="1"/>
  <c r="Q445" i="1"/>
  <c r="P445" i="1"/>
  <c r="O445" i="1"/>
  <c r="N445" i="1"/>
  <c r="F445" i="1"/>
  <c r="E445" i="1"/>
  <c r="D445" i="1"/>
  <c r="C445" i="1"/>
  <c r="B445" i="1"/>
  <c r="A445" i="1"/>
  <c r="F443" i="1"/>
  <c r="E443" i="1"/>
  <c r="D443" i="1"/>
  <c r="C443" i="1"/>
  <c r="B443" i="1"/>
  <c r="A443" i="1"/>
  <c r="F442" i="1"/>
  <c r="E442" i="1"/>
  <c r="D442" i="1"/>
  <c r="C442" i="1"/>
  <c r="B442" i="1"/>
  <c r="A442" i="1"/>
  <c r="F441" i="1"/>
  <c r="E441" i="1"/>
  <c r="D441" i="1"/>
  <c r="C441" i="1"/>
  <c r="B441" i="1"/>
  <c r="A441" i="1"/>
  <c r="F439" i="1"/>
  <c r="E439" i="1"/>
  <c r="D439" i="1"/>
  <c r="C439" i="1"/>
  <c r="B439" i="1"/>
  <c r="A439" i="1"/>
  <c r="F438" i="1"/>
  <c r="E438" i="1"/>
  <c r="D438" i="1"/>
  <c r="C438" i="1"/>
  <c r="B438" i="1"/>
  <c r="A438" i="1"/>
  <c r="V437" i="1"/>
  <c r="U437" i="1"/>
  <c r="T437" i="1"/>
  <c r="S437" i="1"/>
  <c r="R437" i="1"/>
  <c r="Q437" i="1"/>
  <c r="P437" i="1"/>
  <c r="O437" i="1"/>
  <c r="N437" i="1"/>
  <c r="F437" i="1"/>
  <c r="E437" i="1"/>
  <c r="D437" i="1"/>
  <c r="C437" i="1"/>
  <c r="B437" i="1"/>
  <c r="A437" i="1"/>
  <c r="F435" i="1"/>
  <c r="E435" i="1"/>
  <c r="D435" i="1"/>
  <c r="C435" i="1"/>
  <c r="B435" i="1"/>
  <c r="A435" i="1"/>
  <c r="F434" i="1"/>
  <c r="E434" i="1"/>
  <c r="D434" i="1"/>
  <c r="C434" i="1"/>
  <c r="B434" i="1"/>
  <c r="A434" i="1"/>
  <c r="F432" i="1"/>
  <c r="E432" i="1"/>
  <c r="D432" i="1"/>
  <c r="C432" i="1"/>
  <c r="B432" i="1"/>
  <c r="A432" i="1"/>
  <c r="F431" i="1"/>
  <c r="E431" i="1"/>
  <c r="D431" i="1"/>
  <c r="C431" i="1"/>
  <c r="B431" i="1"/>
  <c r="A431" i="1"/>
  <c r="F430" i="1"/>
  <c r="E430" i="1"/>
  <c r="D430" i="1"/>
  <c r="C430" i="1"/>
  <c r="B430" i="1"/>
  <c r="A430" i="1"/>
  <c r="F428" i="1"/>
  <c r="E428" i="1"/>
  <c r="D428" i="1"/>
  <c r="C428" i="1"/>
  <c r="B428" i="1"/>
  <c r="A428" i="1"/>
  <c r="F427" i="1"/>
  <c r="E427" i="1"/>
  <c r="D427" i="1"/>
  <c r="C427" i="1"/>
  <c r="B427" i="1"/>
  <c r="A427" i="1"/>
  <c r="F426" i="1"/>
  <c r="E426" i="1"/>
  <c r="D426" i="1"/>
  <c r="C426" i="1"/>
  <c r="B426" i="1"/>
  <c r="A426" i="1"/>
  <c r="F425" i="1"/>
  <c r="E425" i="1"/>
  <c r="D425" i="1"/>
  <c r="C425" i="1"/>
  <c r="B425" i="1"/>
  <c r="A425" i="1"/>
  <c r="F423" i="1"/>
  <c r="E423" i="1"/>
  <c r="D423" i="1"/>
  <c r="C423" i="1"/>
  <c r="B423" i="1"/>
  <c r="A423" i="1"/>
  <c r="F421" i="1"/>
  <c r="E421" i="1"/>
  <c r="D421" i="1"/>
  <c r="C421" i="1"/>
  <c r="A421" i="1"/>
  <c r="F420" i="1"/>
  <c r="E420" i="1"/>
  <c r="D420" i="1"/>
  <c r="C420" i="1"/>
  <c r="B420" i="1"/>
  <c r="A420" i="1"/>
  <c r="N419" i="1"/>
  <c r="F419" i="1"/>
  <c r="E419" i="1"/>
  <c r="D419" i="1"/>
  <c r="C419" i="1"/>
  <c r="B419" i="1"/>
  <c r="A419" i="1"/>
  <c r="F418" i="1"/>
  <c r="E418" i="1"/>
  <c r="D418" i="1"/>
  <c r="C418" i="1"/>
  <c r="B418" i="1"/>
  <c r="A418" i="1"/>
  <c r="F417" i="1"/>
  <c r="E417" i="1"/>
  <c r="D417" i="1"/>
  <c r="C417" i="1"/>
  <c r="B417" i="1"/>
  <c r="A417" i="1"/>
  <c r="A416" i="1"/>
  <c r="A415" i="1"/>
  <c r="F413" i="1"/>
  <c r="E413" i="1"/>
  <c r="D413" i="1"/>
  <c r="C413" i="1"/>
  <c r="B413" i="1"/>
  <c r="A413" i="1"/>
  <c r="F412" i="1"/>
  <c r="E412" i="1"/>
  <c r="D412" i="1"/>
  <c r="C412" i="1"/>
  <c r="B412" i="1"/>
  <c r="A412" i="1"/>
  <c r="F411" i="1"/>
  <c r="E411" i="1"/>
  <c r="D411" i="1"/>
  <c r="C411" i="1"/>
  <c r="B411" i="1"/>
  <c r="A411" i="1"/>
  <c r="A410" i="1"/>
  <c r="F409" i="1"/>
  <c r="E409" i="1"/>
  <c r="D409" i="1"/>
  <c r="C409" i="1"/>
  <c r="B409" i="1"/>
  <c r="A409" i="1"/>
  <c r="F408" i="1"/>
  <c r="E408" i="1"/>
  <c r="D408" i="1"/>
  <c r="C408" i="1"/>
  <c r="B408" i="1"/>
  <c r="A408" i="1"/>
  <c r="F407" i="1"/>
  <c r="E407" i="1"/>
  <c r="D407" i="1"/>
  <c r="C407" i="1"/>
  <c r="B407" i="1"/>
  <c r="A407" i="1"/>
  <c r="F406" i="1"/>
  <c r="E406" i="1"/>
  <c r="D406" i="1"/>
  <c r="C406" i="1"/>
  <c r="B406" i="1"/>
  <c r="A406" i="1"/>
  <c r="A405" i="1"/>
  <c r="F404" i="1"/>
  <c r="E404" i="1"/>
  <c r="D404" i="1"/>
  <c r="C404" i="1"/>
  <c r="B404" i="1"/>
  <c r="A404" i="1"/>
  <c r="F403" i="1"/>
  <c r="E403" i="1"/>
  <c r="D403" i="1"/>
  <c r="C403" i="1"/>
  <c r="B403" i="1"/>
  <c r="A403" i="1"/>
  <c r="A402" i="1"/>
  <c r="F401" i="1"/>
  <c r="E401" i="1"/>
  <c r="D401" i="1"/>
  <c r="C401" i="1"/>
  <c r="B401" i="1"/>
  <c r="A401" i="1"/>
  <c r="F400" i="1"/>
  <c r="E400" i="1"/>
  <c r="D400" i="1"/>
  <c r="C400" i="1"/>
  <c r="B400" i="1"/>
  <c r="A400" i="1"/>
  <c r="F399" i="1"/>
  <c r="E399" i="1"/>
  <c r="D399" i="1"/>
  <c r="C399" i="1"/>
  <c r="B399" i="1"/>
  <c r="A399" i="1"/>
  <c r="F398" i="1"/>
  <c r="E398" i="1"/>
  <c r="D398" i="1"/>
  <c r="C398" i="1"/>
  <c r="B398" i="1"/>
  <c r="A398" i="1"/>
  <c r="F397" i="1"/>
  <c r="E397" i="1"/>
  <c r="D397" i="1"/>
  <c r="C397" i="1"/>
  <c r="B397" i="1"/>
  <c r="A397" i="1"/>
  <c r="F396" i="1"/>
  <c r="E396" i="1"/>
  <c r="D396" i="1"/>
  <c r="C396" i="1"/>
  <c r="B396" i="1"/>
  <c r="A396" i="1"/>
  <c r="F395" i="1"/>
  <c r="E395" i="1"/>
  <c r="D395" i="1"/>
  <c r="C395" i="1"/>
  <c r="A395" i="1"/>
  <c r="F394" i="1"/>
  <c r="E394" i="1"/>
  <c r="D394" i="1"/>
  <c r="C394" i="1"/>
  <c r="B394" i="1"/>
  <c r="A394" i="1"/>
  <c r="F393" i="1"/>
  <c r="E393" i="1"/>
  <c r="D393" i="1"/>
  <c r="C393" i="1"/>
  <c r="B393" i="1"/>
  <c r="A393" i="1"/>
  <c r="F392" i="1"/>
  <c r="E392" i="1"/>
  <c r="D392" i="1"/>
  <c r="C392" i="1"/>
  <c r="B392" i="1"/>
  <c r="A392" i="1"/>
  <c r="A391" i="1"/>
  <c r="N370" i="1"/>
  <c r="O370" i="1" s="1"/>
  <c r="N369" i="1"/>
  <c r="O369" i="1" s="1"/>
  <c r="P369" i="1" s="1"/>
  <c r="Q369" i="1" s="1"/>
  <c r="R369" i="1" s="1"/>
  <c r="S369" i="1" s="1"/>
  <c r="T369" i="1" s="1"/>
  <c r="U369" i="1" s="1"/>
  <c r="N367" i="1"/>
  <c r="N365" i="1"/>
  <c r="N364" i="1"/>
  <c r="O364" i="1" s="1"/>
  <c r="P364" i="1" s="1"/>
  <c r="Q364" i="1" s="1"/>
  <c r="R364" i="1" s="1"/>
  <c r="S364" i="1" s="1"/>
  <c r="T364" i="1" s="1"/>
  <c r="U364" i="1" s="1"/>
  <c r="V364" i="1" s="1"/>
  <c r="W364" i="1" s="1"/>
  <c r="N362" i="1"/>
  <c r="V336" i="1"/>
  <c r="U336" i="1"/>
  <c r="T336" i="1"/>
  <c r="S336" i="1"/>
  <c r="R336" i="1"/>
  <c r="Q336" i="1"/>
  <c r="P336" i="1"/>
  <c r="O336" i="1"/>
  <c r="N336" i="1"/>
  <c r="N320" i="1"/>
  <c r="N189" i="1" s="1"/>
  <c r="N313" i="1"/>
  <c r="N312" i="1"/>
  <c r="N310" i="1"/>
  <c r="V294" i="1"/>
  <c r="V197" i="1" s="1"/>
  <c r="U294" i="1"/>
  <c r="U197" i="1" s="1"/>
  <c r="T294" i="1"/>
  <c r="S294" i="1"/>
  <c r="R294" i="1"/>
  <c r="Q294" i="1"/>
  <c r="Q197" i="1" s="1"/>
  <c r="P294" i="1"/>
  <c r="O294" i="1"/>
  <c r="N294" i="1"/>
  <c r="N197" i="1" s="1"/>
  <c r="V284" i="1"/>
  <c r="V196" i="1" s="1"/>
  <c r="U284" i="1"/>
  <c r="U196" i="1" s="1"/>
  <c r="T284" i="1"/>
  <c r="T196" i="1" s="1"/>
  <c r="S284" i="1"/>
  <c r="S196" i="1" s="1"/>
  <c r="R284" i="1"/>
  <c r="R196" i="1" s="1"/>
  <c r="Q284" i="1"/>
  <c r="Q196" i="1" s="1"/>
  <c r="P284" i="1"/>
  <c r="P196" i="1" s="1"/>
  <c r="O284" i="1"/>
  <c r="O196" i="1" s="1"/>
  <c r="N284" i="1"/>
  <c r="N196" i="1" s="1"/>
  <c r="N273" i="1"/>
  <c r="N272" i="1"/>
  <c r="O312" i="1" s="1"/>
  <c r="N270" i="1"/>
  <c r="N269" i="1"/>
  <c r="O309" i="1" s="1"/>
  <c r="N268" i="1"/>
  <c r="O308" i="1" s="1"/>
  <c r="N267" i="1"/>
  <c r="O307" i="1" s="1"/>
  <c r="N266" i="1"/>
  <c r="L256" i="1"/>
  <c r="O222" i="1"/>
  <c r="P222" i="1" s="1"/>
  <c r="Q222" i="1" s="1"/>
  <c r="R222" i="1" s="1"/>
  <c r="S222" i="1" s="1"/>
  <c r="T222" i="1" s="1"/>
  <c r="U222" i="1" s="1"/>
  <c r="V222" i="1" s="1"/>
  <c r="W222" i="1" s="1"/>
  <c r="F222" i="1"/>
  <c r="E222" i="1"/>
  <c r="D222" i="1"/>
  <c r="C222" i="1"/>
  <c r="B222" i="1"/>
  <c r="E200" i="1"/>
  <c r="D200" i="1"/>
  <c r="C200" i="1"/>
  <c r="B200" i="1"/>
  <c r="I148" i="1"/>
  <c r="F146" i="1"/>
  <c r="I145" i="1"/>
  <c r="N129" i="1"/>
  <c r="N446" i="1" s="1"/>
  <c r="O92" i="1"/>
  <c r="AW90" i="1"/>
  <c r="AC84" i="1"/>
  <c r="AD84" i="1" s="1"/>
  <c r="AC83" i="1"/>
  <c r="AD83" i="1" s="1"/>
  <c r="F83" i="1"/>
  <c r="E83" i="1"/>
  <c r="D83" i="1"/>
  <c r="C83" i="1"/>
  <c r="AK82" i="1"/>
  <c r="AK81" i="1"/>
  <c r="F78" i="1"/>
  <c r="E78" i="1"/>
  <c r="D78" i="1"/>
  <c r="C78" i="1"/>
  <c r="B78" i="1"/>
  <c r="E77" i="1"/>
  <c r="D77" i="1"/>
  <c r="C77" i="1"/>
  <c r="B77" i="1"/>
  <c r="E73" i="1"/>
  <c r="F73" i="1" s="1"/>
  <c r="N73" i="1" s="1"/>
  <c r="O73" i="1" s="1"/>
  <c r="P73" i="1" s="1"/>
  <c r="P29" i="1" s="1"/>
  <c r="P412" i="1" s="1"/>
  <c r="D73" i="1"/>
  <c r="C73" i="1"/>
  <c r="C75" i="1" s="1"/>
  <c r="B73" i="1"/>
  <c r="B75" i="1" s="1"/>
  <c r="E70" i="1"/>
  <c r="D70" i="1"/>
  <c r="C70" i="1"/>
  <c r="B70" i="1"/>
  <c r="F68" i="1"/>
  <c r="E68" i="1"/>
  <c r="D68" i="1"/>
  <c r="C68" i="1"/>
  <c r="B68" i="1"/>
  <c r="F66" i="1"/>
  <c r="E66" i="1"/>
  <c r="D66" i="1"/>
  <c r="C66" i="1"/>
  <c r="B66" i="1"/>
  <c r="F55" i="1"/>
  <c r="E55" i="1"/>
  <c r="D55" i="1"/>
  <c r="C55" i="1"/>
  <c r="F54" i="1"/>
  <c r="E54" i="1"/>
  <c r="D54" i="1"/>
  <c r="C54" i="1"/>
  <c r="F50" i="1"/>
  <c r="F52" i="1" s="1"/>
  <c r="F221" i="1" s="1"/>
  <c r="O221" i="1"/>
  <c r="P221" i="1" s="1"/>
  <c r="Q221" i="1" s="1"/>
  <c r="R221" i="1" s="1"/>
  <c r="S221" i="1" s="1"/>
  <c r="T221" i="1" s="1"/>
  <c r="U221" i="1" s="1"/>
  <c r="V221" i="1" s="1"/>
  <c r="W221" i="1" s="1"/>
  <c r="E50" i="1"/>
  <c r="E52" i="1" s="1"/>
  <c r="E221" i="1" s="1"/>
  <c r="D50" i="1"/>
  <c r="D52" i="1" s="1"/>
  <c r="D221" i="1" s="1"/>
  <c r="C50" i="1"/>
  <c r="C52" i="1" s="1"/>
  <c r="C221" i="1" s="1"/>
  <c r="B50" i="1"/>
  <c r="B52" i="1" s="1"/>
  <c r="B221" i="1" s="1"/>
  <c r="J42" i="1"/>
  <c r="H42" i="1"/>
  <c r="F42" i="1"/>
  <c r="E42" i="1"/>
  <c r="D42" i="1"/>
  <c r="C42" i="1"/>
  <c r="B42" i="1"/>
  <c r="J41" i="1"/>
  <c r="H41" i="1"/>
  <c r="F41" i="1"/>
  <c r="E41" i="1"/>
  <c r="D41" i="1"/>
  <c r="C41" i="1"/>
  <c r="B41" i="1"/>
  <c r="F40" i="1"/>
  <c r="F60" i="1" s="1"/>
  <c r="E40" i="1"/>
  <c r="E60" i="1" s="1"/>
  <c r="D40" i="1"/>
  <c r="D60" i="1" s="1"/>
  <c r="C40" i="1"/>
  <c r="C60" i="1" s="1"/>
  <c r="B40" i="1"/>
  <c r="B60" i="1" s="1"/>
  <c r="F39" i="1"/>
  <c r="E39" i="1"/>
  <c r="D39" i="1"/>
  <c r="C39" i="1"/>
  <c r="B39" i="1"/>
  <c r="J38" i="1"/>
  <c r="H38" i="1"/>
  <c r="F38" i="1"/>
  <c r="E38" i="1"/>
  <c r="D38" i="1"/>
  <c r="C38" i="1"/>
  <c r="B38" i="1"/>
  <c r="J37" i="1"/>
  <c r="H37" i="1"/>
  <c r="F37" i="1"/>
  <c r="E37" i="1"/>
  <c r="D37" i="1"/>
  <c r="C37" i="1"/>
  <c r="B37" i="1"/>
  <c r="AW34" i="1"/>
  <c r="CA30" i="1"/>
  <c r="BZ30" i="1"/>
  <c r="BY30" i="1"/>
  <c r="BX30" i="1"/>
  <c r="BW30" i="1"/>
  <c r="BV30" i="1"/>
  <c r="AW30" i="1"/>
  <c r="CA29" i="1"/>
  <c r="BZ29" i="1"/>
  <c r="BY29" i="1"/>
  <c r="BX29" i="1"/>
  <c r="BW29" i="1"/>
  <c r="BV29" i="1"/>
  <c r="CA28" i="1"/>
  <c r="BZ28" i="1"/>
  <c r="BY28" i="1"/>
  <c r="BX28" i="1"/>
  <c r="BW28" i="1"/>
  <c r="BV28" i="1"/>
  <c r="AW28" i="1"/>
  <c r="BV27" i="1"/>
  <c r="CA26" i="1"/>
  <c r="BZ26" i="1"/>
  <c r="BY26" i="1"/>
  <c r="BX26" i="1"/>
  <c r="BW26" i="1"/>
  <c r="BV26" i="1"/>
  <c r="AW26" i="1"/>
  <c r="CA25" i="1"/>
  <c r="BZ25" i="1"/>
  <c r="BY25" i="1"/>
  <c r="BX25" i="1"/>
  <c r="BW25" i="1"/>
  <c r="BV25" i="1"/>
  <c r="CA24" i="1"/>
  <c r="BZ24" i="1"/>
  <c r="BY24" i="1"/>
  <c r="BX24" i="1"/>
  <c r="BW24" i="1"/>
  <c r="BV24" i="1"/>
  <c r="CA23" i="1"/>
  <c r="BZ23" i="1"/>
  <c r="BY23" i="1"/>
  <c r="BX23" i="1"/>
  <c r="BW23" i="1"/>
  <c r="BV23" i="1"/>
  <c r="J23" i="1"/>
  <c r="J39" i="1" s="1"/>
  <c r="H23" i="1"/>
  <c r="H40" i="1" s="1"/>
  <c r="CO22" i="1"/>
  <c r="CN22" i="1"/>
  <c r="CI22" i="1"/>
  <c r="CH22" i="1"/>
  <c r="BV22" i="1"/>
  <c r="CA21" i="1"/>
  <c r="BZ21" i="1"/>
  <c r="BY21" i="1"/>
  <c r="BX21" i="1"/>
  <c r="BW21" i="1"/>
  <c r="BV21" i="1"/>
  <c r="BV20" i="1"/>
  <c r="BV19" i="1"/>
  <c r="J19" i="1"/>
  <c r="H19" i="1"/>
  <c r="CA18" i="1"/>
  <c r="BZ18" i="1"/>
  <c r="BY18" i="1"/>
  <c r="BX18" i="1"/>
  <c r="BW18" i="1"/>
  <c r="BV18" i="1"/>
  <c r="CO17" i="1"/>
  <c r="CN17" i="1"/>
  <c r="CI17" i="1"/>
  <c r="CH17" i="1"/>
  <c r="BV17" i="1"/>
  <c r="CA15" i="1"/>
  <c r="BZ15" i="1"/>
  <c r="BY15" i="1"/>
  <c r="BX15" i="1"/>
  <c r="BW15" i="1"/>
  <c r="BV15" i="1"/>
  <c r="AT15" i="1"/>
  <c r="AS15" i="1"/>
  <c r="AQ15" i="1"/>
  <c r="CO14" i="1"/>
  <c r="CN14" i="1"/>
  <c r="CI14" i="1"/>
  <c r="CH14" i="1"/>
  <c r="CA14" i="1"/>
  <c r="BZ14" i="1"/>
  <c r="BY14" i="1"/>
  <c r="BX14" i="1"/>
  <c r="BW14" i="1"/>
  <c r="BV14" i="1"/>
  <c r="AT14" i="1"/>
  <c r="AS14" i="1"/>
  <c r="AQ14" i="1"/>
  <c r="CA13" i="1"/>
  <c r="BZ13" i="1"/>
  <c r="BY13" i="1"/>
  <c r="BX13" i="1"/>
  <c r="BW13" i="1"/>
  <c r="BV13" i="1"/>
  <c r="AT13" i="1"/>
  <c r="AS13" i="1"/>
  <c r="AQ13" i="1"/>
  <c r="CA12" i="1"/>
  <c r="BZ12" i="1"/>
  <c r="BY12" i="1"/>
  <c r="BX12" i="1"/>
  <c r="BW12" i="1"/>
  <c r="BV12" i="1"/>
  <c r="CO11" i="1"/>
  <c r="CN11" i="1"/>
  <c r="CI11" i="1"/>
  <c r="CH11" i="1"/>
  <c r="CA11" i="1"/>
  <c r="BZ11" i="1"/>
  <c r="BY11" i="1"/>
  <c r="BX11" i="1"/>
  <c r="BW11" i="1"/>
  <c r="BV11" i="1"/>
  <c r="AT11" i="1"/>
  <c r="AS11" i="1"/>
  <c r="AQ11" i="1"/>
  <c r="K11" i="1"/>
  <c r="K399" i="1" s="1"/>
  <c r="J11" i="1"/>
  <c r="J399" i="1" s="1"/>
  <c r="I11" i="1"/>
  <c r="I399" i="1" s="1"/>
  <c r="H11" i="1"/>
  <c r="H399" i="1" s="1"/>
  <c r="CA10" i="1"/>
  <c r="BZ10" i="1"/>
  <c r="BY10" i="1"/>
  <c r="BX10" i="1"/>
  <c r="BW10" i="1"/>
  <c r="BV10" i="1"/>
  <c r="AT10" i="1"/>
  <c r="AS10" i="1"/>
  <c r="AQ10" i="1"/>
  <c r="CA9" i="1"/>
  <c r="BZ9" i="1"/>
  <c r="BY9" i="1"/>
  <c r="BX9" i="1"/>
  <c r="BW9" i="1"/>
  <c r="BV9" i="1"/>
  <c r="AT9" i="1"/>
  <c r="AS9" i="1"/>
  <c r="AQ9" i="1"/>
  <c r="L9" i="1"/>
  <c r="CO8" i="1"/>
  <c r="CN8" i="1"/>
  <c r="CI8" i="1"/>
  <c r="CH8" i="1"/>
  <c r="CA8" i="1"/>
  <c r="BZ8" i="1"/>
  <c r="BY8" i="1"/>
  <c r="BX8" i="1"/>
  <c r="BW8" i="1"/>
  <c r="BV8" i="1"/>
  <c r="CA7" i="1"/>
  <c r="BZ7" i="1"/>
  <c r="BY7" i="1"/>
  <c r="BX7" i="1"/>
  <c r="BW7" i="1"/>
  <c r="BV7" i="1"/>
  <c r="AT7" i="1"/>
  <c r="AS7" i="1"/>
  <c r="CA6" i="1"/>
  <c r="BZ6" i="1"/>
  <c r="BY6" i="1"/>
  <c r="BX6" i="1"/>
  <c r="BW6" i="1"/>
  <c r="BV6" i="1"/>
  <c r="AT6" i="1"/>
  <c r="AS6" i="1"/>
  <c r="AQ6" i="1"/>
  <c r="G6" i="1"/>
  <c r="G394" i="1" s="1"/>
  <c r="CO5" i="1"/>
  <c r="CN5" i="1"/>
  <c r="CI5" i="1"/>
  <c r="CI28" i="1" s="1"/>
  <c r="CH5" i="1"/>
  <c r="CA5" i="1"/>
  <c r="BZ5" i="1"/>
  <c r="BY5" i="1"/>
  <c r="BX5" i="1"/>
  <c r="BW5" i="1"/>
  <c r="BV5" i="1"/>
  <c r="CA4" i="1"/>
  <c r="BZ4" i="1"/>
  <c r="BY4" i="1"/>
  <c r="BX4" i="1"/>
  <c r="BW4" i="1"/>
  <c r="BV4" i="1"/>
  <c r="CG4" i="1" s="1"/>
  <c r="CC3" i="1"/>
  <c r="CI3" i="1" s="1"/>
  <c r="CO3" i="1" s="1"/>
  <c r="CB3" i="1"/>
  <c r="CH3" i="1" s="1"/>
  <c r="CN3" i="1" s="1"/>
  <c r="CA3" i="1"/>
  <c r="BZ3" i="1"/>
  <c r="BY3" i="1"/>
  <c r="BX3" i="1"/>
  <c r="BW3" i="1"/>
  <c r="BV3" i="1"/>
  <c r="AJ1" i="1"/>
  <c r="AH1" i="1"/>
  <c r="Q225" i="16"/>
  <c r="Q226" i="16" s="1"/>
  <c r="P225" i="16"/>
  <c r="P226" i="16" s="1"/>
  <c r="Q216" i="16"/>
  <c r="Q217" i="16"/>
  <c r="Q218" i="16"/>
  <c r="Q219" i="16"/>
  <c r="Q222" i="16"/>
  <c r="Q223" i="16"/>
  <c r="P223" i="16"/>
  <c r="P222" i="16"/>
  <c r="P219" i="16"/>
  <c r="P218" i="16"/>
  <c r="P217" i="16"/>
  <c r="P216" i="16"/>
  <c r="Q60" i="16"/>
  <c r="Q61" i="16"/>
  <c r="Q62" i="16"/>
  <c r="Q63" i="16"/>
  <c r="Q64" i="16"/>
  <c r="Q65" i="16"/>
  <c r="Q66" i="16"/>
  <c r="Q67" i="16"/>
  <c r="Q238" i="16"/>
  <c r="R238" i="16"/>
  <c r="S238" i="16"/>
  <c r="P238" i="16"/>
  <c r="P66" i="16"/>
  <c r="P67" i="16"/>
  <c r="P65" i="16"/>
  <c r="P64" i="16"/>
  <c r="P63" i="16"/>
  <c r="P62" i="16"/>
  <c r="P61" i="16"/>
  <c r="P60" i="16"/>
  <c r="Q112" i="16"/>
  <c r="R112" i="16"/>
  <c r="S112" i="16"/>
  <c r="T112" i="16"/>
  <c r="P112" i="16"/>
  <c r="Q29" i="16"/>
  <c r="P29" i="16"/>
  <c r="F828" i="21"/>
  <c r="W810" i="21"/>
  <c r="V810" i="21"/>
  <c r="U810" i="21"/>
  <c r="T810" i="21"/>
  <c r="S810" i="21"/>
  <c r="R810" i="21"/>
  <c r="Q810" i="21"/>
  <c r="P810" i="21"/>
  <c r="O810" i="21"/>
  <c r="N810" i="21"/>
  <c r="F804" i="21"/>
  <c r="F797" i="21"/>
  <c r="O779" i="21"/>
  <c r="N779" i="21"/>
  <c r="P776" i="21"/>
  <c r="P779" i="21" s="1"/>
  <c r="F773" i="21"/>
  <c r="BZ771" i="21"/>
  <c r="CF771" i="21" s="1"/>
  <c r="CL771" i="21" s="1"/>
  <c r="BY771" i="21"/>
  <c r="CE771" i="21" s="1"/>
  <c r="CK771" i="21" s="1"/>
  <c r="BX771" i="21"/>
  <c r="CD771" i="21" s="1"/>
  <c r="CJ771" i="21" s="1"/>
  <c r="BW771" i="21"/>
  <c r="CC771" i="21" s="1"/>
  <c r="CI771" i="21" s="1"/>
  <c r="BV771" i="21"/>
  <c r="BU771" i="21"/>
  <c r="BT771" i="21"/>
  <c r="BS771" i="21"/>
  <c r="N757" i="21"/>
  <c r="O757" i="21" s="1"/>
  <c r="P757" i="21" s="1"/>
  <c r="Q757" i="21" s="1"/>
  <c r="R757" i="21" s="1"/>
  <c r="S757" i="21" s="1"/>
  <c r="T757" i="21" s="1"/>
  <c r="U757" i="21" s="1"/>
  <c r="V757" i="21" s="1"/>
  <c r="BZ753" i="21"/>
  <c r="CF753" i="21" s="1"/>
  <c r="CL753" i="21" s="1"/>
  <c r="BY753" i="21"/>
  <c r="CE753" i="21" s="1"/>
  <c r="CK753" i="21" s="1"/>
  <c r="BX753" i="21"/>
  <c r="CD753" i="21" s="1"/>
  <c r="CJ753" i="21" s="1"/>
  <c r="BW753" i="21"/>
  <c r="CC753" i="21" s="1"/>
  <c r="CI753" i="21" s="1"/>
  <c r="BV753" i="21"/>
  <c r="BU753" i="21"/>
  <c r="BT753" i="21"/>
  <c r="BS753" i="21"/>
  <c r="E747" i="21"/>
  <c r="D747" i="21"/>
  <c r="C747" i="21"/>
  <c r="B747" i="21"/>
  <c r="A747" i="21"/>
  <c r="E746" i="21"/>
  <c r="D746" i="21"/>
  <c r="C746" i="21"/>
  <c r="B746" i="21"/>
  <c r="A746" i="21"/>
  <c r="E745" i="21"/>
  <c r="D745" i="21"/>
  <c r="C745" i="21"/>
  <c r="B745" i="21"/>
  <c r="A745" i="21"/>
  <c r="A744" i="21"/>
  <c r="A742" i="21"/>
  <c r="A741" i="21"/>
  <c r="D740" i="21"/>
  <c r="C740" i="21"/>
  <c r="B740" i="21"/>
  <c r="A740" i="21"/>
  <c r="V739" i="21"/>
  <c r="U739" i="21"/>
  <c r="T739" i="21"/>
  <c r="S739" i="21"/>
  <c r="R739" i="21"/>
  <c r="Q739" i="21"/>
  <c r="P739" i="21"/>
  <c r="O739" i="21"/>
  <c r="N739" i="21"/>
  <c r="F739" i="21"/>
  <c r="E739" i="21"/>
  <c r="D739" i="21"/>
  <c r="C739" i="21"/>
  <c r="B739" i="21"/>
  <c r="A739" i="21"/>
  <c r="D738" i="21"/>
  <c r="C738" i="21"/>
  <c r="B738" i="21"/>
  <c r="A738" i="21"/>
  <c r="D737" i="21"/>
  <c r="C737" i="21"/>
  <c r="B737" i="21"/>
  <c r="A737" i="21"/>
  <c r="D736" i="21"/>
  <c r="C736" i="21"/>
  <c r="B736" i="21"/>
  <c r="A736" i="21"/>
  <c r="A735" i="21"/>
  <c r="A733" i="21"/>
  <c r="A732" i="21"/>
  <c r="A731" i="21"/>
  <c r="V730" i="21"/>
  <c r="U730" i="21"/>
  <c r="T730" i="21"/>
  <c r="S730" i="21"/>
  <c r="R730" i="21"/>
  <c r="Q730" i="21"/>
  <c r="P730" i="21"/>
  <c r="O730" i="21"/>
  <c r="N730" i="21"/>
  <c r="F730" i="21"/>
  <c r="A730" i="21"/>
  <c r="V729" i="21"/>
  <c r="U729" i="21"/>
  <c r="T729" i="21"/>
  <c r="S729" i="21"/>
  <c r="R729" i="21"/>
  <c r="Q729" i="21"/>
  <c r="P729" i="21"/>
  <c r="O729" i="21"/>
  <c r="N729" i="21"/>
  <c r="F729" i="21"/>
  <c r="A729" i="21"/>
  <c r="V728" i="21"/>
  <c r="U728" i="21"/>
  <c r="T728" i="21"/>
  <c r="S728" i="21"/>
  <c r="R728" i="21"/>
  <c r="Q728" i="21"/>
  <c r="P728" i="21"/>
  <c r="O728" i="21"/>
  <c r="N728" i="21"/>
  <c r="F728" i="21"/>
  <c r="A728" i="21"/>
  <c r="V727" i="21"/>
  <c r="U727" i="21"/>
  <c r="T727" i="21"/>
  <c r="S727" i="21"/>
  <c r="R727" i="21"/>
  <c r="Q727" i="21"/>
  <c r="P727" i="21"/>
  <c r="O727" i="21"/>
  <c r="N727" i="21"/>
  <c r="F727" i="21"/>
  <c r="A727" i="21"/>
  <c r="A726" i="21"/>
  <c r="A724" i="21"/>
  <c r="A723" i="21"/>
  <c r="A722" i="21"/>
  <c r="A721" i="21"/>
  <c r="A720" i="21"/>
  <c r="V719" i="21"/>
  <c r="U719" i="21"/>
  <c r="T719" i="21"/>
  <c r="S719" i="21"/>
  <c r="R719" i="21"/>
  <c r="Q719" i="21"/>
  <c r="P719" i="21"/>
  <c r="O719" i="21"/>
  <c r="N719" i="21"/>
  <c r="F719" i="21"/>
  <c r="A719" i="21"/>
  <c r="A718" i="21"/>
  <c r="A716" i="21"/>
  <c r="A715" i="21"/>
  <c r="A714" i="21"/>
  <c r="C713" i="21"/>
  <c r="B713" i="21"/>
  <c r="A713" i="21"/>
  <c r="D712" i="21"/>
  <c r="C712" i="21"/>
  <c r="B712" i="21"/>
  <c r="A712" i="21"/>
  <c r="E711" i="21"/>
  <c r="D711" i="21"/>
  <c r="C711" i="21"/>
  <c r="B711" i="21"/>
  <c r="A711" i="21"/>
  <c r="E710" i="21"/>
  <c r="D710" i="21"/>
  <c r="C710" i="21"/>
  <c r="B710" i="21"/>
  <c r="A710" i="21"/>
  <c r="E709" i="21"/>
  <c r="D709" i="21"/>
  <c r="C709" i="21"/>
  <c r="B709" i="21"/>
  <c r="A709" i="21"/>
  <c r="D708" i="21"/>
  <c r="C708" i="21"/>
  <c r="B708" i="21"/>
  <c r="A708" i="21"/>
  <c r="E707" i="21"/>
  <c r="D707" i="21"/>
  <c r="C707" i="21"/>
  <c r="B707" i="21"/>
  <c r="A707" i="21"/>
  <c r="A706" i="21"/>
  <c r="A705" i="21"/>
  <c r="A704" i="21"/>
  <c r="E703" i="21"/>
  <c r="D703" i="21"/>
  <c r="C703" i="21"/>
  <c r="B703" i="21"/>
  <c r="A703" i="21"/>
  <c r="A701" i="21"/>
  <c r="A700" i="21"/>
  <c r="A699" i="21"/>
  <c r="A698" i="21"/>
  <c r="A697" i="21"/>
  <c r="A696" i="21"/>
  <c r="A695" i="21"/>
  <c r="A694" i="21"/>
  <c r="D692" i="21"/>
  <c r="C692" i="21"/>
  <c r="B692" i="21"/>
  <c r="A692" i="21"/>
  <c r="E691" i="21"/>
  <c r="D691" i="21"/>
  <c r="C691" i="21"/>
  <c r="B691" i="21"/>
  <c r="A691" i="21"/>
  <c r="D690" i="21"/>
  <c r="C690" i="21"/>
  <c r="B690" i="21"/>
  <c r="A690" i="21"/>
  <c r="D689" i="21"/>
  <c r="C689" i="21"/>
  <c r="B689" i="21"/>
  <c r="A689" i="21"/>
  <c r="D688" i="21"/>
  <c r="C688" i="21"/>
  <c r="B688" i="21"/>
  <c r="A688" i="21"/>
  <c r="E687" i="21"/>
  <c r="D687" i="21"/>
  <c r="C687" i="21"/>
  <c r="B687" i="21"/>
  <c r="A687" i="21"/>
  <c r="A686" i="21"/>
  <c r="V684" i="21"/>
  <c r="U684" i="21"/>
  <c r="T684" i="21"/>
  <c r="S684" i="21"/>
  <c r="R684" i="21"/>
  <c r="Q684" i="21"/>
  <c r="P684" i="21"/>
  <c r="O684" i="21"/>
  <c r="N684" i="21"/>
  <c r="A684" i="21"/>
  <c r="F683" i="21"/>
  <c r="E683" i="21"/>
  <c r="D683" i="21"/>
  <c r="C683" i="21"/>
  <c r="B683" i="21"/>
  <c r="A683" i="21"/>
  <c r="A682" i="21"/>
  <c r="V680" i="21"/>
  <c r="U680" i="21"/>
  <c r="T680" i="21"/>
  <c r="S680" i="21"/>
  <c r="R680" i="21"/>
  <c r="Q680" i="21"/>
  <c r="P680" i="21"/>
  <c r="O680" i="21"/>
  <c r="N680" i="21"/>
  <c r="F680" i="21"/>
  <c r="E680" i="21"/>
  <c r="D680" i="21"/>
  <c r="C680" i="21"/>
  <c r="B680" i="21"/>
  <c r="A680" i="21"/>
  <c r="C679" i="21"/>
  <c r="A679" i="21"/>
  <c r="D677" i="21"/>
  <c r="C677" i="21"/>
  <c r="B677" i="21"/>
  <c r="A677" i="21"/>
  <c r="E675" i="21"/>
  <c r="D675" i="21"/>
  <c r="C675" i="21"/>
  <c r="B675" i="21"/>
  <c r="A675" i="21"/>
  <c r="F674" i="21"/>
  <c r="E674" i="21"/>
  <c r="D674" i="21"/>
  <c r="C674" i="21"/>
  <c r="B674" i="21"/>
  <c r="A674" i="21"/>
  <c r="E673" i="21"/>
  <c r="D673" i="21"/>
  <c r="C673" i="21"/>
  <c r="B673" i="21"/>
  <c r="A673" i="21"/>
  <c r="E672" i="21"/>
  <c r="D672" i="21"/>
  <c r="C672" i="21"/>
  <c r="B672" i="21"/>
  <c r="A672" i="21"/>
  <c r="V671" i="21"/>
  <c r="U671" i="21"/>
  <c r="T671" i="21"/>
  <c r="S671" i="21"/>
  <c r="R671" i="21"/>
  <c r="Q671" i="21"/>
  <c r="P671" i="21"/>
  <c r="O671" i="21"/>
  <c r="N671" i="21"/>
  <c r="F671" i="21"/>
  <c r="E671" i="21"/>
  <c r="D671" i="21"/>
  <c r="C671" i="21"/>
  <c r="B671" i="21"/>
  <c r="A671" i="21"/>
  <c r="V670" i="21"/>
  <c r="U670" i="21"/>
  <c r="T670" i="21"/>
  <c r="S670" i="21"/>
  <c r="R670" i="21"/>
  <c r="Q670" i="21"/>
  <c r="P670" i="21"/>
  <c r="O670" i="21"/>
  <c r="N670" i="21"/>
  <c r="F670" i="21"/>
  <c r="E670" i="21"/>
  <c r="D670" i="21"/>
  <c r="C670" i="21"/>
  <c r="B670" i="21"/>
  <c r="A670" i="21"/>
  <c r="V669" i="21"/>
  <c r="U669" i="21"/>
  <c r="T669" i="21"/>
  <c r="S669" i="21"/>
  <c r="R669" i="21"/>
  <c r="Q669" i="21"/>
  <c r="P669" i="21"/>
  <c r="O669" i="21"/>
  <c r="N669" i="21"/>
  <c r="F669" i="21"/>
  <c r="E669" i="21"/>
  <c r="D669" i="21"/>
  <c r="C669" i="21"/>
  <c r="B669" i="21"/>
  <c r="A669" i="21"/>
  <c r="A668" i="21"/>
  <c r="D666" i="21"/>
  <c r="A666" i="21"/>
  <c r="E665" i="21"/>
  <c r="D665" i="21"/>
  <c r="C665" i="21"/>
  <c r="B665" i="21"/>
  <c r="A665" i="21"/>
  <c r="V664" i="21"/>
  <c r="U664" i="21"/>
  <c r="T664" i="21"/>
  <c r="S664" i="21"/>
  <c r="R664" i="21"/>
  <c r="Q664" i="21"/>
  <c r="P664" i="21"/>
  <c r="O664" i="21"/>
  <c r="N664" i="21"/>
  <c r="F664" i="21"/>
  <c r="E664" i="21"/>
  <c r="D664" i="21"/>
  <c r="C664" i="21"/>
  <c r="B664" i="21"/>
  <c r="A664" i="21"/>
  <c r="E663" i="21"/>
  <c r="D663" i="21"/>
  <c r="C663" i="21"/>
  <c r="B663" i="21"/>
  <c r="A663" i="21"/>
  <c r="E662" i="21"/>
  <c r="D662" i="21"/>
  <c r="C662" i="21"/>
  <c r="B662" i="21"/>
  <c r="A662" i="21"/>
  <c r="V661" i="21"/>
  <c r="U661" i="21"/>
  <c r="T661" i="21"/>
  <c r="S661" i="21"/>
  <c r="R661" i="21"/>
  <c r="Q661" i="21"/>
  <c r="P661" i="21"/>
  <c r="O661" i="21"/>
  <c r="N661" i="21"/>
  <c r="F661" i="21"/>
  <c r="E661" i="21"/>
  <c r="D661" i="21"/>
  <c r="C661" i="21"/>
  <c r="B661" i="21"/>
  <c r="A661" i="21"/>
  <c r="A660" i="21"/>
  <c r="A659" i="21"/>
  <c r="E658" i="21"/>
  <c r="D658" i="21"/>
  <c r="C658" i="21"/>
  <c r="B658" i="21"/>
  <c r="A658" i="21"/>
  <c r="E657" i="21"/>
  <c r="D657" i="21"/>
  <c r="C657" i="21"/>
  <c r="B657" i="21"/>
  <c r="E656" i="21"/>
  <c r="D656" i="21"/>
  <c r="C656" i="21"/>
  <c r="B656" i="21"/>
  <c r="V655" i="21"/>
  <c r="U655" i="21"/>
  <c r="T655" i="21"/>
  <c r="S655" i="21"/>
  <c r="R655" i="21"/>
  <c r="Q655" i="21"/>
  <c r="P655" i="21"/>
  <c r="O655" i="21"/>
  <c r="N655" i="21"/>
  <c r="F655" i="21"/>
  <c r="E655" i="21"/>
  <c r="D655" i="21"/>
  <c r="C655" i="21"/>
  <c r="B655" i="21"/>
  <c r="A655" i="21"/>
  <c r="D654" i="21"/>
  <c r="C654" i="21"/>
  <c r="B654" i="21"/>
  <c r="A654" i="21"/>
  <c r="D653" i="21"/>
  <c r="C653" i="21"/>
  <c r="B653" i="21"/>
  <c r="A653" i="21"/>
  <c r="A652" i="21"/>
  <c r="A651" i="21"/>
  <c r="D649" i="21"/>
  <c r="A649" i="21"/>
  <c r="D647" i="21"/>
  <c r="C647" i="21"/>
  <c r="B647" i="21"/>
  <c r="A647" i="21"/>
  <c r="E646" i="21"/>
  <c r="D646" i="21"/>
  <c r="C646" i="21"/>
  <c r="B646" i="21"/>
  <c r="A646" i="21"/>
  <c r="E645" i="21"/>
  <c r="D645" i="21"/>
  <c r="C645" i="21"/>
  <c r="B645" i="21"/>
  <c r="A645" i="21"/>
  <c r="E644" i="21"/>
  <c r="D644" i="21"/>
  <c r="C644" i="21"/>
  <c r="B644" i="21"/>
  <c r="A644" i="21"/>
  <c r="E643" i="21"/>
  <c r="D643" i="21"/>
  <c r="C643" i="21"/>
  <c r="B643" i="21"/>
  <c r="A643" i="21"/>
  <c r="E642" i="21"/>
  <c r="D642" i="21"/>
  <c r="C642" i="21"/>
  <c r="B642" i="21"/>
  <c r="A642" i="21"/>
  <c r="E641" i="21"/>
  <c r="D641" i="21"/>
  <c r="C641" i="21"/>
  <c r="B641" i="21"/>
  <c r="A641" i="21"/>
  <c r="E640" i="21"/>
  <c r="D640" i="21"/>
  <c r="C640" i="21"/>
  <c r="B640" i="21"/>
  <c r="A640" i="21"/>
  <c r="E639" i="21"/>
  <c r="D639" i="21"/>
  <c r="C639" i="21"/>
  <c r="B639" i="21"/>
  <c r="A639" i="21"/>
  <c r="A638" i="21"/>
  <c r="D637" i="21"/>
  <c r="A637" i="21"/>
  <c r="E636" i="21"/>
  <c r="D636" i="21"/>
  <c r="C636" i="21"/>
  <c r="B636" i="21"/>
  <c r="A636" i="21"/>
  <c r="E635" i="21"/>
  <c r="D635" i="21"/>
  <c r="C635" i="21"/>
  <c r="B635" i="21"/>
  <c r="A635" i="21"/>
  <c r="E634" i="21"/>
  <c r="D634" i="21"/>
  <c r="C634" i="21"/>
  <c r="B634" i="21"/>
  <c r="A634" i="21"/>
  <c r="E633" i="21"/>
  <c r="D633" i="21"/>
  <c r="C633" i="21"/>
  <c r="B633" i="21"/>
  <c r="A633" i="21"/>
  <c r="E632" i="21"/>
  <c r="D632" i="21"/>
  <c r="C632" i="21"/>
  <c r="B632" i="21"/>
  <c r="A632" i="21"/>
  <c r="E631" i="21"/>
  <c r="D631" i="21"/>
  <c r="C631" i="21"/>
  <c r="B631" i="21"/>
  <c r="A631" i="21"/>
  <c r="A630" i="21"/>
  <c r="D629" i="21"/>
  <c r="C629" i="21"/>
  <c r="B629" i="21"/>
  <c r="A629" i="21"/>
  <c r="E628" i="21"/>
  <c r="D628" i="21"/>
  <c r="C628" i="21"/>
  <c r="B628" i="21"/>
  <c r="A628" i="21"/>
  <c r="E627" i="21"/>
  <c r="D627" i="21"/>
  <c r="C627" i="21"/>
  <c r="B627" i="21"/>
  <c r="A627" i="21"/>
  <c r="A626" i="21"/>
  <c r="A624" i="21"/>
  <c r="C623" i="21"/>
  <c r="A623" i="21"/>
  <c r="E622" i="21"/>
  <c r="D622" i="21"/>
  <c r="C622" i="21"/>
  <c r="B622" i="21"/>
  <c r="A622" i="21"/>
  <c r="E621" i="21"/>
  <c r="D621" i="21"/>
  <c r="C621" i="21"/>
  <c r="B621" i="21"/>
  <c r="A621" i="21"/>
  <c r="E620" i="21"/>
  <c r="D620" i="21"/>
  <c r="C620" i="21"/>
  <c r="B620" i="21"/>
  <c r="A620" i="21"/>
  <c r="E619" i="21"/>
  <c r="D619" i="21"/>
  <c r="C619" i="21"/>
  <c r="B619" i="21"/>
  <c r="A619" i="21"/>
  <c r="E618" i="21"/>
  <c r="D618" i="21"/>
  <c r="C618" i="21"/>
  <c r="B618" i="21"/>
  <c r="A618" i="21"/>
  <c r="E617" i="21"/>
  <c r="D617" i="21"/>
  <c r="C617" i="21"/>
  <c r="B617" i="21"/>
  <c r="A617" i="21"/>
  <c r="E616" i="21"/>
  <c r="D616" i="21"/>
  <c r="C616" i="21"/>
  <c r="B616" i="21"/>
  <c r="A616" i="21"/>
  <c r="E615" i="21"/>
  <c r="D615" i="21"/>
  <c r="C615" i="21"/>
  <c r="B615" i="21"/>
  <c r="A615" i="21"/>
  <c r="A614" i="21"/>
  <c r="A613" i="21"/>
  <c r="E612" i="21"/>
  <c r="D612" i="21"/>
  <c r="C612" i="21"/>
  <c r="B612" i="21"/>
  <c r="A612" i="21"/>
  <c r="E611" i="21"/>
  <c r="D611" i="21"/>
  <c r="C611" i="21"/>
  <c r="B611" i="21"/>
  <c r="A611" i="21"/>
  <c r="E610" i="21"/>
  <c r="D610" i="21"/>
  <c r="C610" i="21"/>
  <c r="B610" i="21"/>
  <c r="A610" i="21"/>
  <c r="E609" i="21"/>
  <c r="D609" i="21"/>
  <c r="C609" i="21"/>
  <c r="B609" i="21"/>
  <c r="A609" i="21"/>
  <c r="E608" i="21"/>
  <c r="D608" i="21"/>
  <c r="C608" i="21"/>
  <c r="B608" i="21"/>
  <c r="A608" i="21"/>
  <c r="E607" i="21"/>
  <c r="D607" i="21"/>
  <c r="C607" i="21"/>
  <c r="B607" i="21"/>
  <c r="A607" i="21"/>
  <c r="E606" i="21"/>
  <c r="D606" i="21"/>
  <c r="C606" i="21"/>
  <c r="B606" i="21"/>
  <c r="A606" i="21"/>
  <c r="A605" i="21"/>
  <c r="A604" i="21"/>
  <c r="V602" i="21"/>
  <c r="U602" i="21"/>
  <c r="T602" i="21"/>
  <c r="S602" i="21"/>
  <c r="R602" i="21"/>
  <c r="Q602" i="21"/>
  <c r="P602" i="21"/>
  <c r="O602" i="21"/>
  <c r="N602" i="21"/>
  <c r="F602" i="21"/>
  <c r="E602" i="21"/>
  <c r="D602" i="21"/>
  <c r="C602" i="21"/>
  <c r="B602" i="21"/>
  <c r="A602" i="21"/>
  <c r="D601" i="21"/>
  <c r="C601" i="21"/>
  <c r="B601" i="21"/>
  <c r="A601" i="21"/>
  <c r="A600" i="21"/>
  <c r="D599" i="21"/>
  <c r="C599" i="21"/>
  <c r="B599" i="21"/>
  <c r="A599" i="21"/>
  <c r="E598" i="21"/>
  <c r="D598" i="21"/>
  <c r="C598" i="21"/>
  <c r="B598" i="21"/>
  <c r="A598" i="21"/>
  <c r="D596" i="21"/>
  <c r="A596" i="21"/>
  <c r="D595" i="21"/>
  <c r="A595" i="21"/>
  <c r="V594" i="21"/>
  <c r="U594" i="21"/>
  <c r="T594" i="21"/>
  <c r="S594" i="21"/>
  <c r="R594" i="21"/>
  <c r="Q594" i="21"/>
  <c r="P594" i="21"/>
  <c r="O594" i="21"/>
  <c r="N594" i="21"/>
  <c r="F594" i="21"/>
  <c r="E594" i="21"/>
  <c r="D594" i="21"/>
  <c r="C594" i="21"/>
  <c r="B594" i="21"/>
  <c r="A594" i="21"/>
  <c r="E593" i="21"/>
  <c r="D593" i="21"/>
  <c r="C593" i="21"/>
  <c r="B593" i="21"/>
  <c r="A593" i="21"/>
  <c r="E592" i="21"/>
  <c r="D592" i="21"/>
  <c r="C592" i="21"/>
  <c r="B592" i="21"/>
  <c r="A592" i="21"/>
  <c r="V591" i="21"/>
  <c r="U591" i="21"/>
  <c r="T591" i="21"/>
  <c r="S591" i="21"/>
  <c r="R591" i="21"/>
  <c r="Q591" i="21"/>
  <c r="P591" i="21"/>
  <c r="O591" i="21"/>
  <c r="N591" i="21"/>
  <c r="F591" i="21"/>
  <c r="E591" i="21"/>
  <c r="D591" i="21"/>
  <c r="C591" i="21"/>
  <c r="B591" i="21"/>
  <c r="A591" i="21"/>
  <c r="D589" i="21"/>
  <c r="C589" i="21"/>
  <c r="B589" i="21"/>
  <c r="A589" i="21"/>
  <c r="D588" i="21"/>
  <c r="C588" i="21"/>
  <c r="B588" i="21"/>
  <c r="A588" i="21"/>
  <c r="E587" i="21"/>
  <c r="D587" i="21"/>
  <c r="C587" i="21"/>
  <c r="B587" i="21"/>
  <c r="A587" i="21"/>
  <c r="D585" i="21"/>
  <c r="C585" i="21"/>
  <c r="B585" i="21"/>
  <c r="A585" i="21"/>
  <c r="D584" i="21"/>
  <c r="C584" i="21"/>
  <c r="B584" i="21"/>
  <c r="A584" i="21"/>
  <c r="V583" i="21"/>
  <c r="U583" i="21"/>
  <c r="T583" i="21"/>
  <c r="S583" i="21"/>
  <c r="R583" i="21"/>
  <c r="Q583" i="21"/>
  <c r="P583" i="21"/>
  <c r="O583" i="21"/>
  <c r="N583" i="21"/>
  <c r="F583" i="21"/>
  <c r="E583" i="21"/>
  <c r="D583" i="21"/>
  <c r="C583" i="21"/>
  <c r="B583" i="21"/>
  <c r="A583" i="21"/>
  <c r="D581" i="21"/>
  <c r="C581" i="21"/>
  <c r="B581" i="21"/>
  <c r="A581" i="21"/>
  <c r="D580" i="21"/>
  <c r="C580" i="21"/>
  <c r="B580" i="21"/>
  <c r="A580" i="21"/>
  <c r="E578" i="21"/>
  <c r="D578" i="21"/>
  <c r="C578" i="21"/>
  <c r="B578" i="21"/>
  <c r="A578" i="21"/>
  <c r="E577" i="21"/>
  <c r="D577" i="21"/>
  <c r="C577" i="21"/>
  <c r="B577" i="21"/>
  <c r="A577" i="21"/>
  <c r="E576" i="21"/>
  <c r="D576" i="21"/>
  <c r="C576" i="21"/>
  <c r="B576" i="21"/>
  <c r="A576" i="21"/>
  <c r="D574" i="21"/>
  <c r="C574" i="21"/>
  <c r="B574" i="21"/>
  <c r="A574" i="21"/>
  <c r="D573" i="21"/>
  <c r="C573" i="21"/>
  <c r="B573" i="21"/>
  <c r="A573" i="21"/>
  <c r="E572" i="21"/>
  <c r="D572" i="21"/>
  <c r="C572" i="21"/>
  <c r="B572" i="21"/>
  <c r="A572" i="21"/>
  <c r="E571" i="21"/>
  <c r="D571" i="21"/>
  <c r="C571" i="21"/>
  <c r="B571" i="21"/>
  <c r="A571" i="21"/>
  <c r="D569" i="21"/>
  <c r="C569" i="21"/>
  <c r="B569" i="21"/>
  <c r="A569" i="21"/>
  <c r="V568" i="21"/>
  <c r="U568" i="21"/>
  <c r="T568" i="21"/>
  <c r="S568" i="21"/>
  <c r="R568" i="21"/>
  <c r="Q568" i="21"/>
  <c r="P568" i="21"/>
  <c r="O568" i="21"/>
  <c r="N568" i="21"/>
  <c r="F568" i="21"/>
  <c r="E568" i="21"/>
  <c r="D568" i="21"/>
  <c r="C568" i="21"/>
  <c r="B568" i="21"/>
  <c r="A568" i="21"/>
  <c r="V567" i="21"/>
  <c r="U567" i="21"/>
  <c r="T567" i="21"/>
  <c r="S567" i="21"/>
  <c r="R567" i="21"/>
  <c r="Q567" i="21"/>
  <c r="P567" i="21"/>
  <c r="O567" i="21"/>
  <c r="N567" i="21"/>
  <c r="F567" i="21"/>
  <c r="E567" i="21"/>
  <c r="D567" i="21"/>
  <c r="C567" i="21"/>
  <c r="B567" i="21"/>
  <c r="A567" i="21"/>
  <c r="A565" i="21"/>
  <c r="D564" i="21"/>
  <c r="C564" i="21"/>
  <c r="B564" i="21"/>
  <c r="A564" i="21"/>
  <c r="V563" i="21"/>
  <c r="U563" i="21"/>
  <c r="T563" i="21"/>
  <c r="S563" i="21"/>
  <c r="R563" i="21"/>
  <c r="Q563" i="21"/>
  <c r="P563" i="21"/>
  <c r="O563" i="21"/>
  <c r="N563" i="21"/>
  <c r="F563" i="21"/>
  <c r="E563" i="21"/>
  <c r="D563" i="21"/>
  <c r="C563" i="21"/>
  <c r="B563" i="21"/>
  <c r="A563" i="21"/>
  <c r="E562" i="21"/>
  <c r="D562" i="21"/>
  <c r="C562" i="21"/>
  <c r="B562" i="21"/>
  <c r="A562" i="21"/>
  <c r="E561" i="21"/>
  <c r="D561" i="21"/>
  <c r="C561" i="21"/>
  <c r="B561" i="21"/>
  <c r="A561" i="21"/>
  <c r="A560" i="21"/>
  <c r="V559" i="21"/>
  <c r="U559" i="21"/>
  <c r="T559" i="21"/>
  <c r="S559" i="21"/>
  <c r="R559" i="21"/>
  <c r="Q559" i="21"/>
  <c r="P559" i="21"/>
  <c r="O559" i="21"/>
  <c r="N559" i="21"/>
  <c r="F559" i="21"/>
  <c r="E559" i="21"/>
  <c r="D559" i="21"/>
  <c r="C559" i="21"/>
  <c r="B559" i="21"/>
  <c r="A559" i="21"/>
  <c r="A557" i="21"/>
  <c r="A556" i="21"/>
  <c r="A555" i="21"/>
  <c r="A554" i="21"/>
  <c r="A553" i="21"/>
  <c r="A552" i="21"/>
  <c r="A551" i="21"/>
  <c r="A550" i="21"/>
  <c r="A549" i="21"/>
  <c r="A548" i="21"/>
  <c r="A547" i="21"/>
  <c r="A546" i="21"/>
  <c r="A545" i="21"/>
  <c r="A544" i="21"/>
  <c r="A543" i="21"/>
  <c r="A542" i="21"/>
  <c r="A541" i="21"/>
  <c r="A540" i="21"/>
  <c r="A539" i="21"/>
  <c r="A538" i="21"/>
  <c r="B537" i="21"/>
  <c r="A537" i="21"/>
  <c r="A536" i="21"/>
  <c r="V535" i="21"/>
  <c r="U535" i="21"/>
  <c r="T535" i="21"/>
  <c r="S535" i="21"/>
  <c r="R535" i="21"/>
  <c r="Q535" i="21"/>
  <c r="P535" i="21"/>
  <c r="O535" i="21"/>
  <c r="N535" i="21"/>
  <c r="F535" i="21"/>
  <c r="E535" i="21"/>
  <c r="D535" i="21"/>
  <c r="C535" i="21"/>
  <c r="B535" i="21"/>
  <c r="A535" i="21"/>
  <c r="D525" i="21"/>
  <c r="D524" i="21"/>
  <c r="D527" i="21" s="1"/>
  <c r="E522" i="21"/>
  <c r="F522" i="21" s="1"/>
  <c r="D521" i="21"/>
  <c r="E521" i="21" s="1"/>
  <c r="F521" i="21" s="1"/>
  <c r="E519" i="21"/>
  <c r="E517" i="21"/>
  <c r="D516" i="21"/>
  <c r="E516" i="21" s="1"/>
  <c r="F516" i="21" s="1"/>
  <c r="N516" i="21" s="1"/>
  <c r="O516" i="21" s="1"/>
  <c r="P516" i="21" s="1"/>
  <c r="Q516" i="21" s="1"/>
  <c r="R516" i="21" s="1"/>
  <c r="S516" i="21" s="1"/>
  <c r="T516" i="21" s="1"/>
  <c r="U516" i="21" s="1"/>
  <c r="V516" i="21" s="1"/>
  <c r="E514" i="21"/>
  <c r="E508" i="21"/>
  <c r="D508" i="21"/>
  <c r="C508" i="21"/>
  <c r="B499" i="21"/>
  <c r="B80" i="21" s="1"/>
  <c r="C498" i="21"/>
  <c r="D498" i="21" s="1"/>
  <c r="F494" i="21"/>
  <c r="E494" i="21"/>
  <c r="D494" i="21"/>
  <c r="C494" i="21"/>
  <c r="B494" i="21"/>
  <c r="V488" i="21"/>
  <c r="U488" i="21"/>
  <c r="T488" i="21"/>
  <c r="S488" i="21"/>
  <c r="R488" i="21"/>
  <c r="Q488" i="21"/>
  <c r="P488" i="21"/>
  <c r="O488" i="21"/>
  <c r="N488" i="21"/>
  <c r="F488" i="21"/>
  <c r="E488" i="21"/>
  <c r="D488" i="21"/>
  <c r="C488" i="21"/>
  <c r="B488" i="21"/>
  <c r="E485" i="21"/>
  <c r="D485" i="21"/>
  <c r="C485" i="21"/>
  <c r="B485" i="21"/>
  <c r="E484" i="21"/>
  <c r="E493" i="21" s="1"/>
  <c r="D484" i="21"/>
  <c r="D493" i="21" s="1"/>
  <c r="C484" i="21"/>
  <c r="C493" i="21" s="1"/>
  <c r="B484" i="21"/>
  <c r="B493" i="21" s="1"/>
  <c r="D483" i="21"/>
  <c r="C483" i="21"/>
  <c r="B483" i="21"/>
  <c r="V481" i="21"/>
  <c r="U481" i="21"/>
  <c r="T481" i="21"/>
  <c r="S481" i="21"/>
  <c r="R481" i="21"/>
  <c r="Q481" i="21"/>
  <c r="P481" i="21"/>
  <c r="O481" i="21"/>
  <c r="N481" i="21"/>
  <c r="F481" i="21"/>
  <c r="E481" i="21"/>
  <c r="D481" i="21"/>
  <c r="C481" i="21"/>
  <c r="B481" i="21"/>
  <c r="D477" i="21"/>
  <c r="D487" i="21" s="1"/>
  <c r="D507" i="21" s="1"/>
  <c r="E475" i="21"/>
  <c r="D475" i="21"/>
  <c r="C475" i="21"/>
  <c r="B475" i="21"/>
  <c r="E474" i="21"/>
  <c r="F475" i="21" s="1"/>
  <c r="F162" i="21" s="1"/>
  <c r="D474" i="21"/>
  <c r="C474" i="21"/>
  <c r="B474" i="21"/>
  <c r="V472" i="21"/>
  <c r="U472" i="21"/>
  <c r="T472" i="21"/>
  <c r="S472" i="21"/>
  <c r="R472" i="21"/>
  <c r="Q472" i="21"/>
  <c r="P472" i="21"/>
  <c r="O472" i="21"/>
  <c r="N472" i="21"/>
  <c r="F472" i="21"/>
  <c r="E472" i="21"/>
  <c r="D472" i="21"/>
  <c r="C472" i="21"/>
  <c r="B472" i="21"/>
  <c r="E470" i="21"/>
  <c r="F469" i="21"/>
  <c r="F468" i="21"/>
  <c r="F467" i="21"/>
  <c r="F466" i="21"/>
  <c r="A465" i="21"/>
  <c r="F464" i="21"/>
  <c r="F463" i="21"/>
  <c r="F462" i="21"/>
  <c r="V461" i="21"/>
  <c r="U461" i="21"/>
  <c r="T461" i="21"/>
  <c r="S461" i="21"/>
  <c r="R461" i="21"/>
  <c r="Q461" i="21"/>
  <c r="P461" i="21"/>
  <c r="O461" i="21"/>
  <c r="N461" i="21"/>
  <c r="F461" i="21"/>
  <c r="E461" i="21"/>
  <c r="E460" i="21"/>
  <c r="A455" i="21"/>
  <c r="V451" i="21"/>
  <c r="U451" i="21"/>
  <c r="T451" i="21"/>
  <c r="S451" i="21"/>
  <c r="R451" i="21"/>
  <c r="Q451" i="21"/>
  <c r="P451" i="21"/>
  <c r="O451" i="21"/>
  <c r="N451" i="21"/>
  <c r="F451" i="21"/>
  <c r="E451" i="21"/>
  <c r="V450" i="21"/>
  <c r="U450" i="21"/>
  <c r="T450" i="21"/>
  <c r="S411" i="21" s="1"/>
  <c r="S141" i="21" s="1"/>
  <c r="S640" i="21" s="1"/>
  <c r="S450" i="21"/>
  <c r="R450" i="21"/>
  <c r="Q450" i="21"/>
  <c r="P411" i="21" s="1"/>
  <c r="P141" i="21" s="1"/>
  <c r="P640" i="21" s="1"/>
  <c r="P450" i="21"/>
  <c r="O411" i="21" s="1"/>
  <c r="O141" i="21" s="1"/>
  <c r="O640" i="21" s="1"/>
  <c r="O450" i="21"/>
  <c r="O181" i="21" s="1"/>
  <c r="O674" i="21" s="1"/>
  <c r="N450" i="21"/>
  <c r="F450" i="21"/>
  <c r="E411" i="21" s="1"/>
  <c r="E450" i="21"/>
  <c r="A445" i="21"/>
  <c r="V441" i="21"/>
  <c r="U441" i="21"/>
  <c r="T441" i="21"/>
  <c r="S441" i="21"/>
  <c r="R441" i="21"/>
  <c r="Q441" i="21"/>
  <c r="P441" i="21"/>
  <c r="O441" i="21"/>
  <c r="N441" i="21"/>
  <c r="F441" i="21"/>
  <c r="E441" i="21"/>
  <c r="V440" i="21"/>
  <c r="V180" i="21" s="1"/>
  <c r="V673" i="21" s="1"/>
  <c r="U440" i="21"/>
  <c r="U180" i="21" s="1"/>
  <c r="U673" i="21" s="1"/>
  <c r="T440" i="21"/>
  <c r="T180" i="21" s="1"/>
  <c r="T673" i="21" s="1"/>
  <c r="S440" i="21"/>
  <c r="S180" i="21" s="1"/>
  <c r="S673" i="21" s="1"/>
  <c r="R440" i="21"/>
  <c r="R180" i="21" s="1"/>
  <c r="R673" i="21" s="1"/>
  <c r="Q440" i="21"/>
  <c r="Q180" i="21" s="1"/>
  <c r="Q673" i="21" s="1"/>
  <c r="P440" i="21"/>
  <c r="P180" i="21" s="1"/>
  <c r="P673" i="21" s="1"/>
  <c r="O440" i="21"/>
  <c r="O180" i="21" s="1"/>
  <c r="O673" i="21" s="1"/>
  <c r="N440" i="21"/>
  <c r="N180" i="21" s="1"/>
  <c r="N673" i="21" s="1"/>
  <c r="F440" i="21"/>
  <c r="F180" i="21" s="1"/>
  <c r="F673" i="21" s="1"/>
  <c r="E440" i="21"/>
  <c r="A435" i="21"/>
  <c r="V431" i="21"/>
  <c r="U431" i="21"/>
  <c r="T431" i="21"/>
  <c r="S431" i="21"/>
  <c r="R431" i="21"/>
  <c r="Q431" i="21"/>
  <c r="P431" i="21"/>
  <c r="O431" i="21"/>
  <c r="N431" i="21"/>
  <c r="F431" i="21"/>
  <c r="E431" i="21"/>
  <c r="F429" i="21"/>
  <c r="F428" i="21"/>
  <c r="N468" i="21" s="1"/>
  <c r="F427" i="21"/>
  <c r="N467" i="21" s="1"/>
  <c r="F426" i="21"/>
  <c r="N466" i="21" s="1"/>
  <c r="E425" i="21"/>
  <c r="F424" i="21"/>
  <c r="F423" i="21"/>
  <c r="N463" i="21" s="1"/>
  <c r="F422" i="21"/>
  <c r="N422" i="21" s="1"/>
  <c r="O462" i="21" s="1"/>
  <c r="V421" i="21"/>
  <c r="U421" i="21"/>
  <c r="T421" i="21"/>
  <c r="S421" i="21"/>
  <c r="R421" i="21"/>
  <c r="Q421" i="21"/>
  <c r="P421" i="21"/>
  <c r="O421" i="21"/>
  <c r="N421" i="21"/>
  <c r="F421" i="21"/>
  <c r="E421" i="21"/>
  <c r="D415" i="21"/>
  <c r="D416" i="21" s="1"/>
  <c r="D15" i="21" s="1"/>
  <c r="BV15" i="21" s="1"/>
  <c r="C415" i="21"/>
  <c r="C416" i="21" s="1"/>
  <c r="C15" i="21" s="1"/>
  <c r="BU15" i="21" s="1"/>
  <c r="B415" i="21"/>
  <c r="B416" i="21" s="1"/>
  <c r="B15" i="21" s="1"/>
  <c r="BT15" i="21" s="1"/>
  <c r="D412" i="21"/>
  <c r="C412" i="21"/>
  <c r="B412" i="21"/>
  <c r="V411" i="21"/>
  <c r="V141" i="21" s="1"/>
  <c r="V640" i="21" s="1"/>
  <c r="D411" i="21"/>
  <c r="C411" i="21"/>
  <c r="B411" i="21"/>
  <c r="V408" i="21"/>
  <c r="U408" i="21"/>
  <c r="T408" i="21"/>
  <c r="S408" i="21"/>
  <c r="R408" i="21"/>
  <c r="Q408" i="21"/>
  <c r="P408" i="21"/>
  <c r="O408" i="21"/>
  <c r="N408" i="21"/>
  <c r="F408" i="21"/>
  <c r="E408" i="21"/>
  <c r="D408" i="21"/>
  <c r="C408" i="21"/>
  <c r="B408" i="21"/>
  <c r="E394" i="21"/>
  <c r="D394" i="21"/>
  <c r="C394" i="21"/>
  <c r="B394" i="21"/>
  <c r="E393" i="21"/>
  <c r="D393" i="21"/>
  <c r="C393" i="21"/>
  <c r="B393" i="21"/>
  <c r="D392" i="21"/>
  <c r="C392" i="21"/>
  <c r="B392" i="21"/>
  <c r="E388" i="21"/>
  <c r="D388" i="21"/>
  <c r="C388" i="21"/>
  <c r="B388" i="21"/>
  <c r="A388" i="21"/>
  <c r="E387" i="21"/>
  <c r="D387" i="21"/>
  <c r="C387" i="21"/>
  <c r="B387" i="21"/>
  <c r="A387" i="21"/>
  <c r="E386" i="21"/>
  <c r="D386" i="21"/>
  <c r="C386" i="21"/>
  <c r="B386" i="21"/>
  <c r="A386" i="21"/>
  <c r="E385" i="21"/>
  <c r="F385" i="21" s="1"/>
  <c r="N385" i="21" s="1"/>
  <c r="O385" i="21" s="1"/>
  <c r="D385" i="21"/>
  <c r="C385" i="21"/>
  <c r="B385" i="21"/>
  <c r="A385" i="21"/>
  <c r="E384" i="21"/>
  <c r="D384" i="21"/>
  <c r="C384" i="21"/>
  <c r="B384" i="21"/>
  <c r="A384" i="21"/>
  <c r="E380" i="21"/>
  <c r="D380" i="21"/>
  <c r="C380" i="21"/>
  <c r="B380" i="21"/>
  <c r="A380" i="21"/>
  <c r="E379" i="21"/>
  <c r="F379" i="21" s="1"/>
  <c r="D379" i="21"/>
  <c r="C379" i="21"/>
  <c r="B379" i="21"/>
  <c r="A379" i="21"/>
  <c r="E378" i="21"/>
  <c r="D378" i="21"/>
  <c r="C378" i="21"/>
  <c r="B378" i="21"/>
  <c r="A378" i="21"/>
  <c r="E377" i="21"/>
  <c r="F377" i="21" s="1"/>
  <c r="D377" i="21"/>
  <c r="C377" i="21"/>
  <c r="B377" i="21"/>
  <c r="A377" i="21"/>
  <c r="E376" i="21"/>
  <c r="D376" i="21"/>
  <c r="C376" i="21"/>
  <c r="B376" i="21"/>
  <c r="A376" i="21"/>
  <c r="E375" i="21"/>
  <c r="D375" i="21"/>
  <c r="C375" i="21"/>
  <c r="B375" i="21"/>
  <c r="A375" i="21"/>
  <c r="V373" i="21"/>
  <c r="U373" i="21"/>
  <c r="T373" i="21"/>
  <c r="S373" i="21"/>
  <c r="R373" i="21"/>
  <c r="Q373" i="21"/>
  <c r="P373" i="21"/>
  <c r="O373" i="21"/>
  <c r="N373" i="21"/>
  <c r="F373" i="21"/>
  <c r="E373" i="21"/>
  <c r="D373" i="21"/>
  <c r="C373" i="21"/>
  <c r="B373" i="21"/>
  <c r="F365" i="21"/>
  <c r="F395" i="21" s="1"/>
  <c r="E365" i="21"/>
  <c r="E395" i="21" s="1"/>
  <c r="D365" i="21"/>
  <c r="D395" i="21" s="1"/>
  <c r="C365" i="21"/>
  <c r="C395" i="21" s="1"/>
  <c r="B365" i="21"/>
  <c r="B395" i="21" s="1"/>
  <c r="E363" i="21"/>
  <c r="D363" i="21"/>
  <c r="C363" i="21"/>
  <c r="B363" i="21"/>
  <c r="A363" i="21"/>
  <c r="E362" i="21"/>
  <c r="D362" i="21"/>
  <c r="C362" i="21"/>
  <c r="B362" i="21"/>
  <c r="A362" i="21"/>
  <c r="V361" i="21"/>
  <c r="U361" i="21"/>
  <c r="T361" i="21"/>
  <c r="S361" i="21"/>
  <c r="R361" i="21"/>
  <c r="Q361" i="21"/>
  <c r="P361" i="21"/>
  <c r="O361" i="21"/>
  <c r="N361" i="21"/>
  <c r="F361" i="21"/>
  <c r="E361" i="21"/>
  <c r="D361" i="21"/>
  <c r="C361" i="21"/>
  <c r="B361" i="21"/>
  <c r="A361" i="21"/>
  <c r="E359" i="21"/>
  <c r="D359" i="21"/>
  <c r="C359" i="21"/>
  <c r="B359" i="21"/>
  <c r="B368" i="21" s="1"/>
  <c r="A359" i="21"/>
  <c r="E356" i="21"/>
  <c r="D356" i="21"/>
  <c r="C356" i="21"/>
  <c r="B356" i="21"/>
  <c r="A356" i="21"/>
  <c r="E355" i="21"/>
  <c r="D355" i="21"/>
  <c r="C355" i="21"/>
  <c r="B355" i="21"/>
  <c r="A355" i="21"/>
  <c r="V353" i="21"/>
  <c r="U353" i="21"/>
  <c r="T353" i="21"/>
  <c r="S353" i="21"/>
  <c r="R353" i="21"/>
  <c r="Q353" i="21"/>
  <c r="P353" i="21"/>
  <c r="O353" i="21"/>
  <c r="N353" i="21"/>
  <c r="F353" i="21"/>
  <c r="E353" i="21"/>
  <c r="D353" i="21"/>
  <c r="C353" i="21"/>
  <c r="B353" i="21"/>
  <c r="N347" i="21"/>
  <c r="O347" i="21" s="1"/>
  <c r="P347" i="21" s="1"/>
  <c r="Q347" i="21" s="1"/>
  <c r="R347" i="21" s="1"/>
  <c r="S347" i="21" s="1"/>
  <c r="T347" i="21" s="1"/>
  <c r="U347" i="21" s="1"/>
  <c r="V347" i="21" s="1"/>
  <c r="E345" i="21"/>
  <c r="F345" i="21" s="1"/>
  <c r="N345" i="21" s="1"/>
  <c r="D345" i="21"/>
  <c r="C345" i="21"/>
  <c r="B345" i="21"/>
  <c r="A345" i="21"/>
  <c r="E344" i="21"/>
  <c r="D344" i="21"/>
  <c r="D351" i="21" s="1"/>
  <c r="C344" i="21"/>
  <c r="C351" i="21" s="1"/>
  <c r="B344" i="21"/>
  <c r="B351" i="21" s="1"/>
  <c r="A344" i="21"/>
  <c r="E343" i="21"/>
  <c r="D343" i="21"/>
  <c r="D350" i="21" s="1"/>
  <c r="C343" i="21"/>
  <c r="C350" i="21" s="1"/>
  <c r="B343" i="21"/>
  <c r="B350" i="21" s="1"/>
  <c r="A343" i="21"/>
  <c r="E342" i="21"/>
  <c r="D342" i="21"/>
  <c r="D349" i="21" s="1"/>
  <c r="C342" i="21"/>
  <c r="C349" i="21" s="1"/>
  <c r="B342" i="21"/>
  <c r="B349" i="21" s="1"/>
  <c r="A342" i="21"/>
  <c r="E341" i="21"/>
  <c r="D341" i="21"/>
  <c r="D347" i="21" s="1"/>
  <c r="C341" i="21"/>
  <c r="C347" i="21" s="1"/>
  <c r="B341" i="21"/>
  <c r="B347" i="21" s="1"/>
  <c r="A341" i="21"/>
  <c r="V339" i="21"/>
  <c r="U339" i="21"/>
  <c r="T339" i="21"/>
  <c r="S339" i="21"/>
  <c r="R339" i="21"/>
  <c r="Q339" i="21"/>
  <c r="P339" i="21"/>
  <c r="O339" i="21"/>
  <c r="N339" i="21"/>
  <c r="F339" i="21"/>
  <c r="E339" i="21"/>
  <c r="D339" i="21"/>
  <c r="C339" i="21"/>
  <c r="B339" i="21"/>
  <c r="AB338" i="21"/>
  <c r="AB337" i="21"/>
  <c r="E336" i="21"/>
  <c r="D336" i="21"/>
  <c r="C336" i="21"/>
  <c r="E331" i="21"/>
  <c r="D331" i="21"/>
  <c r="C331" i="21"/>
  <c r="B331" i="21"/>
  <c r="E330" i="21"/>
  <c r="D330" i="21"/>
  <c r="C330" i="21"/>
  <c r="B330" i="21"/>
  <c r="X327" i="21"/>
  <c r="E326" i="21"/>
  <c r="D326" i="21"/>
  <c r="C326" i="21"/>
  <c r="B326" i="21"/>
  <c r="E323" i="21"/>
  <c r="D323" i="21"/>
  <c r="C323" i="21"/>
  <c r="B323" i="21"/>
  <c r="E321" i="21"/>
  <c r="D321" i="21"/>
  <c r="C321" i="21"/>
  <c r="B321" i="21"/>
  <c r="E319" i="21"/>
  <c r="D319" i="21"/>
  <c r="C319" i="21"/>
  <c r="B319" i="21"/>
  <c r="X317" i="21"/>
  <c r="X315" i="21"/>
  <c r="F314" i="21" s="1"/>
  <c r="N314" i="21" s="1"/>
  <c r="O314" i="21" s="1"/>
  <c r="P314" i="21" s="1"/>
  <c r="Q314" i="21" s="1"/>
  <c r="R314" i="21" s="1"/>
  <c r="S314" i="21" s="1"/>
  <c r="T314" i="21" s="1"/>
  <c r="U314" i="21" s="1"/>
  <c r="V314" i="21" s="1"/>
  <c r="D313" i="21"/>
  <c r="C313" i="21"/>
  <c r="B313" i="21"/>
  <c r="V311" i="21"/>
  <c r="U311" i="21"/>
  <c r="T311" i="21"/>
  <c r="S311" i="21"/>
  <c r="R311" i="21"/>
  <c r="Q311" i="21"/>
  <c r="P311" i="21"/>
  <c r="O311" i="21"/>
  <c r="N311" i="21"/>
  <c r="F311" i="21"/>
  <c r="E311" i="21"/>
  <c r="D311" i="21"/>
  <c r="C311" i="21"/>
  <c r="B311" i="21"/>
  <c r="E302" i="21"/>
  <c r="E742" i="21" s="1"/>
  <c r="D302" i="21"/>
  <c r="D742" i="21" s="1"/>
  <c r="C302" i="21"/>
  <c r="C742" i="21" s="1"/>
  <c r="B302" i="21"/>
  <c r="B742" i="21" s="1"/>
  <c r="E301" i="21"/>
  <c r="E741" i="21" s="1"/>
  <c r="D301" i="21"/>
  <c r="D741" i="21" s="1"/>
  <c r="C301" i="21"/>
  <c r="C741" i="21" s="1"/>
  <c r="B301" i="21"/>
  <c r="B741" i="21" s="1"/>
  <c r="V292" i="21"/>
  <c r="V733" i="21" s="1"/>
  <c r="U292" i="21"/>
  <c r="U733" i="21" s="1"/>
  <c r="T292" i="21"/>
  <c r="T733" i="21" s="1"/>
  <c r="S292" i="21"/>
  <c r="S733" i="21" s="1"/>
  <c r="R292" i="21"/>
  <c r="R733" i="21" s="1"/>
  <c r="Q292" i="21"/>
  <c r="Q733" i="21" s="1"/>
  <c r="P292" i="21"/>
  <c r="P733" i="21" s="1"/>
  <c r="O292" i="21"/>
  <c r="O733" i="21" s="1"/>
  <c r="N292" i="21"/>
  <c r="N733" i="21" s="1"/>
  <c r="F292" i="21"/>
  <c r="F733" i="21" s="1"/>
  <c r="D290" i="21"/>
  <c r="D731" i="21" s="1"/>
  <c r="C290" i="21"/>
  <c r="C731" i="21" s="1"/>
  <c r="X289" i="21"/>
  <c r="F269" i="21" s="1"/>
  <c r="E289" i="21"/>
  <c r="E730" i="21" s="1"/>
  <c r="D289" i="21"/>
  <c r="D730" i="21" s="1"/>
  <c r="C289" i="21"/>
  <c r="C730" i="21" s="1"/>
  <c r="X288" i="21"/>
  <c r="F268" i="21" s="1"/>
  <c r="F23" i="21" s="1"/>
  <c r="E288" i="21"/>
  <c r="E729" i="21" s="1"/>
  <c r="D288" i="21"/>
  <c r="D729" i="21" s="1"/>
  <c r="C288" i="21"/>
  <c r="C729" i="21" s="1"/>
  <c r="X287" i="21"/>
  <c r="F267" i="21" s="1"/>
  <c r="E287" i="21"/>
  <c r="E728" i="21" s="1"/>
  <c r="D287" i="21"/>
  <c r="D728" i="21" s="1"/>
  <c r="C287" i="21"/>
  <c r="C728" i="21" s="1"/>
  <c r="D286" i="21"/>
  <c r="C286" i="21"/>
  <c r="X285" i="21"/>
  <c r="F265" i="21" s="1"/>
  <c r="F707" i="21" s="1"/>
  <c r="E285" i="21"/>
  <c r="E727" i="21" s="1"/>
  <c r="D285" i="21"/>
  <c r="D727" i="21" s="1"/>
  <c r="C285" i="21"/>
  <c r="C727" i="21" s="1"/>
  <c r="D282" i="21"/>
  <c r="D724" i="21" s="1"/>
  <c r="C282" i="21"/>
  <c r="C724" i="21" s="1"/>
  <c r="E281" i="21"/>
  <c r="D281" i="21"/>
  <c r="D723" i="21" s="1"/>
  <c r="C281" i="21"/>
  <c r="C723" i="21" s="1"/>
  <c r="D280" i="21"/>
  <c r="D722" i="21" s="1"/>
  <c r="C280" i="21"/>
  <c r="C722" i="21" s="1"/>
  <c r="D279" i="21"/>
  <c r="D721" i="21" s="1"/>
  <c r="C279" i="21"/>
  <c r="C721" i="21" s="1"/>
  <c r="D278" i="21"/>
  <c r="D720" i="21" s="1"/>
  <c r="C278" i="21"/>
  <c r="C720" i="21" s="1"/>
  <c r="E277" i="21"/>
  <c r="E719" i="21" s="1"/>
  <c r="D277" i="21"/>
  <c r="D719" i="21" s="1"/>
  <c r="C277" i="21"/>
  <c r="C719" i="21" s="1"/>
  <c r="V276" i="21"/>
  <c r="V718" i="21" s="1"/>
  <c r="U276" i="21"/>
  <c r="U718" i="21" s="1"/>
  <c r="T276" i="21"/>
  <c r="T718" i="21" s="1"/>
  <c r="S276" i="21"/>
  <c r="S718" i="21" s="1"/>
  <c r="R276" i="21"/>
  <c r="R718" i="21" s="1"/>
  <c r="Q276" i="21"/>
  <c r="Q718" i="21" s="1"/>
  <c r="P276" i="21"/>
  <c r="P718" i="21" s="1"/>
  <c r="O276" i="21"/>
  <c r="O718" i="21" s="1"/>
  <c r="N276" i="21"/>
  <c r="N718" i="21" s="1"/>
  <c r="F276" i="21"/>
  <c r="F718" i="21" s="1"/>
  <c r="E276" i="21"/>
  <c r="E718" i="21" s="1"/>
  <c r="D276" i="21"/>
  <c r="D718" i="21" s="1"/>
  <c r="C276" i="21"/>
  <c r="C718" i="21" s="1"/>
  <c r="B276" i="21"/>
  <c r="B718" i="21" s="1"/>
  <c r="D274" i="21"/>
  <c r="C274" i="21"/>
  <c r="C716" i="21" s="1"/>
  <c r="B274" i="21"/>
  <c r="B716" i="21" s="1"/>
  <c r="J272" i="21"/>
  <c r="H272" i="21"/>
  <c r="E272" i="21"/>
  <c r="E714" i="21" s="1"/>
  <c r="D272" i="21"/>
  <c r="D273" i="21" s="1"/>
  <c r="D715" i="21" s="1"/>
  <c r="C272" i="21"/>
  <c r="B272" i="21"/>
  <c r="D271" i="21"/>
  <c r="D713" i="21" s="1"/>
  <c r="J270" i="21"/>
  <c r="H270" i="21"/>
  <c r="E270" i="21"/>
  <c r="E290" i="21" s="1"/>
  <c r="E731" i="21" s="1"/>
  <c r="E263" i="21"/>
  <c r="E705" i="21" s="1"/>
  <c r="D263" i="21"/>
  <c r="D705" i="21" s="1"/>
  <c r="C263" i="21"/>
  <c r="C705" i="21" s="1"/>
  <c r="E262" i="21"/>
  <c r="D262" i="21"/>
  <c r="D704" i="21" s="1"/>
  <c r="C262" i="21"/>
  <c r="C704" i="21" s="1"/>
  <c r="B262" i="21"/>
  <c r="B704" i="21" s="1"/>
  <c r="J261" i="21"/>
  <c r="J262" i="21" s="1"/>
  <c r="H261" i="21"/>
  <c r="H262" i="21" s="1"/>
  <c r="D259" i="21"/>
  <c r="D701" i="21" s="1"/>
  <c r="C259" i="21"/>
  <c r="C701" i="21" s="1"/>
  <c r="B259" i="21"/>
  <c r="B701" i="21" s="1"/>
  <c r="D258" i="21"/>
  <c r="C258" i="21"/>
  <c r="C700" i="21" s="1"/>
  <c r="B258" i="21"/>
  <c r="B700" i="21" s="1"/>
  <c r="D257" i="21"/>
  <c r="D699" i="21" s="1"/>
  <c r="C257" i="21"/>
  <c r="C699" i="21" s="1"/>
  <c r="B257" i="21"/>
  <c r="B699" i="21" s="1"/>
  <c r="D256" i="21"/>
  <c r="D698" i="21" s="1"/>
  <c r="C256" i="21"/>
  <c r="C698" i="21" s="1"/>
  <c r="B256" i="21"/>
  <c r="B698" i="21" s="1"/>
  <c r="D255" i="21"/>
  <c r="D697" i="21" s="1"/>
  <c r="C255" i="21"/>
  <c r="C697" i="21" s="1"/>
  <c r="B255" i="21"/>
  <c r="B697" i="21" s="1"/>
  <c r="E254" i="21"/>
  <c r="E696" i="21" s="1"/>
  <c r="D254" i="21"/>
  <c r="D696" i="21" s="1"/>
  <c r="C254" i="21"/>
  <c r="C696" i="21" s="1"/>
  <c r="B254" i="21"/>
  <c r="B696" i="21" s="1"/>
  <c r="D253" i="21"/>
  <c r="D695" i="21" s="1"/>
  <c r="C253" i="21"/>
  <c r="C695" i="21" s="1"/>
  <c r="B253" i="21"/>
  <c r="B695" i="21" s="1"/>
  <c r="D252" i="21"/>
  <c r="E252" i="21" s="1"/>
  <c r="E246" i="21" s="1"/>
  <c r="C252" i="21"/>
  <c r="C694" i="21" s="1"/>
  <c r="B252" i="21"/>
  <c r="B694" i="21" s="1"/>
  <c r="J249" i="21"/>
  <c r="J254" i="21" s="1"/>
  <c r="H249" i="21"/>
  <c r="H254" i="21" s="1"/>
  <c r="F245" i="21"/>
  <c r="V244" i="21"/>
  <c r="V686" i="21" s="1"/>
  <c r="U244" i="21"/>
  <c r="U686" i="21" s="1"/>
  <c r="T244" i="21"/>
  <c r="T686" i="21" s="1"/>
  <c r="S244" i="21"/>
  <c r="S686" i="21" s="1"/>
  <c r="R244" i="21"/>
  <c r="R686" i="21" s="1"/>
  <c r="Q244" i="21"/>
  <c r="Q686" i="21" s="1"/>
  <c r="P244" i="21"/>
  <c r="P686" i="21" s="1"/>
  <c r="O244" i="21"/>
  <c r="O686" i="21" s="1"/>
  <c r="N244" i="21"/>
  <c r="N686" i="21" s="1"/>
  <c r="F244" i="21"/>
  <c r="F686" i="21" s="1"/>
  <c r="E244" i="21"/>
  <c r="E686" i="21" s="1"/>
  <c r="D244" i="21"/>
  <c r="D686" i="21" s="1"/>
  <c r="C244" i="21"/>
  <c r="C686" i="21" s="1"/>
  <c r="B244" i="21"/>
  <c r="B686" i="21" s="1"/>
  <c r="V228" i="21"/>
  <c r="U228" i="21"/>
  <c r="T228" i="21"/>
  <c r="S228" i="21"/>
  <c r="R228" i="21"/>
  <c r="Q228" i="21"/>
  <c r="P228" i="21"/>
  <c r="O228" i="21"/>
  <c r="N228" i="21"/>
  <c r="F228" i="21"/>
  <c r="E228" i="21"/>
  <c r="D228" i="21"/>
  <c r="C228" i="21"/>
  <c r="B228" i="21"/>
  <c r="V208" i="21"/>
  <c r="U208" i="21"/>
  <c r="T208" i="21"/>
  <c r="S208" i="21"/>
  <c r="R208" i="21"/>
  <c r="Q208" i="21"/>
  <c r="P208" i="21"/>
  <c r="O208" i="21"/>
  <c r="N208" i="21"/>
  <c r="F208" i="21"/>
  <c r="E208" i="21"/>
  <c r="D208" i="21"/>
  <c r="C208" i="21"/>
  <c r="B208" i="21"/>
  <c r="X199" i="21"/>
  <c r="D199" i="21"/>
  <c r="D684" i="21" s="1"/>
  <c r="C199" i="21"/>
  <c r="C684" i="21" s="1"/>
  <c r="B199" i="21"/>
  <c r="B684" i="21" s="1"/>
  <c r="V189" i="21"/>
  <c r="V682" i="21" s="1"/>
  <c r="U189" i="21"/>
  <c r="U682" i="21" s="1"/>
  <c r="T189" i="21"/>
  <c r="T682" i="21" s="1"/>
  <c r="S189" i="21"/>
  <c r="S682" i="21" s="1"/>
  <c r="R189" i="21"/>
  <c r="R682" i="21" s="1"/>
  <c r="Q189" i="21"/>
  <c r="Q682" i="21" s="1"/>
  <c r="P189" i="21"/>
  <c r="P682" i="21" s="1"/>
  <c r="O189" i="21"/>
  <c r="O682" i="21" s="1"/>
  <c r="N189" i="21"/>
  <c r="N682" i="21" s="1"/>
  <c r="F189" i="21"/>
  <c r="F682" i="21" s="1"/>
  <c r="E189" i="21"/>
  <c r="E682" i="21" s="1"/>
  <c r="D189" i="21"/>
  <c r="D682" i="21" s="1"/>
  <c r="C189" i="21"/>
  <c r="C682" i="21" s="1"/>
  <c r="B189" i="21"/>
  <c r="B682" i="21" s="1"/>
  <c r="E184" i="21"/>
  <c r="E677" i="21" s="1"/>
  <c r="N179" i="21"/>
  <c r="N672" i="21" s="1"/>
  <c r="F179" i="21"/>
  <c r="F672" i="21" s="1"/>
  <c r="E173" i="21"/>
  <c r="E666" i="21" s="1"/>
  <c r="C173" i="21"/>
  <c r="C666" i="21" s="1"/>
  <c r="B173" i="21"/>
  <c r="D164" i="21"/>
  <c r="D186" i="21" s="1"/>
  <c r="D679" i="21" s="1"/>
  <c r="C164" i="21"/>
  <c r="C659" i="21" s="1"/>
  <c r="B164" i="21"/>
  <c r="E158" i="21"/>
  <c r="E654" i="21" s="1"/>
  <c r="V155" i="21"/>
  <c r="V651" i="21" s="1"/>
  <c r="U155" i="21"/>
  <c r="U651" i="21" s="1"/>
  <c r="T155" i="21"/>
  <c r="T651" i="21" s="1"/>
  <c r="S155" i="21"/>
  <c r="S651" i="21" s="1"/>
  <c r="R155" i="21"/>
  <c r="R651" i="21" s="1"/>
  <c r="Q155" i="21"/>
  <c r="Q651" i="21" s="1"/>
  <c r="P155" i="21"/>
  <c r="P651" i="21" s="1"/>
  <c r="O155" i="21"/>
  <c r="O651" i="21" s="1"/>
  <c r="N155" i="21"/>
  <c r="N651" i="21" s="1"/>
  <c r="F155" i="21"/>
  <c r="F651" i="21" s="1"/>
  <c r="E155" i="21"/>
  <c r="E651" i="21" s="1"/>
  <c r="D155" i="21"/>
  <c r="D651" i="21" s="1"/>
  <c r="C155" i="21"/>
  <c r="C651" i="21" s="1"/>
  <c r="B155" i="21"/>
  <c r="B651" i="21" s="1"/>
  <c r="E148" i="21"/>
  <c r="E647" i="21" s="1"/>
  <c r="I146" i="21"/>
  <c r="F140" i="21"/>
  <c r="E137" i="21"/>
  <c r="E637" i="21" s="1"/>
  <c r="C137" i="21"/>
  <c r="B137" i="21"/>
  <c r="B637" i="21" s="1"/>
  <c r="F136" i="21"/>
  <c r="F636" i="21" s="1"/>
  <c r="F135" i="21"/>
  <c r="F134" i="21"/>
  <c r="F634" i="21" s="1"/>
  <c r="I133" i="21"/>
  <c r="F132" i="21"/>
  <c r="F131" i="21"/>
  <c r="F631" i="21" s="1"/>
  <c r="I128" i="21"/>
  <c r="E128" i="21"/>
  <c r="E629" i="21" s="1"/>
  <c r="F127" i="21"/>
  <c r="N127" i="21" s="1"/>
  <c r="O127" i="21" s="1"/>
  <c r="I123" i="21"/>
  <c r="E122" i="21"/>
  <c r="E623" i="21" s="1"/>
  <c r="D122" i="21"/>
  <c r="B122" i="21"/>
  <c r="I118" i="21"/>
  <c r="F117" i="21"/>
  <c r="F618" i="21" s="1"/>
  <c r="E111" i="21"/>
  <c r="E613" i="21" s="1"/>
  <c r="D111" i="21"/>
  <c r="D613" i="21" s="1"/>
  <c r="C111" i="21"/>
  <c r="B111" i="21"/>
  <c r="F110" i="21"/>
  <c r="F109" i="21"/>
  <c r="F108" i="21"/>
  <c r="F610" i="21" s="1"/>
  <c r="F107" i="21"/>
  <c r="F106" i="21"/>
  <c r="F608" i="21" s="1"/>
  <c r="I105" i="21"/>
  <c r="V102" i="21"/>
  <c r="V604" i="21" s="1"/>
  <c r="U102" i="21"/>
  <c r="U604" i="21" s="1"/>
  <c r="T102" i="21"/>
  <c r="T604" i="21" s="1"/>
  <c r="S102" i="21"/>
  <c r="S604" i="21" s="1"/>
  <c r="R102" i="21"/>
  <c r="R604" i="21" s="1"/>
  <c r="Q102" i="21"/>
  <c r="Q604" i="21" s="1"/>
  <c r="P102" i="21"/>
  <c r="P604" i="21" s="1"/>
  <c r="O102" i="21"/>
  <c r="O604" i="21" s="1"/>
  <c r="N102" i="21"/>
  <c r="N604" i="21" s="1"/>
  <c r="F102" i="21"/>
  <c r="F604" i="21" s="1"/>
  <c r="E102" i="21"/>
  <c r="E604" i="21" s="1"/>
  <c r="D102" i="21"/>
  <c r="D604" i="21" s="1"/>
  <c r="C102" i="21"/>
  <c r="C604" i="21" s="1"/>
  <c r="B102" i="21"/>
  <c r="B604" i="21" s="1"/>
  <c r="E94" i="21"/>
  <c r="D94" i="21"/>
  <c r="C94" i="21"/>
  <c r="B94" i="21"/>
  <c r="E86" i="21"/>
  <c r="D86" i="21"/>
  <c r="C86" i="21"/>
  <c r="B86" i="21"/>
  <c r="D75" i="21"/>
  <c r="D600" i="21" s="1"/>
  <c r="C75" i="21"/>
  <c r="C600" i="21" s="1"/>
  <c r="B75" i="21"/>
  <c r="B600" i="21" s="1"/>
  <c r="C70" i="21"/>
  <c r="C477" i="21" s="1"/>
  <c r="C487" i="21" s="1"/>
  <c r="C507" i="21" s="1"/>
  <c r="B70" i="21"/>
  <c r="B477" i="21" s="1"/>
  <c r="B487" i="21" s="1"/>
  <c r="F67" i="21"/>
  <c r="F171" i="21" s="1"/>
  <c r="F665" i="21" s="1"/>
  <c r="X56" i="21"/>
  <c r="D40" i="21"/>
  <c r="D565" i="21" s="1"/>
  <c r="C40" i="21"/>
  <c r="C565" i="21" s="1"/>
  <c r="E39" i="21"/>
  <c r="E40" i="21" s="1"/>
  <c r="E30" i="21"/>
  <c r="CC29" i="21"/>
  <c r="BS28" i="21"/>
  <c r="E28" i="21"/>
  <c r="D28" i="21"/>
  <c r="C28" i="21"/>
  <c r="B28" i="21"/>
  <c r="BT28" i="21" s="1"/>
  <c r="BS27" i="21"/>
  <c r="E27" i="21"/>
  <c r="D27" i="21"/>
  <c r="C27" i="21"/>
  <c r="B27" i="21"/>
  <c r="BT27" i="21" s="1"/>
  <c r="BS26" i="21"/>
  <c r="E26" i="21"/>
  <c r="D26" i="21"/>
  <c r="C26" i="21"/>
  <c r="C555" i="21" s="1"/>
  <c r="B26" i="21"/>
  <c r="B555" i="21" s="1"/>
  <c r="BS25" i="21"/>
  <c r="BS24" i="21"/>
  <c r="E24" i="21"/>
  <c r="D24" i="21"/>
  <c r="D553" i="21" s="1"/>
  <c r="C24" i="21"/>
  <c r="C553" i="21" s="1"/>
  <c r="B24" i="21"/>
  <c r="BT24" i="21" s="1"/>
  <c r="BS23" i="21"/>
  <c r="E23" i="21"/>
  <c r="E552" i="21" s="1"/>
  <c r="D23" i="21"/>
  <c r="BV23" i="21" s="1"/>
  <c r="C23" i="21"/>
  <c r="C552" i="21" s="1"/>
  <c r="B23" i="21"/>
  <c r="B552" i="21" s="1"/>
  <c r="BS22" i="21"/>
  <c r="E22" i="21"/>
  <c r="D22" i="21"/>
  <c r="D551" i="21" s="1"/>
  <c r="C22" i="21"/>
  <c r="BU22" i="21" s="1"/>
  <c r="B22" i="21"/>
  <c r="BT22" i="21" s="1"/>
  <c r="BS21" i="21"/>
  <c r="E21" i="21"/>
  <c r="D21" i="21"/>
  <c r="D550" i="21" s="1"/>
  <c r="C21" i="21"/>
  <c r="B21" i="21"/>
  <c r="CL20" i="21"/>
  <c r="CK20" i="21"/>
  <c r="CJ20" i="21"/>
  <c r="CI20" i="21"/>
  <c r="CF20" i="21"/>
  <c r="CE20" i="21"/>
  <c r="CD20" i="21"/>
  <c r="CC20" i="21"/>
  <c r="BS20" i="21"/>
  <c r="BS19" i="21"/>
  <c r="E19" i="21"/>
  <c r="E548" i="21" s="1"/>
  <c r="D19" i="21"/>
  <c r="C19" i="21"/>
  <c r="C548" i="21" s="1"/>
  <c r="B19" i="21"/>
  <c r="BT19" i="21" s="1"/>
  <c r="BS18" i="21"/>
  <c r="E18" i="21"/>
  <c r="D18" i="21"/>
  <c r="C18" i="21"/>
  <c r="B18" i="21"/>
  <c r="BT18" i="21" s="1"/>
  <c r="CL17" i="21"/>
  <c r="CK17" i="21"/>
  <c r="CJ17" i="21"/>
  <c r="CI17" i="21"/>
  <c r="CF17" i="21"/>
  <c r="CE17" i="21"/>
  <c r="CD17" i="21"/>
  <c r="CC17" i="21"/>
  <c r="BS17" i="21"/>
  <c r="BS15" i="21"/>
  <c r="AS15" i="21"/>
  <c r="AR15" i="21"/>
  <c r="AP15" i="21"/>
  <c r="CL14" i="21"/>
  <c r="CK14" i="21"/>
  <c r="CJ14" i="21"/>
  <c r="CI14" i="21"/>
  <c r="CF14" i="21"/>
  <c r="CE14" i="21"/>
  <c r="CD14" i="21"/>
  <c r="CC14" i="21"/>
  <c r="BS14" i="21"/>
  <c r="AS14" i="21"/>
  <c r="AR14" i="21"/>
  <c r="AP14" i="21"/>
  <c r="D14" i="21"/>
  <c r="BV14" i="21" s="1"/>
  <c r="C14" i="21"/>
  <c r="BU14" i="21" s="1"/>
  <c r="B14" i="21"/>
  <c r="BT14" i="21" s="1"/>
  <c r="BS13" i="21"/>
  <c r="AS13" i="21"/>
  <c r="AR13" i="21"/>
  <c r="AP13" i="21"/>
  <c r="D13" i="21"/>
  <c r="C13" i="21"/>
  <c r="C545" i="21" s="1"/>
  <c r="B13" i="21"/>
  <c r="BT13" i="21" s="1"/>
  <c r="BS12" i="21"/>
  <c r="CL11" i="21"/>
  <c r="CK11" i="21"/>
  <c r="CJ11" i="21"/>
  <c r="CI11" i="21"/>
  <c r="CF11" i="21"/>
  <c r="CE11" i="21"/>
  <c r="CD11" i="21"/>
  <c r="CC11" i="21"/>
  <c r="BS11" i="21"/>
  <c r="AS11" i="21"/>
  <c r="AR11" i="21"/>
  <c r="AP11" i="21"/>
  <c r="BS10" i="21"/>
  <c r="AS10" i="21"/>
  <c r="AR10" i="21"/>
  <c r="AP10" i="21"/>
  <c r="BS9" i="21"/>
  <c r="AS9" i="21"/>
  <c r="AR9" i="21"/>
  <c r="AP9" i="21"/>
  <c r="F9" i="21"/>
  <c r="E9" i="21"/>
  <c r="E541" i="21" s="1"/>
  <c r="D9" i="21"/>
  <c r="D541" i="21" s="1"/>
  <c r="C9" i="21"/>
  <c r="B9" i="21"/>
  <c r="B541" i="21" s="1"/>
  <c r="CL8" i="21"/>
  <c r="CK8" i="21"/>
  <c r="CJ8" i="21"/>
  <c r="CI8" i="21"/>
  <c r="CF8" i="21"/>
  <c r="CE8" i="21"/>
  <c r="CD8" i="21"/>
  <c r="CC8" i="21"/>
  <c r="BS8" i="21"/>
  <c r="BT7" i="21"/>
  <c r="BS7" i="21"/>
  <c r="AS7" i="21"/>
  <c r="AR7" i="21"/>
  <c r="BS6" i="21"/>
  <c r="AS6" i="21"/>
  <c r="AR6" i="21"/>
  <c r="AP6" i="21"/>
  <c r="D6" i="21"/>
  <c r="BV6" i="21" s="1"/>
  <c r="C6" i="21"/>
  <c r="C538" i="21" s="1"/>
  <c r="B6" i="21"/>
  <c r="B538" i="21" s="1"/>
  <c r="CL5" i="21"/>
  <c r="CK5" i="21"/>
  <c r="CJ5" i="21"/>
  <c r="CI5" i="21"/>
  <c r="CF5" i="21"/>
  <c r="CE5" i="21"/>
  <c r="CD5" i="21"/>
  <c r="CC5" i="21"/>
  <c r="BT5" i="21"/>
  <c r="BS5" i="21"/>
  <c r="BS4" i="21"/>
  <c r="CB4" i="21" s="1"/>
  <c r="D4" i="21"/>
  <c r="C4" i="21"/>
  <c r="B4" i="21"/>
  <c r="B536" i="21" s="1"/>
  <c r="BZ3" i="21"/>
  <c r="CF3" i="21" s="1"/>
  <c r="CL3" i="21" s="1"/>
  <c r="BY3" i="21"/>
  <c r="CE3" i="21" s="1"/>
  <c r="CK3" i="21" s="1"/>
  <c r="BX3" i="21"/>
  <c r="CD3" i="21" s="1"/>
  <c r="CJ3" i="21" s="1"/>
  <c r="BW3" i="21"/>
  <c r="CC3" i="21" s="1"/>
  <c r="CI3" i="21" s="1"/>
  <c r="BV3" i="21"/>
  <c r="BU3" i="21"/>
  <c r="BT3" i="21"/>
  <c r="BS3" i="21"/>
  <c r="AG1" i="21"/>
  <c r="T238" i="16"/>
  <c r="L413" i="1"/>
  <c r="O61" i="1"/>
  <c r="P61" i="1" s="1"/>
  <c r="Q61" i="1" s="1"/>
  <c r="R61" i="1" s="1"/>
  <c r="S61" i="1" s="1"/>
  <c r="T61" i="1" s="1"/>
  <c r="U61" i="1" s="1"/>
  <c r="V61" i="1" s="1"/>
  <c r="W61" i="1" s="1"/>
  <c r="O38" i="1"/>
  <c r="P38" i="1" s="1"/>
  <c r="Q38" i="1" s="1"/>
  <c r="R38" i="1" s="1"/>
  <c r="S38" i="1" s="1"/>
  <c r="T38" i="1" s="1"/>
  <c r="U38" i="1" s="1"/>
  <c r="V38" i="1" s="1"/>
  <c r="W38" i="1" s="1"/>
  <c r="O80" i="1"/>
  <c r="P80" i="1" s="1"/>
  <c r="Q80" i="1" s="1"/>
  <c r="R80" i="1" s="1"/>
  <c r="S80" i="1" s="1"/>
  <c r="T80" i="1" s="1"/>
  <c r="U80" i="1" s="1"/>
  <c r="V80" i="1" s="1"/>
  <c r="W80" i="1" s="1"/>
  <c r="O39" i="1"/>
  <c r="P39" i="1" s="1"/>
  <c r="Q39" i="1" s="1"/>
  <c r="R39" i="1" s="1"/>
  <c r="S39" i="1" s="1"/>
  <c r="T39" i="1" s="1"/>
  <c r="U39" i="1" s="1"/>
  <c r="V39" i="1" s="1"/>
  <c r="W39" i="1" s="1"/>
  <c r="X32" i="18"/>
  <c r="CT5" i="18"/>
  <c r="CY5" i="18"/>
  <c r="CT105" i="18"/>
  <c r="U238" i="16"/>
  <c r="V238" i="16"/>
  <c r="X34" i="18"/>
  <c r="CT15" i="18"/>
  <c r="CT9" i="18"/>
  <c r="X37" i="18"/>
  <c r="CY19" i="18"/>
  <c r="CT19" i="18"/>
  <c r="X24" i="18"/>
  <c r="Y24" i="18" s="1"/>
  <c r="X16" i="18"/>
  <c r="X33" i="18"/>
  <c r="E383" i="14"/>
  <c r="E384" i="14"/>
  <c r="E385" i="14"/>
  <c r="D385" i="14"/>
  <c r="D383" i="14"/>
  <c r="O8" i="14"/>
  <c r="Q16" i="18"/>
  <c r="CN16" i="18" s="1"/>
  <c r="Q24" i="18"/>
  <c r="M50" i="20" s="1"/>
  <c r="Q32" i="18"/>
  <c r="M53" i="20" s="1"/>
  <c r="Q33" i="18"/>
  <c r="M54" i="20" s="1"/>
  <c r="Q34" i="18"/>
  <c r="M55" i="20" s="1"/>
  <c r="Q37" i="18"/>
  <c r="M56" i="20" s="1"/>
  <c r="Q38" i="18"/>
  <c r="M57" i="20" s="1"/>
  <c r="Q39" i="18"/>
  <c r="M58" i="20" s="1"/>
  <c r="Q40" i="18"/>
  <c r="M59" i="20" s="1"/>
  <c r="Q55" i="18"/>
  <c r="M73" i="20" s="1"/>
  <c r="Q66" i="18"/>
  <c r="Q171" i="18" s="1"/>
  <c r="M69" i="20"/>
  <c r="M71" i="20"/>
  <c r="M70" i="20"/>
  <c r="M88" i="20"/>
  <c r="G352" i="14"/>
  <c r="D362" i="14"/>
  <c r="D363" i="14"/>
  <c r="F363" i="14"/>
  <c r="G363" i="14"/>
  <c r="D364" i="14"/>
  <c r="F364" i="14"/>
  <c r="G364" i="14"/>
  <c r="C364" i="14"/>
  <c r="C363" i="14"/>
  <c r="C362" i="14"/>
  <c r="D353" i="14"/>
  <c r="F353" i="14"/>
  <c r="C353" i="14"/>
  <c r="H350" i="14"/>
  <c r="I350" i="14" s="1"/>
  <c r="H349" i="14"/>
  <c r="I349" i="14" s="1"/>
  <c r="E360" i="14"/>
  <c r="E359" i="14"/>
  <c r="H359" i="14" s="1"/>
  <c r="I359" i="14" s="1"/>
  <c r="E358" i="14"/>
  <c r="H358" i="14" s="1"/>
  <c r="I358" i="14" s="1"/>
  <c r="E357" i="14"/>
  <c r="H357" i="14" s="1"/>
  <c r="I357" i="14" s="1"/>
  <c r="F356" i="14"/>
  <c r="G356" i="14"/>
  <c r="G362" i="14" s="1"/>
  <c r="D351" i="14"/>
  <c r="E351" i="14"/>
  <c r="F351" i="14"/>
  <c r="G351" i="14"/>
  <c r="C351" i="14"/>
  <c r="L40" i="20"/>
  <c r="L41" i="20"/>
  <c r="L42" i="20"/>
  <c r="L44" i="20"/>
  <c r="L46" i="20"/>
  <c r="L47" i="20"/>
  <c r="L48" i="20"/>
  <c r="L49" i="20"/>
  <c r="L62" i="20"/>
  <c r="L63" i="20"/>
  <c r="L65" i="20"/>
  <c r="L66" i="20"/>
  <c r="L67" i="20"/>
  <c r="L75" i="20"/>
  <c r="L76" i="20"/>
  <c r="L77" i="20"/>
  <c r="L81" i="20"/>
  <c r="L84" i="20"/>
  <c r="P55" i="18"/>
  <c r="L73" i="20" s="1"/>
  <c r="K66" i="18"/>
  <c r="K74" i="18" s="1"/>
  <c r="K79" i="18" s="1"/>
  <c r="P66" i="18"/>
  <c r="L70" i="20"/>
  <c r="P16" i="18"/>
  <c r="CM16" i="18" s="1"/>
  <c r="P24" i="18"/>
  <c r="CM24" i="18" s="1"/>
  <c r="P32" i="18"/>
  <c r="P33" i="18"/>
  <c r="L54" i="20" s="1"/>
  <c r="P34" i="18"/>
  <c r="L55" i="20" s="1"/>
  <c r="P37" i="18"/>
  <c r="L56" i="20" s="1"/>
  <c r="P38" i="18"/>
  <c r="L57" i="20" s="1"/>
  <c r="P39" i="18"/>
  <c r="L58" i="20" s="1"/>
  <c r="P40" i="18"/>
  <c r="L59" i="20" s="1"/>
  <c r="L88" i="20"/>
  <c r="L69" i="20"/>
  <c r="L71" i="20"/>
  <c r="E352" i="14"/>
  <c r="E353" i="14" s="1"/>
  <c r="E355" i="14"/>
  <c r="H355" i="14" s="1"/>
  <c r="I355" i="14" s="1"/>
  <c r="N338" i="14"/>
  <c r="N337" i="14"/>
  <c r="I330" i="14"/>
  <c r="C335" i="14" s="1"/>
  <c r="E331" i="14"/>
  <c r="I331" i="14" s="1"/>
  <c r="C336" i="14" s="1"/>
  <c r="H330" i="14"/>
  <c r="E356" i="14"/>
  <c r="B41" i="20"/>
  <c r="C41" i="20"/>
  <c r="D41" i="20"/>
  <c r="E41" i="20"/>
  <c r="F41" i="20"/>
  <c r="G41" i="20"/>
  <c r="H41" i="20"/>
  <c r="I41" i="20"/>
  <c r="J41" i="20"/>
  <c r="K41" i="20"/>
  <c r="B42" i="20"/>
  <c r="C42" i="20"/>
  <c r="D42" i="20"/>
  <c r="E42" i="20"/>
  <c r="F42" i="20"/>
  <c r="G42" i="20"/>
  <c r="H42" i="20"/>
  <c r="I42" i="20"/>
  <c r="J42" i="20"/>
  <c r="K42" i="20"/>
  <c r="B43" i="20"/>
  <c r="C43" i="20"/>
  <c r="D43" i="20"/>
  <c r="E43" i="20"/>
  <c r="F43" i="20"/>
  <c r="G43" i="20"/>
  <c r="H43" i="20"/>
  <c r="I43" i="20"/>
  <c r="J43" i="20"/>
  <c r="B44" i="20"/>
  <c r="C44" i="20"/>
  <c r="D44" i="20"/>
  <c r="E44" i="20"/>
  <c r="F44" i="20"/>
  <c r="G44" i="20"/>
  <c r="H44" i="20"/>
  <c r="I44" i="20"/>
  <c r="J44" i="20"/>
  <c r="K44" i="20"/>
  <c r="B45" i="20"/>
  <c r="B46" i="20"/>
  <c r="C46" i="20"/>
  <c r="D46" i="20"/>
  <c r="E46" i="20"/>
  <c r="F46" i="20"/>
  <c r="G46" i="20"/>
  <c r="H46" i="20"/>
  <c r="I46" i="20"/>
  <c r="J46" i="20"/>
  <c r="B47" i="20"/>
  <c r="C47" i="20"/>
  <c r="D47" i="20"/>
  <c r="E47" i="20"/>
  <c r="F47" i="20"/>
  <c r="G47" i="20"/>
  <c r="H47" i="20"/>
  <c r="I47" i="20"/>
  <c r="J47" i="20"/>
  <c r="K47" i="20"/>
  <c r="B48" i="20"/>
  <c r="C48" i="20"/>
  <c r="D48" i="20"/>
  <c r="E48" i="20"/>
  <c r="F48" i="20"/>
  <c r="G48" i="20"/>
  <c r="H48" i="20"/>
  <c r="I48" i="20"/>
  <c r="J48" i="20"/>
  <c r="K48" i="20"/>
  <c r="B49" i="20"/>
  <c r="C49" i="20"/>
  <c r="D49" i="20"/>
  <c r="E49" i="20"/>
  <c r="F49" i="20"/>
  <c r="G49" i="20"/>
  <c r="H49" i="20"/>
  <c r="I49" i="20"/>
  <c r="J49" i="20"/>
  <c r="B50" i="20"/>
  <c r="C50" i="20"/>
  <c r="D50" i="20"/>
  <c r="E50" i="20"/>
  <c r="F50" i="20"/>
  <c r="G50" i="20"/>
  <c r="H50" i="20"/>
  <c r="I50" i="20"/>
  <c r="J50" i="20"/>
  <c r="B51" i="20"/>
  <c r="B52" i="20"/>
  <c r="B61" i="20"/>
  <c r="B62" i="20"/>
  <c r="C62" i="20"/>
  <c r="D62" i="20"/>
  <c r="E62" i="20"/>
  <c r="F62" i="20"/>
  <c r="G62" i="20"/>
  <c r="H62" i="20"/>
  <c r="I62" i="20"/>
  <c r="J62" i="20"/>
  <c r="B63" i="20"/>
  <c r="C63" i="20"/>
  <c r="D63" i="20"/>
  <c r="E63" i="20"/>
  <c r="F63" i="20"/>
  <c r="G63" i="20"/>
  <c r="H63" i="20"/>
  <c r="I63" i="20"/>
  <c r="J63" i="20"/>
  <c r="K63" i="20"/>
  <c r="B64" i="20"/>
  <c r="B65" i="20"/>
  <c r="C65" i="20"/>
  <c r="D65" i="20"/>
  <c r="E65" i="20"/>
  <c r="F65" i="20"/>
  <c r="G65" i="20"/>
  <c r="H65" i="20"/>
  <c r="I65" i="20"/>
  <c r="J65" i="20"/>
  <c r="B66" i="20"/>
  <c r="C66" i="20"/>
  <c r="D66" i="20"/>
  <c r="E66" i="20"/>
  <c r="F66" i="20"/>
  <c r="G66" i="20"/>
  <c r="H66" i="20"/>
  <c r="I66" i="20"/>
  <c r="J66" i="20"/>
  <c r="B67" i="20"/>
  <c r="C67" i="20"/>
  <c r="D67" i="20"/>
  <c r="E67" i="20"/>
  <c r="F67" i="20"/>
  <c r="G67" i="20"/>
  <c r="H67" i="20"/>
  <c r="I67" i="20"/>
  <c r="J67" i="20"/>
  <c r="B68" i="20"/>
  <c r="B69" i="20"/>
  <c r="B70" i="20"/>
  <c r="B71" i="20"/>
  <c r="B73" i="20"/>
  <c r="B74" i="20"/>
  <c r="B75" i="20"/>
  <c r="E75" i="20"/>
  <c r="F75" i="20"/>
  <c r="I75" i="20"/>
  <c r="J75" i="20"/>
  <c r="B76" i="20"/>
  <c r="E76" i="20"/>
  <c r="F76" i="20"/>
  <c r="I76" i="20"/>
  <c r="J76" i="20"/>
  <c r="B77" i="20"/>
  <c r="E77" i="20"/>
  <c r="F77" i="20"/>
  <c r="I77" i="20"/>
  <c r="J77" i="20"/>
  <c r="B78" i="20"/>
  <c r="E78" i="20"/>
  <c r="F78" i="20"/>
  <c r="I78" i="20"/>
  <c r="J78" i="20"/>
  <c r="B79" i="20"/>
  <c r="B80" i="20"/>
  <c r="B81" i="20"/>
  <c r="E81" i="20"/>
  <c r="F81" i="20"/>
  <c r="I81" i="20"/>
  <c r="J81" i="20"/>
  <c r="K81" i="20"/>
  <c r="B82" i="20"/>
  <c r="B83" i="20"/>
  <c r="B84" i="20"/>
  <c r="E84" i="20"/>
  <c r="F84" i="20"/>
  <c r="I84" i="20"/>
  <c r="J84" i="20"/>
  <c r="B85" i="20"/>
  <c r="B86" i="20"/>
  <c r="B88" i="20"/>
  <c r="B89" i="20"/>
  <c r="C40" i="20"/>
  <c r="D40" i="20"/>
  <c r="E40" i="20"/>
  <c r="F40" i="20"/>
  <c r="G40" i="20"/>
  <c r="H40" i="20"/>
  <c r="I40" i="20"/>
  <c r="J40" i="20"/>
  <c r="K40" i="20"/>
  <c r="B40" i="20"/>
  <c r="B32" i="20"/>
  <c r="B33" i="20"/>
  <c r="B34" i="20"/>
  <c r="B35" i="20"/>
  <c r="B36" i="20"/>
  <c r="B37" i="20"/>
  <c r="B5" i="20"/>
  <c r="B6" i="20"/>
  <c r="B7" i="20"/>
  <c r="B8" i="20"/>
  <c r="B9" i="20"/>
  <c r="B10" i="20"/>
  <c r="B11" i="20"/>
  <c r="B12" i="20"/>
  <c r="B13" i="20"/>
  <c r="B14" i="20"/>
  <c r="B15" i="20"/>
  <c r="B16" i="20"/>
  <c r="B18" i="20"/>
  <c r="B19" i="20"/>
  <c r="B20" i="20"/>
  <c r="B21" i="20"/>
  <c r="B22" i="20"/>
  <c r="B23" i="20"/>
  <c r="B24" i="20"/>
  <c r="B25" i="20"/>
  <c r="B26" i="20"/>
  <c r="B27" i="20"/>
  <c r="B28" i="20"/>
  <c r="B29" i="20"/>
  <c r="C4" i="20"/>
  <c r="D4" i="20"/>
  <c r="E4" i="20"/>
  <c r="F4" i="20"/>
  <c r="G4" i="20"/>
  <c r="I4" i="20"/>
  <c r="I31" i="20" s="1"/>
  <c r="J4" i="20"/>
  <c r="J31" i="20" s="1"/>
  <c r="K4" i="20"/>
  <c r="K31" i="20" s="1"/>
  <c r="B4" i="20"/>
  <c r="K62" i="20"/>
  <c r="O39" i="18"/>
  <c r="O16" i="18"/>
  <c r="K43" i="20" s="1"/>
  <c r="O55" i="18"/>
  <c r="K73" i="20" s="1"/>
  <c r="G75" i="20"/>
  <c r="J69" i="20"/>
  <c r="O34" i="18"/>
  <c r="K55" i="20" s="1"/>
  <c r="O33" i="18"/>
  <c r="K54" i="20" s="1"/>
  <c r="O32" i="18"/>
  <c r="K53" i="20" s="1"/>
  <c r="J5" i="11"/>
  <c r="C15" i="13"/>
  <c r="D312" i="14"/>
  <c r="E312" i="14"/>
  <c r="D313" i="14"/>
  <c r="E313" i="14"/>
  <c r="F313" i="14"/>
  <c r="C313" i="14"/>
  <c r="C312" i="14"/>
  <c r="O6" i="14"/>
  <c r="F154" i="14"/>
  <c r="B102" i="15"/>
  <c r="F156" i="14"/>
  <c r="F157" i="14"/>
  <c r="F134" i="14"/>
  <c r="F137" i="14"/>
  <c r="F161" i="14" s="1"/>
  <c r="F138" i="14"/>
  <c r="F163" i="14" s="1"/>
  <c r="F140" i="14"/>
  <c r="F141" i="14"/>
  <c r="F142" i="14"/>
  <c r="F167" i="14" s="1"/>
  <c r="F143" i="14"/>
  <c r="F169" i="14" s="1"/>
  <c r="I88" i="20"/>
  <c r="J88" i="20"/>
  <c r="M41" i="18"/>
  <c r="J60" i="20" s="1"/>
  <c r="F32" i="18"/>
  <c r="D53" i="20" s="1"/>
  <c r="G32" i="18"/>
  <c r="E53" i="20" s="1"/>
  <c r="H32" i="18"/>
  <c r="F53" i="20" s="1"/>
  <c r="J32" i="18"/>
  <c r="G53" i="20" s="1"/>
  <c r="K32" i="18"/>
  <c r="H53" i="20" s="1"/>
  <c r="L32" i="18"/>
  <c r="I53" i="20" s="1"/>
  <c r="M32" i="18"/>
  <c r="J53" i="20" s="1"/>
  <c r="F33" i="18"/>
  <c r="D54" i="20" s="1"/>
  <c r="G33" i="18"/>
  <c r="E54" i="20" s="1"/>
  <c r="H33" i="18"/>
  <c r="F54" i="20" s="1"/>
  <c r="J33" i="18"/>
  <c r="G54" i="20" s="1"/>
  <c r="K33" i="18"/>
  <c r="H54" i="20" s="1"/>
  <c r="L33" i="18"/>
  <c r="I54" i="20" s="1"/>
  <c r="M33" i="18"/>
  <c r="J54" i="20" s="1"/>
  <c r="F34" i="18"/>
  <c r="D55" i="20" s="1"/>
  <c r="G34" i="18"/>
  <c r="E55" i="20" s="1"/>
  <c r="H34" i="18"/>
  <c r="F55" i="20" s="1"/>
  <c r="J34" i="18"/>
  <c r="G55" i="20" s="1"/>
  <c r="K34" i="18"/>
  <c r="H55" i="20" s="1"/>
  <c r="L34" i="18"/>
  <c r="I55" i="20" s="1"/>
  <c r="M34" i="18"/>
  <c r="J55" i="20" s="1"/>
  <c r="F37" i="18"/>
  <c r="D56" i="20" s="1"/>
  <c r="G37" i="18"/>
  <c r="E56" i="20" s="1"/>
  <c r="H37" i="18"/>
  <c r="F56" i="20" s="1"/>
  <c r="J37" i="18"/>
  <c r="K37" i="18"/>
  <c r="H56" i="20" s="1"/>
  <c r="L37" i="18"/>
  <c r="I56" i="20" s="1"/>
  <c r="M37" i="18"/>
  <c r="J56" i="20" s="1"/>
  <c r="F38" i="18"/>
  <c r="D57" i="20" s="1"/>
  <c r="G38" i="18"/>
  <c r="E57" i="20" s="1"/>
  <c r="H38" i="18"/>
  <c r="F57" i="20" s="1"/>
  <c r="J38" i="18"/>
  <c r="G57" i="20" s="1"/>
  <c r="K38" i="18"/>
  <c r="H57" i="20" s="1"/>
  <c r="L38" i="18"/>
  <c r="I57" i="20" s="1"/>
  <c r="M38" i="18"/>
  <c r="F39" i="18"/>
  <c r="D58" i="20" s="1"/>
  <c r="G39" i="18"/>
  <c r="E58" i="20" s="1"/>
  <c r="H39" i="18"/>
  <c r="F58" i="20" s="1"/>
  <c r="J39" i="18"/>
  <c r="G58" i="20" s="1"/>
  <c r="K39" i="18"/>
  <c r="H58" i="20" s="1"/>
  <c r="L39" i="18"/>
  <c r="I58" i="20" s="1"/>
  <c r="M39" i="18"/>
  <c r="J58" i="20" s="1"/>
  <c r="F40" i="18"/>
  <c r="D59" i="20" s="1"/>
  <c r="G40" i="18"/>
  <c r="E59" i="20" s="1"/>
  <c r="H40" i="18"/>
  <c r="J40" i="18"/>
  <c r="G59" i="20" s="1"/>
  <c r="K40" i="18"/>
  <c r="H59" i="20" s="1"/>
  <c r="L40" i="18"/>
  <c r="I59" i="20" s="1"/>
  <c r="M40" i="18"/>
  <c r="J59" i="20" s="1"/>
  <c r="F41" i="18"/>
  <c r="D60" i="20" s="1"/>
  <c r="G41" i="18"/>
  <c r="E60" i="20" s="1"/>
  <c r="H41" i="18"/>
  <c r="F60" i="20" s="1"/>
  <c r="J41" i="18"/>
  <c r="G60" i="20" s="1"/>
  <c r="K41" i="18"/>
  <c r="H60" i="20" s="1"/>
  <c r="L41" i="18"/>
  <c r="I60" i="20" s="1"/>
  <c r="B38" i="18"/>
  <c r="B39" i="18"/>
  <c r="B40" i="18"/>
  <c r="B41" i="18"/>
  <c r="B32" i="30" s="1"/>
  <c r="B32" i="18"/>
  <c r="B53" i="20" s="1"/>
  <c r="B37" i="18"/>
  <c r="B34" i="18"/>
  <c r="B55" i="20" s="1"/>
  <c r="B33" i="18"/>
  <c r="B54" i="20" s="1"/>
  <c r="G128" i="18"/>
  <c r="E85" i="20" s="1"/>
  <c r="H128" i="18"/>
  <c r="F85" i="20" s="1"/>
  <c r="L128" i="18"/>
  <c r="I85" i="20" s="1"/>
  <c r="M128" i="18"/>
  <c r="J85" i="20" s="1"/>
  <c r="G86" i="18"/>
  <c r="E79" i="20" s="1"/>
  <c r="L86" i="18"/>
  <c r="M86" i="18"/>
  <c r="M87" i="18" s="1"/>
  <c r="J80" i="20" s="1"/>
  <c r="L80" i="18"/>
  <c r="M80" i="18"/>
  <c r="G80" i="18"/>
  <c r="H79" i="18"/>
  <c r="H86" i="18" s="1"/>
  <c r="E127" i="18"/>
  <c r="C84" i="20" s="1"/>
  <c r="E120" i="18"/>
  <c r="E116" i="18"/>
  <c r="E112" i="18"/>
  <c r="E111" i="18"/>
  <c r="E110" i="18"/>
  <c r="E109" i="18"/>
  <c r="E105" i="18"/>
  <c r="CG105" i="18" s="1"/>
  <c r="E95" i="18"/>
  <c r="E85" i="18"/>
  <c r="E84" i="18"/>
  <c r="E83" i="18"/>
  <c r="E78" i="18"/>
  <c r="CG78" i="18" s="1"/>
  <c r="E77" i="18"/>
  <c r="CG77" i="18" s="1"/>
  <c r="E63" i="18"/>
  <c r="F63" i="18" s="1"/>
  <c r="CH63" i="18" s="1"/>
  <c r="E65" i="18"/>
  <c r="C77" i="20" s="1"/>
  <c r="E72" i="18"/>
  <c r="E73" i="18"/>
  <c r="E62" i="18"/>
  <c r="F62" i="18" s="1"/>
  <c r="CH62" i="18" s="1"/>
  <c r="F55" i="18"/>
  <c r="D73" i="20" s="1"/>
  <c r="G55" i="18"/>
  <c r="E73" i="20" s="1"/>
  <c r="H55" i="18"/>
  <c r="F73" i="20" s="1"/>
  <c r="J55" i="18"/>
  <c r="G73" i="20" s="1"/>
  <c r="K55" i="18"/>
  <c r="H73" i="20" s="1"/>
  <c r="L55" i="18"/>
  <c r="I73" i="20" s="1"/>
  <c r="M55" i="18"/>
  <c r="J73" i="20" s="1"/>
  <c r="E55" i="18"/>
  <c r="C73" i="20" s="1"/>
  <c r="C46" i="18"/>
  <c r="C44" i="18"/>
  <c r="C20" i="18"/>
  <c r="E38" i="18" s="1"/>
  <c r="C57" i="20" s="1"/>
  <c r="C21" i="18"/>
  <c r="E39" i="18" s="1"/>
  <c r="C58" i="20" s="1"/>
  <c r="C23" i="18"/>
  <c r="E40" i="18" s="1"/>
  <c r="C59" i="20" s="1"/>
  <c r="C24" i="18"/>
  <c r="E41" i="18" s="1"/>
  <c r="C19" i="18"/>
  <c r="E37" i="18" s="1"/>
  <c r="C56" i="20" s="1"/>
  <c r="C15" i="18"/>
  <c r="E34" i="18" s="1"/>
  <c r="C55" i="20" s="1"/>
  <c r="C16" i="18"/>
  <c r="C9" i="18"/>
  <c r="E33" i="18" s="1"/>
  <c r="C5" i="18"/>
  <c r="E32" i="18" s="1"/>
  <c r="C53" i="20" s="1"/>
  <c r="N89" i="20"/>
  <c r="M89" i="20"/>
  <c r="H75" i="20"/>
  <c r="G77" i="20"/>
  <c r="J71" i="20"/>
  <c r="I70" i="20"/>
  <c r="G76" i="20"/>
  <c r="H81" i="20"/>
  <c r="G81" i="20"/>
  <c r="G84" i="20"/>
  <c r="G69" i="20"/>
  <c r="I71" i="20"/>
  <c r="H70" i="20"/>
  <c r="G71" i="20"/>
  <c r="H71" i="20"/>
  <c r="I69" i="20"/>
  <c r="G70" i="20"/>
  <c r="J70" i="20"/>
  <c r="H69" i="20"/>
  <c r="J89" i="20"/>
  <c r="I89" i="20"/>
  <c r="J66" i="18"/>
  <c r="J74" i="18" s="1"/>
  <c r="J79" i="18" s="1"/>
  <c r="C19" i="13"/>
  <c r="H84" i="20"/>
  <c r="H77" i="20"/>
  <c r="K84" i="20"/>
  <c r="H76" i="20"/>
  <c r="K77" i="20"/>
  <c r="G88" i="20"/>
  <c r="Q110" i="16"/>
  <c r="R110" i="16"/>
  <c r="S110" i="16"/>
  <c r="P110" i="16"/>
  <c r="Q111" i="16"/>
  <c r="R111" i="16"/>
  <c r="S111" i="16"/>
  <c r="Q115" i="16"/>
  <c r="R115" i="16"/>
  <c r="S115" i="16"/>
  <c r="P115" i="16"/>
  <c r="P111" i="16"/>
  <c r="Q80" i="16"/>
  <c r="Q81" i="16"/>
  <c r="P80" i="16"/>
  <c r="P81" i="16"/>
  <c r="Q76" i="16"/>
  <c r="P76" i="16"/>
  <c r="Q38" i="16"/>
  <c r="Q39" i="16"/>
  <c r="Q40" i="16"/>
  <c r="Q42" i="16"/>
  <c r="P39" i="16"/>
  <c r="P40" i="16"/>
  <c r="P42" i="16"/>
  <c r="P38" i="16"/>
  <c r="Q35" i="16"/>
  <c r="P35" i="16"/>
  <c r="Q31" i="16"/>
  <c r="P31" i="16"/>
  <c r="Q30" i="16"/>
  <c r="P30" i="16"/>
  <c r="Q20" i="16"/>
  <c r="Q21" i="16"/>
  <c r="P23" i="16"/>
  <c r="P21" i="16"/>
  <c r="P20" i="16"/>
  <c r="Q15" i="16"/>
  <c r="P15" i="16"/>
  <c r="Q5" i="16"/>
  <c r="P5" i="16"/>
  <c r="V215" i="16"/>
  <c r="W215" i="16" s="1"/>
  <c r="X215" i="16" s="1"/>
  <c r="Y215" i="16" s="1"/>
  <c r="Z215" i="16" s="1"/>
  <c r="AA215" i="16" s="1"/>
  <c r="AB215" i="16" s="1"/>
  <c r="AC215" i="16" s="1"/>
  <c r="AD215" i="16" s="1"/>
  <c r="AE215" i="16" s="1"/>
  <c r="AF215" i="16" s="1"/>
  <c r="AG215" i="16" s="1"/>
  <c r="AH215" i="16" s="1"/>
  <c r="AI215" i="16" s="1"/>
  <c r="I189" i="16"/>
  <c r="J189" i="16" s="1"/>
  <c r="K189" i="16" s="1"/>
  <c r="L189" i="16" s="1"/>
  <c r="M189" i="16" s="1"/>
  <c r="N189" i="16" s="1"/>
  <c r="O189" i="16" s="1"/>
  <c r="P189" i="16" s="1"/>
  <c r="Q189" i="16" s="1"/>
  <c r="R189" i="16" s="1"/>
  <c r="S189" i="16" s="1"/>
  <c r="T189" i="16" s="1"/>
  <c r="U189" i="16" s="1"/>
  <c r="V189" i="16" s="1"/>
  <c r="W189" i="16" s="1"/>
  <c r="X189" i="16" s="1"/>
  <c r="Y189" i="16" s="1"/>
  <c r="Z189" i="16" s="1"/>
  <c r="AA189" i="16" s="1"/>
  <c r="AB189" i="16" s="1"/>
  <c r="AC189" i="16" s="1"/>
  <c r="AD189" i="16" s="1"/>
  <c r="AE189" i="16" s="1"/>
  <c r="AF189" i="16" s="1"/>
  <c r="AG189" i="16" s="1"/>
  <c r="AH189" i="16" s="1"/>
  <c r="AI189" i="16" s="1"/>
  <c r="F189" i="16"/>
  <c r="G189" i="16" s="1"/>
  <c r="R171" i="16"/>
  <c r="S171" i="16" s="1"/>
  <c r="T171" i="16" s="1"/>
  <c r="U171" i="16" s="1"/>
  <c r="V171" i="16" s="1"/>
  <c r="W171" i="16" s="1"/>
  <c r="X171" i="16" s="1"/>
  <c r="Y171" i="16" s="1"/>
  <c r="Z171" i="16" s="1"/>
  <c r="AA171" i="16" s="1"/>
  <c r="AB171" i="16" s="1"/>
  <c r="AC171" i="16" s="1"/>
  <c r="AD171" i="16" s="1"/>
  <c r="AE171" i="16" s="1"/>
  <c r="AF171" i="16" s="1"/>
  <c r="AG171" i="16" s="1"/>
  <c r="AH171" i="16" s="1"/>
  <c r="AI171" i="16" s="1"/>
  <c r="R155" i="16"/>
  <c r="S155" i="16" s="1"/>
  <c r="T155" i="16" s="1"/>
  <c r="U155" i="16" s="1"/>
  <c r="V155" i="16" s="1"/>
  <c r="W155" i="16" s="1"/>
  <c r="X155" i="16" s="1"/>
  <c r="Y155" i="16" s="1"/>
  <c r="Z155" i="16" s="1"/>
  <c r="AA155" i="16" s="1"/>
  <c r="AB155" i="16" s="1"/>
  <c r="AC155" i="16" s="1"/>
  <c r="AD155" i="16" s="1"/>
  <c r="AE155" i="16" s="1"/>
  <c r="AF155" i="16" s="1"/>
  <c r="AG155" i="16" s="1"/>
  <c r="AH155" i="16" s="1"/>
  <c r="AI155" i="16" s="1"/>
  <c r="Q123" i="16"/>
  <c r="P123" i="16"/>
  <c r="Q122" i="16"/>
  <c r="P122" i="16"/>
  <c r="E21" i="11"/>
  <c r="D30" i="12"/>
  <c r="D297" i="14"/>
  <c r="C297" i="14"/>
  <c r="D296" i="14"/>
  <c r="C296" i="14"/>
  <c r="E292" i="14"/>
  <c r="F292" i="14" s="1"/>
  <c r="Q115" i="15"/>
  <c r="E136" i="15" s="1"/>
  <c r="P115" i="15"/>
  <c r="O115" i="15"/>
  <c r="N115" i="15"/>
  <c r="D136" i="15" s="1"/>
  <c r="M115" i="15"/>
  <c r="K115" i="15"/>
  <c r="C136" i="15" s="1"/>
  <c r="J115" i="15"/>
  <c r="I115" i="15"/>
  <c r="H115" i="15"/>
  <c r="B136" i="15" s="1"/>
  <c r="G115" i="15"/>
  <c r="A115" i="15"/>
  <c r="Q114" i="15"/>
  <c r="P114" i="15"/>
  <c r="O114" i="15"/>
  <c r="N114" i="15"/>
  <c r="M114" i="15"/>
  <c r="K114" i="15"/>
  <c r="J114" i="15"/>
  <c r="I114" i="15"/>
  <c r="H114" i="15"/>
  <c r="G114" i="15"/>
  <c r="A114" i="15"/>
  <c r="Q111" i="15"/>
  <c r="E132" i="15" s="1"/>
  <c r="P111" i="15"/>
  <c r="O111" i="15"/>
  <c r="N111" i="15"/>
  <c r="D132" i="15" s="1"/>
  <c r="M111" i="15"/>
  <c r="K111" i="15"/>
  <c r="C132" i="15" s="1"/>
  <c r="J111" i="15"/>
  <c r="I111" i="15"/>
  <c r="H111" i="15"/>
  <c r="B132" i="15" s="1"/>
  <c r="G111" i="15"/>
  <c r="E111" i="15"/>
  <c r="D111" i="15"/>
  <c r="C111" i="15"/>
  <c r="B111" i="15"/>
  <c r="A111" i="15"/>
  <c r="Q110" i="15"/>
  <c r="E131" i="15" s="1"/>
  <c r="P110" i="15"/>
  <c r="O110" i="15"/>
  <c r="N110" i="15"/>
  <c r="D131" i="15" s="1"/>
  <c r="M110" i="15"/>
  <c r="K110" i="15"/>
  <c r="C131" i="15" s="1"/>
  <c r="J110" i="15"/>
  <c r="I110" i="15"/>
  <c r="H110" i="15"/>
  <c r="B131" i="15" s="1"/>
  <c r="G110" i="15"/>
  <c r="E110" i="15"/>
  <c r="D110" i="15"/>
  <c r="C110" i="15"/>
  <c r="B110" i="15"/>
  <c r="A110" i="15"/>
  <c r="Q109" i="15"/>
  <c r="E130" i="15" s="1"/>
  <c r="P109" i="15"/>
  <c r="O109" i="15"/>
  <c r="N109" i="15"/>
  <c r="D130" i="15" s="1"/>
  <c r="M109" i="15"/>
  <c r="K109" i="15"/>
  <c r="C130" i="15" s="1"/>
  <c r="J109" i="15"/>
  <c r="I109" i="15"/>
  <c r="H109" i="15"/>
  <c r="B130" i="15" s="1"/>
  <c r="G109" i="15"/>
  <c r="E109" i="15"/>
  <c r="D109" i="15"/>
  <c r="C109" i="15"/>
  <c r="B109" i="15"/>
  <c r="A109" i="15"/>
  <c r="E108" i="15"/>
  <c r="D108" i="15"/>
  <c r="C108" i="15"/>
  <c r="Q108" i="15"/>
  <c r="E129" i="15" s="1"/>
  <c r="P108" i="15"/>
  <c r="O108" i="15"/>
  <c r="N108" i="15"/>
  <c r="D129" i="15" s="1"/>
  <c r="M108" i="15"/>
  <c r="K108" i="15"/>
  <c r="C129" i="15" s="1"/>
  <c r="J108" i="15"/>
  <c r="I108" i="15"/>
  <c r="H108" i="15"/>
  <c r="B129" i="15" s="1"/>
  <c r="G108" i="15"/>
  <c r="B108" i="15"/>
  <c r="A108" i="15"/>
  <c r="Q107" i="15"/>
  <c r="E128" i="15" s="1"/>
  <c r="P107" i="15"/>
  <c r="O107" i="15"/>
  <c r="N107" i="15"/>
  <c r="D128" i="15" s="1"/>
  <c r="M107" i="15"/>
  <c r="K107" i="15"/>
  <c r="C128" i="15" s="1"/>
  <c r="J107" i="15"/>
  <c r="I107" i="15"/>
  <c r="H107" i="15"/>
  <c r="B128" i="15" s="1"/>
  <c r="G107" i="15"/>
  <c r="E107" i="15"/>
  <c r="D107" i="15"/>
  <c r="C107" i="15"/>
  <c r="B107" i="15"/>
  <c r="A107" i="15"/>
  <c r="Q105" i="15"/>
  <c r="E127" i="15" s="1"/>
  <c r="P105" i="15"/>
  <c r="O105" i="15"/>
  <c r="N105" i="15"/>
  <c r="D127" i="15" s="1"/>
  <c r="M105" i="15"/>
  <c r="K105" i="15"/>
  <c r="C127" i="15" s="1"/>
  <c r="J105" i="15"/>
  <c r="I105" i="15"/>
  <c r="H105" i="15"/>
  <c r="B127" i="15" s="1"/>
  <c r="G105" i="15"/>
  <c r="E105" i="15"/>
  <c r="D105" i="15"/>
  <c r="C105" i="15"/>
  <c r="B105" i="15"/>
  <c r="A105" i="15"/>
  <c r="D6" i="13"/>
  <c r="D5" i="13"/>
  <c r="J44" i="11"/>
  <c r="J60" i="11"/>
  <c r="J6" i="11"/>
  <c r="G233" i="14"/>
  <c r="C430" i="11"/>
  <c r="C438" i="11" s="1"/>
  <c r="C452" i="11" s="1"/>
  <c r="F340" i="11"/>
  <c r="G340" i="11"/>
  <c r="J430" i="11"/>
  <c r="J438" i="11" s="1"/>
  <c r="J452" i="11" s="1"/>
  <c r="K430" i="11"/>
  <c r="K438" i="11" s="1"/>
  <c r="K452" i="11" s="1"/>
  <c r="B430" i="11"/>
  <c r="B438" i="11" s="1"/>
  <c r="B452" i="11" s="1"/>
  <c r="K163" i="11"/>
  <c r="K162" i="11"/>
  <c r="K161" i="11"/>
  <c r="K160" i="11"/>
  <c r="K159" i="11"/>
  <c r="J163" i="11"/>
  <c r="J162" i="11"/>
  <c r="J161" i="11"/>
  <c r="J160" i="11"/>
  <c r="J159" i="11"/>
  <c r="G432" i="11"/>
  <c r="F432" i="11"/>
  <c r="G433" i="11"/>
  <c r="F433" i="11"/>
  <c r="G434" i="11"/>
  <c r="F434" i="11"/>
  <c r="G435" i="11"/>
  <c r="F435" i="11"/>
  <c r="H164" i="11"/>
  <c r="G436" i="11" s="1"/>
  <c r="F436" i="11"/>
  <c r="G431" i="11"/>
  <c r="F431" i="11"/>
  <c r="C436" i="11"/>
  <c r="B436" i="11"/>
  <c r="C435" i="11"/>
  <c r="B435" i="11"/>
  <c r="C434" i="11"/>
  <c r="B434" i="11"/>
  <c r="C433" i="11"/>
  <c r="B433" i="11"/>
  <c r="C432" i="11"/>
  <c r="B432" i="11"/>
  <c r="C431" i="11"/>
  <c r="B431" i="11"/>
  <c r="D430" i="11"/>
  <c r="H430" i="11"/>
  <c r="L430" i="11"/>
  <c r="K154" i="11"/>
  <c r="J154" i="11"/>
  <c r="K124" i="11"/>
  <c r="K125" i="11"/>
  <c r="K126" i="11"/>
  <c r="K127" i="11"/>
  <c r="K128" i="11"/>
  <c r="K129" i="11"/>
  <c r="K134" i="11"/>
  <c r="K135" i="11"/>
  <c r="K136" i="11"/>
  <c r="K137" i="11"/>
  <c r="K138" i="11"/>
  <c r="K144" i="11"/>
  <c r="K145" i="11"/>
  <c r="K146" i="11"/>
  <c r="K147" i="11"/>
  <c r="K148" i="11"/>
  <c r="K149" i="11"/>
  <c r="K150" i="11"/>
  <c r="J124" i="11"/>
  <c r="J125" i="11"/>
  <c r="J126" i="11"/>
  <c r="J127" i="11"/>
  <c r="J128" i="11"/>
  <c r="J129" i="11"/>
  <c r="J134" i="11"/>
  <c r="J135" i="11"/>
  <c r="J136" i="11"/>
  <c r="J137" i="11"/>
  <c r="J138" i="11"/>
  <c r="J144" i="11"/>
  <c r="J145" i="11"/>
  <c r="J146" i="11"/>
  <c r="J147" i="11"/>
  <c r="J148" i="11"/>
  <c r="J149" i="11"/>
  <c r="J150" i="11"/>
  <c r="G428" i="11"/>
  <c r="F428" i="11"/>
  <c r="H140" i="11"/>
  <c r="G415" i="11" s="1"/>
  <c r="H151" i="11"/>
  <c r="G425" i="11" s="1"/>
  <c r="G131" i="11"/>
  <c r="G151" i="11"/>
  <c r="F425" i="11" s="1"/>
  <c r="G424" i="11"/>
  <c r="F424" i="11"/>
  <c r="G422" i="11"/>
  <c r="F422" i="11"/>
  <c r="G421" i="11"/>
  <c r="F421" i="11"/>
  <c r="G419" i="11"/>
  <c r="F419" i="11"/>
  <c r="G418" i="11"/>
  <c r="F418" i="11"/>
  <c r="F415" i="11"/>
  <c r="G412" i="11"/>
  <c r="F412" i="11"/>
  <c r="G411" i="11"/>
  <c r="F411" i="11"/>
  <c r="G410" i="11"/>
  <c r="F410" i="11"/>
  <c r="G407" i="11"/>
  <c r="G406" i="11"/>
  <c r="F406" i="11"/>
  <c r="G405" i="11"/>
  <c r="F405" i="11"/>
  <c r="G404" i="11"/>
  <c r="F404" i="11"/>
  <c r="G403" i="11"/>
  <c r="F403" i="11"/>
  <c r="G402" i="11"/>
  <c r="F402" i="11"/>
  <c r="G401" i="11"/>
  <c r="F401" i="11"/>
  <c r="C428" i="11"/>
  <c r="B428" i="11"/>
  <c r="C427" i="11"/>
  <c r="B427" i="11"/>
  <c r="C425" i="11"/>
  <c r="B425" i="11"/>
  <c r="C424" i="11"/>
  <c r="B424" i="11"/>
  <c r="C423" i="11"/>
  <c r="B423" i="11"/>
  <c r="C422" i="11"/>
  <c r="B422" i="11"/>
  <c r="C421" i="11"/>
  <c r="B421" i="11"/>
  <c r="C420" i="11"/>
  <c r="B420" i="11"/>
  <c r="C419" i="11"/>
  <c r="B419" i="11"/>
  <c r="C418" i="11"/>
  <c r="B418" i="11"/>
  <c r="C415" i="11"/>
  <c r="B415" i="11"/>
  <c r="C414" i="11"/>
  <c r="B414" i="11"/>
  <c r="C413" i="11"/>
  <c r="B413" i="11"/>
  <c r="C412" i="11"/>
  <c r="B412" i="11"/>
  <c r="C411" i="11"/>
  <c r="B411" i="11"/>
  <c r="C410" i="11"/>
  <c r="B410" i="11"/>
  <c r="C407" i="11"/>
  <c r="B131" i="11"/>
  <c r="B407" i="11" s="1"/>
  <c r="C406" i="11"/>
  <c r="B406" i="11"/>
  <c r="C405" i="11"/>
  <c r="B405" i="11"/>
  <c r="C404" i="11"/>
  <c r="B404" i="11"/>
  <c r="C403" i="11"/>
  <c r="B403" i="11"/>
  <c r="C402" i="11"/>
  <c r="B402" i="11"/>
  <c r="C401" i="11"/>
  <c r="B401" i="11"/>
  <c r="C383" i="11"/>
  <c r="C399" i="11" s="1"/>
  <c r="D383" i="11"/>
  <c r="D399" i="11" s="1"/>
  <c r="H383" i="11"/>
  <c r="H399" i="11" s="1"/>
  <c r="J383" i="11"/>
  <c r="J399" i="11" s="1"/>
  <c r="K383" i="11"/>
  <c r="K399" i="11" s="1"/>
  <c r="L383" i="11"/>
  <c r="L399" i="11" s="1"/>
  <c r="B383" i="11"/>
  <c r="B399" i="11" s="1"/>
  <c r="K65" i="11"/>
  <c r="K60" i="11"/>
  <c r="J65" i="11"/>
  <c r="K62" i="11"/>
  <c r="K61" i="11"/>
  <c r="J62" i="11"/>
  <c r="J61" i="11"/>
  <c r="K56" i="11"/>
  <c r="K52" i="11"/>
  <c r="J56" i="11"/>
  <c r="J52" i="11"/>
  <c r="K54" i="11"/>
  <c r="K53" i="11"/>
  <c r="J54" i="11"/>
  <c r="J53" i="11"/>
  <c r="H66" i="11"/>
  <c r="G397" i="11" s="1"/>
  <c r="G66" i="11"/>
  <c r="F397" i="11" s="1"/>
  <c r="G396" i="11"/>
  <c r="F396" i="11"/>
  <c r="H63" i="11"/>
  <c r="G395" i="11" s="1"/>
  <c r="G63" i="11"/>
  <c r="F395" i="11" s="1"/>
  <c r="G394" i="11"/>
  <c r="F394" i="11"/>
  <c r="G393" i="11"/>
  <c r="F393" i="11"/>
  <c r="G392" i="11"/>
  <c r="F392" i="11"/>
  <c r="H57" i="11"/>
  <c r="G390" i="11" s="1"/>
  <c r="G57" i="11"/>
  <c r="F390" i="11" s="1"/>
  <c r="G389" i="11"/>
  <c r="F389" i="11"/>
  <c r="H55" i="11"/>
  <c r="G388" i="11" s="1"/>
  <c r="G55" i="11"/>
  <c r="F388" i="11" s="1"/>
  <c r="G387" i="11"/>
  <c r="F387" i="11"/>
  <c r="G386" i="11"/>
  <c r="F386" i="11"/>
  <c r="G385" i="11"/>
  <c r="F385" i="11"/>
  <c r="C57" i="11"/>
  <c r="C390" i="11" s="1"/>
  <c r="B57" i="11"/>
  <c r="B390" i="11" s="1"/>
  <c r="C66" i="11"/>
  <c r="C397" i="11" s="1"/>
  <c r="B66" i="11"/>
  <c r="B397" i="11" s="1"/>
  <c r="C396" i="11"/>
  <c r="B396" i="11"/>
  <c r="C63" i="11"/>
  <c r="C395" i="11" s="1"/>
  <c r="B63" i="11"/>
  <c r="B395" i="11" s="1"/>
  <c r="C394" i="11"/>
  <c r="B394" i="11"/>
  <c r="C393" i="11"/>
  <c r="B393" i="11"/>
  <c r="C392" i="11"/>
  <c r="B392" i="11"/>
  <c r="C389" i="11"/>
  <c r="B389" i="11"/>
  <c r="C55" i="11"/>
  <c r="C388" i="11" s="1"/>
  <c r="B55" i="11"/>
  <c r="B388" i="11" s="1"/>
  <c r="C387" i="11"/>
  <c r="B387" i="11"/>
  <c r="C386" i="11"/>
  <c r="B386" i="11"/>
  <c r="C385" i="11"/>
  <c r="B385" i="11"/>
  <c r="N44" i="11"/>
  <c r="J43" i="11"/>
  <c r="J42" i="11"/>
  <c r="J41" i="11"/>
  <c r="J40" i="11"/>
  <c r="J38" i="11"/>
  <c r="J37" i="11"/>
  <c r="N36" i="11"/>
  <c r="E36" i="11" s="1"/>
  <c r="J36" i="11"/>
  <c r="N35" i="11"/>
  <c r="E35" i="11" s="1"/>
  <c r="J35" i="11"/>
  <c r="J34" i="11"/>
  <c r="J31" i="11"/>
  <c r="J30" i="11"/>
  <c r="J29" i="11"/>
  <c r="J27" i="11"/>
  <c r="J26" i="11"/>
  <c r="N25" i="11"/>
  <c r="K25" i="11" s="1"/>
  <c r="J25" i="11"/>
  <c r="J22" i="11"/>
  <c r="J8" i="11"/>
  <c r="J20" i="11"/>
  <c r="J19" i="11"/>
  <c r="J18" i="11"/>
  <c r="J15" i="11"/>
  <c r="J14" i="11"/>
  <c r="J13" i="11"/>
  <c r="J11" i="11"/>
  <c r="N10" i="11"/>
  <c r="J10" i="11"/>
  <c r="N9" i="11"/>
  <c r="K9" i="11" s="1"/>
  <c r="J9" i="11"/>
  <c r="N7" i="11"/>
  <c r="E7" i="11" s="1"/>
  <c r="J7" i="11"/>
  <c r="G381" i="11"/>
  <c r="F381" i="11"/>
  <c r="G380" i="11"/>
  <c r="F380" i="11"/>
  <c r="G379" i="11"/>
  <c r="F379" i="11"/>
  <c r="G378" i="11"/>
  <c r="F378" i="11"/>
  <c r="G377" i="11"/>
  <c r="F377" i="11"/>
  <c r="G375" i="11"/>
  <c r="F375" i="11"/>
  <c r="G374" i="11"/>
  <c r="F374" i="11"/>
  <c r="G373" i="11"/>
  <c r="F373" i="11"/>
  <c r="G372" i="11"/>
  <c r="F372" i="11"/>
  <c r="G371" i="11"/>
  <c r="F371" i="11"/>
  <c r="G368" i="11"/>
  <c r="F368" i="11"/>
  <c r="G367" i="11"/>
  <c r="F367" i="11"/>
  <c r="G366" i="11"/>
  <c r="F366" i="11"/>
  <c r="G364" i="11"/>
  <c r="F364" i="11"/>
  <c r="G363" i="11"/>
  <c r="F363" i="11"/>
  <c r="G362" i="11"/>
  <c r="F362" i="11"/>
  <c r="G360" i="11"/>
  <c r="F360" i="11"/>
  <c r="G359" i="11"/>
  <c r="F359" i="11"/>
  <c r="G357" i="11"/>
  <c r="F357" i="11"/>
  <c r="G356" i="11"/>
  <c r="F356" i="11"/>
  <c r="G355" i="11"/>
  <c r="F355" i="11"/>
  <c r="G353" i="11"/>
  <c r="F353" i="11"/>
  <c r="G352" i="11"/>
  <c r="F352" i="11"/>
  <c r="G351" i="11"/>
  <c r="F351" i="11"/>
  <c r="G350" i="11"/>
  <c r="F350" i="11"/>
  <c r="G348" i="11"/>
  <c r="F348" i="11"/>
  <c r="G347" i="11"/>
  <c r="F347" i="11"/>
  <c r="G346" i="11"/>
  <c r="F346" i="11"/>
  <c r="G345" i="11"/>
  <c r="F345" i="11"/>
  <c r="G344" i="11"/>
  <c r="F344" i="11"/>
  <c r="G343" i="11"/>
  <c r="F343" i="11"/>
  <c r="G342" i="11"/>
  <c r="F342" i="11"/>
  <c r="C375" i="11"/>
  <c r="B375" i="11"/>
  <c r="C368" i="11"/>
  <c r="B368" i="11"/>
  <c r="C364" i="11"/>
  <c r="B364" i="11"/>
  <c r="C360" i="11"/>
  <c r="B360" i="11"/>
  <c r="C343" i="11"/>
  <c r="B343" i="11"/>
  <c r="C344" i="11"/>
  <c r="B344" i="11"/>
  <c r="C345" i="11"/>
  <c r="B345" i="11"/>
  <c r="C346" i="11"/>
  <c r="B346" i="11"/>
  <c r="C347" i="11"/>
  <c r="B347" i="11"/>
  <c r="C348" i="11"/>
  <c r="B348" i="11"/>
  <c r="C350" i="11"/>
  <c r="B350" i="11"/>
  <c r="C351" i="11"/>
  <c r="B351" i="11"/>
  <c r="C352" i="11"/>
  <c r="B352" i="11"/>
  <c r="C353" i="11"/>
  <c r="B353" i="11"/>
  <c r="C355" i="11"/>
  <c r="B355" i="11"/>
  <c r="C356" i="11"/>
  <c r="B356" i="11"/>
  <c r="C357" i="11"/>
  <c r="B357" i="11"/>
  <c r="C359" i="11"/>
  <c r="B359" i="11"/>
  <c r="C362" i="11"/>
  <c r="B362" i="11"/>
  <c r="C363" i="11"/>
  <c r="B363" i="11"/>
  <c r="C366" i="11"/>
  <c r="B366" i="11"/>
  <c r="C367" i="11"/>
  <c r="B367" i="11"/>
  <c r="C370" i="11"/>
  <c r="B370" i="11"/>
  <c r="C371" i="11"/>
  <c r="B371" i="11"/>
  <c r="C372" i="11"/>
  <c r="B372" i="11"/>
  <c r="C373" i="11"/>
  <c r="B373" i="11"/>
  <c r="C374" i="11"/>
  <c r="B374" i="11"/>
  <c r="C377" i="11"/>
  <c r="B377" i="11"/>
  <c r="C378" i="11"/>
  <c r="B378" i="11"/>
  <c r="C379" i="11"/>
  <c r="B379" i="11"/>
  <c r="C380" i="11"/>
  <c r="B380" i="11"/>
  <c r="C381" i="11"/>
  <c r="B381" i="11"/>
  <c r="C342" i="11"/>
  <c r="B342" i="11"/>
  <c r="K190" i="11"/>
  <c r="K191" i="11"/>
  <c r="K192" i="11"/>
  <c r="K193" i="11"/>
  <c r="K194" i="11"/>
  <c r="K195" i="11"/>
  <c r="K196" i="11"/>
  <c r="K197" i="11"/>
  <c r="K198" i="11"/>
  <c r="K199" i="11"/>
  <c r="K200" i="11"/>
  <c r="J190" i="11"/>
  <c r="J191" i="11"/>
  <c r="J192" i="11"/>
  <c r="J193" i="11"/>
  <c r="J194" i="11"/>
  <c r="J195" i="11"/>
  <c r="J196" i="11"/>
  <c r="J197" i="11"/>
  <c r="J198" i="11"/>
  <c r="J199" i="11"/>
  <c r="J200" i="11"/>
  <c r="G464" i="11"/>
  <c r="G201" i="11"/>
  <c r="F464" i="11" s="1"/>
  <c r="C464" i="11"/>
  <c r="B464" i="11"/>
  <c r="G463" i="11"/>
  <c r="F463" i="11"/>
  <c r="C463" i="11"/>
  <c r="B463" i="11"/>
  <c r="G462" i="11"/>
  <c r="F462" i="11"/>
  <c r="C462" i="11"/>
  <c r="B462" i="11"/>
  <c r="G461" i="11"/>
  <c r="F461" i="11"/>
  <c r="C461" i="11"/>
  <c r="B461" i="11"/>
  <c r="G460" i="11"/>
  <c r="F460" i="11"/>
  <c r="C460" i="11"/>
  <c r="B460" i="11"/>
  <c r="G459" i="11"/>
  <c r="F459" i="11"/>
  <c r="C459" i="11"/>
  <c r="B459" i="11"/>
  <c r="G458" i="11"/>
  <c r="F458" i="11"/>
  <c r="C458" i="11"/>
  <c r="B458" i="11"/>
  <c r="G457" i="11"/>
  <c r="F457" i="11"/>
  <c r="C457" i="11"/>
  <c r="B457" i="11"/>
  <c r="G456" i="11"/>
  <c r="F456" i="11"/>
  <c r="C456" i="11"/>
  <c r="B456" i="11"/>
  <c r="G455" i="11"/>
  <c r="F455" i="11"/>
  <c r="C455" i="11"/>
  <c r="B455" i="11"/>
  <c r="G454" i="11"/>
  <c r="F454" i="11"/>
  <c r="C454" i="11"/>
  <c r="B454" i="11"/>
  <c r="G453" i="11"/>
  <c r="F453" i="11"/>
  <c r="C453" i="11"/>
  <c r="B453" i="11"/>
  <c r="K189" i="11"/>
  <c r="J189" i="11"/>
  <c r="H189" i="11"/>
  <c r="G189" i="11"/>
  <c r="K174" i="11"/>
  <c r="K176" i="11"/>
  <c r="K177" i="11"/>
  <c r="K178" i="11"/>
  <c r="K179" i="11"/>
  <c r="K180" i="11"/>
  <c r="J174" i="11"/>
  <c r="J176" i="11"/>
  <c r="J177" i="11"/>
  <c r="J178" i="11"/>
  <c r="J179" i="11"/>
  <c r="J180" i="11"/>
  <c r="H181" i="11"/>
  <c r="G450" i="11" s="1"/>
  <c r="F450" i="11"/>
  <c r="C181" i="11"/>
  <c r="C450" i="11" s="1"/>
  <c r="B181" i="11"/>
  <c r="B450" i="11" s="1"/>
  <c r="G449" i="11"/>
  <c r="F449" i="11"/>
  <c r="C449" i="11"/>
  <c r="B449" i="11"/>
  <c r="G448" i="11"/>
  <c r="F448" i="11"/>
  <c r="C448" i="11"/>
  <c r="B448" i="11"/>
  <c r="G447" i="11"/>
  <c r="F447" i="11"/>
  <c r="C447" i="11"/>
  <c r="B447" i="11"/>
  <c r="G446" i="11"/>
  <c r="F446" i="11"/>
  <c r="C446" i="11"/>
  <c r="B446" i="11"/>
  <c r="G445" i="11"/>
  <c r="F445" i="11"/>
  <c r="C445" i="11"/>
  <c r="B445" i="11"/>
  <c r="G443" i="11"/>
  <c r="F443" i="11"/>
  <c r="C443" i="11"/>
  <c r="B443" i="11"/>
  <c r="K171" i="11"/>
  <c r="K170" i="11"/>
  <c r="J171" i="11"/>
  <c r="J170" i="11"/>
  <c r="H172" i="11"/>
  <c r="G441" i="11" s="1"/>
  <c r="F441" i="11"/>
  <c r="C172" i="11"/>
  <c r="C441" i="11" s="1"/>
  <c r="B441" i="11"/>
  <c r="G440" i="11"/>
  <c r="F440" i="11"/>
  <c r="C440" i="11"/>
  <c r="B440" i="11"/>
  <c r="G439" i="11"/>
  <c r="F439" i="11"/>
  <c r="C439" i="11"/>
  <c r="B439" i="11"/>
  <c r="K169" i="11"/>
  <c r="J169" i="11"/>
  <c r="H169" i="11"/>
  <c r="G169" i="11"/>
  <c r="K156" i="11"/>
  <c r="J156" i="11"/>
  <c r="H156" i="11"/>
  <c r="G156" i="11"/>
  <c r="G423" i="11"/>
  <c r="F423" i="11"/>
  <c r="G420" i="11"/>
  <c r="F420" i="11"/>
  <c r="G414" i="11"/>
  <c r="F414" i="11"/>
  <c r="G413" i="11"/>
  <c r="F413" i="11"/>
  <c r="K122" i="11"/>
  <c r="J122" i="11"/>
  <c r="H122" i="11"/>
  <c r="G122" i="11"/>
  <c r="K115" i="11"/>
  <c r="K104" i="11"/>
  <c r="K95" i="11"/>
  <c r="K89" i="11"/>
  <c r="K78" i="11"/>
  <c r="M44" i="11"/>
  <c r="C44" i="11" s="1"/>
  <c r="M43" i="11"/>
  <c r="C43" i="11" s="1"/>
  <c r="M41" i="11"/>
  <c r="C41" i="11" s="1"/>
  <c r="M40" i="11"/>
  <c r="C40" i="11" s="1"/>
  <c r="M38" i="11"/>
  <c r="M37" i="11"/>
  <c r="C37" i="11" s="1"/>
  <c r="M36" i="11"/>
  <c r="C36" i="11" s="1"/>
  <c r="M35" i="11"/>
  <c r="C35" i="11" s="1"/>
  <c r="M34" i="11"/>
  <c r="C34" i="11" s="1"/>
  <c r="N33" i="11"/>
  <c r="K33" i="11" s="1"/>
  <c r="M33" i="11"/>
  <c r="C33" i="11" s="1"/>
  <c r="J33" i="11"/>
  <c r="G370" i="11"/>
  <c r="F370" i="11"/>
  <c r="M31" i="11"/>
  <c r="M30" i="11"/>
  <c r="C30" i="11" s="1"/>
  <c r="M29" i="11"/>
  <c r="C29" i="11" s="1"/>
  <c r="M27" i="11"/>
  <c r="M26" i="11"/>
  <c r="C26" i="11" s="1"/>
  <c r="M25" i="11"/>
  <c r="C25" i="11" s="1"/>
  <c r="M22" i="11"/>
  <c r="M8" i="11"/>
  <c r="M20" i="11"/>
  <c r="C20" i="11" s="1"/>
  <c r="M19" i="11"/>
  <c r="C19" i="11" s="1"/>
  <c r="M18" i="11"/>
  <c r="C18" i="11" s="1"/>
  <c r="M15" i="11"/>
  <c r="C15" i="11" s="1"/>
  <c r="M14" i="11"/>
  <c r="C14" i="11" s="1"/>
  <c r="M13" i="11"/>
  <c r="C13" i="11" s="1"/>
  <c r="M11" i="11"/>
  <c r="C11" i="11" s="1"/>
  <c r="M10" i="11"/>
  <c r="C10" i="11" s="1"/>
  <c r="M9" i="11"/>
  <c r="C9" i="11" s="1"/>
  <c r="M7" i="11"/>
  <c r="C7" i="11" s="1"/>
  <c r="M6" i="11"/>
  <c r="C6" i="11" s="1"/>
  <c r="M5" i="11"/>
  <c r="C5" i="11" s="1"/>
  <c r="A464" i="11"/>
  <c r="A463" i="11"/>
  <c r="A462" i="11"/>
  <c r="A461" i="11"/>
  <c r="A460" i="11"/>
  <c r="A459" i="11"/>
  <c r="A458" i="11"/>
  <c r="A457" i="11"/>
  <c r="A456" i="11"/>
  <c r="A455" i="11"/>
  <c r="A454" i="11"/>
  <c r="A453" i="11"/>
  <c r="A452" i="11"/>
  <c r="A450" i="11"/>
  <c r="A445" i="11"/>
  <c r="A444" i="11"/>
  <c r="A443" i="11"/>
  <c r="A441" i="11"/>
  <c r="A440" i="11"/>
  <c r="A439" i="11"/>
  <c r="A438" i="11"/>
  <c r="A436" i="11"/>
  <c r="A435" i="11"/>
  <c r="A434" i="11"/>
  <c r="A433" i="11"/>
  <c r="A432" i="11"/>
  <c r="A431" i="11"/>
  <c r="A430" i="11"/>
  <c r="A428" i="11"/>
  <c r="A427" i="11"/>
  <c r="A425" i="11"/>
  <c r="A424" i="11"/>
  <c r="A423" i="11"/>
  <c r="A422" i="11"/>
  <c r="A421" i="11"/>
  <c r="A420" i="11"/>
  <c r="A419" i="11"/>
  <c r="A418" i="11"/>
  <c r="A417" i="11"/>
  <c r="A415" i="11"/>
  <c r="A414" i="11"/>
  <c r="A413" i="11"/>
  <c r="A412" i="11"/>
  <c r="A411" i="11"/>
  <c r="A410" i="11"/>
  <c r="A409" i="11"/>
  <c r="A407" i="11"/>
  <c r="A406" i="11"/>
  <c r="A405" i="11"/>
  <c r="A404" i="11"/>
  <c r="A403" i="11"/>
  <c r="A402" i="11"/>
  <c r="A401" i="11"/>
  <c r="A400" i="11"/>
  <c r="A399" i="11"/>
  <c r="A397" i="11"/>
  <c r="A396" i="11"/>
  <c r="A395" i="11"/>
  <c r="A394" i="11"/>
  <c r="A393" i="11"/>
  <c r="A392" i="11"/>
  <c r="A391" i="11"/>
  <c r="A390" i="11"/>
  <c r="A389" i="11"/>
  <c r="A388" i="11"/>
  <c r="A387" i="11"/>
  <c r="A386" i="11"/>
  <c r="A385" i="11"/>
  <c r="A384" i="11"/>
  <c r="A381" i="11"/>
  <c r="A380" i="11"/>
  <c r="A379" i="11"/>
  <c r="A378" i="11"/>
  <c r="A377" i="11"/>
  <c r="A375" i="11"/>
  <c r="A374" i="11"/>
  <c r="A373" i="11"/>
  <c r="A372" i="11"/>
  <c r="A371" i="11"/>
  <c r="A370" i="11"/>
  <c r="A368" i="11"/>
  <c r="A367" i="11"/>
  <c r="A366" i="11"/>
  <c r="A364" i="11"/>
  <c r="A363" i="11"/>
  <c r="A362" i="11"/>
  <c r="A360" i="11"/>
  <c r="A359" i="11"/>
  <c r="A357" i="11"/>
  <c r="A356" i="11"/>
  <c r="A355" i="11"/>
  <c r="A353" i="11"/>
  <c r="A352" i="11"/>
  <c r="A351" i="11"/>
  <c r="A350" i="11"/>
  <c r="A348" i="11"/>
  <c r="A347" i="11"/>
  <c r="A346" i="11"/>
  <c r="A345" i="11"/>
  <c r="A344" i="11"/>
  <c r="A343" i="11"/>
  <c r="A342" i="11"/>
  <c r="A341" i="11"/>
  <c r="C335" i="11"/>
  <c r="D335" i="11"/>
  <c r="E335" i="11"/>
  <c r="F335" i="11"/>
  <c r="G335" i="11"/>
  <c r="H335" i="11"/>
  <c r="B335" i="11"/>
  <c r="C326" i="11"/>
  <c r="D326" i="11"/>
  <c r="E326" i="11"/>
  <c r="F326" i="11"/>
  <c r="G326" i="11"/>
  <c r="H326" i="11"/>
  <c r="B326" i="11"/>
  <c r="C301" i="11"/>
  <c r="C311" i="11" s="1"/>
  <c r="D301" i="11"/>
  <c r="D311" i="11" s="1"/>
  <c r="E301" i="11"/>
  <c r="E311" i="11" s="1"/>
  <c r="F301" i="11"/>
  <c r="F311" i="11" s="1"/>
  <c r="G301" i="11"/>
  <c r="G311" i="11" s="1"/>
  <c r="H301" i="11"/>
  <c r="H311" i="11" s="1"/>
  <c r="I311" i="11"/>
  <c r="B301" i="11"/>
  <c r="B311" i="11" s="1"/>
  <c r="I233" i="11"/>
  <c r="I234" i="11" s="1"/>
  <c r="C310" i="11" s="1"/>
  <c r="H233" i="11"/>
  <c r="H234" i="11" s="1"/>
  <c r="B310" i="11" s="1"/>
  <c r="J233" i="11"/>
  <c r="K233" i="11"/>
  <c r="K234" i="11" s="1"/>
  <c r="E310" i="11" s="1"/>
  <c r="L233" i="11"/>
  <c r="L234" i="11" s="1"/>
  <c r="F310" i="11" s="1"/>
  <c r="M233" i="11"/>
  <c r="N233" i="11"/>
  <c r="N234" i="11" s="1"/>
  <c r="H310" i="11" s="1"/>
  <c r="I238" i="11"/>
  <c r="C312" i="11" s="1"/>
  <c r="J238" i="11"/>
  <c r="D312" i="11" s="1"/>
  <c r="K238" i="11"/>
  <c r="E312" i="11" s="1"/>
  <c r="L238" i="11"/>
  <c r="F312" i="11" s="1"/>
  <c r="M238" i="11"/>
  <c r="G312" i="11" s="1"/>
  <c r="I239" i="11"/>
  <c r="C313" i="11" s="1"/>
  <c r="J239" i="11"/>
  <c r="D313" i="11" s="1"/>
  <c r="K239" i="11"/>
  <c r="E313" i="11" s="1"/>
  <c r="L239" i="11"/>
  <c r="F313" i="11" s="1"/>
  <c r="M239" i="11"/>
  <c r="G313" i="11" s="1"/>
  <c r="I240" i="11"/>
  <c r="C314" i="11" s="1"/>
  <c r="J240" i="11"/>
  <c r="D314" i="11" s="1"/>
  <c r="K240" i="11"/>
  <c r="E314" i="11" s="1"/>
  <c r="L240" i="11"/>
  <c r="F314" i="11" s="1"/>
  <c r="M240" i="11"/>
  <c r="G314" i="11" s="1"/>
  <c r="I241" i="11"/>
  <c r="C315" i="11" s="1"/>
  <c r="J241" i="11"/>
  <c r="D315" i="11" s="1"/>
  <c r="K241" i="11"/>
  <c r="E315" i="11" s="1"/>
  <c r="L241" i="11"/>
  <c r="F315" i="11" s="1"/>
  <c r="M241" i="11"/>
  <c r="G315" i="11" s="1"/>
  <c r="I242" i="11"/>
  <c r="C316" i="11" s="1"/>
  <c r="J242" i="11"/>
  <c r="D316" i="11" s="1"/>
  <c r="K242" i="11"/>
  <c r="E316" i="11" s="1"/>
  <c r="L242" i="11"/>
  <c r="F316" i="11" s="1"/>
  <c r="M242" i="11"/>
  <c r="G316" i="11" s="1"/>
  <c r="I243" i="11"/>
  <c r="C317" i="11" s="1"/>
  <c r="J243" i="11"/>
  <c r="D317" i="11" s="1"/>
  <c r="K243" i="11"/>
  <c r="E317" i="11" s="1"/>
  <c r="L243" i="11"/>
  <c r="F317" i="11" s="1"/>
  <c r="M243" i="11"/>
  <c r="G317" i="11" s="1"/>
  <c r="N239" i="11"/>
  <c r="H313" i="11" s="1"/>
  <c r="N240" i="11"/>
  <c r="H314" i="11" s="1"/>
  <c r="N241" i="11"/>
  <c r="H315" i="11" s="1"/>
  <c r="N242" i="11"/>
  <c r="H316" i="11" s="1"/>
  <c r="N243" i="11"/>
  <c r="H317" i="11" s="1"/>
  <c r="N238" i="11"/>
  <c r="H312" i="11" s="1"/>
  <c r="I223" i="11"/>
  <c r="C300" i="11" s="1"/>
  <c r="J223" i="11"/>
  <c r="D300" i="11" s="1"/>
  <c r="K223" i="11"/>
  <c r="E300" i="11" s="1"/>
  <c r="L223" i="11"/>
  <c r="F300" i="11" s="1"/>
  <c r="M223" i="11"/>
  <c r="G300" i="11" s="1"/>
  <c r="N223" i="11"/>
  <c r="H300" i="11" s="1"/>
  <c r="H223" i="11"/>
  <c r="B300" i="11" s="1"/>
  <c r="A286" i="11"/>
  <c r="A287" i="11"/>
  <c r="A288" i="11"/>
  <c r="A289" i="11"/>
  <c r="A290" i="11"/>
  <c r="A292" i="11"/>
  <c r="A293" i="11"/>
  <c r="A294" i="11"/>
  <c r="A295" i="11"/>
  <c r="A296" i="11"/>
  <c r="A297"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B327" i="11"/>
  <c r="C327" i="11"/>
  <c r="D327" i="11"/>
  <c r="E327" i="11"/>
  <c r="F327" i="11"/>
  <c r="G327" i="11"/>
  <c r="N255" i="11"/>
  <c r="H327" i="11" s="1"/>
  <c r="B328" i="11"/>
  <c r="C328" i="11"/>
  <c r="D328" i="11"/>
  <c r="E328" i="11"/>
  <c r="F328" i="11"/>
  <c r="G328" i="11"/>
  <c r="N256" i="11"/>
  <c r="H328" i="11" s="1"/>
  <c r="B329" i="11"/>
  <c r="C329" i="11"/>
  <c r="D329" i="11"/>
  <c r="E329" i="11"/>
  <c r="F329" i="11"/>
  <c r="G329" i="11"/>
  <c r="N257" i="11"/>
  <c r="H329" i="11" s="1"/>
  <c r="B330" i="11"/>
  <c r="C330" i="11"/>
  <c r="D330" i="11"/>
  <c r="E330" i="11"/>
  <c r="F330" i="11"/>
  <c r="G330" i="11"/>
  <c r="H330" i="11"/>
  <c r="B331" i="11"/>
  <c r="C331" i="11"/>
  <c r="D331" i="11"/>
  <c r="E331" i="11"/>
  <c r="F331" i="11"/>
  <c r="G331" i="11"/>
  <c r="N259" i="11"/>
  <c r="H331" i="11" s="1"/>
  <c r="B332" i="11"/>
  <c r="C332" i="11"/>
  <c r="D332" i="11"/>
  <c r="E332" i="11"/>
  <c r="F332" i="11"/>
  <c r="G332" i="11"/>
  <c r="H332" i="11"/>
  <c r="H261" i="11"/>
  <c r="B333" i="11" s="1"/>
  <c r="I261" i="11"/>
  <c r="C333" i="11" s="1"/>
  <c r="J261" i="11"/>
  <c r="D333" i="11" s="1"/>
  <c r="K261" i="11"/>
  <c r="E333" i="11" s="1"/>
  <c r="L261" i="11"/>
  <c r="F333" i="11" s="1"/>
  <c r="M261" i="11"/>
  <c r="G333" i="11" s="1"/>
  <c r="N261" i="11"/>
  <c r="H333" i="11" s="1"/>
  <c r="H262" i="11"/>
  <c r="B334" i="11" s="1"/>
  <c r="I262" i="11"/>
  <c r="C334" i="11" s="1"/>
  <c r="J262" i="11"/>
  <c r="D334" i="11" s="1"/>
  <c r="K262" i="11"/>
  <c r="E334" i="11" s="1"/>
  <c r="L262" i="11"/>
  <c r="F334" i="11" s="1"/>
  <c r="M262" i="11"/>
  <c r="G334" i="11" s="1"/>
  <c r="N262" i="11"/>
  <c r="H334" i="11" s="1"/>
  <c r="B336" i="11"/>
  <c r="C336" i="11"/>
  <c r="D336" i="11"/>
  <c r="E336" i="11"/>
  <c r="F336" i="11"/>
  <c r="G336" i="11"/>
  <c r="H336" i="11"/>
  <c r="B337" i="11"/>
  <c r="C337" i="11"/>
  <c r="D337" i="11"/>
  <c r="E337" i="11"/>
  <c r="F337" i="11"/>
  <c r="G337" i="11"/>
  <c r="H337" i="11"/>
  <c r="B338" i="11"/>
  <c r="C338" i="11"/>
  <c r="D338" i="11"/>
  <c r="E338" i="11"/>
  <c r="F338" i="11"/>
  <c r="G338" i="11"/>
  <c r="H338" i="11"/>
  <c r="B286" i="11"/>
  <c r="C286" i="11"/>
  <c r="D286" i="11"/>
  <c r="E286" i="11"/>
  <c r="F286" i="11"/>
  <c r="G286" i="11"/>
  <c r="H286" i="11"/>
  <c r="B287" i="11"/>
  <c r="C287" i="11"/>
  <c r="D287" i="11"/>
  <c r="E287" i="11"/>
  <c r="F287" i="11"/>
  <c r="G287" i="11"/>
  <c r="H287" i="11"/>
  <c r="B288" i="11"/>
  <c r="C288" i="11"/>
  <c r="D288" i="11"/>
  <c r="E288" i="11"/>
  <c r="F288" i="11"/>
  <c r="G288" i="11"/>
  <c r="H288" i="11"/>
  <c r="B289" i="11"/>
  <c r="C289" i="11"/>
  <c r="D289" i="11"/>
  <c r="E289" i="11"/>
  <c r="F289" i="11"/>
  <c r="G289" i="11"/>
  <c r="H289" i="11"/>
  <c r="B290" i="11"/>
  <c r="C290" i="11"/>
  <c r="D290" i="11"/>
  <c r="E290" i="11"/>
  <c r="F290" i="11"/>
  <c r="G290" i="11"/>
  <c r="H290" i="11"/>
  <c r="H213" i="11"/>
  <c r="B292" i="11" s="1"/>
  <c r="I213" i="11"/>
  <c r="C292" i="11" s="1"/>
  <c r="J213" i="11"/>
  <c r="D292" i="11" s="1"/>
  <c r="K213" i="11"/>
  <c r="E292" i="11" s="1"/>
  <c r="L213" i="11"/>
  <c r="F292" i="11" s="1"/>
  <c r="M213" i="11"/>
  <c r="G292" i="11" s="1"/>
  <c r="N213" i="11"/>
  <c r="H292" i="11" s="1"/>
  <c r="H214" i="11"/>
  <c r="B293" i="11" s="1"/>
  <c r="I214" i="11"/>
  <c r="C293" i="11" s="1"/>
  <c r="J214" i="11"/>
  <c r="D293" i="11" s="1"/>
  <c r="K214" i="11"/>
  <c r="E293" i="11" s="1"/>
  <c r="L214" i="11"/>
  <c r="F293" i="11" s="1"/>
  <c r="M214" i="11"/>
  <c r="G293" i="11" s="1"/>
  <c r="N214" i="11"/>
  <c r="H293" i="11" s="1"/>
  <c r="B294" i="11"/>
  <c r="C294" i="11"/>
  <c r="D294" i="11"/>
  <c r="E294" i="11"/>
  <c r="F294" i="11"/>
  <c r="G294" i="11"/>
  <c r="N215" i="11"/>
  <c r="H294" i="11" s="1"/>
  <c r="B295" i="11"/>
  <c r="C295" i="11"/>
  <c r="D295" i="11"/>
  <c r="E295" i="11"/>
  <c r="F295" i="11"/>
  <c r="G295" i="11"/>
  <c r="N216" i="11"/>
  <c r="H295" i="11" s="1"/>
  <c r="B296" i="11"/>
  <c r="C296" i="11"/>
  <c r="D296" i="11"/>
  <c r="E296" i="11"/>
  <c r="F296" i="11"/>
  <c r="G296" i="11"/>
  <c r="N217" i="11"/>
  <c r="H296" i="11" s="1"/>
  <c r="B297" i="11"/>
  <c r="C297" i="11"/>
  <c r="D297" i="11"/>
  <c r="E297" i="11"/>
  <c r="F297" i="11"/>
  <c r="G297" i="11"/>
  <c r="N218" i="11"/>
  <c r="H297" i="11" s="1"/>
  <c r="B299" i="11"/>
  <c r="C299" i="11"/>
  <c r="D299" i="11"/>
  <c r="E299" i="11"/>
  <c r="F299" i="11"/>
  <c r="G299" i="11"/>
  <c r="H299" i="11"/>
  <c r="H225" i="11"/>
  <c r="I225" i="11"/>
  <c r="J225" i="11"/>
  <c r="K225" i="11"/>
  <c r="L225" i="11"/>
  <c r="M225" i="11"/>
  <c r="N225" i="11"/>
  <c r="B302" i="11"/>
  <c r="C302" i="11"/>
  <c r="D302" i="11"/>
  <c r="E302" i="11"/>
  <c r="F302" i="11"/>
  <c r="G302" i="11"/>
  <c r="H302" i="11"/>
  <c r="B303" i="11"/>
  <c r="C303" i="11"/>
  <c r="D303" i="11"/>
  <c r="E303" i="11"/>
  <c r="F303" i="11"/>
  <c r="G303" i="11"/>
  <c r="H303" i="11"/>
  <c r="B304" i="11"/>
  <c r="C304" i="11"/>
  <c r="D304" i="11"/>
  <c r="E304" i="11"/>
  <c r="F304" i="11"/>
  <c r="G304" i="11"/>
  <c r="H304" i="11"/>
  <c r="B305" i="11"/>
  <c r="C305" i="11"/>
  <c r="D305" i="11"/>
  <c r="E305" i="11"/>
  <c r="F305" i="11"/>
  <c r="G305" i="11"/>
  <c r="H305" i="11"/>
  <c r="B306" i="11"/>
  <c r="C306" i="11"/>
  <c r="D306" i="11"/>
  <c r="E306" i="11"/>
  <c r="F306" i="11"/>
  <c r="G306" i="11"/>
  <c r="H306" i="11"/>
  <c r="B307" i="11"/>
  <c r="C307" i="11"/>
  <c r="D307" i="11"/>
  <c r="E307" i="11"/>
  <c r="F307" i="11"/>
  <c r="G307" i="11"/>
  <c r="H307" i="11"/>
  <c r="B308" i="11"/>
  <c r="C308" i="11"/>
  <c r="D308" i="11"/>
  <c r="E308" i="11"/>
  <c r="F308" i="11"/>
  <c r="G308" i="11"/>
  <c r="H308" i="11"/>
  <c r="I246" i="11"/>
  <c r="C319" i="11" s="1"/>
  <c r="J246" i="11"/>
  <c r="D319" i="11" s="1"/>
  <c r="K246" i="11"/>
  <c r="E319" i="11" s="1"/>
  <c r="L246" i="11"/>
  <c r="F319" i="11" s="1"/>
  <c r="M246" i="11"/>
  <c r="G319" i="11" s="1"/>
  <c r="N246" i="11"/>
  <c r="H319" i="11" s="1"/>
  <c r="I247" i="11"/>
  <c r="C320" i="11" s="1"/>
  <c r="J247" i="11"/>
  <c r="D320" i="11" s="1"/>
  <c r="K247" i="11"/>
  <c r="E320" i="11" s="1"/>
  <c r="L247" i="11"/>
  <c r="F320" i="11" s="1"/>
  <c r="M247" i="11"/>
  <c r="G320" i="11" s="1"/>
  <c r="N247" i="11"/>
  <c r="H320" i="11" s="1"/>
  <c r="I248" i="11"/>
  <c r="C321" i="11" s="1"/>
  <c r="J248" i="11"/>
  <c r="D321" i="11" s="1"/>
  <c r="K248" i="11"/>
  <c r="E321" i="11" s="1"/>
  <c r="L248" i="11"/>
  <c r="F321" i="11" s="1"/>
  <c r="M248" i="11"/>
  <c r="G321" i="11" s="1"/>
  <c r="N248" i="11"/>
  <c r="H321" i="11" s="1"/>
  <c r="I249" i="11"/>
  <c r="C322" i="11" s="1"/>
  <c r="J249" i="11"/>
  <c r="D322" i="11" s="1"/>
  <c r="K249" i="11"/>
  <c r="E322" i="11" s="1"/>
  <c r="L249" i="11"/>
  <c r="F322" i="11" s="1"/>
  <c r="M249" i="11"/>
  <c r="G322" i="11" s="1"/>
  <c r="N249" i="11"/>
  <c r="H322" i="11" s="1"/>
  <c r="I250" i="11"/>
  <c r="C323" i="11" s="1"/>
  <c r="J250" i="11"/>
  <c r="D323" i="11" s="1"/>
  <c r="K250" i="11"/>
  <c r="E323" i="11" s="1"/>
  <c r="L250" i="11"/>
  <c r="F323" i="11" s="1"/>
  <c r="M250" i="11"/>
  <c r="G323" i="11" s="1"/>
  <c r="N250" i="11"/>
  <c r="H323" i="11" s="1"/>
  <c r="I251" i="11"/>
  <c r="C324" i="11" s="1"/>
  <c r="J251" i="11"/>
  <c r="D324" i="11" s="1"/>
  <c r="K251" i="11"/>
  <c r="E324" i="11" s="1"/>
  <c r="L251" i="11"/>
  <c r="F324" i="11" s="1"/>
  <c r="M251" i="11"/>
  <c r="G324" i="11" s="1"/>
  <c r="N251" i="11"/>
  <c r="H324" i="11" s="1"/>
  <c r="C285" i="11"/>
  <c r="D285" i="11"/>
  <c r="E285" i="11"/>
  <c r="F285" i="11"/>
  <c r="G285" i="11"/>
  <c r="H285" i="11"/>
  <c r="B285" i="11"/>
  <c r="A285" i="11"/>
  <c r="D329" i="14"/>
  <c r="C329" i="14"/>
  <c r="N20" i="11"/>
  <c r="N40" i="11"/>
  <c r="E40" i="11" s="1"/>
  <c r="P24" i="16"/>
  <c r="P22" i="16"/>
  <c r="I134" i="14"/>
  <c r="H134" i="14"/>
  <c r="O226" i="11"/>
  <c r="O229" i="11"/>
  <c r="Q229" i="11" s="1"/>
  <c r="O230" i="11"/>
  <c r="Q230" i="11" s="1"/>
  <c r="C233" i="11"/>
  <c r="C234" i="11" s="1"/>
  <c r="F112" i="14"/>
  <c r="C118" i="14" s="1"/>
  <c r="F115" i="14"/>
  <c r="D120" i="14" s="1"/>
  <c r="F111" i="14"/>
  <c r="C117" i="14" s="1"/>
  <c r="F114" i="14"/>
  <c r="C120" i="14" s="1"/>
  <c r="F113" i="14"/>
  <c r="F110" i="14"/>
  <c r="H142" i="14"/>
  <c r="H141" i="14"/>
  <c r="H140" i="14"/>
  <c r="H139" i="14"/>
  <c r="H138" i="14"/>
  <c r="H137" i="14"/>
  <c r="H136" i="14"/>
  <c r="H135" i="14"/>
  <c r="I142" i="14"/>
  <c r="I141" i="14"/>
  <c r="I140" i="14"/>
  <c r="I139" i="14"/>
  <c r="I138" i="14"/>
  <c r="I137" i="14"/>
  <c r="I136" i="14"/>
  <c r="I135" i="14"/>
  <c r="O210" i="11"/>
  <c r="O207" i="11"/>
  <c r="U207" i="11" s="1"/>
  <c r="O228" i="11"/>
  <c r="O225" i="11"/>
  <c r="O231" i="11"/>
  <c r="O251" i="11" s="1"/>
  <c r="T207" i="11"/>
  <c r="T208" i="11"/>
  <c r="T209" i="11"/>
  <c r="T210" i="11"/>
  <c r="T211" i="11"/>
  <c r="T206" i="11"/>
  <c r="P207" i="11"/>
  <c r="P208" i="11"/>
  <c r="P209" i="11"/>
  <c r="P210" i="11"/>
  <c r="P211" i="11"/>
  <c r="P206" i="11"/>
  <c r="J28" i="11"/>
  <c r="N28" i="11"/>
  <c r="K28" i="11" s="1"/>
  <c r="J32" i="11"/>
  <c r="N32" i="11"/>
  <c r="K32" i="11" s="1"/>
  <c r="J39" i="11"/>
  <c r="N39" i="11"/>
  <c r="K39" i="11" s="1"/>
  <c r="I98" i="14"/>
  <c r="BH51" i="14" s="1"/>
  <c r="H84" i="14"/>
  <c r="BH48" i="14" s="1"/>
  <c r="I82" i="14"/>
  <c r="BE76" i="14"/>
  <c r="H85" i="14"/>
  <c r="I84" i="14"/>
  <c r="BG51" i="14"/>
  <c r="BG50" i="14"/>
  <c r="BG49" i="14"/>
  <c r="BG48" i="14"/>
  <c r="BG47" i="14"/>
  <c r="BG46" i="14"/>
  <c r="BF51" i="14"/>
  <c r="BF50" i="14"/>
  <c r="BF49" i="14"/>
  <c r="BF48" i="14"/>
  <c r="BF47" i="14"/>
  <c r="BF46" i="14"/>
  <c r="G232" i="14"/>
  <c r="AR6" i="14"/>
  <c r="AS6" i="14"/>
  <c r="AR7" i="14"/>
  <c r="AS7" i="14"/>
  <c r="AR8" i="14"/>
  <c r="AS8" i="14"/>
  <c r="AS5" i="14"/>
  <c r="AR5" i="14"/>
  <c r="AB11" i="14"/>
  <c r="AC11" i="14"/>
  <c r="AD11" i="14"/>
  <c r="AE11" i="14"/>
  <c r="AF11" i="14"/>
  <c r="AG11" i="14"/>
  <c r="AH11" i="14"/>
  <c r="AI11" i="14"/>
  <c r="AA11" i="14"/>
  <c r="C273" i="14"/>
  <c r="C262" i="14"/>
  <c r="C261" i="14"/>
  <c r="Q47" i="14"/>
  <c r="AB99" i="14" s="1"/>
  <c r="R47" i="14"/>
  <c r="AC99" i="14" s="1"/>
  <c r="S47" i="14"/>
  <c r="AD99" i="14" s="1"/>
  <c r="T47" i="14"/>
  <c r="AE99" i="14" s="1"/>
  <c r="U47" i="14"/>
  <c r="AF99" i="14" s="1"/>
  <c r="V47" i="14"/>
  <c r="AG99" i="14" s="1"/>
  <c r="W47" i="14"/>
  <c r="AH99" i="14" s="1"/>
  <c r="X47" i="14"/>
  <c r="AI99" i="14" s="1"/>
  <c r="P47" i="14"/>
  <c r="AA99" i="14" s="1"/>
  <c r="Z98" i="14"/>
  <c r="Q96" i="14"/>
  <c r="P96" i="14"/>
  <c r="X72" i="14"/>
  <c r="AI100" i="14" s="1"/>
  <c r="W72" i="14"/>
  <c r="AH100" i="14" s="1"/>
  <c r="V72" i="14"/>
  <c r="AG100" i="14" s="1"/>
  <c r="U72" i="14"/>
  <c r="AF100" i="14" s="1"/>
  <c r="T72" i="14"/>
  <c r="AE100" i="14" s="1"/>
  <c r="S72" i="14"/>
  <c r="AD100" i="14" s="1"/>
  <c r="R72" i="14"/>
  <c r="AC100" i="14" s="1"/>
  <c r="Q72" i="14"/>
  <c r="AB100" i="14" s="1"/>
  <c r="P72" i="14"/>
  <c r="AA100" i="14" s="1"/>
  <c r="K255" i="14"/>
  <c r="K246" i="14"/>
  <c r="K253" i="14" s="1"/>
  <c r="C253" i="14"/>
  <c r="D255" i="14"/>
  <c r="D254" i="14"/>
  <c r="D242" i="14"/>
  <c r="D246" i="14"/>
  <c r="D244" i="14"/>
  <c r="D231" i="14"/>
  <c r="E231" i="14"/>
  <c r="C231" i="14"/>
  <c r="G231" i="14" s="1"/>
  <c r="D230" i="14"/>
  <c r="E230" i="14"/>
  <c r="C230" i="14"/>
  <c r="E223" i="14"/>
  <c r="E224" i="14"/>
  <c r="E222" i="14"/>
  <c r="G216" i="14"/>
  <c r="H216" i="14"/>
  <c r="F216" i="14"/>
  <c r="Z93" i="14"/>
  <c r="T62" i="14"/>
  <c r="AE95" i="14" s="1"/>
  <c r="X62" i="14"/>
  <c r="AI95" i="14" s="1"/>
  <c r="W62" i="14"/>
  <c r="AH95" i="14" s="1"/>
  <c r="V62" i="14"/>
  <c r="AG95" i="14" s="1"/>
  <c r="U62" i="14"/>
  <c r="AF95" i="14" s="1"/>
  <c r="S62" i="14"/>
  <c r="AD95" i="14" s="1"/>
  <c r="R62" i="14"/>
  <c r="AC95" i="14" s="1"/>
  <c r="Q62" i="14"/>
  <c r="AB95" i="14" s="1"/>
  <c r="P62" i="14"/>
  <c r="AA95" i="14" s="1"/>
  <c r="Q37" i="14"/>
  <c r="AB94" i="14" s="1"/>
  <c r="R37" i="14"/>
  <c r="AC94" i="14" s="1"/>
  <c r="S37" i="14"/>
  <c r="AD94" i="14" s="1"/>
  <c r="T37" i="14"/>
  <c r="AE94" i="14" s="1"/>
  <c r="U37" i="14"/>
  <c r="AF94" i="14" s="1"/>
  <c r="V37" i="14"/>
  <c r="AG94" i="14" s="1"/>
  <c r="W37" i="14"/>
  <c r="AH94" i="14" s="1"/>
  <c r="X37" i="14"/>
  <c r="AI94" i="14" s="1"/>
  <c r="P37" i="14"/>
  <c r="AA94" i="14" s="1"/>
  <c r="D156" i="14"/>
  <c r="E156" i="14"/>
  <c r="C156" i="14"/>
  <c r="D154" i="14"/>
  <c r="E154" i="14"/>
  <c r="C154" i="14"/>
  <c r="B158" i="14"/>
  <c r="B159" i="14"/>
  <c r="B160" i="14"/>
  <c r="B161" i="14"/>
  <c r="B163" i="14"/>
  <c r="B164" i="14"/>
  <c r="B165" i="14"/>
  <c r="B166" i="14"/>
  <c r="B167" i="14"/>
  <c r="B177" i="14"/>
  <c r="C157" i="14"/>
  <c r="D157" i="14"/>
  <c r="E157" i="14"/>
  <c r="B149" i="14"/>
  <c r="B176" i="14" s="1"/>
  <c r="E143" i="14"/>
  <c r="E169" i="14" s="1"/>
  <c r="D143" i="14"/>
  <c r="D169" i="14" s="1"/>
  <c r="B152" i="14"/>
  <c r="B179" i="14" s="1"/>
  <c r="B153" i="14"/>
  <c r="B180" i="14" s="1"/>
  <c r="B145" i="14"/>
  <c r="B171" i="14" s="1"/>
  <c r="B146" i="14"/>
  <c r="B172" i="14" s="1"/>
  <c r="B147" i="14"/>
  <c r="B173" i="14" s="1"/>
  <c r="B148" i="14"/>
  <c r="B175" i="14" s="1"/>
  <c r="B151" i="14"/>
  <c r="B178" i="14" s="1"/>
  <c r="B144" i="14"/>
  <c r="B170" i="14" s="1"/>
  <c r="C134" i="14"/>
  <c r="C158" i="14" s="1"/>
  <c r="D134" i="14"/>
  <c r="E134" i="14"/>
  <c r="C135" i="14"/>
  <c r="D135" i="14"/>
  <c r="D159" i="14" s="1"/>
  <c r="E135" i="14"/>
  <c r="C136" i="14"/>
  <c r="C160" i="14" s="1"/>
  <c r="D136" i="14"/>
  <c r="D160" i="14" s="1"/>
  <c r="E136" i="14"/>
  <c r="E160" i="14" s="1"/>
  <c r="C137" i="14"/>
  <c r="C161" i="14" s="1"/>
  <c r="D137" i="14"/>
  <c r="D161" i="14" s="1"/>
  <c r="E137" i="14"/>
  <c r="C138" i="14"/>
  <c r="D138" i="14"/>
  <c r="D163" i="14" s="1"/>
  <c r="E138" i="14"/>
  <c r="C139" i="14"/>
  <c r="C164" i="14" s="1"/>
  <c r="D139" i="14"/>
  <c r="D164" i="14" s="1"/>
  <c r="E139" i="14"/>
  <c r="E164" i="14" s="1"/>
  <c r="C140" i="14"/>
  <c r="C165" i="14" s="1"/>
  <c r="D140" i="14"/>
  <c r="E140" i="14"/>
  <c r="E165" i="14" s="1"/>
  <c r="C141" i="14"/>
  <c r="C166" i="14" s="1"/>
  <c r="D141" i="14"/>
  <c r="D166" i="14" s="1"/>
  <c r="E141" i="14"/>
  <c r="E166" i="14" s="1"/>
  <c r="C142" i="14"/>
  <c r="C167" i="14" s="1"/>
  <c r="D142" i="14"/>
  <c r="D167" i="14" s="1"/>
  <c r="E142" i="14"/>
  <c r="X58" i="14"/>
  <c r="AI35" i="14" s="1"/>
  <c r="D130" i="14"/>
  <c r="C261" i="11"/>
  <c r="C262" i="11"/>
  <c r="B262" i="11"/>
  <c r="B261" i="11"/>
  <c r="B111" i="14"/>
  <c r="B112" i="14"/>
  <c r="B113" i="14"/>
  <c r="B114" i="14"/>
  <c r="B115" i="14"/>
  <c r="B110" i="14"/>
  <c r="Z88" i="14"/>
  <c r="Z83" i="14"/>
  <c r="Z78" i="14"/>
  <c r="Z73" i="14"/>
  <c r="Z68" i="14"/>
  <c r="Z63" i="14"/>
  <c r="Z58" i="14"/>
  <c r="Z53" i="14"/>
  <c r="Z48" i="14"/>
  <c r="Z43" i="14"/>
  <c r="Z38" i="14"/>
  <c r="Z33" i="14"/>
  <c r="X81" i="14"/>
  <c r="W81" i="14"/>
  <c r="V81" i="14"/>
  <c r="U81" i="14"/>
  <c r="T81" i="14"/>
  <c r="S81" i="14"/>
  <c r="R81" i="14"/>
  <c r="Q81" i="14"/>
  <c r="P81" i="14"/>
  <c r="O81" i="14"/>
  <c r="N81" i="14"/>
  <c r="Z71" i="14" s="1"/>
  <c r="X76" i="14"/>
  <c r="AI90" i="14" s="1"/>
  <c r="W76" i="14"/>
  <c r="AH90" i="14" s="1"/>
  <c r="V76" i="14"/>
  <c r="AG90" i="14" s="1"/>
  <c r="U76" i="14"/>
  <c r="AF90" i="14" s="1"/>
  <c r="T76" i="14"/>
  <c r="AE90" i="14" s="1"/>
  <c r="S76" i="14"/>
  <c r="AD90" i="14" s="1"/>
  <c r="R76" i="14"/>
  <c r="AC90" i="14" s="1"/>
  <c r="Q76" i="14"/>
  <c r="AB90" i="14" s="1"/>
  <c r="P76" i="14"/>
  <c r="AA90" i="14" s="1"/>
  <c r="X75" i="14"/>
  <c r="AI85" i="14" s="1"/>
  <c r="W75" i="14"/>
  <c r="AH85" i="14" s="1"/>
  <c r="V75" i="14"/>
  <c r="AG85" i="14" s="1"/>
  <c r="U75" i="14"/>
  <c r="AF85" i="14" s="1"/>
  <c r="T75" i="14"/>
  <c r="AE85" i="14" s="1"/>
  <c r="S75" i="14"/>
  <c r="AD85" i="14" s="1"/>
  <c r="R75" i="14"/>
  <c r="AC85" i="14" s="1"/>
  <c r="Q75" i="14"/>
  <c r="AB85" i="14" s="1"/>
  <c r="P75" i="14"/>
  <c r="AA85" i="14" s="1"/>
  <c r="X74" i="14"/>
  <c r="AI80" i="14" s="1"/>
  <c r="W74" i="14"/>
  <c r="AH80" i="14" s="1"/>
  <c r="V74" i="14"/>
  <c r="AG80" i="14" s="1"/>
  <c r="U74" i="14"/>
  <c r="AF80" i="14" s="1"/>
  <c r="T74" i="14"/>
  <c r="AE80" i="14" s="1"/>
  <c r="S74" i="14"/>
  <c r="AD80" i="14" s="1"/>
  <c r="R74" i="14"/>
  <c r="AC80" i="14" s="1"/>
  <c r="Q74" i="14"/>
  <c r="AB80" i="14" s="1"/>
  <c r="P74" i="14"/>
  <c r="AA80" i="14" s="1"/>
  <c r="O74" i="14"/>
  <c r="X71" i="14"/>
  <c r="AI75" i="14" s="1"/>
  <c r="W71" i="14"/>
  <c r="AH75" i="14" s="1"/>
  <c r="V71" i="14"/>
  <c r="AG75" i="14" s="1"/>
  <c r="U71" i="14"/>
  <c r="AF75" i="14" s="1"/>
  <c r="T71" i="14"/>
  <c r="AE75" i="14" s="1"/>
  <c r="S71" i="14"/>
  <c r="AD75" i="14" s="1"/>
  <c r="R71" i="14"/>
  <c r="AC75" i="14" s="1"/>
  <c r="Q71" i="14"/>
  <c r="AB75" i="14" s="1"/>
  <c r="P71" i="14"/>
  <c r="AA75" i="14" s="1"/>
  <c r="O71" i="14"/>
  <c r="X67" i="14"/>
  <c r="AI70" i="14" s="1"/>
  <c r="W67" i="14"/>
  <c r="AH70" i="14" s="1"/>
  <c r="V67" i="14"/>
  <c r="AG70" i="14" s="1"/>
  <c r="U67" i="14"/>
  <c r="AF70" i="14" s="1"/>
  <c r="T67" i="14"/>
  <c r="AE70" i="14" s="1"/>
  <c r="S67" i="14"/>
  <c r="AD70" i="14" s="1"/>
  <c r="R67" i="14"/>
  <c r="AC70" i="14" s="1"/>
  <c r="Q67" i="14"/>
  <c r="AB70" i="14" s="1"/>
  <c r="P67" i="14"/>
  <c r="AA70" i="14" s="1"/>
  <c r="X66" i="14"/>
  <c r="AI65" i="14" s="1"/>
  <c r="W66" i="14"/>
  <c r="AH65" i="14" s="1"/>
  <c r="V66" i="14"/>
  <c r="AG65" i="14" s="1"/>
  <c r="U66" i="14"/>
  <c r="AF65" i="14" s="1"/>
  <c r="T66" i="14"/>
  <c r="AE65" i="14" s="1"/>
  <c r="S66" i="14"/>
  <c r="AD65" i="14" s="1"/>
  <c r="R66" i="14"/>
  <c r="AC65" i="14" s="1"/>
  <c r="Q66" i="14"/>
  <c r="AB65" i="14" s="1"/>
  <c r="P66" i="14"/>
  <c r="AA65" i="14" s="1"/>
  <c r="O66" i="14"/>
  <c r="X65" i="14"/>
  <c r="AI60" i="14" s="1"/>
  <c r="W65" i="14"/>
  <c r="AH60" i="14" s="1"/>
  <c r="V65" i="14"/>
  <c r="AG60" i="14" s="1"/>
  <c r="U65" i="14"/>
  <c r="AF60" i="14" s="1"/>
  <c r="T65" i="14"/>
  <c r="AE60" i="14" s="1"/>
  <c r="S65" i="14"/>
  <c r="AD60" i="14" s="1"/>
  <c r="R65" i="14"/>
  <c r="AC60" i="14" s="1"/>
  <c r="Q65" i="14"/>
  <c r="AB60" i="14" s="1"/>
  <c r="P65" i="14"/>
  <c r="AA60" i="14" s="1"/>
  <c r="O65" i="14"/>
  <c r="X64" i="14"/>
  <c r="AI55" i="14" s="1"/>
  <c r="W64" i="14"/>
  <c r="AH55" i="14" s="1"/>
  <c r="V64" i="14"/>
  <c r="AG55" i="14" s="1"/>
  <c r="U64" i="14"/>
  <c r="AF55" i="14" s="1"/>
  <c r="T64" i="14"/>
  <c r="AE55" i="14" s="1"/>
  <c r="S64" i="14"/>
  <c r="AD55" i="14" s="1"/>
  <c r="R64" i="14"/>
  <c r="AC55" i="14" s="1"/>
  <c r="Q64" i="14"/>
  <c r="AB55" i="14" s="1"/>
  <c r="P64" i="14"/>
  <c r="AA55" i="14" s="1"/>
  <c r="O64" i="14"/>
  <c r="X61" i="14"/>
  <c r="AI50" i="14" s="1"/>
  <c r="W61" i="14"/>
  <c r="AH50" i="14" s="1"/>
  <c r="V61" i="14"/>
  <c r="AG50" i="14" s="1"/>
  <c r="U61" i="14"/>
  <c r="AF50" i="14" s="1"/>
  <c r="T61" i="14"/>
  <c r="AE50" i="14" s="1"/>
  <c r="S61" i="14"/>
  <c r="AD50" i="14" s="1"/>
  <c r="R61" i="14"/>
  <c r="AC50" i="14" s="1"/>
  <c r="Q61" i="14"/>
  <c r="AB50" i="14" s="1"/>
  <c r="P61" i="14"/>
  <c r="AA50" i="14" s="1"/>
  <c r="X60" i="14"/>
  <c r="AI45" i="14" s="1"/>
  <c r="W60" i="14"/>
  <c r="AH45" i="14" s="1"/>
  <c r="V60" i="14"/>
  <c r="AG45" i="14" s="1"/>
  <c r="U60" i="14"/>
  <c r="AF45" i="14" s="1"/>
  <c r="T60" i="14"/>
  <c r="AE45" i="14" s="1"/>
  <c r="S60" i="14"/>
  <c r="AD45" i="14" s="1"/>
  <c r="R60" i="14"/>
  <c r="AC45" i="14" s="1"/>
  <c r="Q60" i="14"/>
  <c r="AB45" i="14" s="1"/>
  <c r="P60" i="14"/>
  <c r="AA45" i="14" s="1"/>
  <c r="X59" i="14"/>
  <c r="AI40" i="14" s="1"/>
  <c r="W59" i="14"/>
  <c r="AH40" i="14" s="1"/>
  <c r="V59" i="14"/>
  <c r="AG40" i="14" s="1"/>
  <c r="U59" i="14"/>
  <c r="AF40" i="14" s="1"/>
  <c r="T59" i="14"/>
  <c r="AE40" i="14" s="1"/>
  <c r="S59" i="14"/>
  <c r="AD40" i="14" s="1"/>
  <c r="R59" i="14"/>
  <c r="AC40" i="14" s="1"/>
  <c r="Q59" i="14"/>
  <c r="AB40" i="14" s="1"/>
  <c r="P59" i="14"/>
  <c r="AA40" i="14" s="1"/>
  <c r="O59" i="14"/>
  <c r="W58" i="14"/>
  <c r="AH35" i="14" s="1"/>
  <c r="V58" i="14"/>
  <c r="AG35" i="14" s="1"/>
  <c r="U58" i="14"/>
  <c r="AF35" i="14" s="1"/>
  <c r="T58" i="14"/>
  <c r="AE35" i="14" s="1"/>
  <c r="S58" i="14"/>
  <c r="AD35" i="14" s="1"/>
  <c r="R58" i="14"/>
  <c r="AC35" i="14" s="1"/>
  <c r="Q58" i="14"/>
  <c r="AB35" i="14" s="1"/>
  <c r="P58" i="14"/>
  <c r="AA35" i="14" s="1"/>
  <c r="X57" i="14"/>
  <c r="W57" i="14"/>
  <c r="V57" i="14"/>
  <c r="U57" i="14"/>
  <c r="T57" i="14"/>
  <c r="S57" i="14"/>
  <c r="R57" i="14"/>
  <c r="Q57" i="14"/>
  <c r="P57" i="14"/>
  <c r="O57" i="14"/>
  <c r="N57" i="14"/>
  <c r="Z55" i="14" s="1"/>
  <c r="N32" i="14"/>
  <c r="Z59" i="14" s="1"/>
  <c r="Q32" i="14"/>
  <c r="AB32" i="14" s="1"/>
  <c r="AB93" i="14" s="1"/>
  <c r="R32" i="14"/>
  <c r="AC32" i="14" s="1"/>
  <c r="AC93" i="14" s="1"/>
  <c r="S32" i="14"/>
  <c r="AD32" i="14" s="1"/>
  <c r="AD93" i="14" s="1"/>
  <c r="T32" i="14"/>
  <c r="AE32" i="14" s="1"/>
  <c r="AE93" i="14" s="1"/>
  <c r="U32" i="14"/>
  <c r="AF32" i="14" s="1"/>
  <c r="AF93" i="14" s="1"/>
  <c r="V32" i="14"/>
  <c r="AG32" i="14" s="1"/>
  <c r="AG93" i="14" s="1"/>
  <c r="W32" i="14"/>
  <c r="AH32" i="14" s="1"/>
  <c r="AH93" i="14" s="1"/>
  <c r="X32" i="14"/>
  <c r="AI32" i="14" s="1"/>
  <c r="AI93" i="14" s="1"/>
  <c r="Q33" i="14"/>
  <c r="AB34" i="14" s="1"/>
  <c r="R33" i="14"/>
  <c r="AC34" i="14" s="1"/>
  <c r="S33" i="14"/>
  <c r="AD34" i="14" s="1"/>
  <c r="T33" i="14"/>
  <c r="AE34" i="14" s="1"/>
  <c r="U33" i="14"/>
  <c r="AF34" i="14" s="1"/>
  <c r="V33" i="14"/>
  <c r="AG34" i="14" s="1"/>
  <c r="W33" i="14"/>
  <c r="AH34" i="14" s="1"/>
  <c r="X33" i="14"/>
  <c r="AI34" i="14" s="1"/>
  <c r="Q34" i="14"/>
  <c r="AB39" i="14" s="1"/>
  <c r="R34" i="14"/>
  <c r="AC39" i="14" s="1"/>
  <c r="S34" i="14"/>
  <c r="AD39" i="14" s="1"/>
  <c r="T34" i="14"/>
  <c r="AE39" i="14" s="1"/>
  <c r="U34" i="14"/>
  <c r="AF39" i="14" s="1"/>
  <c r="V34" i="14"/>
  <c r="AG39" i="14" s="1"/>
  <c r="W34" i="14"/>
  <c r="AH39" i="14" s="1"/>
  <c r="X34" i="14"/>
  <c r="AI39" i="14" s="1"/>
  <c r="Q35" i="14"/>
  <c r="AB44" i="14" s="1"/>
  <c r="R35" i="14"/>
  <c r="AC44" i="14" s="1"/>
  <c r="S35" i="14"/>
  <c r="AD44" i="14" s="1"/>
  <c r="T35" i="14"/>
  <c r="AE44" i="14" s="1"/>
  <c r="U35" i="14"/>
  <c r="AF44" i="14" s="1"/>
  <c r="V35" i="14"/>
  <c r="AG44" i="14" s="1"/>
  <c r="W35" i="14"/>
  <c r="AH44" i="14" s="1"/>
  <c r="X35" i="14"/>
  <c r="AI44" i="14" s="1"/>
  <c r="Q36" i="14"/>
  <c r="AB49" i="14" s="1"/>
  <c r="R36" i="14"/>
  <c r="AC49" i="14" s="1"/>
  <c r="S36" i="14"/>
  <c r="AD49" i="14" s="1"/>
  <c r="T36" i="14"/>
  <c r="AE49" i="14" s="1"/>
  <c r="U36" i="14"/>
  <c r="AF49" i="14" s="1"/>
  <c r="V36" i="14"/>
  <c r="AG49" i="14" s="1"/>
  <c r="W36" i="14"/>
  <c r="AH49" i="14" s="1"/>
  <c r="X36" i="14"/>
  <c r="AI49" i="14" s="1"/>
  <c r="Q39" i="14"/>
  <c r="AB54" i="14" s="1"/>
  <c r="R39" i="14"/>
  <c r="AC54" i="14" s="1"/>
  <c r="S39" i="14"/>
  <c r="AD54" i="14" s="1"/>
  <c r="T39" i="14"/>
  <c r="AE54" i="14" s="1"/>
  <c r="U39" i="14"/>
  <c r="AF54" i="14" s="1"/>
  <c r="V39" i="14"/>
  <c r="AG54" i="14" s="1"/>
  <c r="W39" i="14"/>
  <c r="AH54" i="14" s="1"/>
  <c r="X39" i="14"/>
  <c r="AI54" i="14" s="1"/>
  <c r="Q40" i="14"/>
  <c r="AB59" i="14" s="1"/>
  <c r="R40" i="14"/>
  <c r="AC59" i="14" s="1"/>
  <c r="S40" i="14"/>
  <c r="AD59" i="14" s="1"/>
  <c r="T40" i="14"/>
  <c r="AE59" i="14" s="1"/>
  <c r="U40" i="14"/>
  <c r="AF59" i="14" s="1"/>
  <c r="V40" i="14"/>
  <c r="AG59" i="14" s="1"/>
  <c r="W40" i="14"/>
  <c r="AH59" i="14" s="1"/>
  <c r="X40" i="14"/>
  <c r="AI59" i="14" s="1"/>
  <c r="Q41" i="14"/>
  <c r="AB64" i="14" s="1"/>
  <c r="R41" i="14"/>
  <c r="AC64" i="14" s="1"/>
  <c r="S41" i="14"/>
  <c r="AD64" i="14" s="1"/>
  <c r="T41" i="14"/>
  <c r="AE64" i="14" s="1"/>
  <c r="U41" i="14"/>
  <c r="AF64" i="14" s="1"/>
  <c r="V41" i="14"/>
  <c r="AG64" i="14" s="1"/>
  <c r="W41" i="14"/>
  <c r="AH64" i="14" s="1"/>
  <c r="X41" i="14"/>
  <c r="AI64" i="14" s="1"/>
  <c r="Q42" i="14"/>
  <c r="AB69" i="14" s="1"/>
  <c r="R42" i="14"/>
  <c r="AC69" i="14" s="1"/>
  <c r="S42" i="14"/>
  <c r="AD69" i="14" s="1"/>
  <c r="T42" i="14"/>
  <c r="AE69" i="14" s="1"/>
  <c r="U42" i="14"/>
  <c r="AF69" i="14" s="1"/>
  <c r="V42" i="14"/>
  <c r="AG69" i="14" s="1"/>
  <c r="W42" i="14"/>
  <c r="AH69" i="14" s="1"/>
  <c r="X42" i="14"/>
  <c r="AI69" i="14" s="1"/>
  <c r="Q46" i="14"/>
  <c r="AB74" i="14" s="1"/>
  <c r="R46" i="14"/>
  <c r="AC74" i="14" s="1"/>
  <c r="S46" i="14"/>
  <c r="AD74" i="14" s="1"/>
  <c r="T46" i="14"/>
  <c r="AE74" i="14" s="1"/>
  <c r="U46" i="14"/>
  <c r="AF74" i="14" s="1"/>
  <c r="V46" i="14"/>
  <c r="AG74" i="14" s="1"/>
  <c r="W46" i="14"/>
  <c r="AH74" i="14" s="1"/>
  <c r="X46" i="14"/>
  <c r="AI74" i="14" s="1"/>
  <c r="Q49" i="14"/>
  <c r="AB79" i="14" s="1"/>
  <c r="R49" i="14"/>
  <c r="AC79" i="14" s="1"/>
  <c r="S49" i="14"/>
  <c r="AD79" i="14" s="1"/>
  <c r="T49" i="14"/>
  <c r="AE79" i="14" s="1"/>
  <c r="U49" i="14"/>
  <c r="AF79" i="14" s="1"/>
  <c r="V49" i="14"/>
  <c r="AG79" i="14" s="1"/>
  <c r="W49" i="14"/>
  <c r="AH79" i="14" s="1"/>
  <c r="X49" i="14"/>
  <c r="AI79" i="14" s="1"/>
  <c r="Q50" i="14"/>
  <c r="AB84" i="14" s="1"/>
  <c r="R50" i="14"/>
  <c r="AC84" i="14" s="1"/>
  <c r="S50" i="14"/>
  <c r="AD84" i="14" s="1"/>
  <c r="T50" i="14"/>
  <c r="AE84" i="14" s="1"/>
  <c r="U50" i="14"/>
  <c r="AF84" i="14" s="1"/>
  <c r="V50" i="14"/>
  <c r="AG84" i="14" s="1"/>
  <c r="W50" i="14"/>
  <c r="AH84" i="14" s="1"/>
  <c r="X50" i="14"/>
  <c r="AI84" i="14" s="1"/>
  <c r="Q51" i="14"/>
  <c r="AB89" i="14" s="1"/>
  <c r="R51" i="14"/>
  <c r="AC89" i="14" s="1"/>
  <c r="S51" i="14"/>
  <c r="AD89" i="14" s="1"/>
  <c r="T51" i="14"/>
  <c r="AE89" i="14" s="1"/>
  <c r="U51" i="14"/>
  <c r="AF89" i="14" s="1"/>
  <c r="V51" i="14"/>
  <c r="AG89" i="14" s="1"/>
  <c r="W51" i="14"/>
  <c r="AH89" i="14" s="1"/>
  <c r="X51" i="14"/>
  <c r="AI89" i="14" s="1"/>
  <c r="P49" i="14"/>
  <c r="AA79" i="14" s="1"/>
  <c r="P46" i="14"/>
  <c r="AA74" i="14" s="1"/>
  <c r="P39" i="14"/>
  <c r="AA54" i="14" s="1"/>
  <c r="P40" i="14"/>
  <c r="AA59" i="14" s="1"/>
  <c r="P41" i="14"/>
  <c r="AA64" i="14" s="1"/>
  <c r="P34" i="14"/>
  <c r="AA39" i="14" s="1"/>
  <c r="O41" i="14"/>
  <c r="P51" i="14"/>
  <c r="AA89" i="14" s="1"/>
  <c r="P50" i="14"/>
  <c r="AA84" i="14" s="1"/>
  <c r="O49" i="14"/>
  <c r="O46" i="14"/>
  <c r="P42" i="14"/>
  <c r="AA69" i="14" s="1"/>
  <c r="O40" i="14"/>
  <c r="O39" i="14"/>
  <c r="P36" i="14"/>
  <c r="AA49" i="14" s="1"/>
  <c r="O34" i="14"/>
  <c r="P35" i="14"/>
  <c r="AA44" i="14" s="1"/>
  <c r="P32" i="14"/>
  <c r="AA32" i="14" s="1"/>
  <c r="AA93" i="14" s="1"/>
  <c r="P33" i="14"/>
  <c r="AA34" i="14" s="1"/>
  <c r="O32" i="14"/>
  <c r="G82" i="14"/>
  <c r="H82" i="14"/>
  <c r="G83" i="14"/>
  <c r="H83" i="14"/>
  <c r="G84" i="14"/>
  <c r="G85" i="14"/>
  <c r="G88" i="14"/>
  <c r="H88" i="14"/>
  <c r="G89" i="14"/>
  <c r="H89" i="14"/>
  <c r="G91" i="14"/>
  <c r="G92" i="14" s="1"/>
  <c r="H91" i="14"/>
  <c r="H92" i="14" s="1"/>
  <c r="G95" i="14"/>
  <c r="H95" i="14"/>
  <c r="G98" i="14"/>
  <c r="H98" i="14"/>
  <c r="J98" i="14"/>
  <c r="F98" i="14"/>
  <c r="F95" i="14"/>
  <c r="F91" i="14"/>
  <c r="F89" i="14"/>
  <c r="F88" i="14"/>
  <c r="F85" i="14"/>
  <c r="F84" i="14"/>
  <c r="F83" i="14"/>
  <c r="F82" i="14"/>
  <c r="D12" i="14"/>
  <c r="E12" i="14"/>
  <c r="F12" i="14"/>
  <c r="G12" i="14"/>
  <c r="C12" i="14"/>
  <c r="H9" i="14"/>
  <c r="H10" i="14"/>
  <c r="H11" i="14"/>
  <c r="H8" i="14"/>
  <c r="C131" i="14"/>
  <c r="C130" i="14"/>
  <c r="D133" i="14"/>
  <c r="D132" i="14"/>
  <c r="Q104" i="15"/>
  <c r="E126" i="15" s="1"/>
  <c r="P104" i="15"/>
  <c r="O104" i="15"/>
  <c r="N104" i="15"/>
  <c r="D126" i="15" s="1"/>
  <c r="M104" i="15"/>
  <c r="K104" i="15"/>
  <c r="C126" i="15" s="1"/>
  <c r="J104" i="15"/>
  <c r="I104" i="15"/>
  <c r="H104" i="15"/>
  <c r="B126" i="15" s="1"/>
  <c r="G104" i="15"/>
  <c r="E104" i="15"/>
  <c r="D104" i="15"/>
  <c r="C104" i="15"/>
  <c r="B104" i="15"/>
  <c r="A104" i="15"/>
  <c r="B134" i="15"/>
  <c r="C134" i="15"/>
  <c r="D134" i="15"/>
  <c r="E134" i="15"/>
  <c r="Q113" i="15"/>
  <c r="E135" i="15" s="1"/>
  <c r="P113" i="15"/>
  <c r="O113" i="15"/>
  <c r="N113" i="15"/>
  <c r="D135" i="15" s="1"/>
  <c r="M113" i="15"/>
  <c r="K113" i="15"/>
  <c r="C135" i="15" s="1"/>
  <c r="J113" i="15"/>
  <c r="I113" i="15"/>
  <c r="H113" i="15"/>
  <c r="B135" i="15" s="1"/>
  <c r="G113" i="15"/>
  <c r="A113" i="15"/>
  <c r="E133" i="15"/>
  <c r="D133" i="15"/>
  <c r="C133" i="15"/>
  <c r="B133" i="15"/>
  <c r="P101" i="15"/>
  <c r="O101" i="15"/>
  <c r="N101" i="15"/>
  <c r="M101" i="15"/>
  <c r="J101" i="15"/>
  <c r="I101" i="15"/>
  <c r="H101" i="15"/>
  <c r="G101" i="15"/>
  <c r="E101" i="15"/>
  <c r="D101" i="15"/>
  <c r="C101" i="15"/>
  <c r="B101" i="15"/>
  <c r="Q100" i="15"/>
  <c r="P100" i="15"/>
  <c r="O100" i="15"/>
  <c r="N100" i="15"/>
  <c r="M100" i="15"/>
  <c r="K100" i="15"/>
  <c r="J100" i="15"/>
  <c r="I100" i="15"/>
  <c r="H100" i="15"/>
  <c r="G100" i="15"/>
  <c r="R222" i="11"/>
  <c r="R231" i="11"/>
  <c r="R230" i="11"/>
  <c r="R229" i="11"/>
  <c r="R228" i="11"/>
  <c r="R227" i="11"/>
  <c r="R226" i="11"/>
  <c r="C21" i="11"/>
  <c r="M28" i="11"/>
  <c r="M32" i="11"/>
  <c r="M39" i="11"/>
  <c r="I85" i="14"/>
  <c r="I89" i="14"/>
  <c r="I88" i="14"/>
  <c r="J89" i="14"/>
  <c r="J88" i="14"/>
  <c r="N29" i="11"/>
  <c r="N34" i="11"/>
  <c r="E34" i="11" s="1"/>
  <c r="O222" i="11"/>
  <c r="O208" i="11"/>
  <c r="U208" i="11" s="1"/>
  <c r="O206" i="11"/>
  <c r="G427" i="11"/>
  <c r="N6" i="11"/>
  <c r="N13" i="11"/>
  <c r="N5" i="11"/>
  <c r="D131" i="14"/>
  <c r="O227" i="11"/>
  <c r="O247" i="11" s="1"/>
  <c r="Q22" i="16"/>
  <c r="C11" i="20"/>
  <c r="I216" i="14"/>
  <c r="E8" i="20"/>
  <c r="E131" i="14"/>
  <c r="E130" i="14"/>
  <c r="F312" i="14"/>
  <c r="I91" i="14"/>
  <c r="BH49" i="14" s="1"/>
  <c r="E15" i="20"/>
  <c r="E16" i="20"/>
  <c r="F10" i="20"/>
  <c r="C18" i="13"/>
  <c r="E19" i="20"/>
  <c r="C20" i="20"/>
  <c r="D22" i="20"/>
  <c r="C27" i="20"/>
  <c r="T84" i="16"/>
  <c r="L89" i="14"/>
  <c r="E9" i="20"/>
  <c r="J84" i="14"/>
  <c r="E132" i="14"/>
  <c r="C16" i="20"/>
  <c r="C7" i="20"/>
  <c r="D10" i="20"/>
  <c r="Q24" i="16"/>
  <c r="G10" i="20"/>
  <c r="E18" i="13"/>
  <c r="C19" i="20"/>
  <c r="C132" i="14"/>
  <c r="F19" i="20"/>
  <c r="F132" i="14"/>
  <c r="F28" i="20"/>
  <c r="K89" i="14"/>
  <c r="E11" i="20"/>
  <c r="Q75" i="16"/>
  <c r="E20" i="20"/>
  <c r="E133" i="14"/>
  <c r="D24" i="20"/>
  <c r="E29" i="20"/>
  <c r="E15" i="13"/>
  <c r="J82" i="14"/>
  <c r="H88" i="20"/>
  <c r="F136" i="14"/>
  <c r="F160" i="14" s="1"/>
  <c r="C133" i="14"/>
  <c r="D15" i="20"/>
  <c r="Q9" i="16"/>
  <c r="D16" i="20"/>
  <c r="E6" i="20"/>
  <c r="C14" i="20"/>
  <c r="D23" i="20"/>
  <c r="E27" i="20"/>
  <c r="D28" i="20"/>
  <c r="C29" i="20"/>
  <c r="C31" i="12"/>
  <c r="R12" i="16" s="1"/>
  <c r="Q12" i="16" s="1"/>
  <c r="P12" i="16" s="1"/>
  <c r="F139" i="14"/>
  <c r="F164" i="14" s="1"/>
  <c r="C15" i="20"/>
  <c r="Q6" i="16"/>
  <c r="C5" i="20"/>
  <c r="D9" i="20"/>
  <c r="E14" i="20"/>
  <c r="D25" i="20"/>
  <c r="G25" i="20"/>
  <c r="M42" i="11"/>
  <c r="C42" i="11" s="1"/>
  <c r="C10" i="20"/>
  <c r="D5" i="20"/>
  <c r="D7" i="20"/>
  <c r="E10" i="20"/>
  <c r="D14" i="20"/>
  <c r="D19" i="20"/>
  <c r="F20" i="20"/>
  <c r="F133" i="14"/>
  <c r="C22" i="20"/>
  <c r="E22" i="20"/>
  <c r="C23" i="20"/>
  <c r="E23" i="20"/>
  <c r="C24" i="20"/>
  <c r="E24" i="20"/>
  <c r="C25" i="20"/>
  <c r="E25" i="20"/>
  <c r="D27" i="20"/>
  <c r="D29" i="20"/>
  <c r="E5" i="20"/>
  <c r="E7" i="20"/>
  <c r="D20" i="20"/>
  <c r="F22" i="20"/>
  <c r="F23" i="20"/>
  <c r="F24" i="20"/>
  <c r="F25" i="20"/>
  <c r="C28" i="20"/>
  <c r="E28" i="20"/>
  <c r="F135" i="14"/>
  <c r="F159" i="14" s="1"/>
  <c r="J85" i="14"/>
  <c r="T111" i="16"/>
  <c r="T115" i="16"/>
  <c r="P6" i="16"/>
  <c r="N8" i="11"/>
  <c r="K8" i="11" s="1"/>
  <c r="N18" i="11"/>
  <c r="K18" i="11" s="1"/>
  <c r="D12" i="20"/>
  <c r="E12" i="20"/>
  <c r="G28" i="20"/>
  <c r="E13" i="20"/>
  <c r="D11" i="20"/>
  <c r="Q16" i="16"/>
  <c r="C12" i="20"/>
  <c r="I83" i="14"/>
  <c r="Q23" i="16"/>
  <c r="E31" i="12"/>
  <c r="E70" i="12" s="1"/>
  <c r="G19" i="20"/>
  <c r="D8" i="20"/>
  <c r="F15" i="20"/>
  <c r="D6" i="20"/>
  <c r="R6" i="16"/>
  <c r="C9" i="20"/>
  <c r="D13" i="20"/>
  <c r="G22" i="20"/>
  <c r="G23" i="20"/>
  <c r="G24" i="20"/>
  <c r="P16" i="16"/>
  <c r="P32" i="16"/>
  <c r="F5" i="20"/>
  <c r="F130" i="14"/>
  <c r="D31" i="12"/>
  <c r="S12" i="16" s="1"/>
  <c r="K88" i="14"/>
  <c r="K85" i="14"/>
  <c r="K82" i="14"/>
  <c r="O209" i="11"/>
  <c r="N19" i="11"/>
  <c r="N14" i="11"/>
  <c r="E14" i="11" s="1"/>
  <c r="G89" i="20"/>
  <c r="L89" i="20"/>
  <c r="Q32" i="16"/>
  <c r="Q33" i="16"/>
  <c r="Q236" i="16" s="1"/>
  <c r="Q17" i="16"/>
  <c r="G20" i="20"/>
  <c r="O211" i="11"/>
  <c r="U211" i="11" s="1"/>
  <c r="E19" i="13"/>
  <c r="O38" i="18"/>
  <c r="K57" i="20" s="1"/>
  <c r="F27" i="20"/>
  <c r="F6" i="20"/>
  <c r="C16" i="13"/>
  <c r="P33" i="16"/>
  <c r="P236" i="16" s="1"/>
  <c r="P17" i="16"/>
  <c r="F11" i="20"/>
  <c r="C13" i="20"/>
  <c r="J216" i="14"/>
  <c r="L88" i="14"/>
  <c r="L85" i="14"/>
  <c r="K84" i="14"/>
  <c r="L82" i="14"/>
  <c r="N11" i="11"/>
  <c r="K11" i="11" s="1"/>
  <c r="N15" i="11"/>
  <c r="H89" i="20"/>
  <c r="K46" i="20"/>
  <c r="O37" i="18"/>
  <c r="K56" i="20" s="1"/>
  <c r="K49" i="20"/>
  <c r="O24" i="18"/>
  <c r="O25" i="18" s="1"/>
  <c r="O40" i="18"/>
  <c r="K59" i="20" s="1"/>
  <c r="F29" i="20"/>
  <c r="K216" i="14"/>
  <c r="L84" i="14"/>
  <c r="I95" i="14"/>
  <c r="J83" i="14"/>
  <c r="F7" i="20"/>
  <c r="F131" i="14"/>
  <c r="N22" i="11"/>
  <c r="K22" i="11" s="1"/>
  <c r="L216" i="14"/>
  <c r="D11" i="13"/>
  <c r="K83" i="14"/>
  <c r="N26" i="11"/>
  <c r="K26" i="11" s="1"/>
  <c r="F9" i="20"/>
  <c r="C17" i="13"/>
  <c r="G27" i="20"/>
  <c r="F8" i="20"/>
  <c r="F12" i="20"/>
  <c r="L83" i="14"/>
  <c r="D9" i="13"/>
  <c r="N27" i="11"/>
  <c r="K27" i="11" s="1"/>
  <c r="K364" i="11" s="1"/>
  <c r="N30" i="11"/>
  <c r="E30" i="11" s="1"/>
  <c r="K75" i="20"/>
  <c r="F13" i="20"/>
  <c r="N37" i="11"/>
  <c r="E37" i="11" s="1"/>
  <c r="N31" i="11"/>
  <c r="K31" i="11" s="1"/>
  <c r="K65" i="20"/>
  <c r="N41" i="11"/>
  <c r="N38" i="11"/>
  <c r="K38" i="11" s="1"/>
  <c r="F14" i="20"/>
  <c r="K69" i="20"/>
  <c r="N42" i="11"/>
  <c r="N43" i="11"/>
  <c r="T110" i="16"/>
  <c r="F16" i="20"/>
  <c r="E329" i="14"/>
  <c r="J91" i="14"/>
  <c r="J92" i="14" s="1"/>
  <c r="G29" i="20"/>
  <c r="K76" i="20"/>
  <c r="O66" i="18"/>
  <c r="G5" i="20"/>
  <c r="D10" i="13"/>
  <c r="K88" i="20"/>
  <c r="G6" i="20"/>
  <c r="E16" i="13"/>
  <c r="G11" i="20"/>
  <c r="K66" i="20"/>
  <c r="K70" i="20"/>
  <c r="K67" i="20"/>
  <c r="J95" i="14"/>
  <c r="F329" i="14"/>
  <c r="K71" i="20"/>
  <c r="G7" i="20"/>
  <c r="G8" i="20"/>
  <c r="K89" i="20"/>
  <c r="G12" i="20"/>
  <c r="G9" i="20"/>
  <c r="E17" i="13"/>
  <c r="G13" i="20"/>
  <c r="G14" i="20"/>
  <c r="D7" i="13"/>
  <c r="G15" i="20"/>
  <c r="G329" i="14"/>
  <c r="G16" i="20"/>
  <c r="A2" i="21"/>
  <c r="F5" i="25"/>
  <c r="C596" i="14" s="1"/>
  <c r="CY49" i="18"/>
  <c r="CT49" i="18"/>
  <c r="CT62" i="18"/>
  <c r="U81" i="16"/>
  <c r="CT73" i="18"/>
  <c r="CT78" i="18"/>
  <c r="CT84" i="18"/>
  <c r="CT83" i="18"/>
  <c r="CT77" i="18"/>
  <c r="CT72" i="18"/>
  <c r="CT110" i="18"/>
  <c r="U61" i="16"/>
  <c r="F8" i="24"/>
  <c r="F27" i="22" s="1"/>
  <c r="F263" i="24"/>
  <c r="CT127" i="18"/>
  <c r="X139" i="18"/>
  <c r="CT51" i="18"/>
  <c r="CY51" i="18"/>
  <c r="F57" i="25"/>
  <c r="F125" i="25"/>
  <c r="CT85" i="18"/>
  <c r="CV105" i="18"/>
  <c r="CT111" i="18"/>
  <c r="CW105" i="18"/>
  <c r="CT116" i="18"/>
  <c r="CT120" i="18"/>
  <c r="CY120" i="18"/>
  <c r="U30" i="16"/>
  <c r="U80" i="16"/>
  <c r="F385" i="25"/>
  <c r="CX105" i="18"/>
  <c r="CY105" i="18"/>
  <c r="F394" i="25"/>
  <c r="F87" i="12" s="1"/>
  <c r="U15" i="16" s="1"/>
  <c r="F400" i="25"/>
  <c r="G320" i="25" s="1"/>
  <c r="AD146" i="18"/>
  <c r="V115" i="16"/>
  <c r="G6" i="25"/>
  <c r="D597" i="14" s="1"/>
  <c r="CY63" i="18"/>
  <c r="CY65" i="18"/>
  <c r="CV9" i="18"/>
  <c r="Z16" i="18"/>
  <c r="CV15" i="18"/>
  <c r="CW9" i="18"/>
  <c r="AB16" i="18"/>
  <c r="CW15" i="18"/>
  <c r="CX9" i="18"/>
  <c r="CX15" i="18"/>
  <c r="CY9" i="18"/>
  <c r="CY15" i="18"/>
  <c r="CX72" i="18"/>
  <c r="CX73" i="18"/>
  <c r="CX77" i="18"/>
  <c r="CX78" i="18"/>
  <c r="CX83" i="18"/>
  <c r="CX84" i="18"/>
  <c r="CX85" i="18"/>
  <c r="CX110" i="18"/>
  <c r="CX111" i="18"/>
  <c r="CX116" i="18"/>
  <c r="CY127" i="18"/>
  <c r="CY62" i="18"/>
  <c r="CY72" i="18"/>
  <c r="CY73" i="18"/>
  <c r="CY77" i="18"/>
  <c r="CY78" i="18"/>
  <c r="CY83" i="18"/>
  <c r="CY84" i="18"/>
  <c r="CY85" i="18"/>
  <c r="V61" i="16"/>
  <c r="G150" i="24"/>
  <c r="G5" i="25"/>
  <c r="G12" i="24"/>
  <c r="G8" i="24"/>
  <c r="V44" i="16"/>
  <c r="V81" i="16"/>
  <c r="G57" i="25"/>
  <c r="CY110" i="18"/>
  <c r="G64" i="25"/>
  <c r="G65" i="25" s="1"/>
  <c r="G125" i="25"/>
  <c r="AD138" i="18" s="1"/>
  <c r="V35" i="16"/>
  <c r="DD105" i="18"/>
  <c r="CY111" i="18"/>
  <c r="CY116" i="18"/>
  <c r="V30" i="16"/>
  <c r="V80" i="16"/>
  <c r="V111" i="16"/>
  <c r="AD143" i="18"/>
  <c r="W115" i="16"/>
  <c r="DA127" i="18"/>
  <c r="AE139" i="18"/>
  <c r="F31" i="19"/>
  <c r="DF9" i="18"/>
  <c r="DI9" i="18"/>
  <c r="AM16" i="18"/>
  <c r="DS9" i="18"/>
  <c r="DX9" i="18"/>
  <c r="AW16" i="18"/>
  <c r="H31" i="19"/>
  <c r="I31" i="19"/>
  <c r="DK9" i="18"/>
  <c r="AO16" i="18"/>
  <c r="DG9" i="18"/>
  <c r="AK33" i="18"/>
  <c r="D32" i="19" s="1"/>
  <c r="W238" i="16"/>
  <c r="DD9" i="18"/>
  <c r="AH16" i="18"/>
  <c r="DD20" i="18"/>
  <c r="AH24" i="18"/>
  <c r="DD21" i="18"/>
  <c r="DD23" i="18"/>
  <c r="AV16" i="18"/>
  <c r="DR9" i="18"/>
  <c r="DW9" i="18"/>
  <c r="DN9" i="18"/>
  <c r="K31" i="19"/>
  <c r="J31" i="19"/>
  <c r="DL9" i="18"/>
  <c r="AP33" i="18"/>
  <c r="I32" i="19" s="1"/>
  <c r="AP16" i="18"/>
  <c r="AR16" i="18"/>
  <c r="F41" i="19"/>
  <c r="F37" i="19"/>
  <c r="F39" i="19"/>
  <c r="DI23" i="18"/>
  <c r="AM25" i="18"/>
  <c r="DH9" i="18"/>
  <c r="AL33" i="18"/>
  <c r="E32" i="19" s="1"/>
  <c r="AL16" i="18"/>
  <c r="AM33" i="18"/>
  <c r="F32" i="19" s="1"/>
  <c r="DF20" i="18"/>
  <c r="DI21" i="18"/>
  <c r="DF23" i="18"/>
  <c r="DF21" i="18"/>
  <c r="DI20" i="18"/>
  <c r="DD49" i="18"/>
  <c r="X238" i="16"/>
  <c r="H41" i="19"/>
  <c r="J37" i="19"/>
  <c r="I37" i="19"/>
  <c r="AR33" i="18"/>
  <c r="K32" i="19" s="1"/>
  <c r="I41" i="19"/>
  <c r="DK23" i="18"/>
  <c r="DK20" i="18"/>
  <c r="DM9" i="18"/>
  <c r="AQ16" i="18"/>
  <c r="AQ33" i="18"/>
  <c r="J32" i="19" s="1"/>
  <c r="DG23" i="18"/>
  <c r="AK40" i="18"/>
  <c r="D42" i="19" s="1"/>
  <c r="DG20" i="18"/>
  <c r="AK38" i="18"/>
  <c r="D38" i="19" s="1"/>
  <c r="DD63" i="18"/>
  <c r="AN175" i="18"/>
  <c r="DN23" i="18"/>
  <c r="K41" i="19"/>
  <c r="DN20" i="18"/>
  <c r="K37" i="19"/>
  <c r="DL20" i="18"/>
  <c r="AP38" i="18"/>
  <c r="J41" i="19"/>
  <c r="DL23" i="18"/>
  <c r="AP40" i="18"/>
  <c r="I42" i="19" s="1"/>
  <c r="AR38" i="18"/>
  <c r="K38" i="19" s="1"/>
  <c r="DF49" i="18"/>
  <c r="AJ175" i="18"/>
  <c r="AL38" i="18"/>
  <c r="E38" i="19" s="1"/>
  <c r="DH20" i="18"/>
  <c r="AM38" i="18"/>
  <c r="F38" i="19" s="1"/>
  <c r="DH23" i="18"/>
  <c r="AL40" i="18"/>
  <c r="E42" i="19" s="1"/>
  <c r="AM40" i="18"/>
  <c r="DI49" i="18"/>
  <c r="AM175" i="18"/>
  <c r="DM23" i="18"/>
  <c r="AQ40" i="18"/>
  <c r="J42" i="19" s="1"/>
  <c r="AR40" i="18"/>
  <c r="K42" i="19" s="1"/>
  <c r="DM20" i="18"/>
  <c r="AQ38" i="18"/>
  <c r="J38" i="19" s="1"/>
  <c r="DG49" i="18"/>
  <c r="AK175" i="18"/>
  <c r="DD65" i="18"/>
  <c r="H8" i="24"/>
  <c r="H27" i="22" s="1"/>
  <c r="H263" i="24"/>
  <c r="H12" i="24"/>
  <c r="DD62" i="18"/>
  <c r="AH66" i="18"/>
  <c r="AH171" i="18" s="1"/>
  <c r="AS175" i="18"/>
  <c r="DO49" i="18"/>
  <c r="DK49" i="18"/>
  <c r="AO175" i="18"/>
  <c r="DL49" i="18"/>
  <c r="AP175" i="18"/>
  <c r="DM49" i="18"/>
  <c r="AQ175" i="18"/>
  <c r="DI63" i="18"/>
  <c r="DH49" i="18"/>
  <c r="AL175" i="18"/>
  <c r="DD78" i="18"/>
  <c r="DD77" i="18"/>
  <c r="W44" i="16"/>
  <c r="DD84" i="18"/>
  <c r="DD73" i="18"/>
  <c r="AR175" i="18"/>
  <c r="DN49" i="18"/>
  <c r="AM66" i="18"/>
  <c r="DI62" i="18"/>
  <c r="DI65" i="18"/>
  <c r="DD83" i="18"/>
  <c r="DD72" i="18"/>
  <c r="DD51" i="18"/>
  <c r="DI72" i="18"/>
  <c r="DD110" i="18"/>
  <c r="AN176" i="18"/>
  <c r="AR169" i="18"/>
  <c r="DM62" i="18"/>
  <c r="AQ169" i="18"/>
  <c r="DK62" i="18"/>
  <c r="DL62" i="18"/>
  <c r="AP169" i="18"/>
  <c r="DF51" i="18"/>
  <c r="AJ176" i="18"/>
  <c r="DI51" i="18"/>
  <c r="AM176" i="18"/>
  <c r="DI73" i="18"/>
  <c r="AH139" i="18"/>
  <c r="DD127" i="18"/>
  <c r="DN62" i="18"/>
  <c r="DG51" i="18"/>
  <c r="AK176" i="18"/>
  <c r="DI110" i="18"/>
  <c r="DD85" i="18"/>
  <c r="W35" i="16"/>
  <c r="F22" i="19"/>
  <c r="DH51" i="18"/>
  <c r="AL176" i="18"/>
  <c r="AM139" i="18"/>
  <c r="H100" i="25"/>
  <c r="DI105" i="18"/>
  <c r="X35" i="16"/>
  <c r="DK105" i="18"/>
  <c r="DL105" i="18"/>
  <c r="DM105" i="18"/>
  <c r="DN105" i="18"/>
  <c r="DD111" i="18"/>
  <c r="DD116" i="18"/>
  <c r="DD120" i="18"/>
  <c r="AH149" i="18"/>
  <c r="W111" i="16"/>
  <c r="H400" i="25"/>
  <c r="H394" i="25"/>
  <c r="H87" i="12" s="1"/>
  <c r="H112" i="25"/>
  <c r="W110" i="16"/>
  <c r="DK21" i="18"/>
  <c r="DP24" i="18"/>
  <c r="AO25" i="18"/>
  <c r="AR44" i="18"/>
  <c r="Y238" i="16"/>
  <c r="DN21" i="18"/>
  <c r="K39" i="19"/>
  <c r="DL21" i="18"/>
  <c r="AP39" i="18"/>
  <c r="AP25" i="18"/>
  <c r="DQ24" i="18"/>
  <c r="AR39" i="18"/>
  <c r="K40" i="19" s="1"/>
  <c r="AR25" i="18"/>
  <c r="DS24" i="18"/>
  <c r="DN24" i="18"/>
  <c r="BR24" i="18"/>
  <c r="DM21" i="18"/>
  <c r="AQ168" i="18"/>
  <c r="AQ39" i="18"/>
  <c r="AQ25" i="18"/>
  <c r="Z238" i="16"/>
  <c r="AS174" i="18"/>
  <c r="DO50" i="18"/>
  <c r="AQ174" i="18"/>
  <c r="AO174" i="18"/>
  <c r="DK50" i="18"/>
  <c r="DL63" i="18"/>
  <c r="AP168" i="18"/>
  <c r="DM63" i="18"/>
  <c r="DK63" i="18"/>
  <c r="AA238" i="16"/>
  <c r="AP174" i="18"/>
  <c r="DL50" i="18"/>
  <c r="AR168" i="18"/>
  <c r="DN50" i="18"/>
  <c r="DM50" i="18"/>
  <c r="AB238" i="16"/>
  <c r="DN63" i="18"/>
  <c r="AR174" i="18"/>
  <c r="DN65" i="18"/>
  <c r="DK65" i="18"/>
  <c r="DL65" i="18"/>
  <c r="DM65" i="18"/>
  <c r="AQ66" i="18"/>
  <c r="J5" i="19" s="1"/>
  <c r="AR66" i="18"/>
  <c r="BT66" i="18" s="1"/>
  <c r="H469" i="14" s="1"/>
  <c r="AD238" i="16"/>
  <c r="AC238" i="16"/>
  <c r="AS176" i="18"/>
  <c r="DO51" i="18"/>
  <c r="DK51" i="18"/>
  <c r="AO176" i="18"/>
  <c r="DL51" i="18"/>
  <c r="AP176" i="18"/>
  <c r="DM51" i="18"/>
  <c r="AQ176" i="18"/>
  <c r="DM73" i="18"/>
  <c r="DL73" i="18"/>
  <c r="DK73" i="18"/>
  <c r="DL78" i="18"/>
  <c r="DM78" i="18"/>
  <c r="DK78" i="18"/>
  <c r="DK127" i="18"/>
  <c r="DL127" i="18"/>
  <c r="DM127" i="18"/>
  <c r="K22" i="19"/>
  <c r="DL84" i="18"/>
  <c r="DK84" i="18"/>
  <c r="DM84" i="18"/>
  <c r="DM77" i="18"/>
  <c r="DL77" i="18"/>
  <c r="DK77" i="18"/>
  <c r="DM83" i="18"/>
  <c r="DL83" i="18"/>
  <c r="DK83" i="18"/>
  <c r="DN84" i="18"/>
  <c r="DX65" i="18"/>
  <c r="J106" i="30" s="1"/>
  <c r="BB69" i="18"/>
  <c r="AQ69" i="18"/>
  <c r="DN51" i="18"/>
  <c r="AR176" i="18"/>
  <c r="DN77" i="18"/>
  <c r="DN78" i="18"/>
  <c r="DN83" i="18"/>
  <c r="DN127" i="18"/>
  <c r="DN73" i="18"/>
  <c r="AR69" i="18"/>
  <c r="DM110" i="18"/>
  <c r="DL110" i="18"/>
  <c r="DK110" i="18"/>
  <c r="DN110" i="18"/>
  <c r="BR110" i="18"/>
  <c r="DG21" i="18"/>
  <c r="AK39" i="18"/>
  <c r="D40" i="19" s="1"/>
  <c r="AM39" i="18"/>
  <c r="D477" i="14" s="1"/>
  <c r="AL25" i="18"/>
  <c r="AL24" i="18"/>
  <c r="DM24" i="18" s="1"/>
  <c r="AL39" i="18"/>
  <c r="DH21" i="18"/>
  <c r="DI111" i="18"/>
  <c r="DI116" i="18"/>
  <c r="J115" i="25"/>
  <c r="K115" i="25" s="1"/>
  <c r="L115" i="25" s="1"/>
  <c r="M115" i="25" s="1"/>
  <c r="N115" i="25" s="1"/>
  <c r="O115" i="25" s="1"/>
  <c r="P115" i="25" s="1"/>
  <c r="DI120" i="18"/>
  <c r="DK120" i="18"/>
  <c r="DL120" i="18"/>
  <c r="EC120" i="18"/>
  <c r="DN120" i="18"/>
  <c r="BR120" i="18"/>
  <c r="I400" i="25"/>
  <c r="I394" i="25"/>
  <c r="I87" i="12" s="1"/>
  <c r="DL146" i="18"/>
  <c r="AJ149" i="18"/>
  <c r="T78" i="17" s="1"/>
  <c r="AL149" i="18"/>
  <c r="V78" i="17" s="1"/>
  <c r="I100" i="25"/>
  <c r="DM145" i="18"/>
  <c r="DL145" i="18"/>
  <c r="DK145" i="18"/>
  <c r="AC112" i="16"/>
  <c r="AD112" i="16"/>
  <c r="DN72" i="18"/>
  <c r="DL72" i="18"/>
  <c r="DM85" i="18"/>
  <c r="DK85" i="18"/>
  <c r="DL85" i="18"/>
  <c r="DM72" i="18"/>
  <c r="DK72" i="18"/>
  <c r="DN85" i="18"/>
  <c r="I11" i="19"/>
  <c r="DL95" i="18"/>
  <c r="K11" i="19"/>
  <c r="DN95" i="18"/>
  <c r="I112" i="25"/>
  <c r="AM149" i="18"/>
  <c r="W78" i="17" s="1"/>
  <c r="Y80" i="16"/>
  <c r="DK111" i="18"/>
  <c r="BR111" i="18"/>
  <c r="DM142" i="18"/>
  <c r="DM111" i="18"/>
  <c r="DL111" i="18"/>
  <c r="DL142" i="18"/>
  <c r="DK142" i="18"/>
  <c r="DN111" i="18"/>
  <c r="DM143" i="18"/>
  <c r="DK143" i="18"/>
  <c r="BR143" i="18"/>
  <c r="DL143" i="18"/>
  <c r="J394" i="25"/>
  <c r="J87" i="12" s="1"/>
  <c r="Y15" i="16" s="1"/>
  <c r="DN143" i="18"/>
  <c r="DM120" i="18"/>
  <c r="DK116" i="18"/>
  <c r="DL116" i="18"/>
  <c r="DN116" i="18"/>
  <c r="BR116" i="18"/>
  <c r="Z80" i="16"/>
  <c r="AL69" i="18"/>
  <c r="AM69" i="18"/>
  <c r="AK69" i="18"/>
  <c r="AQ149" i="18"/>
  <c r="Z78" i="17" s="1"/>
  <c r="BR142" i="18"/>
  <c r="DN142" i="18"/>
  <c r="BR145" i="18"/>
  <c r="DN145" i="18"/>
  <c r="BR146" i="18"/>
  <c r="DK146" i="18"/>
  <c r="DM146" i="18"/>
  <c r="DN146" i="18"/>
  <c r="DP146" i="18"/>
  <c r="DU146" i="18"/>
  <c r="BR155" i="18"/>
  <c r="DT49" i="18"/>
  <c r="AX175" i="18"/>
  <c r="DT50" i="18"/>
  <c r="AX174" i="18"/>
  <c r="AX176" i="18"/>
  <c r="DT51" i="18"/>
  <c r="M22" i="19"/>
  <c r="J125" i="25"/>
  <c r="J64" i="25"/>
  <c r="EC110" i="18"/>
  <c r="BC111" i="18"/>
  <c r="AA80" i="16"/>
  <c r="EC111" i="18"/>
  <c r="EC143" i="18"/>
  <c r="EC116" i="18"/>
  <c r="DU96" i="18"/>
  <c r="G171" i="30" s="1"/>
  <c r="AY106" i="18"/>
  <c r="AY138" i="18"/>
  <c r="BN145" i="18"/>
  <c r="BM145" i="18"/>
  <c r="BL145" i="18" s="1"/>
  <c r="EH145" i="18" s="1"/>
  <c r="BB134" i="18"/>
  <c r="DY49" i="18"/>
  <c r="BC175" i="18"/>
  <c r="DX62" i="18"/>
  <c r="J103" i="30" s="1"/>
  <c r="BC174" i="18"/>
  <c r="DY50" i="18"/>
  <c r="DX63" i="18"/>
  <c r="J104" i="30" s="1"/>
  <c r="BB66" i="18"/>
  <c r="BC176" i="18"/>
  <c r="DY51" i="18"/>
  <c r="M12" i="24"/>
  <c r="M31" i="22" s="1"/>
  <c r="BC105" i="18"/>
  <c r="BC116" i="18"/>
  <c r="BF106" i="18"/>
  <c r="BD106" i="18"/>
  <c r="EE106" i="18" s="1"/>
  <c r="BD138" i="18"/>
  <c r="DZ96" i="18"/>
  <c r="N84" i="29"/>
  <c r="N85" i="29" s="1"/>
  <c r="G22" i="27"/>
  <c r="BM144" i="18"/>
  <c r="BL144" i="18" s="1"/>
  <c r="EH144" i="18" s="1"/>
  <c r="O84" i="29"/>
  <c r="O85" i="29" s="1"/>
  <c r="O214" i="25"/>
  <c r="BF95" i="18"/>
  <c r="EG95" i="18" s="1"/>
  <c r="BF138" i="18"/>
  <c r="H22" i="27"/>
  <c r="BN144" i="18"/>
  <c r="BE138" i="18"/>
  <c r="EF138" i="18" s="1"/>
  <c r="BE106" i="18"/>
  <c r="BE113" i="18" s="1"/>
  <c r="EC145" i="18"/>
  <c r="P84" i="29"/>
  <c r="P85" i="29" s="1"/>
  <c r="P86" i="29" s="1"/>
  <c r="I22" i="27"/>
  <c r="EC64" i="18"/>
  <c r="N105" i="30" s="1"/>
  <c r="EC131" i="18"/>
  <c r="EC127" i="18"/>
  <c r="BG139" i="18"/>
  <c r="N225" i="30" s="1"/>
  <c r="Q84" i="29"/>
  <c r="Q85" i="29" s="1"/>
  <c r="J22" i="27"/>
  <c r="EC144" i="18"/>
  <c r="R84" i="29"/>
  <c r="R85" i="29" s="1"/>
  <c r="R86" i="29" s="1"/>
  <c r="K22" i="27"/>
  <c r="L12" i="24"/>
  <c r="EC146" i="18"/>
  <c r="BG69" i="18"/>
  <c r="EH69" i="18" s="1"/>
  <c r="EC65" i="18"/>
  <c r="N106" i="30" s="1"/>
  <c r="S84" i="29"/>
  <c r="L22" i="27"/>
  <c r="T84" i="29"/>
  <c r="T85" i="29" s="1"/>
  <c r="M22" i="27"/>
  <c r="EC142" i="18"/>
  <c r="BH5" i="18"/>
  <c r="BI32" i="18" s="1"/>
  <c r="AB60" i="16"/>
  <c r="AB216" i="16"/>
  <c r="M304" i="24"/>
  <c r="N304" i="24" s="1"/>
  <c r="J579" i="14"/>
  <c r="AB62" i="16"/>
  <c r="AB217" i="16"/>
  <c r="BH9" i="18"/>
  <c r="BI33" i="18" s="1"/>
  <c r="AB219" i="16"/>
  <c r="AB64" i="16"/>
  <c r="M125" i="24"/>
  <c r="BH19" i="18"/>
  <c r="AF67" i="24"/>
  <c r="AF68" i="24" s="1"/>
  <c r="AF72" i="24" s="1"/>
  <c r="BG32" i="18"/>
  <c r="AB218" i="16"/>
  <c r="BH15" i="18"/>
  <c r="BF33" i="18"/>
  <c r="EC5" i="18"/>
  <c r="EC9" i="18"/>
  <c r="BG16" i="18"/>
  <c r="BG33" i="18"/>
  <c r="BF32" i="18"/>
  <c r="EB5" i="18"/>
  <c r="EB9" i="18"/>
  <c r="BF16" i="18"/>
  <c r="EB19" i="18"/>
  <c r="EB20" i="18"/>
  <c r="BF24" i="18"/>
  <c r="BF25" i="18"/>
  <c r="EG25" i="18" s="1"/>
  <c r="BF37" i="18"/>
  <c r="M28" i="30" s="1"/>
  <c r="BG37" i="18"/>
  <c r="N28" i="30" s="1"/>
  <c r="BF38" i="18"/>
  <c r="M29" i="30" s="1"/>
  <c r="BF169" i="18"/>
  <c r="BG39" i="18"/>
  <c r="N30" i="30" s="1"/>
  <c r="N36" i="30" s="1"/>
  <c r="N96" i="30"/>
  <c r="N97" i="30"/>
  <c r="EC73" i="18"/>
  <c r="EC72" i="18"/>
  <c r="EC76" i="18"/>
  <c r="BG66" i="18"/>
  <c r="BG40" i="18"/>
  <c r="N31" i="30" s="1"/>
  <c r="EC62" i="18"/>
  <c r="N103" i="30" s="1"/>
  <c r="BG38" i="18"/>
  <c r="N29" i="30" s="1"/>
  <c r="BG169" i="18"/>
  <c r="BG24" i="18"/>
  <c r="BG134" i="18"/>
  <c r="EC86" i="18"/>
  <c r="H277" i="30" s="1"/>
  <c r="BG138" i="18"/>
  <c r="N224" i="30" s="1"/>
  <c r="N223" i="30" s="1"/>
  <c r="BG106" i="18"/>
  <c r="EH106" i="18" s="1"/>
  <c r="EC63" i="18"/>
  <c r="N104" i="30" s="1"/>
  <c r="AB65" i="16"/>
  <c r="AB66" i="16"/>
  <c r="AB67" i="16"/>
  <c r="AB222" i="16"/>
  <c r="AB223" i="16"/>
  <c r="M126" i="24"/>
  <c r="M127" i="24"/>
  <c r="M128" i="24"/>
  <c r="BH20" i="18"/>
  <c r="BH21" i="18"/>
  <c r="BI168" i="18" s="1"/>
  <c r="BH23" i="18"/>
  <c r="BI40" i="18" s="1"/>
  <c r="O31" i="30" s="1"/>
  <c r="ED49" i="18"/>
  <c r="ED50" i="18"/>
  <c r="ED51" i="18"/>
  <c r="BH174" i="18"/>
  <c r="BH175" i="18"/>
  <c r="BH176" i="18"/>
  <c r="J580" i="14"/>
  <c r="J588" i="14"/>
  <c r="BH96" i="18"/>
  <c r="M125" i="25"/>
  <c r="M7" i="25" l="1"/>
  <c r="D494" i="14" s="1"/>
  <c r="M351" i="24"/>
  <c r="D910" i="14" s="1"/>
  <c r="D955" i="14" s="1"/>
  <c r="AD75" i="17"/>
  <c r="AD7" i="17"/>
  <c r="AD8" i="17" s="1"/>
  <c r="AF80" i="17"/>
  <c r="AF77" i="17" s="1"/>
  <c r="AH80" i="17"/>
  <c r="AH77" i="17" s="1"/>
  <c r="AL80" i="17"/>
  <c r="AL77" i="17" s="1"/>
  <c r="M238" i="30"/>
  <c r="J238" i="30"/>
  <c r="AJ80" i="17"/>
  <c r="AJ77" i="17" s="1"/>
  <c r="AK80" i="17"/>
  <c r="AK77" i="17" s="1"/>
  <c r="AM80" i="17"/>
  <c r="AM77" i="17" s="1"/>
  <c r="N238" i="30"/>
  <c r="EG138" i="18"/>
  <c r="M224" i="30"/>
  <c r="M223" i="30" s="1"/>
  <c r="BH44" i="18"/>
  <c r="AY39" i="18"/>
  <c r="G30" i="30" s="1"/>
  <c r="G36" i="30" s="1"/>
  <c r="AX44" i="18"/>
  <c r="L39" i="19"/>
  <c r="AT168" i="18"/>
  <c r="M165" i="24"/>
  <c r="M161" i="24"/>
  <c r="L165" i="24"/>
  <c r="L161" i="24"/>
  <c r="I583" i="14" s="1"/>
  <c r="I165" i="24"/>
  <c r="I161" i="24"/>
  <c r="I200" i="24" s="1"/>
  <c r="I198" i="24" s="1"/>
  <c r="K165" i="24"/>
  <c r="K161" i="24"/>
  <c r="K200" i="24" s="1"/>
  <c r="K198" i="24" s="1"/>
  <c r="J165" i="24"/>
  <c r="J161" i="24"/>
  <c r="J200" i="24" s="1"/>
  <c r="J198" i="24" s="1"/>
  <c r="K414" i="11"/>
  <c r="L52" i="24"/>
  <c r="C812" i="14"/>
  <c r="C808" i="14"/>
  <c r="I52" i="24"/>
  <c r="I112" i="24"/>
  <c r="C790" i="14" s="1"/>
  <c r="J112" i="24"/>
  <c r="D790" i="14" s="1"/>
  <c r="J52" i="24"/>
  <c r="Z116" i="24"/>
  <c r="Q843" i="14" s="1"/>
  <c r="Z52" i="24"/>
  <c r="L118" i="24"/>
  <c r="C830" i="14" s="1"/>
  <c r="L112" i="24"/>
  <c r="F790" i="14" s="1"/>
  <c r="H42" i="24"/>
  <c r="H110" i="24"/>
  <c r="H121" i="24" s="1"/>
  <c r="H115" i="24"/>
  <c r="H122" i="24" s="1"/>
  <c r="H106" i="24"/>
  <c r="H105" i="24"/>
  <c r="I42" i="24"/>
  <c r="I50" i="24" s="1"/>
  <c r="I110" i="24"/>
  <c r="I115" i="24"/>
  <c r="I105" i="24"/>
  <c r="I106" i="24"/>
  <c r="J42" i="24"/>
  <c r="J110" i="24"/>
  <c r="J115" i="24"/>
  <c r="J106" i="24"/>
  <c r="J105" i="24"/>
  <c r="L115" i="24"/>
  <c r="L106" i="24"/>
  <c r="L105" i="24"/>
  <c r="L110" i="24"/>
  <c r="G31" i="19"/>
  <c r="Y110" i="16"/>
  <c r="E770" i="14"/>
  <c r="BM147" i="18"/>
  <c r="BL147" i="18" s="1"/>
  <c r="Y111" i="16"/>
  <c r="E369" i="25"/>
  <c r="E371" i="25" s="1"/>
  <c r="E373" i="25" s="1"/>
  <c r="AE38" i="17"/>
  <c r="AE27" i="17" s="1"/>
  <c r="AO33" i="18"/>
  <c r="H32" i="19" s="1"/>
  <c r="EF168" i="18"/>
  <c r="K6" i="25"/>
  <c r="H597" i="14" s="1"/>
  <c r="BI37" i="18"/>
  <c r="O28" i="30" s="1"/>
  <c r="C1098" i="14"/>
  <c r="BF74" i="18"/>
  <c r="EG74" i="18" s="1"/>
  <c r="G272" i="30"/>
  <c r="K280" i="30" s="1"/>
  <c r="I100" i="30"/>
  <c r="C272" i="30"/>
  <c r="BJ41" i="18"/>
  <c r="P32" i="30" s="1"/>
  <c r="P30" i="30"/>
  <c r="P36" i="30" s="1"/>
  <c r="AM5" i="17"/>
  <c r="AM69" i="17" s="1"/>
  <c r="H272" i="30"/>
  <c r="BB132" i="18"/>
  <c r="J198" i="30" s="1"/>
  <c r="D272" i="30"/>
  <c r="BD70" i="18"/>
  <c r="EE70" i="18" s="1"/>
  <c r="E272" i="30"/>
  <c r="I280" i="30" s="1"/>
  <c r="P272" i="30"/>
  <c r="U272" i="30"/>
  <c r="EF24" i="18"/>
  <c r="F587" i="14"/>
  <c r="F579" i="14"/>
  <c r="E599" i="14"/>
  <c r="Y250" i="24"/>
  <c r="Z250" i="24" s="1"/>
  <c r="EB175" i="18"/>
  <c r="CX66" i="18"/>
  <c r="N25" i="1"/>
  <c r="O25" i="1" s="1"/>
  <c r="P25" i="1" s="1"/>
  <c r="K24" i="20" s="1"/>
  <c r="E505" i="14"/>
  <c r="C544" i="14" s="1"/>
  <c r="E995" i="14"/>
  <c r="L172" i="25"/>
  <c r="C1004" i="14"/>
  <c r="C1007" i="14" s="1"/>
  <c r="L24" i="27"/>
  <c r="J996" i="14"/>
  <c r="M24" i="27"/>
  <c r="K996" i="14"/>
  <c r="W84" i="14"/>
  <c r="AH46" i="14" s="1"/>
  <c r="CU120" i="18"/>
  <c r="AW145" i="18"/>
  <c r="AE75" i="17" s="1"/>
  <c r="AX41" i="18"/>
  <c r="DW105" i="18"/>
  <c r="M5" i="25"/>
  <c r="AB38" i="16" s="1"/>
  <c r="D866" i="14"/>
  <c r="L42" i="24"/>
  <c r="L50" i="24" s="1"/>
  <c r="C818" i="14"/>
  <c r="D877" i="14"/>
  <c r="K82" i="25"/>
  <c r="U84" i="16"/>
  <c r="BA70" i="18"/>
  <c r="BA90" i="18"/>
  <c r="BB90" i="18" s="1"/>
  <c r="EC90" i="18" s="1"/>
  <c r="H130" i="30"/>
  <c r="Y133" i="24"/>
  <c r="Y134" i="24" s="1"/>
  <c r="P819" i="14"/>
  <c r="P820" i="14" s="1"/>
  <c r="P917" i="14"/>
  <c r="Z302" i="24"/>
  <c r="AA7" i="17"/>
  <c r="AA8" i="17" s="1"/>
  <c r="BG93" i="18"/>
  <c r="AI38" i="17"/>
  <c r="AM58" i="17" s="1"/>
  <c r="EA90" i="18"/>
  <c r="AY34" i="18"/>
  <c r="Q818" i="14"/>
  <c r="Z49" i="24"/>
  <c r="Z45" i="24"/>
  <c r="Z62" i="16"/>
  <c r="K61" i="24"/>
  <c r="E273" i="21"/>
  <c r="E715" i="21" s="1"/>
  <c r="DR144" i="18"/>
  <c r="BA74" i="18"/>
  <c r="BA79" i="18" s="1"/>
  <c r="K38" i="24"/>
  <c r="H579" i="14" s="1"/>
  <c r="BA170" i="18"/>
  <c r="BA128" i="18"/>
  <c r="F232" i="30"/>
  <c r="DX174" i="18"/>
  <c r="AH5" i="17"/>
  <c r="AH69" i="17" s="1"/>
  <c r="BA171" i="18"/>
  <c r="DW171" i="18" s="1"/>
  <c r="M173" i="25"/>
  <c r="AC95" i="17" s="1"/>
  <c r="C757" i="14"/>
  <c r="M174" i="25"/>
  <c r="C758" i="14"/>
  <c r="N154" i="25"/>
  <c r="CY168" i="18"/>
  <c r="BA91" i="18"/>
  <c r="I131" i="30" s="1"/>
  <c r="G238" i="30"/>
  <c r="AH38" i="17"/>
  <c r="AH27" i="17" s="1"/>
  <c r="AH28" i="17" s="1"/>
  <c r="AL48" i="17" s="1"/>
  <c r="AY139" i="18"/>
  <c r="AY140" i="18" s="1"/>
  <c r="G226" i="30" s="1"/>
  <c r="AJ38" i="17"/>
  <c r="AN58" i="17" s="1"/>
  <c r="CC20" i="18"/>
  <c r="CC38" i="18" s="1"/>
  <c r="DR145" i="18"/>
  <c r="AB74" i="18"/>
  <c r="AB79" i="18" s="1"/>
  <c r="AB86" i="18" s="1"/>
  <c r="N10" i="17" s="1"/>
  <c r="N30" i="17" s="1"/>
  <c r="E67" i="1"/>
  <c r="BT4" i="21"/>
  <c r="N5" i="17"/>
  <c r="N69" i="17" s="1"/>
  <c r="CL16" i="18"/>
  <c r="Q71" i="17"/>
  <c r="AC5" i="17"/>
  <c r="AC69" i="17" s="1"/>
  <c r="DZ25" i="18"/>
  <c r="K238" i="30"/>
  <c r="BW23" i="21"/>
  <c r="CI10" i="21" s="1"/>
  <c r="CI12" i="21" s="1"/>
  <c r="AZ131" i="18"/>
  <c r="AZ132" i="18" s="1"/>
  <c r="H198" i="30" s="1"/>
  <c r="AI30" i="17"/>
  <c r="AM50" i="17" s="1"/>
  <c r="C426" i="14"/>
  <c r="CZ9" i="1"/>
  <c r="N18" i="1"/>
  <c r="CB18" i="1" s="1"/>
  <c r="CN4" i="1" s="1"/>
  <c r="CN6" i="1" s="1"/>
  <c r="L403" i="1"/>
  <c r="AU171" i="18"/>
  <c r="AU74" i="18"/>
  <c r="AU79" i="18" s="1"/>
  <c r="AU82" i="18" s="1"/>
  <c r="BE93" i="18"/>
  <c r="S88" i="14"/>
  <c r="AD56" i="14" s="1"/>
  <c r="BC32" i="18"/>
  <c r="N30" i="19" s="1"/>
  <c r="D383" i="25"/>
  <c r="D403" i="25" s="1"/>
  <c r="R92" i="25"/>
  <c r="S22" i="16"/>
  <c r="E504" i="14"/>
  <c r="X504" i="14" s="1"/>
  <c r="G18" i="27"/>
  <c r="AC110" i="16"/>
  <c r="EK95" i="18"/>
  <c r="D22" i="27"/>
  <c r="K155" i="25"/>
  <c r="EK120" i="18"/>
  <c r="EJ120" i="18"/>
  <c r="R121" i="1"/>
  <c r="CP63" i="18"/>
  <c r="CP120" i="18"/>
  <c r="U84" i="14"/>
  <c r="AF46" i="14" s="1"/>
  <c r="CD26" i="21"/>
  <c r="AA59" i="17"/>
  <c r="N427" i="21"/>
  <c r="O427" i="21" s="1"/>
  <c r="DD169" i="18"/>
  <c r="G251" i="25"/>
  <c r="G250" i="25" s="1"/>
  <c r="J445" i="11"/>
  <c r="J449" i="11"/>
  <c r="D394" i="11"/>
  <c r="H388" i="11"/>
  <c r="CV25" i="18"/>
  <c r="T59" i="17"/>
  <c r="BI25" i="18"/>
  <c r="EE25" i="18" s="1"/>
  <c r="BJ170" i="18"/>
  <c r="BJ171" i="18"/>
  <c r="Q51" i="17"/>
  <c r="D396" i="21"/>
  <c r="D403" i="21" s="1"/>
  <c r="EG168" i="18"/>
  <c r="EG24" i="18"/>
  <c r="EG21" i="18"/>
  <c r="C107" i="24"/>
  <c r="C106" i="24"/>
  <c r="E107" i="24"/>
  <c r="E106" i="24"/>
  <c r="C578" i="14"/>
  <c r="F106" i="24"/>
  <c r="C582" i="14" s="1"/>
  <c r="G106" i="24"/>
  <c r="D582" i="14" s="1"/>
  <c r="M6" i="25"/>
  <c r="AB39" i="16" s="1"/>
  <c r="BI169" i="18"/>
  <c r="J578" i="14"/>
  <c r="J593" i="14" s="1"/>
  <c r="N107" i="24"/>
  <c r="N73" i="24" s="1"/>
  <c r="J366" i="11"/>
  <c r="B547" i="21"/>
  <c r="K355" i="11"/>
  <c r="H175" i="25"/>
  <c r="DV90" i="18"/>
  <c r="H136" i="30" s="1"/>
  <c r="CS169" i="18"/>
  <c r="C63" i="1"/>
  <c r="O35" i="31"/>
  <c r="P35" i="31"/>
  <c r="Q35" i="31"/>
  <c r="R35" i="31"/>
  <c r="X88" i="14"/>
  <c r="AI56" i="14" s="1"/>
  <c r="X89" i="14"/>
  <c r="AI61" i="14" s="1"/>
  <c r="CE26" i="21"/>
  <c r="D67" i="1"/>
  <c r="F149" i="25"/>
  <c r="T92" i="25"/>
  <c r="AF60" i="17"/>
  <c r="D425" i="11"/>
  <c r="CV176" i="18"/>
  <c r="Y61" i="17"/>
  <c r="J252" i="11"/>
  <c r="D325" i="11" s="1"/>
  <c r="K459" i="11"/>
  <c r="EI120" i="18"/>
  <c r="D380" i="11"/>
  <c r="D355" i="11"/>
  <c r="D345" i="11"/>
  <c r="H343" i="11"/>
  <c r="H352" i="11"/>
  <c r="H363" i="11"/>
  <c r="D385" i="11"/>
  <c r="D395" i="11"/>
  <c r="CZ63" i="18"/>
  <c r="AD61" i="17"/>
  <c r="Z90" i="14"/>
  <c r="DH168" i="18"/>
  <c r="CW169" i="18"/>
  <c r="DW176" i="18"/>
  <c r="O60" i="17"/>
  <c r="CR169" i="18"/>
  <c r="G143" i="30"/>
  <c r="K404" i="11"/>
  <c r="N411" i="21"/>
  <c r="N141" i="21" s="1"/>
  <c r="N640" i="21" s="1"/>
  <c r="U86" i="14"/>
  <c r="AF96" i="14" s="1"/>
  <c r="EB99" i="18"/>
  <c r="I329" i="14"/>
  <c r="AN32" i="18"/>
  <c r="G30" i="19" s="1"/>
  <c r="EA99" i="18"/>
  <c r="R88" i="14"/>
  <c r="AC56" i="14" s="1"/>
  <c r="H374" i="11"/>
  <c r="AS153" i="18"/>
  <c r="J173" i="25" s="1"/>
  <c r="J175" i="25" s="1"/>
  <c r="ED63" i="18"/>
  <c r="DZ102" i="18"/>
  <c r="AV149" i="18"/>
  <c r="DR149" i="18" s="1"/>
  <c r="T84" i="14"/>
  <c r="AE46" i="14" s="1"/>
  <c r="AX34" i="18"/>
  <c r="AD80" i="17"/>
  <c r="AD77" i="17" s="1"/>
  <c r="E153" i="14"/>
  <c r="E180" i="14" s="1"/>
  <c r="H434" i="11"/>
  <c r="CC128" i="18"/>
  <c r="CC87" i="18"/>
  <c r="DV169" i="18"/>
  <c r="DO111" i="18"/>
  <c r="E149" i="14"/>
  <c r="E176" i="14" s="1"/>
  <c r="F429" i="14"/>
  <c r="DO73" i="18"/>
  <c r="ED73" i="18"/>
  <c r="O304" i="24"/>
  <c r="N303" i="24"/>
  <c r="Z65" i="16"/>
  <c r="K100" i="24"/>
  <c r="K157" i="24" s="1"/>
  <c r="K55" i="24"/>
  <c r="J41" i="24"/>
  <c r="K41" i="24"/>
  <c r="M41" i="24"/>
  <c r="L41" i="24"/>
  <c r="DE51" i="18"/>
  <c r="AN61" i="18"/>
  <c r="AV74" i="18"/>
  <c r="AV79" i="18" s="1"/>
  <c r="AV80" i="18" s="1"/>
  <c r="AE59" i="17"/>
  <c r="DO105" i="18"/>
  <c r="AW70" i="18"/>
  <c r="CY25" i="1"/>
  <c r="AV70" i="18"/>
  <c r="N16" i="18"/>
  <c r="DV175" i="18"/>
  <c r="DJ109" i="18"/>
  <c r="DY77" i="18"/>
  <c r="L49" i="24"/>
  <c r="E100" i="30"/>
  <c r="AW170" i="18"/>
  <c r="DT24" i="18"/>
  <c r="W82" i="14"/>
  <c r="AH36" i="14" s="1"/>
  <c r="R89" i="14"/>
  <c r="AC61" i="14" s="1"/>
  <c r="I364" i="14"/>
  <c r="DH174" i="18"/>
  <c r="H222" i="25"/>
  <c r="W75" i="16" s="1"/>
  <c r="W77" i="16" s="1"/>
  <c r="DW168" i="18"/>
  <c r="AV128" i="18"/>
  <c r="AA41" i="18"/>
  <c r="O272" i="1"/>
  <c r="P312" i="1" s="1"/>
  <c r="CP19" i="18"/>
  <c r="DD175" i="18"/>
  <c r="N61" i="18"/>
  <c r="X7" i="17"/>
  <c r="X8" i="17" s="1"/>
  <c r="D406" i="11"/>
  <c r="D418" i="11"/>
  <c r="D427" i="11"/>
  <c r="F222" i="25"/>
  <c r="U75" i="16" s="1"/>
  <c r="U72" i="16" s="1"/>
  <c r="DW169" i="18"/>
  <c r="S61" i="18"/>
  <c r="C222" i="25"/>
  <c r="C227" i="25" s="1"/>
  <c r="C228" i="25" s="1"/>
  <c r="F422" i="14"/>
  <c r="DA176" i="18"/>
  <c r="DG139" i="18"/>
  <c r="E222" i="25"/>
  <c r="T75" i="16" s="1"/>
  <c r="CT168" i="18"/>
  <c r="EK109" i="18"/>
  <c r="DV176" i="18"/>
  <c r="DU174" i="18"/>
  <c r="AD61" i="18"/>
  <c r="Z39" i="14"/>
  <c r="CV175" i="18"/>
  <c r="AE5" i="17"/>
  <c r="AE69" i="17" s="1"/>
  <c r="DW66" i="18"/>
  <c r="I107" i="30" s="1"/>
  <c r="G118" i="25"/>
  <c r="DG169" i="18"/>
  <c r="G27" i="17"/>
  <c r="G25" i="17" s="1"/>
  <c r="D327" i="21"/>
  <c r="CZ25" i="1"/>
  <c r="D9" i="24"/>
  <c r="C154" i="25"/>
  <c r="CP111" i="18"/>
  <c r="DH139" i="18"/>
  <c r="I27" i="17"/>
  <c r="I28" i="17" s="1"/>
  <c r="AC61" i="17"/>
  <c r="H39" i="24"/>
  <c r="H49" i="24"/>
  <c r="J39" i="24"/>
  <c r="J49" i="24"/>
  <c r="R98" i="25"/>
  <c r="X62" i="16"/>
  <c r="DO9" i="18"/>
  <c r="K455" i="11"/>
  <c r="K61" i="17"/>
  <c r="M59" i="17"/>
  <c r="K175" i="25"/>
  <c r="D27" i="27" s="1"/>
  <c r="D30" i="27" s="1"/>
  <c r="CU127" i="18"/>
  <c r="AA60" i="17"/>
  <c r="I365" i="25"/>
  <c r="Z86" i="14"/>
  <c r="D659" i="21"/>
  <c r="BU13" i="21"/>
  <c r="H39" i="1"/>
  <c r="AU131" i="18"/>
  <c r="AC11" i="17" s="1"/>
  <c r="AC71" i="17" s="1"/>
  <c r="K363" i="11"/>
  <c r="K346" i="11"/>
  <c r="K388" i="11"/>
  <c r="CZ174" i="18"/>
  <c r="DU175" i="18"/>
  <c r="AI61" i="18"/>
  <c r="Q98" i="25"/>
  <c r="AA61" i="17"/>
  <c r="K7" i="11"/>
  <c r="F79" i="1"/>
  <c r="AS33" i="18"/>
  <c r="L32" i="19" s="1"/>
  <c r="AO74" i="18"/>
  <c r="AO79" i="18" s="1"/>
  <c r="AO86" i="18" s="1"/>
  <c r="AO96" i="18" s="1"/>
  <c r="DB175" i="18"/>
  <c r="Z36" i="14"/>
  <c r="N285" i="1"/>
  <c r="H356" i="25"/>
  <c r="Z76" i="14"/>
  <c r="Y16" i="18"/>
  <c r="BU26" i="21"/>
  <c r="M81" i="25"/>
  <c r="M387" i="25" s="1"/>
  <c r="M406" i="25" s="1"/>
  <c r="CU9" i="18"/>
  <c r="Q7" i="17"/>
  <c r="Q8" i="17" s="1"/>
  <c r="J394" i="11"/>
  <c r="J422" i="11"/>
  <c r="J403" i="11"/>
  <c r="D314" i="14"/>
  <c r="CC26" i="21"/>
  <c r="J271" i="21"/>
  <c r="B398" i="21"/>
  <c r="F23" i="24"/>
  <c r="G23" i="24" s="1"/>
  <c r="G22" i="24" s="1"/>
  <c r="CQ175" i="18"/>
  <c r="CZ51" i="18"/>
  <c r="DO83" i="18"/>
  <c r="AU97" i="18"/>
  <c r="S98" i="25"/>
  <c r="DW24" i="18"/>
  <c r="Q25" i="18"/>
  <c r="CN25" i="18" s="1"/>
  <c r="M43" i="20"/>
  <c r="K389" i="11"/>
  <c r="J435" i="11"/>
  <c r="J395" i="11"/>
  <c r="P92" i="25"/>
  <c r="F46" i="25"/>
  <c r="F47" i="25" s="1"/>
  <c r="K23" i="11"/>
  <c r="K373" i="11"/>
  <c r="K380" i="11"/>
  <c r="K395" i="11"/>
  <c r="J436" i="11"/>
  <c r="J345" i="25"/>
  <c r="CY176" i="18"/>
  <c r="BA100" i="18"/>
  <c r="DW100" i="18" s="1"/>
  <c r="P98" i="25"/>
  <c r="T98" i="25"/>
  <c r="AD60" i="17"/>
  <c r="R71" i="17"/>
  <c r="DE85" i="18"/>
  <c r="Z35" i="14"/>
  <c r="AE171" i="18"/>
  <c r="N24" i="1"/>
  <c r="I23" i="20" s="1"/>
  <c r="Z91" i="14"/>
  <c r="AT33" i="18"/>
  <c r="BD97" i="18"/>
  <c r="Z51" i="14"/>
  <c r="L82" i="25"/>
  <c r="I101" i="14"/>
  <c r="J373" i="11"/>
  <c r="J380" i="11"/>
  <c r="J423" i="11"/>
  <c r="CS24" i="18"/>
  <c r="J424" i="14"/>
  <c r="J425" i="14" s="1"/>
  <c r="CS175" i="18"/>
  <c r="R51" i="17"/>
  <c r="BD128" i="18"/>
  <c r="AE170" i="18"/>
  <c r="Z66" i="14"/>
  <c r="H365" i="25"/>
  <c r="C551" i="21"/>
  <c r="P5" i="17"/>
  <c r="P69" i="17" s="1"/>
  <c r="BE103" i="18"/>
  <c r="DV99" i="18"/>
  <c r="X83" i="14"/>
  <c r="AI41" i="14" s="1"/>
  <c r="J424" i="11"/>
  <c r="CD23" i="21"/>
  <c r="S66" i="18"/>
  <c r="S128" i="18" s="1"/>
  <c r="F118" i="25"/>
  <c r="T22" i="16"/>
  <c r="AC60" i="17"/>
  <c r="AX155" i="18"/>
  <c r="K138" i="25" s="1"/>
  <c r="J27" i="31" s="1"/>
  <c r="Z56" i="14"/>
  <c r="N134" i="21"/>
  <c r="N634" i="21" s="1"/>
  <c r="K362" i="11"/>
  <c r="K385" i="11"/>
  <c r="K418" i="11"/>
  <c r="L38" i="1"/>
  <c r="J371" i="11"/>
  <c r="DB170" i="18"/>
  <c r="AZ87" i="18"/>
  <c r="C309" i="11"/>
  <c r="DS176" i="18"/>
  <c r="K372" i="11"/>
  <c r="K66" i="11"/>
  <c r="J431" i="11"/>
  <c r="CC15" i="18"/>
  <c r="CC34" i="18" s="1"/>
  <c r="I49" i="24"/>
  <c r="DA174" i="18"/>
  <c r="E314" i="14"/>
  <c r="L37" i="24"/>
  <c r="M37" i="24"/>
  <c r="D63" i="1"/>
  <c r="P242" i="1"/>
  <c r="P243" i="1" s="1"/>
  <c r="N462" i="21"/>
  <c r="D170" i="30"/>
  <c r="C76" i="20"/>
  <c r="J273" i="21"/>
  <c r="AG170" i="18"/>
  <c r="H410" i="11"/>
  <c r="J37" i="24"/>
  <c r="K37" i="24"/>
  <c r="AA31" i="17"/>
  <c r="E9" i="11"/>
  <c r="N106" i="21"/>
  <c r="N608" i="21" s="1"/>
  <c r="F314" i="14"/>
  <c r="DN149" i="18"/>
  <c r="Y7" i="17"/>
  <c r="Y8" i="17" s="1"/>
  <c r="R41" i="18"/>
  <c r="N60" i="20" s="1"/>
  <c r="U275" i="1"/>
  <c r="H436" i="11"/>
  <c r="F53" i="21"/>
  <c r="F578" i="21" s="1"/>
  <c r="U41" i="18"/>
  <c r="Q60" i="20" s="1"/>
  <c r="L39" i="1"/>
  <c r="S5" i="17"/>
  <c r="S6" i="17" s="1"/>
  <c r="P181" i="21"/>
  <c r="P674" i="21" s="1"/>
  <c r="W83" i="14"/>
  <c r="AH41" i="14" s="1"/>
  <c r="K90" i="11"/>
  <c r="J425" i="11"/>
  <c r="AV96" i="18"/>
  <c r="BV22" i="21"/>
  <c r="Z30" i="16"/>
  <c r="C509" i="14"/>
  <c r="V509" i="14" s="1"/>
  <c r="J410" i="11"/>
  <c r="J359" i="11"/>
  <c r="AG5" i="17"/>
  <c r="AG6" i="17" s="1"/>
  <c r="AG26" i="17" s="1"/>
  <c r="N29" i="1"/>
  <c r="N412" i="1" s="1"/>
  <c r="D356" i="11"/>
  <c r="H422" i="11"/>
  <c r="E349" i="21"/>
  <c r="F349" i="21" s="1"/>
  <c r="N349" i="21" s="1"/>
  <c r="O349" i="21" s="1"/>
  <c r="P349" i="21" s="1"/>
  <c r="Q349" i="21" s="1"/>
  <c r="R349" i="21" s="1"/>
  <c r="S349" i="21" s="1"/>
  <c r="T349" i="21" s="1"/>
  <c r="U349" i="21" s="1"/>
  <c r="V349" i="21" s="1"/>
  <c r="H364" i="14"/>
  <c r="F710" i="21"/>
  <c r="Q181" i="21"/>
  <c r="Q674" i="21" s="1"/>
  <c r="CY175" i="18"/>
  <c r="L43" i="20"/>
  <c r="H435" i="11"/>
  <c r="H478" i="14"/>
  <c r="H19" i="20"/>
  <c r="AW142" i="18"/>
  <c r="AX142" i="18" s="1"/>
  <c r="DT142" i="18" s="1"/>
  <c r="O71" i="17"/>
  <c r="L304" i="24"/>
  <c r="M39" i="24"/>
  <c r="X217" i="16"/>
  <c r="I39" i="24"/>
  <c r="H180" i="24"/>
  <c r="E199" i="25"/>
  <c r="E201" i="25"/>
  <c r="Z37" i="18"/>
  <c r="AD37" i="18" s="1"/>
  <c r="CU19" i="18"/>
  <c r="B550" i="21"/>
  <c r="BT21" i="21"/>
  <c r="BU28" i="21"/>
  <c r="C557" i="21"/>
  <c r="CU83" i="18"/>
  <c r="E271" i="21"/>
  <c r="E713" i="21" s="1"/>
  <c r="L274" i="1"/>
  <c r="N311" i="1"/>
  <c r="N314" i="1" s="1"/>
  <c r="N130" i="1" s="1"/>
  <c r="Z168" i="18"/>
  <c r="CV168" i="18" s="1"/>
  <c r="Z39" i="18"/>
  <c r="AD39" i="18" s="1"/>
  <c r="CU21" i="18"/>
  <c r="DE95" i="18"/>
  <c r="U38" i="17"/>
  <c r="U27" i="17" s="1"/>
  <c r="U7" i="17"/>
  <c r="DF174" i="18"/>
  <c r="G228" i="30"/>
  <c r="DU145" i="18"/>
  <c r="AZ145" i="18"/>
  <c r="H228" i="30" s="1"/>
  <c r="C431" i="14"/>
  <c r="C433" i="14" s="1"/>
  <c r="F541" i="21"/>
  <c r="L9" i="21"/>
  <c r="W295" i="1"/>
  <c r="W305" i="1"/>
  <c r="N43" i="20"/>
  <c r="CO16" i="18"/>
  <c r="K5" i="11"/>
  <c r="E5" i="11"/>
  <c r="D548" i="21"/>
  <c r="BV19" i="21"/>
  <c r="I148" i="21"/>
  <c r="I137" i="21"/>
  <c r="I135" i="21" s="1"/>
  <c r="CK20" i="18"/>
  <c r="CP20" i="18"/>
  <c r="N39" i="17"/>
  <c r="O59" i="17" s="1"/>
  <c r="N59" i="17"/>
  <c r="S71" i="17"/>
  <c r="S31" i="17"/>
  <c r="W51" i="17" s="1"/>
  <c r="CU78" i="18"/>
  <c r="D431" i="14"/>
  <c r="D433" i="14" s="1"/>
  <c r="E428" i="14"/>
  <c r="C429" i="14"/>
  <c r="H67" i="24"/>
  <c r="W219" i="16" s="1"/>
  <c r="DE19" i="18"/>
  <c r="AJ169" i="18"/>
  <c r="Z38" i="18"/>
  <c r="AD38" i="18" s="1"/>
  <c r="Z169" i="18"/>
  <c r="CV169" i="18" s="1"/>
  <c r="AE168" i="18"/>
  <c r="CZ21" i="18"/>
  <c r="AE39" i="18"/>
  <c r="AI39" i="18" s="1"/>
  <c r="Y25" i="18"/>
  <c r="Z138" i="18"/>
  <c r="Z140" i="18" s="1"/>
  <c r="Z106" i="18"/>
  <c r="Z107" i="18" s="1"/>
  <c r="CU84" i="18"/>
  <c r="F225" i="25"/>
  <c r="U76" i="16"/>
  <c r="G304" i="25"/>
  <c r="AJ39" i="18"/>
  <c r="C40" i="19" s="1"/>
  <c r="H72" i="24"/>
  <c r="N271" i="1"/>
  <c r="N274" i="1" s="1"/>
  <c r="D165" i="14"/>
  <c r="D151" i="14"/>
  <c r="D178" i="14" s="1"/>
  <c r="BC146" i="18"/>
  <c r="I233" i="30"/>
  <c r="EB146" i="18"/>
  <c r="E550" i="21"/>
  <c r="BW21" i="21"/>
  <c r="D74" i="1"/>
  <c r="N356" i="1"/>
  <c r="U111" i="16"/>
  <c r="R50" i="20"/>
  <c r="V25" i="18"/>
  <c r="R51" i="20" s="1"/>
  <c r="N155" i="1"/>
  <c r="O155" i="1" s="1"/>
  <c r="P155" i="1" s="1"/>
  <c r="Q155" i="1" s="1"/>
  <c r="R155" i="1" s="1"/>
  <c r="S155" i="1" s="1"/>
  <c r="T155" i="1" s="1"/>
  <c r="U155" i="1" s="1"/>
  <c r="V155" i="1" s="1"/>
  <c r="W155" i="1" s="1"/>
  <c r="L163" i="1"/>
  <c r="J448" i="11"/>
  <c r="W275" i="1"/>
  <c r="I68" i="25"/>
  <c r="C541" i="21"/>
  <c r="BU9" i="21"/>
  <c r="S174" i="18"/>
  <c r="CU174" i="18" s="1"/>
  <c r="CU50" i="18"/>
  <c r="E421" i="14"/>
  <c r="H421" i="14" s="1"/>
  <c r="H428" i="14" s="1"/>
  <c r="G428" i="14" s="1"/>
  <c r="S38" i="17"/>
  <c r="W58" i="17" s="1"/>
  <c r="J60" i="17"/>
  <c r="CZ19" i="18"/>
  <c r="S78" i="20"/>
  <c r="C225" i="25"/>
  <c r="M23" i="25"/>
  <c r="F362" i="21"/>
  <c r="F363" i="21" s="1"/>
  <c r="F356" i="21" s="1"/>
  <c r="G196" i="30"/>
  <c r="G197" i="30" s="1"/>
  <c r="N50" i="20"/>
  <c r="DU131" i="18"/>
  <c r="O29" i="1"/>
  <c r="DC175" i="18"/>
  <c r="H38" i="17"/>
  <c r="H27" i="17" s="1"/>
  <c r="H28" i="17" s="1"/>
  <c r="DZ146" i="18"/>
  <c r="E118" i="25"/>
  <c r="CY174" i="18"/>
  <c r="CZ109" i="18"/>
  <c r="E140" i="25"/>
  <c r="DP69" i="18"/>
  <c r="DZ69" i="18"/>
  <c r="T110" i="25"/>
  <c r="AZ128" i="18"/>
  <c r="H12" i="25"/>
  <c r="H139" i="25" s="1"/>
  <c r="E364" i="14"/>
  <c r="L407" i="1"/>
  <c r="Z82" i="16"/>
  <c r="I92" i="14"/>
  <c r="AS32" i="18"/>
  <c r="L30" i="19" s="1"/>
  <c r="F78" i="18"/>
  <c r="CH78" i="18" s="1"/>
  <c r="L40" i="1"/>
  <c r="DA9" i="1"/>
  <c r="D118" i="25"/>
  <c r="AU170" i="18"/>
  <c r="DV170" i="18" s="1"/>
  <c r="F27" i="17"/>
  <c r="F28" i="17" s="1"/>
  <c r="CY9" i="1"/>
  <c r="O422" i="21"/>
  <c r="P422" i="21" s="1"/>
  <c r="DR105" i="18"/>
  <c r="M41" i="19"/>
  <c r="E296" i="14"/>
  <c r="F296" i="14" s="1"/>
  <c r="G296" i="14" s="1"/>
  <c r="E366" i="21"/>
  <c r="C399" i="21"/>
  <c r="B399" i="21"/>
  <c r="B69" i="1"/>
  <c r="CW176" i="18"/>
  <c r="I222" i="25"/>
  <c r="I227" i="25" s="1"/>
  <c r="BA41" i="18"/>
  <c r="AU101" i="18"/>
  <c r="AU102" i="18" s="1"/>
  <c r="AU103" i="18" s="1"/>
  <c r="S51" i="17"/>
  <c r="AZ70" i="18"/>
  <c r="DV70" i="18" s="1"/>
  <c r="AF38" i="17"/>
  <c r="AF27" i="17" s="1"/>
  <c r="AF28" i="17" s="1"/>
  <c r="F628" i="21"/>
  <c r="BU23" i="21"/>
  <c r="E259" i="21"/>
  <c r="K40" i="11"/>
  <c r="AI71" i="17"/>
  <c r="AI72" i="17" s="1"/>
  <c r="AI76" i="17" s="1"/>
  <c r="V88" i="14"/>
  <c r="AG56" i="14" s="1"/>
  <c r="K117" i="11"/>
  <c r="K441" i="11"/>
  <c r="K446" i="11"/>
  <c r="K450" i="11"/>
  <c r="K464" i="11"/>
  <c r="D378" i="11"/>
  <c r="D366" i="11"/>
  <c r="D352" i="11"/>
  <c r="D343" i="11"/>
  <c r="H345" i="11"/>
  <c r="H355" i="11"/>
  <c r="H366" i="11"/>
  <c r="H377" i="11"/>
  <c r="H392" i="11"/>
  <c r="J57" i="11"/>
  <c r="D410" i="11"/>
  <c r="K420" i="11"/>
  <c r="H401" i="11"/>
  <c r="C314" i="14"/>
  <c r="E350" i="21"/>
  <c r="F350" i="21" s="1"/>
  <c r="N350" i="21" s="1"/>
  <c r="O350" i="21" s="1"/>
  <c r="P350" i="21" s="1"/>
  <c r="Q350" i="21" s="1"/>
  <c r="R350" i="21" s="1"/>
  <c r="S350" i="21" s="1"/>
  <c r="T350" i="21" s="1"/>
  <c r="U350" i="21" s="1"/>
  <c r="V350" i="21" s="1"/>
  <c r="CJ28" i="1"/>
  <c r="CK9" i="18"/>
  <c r="CU20" i="18"/>
  <c r="DC66" i="18"/>
  <c r="AF41" i="18"/>
  <c r="K458" i="11"/>
  <c r="F366" i="25"/>
  <c r="CK23" i="18"/>
  <c r="CR174" i="18"/>
  <c r="C69" i="1"/>
  <c r="C71" i="1" s="1"/>
  <c r="CY66" i="18"/>
  <c r="L238" i="30"/>
  <c r="AF71" i="17"/>
  <c r="H22" i="20"/>
  <c r="I34" i="24"/>
  <c r="Z69" i="14"/>
  <c r="H7" i="17"/>
  <c r="H8" i="17" s="1"/>
  <c r="DG176" i="18"/>
  <c r="F101" i="14"/>
  <c r="D405" i="21"/>
  <c r="D69" i="1"/>
  <c r="D71" i="1" s="1"/>
  <c r="F320" i="25"/>
  <c r="S92" i="25"/>
  <c r="F829" i="21"/>
  <c r="F508" i="1"/>
  <c r="F509" i="1" s="1"/>
  <c r="DA31" i="1"/>
  <c r="AV170" i="18"/>
  <c r="N131" i="21"/>
  <c r="O131" i="21" s="1"/>
  <c r="O631" i="21" s="1"/>
  <c r="AI66" i="18"/>
  <c r="H34" i="25" s="1"/>
  <c r="AZ171" i="18"/>
  <c r="Q41" i="18"/>
  <c r="M60" i="20" s="1"/>
  <c r="AX33" i="18"/>
  <c r="M32" i="19" s="1"/>
  <c r="B71" i="21"/>
  <c r="B596" i="21" s="1"/>
  <c r="J128" i="18"/>
  <c r="G85" i="20" s="1"/>
  <c r="V84" i="14"/>
  <c r="AG46" i="14" s="1"/>
  <c r="S99" i="14"/>
  <c r="AD86" i="14" s="1"/>
  <c r="J461" i="11"/>
  <c r="J377" i="11"/>
  <c r="Q25" i="16"/>
  <c r="Q26" i="16" s="1"/>
  <c r="I33" i="18"/>
  <c r="B316" i="21"/>
  <c r="D401" i="21"/>
  <c r="D398" i="21"/>
  <c r="B489" i="21"/>
  <c r="B492" i="21" s="1"/>
  <c r="B495" i="21" s="1"/>
  <c r="CY31" i="1"/>
  <c r="CR66" i="18"/>
  <c r="Z60" i="16"/>
  <c r="N25" i="18"/>
  <c r="CU15" i="18"/>
  <c r="Z170" i="18"/>
  <c r="CC19" i="18"/>
  <c r="CC37" i="18" s="1"/>
  <c r="EA176" i="18"/>
  <c r="Q92" i="25"/>
  <c r="DR111" i="18"/>
  <c r="ED15" i="18"/>
  <c r="AD5" i="17"/>
  <c r="AD69" i="17" s="1"/>
  <c r="CN24" i="18"/>
  <c r="AY33" i="18"/>
  <c r="X31" i="17"/>
  <c r="AB51" i="17" s="1"/>
  <c r="C67" i="1"/>
  <c r="AY134" i="18"/>
  <c r="DU134" i="18" s="1"/>
  <c r="N423" i="21"/>
  <c r="O423" i="21" s="1"/>
  <c r="P423" i="21" s="1"/>
  <c r="Q463" i="21" s="1"/>
  <c r="AG60" i="17"/>
  <c r="X85" i="14"/>
  <c r="AI51" i="14" s="1"/>
  <c r="K393" i="11"/>
  <c r="J415" i="11"/>
  <c r="DA25" i="1"/>
  <c r="CJ25" i="1"/>
  <c r="CP84" i="18"/>
  <c r="F188" i="24"/>
  <c r="J267" i="24"/>
  <c r="Z216" i="16"/>
  <c r="K35" i="24"/>
  <c r="E264" i="24"/>
  <c r="E222" i="24"/>
  <c r="D236" i="30"/>
  <c r="AC78" i="17"/>
  <c r="BB170" i="18"/>
  <c r="F22" i="31"/>
  <c r="V22" i="16"/>
  <c r="EH102" i="18"/>
  <c r="BG103" i="18"/>
  <c r="U31" i="17"/>
  <c r="Y51" i="17" s="1"/>
  <c r="U71" i="17"/>
  <c r="J150" i="24"/>
  <c r="DT15" i="18"/>
  <c r="DV25" i="18"/>
  <c r="D82" i="12"/>
  <c r="D64" i="12" s="1"/>
  <c r="E35" i="12"/>
  <c r="DW25" i="18"/>
  <c r="DK174" i="18"/>
  <c r="DT4" i="18"/>
  <c r="DT55" i="18"/>
  <c r="AT97" i="18"/>
  <c r="AT132" i="18"/>
  <c r="C198" i="30" s="1"/>
  <c r="AT128" i="18"/>
  <c r="AT171" i="18"/>
  <c r="C100" i="30"/>
  <c r="AT170" i="18"/>
  <c r="DP66" i="18"/>
  <c r="AT87" i="18"/>
  <c r="AW116" i="18"/>
  <c r="DR120" i="18"/>
  <c r="DW116" i="18"/>
  <c r="L150" i="24"/>
  <c r="Z61" i="16"/>
  <c r="AB7" i="17"/>
  <c r="AB8" i="17" s="1"/>
  <c r="AB38" i="17"/>
  <c r="AF58" i="17" s="1"/>
  <c r="E515" i="14"/>
  <c r="DJ50" i="18"/>
  <c r="H148" i="24"/>
  <c r="H71" i="25"/>
  <c r="DE112" i="18"/>
  <c r="D5" i="19"/>
  <c r="AK74" i="18"/>
  <c r="DG74" i="18" s="1"/>
  <c r="AK170" i="18"/>
  <c r="DG170" i="18" s="1"/>
  <c r="AK128" i="18"/>
  <c r="DG66" i="18"/>
  <c r="D6" i="19" s="1"/>
  <c r="C27" i="17"/>
  <c r="C28" i="17" s="1"/>
  <c r="G54" i="17"/>
  <c r="H28" i="30"/>
  <c r="AZ41" i="18"/>
  <c r="H32" i="30" s="1"/>
  <c r="AX120" i="18"/>
  <c r="DX120" i="18"/>
  <c r="DS120" i="18"/>
  <c r="DE109" i="18"/>
  <c r="Z40" i="14"/>
  <c r="Z65" i="14"/>
  <c r="Z60" i="14"/>
  <c r="Z80" i="14"/>
  <c r="Z50" i="14"/>
  <c r="Z85" i="14"/>
  <c r="Z95" i="14"/>
  <c r="Z45" i="14"/>
  <c r="Z75" i="14"/>
  <c r="Z70" i="14"/>
  <c r="Z100" i="14"/>
  <c r="R411" i="21"/>
  <c r="R141" i="21" s="1"/>
  <c r="R640" i="21" s="1"/>
  <c r="S181" i="21"/>
  <c r="S674" i="21" s="1"/>
  <c r="R486" i="1"/>
  <c r="R489" i="1" s="1"/>
  <c r="Q489" i="1"/>
  <c r="CX25" i="1"/>
  <c r="CX34" i="1"/>
  <c r="C9" i="25"/>
  <c r="R20" i="16" s="1"/>
  <c r="R38" i="16"/>
  <c r="AA5" i="17"/>
  <c r="AK171" i="18"/>
  <c r="DG171" i="18" s="1"/>
  <c r="DW120" i="18"/>
  <c r="DU25" i="18"/>
  <c r="P237" i="16"/>
  <c r="V89" i="14"/>
  <c r="AG61" i="14" s="1"/>
  <c r="O265" i="1"/>
  <c r="O275" i="1"/>
  <c r="O305" i="1"/>
  <c r="O285" i="1"/>
  <c r="BA86" i="18"/>
  <c r="BC86" i="18" s="1"/>
  <c r="AT70" i="18"/>
  <c r="H12" i="14"/>
  <c r="D363" i="11"/>
  <c r="D360" i="11"/>
  <c r="J367" i="11"/>
  <c r="K57" i="11"/>
  <c r="D411" i="11"/>
  <c r="D421" i="11"/>
  <c r="H402" i="11"/>
  <c r="H412" i="11"/>
  <c r="J428" i="11"/>
  <c r="CG111" i="18"/>
  <c r="F111" i="18"/>
  <c r="B613" i="21"/>
  <c r="B123" i="21"/>
  <c r="B624" i="21" s="1"/>
  <c r="F262" i="21"/>
  <c r="F704" i="21" s="1"/>
  <c r="E704" i="21"/>
  <c r="D716" i="21"/>
  <c r="E274" i="21"/>
  <c r="F321" i="21"/>
  <c r="Z84" i="16"/>
  <c r="S197" i="1"/>
  <c r="J54" i="24"/>
  <c r="DO15" i="18"/>
  <c r="AS34" i="18"/>
  <c r="AT34" i="18"/>
  <c r="AH59" i="17"/>
  <c r="I71" i="25"/>
  <c r="DJ112" i="18"/>
  <c r="H73" i="24"/>
  <c r="AJ40" i="18"/>
  <c r="C42" i="19" s="1"/>
  <c r="V38" i="17"/>
  <c r="Z58" i="17" s="1"/>
  <c r="V7" i="17"/>
  <c r="V8" i="17" s="1"/>
  <c r="CP51" i="18"/>
  <c r="CK51" i="18"/>
  <c r="J210" i="24"/>
  <c r="J8" i="25"/>
  <c r="Y40" i="16" s="1"/>
  <c r="I76" i="25"/>
  <c r="I298" i="25" s="1"/>
  <c r="DO116" i="18"/>
  <c r="DJ116" i="18"/>
  <c r="D141" i="30"/>
  <c r="AV89" i="18"/>
  <c r="AB31" i="17"/>
  <c r="AF51" i="17" s="1"/>
  <c r="AB71" i="17"/>
  <c r="AD176" i="18"/>
  <c r="CZ176" i="18" s="1"/>
  <c r="P385" i="21"/>
  <c r="O143" i="21"/>
  <c r="O642" i="21" s="1"/>
  <c r="N464" i="21"/>
  <c r="N424" i="21"/>
  <c r="O424" i="21" s="1"/>
  <c r="P424" i="21" s="1"/>
  <c r="G82" i="12"/>
  <c r="G64" i="12" s="1"/>
  <c r="H35" i="12"/>
  <c r="DR25" i="18"/>
  <c r="E40" i="19"/>
  <c r="C477" i="14"/>
  <c r="DT65" i="18"/>
  <c r="K78" i="20"/>
  <c r="O74" i="18"/>
  <c r="O79" i="18" s="1"/>
  <c r="F23" i="27"/>
  <c r="DU69" i="18"/>
  <c r="AT74" i="18"/>
  <c r="G101" i="14"/>
  <c r="F430" i="11"/>
  <c r="F438" i="11" s="1"/>
  <c r="F452" i="11" s="1"/>
  <c r="F383" i="11"/>
  <c r="F399" i="11" s="1"/>
  <c r="I67" i="24"/>
  <c r="AO37" i="18"/>
  <c r="G35" i="19"/>
  <c r="T31" i="17"/>
  <c r="X51" i="17" s="1"/>
  <c r="T71" i="17"/>
  <c r="I203" i="25"/>
  <c r="J211" i="25"/>
  <c r="J213" i="25"/>
  <c r="T7" i="17"/>
  <c r="T8" i="17" s="1"/>
  <c r="T38" i="17"/>
  <c r="X58" i="17" s="1"/>
  <c r="G207" i="25"/>
  <c r="V23" i="16"/>
  <c r="P105" i="25"/>
  <c r="M40" i="17"/>
  <c r="N60" i="17" s="1"/>
  <c r="M60" i="17"/>
  <c r="V71" i="17"/>
  <c r="V31" i="17"/>
  <c r="Z51" i="17" s="1"/>
  <c r="DP176" i="18"/>
  <c r="DU176" i="18"/>
  <c r="W71" i="17"/>
  <c r="AI175" i="18"/>
  <c r="DJ175" i="18" s="1"/>
  <c r="H147" i="24"/>
  <c r="H158" i="24" s="1"/>
  <c r="DF66" i="18"/>
  <c r="C6" i="19" s="1"/>
  <c r="AJ74" i="18"/>
  <c r="U39" i="17"/>
  <c r="V59" i="17" s="1"/>
  <c r="U59" i="17"/>
  <c r="E28" i="30"/>
  <c r="AV41" i="18"/>
  <c r="E32" i="30" s="1"/>
  <c r="L22" i="19"/>
  <c r="DT127" i="18"/>
  <c r="AE80" i="17"/>
  <c r="AE77" i="17" s="1"/>
  <c r="F238" i="30"/>
  <c r="AW149" i="18"/>
  <c r="AE78" i="17" s="1"/>
  <c r="EF175" i="18"/>
  <c r="EA175" i="18"/>
  <c r="AV86" i="18"/>
  <c r="AV87" i="18" s="1"/>
  <c r="AU91" i="18"/>
  <c r="D131" i="30" s="1"/>
  <c r="EG66" i="18"/>
  <c r="Q107" i="30" s="1"/>
  <c r="BF87" i="18"/>
  <c r="DE110" i="18"/>
  <c r="CZ110" i="18"/>
  <c r="AT113" i="18"/>
  <c r="AT114" i="18" s="1"/>
  <c r="AT107" i="18"/>
  <c r="J72" i="24"/>
  <c r="DT21" i="18"/>
  <c r="AT39" i="18"/>
  <c r="C30" i="30" s="1"/>
  <c r="C36" i="30" s="1"/>
  <c r="AX39" i="18"/>
  <c r="M40" i="19" s="1"/>
  <c r="I129" i="25"/>
  <c r="DJ142" i="18"/>
  <c r="DO142" i="18"/>
  <c r="AX32" i="18"/>
  <c r="M30" i="19" s="1"/>
  <c r="AY32" i="18"/>
  <c r="AX16" i="18"/>
  <c r="G31" i="22"/>
  <c r="G23" i="25"/>
  <c r="G188" i="25" s="1"/>
  <c r="AB5" i="17"/>
  <c r="D353" i="11"/>
  <c r="DV66" i="18"/>
  <c r="H107" i="30" s="1"/>
  <c r="F143" i="21"/>
  <c r="F642" i="21" s="1"/>
  <c r="AB115" i="16"/>
  <c r="AC10" i="17"/>
  <c r="AC30" i="17" s="1"/>
  <c r="L175" i="1"/>
  <c r="B141" i="30"/>
  <c r="E173" i="24"/>
  <c r="F174" i="24" s="1"/>
  <c r="X22" i="16"/>
  <c r="I283" i="25"/>
  <c r="I286" i="25" s="1"/>
  <c r="DJ23" i="18"/>
  <c r="AN40" i="18"/>
  <c r="G42" i="19" s="1"/>
  <c r="DO109" i="18"/>
  <c r="H5" i="19"/>
  <c r="AO70" i="18"/>
  <c r="AO128" i="18"/>
  <c r="AW110" i="18"/>
  <c r="AX110" i="18" s="1"/>
  <c r="DW110" i="18"/>
  <c r="EG174" i="18"/>
  <c r="EB174" i="18"/>
  <c r="AC39" i="17"/>
  <c r="AD59" i="17" s="1"/>
  <c r="AC59" i="17"/>
  <c r="K228" i="30"/>
  <c r="DZ145" i="18"/>
  <c r="ED72" i="18"/>
  <c r="K336" i="25"/>
  <c r="L336" i="25" s="1"/>
  <c r="D379" i="11"/>
  <c r="D367" i="11"/>
  <c r="D344" i="11"/>
  <c r="H344" i="11"/>
  <c r="H364" i="11"/>
  <c r="H375" i="11"/>
  <c r="D386" i="11"/>
  <c r="H390" i="11"/>
  <c r="D407" i="11"/>
  <c r="D419" i="11"/>
  <c r="K428" i="11"/>
  <c r="N339" i="14"/>
  <c r="P170" i="18"/>
  <c r="P74" i="18"/>
  <c r="D16" i="25"/>
  <c r="E46" i="25"/>
  <c r="E47" i="25" s="1"/>
  <c r="T45" i="16"/>
  <c r="E304" i="25"/>
  <c r="CK49" i="18"/>
  <c r="CP112" i="18"/>
  <c r="R10" i="16"/>
  <c r="R123" i="16" s="1"/>
  <c r="G58" i="17"/>
  <c r="G7" i="17"/>
  <c r="G8" i="17" s="1"/>
  <c r="DV168" i="18"/>
  <c r="EF69" i="18"/>
  <c r="EA69" i="18"/>
  <c r="EE146" i="18"/>
  <c r="K233" i="30"/>
  <c r="BH66" i="18"/>
  <c r="BH74" i="18" s="1"/>
  <c r="BT23" i="21"/>
  <c r="S21" i="16"/>
  <c r="S229" i="16" s="1"/>
  <c r="S230" i="16" s="1"/>
  <c r="C75" i="20"/>
  <c r="F592" i="21"/>
  <c r="AB84" i="16"/>
  <c r="AU138" i="18"/>
  <c r="D224" i="30" s="1"/>
  <c r="K20" i="11"/>
  <c r="E20" i="11"/>
  <c r="J450" i="11"/>
  <c r="J456" i="11"/>
  <c r="J460" i="11"/>
  <c r="J464" i="11"/>
  <c r="K411" i="11"/>
  <c r="D74" i="12"/>
  <c r="S10" i="16" s="1"/>
  <c r="S123" i="16" s="1"/>
  <c r="E30" i="12"/>
  <c r="E74" i="12" s="1"/>
  <c r="T10" i="16" s="1"/>
  <c r="T123" i="16" s="1"/>
  <c r="BT6" i="21"/>
  <c r="B8" i="21"/>
  <c r="E332" i="21"/>
  <c r="E368" i="21"/>
  <c r="E369" i="21" s="1"/>
  <c r="DM174" i="18"/>
  <c r="N66" i="18"/>
  <c r="N128" i="18" s="1"/>
  <c r="R5" i="17"/>
  <c r="R69" i="17" s="1"/>
  <c r="AG128" i="18"/>
  <c r="AG74" i="18"/>
  <c r="AG79" i="18" s="1"/>
  <c r="DB176" i="18"/>
  <c r="S226" i="16"/>
  <c r="D24" i="22"/>
  <c r="S237" i="16"/>
  <c r="S27" i="16"/>
  <c r="S119" i="16" s="1"/>
  <c r="AZ74" i="18"/>
  <c r="H100" i="30"/>
  <c r="Y39" i="16"/>
  <c r="G597" i="14"/>
  <c r="CS168" i="18"/>
  <c r="G132" i="30"/>
  <c r="AY93" i="18"/>
  <c r="F508" i="21"/>
  <c r="F658" i="21"/>
  <c r="DC168" i="18"/>
  <c r="DW175" i="18"/>
  <c r="J73" i="24"/>
  <c r="J107" i="24" s="1"/>
  <c r="L41" i="19"/>
  <c r="EJ95" i="18"/>
  <c r="AW74" i="18"/>
  <c r="AW79" i="18" s="1"/>
  <c r="AW80" i="18" s="1"/>
  <c r="T181" i="21"/>
  <c r="T674" i="21" s="1"/>
  <c r="DR143" i="18"/>
  <c r="DE62" i="18"/>
  <c r="K461" i="11"/>
  <c r="J63" i="11"/>
  <c r="H403" i="11"/>
  <c r="B405" i="21"/>
  <c r="AJ75" i="17"/>
  <c r="Z87" i="18"/>
  <c r="BU24" i="21"/>
  <c r="CP65" i="18"/>
  <c r="DE120" i="18"/>
  <c r="CX175" i="18"/>
  <c r="B556" i="21"/>
  <c r="DW111" i="18"/>
  <c r="DY72" i="18"/>
  <c r="W9" i="16"/>
  <c r="DR169" i="18"/>
  <c r="F149" i="14"/>
  <c r="F176" i="14" s="1"/>
  <c r="K454" i="11"/>
  <c r="CP72" i="18"/>
  <c r="J421" i="14"/>
  <c r="J422" i="14" s="1"/>
  <c r="CZ127" i="18"/>
  <c r="F469" i="1"/>
  <c r="F466" i="1"/>
  <c r="F468" i="1" s="1"/>
  <c r="AC74" i="18"/>
  <c r="AC79" i="18" s="1"/>
  <c r="AC170" i="18"/>
  <c r="H90" i="12"/>
  <c r="H320" i="25"/>
  <c r="F100" i="30"/>
  <c r="AW128" i="18"/>
  <c r="D130" i="30"/>
  <c r="AV90" i="18"/>
  <c r="E230" i="30"/>
  <c r="AD74" i="17"/>
  <c r="EH175" i="18"/>
  <c r="EC175" i="18"/>
  <c r="K38" i="17"/>
  <c r="O58" i="17" s="1"/>
  <c r="AH61" i="17"/>
  <c r="AH41" i="17"/>
  <c r="AF75" i="17"/>
  <c r="X84" i="14"/>
  <c r="AI46" i="14" s="1"/>
  <c r="K453" i="11"/>
  <c r="D350" i="11"/>
  <c r="H347" i="11"/>
  <c r="CG120" i="18"/>
  <c r="F120" i="18"/>
  <c r="I120" i="18" s="1"/>
  <c r="CK120" i="18" s="1"/>
  <c r="H358" i="25"/>
  <c r="I347" i="25"/>
  <c r="DX175" i="18"/>
  <c r="DO120" i="18"/>
  <c r="G477" i="14"/>
  <c r="I40" i="19"/>
  <c r="CG72" i="18"/>
  <c r="F72" i="18"/>
  <c r="CH72" i="18" s="1"/>
  <c r="U171" i="18"/>
  <c r="H5" i="17"/>
  <c r="W170" i="18"/>
  <c r="W74" i="18"/>
  <c r="W79" i="18" s="1"/>
  <c r="CP127" i="18"/>
  <c r="AA51" i="17"/>
  <c r="BF149" i="18"/>
  <c r="M236" i="30" s="1"/>
  <c r="D27" i="22"/>
  <c r="E22" i="11"/>
  <c r="D142" i="30"/>
  <c r="H144" i="30" s="1"/>
  <c r="S139" i="18"/>
  <c r="AF81" i="17"/>
  <c r="AF70" i="17" s="1"/>
  <c r="EC174" i="18"/>
  <c r="D27" i="17"/>
  <c r="DO174" i="18"/>
  <c r="AT40" i="18"/>
  <c r="C31" i="30" s="1"/>
  <c r="E43" i="11"/>
  <c r="K43" i="11"/>
  <c r="J454" i="11"/>
  <c r="J462" i="11"/>
  <c r="D372" i="11"/>
  <c r="J387" i="11"/>
  <c r="D404" i="11"/>
  <c r="B30" i="30"/>
  <c r="B58" i="20"/>
  <c r="C400" i="21"/>
  <c r="F199" i="25"/>
  <c r="F201" i="25"/>
  <c r="CK5" i="18"/>
  <c r="G259" i="25"/>
  <c r="X171" i="18"/>
  <c r="X170" i="18"/>
  <c r="DB168" i="18"/>
  <c r="L29" i="19"/>
  <c r="DO5" i="18"/>
  <c r="F431" i="14"/>
  <c r="W89" i="14"/>
  <c r="AH61" i="14" s="1"/>
  <c r="H39" i="17"/>
  <c r="I59" i="17" s="1"/>
  <c r="H59" i="17"/>
  <c r="DZ176" i="18"/>
  <c r="AG61" i="17"/>
  <c r="K447" i="11"/>
  <c r="P82" i="16"/>
  <c r="E547" i="21"/>
  <c r="BW18" i="21"/>
  <c r="CI4" i="21" s="1"/>
  <c r="CI6" i="21" s="1"/>
  <c r="CK28" i="1"/>
  <c r="H149" i="25"/>
  <c r="AT32" i="18"/>
  <c r="C401" i="21"/>
  <c r="T295" i="1"/>
  <c r="T305" i="1"/>
  <c r="H195" i="30"/>
  <c r="T60" i="17"/>
  <c r="K58" i="17"/>
  <c r="D362" i="11"/>
  <c r="AX40" i="18"/>
  <c r="M42" i="19" s="1"/>
  <c r="DM149" i="18"/>
  <c r="DS169" i="18"/>
  <c r="X86" i="14"/>
  <c r="AI96" i="14" s="1"/>
  <c r="D700" i="21"/>
  <c r="E258" i="21"/>
  <c r="E700" i="21" s="1"/>
  <c r="B328" i="21"/>
  <c r="W285" i="1"/>
  <c r="W265" i="1"/>
  <c r="CX9" i="1"/>
  <c r="CX14" i="1"/>
  <c r="Y61" i="18"/>
  <c r="DY85" i="18"/>
  <c r="P110" i="25"/>
  <c r="Q110" i="25"/>
  <c r="R110" i="25"/>
  <c r="S110" i="25"/>
  <c r="DJ77" i="18"/>
  <c r="DA34" i="1"/>
  <c r="CR175" i="18"/>
  <c r="ED175" i="18"/>
  <c r="F12" i="25"/>
  <c r="U21" i="16" s="1"/>
  <c r="U79" i="16" s="1"/>
  <c r="AN149" i="18"/>
  <c r="P31" i="17"/>
  <c r="T51" i="17" s="1"/>
  <c r="DV100" i="18"/>
  <c r="F154" i="25"/>
  <c r="DT23" i="18"/>
  <c r="K73" i="24"/>
  <c r="AO149" i="18"/>
  <c r="X78" i="17" s="1"/>
  <c r="AX25" i="18"/>
  <c r="H141" i="30"/>
  <c r="DX69" i="18"/>
  <c r="O216" i="11"/>
  <c r="S84" i="14"/>
  <c r="AD46" i="14" s="1"/>
  <c r="D346" i="11"/>
  <c r="H397" i="11"/>
  <c r="D405" i="11"/>
  <c r="H406" i="11"/>
  <c r="U51" i="17"/>
  <c r="N61" i="17"/>
  <c r="AE61" i="17"/>
  <c r="DR69" i="18"/>
  <c r="F148" i="14"/>
  <c r="F175" i="14" s="1"/>
  <c r="E232" i="30"/>
  <c r="EB176" i="18"/>
  <c r="DR175" i="18"/>
  <c r="J459" i="11"/>
  <c r="B322" i="21"/>
  <c r="D406" i="21"/>
  <c r="ED176" i="18"/>
  <c r="DG175" i="18"/>
  <c r="W88" i="14"/>
  <c r="AH56" i="14" s="1"/>
  <c r="F192" i="24"/>
  <c r="O61" i="17"/>
  <c r="B551" i="21"/>
  <c r="AE169" i="18"/>
  <c r="C478" i="14"/>
  <c r="E75" i="1"/>
  <c r="DC176" i="18"/>
  <c r="M150" i="24"/>
  <c r="H101" i="14"/>
  <c r="T96" i="14"/>
  <c r="AE101" i="14" s="1"/>
  <c r="I27" i="31"/>
  <c r="Y9" i="16"/>
  <c r="J149" i="25"/>
  <c r="E152" i="14"/>
  <c r="E179" i="14" s="1"/>
  <c r="T197" i="1"/>
  <c r="AA84" i="16"/>
  <c r="CP109" i="18"/>
  <c r="CU109" i="18"/>
  <c r="DV144" i="18"/>
  <c r="BA144" i="18"/>
  <c r="DW144" i="18" s="1"/>
  <c r="L54" i="24"/>
  <c r="BC34" i="18"/>
  <c r="DY15" i="18"/>
  <c r="J3" i="30"/>
  <c r="F356" i="25"/>
  <c r="F369" i="25"/>
  <c r="F371" i="25" s="1"/>
  <c r="Z38" i="17"/>
  <c r="AD58" i="17" s="1"/>
  <c r="Z7" i="17"/>
  <c r="Z8" i="17" s="1"/>
  <c r="D155" i="14"/>
  <c r="X25" i="18"/>
  <c r="X41" i="18"/>
  <c r="AY128" i="18"/>
  <c r="AY87" i="18"/>
  <c r="AY74" i="18"/>
  <c r="G100" i="30"/>
  <c r="EA174" i="18"/>
  <c r="DV174" i="18"/>
  <c r="D389" i="11"/>
  <c r="EE175" i="18"/>
  <c r="DZ175" i="18"/>
  <c r="E416" i="25"/>
  <c r="E418" i="25" s="1"/>
  <c r="D108" i="31" s="1"/>
  <c r="E18" i="25"/>
  <c r="I238" i="30"/>
  <c r="K366" i="11"/>
  <c r="F18" i="21"/>
  <c r="BX18" i="21" s="1"/>
  <c r="CJ4" i="21" s="1"/>
  <c r="CJ6" i="21" s="1"/>
  <c r="P265" i="1"/>
  <c r="P275" i="1"/>
  <c r="J36" i="19"/>
  <c r="AQ41" i="18"/>
  <c r="I181" i="24"/>
  <c r="I6" i="25" s="1"/>
  <c r="DJ63" i="18"/>
  <c r="EE174" i="18"/>
  <c r="DZ174" i="18"/>
  <c r="L183" i="24"/>
  <c r="ED64" i="18"/>
  <c r="B56" i="20"/>
  <c r="B28" i="30"/>
  <c r="O273" i="1"/>
  <c r="O313" i="1"/>
  <c r="BE131" i="18"/>
  <c r="BE139" i="18" s="1"/>
  <c r="AJ11" i="17"/>
  <c r="AJ71" i="17" s="1"/>
  <c r="K412" i="11"/>
  <c r="S95" i="14"/>
  <c r="AD76" i="14" s="1"/>
  <c r="O367" i="1"/>
  <c r="P367" i="1" s="1"/>
  <c r="Q367" i="1" s="1"/>
  <c r="N368" i="1"/>
  <c r="DV76" i="18"/>
  <c r="AX76" i="18"/>
  <c r="AA217" i="16"/>
  <c r="K49" i="17"/>
  <c r="D27" i="31"/>
  <c r="E28" i="12"/>
  <c r="E71" i="12" s="1"/>
  <c r="T9" i="16"/>
  <c r="J68" i="24"/>
  <c r="AT38" i="18"/>
  <c r="C29" i="30" s="1"/>
  <c r="DO112" i="18"/>
  <c r="J28" i="12"/>
  <c r="J71" i="12" s="1"/>
  <c r="C499" i="21"/>
  <c r="C80" i="21" s="1"/>
  <c r="V295" i="1"/>
  <c r="V265" i="1"/>
  <c r="V305" i="1"/>
  <c r="V275" i="1"/>
  <c r="V285" i="1"/>
  <c r="M38" i="17"/>
  <c r="M7" i="17"/>
  <c r="L31" i="17"/>
  <c r="P51" i="17" s="1"/>
  <c r="L51" i="17"/>
  <c r="D100" i="30"/>
  <c r="AU87" i="18"/>
  <c r="AU128" i="18"/>
  <c r="DQ169" i="18"/>
  <c r="P27" i="17"/>
  <c r="P28" i="17" s="1"/>
  <c r="DQ149" i="18"/>
  <c r="C54" i="20"/>
  <c r="Y61" i="1"/>
  <c r="BT9" i="21"/>
  <c r="S98" i="14"/>
  <c r="AD81" i="14" s="1"/>
  <c r="K37" i="11"/>
  <c r="N108" i="21"/>
  <c r="O249" i="11"/>
  <c r="AC84" i="16"/>
  <c r="F155" i="14"/>
  <c r="E362" i="14"/>
  <c r="CE23" i="21"/>
  <c r="D75" i="1"/>
  <c r="E74" i="1"/>
  <c r="G107" i="24"/>
  <c r="D578" i="14"/>
  <c r="BE74" i="18"/>
  <c r="EF74" i="18" s="1"/>
  <c r="EA66" i="18"/>
  <c r="L107" i="30" s="1"/>
  <c r="DU101" i="18"/>
  <c r="AT102" i="18"/>
  <c r="AT103" i="18" s="1"/>
  <c r="K410" i="11"/>
  <c r="H352" i="14"/>
  <c r="DZ127" i="18"/>
  <c r="AT149" i="18"/>
  <c r="G187" i="24"/>
  <c r="G173" i="24" s="1"/>
  <c r="G8" i="25"/>
  <c r="D599" i="14" s="1"/>
  <c r="E19" i="11"/>
  <c r="K19" i="11"/>
  <c r="BV9" i="21"/>
  <c r="D11" i="21"/>
  <c r="DV143" i="18"/>
  <c r="CJ79" i="18"/>
  <c r="H80" i="18"/>
  <c r="D499" i="21"/>
  <c r="D80" i="21" s="1"/>
  <c r="E27" i="22"/>
  <c r="E12" i="25"/>
  <c r="E13" i="25" s="1"/>
  <c r="I579" i="14"/>
  <c r="AD40" i="17"/>
  <c r="AE60" i="17" s="1"/>
  <c r="I7" i="25"/>
  <c r="F598" i="14" s="1"/>
  <c r="U38" i="16"/>
  <c r="EA101" i="18"/>
  <c r="BC155" i="18"/>
  <c r="F368" i="21"/>
  <c r="C404" i="21"/>
  <c r="D152" i="14"/>
  <c r="D179" i="14" s="1"/>
  <c r="CZ37" i="1"/>
  <c r="D75" i="20"/>
  <c r="DY64" i="18"/>
  <c r="L37" i="19"/>
  <c r="AG74" i="17"/>
  <c r="AO40" i="18"/>
  <c r="H42" i="19" s="1"/>
  <c r="J234" i="11"/>
  <c r="D310" i="11" s="1"/>
  <c r="D309" i="11"/>
  <c r="E44" i="11"/>
  <c r="K44" i="11"/>
  <c r="D161" i="24"/>
  <c r="D162" i="24" s="1"/>
  <c r="D166" i="24"/>
  <c r="D199" i="25"/>
  <c r="D201" i="25"/>
  <c r="F19" i="12"/>
  <c r="F47" i="24"/>
  <c r="F139" i="24"/>
  <c r="F28" i="24"/>
  <c r="CT175" i="18"/>
  <c r="CX176" i="18"/>
  <c r="CS176" i="18"/>
  <c r="O38" i="17"/>
  <c r="S58" i="17" s="1"/>
  <c r="O7" i="17"/>
  <c r="O8" i="17" s="1"/>
  <c r="AO132" i="18"/>
  <c r="AO139" i="18"/>
  <c r="DK139" i="18" s="1"/>
  <c r="AG80" i="17"/>
  <c r="AG77" i="17" s="1"/>
  <c r="H238" i="30"/>
  <c r="AZ149" i="18"/>
  <c r="DV149" i="18" s="1"/>
  <c r="BA149" i="18"/>
  <c r="H368" i="25"/>
  <c r="I368" i="25" s="1"/>
  <c r="G369" i="25"/>
  <c r="G371" i="25" s="1"/>
  <c r="G373" i="25" s="1"/>
  <c r="G31" i="12" s="1"/>
  <c r="K219" i="24"/>
  <c r="K35" i="25" s="1"/>
  <c r="DT72" i="18"/>
  <c r="N426" i="21"/>
  <c r="E159" i="14"/>
  <c r="E145" i="14"/>
  <c r="E171" i="14" s="1"/>
  <c r="D536" i="21"/>
  <c r="BV4" i="21"/>
  <c r="L181" i="24"/>
  <c r="DZ92" i="18"/>
  <c r="H394" i="11"/>
  <c r="K394" i="11"/>
  <c r="W7" i="17"/>
  <c r="W8" i="17" s="1"/>
  <c r="W38" i="17"/>
  <c r="AA58" i="17" s="1"/>
  <c r="CG127" i="18"/>
  <c r="F127" i="18"/>
  <c r="I127" i="18" s="1"/>
  <c r="CK127" i="18" s="1"/>
  <c r="C550" i="21"/>
  <c r="BU21" i="21"/>
  <c r="E151" i="14"/>
  <c r="E178" i="14" s="1"/>
  <c r="D120" i="25"/>
  <c r="C120" i="25" s="1"/>
  <c r="C148" i="25" s="1"/>
  <c r="C149" i="25" s="1"/>
  <c r="B557" i="21"/>
  <c r="DQ175" i="18"/>
  <c r="DL175" i="18"/>
  <c r="K6" i="11"/>
  <c r="E6" i="11"/>
  <c r="I587" i="14"/>
  <c r="AB60" i="17"/>
  <c r="D140" i="25"/>
  <c r="D694" i="21"/>
  <c r="U99" i="14"/>
  <c r="AF86" i="14" s="1"/>
  <c r="J227" i="25"/>
  <c r="DZ66" i="18"/>
  <c r="K107" i="30" s="1"/>
  <c r="K378" i="11"/>
  <c r="P295" i="1"/>
  <c r="C603" i="14"/>
  <c r="C605" i="14" s="1"/>
  <c r="BD132" i="18"/>
  <c r="H230" i="30"/>
  <c r="Q86" i="16"/>
  <c r="Q232" i="16"/>
  <c r="Q233" i="16" s="1"/>
  <c r="S50" i="20"/>
  <c r="W25" i="18"/>
  <c r="S51" i="20" s="1"/>
  <c r="CP73" i="18"/>
  <c r="CT176" i="18"/>
  <c r="AJ32" i="18"/>
  <c r="C30" i="19" s="1"/>
  <c r="H34" i="24"/>
  <c r="DJ5" i="18"/>
  <c r="K415" i="11"/>
  <c r="H415" i="11"/>
  <c r="CG110" i="18"/>
  <c r="F110" i="18"/>
  <c r="I110" i="18" s="1"/>
  <c r="CK110" i="18" s="1"/>
  <c r="F612" i="21"/>
  <c r="N110" i="21"/>
  <c r="N612" i="21" s="1"/>
  <c r="U181" i="21"/>
  <c r="U674" i="21" s="1"/>
  <c r="T411" i="21"/>
  <c r="T141" i="21" s="1"/>
  <c r="T640" i="21" s="1"/>
  <c r="EB168" i="18"/>
  <c r="BC66" i="18"/>
  <c r="BC74" i="18" s="1"/>
  <c r="BC79" i="18" s="1"/>
  <c r="BC80" i="18" s="1"/>
  <c r="H346" i="11"/>
  <c r="J346" i="11"/>
  <c r="I179" i="24"/>
  <c r="I5" i="25" s="1"/>
  <c r="DJ62" i="18"/>
  <c r="AS149" i="18"/>
  <c r="H24" i="20"/>
  <c r="L41" i="1"/>
  <c r="L408" i="1"/>
  <c r="I35" i="25"/>
  <c r="I219" i="24"/>
  <c r="DJ72" i="18"/>
  <c r="K221" i="24"/>
  <c r="K37" i="25" s="1"/>
  <c r="DT73" i="18"/>
  <c r="EE24" i="18"/>
  <c r="DZ24" i="18"/>
  <c r="H229" i="30"/>
  <c r="AG73" i="17"/>
  <c r="EA142" i="18"/>
  <c r="DV142" i="18"/>
  <c r="N31" i="19"/>
  <c r="DY9" i="18"/>
  <c r="BC33" i="18"/>
  <c r="N32" i="19" s="1"/>
  <c r="BD33" i="18"/>
  <c r="DO62" i="18"/>
  <c r="BB149" i="18"/>
  <c r="AI78" i="17" s="1"/>
  <c r="AY97" i="18"/>
  <c r="G172" i="30" s="1"/>
  <c r="DY65" i="18"/>
  <c r="B31" i="30"/>
  <c r="B59" i="20"/>
  <c r="D436" i="11"/>
  <c r="CY169" i="18"/>
  <c r="Y31" i="17"/>
  <c r="F145" i="14"/>
  <c r="F171" i="14" s="1"/>
  <c r="BE97" i="18"/>
  <c r="C31" i="22"/>
  <c r="E146" i="14"/>
  <c r="E172" i="14" s="1"/>
  <c r="P305" i="1"/>
  <c r="B553" i="21"/>
  <c r="Y61" i="16"/>
  <c r="DL25" i="18"/>
  <c r="DQ25" i="18"/>
  <c r="DL169" i="18"/>
  <c r="E335" i="14"/>
  <c r="F335" i="14"/>
  <c r="E551" i="21"/>
  <c r="BW22" i="21"/>
  <c r="E555" i="21"/>
  <c r="BW26" i="21"/>
  <c r="CI13" i="21" s="1"/>
  <c r="CI15" i="21" s="1"/>
  <c r="N29" i="19"/>
  <c r="I16" i="18"/>
  <c r="O169" i="18"/>
  <c r="CQ169" i="18" s="1"/>
  <c r="E424" i="14"/>
  <c r="F425" i="14"/>
  <c r="G266" i="25"/>
  <c r="G286" i="25"/>
  <c r="AJ33" i="18"/>
  <c r="C32" i="19" s="1"/>
  <c r="AI16" i="18"/>
  <c r="DJ9" i="18"/>
  <c r="AN33" i="18"/>
  <c r="G32" i="19" s="1"/>
  <c r="K95" i="24"/>
  <c r="Z64" i="16"/>
  <c r="L5" i="25"/>
  <c r="I596" i="14" s="1"/>
  <c r="DD24" i="18"/>
  <c r="AI24" i="18"/>
  <c r="AI25" i="18" s="1"/>
  <c r="I72" i="24"/>
  <c r="AO168" i="18"/>
  <c r="D547" i="21"/>
  <c r="BV18" i="21"/>
  <c r="DY78" i="18"/>
  <c r="DT78" i="18"/>
  <c r="N441" i="1"/>
  <c r="N187" i="1"/>
  <c r="AC38" i="17"/>
  <c r="C11" i="21"/>
  <c r="DX66" i="18"/>
  <c r="J107" i="30" s="1"/>
  <c r="BB171" i="18"/>
  <c r="DX171" i="18" s="1"/>
  <c r="BB87" i="18"/>
  <c r="BB74" i="18"/>
  <c r="BB79" i="18" s="1"/>
  <c r="BB80" i="18" s="1"/>
  <c r="BB128" i="18"/>
  <c r="ED62" i="18"/>
  <c r="ED65" i="18"/>
  <c r="U95" i="14"/>
  <c r="AF76" i="14" s="1"/>
  <c r="AI80" i="17"/>
  <c r="AI77" i="17" s="1"/>
  <c r="BB70" i="18"/>
  <c r="N117" i="21"/>
  <c r="N136" i="21"/>
  <c r="B60" i="20"/>
  <c r="BV24" i="21"/>
  <c r="P285" i="1"/>
  <c r="D591" i="14"/>
  <c r="C591" i="14" s="1"/>
  <c r="EG106" i="18"/>
  <c r="BF113" i="18"/>
  <c r="DY62" i="18"/>
  <c r="J344" i="11"/>
  <c r="D431" i="11"/>
  <c r="K431" i="11"/>
  <c r="C332" i="21"/>
  <c r="Q411" i="21"/>
  <c r="Q141" i="21" s="1"/>
  <c r="Q640" i="21" s="1"/>
  <c r="R181" i="21"/>
  <c r="R674" i="21" s="1"/>
  <c r="F517" i="21"/>
  <c r="N517" i="21" s="1"/>
  <c r="O517" i="21" s="1"/>
  <c r="P517" i="21" s="1"/>
  <c r="E525" i="21"/>
  <c r="O419" i="1"/>
  <c r="P92" i="1"/>
  <c r="Q92" i="1" s="1"/>
  <c r="Q419" i="1" s="1"/>
  <c r="O266" i="1"/>
  <c r="O306" i="1"/>
  <c r="F541" i="1"/>
  <c r="BD34" i="18"/>
  <c r="E166" i="24"/>
  <c r="N346" i="1"/>
  <c r="C82" i="12"/>
  <c r="C64" i="12" s="1"/>
  <c r="C35" i="12"/>
  <c r="AD24" i="18"/>
  <c r="AD25" i="18" s="1"/>
  <c r="AC25" i="18"/>
  <c r="AE38" i="18"/>
  <c r="CZ20" i="18"/>
  <c r="BF103" i="18"/>
  <c r="K35" i="11"/>
  <c r="Y5" i="16"/>
  <c r="J380" i="25"/>
  <c r="Y6" i="16" s="1"/>
  <c r="Z31" i="17"/>
  <c r="Z71" i="17"/>
  <c r="L210" i="24"/>
  <c r="L8" i="25"/>
  <c r="C495" i="14" s="1"/>
  <c r="EA24" i="18"/>
  <c r="AZ102" i="18"/>
  <c r="EA102" i="18" s="1"/>
  <c r="D8" i="21"/>
  <c r="G51" i="20"/>
  <c r="CG25" i="18"/>
  <c r="E18" i="11"/>
  <c r="BC16" i="18"/>
  <c r="V95" i="14"/>
  <c r="AG76" i="14" s="1"/>
  <c r="J101" i="14"/>
  <c r="K359" i="11"/>
  <c r="AC58" i="17"/>
  <c r="Y27" i="17"/>
  <c r="Y28" i="17" s="1"/>
  <c r="AW112" i="18"/>
  <c r="AX112" i="18" s="1"/>
  <c r="DW112" i="18"/>
  <c r="K352" i="11"/>
  <c r="G309" i="11"/>
  <c r="M234" i="11"/>
  <c r="G310" i="11" s="1"/>
  <c r="Z128" i="18"/>
  <c r="Z97" i="18"/>
  <c r="DA66" i="18"/>
  <c r="DE65" i="18"/>
  <c r="AD66" i="18"/>
  <c r="BD95" i="18"/>
  <c r="EE95" i="18" s="1"/>
  <c r="AG38" i="17"/>
  <c r="AK58" i="17" s="1"/>
  <c r="I221" i="24"/>
  <c r="CG65" i="18"/>
  <c r="EK144" i="18"/>
  <c r="BD32" i="18"/>
  <c r="Z171" i="18"/>
  <c r="K347" i="11"/>
  <c r="M186" i="24"/>
  <c r="AP131" i="18"/>
  <c r="AP132" i="18" s="1"/>
  <c r="S82" i="14"/>
  <c r="AD36" i="14" s="1"/>
  <c r="K10" i="11"/>
  <c r="E10" i="11"/>
  <c r="J411" i="11"/>
  <c r="B400" i="21"/>
  <c r="B406" i="21"/>
  <c r="L118" i="1"/>
  <c r="L6" i="1"/>
  <c r="L394" i="1" s="1"/>
  <c r="CP83" i="18"/>
  <c r="F82" i="12"/>
  <c r="F64" i="12" s="1"/>
  <c r="F35" i="12"/>
  <c r="DJ84" i="18"/>
  <c r="Z219" i="16"/>
  <c r="O498" i="21"/>
  <c r="O499" i="21" s="1"/>
  <c r="I68" i="24"/>
  <c r="AO38" i="18"/>
  <c r="H38" i="19" s="1"/>
  <c r="G37" i="19"/>
  <c r="I69" i="25"/>
  <c r="X81" i="16" s="1"/>
  <c r="DJ110" i="18"/>
  <c r="I90" i="14"/>
  <c r="DK25" i="18"/>
  <c r="DP25" i="18"/>
  <c r="C637" i="21"/>
  <c r="C150" i="21"/>
  <c r="D158" i="14"/>
  <c r="D144" i="14"/>
  <c r="D170" i="14" s="1"/>
  <c r="L240" i="24"/>
  <c r="M241" i="24" s="1"/>
  <c r="EA144" i="18"/>
  <c r="DL149" i="18"/>
  <c r="E23" i="25"/>
  <c r="E126" i="25" s="1"/>
  <c r="E127" i="25" s="1"/>
  <c r="E153" i="25" s="1"/>
  <c r="J66" i="11"/>
  <c r="J164" i="11"/>
  <c r="J140" i="25"/>
  <c r="I37" i="25"/>
  <c r="L34" i="24"/>
  <c r="L5" i="17"/>
  <c r="L6" i="17" s="1"/>
  <c r="K343" i="11"/>
  <c r="G201" i="25"/>
  <c r="BA143" i="18"/>
  <c r="DW143" i="18" s="1"/>
  <c r="DK176" i="18"/>
  <c r="U210" i="11"/>
  <c r="O256" i="11"/>
  <c r="J441" i="11"/>
  <c r="J446" i="11"/>
  <c r="K425" i="11"/>
  <c r="D432" i="11"/>
  <c r="CG109" i="18"/>
  <c r="F109" i="18"/>
  <c r="CH109" i="18" s="1"/>
  <c r="K58" i="20"/>
  <c r="S39" i="18"/>
  <c r="I351" i="14"/>
  <c r="D399" i="21"/>
  <c r="E430" i="21"/>
  <c r="E412" i="21" s="1"/>
  <c r="E414" i="21" s="1"/>
  <c r="E14" i="21" s="1"/>
  <c r="BW14" i="21" s="1"/>
  <c r="CC19" i="21" s="1"/>
  <c r="CC21" i="21" s="1"/>
  <c r="F425" i="21"/>
  <c r="N465" i="21" s="1"/>
  <c r="F465" i="21"/>
  <c r="F470" i="21" s="1"/>
  <c r="C79" i="1"/>
  <c r="C80" i="1" s="1"/>
  <c r="N55" i="20"/>
  <c r="S34" i="18"/>
  <c r="DT176" i="18"/>
  <c r="DM25" i="18"/>
  <c r="DS175" i="18"/>
  <c r="D351" i="11"/>
  <c r="K356" i="11"/>
  <c r="H367" i="11"/>
  <c r="D390" i="11"/>
  <c r="H393" i="11"/>
  <c r="CH25" i="1"/>
  <c r="CH28" i="1"/>
  <c r="E69" i="1"/>
  <c r="E71" i="1" s="1"/>
  <c r="D23" i="24"/>
  <c r="E211" i="24"/>
  <c r="D429" i="14"/>
  <c r="Q27" i="17"/>
  <c r="Q28" i="17" s="1"/>
  <c r="F140" i="25"/>
  <c r="Z59" i="17"/>
  <c r="AY107" i="18"/>
  <c r="DO175" i="18"/>
  <c r="CL25" i="18"/>
  <c r="J457" i="11"/>
  <c r="D404" i="21"/>
  <c r="C304" i="25"/>
  <c r="CK21" i="18"/>
  <c r="CP110" i="18"/>
  <c r="CP85" i="18"/>
  <c r="CZ85" i="18"/>
  <c r="CV174" i="18"/>
  <c r="DA175" i="18"/>
  <c r="V61" i="17"/>
  <c r="DN168" i="18"/>
  <c r="F90" i="14"/>
  <c r="R90" i="14" s="1"/>
  <c r="AC66" i="14" s="1"/>
  <c r="J443" i="11"/>
  <c r="J181" i="11"/>
  <c r="D348" i="11"/>
  <c r="J392" i="11"/>
  <c r="J386" i="11"/>
  <c r="J413" i="11"/>
  <c r="H404" i="11"/>
  <c r="J419" i="11"/>
  <c r="D435" i="11"/>
  <c r="E1" i="21"/>
  <c r="AI1" i="21" s="1"/>
  <c r="B396" i="21"/>
  <c r="B403" i="21" s="1"/>
  <c r="CK25" i="1"/>
  <c r="E366" i="25"/>
  <c r="Q59" i="17"/>
  <c r="O30" i="31"/>
  <c r="P30" i="31"/>
  <c r="Q30" i="31"/>
  <c r="R30" i="31"/>
  <c r="O261" i="11"/>
  <c r="S83" i="14"/>
  <c r="AD41" i="14" s="1"/>
  <c r="K439" i="11"/>
  <c r="K448" i="11"/>
  <c r="N246" i="1"/>
  <c r="G35" i="12"/>
  <c r="F211" i="24"/>
  <c r="DJ144" i="18"/>
  <c r="DT85" i="18"/>
  <c r="T82" i="14"/>
  <c r="AE36" i="14" s="1"/>
  <c r="D148" i="14"/>
  <c r="D175" i="14" s="1"/>
  <c r="H351" i="11"/>
  <c r="C418" i="21"/>
  <c r="B63" i="1"/>
  <c r="F426" i="14"/>
  <c r="CQ176" i="18"/>
  <c r="DE63" i="18"/>
  <c r="AX38" i="18"/>
  <c r="M38" i="19" s="1"/>
  <c r="M58" i="17"/>
  <c r="EI142" i="18"/>
  <c r="AH58" i="17"/>
  <c r="DI139" i="18"/>
  <c r="J370" i="11"/>
  <c r="J55" i="11"/>
  <c r="K407" i="11"/>
  <c r="K436" i="11"/>
  <c r="K164" i="11"/>
  <c r="H363" i="14"/>
  <c r="CF23" i="21"/>
  <c r="D322" i="21"/>
  <c r="D324" i="21" s="1"/>
  <c r="K51" i="17"/>
  <c r="G222" i="25"/>
  <c r="V75" i="16" s="1"/>
  <c r="V72" i="16" s="1"/>
  <c r="K449" i="11"/>
  <c r="CC23" i="21"/>
  <c r="CZ77" i="18"/>
  <c r="D155" i="24"/>
  <c r="G210" i="24"/>
  <c r="G211" i="24" s="1"/>
  <c r="F104" i="24"/>
  <c r="F105" i="24" s="1"/>
  <c r="E161" i="24"/>
  <c r="F107" i="24"/>
  <c r="E233" i="24"/>
  <c r="E223" i="24"/>
  <c r="E229" i="24" s="1"/>
  <c r="E230" i="24" s="1"/>
  <c r="E23" i="24"/>
  <c r="H15" i="24"/>
  <c r="G9" i="24"/>
  <c r="L180" i="24"/>
  <c r="C867" i="14" s="1"/>
  <c r="G186" i="24"/>
  <c r="D107" i="24"/>
  <c r="G166" i="24"/>
  <c r="H186" i="24"/>
  <c r="E188" i="24"/>
  <c r="K125" i="24"/>
  <c r="L159" i="24"/>
  <c r="C865" i="14" s="1"/>
  <c r="D173" i="24"/>
  <c r="E104" i="24"/>
  <c r="E105" i="24" s="1"/>
  <c r="H207" i="24"/>
  <c r="H208" i="24" s="1"/>
  <c r="E139" i="24"/>
  <c r="C5" i="24"/>
  <c r="C24" i="22" s="1"/>
  <c r="E228" i="24"/>
  <c r="K150" i="24"/>
  <c r="E236" i="24"/>
  <c r="E237" i="24" s="1"/>
  <c r="F12" i="24"/>
  <c r="F15" i="24" s="1"/>
  <c r="D216" i="24"/>
  <c r="D223" i="24" s="1"/>
  <c r="D229" i="24" s="1"/>
  <c r="D230" i="24" s="1"/>
  <c r="G104" i="24"/>
  <c r="F26" i="24"/>
  <c r="G26" i="24" s="1"/>
  <c r="G25" i="24" s="1"/>
  <c r="G139" i="24" s="1"/>
  <c r="D188" i="24"/>
  <c r="E274" i="24"/>
  <c r="E15" i="24"/>
  <c r="E235" i="24"/>
  <c r="E9" i="24"/>
  <c r="E226" i="24"/>
  <c r="E159" i="24"/>
  <c r="F9" i="24"/>
  <c r="G15" i="24"/>
  <c r="F159" i="24"/>
  <c r="F166" i="24"/>
  <c r="D159" i="24"/>
  <c r="J207" i="24"/>
  <c r="J208" i="24" s="1"/>
  <c r="G159" i="24"/>
  <c r="F161" i="24"/>
  <c r="H187" i="24"/>
  <c r="H210" i="24"/>
  <c r="G192" i="24"/>
  <c r="E5" i="24"/>
  <c r="E24" i="22" s="1"/>
  <c r="E33" i="22" s="1"/>
  <c r="F5" i="24"/>
  <c r="U226" i="16" s="1"/>
  <c r="F216" i="24"/>
  <c r="F236" i="24" s="1"/>
  <c r="F237" i="24" s="1"/>
  <c r="J396" i="11"/>
  <c r="H396" i="11"/>
  <c r="CQ174" i="18"/>
  <c r="D373" i="11"/>
  <c r="K181" i="11"/>
  <c r="W171" i="18"/>
  <c r="CS171" i="18" s="1"/>
  <c r="CV66" i="18"/>
  <c r="H25" i="20"/>
  <c r="D35" i="12"/>
  <c r="V91" i="14"/>
  <c r="AG71" i="14" s="1"/>
  <c r="T83" i="14"/>
  <c r="AE41" i="14" s="1"/>
  <c r="CU5" i="18"/>
  <c r="Z64" i="14"/>
  <c r="I201" i="25"/>
  <c r="AF5" i="17"/>
  <c r="BT26" i="21"/>
  <c r="J406" i="11"/>
  <c r="J352" i="11"/>
  <c r="Y59" i="17"/>
  <c r="DO23" i="18"/>
  <c r="L96" i="18"/>
  <c r="I82" i="20" s="1"/>
  <c r="I79" i="20"/>
  <c r="P25" i="18"/>
  <c r="L50" i="20"/>
  <c r="D555" i="21"/>
  <c r="BV26" i="21"/>
  <c r="B714" i="21"/>
  <c r="B273" i="21"/>
  <c r="B715" i="21" s="1"/>
  <c r="E389" i="21"/>
  <c r="F411" i="21"/>
  <c r="F141" i="21" s="1"/>
  <c r="F640" i="21" s="1"/>
  <c r="N181" i="21"/>
  <c r="N674" i="21" s="1"/>
  <c r="E401" i="21"/>
  <c r="F401" i="21" s="1"/>
  <c r="N401" i="21" s="1"/>
  <c r="O401" i="21" s="1"/>
  <c r="P401" i="21" s="1"/>
  <c r="Q401" i="21" s="1"/>
  <c r="R401" i="21" s="1"/>
  <c r="S401" i="21" s="1"/>
  <c r="T401" i="21" s="1"/>
  <c r="U401" i="21" s="1"/>
  <c r="V401" i="21" s="1"/>
  <c r="E396" i="21"/>
  <c r="E403" i="21" s="1"/>
  <c r="F403" i="21" s="1"/>
  <c r="N403" i="21" s="1"/>
  <c r="O403" i="21" s="1"/>
  <c r="P403" i="21" s="1"/>
  <c r="Q403" i="21" s="1"/>
  <c r="R403" i="21" s="1"/>
  <c r="S403" i="21" s="1"/>
  <c r="T403" i="21" s="1"/>
  <c r="U403" i="21" s="1"/>
  <c r="V403" i="21" s="1"/>
  <c r="P59" i="17"/>
  <c r="DA37" i="1"/>
  <c r="H329" i="14"/>
  <c r="V171" i="18"/>
  <c r="N40" i="18"/>
  <c r="L230" i="1"/>
  <c r="Z54" i="14"/>
  <c r="K207" i="25"/>
  <c r="L207" i="25" s="1"/>
  <c r="M207" i="25" s="1"/>
  <c r="N207" i="25" s="1"/>
  <c r="O207" i="25" s="1"/>
  <c r="Q305" i="1"/>
  <c r="AY132" i="18"/>
  <c r="G198" i="30" s="1"/>
  <c r="G28" i="12"/>
  <c r="G71" i="12" s="1"/>
  <c r="V96" i="14"/>
  <c r="AG101" i="14" s="1"/>
  <c r="Q237" i="16"/>
  <c r="Q27" i="16"/>
  <c r="Q119" i="16" s="1"/>
  <c r="Q118" i="16" s="1"/>
  <c r="B366" i="21"/>
  <c r="X74" i="18"/>
  <c r="K5" i="17"/>
  <c r="K6" i="17" s="1"/>
  <c r="K26" i="17" s="1"/>
  <c r="AC128" i="18"/>
  <c r="AC171" i="18"/>
  <c r="O5" i="17"/>
  <c r="I81" i="25"/>
  <c r="DJ120" i="18"/>
  <c r="I130" i="25"/>
  <c r="DJ143" i="18"/>
  <c r="DO143" i="18"/>
  <c r="I173" i="25"/>
  <c r="I175" i="25" s="1"/>
  <c r="AG10" i="17"/>
  <c r="DV86" i="18"/>
  <c r="BH50" i="14"/>
  <c r="U96" i="14"/>
  <c r="AF101" i="14" s="1"/>
  <c r="CW175" i="18"/>
  <c r="E123" i="21"/>
  <c r="E624" i="21" s="1"/>
  <c r="C163" i="14"/>
  <c r="Z34" i="14"/>
  <c r="H60" i="17"/>
  <c r="K252" i="11"/>
  <c r="E325" i="11" s="1"/>
  <c r="K30" i="11"/>
  <c r="N23" i="11"/>
  <c r="E8" i="11"/>
  <c r="B659" i="21"/>
  <c r="B186" i="21"/>
  <c r="D225" i="25"/>
  <c r="AN34" i="18"/>
  <c r="Z84" i="14"/>
  <c r="F40" i="19"/>
  <c r="Z94" i="14"/>
  <c r="H309" i="11"/>
  <c r="Z44" i="14"/>
  <c r="E155" i="24"/>
  <c r="DJ19" i="18"/>
  <c r="DQ168" i="18"/>
  <c r="AD155" i="18"/>
  <c r="AI149" i="18" s="1"/>
  <c r="F407" i="11"/>
  <c r="G153" i="11"/>
  <c r="F427" i="11" s="1"/>
  <c r="H427" i="11" s="1"/>
  <c r="D714" i="21"/>
  <c r="D291" i="21"/>
  <c r="D732" i="21" s="1"/>
  <c r="E723" i="21"/>
  <c r="E202" i="21"/>
  <c r="E203" i="21" s="1"/>
  <c r="C366" i="21"/>
  <c r="C368" i="21"/>
  <c r="C369" i="21" s="1"/>
  <c r="F533" i="1"/>
  <c r="F534" i="1" s="1"/>
  <c r="F535" i="1" s="1"/>
  <c r="AD84" i="16"/>
  <c r="W197" i="1"/>
  <c r="CO24" i="18"/>
  <c r="R25" i="18"/>
  <c r="N51" i="20" s="1"/>
  <c r="V41" i="18"/>
  <c r="R60" i="20" s="1"/>
  <c r="W41" i="18"/>
  <c r="S60" i="20" s="1"/>
  <c r="CR24" i="18"/>
  <c r="CP15" i="18"/>
  <c r="I273" i="24"/>
  <c r="G22" i="19"/>
  <c r="G149" i="25"/>
  <c r="G168" i="30"/>
  <c r="AY95" i="18"/>
  <c r="D195" i="30"/>
  <c r="AU106" i="18"/>
  <c r="EE131" i="18"/>
  <c r="DZ131" i="18"/>
  <c r="W41" i="17"/>
  <c r="X61" i="17" s="1"/>
  <c r="W61" i="17"/>
  <c r="K34" i="11"/>
  <c r="E150" i="21"/>
  <c r="E564" i="21"/>
  <c r="E351" i="21"/>
  <c r="C320" i="21"/>
  <c r="C316" i="21"/>
  <c r="D389" i="21"/>
  <c r="H149" i="24"/>
  <c r="I150" i="24" s="1"/>
  <c r="C27" i="22"/>
  <c r="BW19" i="21"/>
  <c r="CI7" i="21" s="1"/>
  <c r="CI9" i="21" s="1"/>
  <c r="DJ15" i="18"/>
  <c r="C28" i="24"/>
  <c r="D552" i="21"/>
  <c r="Z99" i="14"/>
  <c r="U128" i="18"/>
  <c r="Q85" i="20" s="1"/>
  <c r="R275" i="1"/>
  <c r="V98" i="14"/>
  <c r="AG81" i="14" s="1"/>
  <c r="CZ5" i="18"/>
  <c r="CX24" i="18"/>
  <c r="AJ34" i="18"/>
  <c r="AY170" i="18"/>
  <c r="DU66" i="18"/>
  <c r="G107" i="30" s="1"/>
  <c r="J343" i="11"/>
  <c r="J355" i="11"/>
  <c r="L78" i="20"/>
  <c r="CM66" i="18"/>
  <c r="E291" i="21"/>
  <c r="E732" i="21" s="1"/>
  <c r="E63" i="1"/>
  <c r="F63" i="1" s="1"/>
  <c r="N63" i="1" s="1"/>
  <c r="O63" i="1" s="1"/>
  <c r="P63" i="1" s="1"/>
  <c r="Q63" i="1" s="1"/>
  <c r="R63" i="1" s="1"/>
  <c r="Y63" i="1" s="1"/>
  <c r="F67" i="1"/>
  <c r="W30" i="16"/>
  <c r="AJ128" i="18"/>
  <c r="AJ70" i="18"/>
  <c r="T5" i="17"/>
  <c r="T69" i="17" s="1"/>
  <c r="DK66" i="18"/>
  <c r="M11" i="22"/>
  <c r="F30" i="12"/>
  <c r="DV69" i="18"/>
  <c r="K183" i="24"/>
  <c r="K187" i="24" s="1"/>
  <c r="DT64" i="18"/>
  <c r="I133" i="25"/>
  <c r="X115" i="16" s="1"/>
  <c r="DJ146" i="18"/>
  <c r="AW146" i="18"/>
  <c r="DW146" i="18"/>
  <c r="DR146" i="18"/>
  <c r="E233" i="30"/>
  <c r="J268" i="24"/>
  <c r="AY37" i="18"/>
  <c r="G28" i="30" s="1"/>
  <c r="M35" i="19"/>
  <c r="N78" i="20"/>
  <c r="R74" i="18"/>
  <c r="CO74" i="18" s="1"/>
  <c r="CT66" i="18"/>
  <c r="D47" i="24"/>
  <c r="D139" i="24"/>
  <c r="AS40" i="18"/>
  <c r="L42" i="19" s="1"/>
  <c r="K28" i="20"/>
  <c r="G14" i="12"/>
  <c r="H14" i="12" s="1"/>
  <c r="I14" i="12" s="1"/>
  <c r="AI176" i="18"/>
  <c r="C12" i="25"/>
  <c r="U170" i="18"/>
  <c r="L113" i="1"/>
  <c r="AJ171" i="18"/>
  <c r="W62" i="16"/>
  <c r="CJ25" i="18"/>
  <c r="N71" i="17"/>
  <c r="T98" i="14"/>
  <c r="AE81" i="14" s="1"/>
  <c r="L90" i="14"/>
  <c r="X90" i="14" s="1"/>
  <c r="AI66" i="14" s="1"/>
  <c r="K435" i="11"/>
  <c r="DE20" i="18"/>
  <c r="K140" i="11"/>
  <c r="J433" i="11"/>
  <c r="H78" i="20"/>
  <c r="K128" i="18"/>
  <c r="H85" i="20" s="1"/>
  <c r="D545" i="21"/>
  <c r="BV13" i="21"/>
  <c r="C556" i="21"/>
  <c r="BU27" i="21"/>
  <c r="F611" i="21"/>
  <c r="N109" i="21"/>
  <c r="F632" i="21"/>
  <c r="N132" i="21"/>
  <c r="AB128" i="18"/>
  <c r="AB170" i="18"/>
  <c r="H199" i="25"/>
  <c r="H201" i="25"/>
  <c r="AL128" i="18"/>
  <c r="V5" i="17"/>
  <c r="V69" i="17" s="1"/>
  <c r="U5" i="17"/>
  <c r="U69" i="17" s="1"/>
  <c r="AK70" i="18"/>
  <c r="J38" i="17"/>
  <c r="N58" i="17" s="1"/>
  <c r="J7" i="17"/>
  <c r="J8" i="17" s="1"/>
  <c r="I149" i="25"/>
  <c r="I28" i="12"/>
  <c r="I71" i="12" s="1"/>
  <c r="K72" i="24"/>
  <c r="M39" i="19"/>
  <c r="EG92" i="18"/>
  <c r="BF93" i="18"/>
  <c r="H129" i="30"/>
  <c r="BA89" i="18"/>
  <c r="EB89" i="18" s="1"/>
  <c r="DV89" i="18"/>
  <c r="H135" i="30" s="1"/>
  <c r="E225" i="14"/>
  <c r="D225" i="14" s="1"/>
  <c r="R285" i="1"/>
  <c r="R265" i="1"/>
  <c r="R295" i="1"/>
  <c r="E11" i="11"/>
  <c r="D28" i="24"/>
  <c r="X27" i="16"/>
  <c r="X119" i="16" s="1"/>
  <c r="C328" i="21"/>
  <c r="H419" i="11"/>
  <c r="CZ23" i="18"/>
  <c r="BH46" i="14"/>
  <c r="BH47" i="14"/>
  <c r="Q79" i="16"/>
  <c r="Q90" i="16" s="1"/>
  <c r="Q229" i="16"/>
  <c r="P77" i="16"/>
  <c r="T265" i="1"/>
  <c r="Y60" i="17"/>
  <c r="R7" i="17"/>
  <c r="R8" i="17" s="1"/>
  <c r="F77" i="18"/>
  <c r="I77" i="18" s="1"/>
  <c r="CK77" i="18" s="1"/>
  <c r="DU106" i="18"/>
  <c r="AC41" i="18"/>
  <c r="C327" i="21"/>
  <c r="E199" i="21"/>
  <c r="E684" i="21" s="1"/>
  <c r="D90" i="12"/>
  <c r="D76" i="12" s="1"/>
  <c r="D27" i="12" s="1"/>
  <c r="S13" i="16" s="1"/>
  <c r="D320" i="21"/>
  <c r="AN37" i="18"/>
  <c r="G36" i="19" s="1"/>
  <c r="N428" i="21"/>
  <c r="C74" i="1"/>
  <c r="AJ170" i="18"/>
  <c r="DH176" i="18"/>
  <c r="DF176" i="18"/>
  <c r="T89" i="14"/>
  <c r="AE61" i="14" s="1"/>
  <c r="D538" i="21"/>
  <c r="D7" i="21"/>
  <c r="E556" i="21"/>
  <c r="BW27" i="21"/>
  <c r="CI16" i="21" s="1"/>
  <c r="CI18" i="21" s="1"/>
  <c r="N255" i="1"/>
  <c r="N171" i="1" s="1"/>
  <c r="O268" i="1"/>
  <c r="P308" i="1" s="1"/>
  <c r="P197" i="1"/>
  <c r="W84" i="16"/>
  <c r="C104" i="24"/>
  <c r="C105" i="24" s="1"/>
  <c r="I31" i="17"/>
  <c r="M51" i="17" s="1"/>
  <c r="I51" i="17"/>
  <c r="J393" i="11"/>
  <c r="D393" i="11"/>
  <c r="E371" i="21"/>
  <c r="E357" i="21"/>
  <c r="J40" i="1"/>
  <c r="J406" i="1"/>
  <c r="O365" i="1"/>
  <c r="P365" i="1" s="1"/>
  <c r="Q365" i="1" s="1"/>
  <c r="R365" i="1" s="1"/>
  <c r="S365" i="1" s="1"/>
  <c r="T365" i="1" s="1"/>
  <c r="U365" i="1" s="1"/>
  <c r="V365" i="1" s="1"/>
  <c r="N381" i="1"/>
  <c r="V74" i="18"/>
  <c r="V79" i="18" s="1"/>
  <c r="V170" i="18"/>
  <c r="CW170" i="18" s="1"/>
  <c r="BU6" i="21"/>
  <c r="C7" i="21"/>
  <c r="C539" i="21" s="1"/>
  <c r="D556" i="21"/>
  <c r="BV27" i="21"/>
  <c r="F519" i="21"/>
  <c r="N519" i="21" s="1"/>
  <c r="O519" i="21" s="1"/>
  <c r="P519" i="21" s="1"/>
  <c r="Q519" i="21" s="1"/>
  <c r="R519" i="21" s="1"/>
  <c r="S519" i="21" s="1"/>
  <c r="T519" i="21" s="1"/>
  <c r="U519" i="21" s="1"/>
  <c r="V519" i="21" s="1"/>
  <c r="E520" i="21"/>
  <c r="G225" i="25"/>
  <c r="V76" i="16"/>
  <c r="ED174" i="18"/>
  <c r="Q73" i="1"/>
  <c r="Q29" i="1" s="1"/>
  <c r="CE29" i="1" s="1"/>
  <c r="CQ16" i="1" s="1"/>
  <c r="CQ18" i="1" s="1"/>
  <c r="D251" i="25"/>
  <c r="N332" i="1"/>
  <c r="N341" i="1" s="1"/>
  <c r="ED76" i="18"/>
  <c r="I229" i="30"/>
  <c r="K126" i="24"/>
  <c r="U60" i="17"/>
  <c r="E28" i="24"/>
  <c r="L66" i="1"/>
  <c r="T275" i="1"/>
  <c r="G90" i="12"/>
  <c r="C15" i="24"/>
  <c r="AB41" i="18"/>
  <c r="C322" i="21"/>
  <c r="C335" i="21" s="1"/>
  <c r="C337" i="21" s="1"/>
  <c r="E392" i="21"/>
  <c r="E399" i="21" s="1"/>
  <c r="F399" i="21" s="1"/>
  <c r="N399" i="21" s="1"/>
  <c r="O399" i="21" s="1"/>
  <c r="P399" i="21" s="1"/>
  <c r="Q399" i="21" s="1"/>
  <c r="R399" i="21" s="1"/>
  <c r="S399" i="21" s="1"/>
  <c r="T399" i="21" s="1"/>
  <c r="U399" i="21" s="1"/>
  <c r="V399" i="21" s="1"/>
  <c r="T91" i="14"/>
  <c r="AE71" i="14" s="1"/>
  <c r="BW9" i="21"/>
  <c r="CC10" i="21" s="1"/>
  <c r="CC12" i="21" s="1"/>
  <c r="E363" i="14"/>
  <c r="H418" i="11"/>
  <c r="C71" i="21"/>
  <c r="C596" i="21" s="1"/>
  <c r="CU23" i="18"/>
  <c r="D19" i="12"/>
  <c r="I320" i="25"/>
  <c r="I90" i="12"/>
  <c r="J374" i="11"/>
  <c r="J347" i="11"/>
  <c r="J357" i="11"/>
  <c r="H368" i="11"/>
  <c r="J412" i="11"/>
  <c r="K434" i="11"/>
  <c r="K432" i="11"/>
  <c r="F112" i="18"/>
  <c r="CH112" i="18" s="1"/>
  <c r="CG112" i="18"/>
  <c r="F635" i="21"/>
  <c r="N135" i="21"/>
  <c r="N635" i="21" s="1"/>
  <c r="D79" i="1"/>
  <c r="CX37" i="1"/>
  <c r="J51" i="17"/>
  <c r="J31" i="17"/>
  <c r="N51" i="17" s="1"/>
  <c r="J372" i="11"/>
  <c r="D26" i="24"/>
  <c r="R170" i="18"/>
  <c r="V128" i="18"/>
  <c r="R85" i="20" s="1"/>
  <c r="Z74" i="14"/>
  <c r="Z89" i="14"/>
  <c r="Z49" i="14"/>
  <c r="Z79" i="14"/>
  <c r="N252" i="11"/>
  <c r="H325" i="11" s="1"/>
  <c r="D374" i="11"/>
  <c r="K374" i="11"/>
  <c r="K422" i="11"/>
  <c r="D422" i="11"/>
  <c r="D528" i="21"/>
  <c r="D529" i="21" s="1"/>
  <c r="H10" i="20"/>
  <c r="L397" i="1"/>
  <c r="O310" i="1"/>
  <c r="O270" i="1"/>
  <c r="I5" i="17"/>
  <c r="R171" i="18"/>
  <c r="D147" i="14"/>
  <c r="D173" i="14" s="1"/>
  <c r="R128" i="18"/>
  <c r="N85" i="20" s="1"/>
  <c r="Q231" i="11"/>
  <c r="O246" i="11"/>
  <c r="Q226" i="11"/>
  <c r="J458" i="11"/>
  <c r="J404" i="11"/>
  <c r="E26" i="24"/>
  <c r="G5" i="17"/>
  <c r="E4" i="21"/>
  <c r="E536" i="21" s="1"/>
  <c r="Q227" i="11"/>
  <c r="AY70" i="18"/>
  <c r="AY171" i="18"/>
  <c r="E29" i="11"/>
  <c r="K29" i="11"/>
  <c r="E161" i="14"/>
  <c r="E147" i="14"/>
  <c r="E173" i="14" s="1"/>
  <c r="L252" i="11"/>
  <c r="F325" i="11" s="1"/>
  <c r="J414" i="11"/>
  <c r="J439" i="11"/>
  <c r="D359" i="11"/>
  <c r="D368" i="11"/>
  <c r="H348" i="11"/>
  <c r="H359" i="11"/>
  <c r="J23" i="11"/>
  <c r="J16" i="11"/>
  <c r="D403" i="11"/>
  <c r="K419" i="11"/>
  <c r="D371" i="21"/>
  <c r="D357" i="21"/>
  <c r="N429" i="21"/>
  <c r="N469" i="21"/>
  <c r="AE40" i="18"/>
  <c r="AI40" i="18" s="1"/>
  <c r="DE23" i="18"/>
  <c r="CZ95" i="18"/>
  <c r="DE77" i="18"/>
  <c r="G154" i="25"/>
  <c r="V110" i="16"/>
  <c r="L59" i="17"/>
  <c r="S53" i="20"/>
  <c r="Y32" i="18"/>
  <c r="CU85" i="18"/>
  <c r="K237" i="25"/>
  <c r="J239" i="25"/>
  <c r="J245" i="25" s="1"/>
  <c r="J240" i="25"/>
  <c r="J246" i="25" s="1"/>
  <c r="Y155" i="18"/>
  <c r="Z149" i="18" s="1"/>
  <c r="F28" i="12"/>
  <c r="F71" i="12" s="1"/>
  <c r="I184" i="24"/>
  <c r="J184" i="24"/>
  <c r="D38" i="12"/>
  <c r="E38" i="12" s="1"/>
  <c r="C51" i="12"/>
  <c r="CU95" i="18"/>
  <c r="I54" i="17"/>
  <c r="E27" i="17"/>
  <c r="E28" i="17" s="1"/>
  <c r="F27" i="31"/>
  <c r="H140" i="25"/>
  <c r="G140" i="25"/>
  <c r="I73" i="24"/>
  <c r="I107" i="24" s="1"/>
  <c r="G41" i="19"/>
  <c r="J219" i="24"/>
  <c r="J35" i="25" s="1"/>
  <c r="Y44" i="16" s="1"/>
  <c r="DO72" i="18"/>
  <c r="AW109" i="18"/>
  <c r="AX109" i="18" s="1"/>
  <c r="DT109" i="18" s="1"/>
  <c r="DW109" i="18"/>
  <c r="BV21" i="21"/>
  <c r="E712" i="21"/>
  <c r="B548" i="21"/>
  <c r="E309" i="11"/>
  <c r="P86" i="16"/>
  <c r="P232" i="16"/>
  <c r="P233" i="16" s="1"/>
  <c r="S275" i="1"/>
  <c r="S265" i="1"/>
  <c r="S295" i="1"/>
  <c r="S305" i="1"/>
  <c r="DB24" i="18"/>
  <c r="DG24" i="18"/>
  <c r="D139" i="25"/>
  <c r="D9" i="12"/>
  <c r="D83" i="12" s="1"/>
  <c r="AD175" i="18"/>
  <c r="DE49" i="18"/>
  <c r="H68" i="24"/>
  <c r="AN38" i="18"/>
  <c r="G38" i="19" s="1"/>
  <c r="DJ20" i="18"/>
  <c r="Q78" i="20"/>
  <c r="U74" i="18"/>
  <c r="U79" i="18" s="1"/>
  <c r="U86" i="18" s="1"/>
  <c r="W128" i="18"/>
  <c r="S85" i="20" s="1"/>
  <c r="J5" i="17"/>
  <c r="U39" i="16"/>
  <c r="C597" i="14"/>
  <c r="C188" i="25"/>
  <c r="C189" i="25" s="1"/>
  <c r="C126" i="25"/>
  <c r="C127" i="25" s="1"/>
  <c r="C135" i="25" s="1"/>
  <c r="C136" i="25" s="1"/>
  <c r="R24" i="16"/>
  <c r="H20" i="20"/>
  <c r="J365" i="25"/>
  <c r="X82" i="14"/>
  <c r="AI36" i="14" s="1"/>
  <c r="R83" i="14"/>
  <c r="AC41" i="14" s="1"/>
  <c r="J420" i="11"/>
  <c r="D342" i="11"/>
  <c r="K357" i="11"/>
  <c r="D375" i="11"/>
  <c r="H360" i="11"/>
  <c r="H372" i="11"/>
  <c r="H387" i="11"/>
  <c r="K396" i="11"/>
  <c r="H273" i="21"/>
  <c r="M61" i="17"/>
  <c r="E42" i="11"/>
  <c r="V85" i="14"/>
  <c r="AG51" i="14" s="1"/>
  <c r="R99" i="14"/>
  <c r="AC86" i="14" s="1"/>
  <c r="K440" i="11"/>
  <c r="K445" i="11"/>
  <c r="J455" i="11"/>
  <c r="J342" i="11"/>
  <c r="J405" i="11"/>
  <c r="C357" i="21"/>
  <c r="CZ31" i="1"/>
  <c r="DI175" i="18"/>
  <c r="CT24" i="18"/>
  <c r="D10" i="21"/>
  <c r="D542" i="21" s="1"/>
  <c r="E149" i="25"/>
  <c r="EK145" i="18"/>
  <c r="U83" i="14"/>
  <c r="AF41" i="14" s="1"/>
  <c r="V82" i="14"/>
  <c r="AG36" i="14" s="1"/>
  <c r="U88" i="14"/>
  <c r="AF56" i="14" s="1"/>
  <c r="CF26" i="21"/>
  <c r="F821" i="21"/>
  <c r="F822" i="21" s="1"/>
  <c r="F823" i="21" s="1"/>
  <c r="CU63" i="18"/>
  <c r="U91" i="14"/>
  <c r="AF71" i="14" s="1"/>
  <c r="P224" i="16"/>
  <c r="M180" i="24"/>
  <c r="D867" i="14" s="1"/>
  <c r="DE15" i="18"/>
  <c r="G51" i="17"/>
  <c r="D433" i="11"/>
  <c r="C489" i="21"/>
  <c r="C492" i="21" s="1"/>
  <c r="C495" i="21" s="1"/>
  <c r="W59" i="17"/>
  <c r="DC171" i="18"/>
  <c r="DP174" i="18"/>
  <c r="K172" i="11"/>
  <c r="J447" i="11"/>
  <c r="J434" i="11"/>
  <c r="H432" i="11"/>
  <c r="C405" i="21"/>
  <c r="Q224" i="16"/>
  <c r="G11" i="1"/>
  <c r="G399" i="1" s="1"/>
  <c r="CK24" i="18"/>
  <c r="T85" i="14"/>
  <c r="AE51" i="14" s="1"/>
  <c r="S85" i="14"/>
  <c r="AD51" i="14" s="1"/>
  <c r="O255" i="11"/>
  <c r="I285" i="11"/>
  <c r="U206" i="11"/>
  <c r="O213" i="11"/>
  <c r="K462" i="11"/>
  <c r="H350" i="11"/>
  <c r="K350" i="11"/>
  <c r="K381" i="11"/>
  <c r="H381" i="11"/>
  <c r="K424" i="11"/>
  <c r="D424" i="11"/>
  <c r="H405" i="11"/>
  <c r="K405" i="11"/>
  <c r="K421" i="11"/>
  <c r="H421" i="11"/>
  <c r="K151" i="11"/>
  <c r="C714" i="21"/>
  <c r="C273" i="21"/>
  <c r="C715" i="21" s="1"/>
  <c r="C291" i="21"/>
  <c r="C732" i="21" s="1"/>
  <c r="C398" i="21"/>
  <c r="C381" i="21"/>
  <c r="D381" i="21"/>
  <c r="D400" i="21"/>
  <c r="AR74" i="18"/>
  <c r="K5" i="19"/>
  <c r="DS66" i="18"/>
  <c r="BR66" i="18"/>
  <c r="F469" i="14" s="1"/>
  <c r="AH170" i="18"/>
  <c r="AH74" i="18"/>
  <c r="AH79" i="18" s="1"/>
  <c r="AH86" i="18" s="1"/>
  <c r="AR170" i="18"/>
  <c r="G224" i="30"/>
  <c r="DU138" i="18"/>
  <c r="BR69" i="18"/>
  <c r="DN69" i="18"/>
  <c r="DS69" i="18"/>
  <c r="AQ70" i="18"/>
  <c r="AQ170" i="18"/>
  <c r="AQ74" i="18"/>
  <c r="AQ79" i="18" s="1"/>
  <c r="AQ80" i="18" s="1"/>
  <c r="AQ171" i="18"/>
  <c r="DR171" i="18" s="1"/>
  <c r="C469" i="14"/>
  <c r="DR66" i="18"/>
  <c r="Z5" i="17"/>
  <c r="Z69" i="17" s="1"/>
  <c r="E322" i="21"/>
  <c r="E324" i="21" s="1"/>
  <c r="E320" i="21"/>
  <c r="H96" i="18"/>
  <c r="H97" i="18" s="1"/>
  <c r="F83" i="20" s="1"/>
  <c r="H134" i="18"/>
  <c r="F86" i="20" s="1"/>
  <c r="AR128" i="18"/>
  <c r="K50" i="20"/>
  <c r="H23" i="25"/>
  <c r="H31" i="22"/>
  <c r="Q222" i="11"/>
  <c r="O223" i="11"/>
  <c r="O232" i="11"/>
  <c r="R96" i="14"/>
  <c r="S96" i="14"/>
  <c r="AD101" i="14" s="1"/>
  <c r="F5" i="17"/>
  <c r="F6" i="17" s="1"/>
  <c r="CN66" i="18"/>
  <c r="M78" i="20"/>
  <c r="Q128" i="18"/>
  <c r="M85" i="20" s="1"/>
  <c r="Q170" i="18"/>
  <c r="Q74" i="18"/>
  <c r="C536" i="21"/>
  <c r="C5" i="21"/>
  <c r="C537" i="21" s="1"/>
  <c r="BU4" i="21"/>
  <c r="C8" i="21"/>
  <c r="C547" i="21"/>
  <c r="BU18" i="21"/>
  <c r="C613" i="21"/>
  <c r="C123" i="21"/>
  <c r="L268" i="21"/>
  <c r="N268" i="21" s="1"/>
  <c r="F754" i="21"/>
  <c r="F756" i="21" s="1"/>
  <c r="F761" i="21" s="1"/>
  <c r="E398" i="21"/>
  <c r="F398" i="21" s="1"/>
  <c r="N398" i="21" s="1"/>
  <c r="O398" i="21" s="1"/>
  <c r="P398" i="21" s="1"/>
  <c r="Q398" i="21" s="1"/>
  <c r="R398" i="21" s="1"/>
  <c r="S398" i="21" s="1"/>
  <c r="T398" i="21" s="1"/>
  <c r="U398" i="21" s="1"/>
  <c r="V398" i="21" s="1"/>
  <c r="E381" i="21"/>
  <c r="C406" i="21"/>
  <c r="C389" i="21"/>
  <c r="AC8" i="17"/>
  <c r="E158" i="14"/>
  <c r="E155" i="14"/>
  <c r="T86" i="14"/>
  <c r="AE96" i="14" s="1"/>
  <c r="D366" i="21"/>
  <c r="D368" i="21"/>
  <c r="D369" i="21" s="1"/>
  <c r="AR171" i="18"/>
  <c r="DS171" i="18" s="1"/>
  <c r="EE138" i="18"/>
  <c r="K224" i="30"/>
  <c r="J320" i="25"/>
  <c r="J90" i="12"/>
  <c r="F687" i="21"/>
  <c r="L245" i="21"/>
  <c r="N245" i="21" s="1"/>
  <c r="AE8" i="17"/>
  <c r="O345" i="21"/>
  <c r="O53" i="21" s="1"/>
  <c r="O578" i="21" s="1"/>
  <c r="N53" i="21"/>
  <c r="N578" i="21" s="1"/>
  <c r="F166" i="14"/>
  <c r="F152" i="14"/>
  <c r="F179" i="14" s="1"/>
  <c r="E727" i="14"/>
  <c r="E729" i="14" s="1"/>
  <c r="C512" i="14"/>
  <c r="L175" i="25"/>
  <c r="E27" i="27" s="1"/>
  <c r="E30" i="27" s="1"/>
  <c r="S86" i="14"/>
  <c r="AD96" i="14" s="1"/>
  <c r="E144" i="14"/>
  <c r="E170" i="14" s="1"/>
  <c r="AR70" i="18"/>
  <c r="D253" i="14"/>
  <c r="B29" i="30"/>
  <c r="B57" i="20"/>
  <c r="G56" i="20"/>
  <c r="N37" i="18"/>
  <c r="F165" i="14"/>
  <c r="F151" i="14"/>
  <c r="F178" i="14" s="1"/>
  <c r="E553" i="21"/>
  <c r="BW24" i="21"/>
  <c r="BW28" i="21"/>
  <c r="CI19" i="21" s="1"/>
  <c r="CI21" i="21" s="1"/>
  <c r="E557" i="21"/>
  <c r="K42" i="11"/>
  <c r="O217" i="11"/>
  <c r="E163" i="14"/>
  <c r="E148" i="14"/>
  <c r="E587" i="14"/>
  <c r="W217" i="16"/>
  <c r="Z46" i="14"/>
  <c r="Z41" i="14"/>
  <c r="Z101" i="14"/>
  <c r="Z96" i="14"/>
  <c r="Z61" i="14"/>
  <c r="Z81" i="14"/>
  <c r="F83" i="18"/>
  <c r="CH83" i="18" s="1"/>
  <c r="CG83" i="18"/>
  <c r="M96" i="18"/>
  <c r="M134" i="18"/>
  <c r="J86" i="20" s="1"/>
  <c r="J79" i="20"/>
  <c r="D623" i="21"/>
  <c r="D123" i="21"/>
  <c r="L265" i="21"/>
  <c r="N265" i="21" s="1"/>
  <c r="F21" i="21"/>
  <c r="J107" i="25"/>
  <c r="F230" i="30"/>
  <c r="E44" i="21"/>
  <c r="E569" i="21" s="1"/>
  <c r="E565" i="21"/>
  <c r="C10" i="21"/>
  <c r="C542" i="21" s="1"/>
  <c r="G383" i="11"/>
  <c r="G399" i="11" s="1"/>
  <c r="G430" i="11"/>
  <c r="G438" i="11" s="1"/>
  <c r="G452" i="11" s="1"/>
  <c r="F158" i="14"/>
  <c r="F144" i="14"/>
  <c r="F170" i="14" s="1"/>
  <c r="F362" i="14"/>
  <c r="H356" i="14"/>
  <c r="V181" i="21"/>
  <c r="V674" i="21" s="1"/>
  <c r="U411" i="21"/>
  <c r="U141" i="21" s="1"/>
  <c r="U640" i="21" s="1"/>
  <c r="K377" i="11"/>
  <c r="D377" i="11"/>
  <c r="CG85" i="18"/>
  <c r="F85" i="18"/>
  <c r="F552" i="21"/>
  <c r="BX23" i="21"/>
  <c r="CJ10" i="21" s="1"/>
  <c r="CJ12" i="21" s="1"/>
  <c r="E26" i="11"/>
  <c r="E167" i="14"/>
  <c r="F153" i="14"/>
  <c r="F180" i="14" s="1"/>
  <c r="H385" i="11"/>
  <c r="J385" i="11"/>
  <c r="C81" i="20"/>
  <c r="F95" i="18"/>
  <c r="I95" i="18" s="1"/>
  <c r="CK95" i="18" s="1"/>
  <c r="E79" i="1"/>
  <c r="S25" i="18"/>
  <c r="CP24" i="18"/>
  <c r="DP175" i="18"/>
  <c r="DK175" i="18"/>
  <c r="I38" i="19"/>
  <c r="G478" i="14"/>
  <c r="G27" i="22"/>
  <c r="H28" i="22" s="1"/>
  <c r="G12" i="25"/>
  <c r="K13" i="11"/>
  <c r="E13" i="11"/>
  <c r="G90" i="14"/>
  <c r="S89" i="14"/>
  <c r="AD61" i="14" s="1"/>
  <c r="F309" i="11"/>
  <c r="D364" i="11"/>
  <c r="H357" i="11"/>
  <c r="J131" i="11"/>
  <c r="P79" i="16"/>
  <c r="P25" i="16"/>
  <c r="P229" i="16"/>
  <c r="N377" i="21"/>
  <c r="N116" i="21" s="1"/>
  <c r="N617" i="21" s="1"/>
  <c r="F116" i="21"/>
  <c r="F617" i="21" s="1"/>
  <c r="B404" i="21"/>
  <c r="B401" i="21"/>
  <c r="N295" i="1"/>
  <c r="N265" i="1"/>
  <c r="N305" i="1"/>
  <c r="J40" i="19"/>
  <c r="H477" i="14"/>
  <c r="C8" i="11"/>
  <c r="M16" i="11"/>
  <c r="H371" i="11"/>
  <c r="H380" i="11"/>
  <c r="K63" i="11"/>
  <c r="E327" i="21"/>
  <c r="F326" i="21"/>
  <c r="B389" i="21"/>
  <c r="C396" i="21"/>
  <c r="C403" i="21" s="1"/>
  <c r="E694" i="21"/>
  <c r="E253" i="21"/>
  <c r="E695" i="21" s="1"/>
  <c r="F252" i="21"/>
  <c r="F253" i="21" s="1"/>
  <c r="F695" i="21" s="1"/>
  <c r="K90" i="14"/>
  <c r="W90" i="14" s="1"/>
  <c r="AH66" i="14" s="1"/>
  <c r="C22" i="11"/>
  <c r="M23" i="11"/>
  <c r="H386" i="11"/>
  <c r="K386" i="11"/>
  <c r="B418" i="21"/>
  <c r="O262" i="11"/>
  <c r="X84" i="16"/>
  <c r="CY24" i="18"/>
  <c r="DL176" i="18"/>
  <c r="O233" i="11"/>
  <c r="O234" i="11" s="1"/>
  <c r="CX31" i="1"/>
  <c r="H431" i="11"/>
  <c r="BU19" i="21"/>
  <c r="Q776" i="21"/>
  <c r="O267" i="1"/>
  <c r="AF25" i="18"/>
  <c r="DG25" i="18" s="1"/>
  <c r="H118" i="25"/>
  <c r="J463" i="11"/>
  <c r="DW69" i="18"/>
  <c r="U89" i="14"/>
  <c r="AF61" i="14" s="1"/>
  <c r="E292" i="21"/>
  <c r="E733" i="21" s="1"/>
  <c r="CZ34" i="1"/>
  <c r="H406" i="1"/>
  <c r="O295" i="1"/>
  <c r="DN174" i="18"/>
  <c r="G134" i="18"/>
  <c r="E86" i="20" s="1"/>
  <c r="V99" i="14"/>
  <c r="AG86" i="14" s="1"/>
  <c r="CS66" i="18"/>
  <c r="O218" i="11"/>
  <c r="CW24" i="18"/>
  <c r="E154" i="25"/>
  <c r="T95" i="14"/>
  <c r="AE76" i="14" s="1"/>
  <c r="G96" i="18"/>
  <c r="G106" i="18" s="1"/>
  <c r="G107" i="18" s="1"/>
  <c r="P489" i="1"/>
  <c r="F147" i="14"/>
  <c r="F173" i="14" s="1"/>
  <c r="DN175" i="18"/>
  <c r="D149" i="14"/>
  <c r="B11" i="21"/>
  <c r="B12" i="21" s="1"/>
  <c r="E404" i="21"/>
  <c r="F404" i="21" s="1"/>
  <c r="N404" i="21" s="1"/>
  <c r="O404" i="21" s="1"/>
  <c r="P404" i="21" s="1"/>
  <c r="Q404" i="21" s="1"/>
  <c r="R404" i="21" s="1"/>
  <c r="S404" i="21" s="1"/>
  <c r="T404" i="21" s="1"/>
  <c r="U404" i="21" s="1"/>
  <c r="V404" i="21" s="1"/>
  <c r="E25" i="11"/>
  <c r="K456" i="11"/>
  <c r="K460" i="11"/>
  <c r="K344" i="11"/>
  <c r="E19" i="12"/>
  <c r="DY83" i="18"/>
  <c r="U98" i="14"/>
  <c r="AF81" i="14" s="1"/>
  <c r="D5" i="21"/>
  <c r="O214" i="11"/>
  <c r="U85" i="14"/>
  <c r="AF51" i="14" s="1"/>
  <c r="O259" i="11"/>
  <c r="DO84" i="18"/>
  <c r="B150" i="21"/>
  <c r="K401" i="11"/>
  <c r="H425" i="11"/>
  <c r="F146" i="14"/>
  <c r="F172" i="14" s="1"/>
  <c r="G87" i="18"/>
  <c r="E80" i="20" s="1"/>
  <c r="D153" i="14"/>
  <c r="D180" i="14" s="1"/>
  <c r="D292" i="21"/>
  <c r="D733" i="21" s="1"/>
  <c r="AV30" i="21"/>
  <c r="O269" i="1"/>
  <c r="P269" i="1" s="1"/>
  <c r="Q309" i="1" s="1"/>
  <c r="D401" i="11"/>
  <c r="J421" i="11"/>
  <c r="H433" i="11"/>
  <c r="E286" i="25"/>
  <c r="CZ83" i="18"/>
  <c r="K402" i="11"/>
  <c r="D412" i="11"/>
  <c r="K403" i="11"/>
  <c r="J151" i="11"/>
  <c r="F798" i="21"/>
  <c r="F799" i="21" s="1"/>
  <c r="J400" i="25"/>
  <c r="K320" i="25" s="1"/>
  <c r="S29" i="16"/>
  <c r="T58" i="17"/>
  <c r="S35" i="31"/>
  <c r="D357" i="11"/>
  <c r="E336" i="14"/>
  <c r="F336" i="14"/>
  <c r="F711" i="21"/>
  <c r="L269" i="21"/>
  <c r="N269" i="21" s="1"/>
  <c r="F272" i="21"/>
  <c r="F331" i="21"/>
  <c r="F332" i="21" s="1"/>
  <c r="E278" i="21"/>
  <c r="E720" i="21" s="1"/>
  <c r="E256" i="21"/>
  <c r="E698" i="21" s="1"/>
  <c r="F24" i="21"/>
  <c r="N379" i="21"/>
  <c r="F119" i="21"/>
  <c r="F620" i="21" s="1"/>
  <c r="E296" i="21"/>
  <c r="E737" i="21" s="1"/>
  <c r="F270" i="21"/>
  <c r="Y216" i="16"/>
  <c r="AE74" i="17"/>
  <c r="DX143" i="18"/>
  <c r="DS143" i="18"/>
  <c r="Y60" i="16"/>
  <c r="P370" i="1"/>
  <c r="Q370" i="1" s="1"/>
  <c r="H87" i="18"/>
  <c r="F80" i="20" s="1"/>
  <c r="N628" i="21"/>
  <c r="CD29" i="1"/>
  <c r="CP16" i="1" s="1"/>
  <c r="CP18" i="1" s="1"/>
  <c r="E596" i="14"/>
  <c r="W38" i="16"/>
  <c r="K186" i="24"/>
  <c r="K210" i="24"/>
  <c r="L186" i="24"/>
  <c r="F22" i="21"/>
  <c r="F709" i="21"/>
  <c r="L267" i="21"/>
  <c r="N267" i="21" s="1"/>
  <c r="CJ86" i="18"/>
  <c r="F79" i="20"/>
  <c r="L105" i="1"/>
  <c r="L4" i="1"/>
  <c r="H353" i="11"/>
  <c r="D396" i="11"/>
  <c r="J418" i="11"/>
  <c r="H424" i="11"/>
  <c r="DB169" i="18"/>
  <c r="D316" i="21"/>
  <c r="AY113" i="18"/>
  <c r="O215" i="11"/>
  <c r="C121" i="14"/>
  <c r="H351" i="14"/>
  <c r="M252" i="11"/>
  <c r="G325" i="11" s="1"/>
  <c r="J432" i="11"/>
  <c r="D397" i="11"/>
  <c r="D428" i="11"/>
  <c r="J140" i="11"/>
  <c r="DJ78" i="18"/>
  <c r="DY63" i="18"/>
  <c r="AH128" i="18"/>
  <c r="H9" i="25"/>
  <c r="G107" i="31" s="1"/>
  <c r="V82" i="16"/>
  <c r="O250" i="11"/>
  <c r="J172" i="11"/>
  <c r="J363" i="11"/>
  <c r="J401" i="11"/>
  <c r="CU116" i="18"/>
  <c r="CI25" i="18"/>
  <c r="H9" i="24"/>
  <c r="AI5" i="17"/>
  <c r="AI69" i="17" s="1"/>
  <c r="CG63" i="18"/>
  <c r="K36" i="11"/>
  <c r="CG95" i="18"/>
  <c r="K427" i="11"/>
  <c r="H428" i="11"/>
  <c r="D489" i="21"/>
  <c r="E269" i="25"/>
  <c r="AH41" i="18"/>
  <c r="W29" i="16"/>
  <c r="I60" i="17"/>
  <c r="DN176" i="18"/>
  <c r="K443" i="11"/>
  <c r="E328" i="21"/>
  <c r="C118" i="25"/>
  <c r="K131" i="11"/>
  <c r="CU51" i="18"/>
  <c r="H286" i="25"/>
  <c r="D734" i="14"/>
  <c r="DD66" i="18"/>
  <c r="K367" i="11"/>
  <c r="J100" i="30"/>
  <c r="D146" i="14"/>
  <c r="D172" i="14" s="1"/>
  <c r="K351" i="11"/>
  <c r="G78" i="20"/>
  <c r="J440" i="11"/>
  <c r="K463" i="11"/>
  <c r="K371" i="11"/>
  <c r="K342" i="11"/>
  <c r="T99" i="14"/>
  <c r="AE86" i="14" s="1"/>
  <c r="C10" i="17"/>
  <c r="C30" i="17" s="1"/>
  <c r="G366" i="25"/>
  <c r="CP50" i="18"/>
  <c r="F259" i="25"/>
  <c r="DO95" i="18"/>
  <c r="DO176" i="18"/>
  <c r="V83" i="14"/>
  <c r="AG41" i="14" s="1"/>
  <c r="K406" i="11"/>
  <c r="C259" i="25"/>
  <c r="U61" i="17"/>
  <c r="D594" i="14"/>
  <c r="M325" i="25"/>
  <c r="L334" i="25"/>
  <c r="F281" i="25"/>
  <c r="F286" i="25"/>
  <c r="F250" i="25"/>
  <c r="I35" i="12"/>
  <c r="E225" i="25"/>
  <c r="D286" i="25"/>
  <c r="K355" i="25"/>
  <c r="W6" i="16"/>
  <c r="S30" i="31"/>
  <c r="D18" i="25"/>
  <c r="D416" i="25"/>
  <c r="D418" i="25" s="1"/>
  <c r="C108" i="31" s="1"/>
  <c r="X6" i="16"/>
  <c r="D73" i="25"/>
  <c r="D77" i="25" s="1"/>
  <c r="C31" i="31" s="1"/>
  <c r="K334" i="25"/>
  <c r="J334" i="25"/>
  <c r="E320" i="25"/>
  <c r="C286" i="25"/>
  <c r="J34" i="12"/>
  <c r="J35" i="12" s="1"/>
  <c r="I383" i="25"/>
  <c r="I403" i="25" s="1"/>
  <c r="V39" i="16"/>
  <c r="Z111" i="16"/>
  <c r="D19" i="27"/>
  <c r="CZ73" i="18"/>
  <c r="CU73" i="18"/>
  <c r="AE128" i="18"/>
  <c r="AE74" i="18"/>
  <c r="DA74" i="18" s="1"/>
  <c r="R29" i="16"/>
  <c r="L385" i="25"/>
  <c r="AA30" i="16"/>
  <c r="H27" i="31"/>
  <c r="I140" i="25"/>
  <c r="M37" i="19"/>
  <c r="AY38" i="18"/>
  <c r="G29" i="30" s="1"/>
  <c r="DT20" i="18"/>
  <c r="AY169" i="18"/>
  <c r="I363" i="14"/>
  <c r="K413" i="11"/>
  <c r="CZ65" i="18"/>
  <c r="Q77" i="16"/>
  <c r="Q72" i="16"/>
  <c r="Y5" i="17"/>
  <c r="I5" i="19"/>
  <c r="AM81" i="17"/>
  <c r="AM70" i="17" s="1"/>
  <c r="AM30" i="17"/>
  <c r="DT62" i="18"/>
  <c r="J179" i="24"/>
  <c r="EB25" i="18"/>
  <c r="E247" i="21"/>
  <c r="E347" i="21" s="1"/>
  <c r="P171" i="18"/>
  <c r="E5" i="17"/>
  <c r="E6" i="17" s="1"/>
  <c r="P128" i="18"/>
  <c r="L85" i="20" s="1"/>
  <c r="DI168" i="18"/>
  <c r="DD168" i="18"/>
  <c r="B309" i="11"/>
  <c r="I252" i="11"/>
  <c r="C325" i="11" s="1"/>
  <c r="F514" i="21"/>
  <c r="E515" i="21"/>
  <c r="DT9" i="18"/>
  <c r="L31" i="19"/>
  <c r="AS16" i="18"/>
  <c r="AS44" i="18"/>
  <c r="EA91" i="18"/>
  <c r="AZ92" i="18"/>
  <c r="AZ95" i="18" s="1"/>
  <c r="H169" i="30" s="1"/>
  <c r="AK2" i="21"/>
  <c r="BW2" i="21"/>
  <c r="CC28" i="21" s="1"/>
  <c r="CD28" i="21" s="1"/>
  <c r="L220" i="25"/>
  <c r="L107" i="25" s="1"/>
  <c r="E688" i="21"/>
  <c r="S111" i="1"/>
  <c r="U209" i="11"/>
  <c r="O257" i="11"/>
  <c r="J67" i="24"/>
  <c r="K57" i="24" s="1"/>
  <c r="L35" i="19"/>
  <c r="L224" i="30"/>
  <c r="L223" i="30" s="1"/>
  <c r="Q86" i="29"/>
  <c r="K51" i="20"/>
  <c r="AJ168" i="18"/>
  <c r="DE21" i="18"/>
  <c r="DE73" i="18"/>
  <c r="DJ73" i="18"/>
  <c r="H257" i="25"/>
  <c r="H256" i="25" s="1"/>
  <c r="W80" i="16"/>
  <c r="W82" i="16" s="1"/>
  <c r="E5" i="19"/>
  <c r="DH66" i="18"/>
  <c r="AL170" i="18"/>
  <c r="H395" i="11"/>
  <c r="Q121" i="1"/>
  <c r="T61" i="17"/>
  <c r="E250" i="25"/>
  <c r="DH169" i="18"/>
  <c r="H379" i="11"/>
  <c r="B357" i="21"/>
  <c r="C371" i="21"/>
  <c r="B381" i="21"/>
  <c r="D418" i="21"/>
  <c r="CI25" i="1"/>
  <c r="K60" i="17"/>
  <c r="O51" i="17"/>
  <c r="E120" i="14"/>
  <c r="C155" i="24"/>
  <c r="H385" i="25"/>
  <c r="R27" i="17"/>
  <c r="R28" i="17" s="1"/>
  <c r="D222" i="25"/>
  <c r="H250" i="25"/>
  <c r="I61" i="18"/>
  <c r="C589" i="14"/>
  <c r="Q51" i="20"/>
  <c r="DY174" i="18"/>
  <c r="K370" i="11"/>
  <c r="J201" i="11"/>
  <c r="K201" i="11"/>
  <c r="D371" i="11"/>
  <c r="J351" i="11"/>
  <c r="H342" i="11"/>
  <c r="J356" i="11"/>
  <c r="D392" i="11"/>
  <c r="L61" i="17"/>
  <c r="D332" i="21"/>
  <c r="DF175" i="18"/>
  <c r="O179" i="25"/>
  <c r="E33" i="11"/>
  <c r="K457" i="11"/>
  <c r="K392" i="11"/>
  <c r="D434" i="11"/>
  <c r="CZ78" i="18"/>
  <c r="AG41" i="18"/>
  <c r="H271" i="21"/>
  <c r="CU105" i="18"/>
  <c r="H304" i="25"/>
  <c r="AL5" i="17"/>
  <c r="AL69" i="17" s="1"/>
  <c r="C734" i="14"/>
  <c r="I118" i="25"/>
  <c r="D415" i="11"/>
  <c r="DY176" i="18"/>
  <c r="DN25" i="18"/>
  <c r="K55" i="11"/>
  <c r="H411" i="11"/>
  <c r="E297" i="14"/>
  <c r="P7" i="17"/>
  <c r="P8" i="17" s="1"/>
  <c r="DO127" i="18"/>
  <c r="D347" i="11"/>
  <c r="K387" i="11"/>
  <c r="F69" i="1"/>
  <c r="CP9" i="18"/>
  <c r="CU111" i="18"/>
  <c r="R59" i="17"/>
  <c r="P61" i="17"/>
  <c r="E383" i="25"/>
  <c r="E403" i="25" s="1"/>
  <c r="CT169" i="18"/>
  <c r="AS41" i="18"/>
  <c r="I234" i="24"/>
  <c r="I51" i="25" s="1"/>
  <c r="S61" i="17"/>
  <c r="DI149" i="18"/>
  <c r="J378" i="11"/>
  <c r="DJ95" i="18"/>
  <c r="U58" i="17"/>
  <c r="AM170" i="18"/>
  <c r="AM171" i="18"/>
  <c r="DI171" i="18" s="1"/>
  <c r="F5" i="19"/>
  <c r="DN66" i="18"/>
  <c r="K6" i="19" s="1"/>
  <c r="W5" i="17"/>
  <c r="W69" i="17" s="1"/>
  <c r="AM74" i="18"/>
  <c r="CY34" i="1"/>
  <c r="CY37" i="1"/>
  <c r="P82" i="20"/>
  <c r="T138" i="18"/>
  <c r="T140" i="18" s="1"/>
  <c r="T106" i="18"/>
  <c r="T113" i="18" s="1"/>
  <c r="T114" i="18" s="1"/>
  <c r="T97" i="18"/>
  <c r="P83" i="20" s="1"/>
  <c r="CC9" i="18"/>
  <c r="CC33" i="18" s="1"/>
  <c r="L43" i="1"/>
  <c r="L20" i="1"/>
  <c r="Q58" i="20"/>
  <c r="Y39" i="18"/>
  <c r="D36" i="19"/>
  <c r="AK41" i="18"/>
  <c r="F652" i="14"/>
  <c r="AB40" i="16"/>
  <c r="D495" i="14"/>
  <c r="L23" i="25"/>
  <c r="L31" i="22"/>
  <c r="M32" i="22" s="1"/>
  <c r="N140" i="21"/>
  <c r="F639" i="21"/>
  <c r="DM168" i="18"/>
  <c r="DR168" i="18"/>
  <c r="K417" i="25"/>
  <c r="K84" i="29"/>
  <c r="K85" i="29" s="1"/>
  <c r="K86" i="29" s="1"/>
  <c r="D710" i="14"/>
  <c r="D721" i="14" s="1"/>
  <c r="K214" i="25"/>
  <c r="N521" i="21"/>
  <c r="K160" i="25"/>
  <c r="E41" i="11"/>
  <c r="K41" i="11"/>
  <c r="AC115" i="16"/>
  <c r="EC139" i="18"/>
  <c r="DT143" i="18"/>
  <c r="I23" i="31"/>
  <c r="J384" i="25"/>
  <c r="J404" i="25" s="1"/>
  <c r="AH8" i="17"/>
  <c r="K14" i="11"/>
  <c r="G587" i="14"/>
  <c r="Y217" i="16"/>
  <c r="E461" i="14"/>
  <c r="E462" i="14" s="1"/>
  <c r="S85" i="29"/>
  <c r="S86" i="29" s="1"/>
  <c r="O628" i="21"/>
  <c r="P127" i="21"/>
  <c r="R103" i="25"/>
  <c r="Q105" i="25"/>
  <c r="N16" i="11"/>
  <c r="E15" i="11"/>
  <c r="K15" i="11"/>
  <c r="K16" i="11" s="1"/>
  <c r="E579" i="14"/>
  <c r="K182" i="24"/>
  <c r="O171" i="18"/>
  <c r="CQ66" i="18"/>
  <c r="O128" i="18"/>
  <c r="K85" i="20" s="1"/>
  <c r="D5" i="17"/>
  <c r="D6" i="17" s="1"/>
  <c r="CL66" i="18"/>
  <c r="O170" i="18"/>
  <c r="W85" i="14"/>
  <c r="AH51" i="14" s="1"/>
  <c r="V86" i="14"/>
  <c r="AG96" i="14" s="1"/>
  <c r="W86" i="14"/>
  <c r="AH96" i="14" s="1"/>
  <c r="C159" i="14"/>
  <c r="C155" i="14"/>
  <c r="D145" i="14"/>
  <c r="D171" i="14" s="1"/>
  <c r="AD27" i="17"/>
  <c r="AD28" i="17" s="1"/>
  <c r="F92" i="14"/>
  <c r="R98" i="14"/>
  <c r="AC81" i="14" s="1"/>
  <c r="R95" i="14"/>
  <c r="AC76" i="14" s="1"/>
  <c r="H90" i="14"/>
  <c r="T88" i="14"/>
  <c r="AE56" i="14" s="1"/>
  <c r="J389" i="11"/>
  <c r="H389" i="11"/>
  <c r="AJ8" i="17"/>
  <c r="J90" i="14"/>
  <c r="V90" i="14" s="1"/>
  <c r="AG66" i="14" s="1"/>
  <c r="F65" i="18"/>
  <c r="F66" i="18" s="1"/>
  <c r="D78" i="20" s="1"/>
  <c r="AH73" i="17"/>
  <c r="X15" i="16"/>
  <c r="Q115" i="25"/>
  <c r="P114" i="25"/>
  <c r="F36" i="19"/>
  <c r="D478" i="14"/>
  <c r="O248" i="11"/>
  <c r="Q228" i="11"/>
  <c r="R57" i="20"/>
  <c r="Y38" i="18"/>
  <c r="D121" i="14"/>
  <c r="Q285" i="1"/>
  <c r="O197" i="1"/>
  <c r="V84" i="16"/>
  <c r="Q275" i="1"/>
  <c r="C292" i="21"/>
  <c r="C733" i="21" s="1"/>
  <c r="Q265" i="1"/>
  <c r="D328" i="21"/>
  <c r="B545" i="21"/>
  <c r="W39" i="16"/>
  <c r="E597" i="14"/>
  <c r="D402" i="11"/>
  <c r="J402" i="11"/>
  <c r="D23" i="25"/>
  <c r="D15" i="24"/>
  <c r="D17" i="24" s="1"/>
  <c r="DS25" i="18"/>
  <c r="U82" i="14"/>
  <c r="AF36" i="14" s="1"/>
  <c r="V27" i="16"/>
  <c r="V119" i="16" s="1"/>
  <c r="V237" i="16"/>
  <c r="R197" i="1"/>
  <c r="Y84" i="16"/>
  <c r="U295" i="1"/>
  <c r="U305" i="1"/>
  <c r="U285" i="1"/>
  <c r="Z40" i="16"/>
  <c r="B10" i="21"/>
  <c r="D381" i="11"/>
  <c r="J381" i="11"/>
  <c r="J362" i="11"/>
  <c r="H362" i="11"/>
  <c r="J388" i="11"/>
  <c r="D388" i="11"/>
  <c r="CP5" i="18"/>
  <c r="S16" i="18"/>
  <c r="J57" i="20"/>
  <c r="N38" i="18"/>
  <c r="N522" i="21"/>
  <c r="AO32" i="18"/>
  <c r="H30" i="19" s="1"/>
  <c r="G29" i="19"/>
  <c r="I185" i="24"/>
  <c r="DJ65" i="18"/>
  <c r="DO65" i="18"/>
  <c r="AN16" i="18"/>
  <c r="H373" i="11"/>
  <c r="S32" i="18"/>
  <c r="BX9" i="21"/>
  <c r="CD10" i="21" s="1"/>
  <c r="CD12" i="21" s="1"/>
  <c r="K378" i="25"/>
  <c r="K380" i="25" s="1"/>
  <c r="DM69" i="18"/>
  <c r="AN66" i="18"/>
  <c r="J350" i="11"/>
  <c r="Q50" i="20"/>
  <c r="CV24" i="18"/>
  <c r="Q82" i="16"/>
  <c r="AI139" i="18"/>
  <c r="DJ127" i="18"/>
  <c r="AD54" i="17"/>
  <c r="T12" i="16"/>
  <c r="M207" i="24"/>
  <c r="AB30" i="17"/>
  <c r="AF50" i="17" s="1"/>
  <c r="AB81" i="17"/>
  <c r="AB70" i="17" s="1"/>
  <c r="M29" i="19"/>
  <c r="DY5" i="18"/>
  <c r="I41" i="17"/>
  <c r="J61" i="17" s="1"/>
  <c r="I61" i="17"/>
  <c r="M187" i="24"/>
  <c r="S91" i="14"/>
  <c r="AD71" i="14" s="1"/>
  <c r="D76" i="20"/>
  <c r="H356" i="11"/>
  <c r="N143" i="21"/>
  <c r="N642" i="21" s="1"/>
  <c r="F609" i="21"/>
  <c r="N107" i="21"/>
  <c r="D29" i="31"/>
  <c r="T29" i="16"/>
  <c r="F29" i="31"/>
  <c r="V29" i="16"/>
  <c r="S59" i="17"/>
  <c r="Z60" i="17"/>
  <c r="D387" i="11"/>
  <c r="K433" i="11"/>
  <c r="O362" i="1"/>
  <c r="N363" i="1"/>
  <c r="CU65" i="18"/>
  <c r="F304" i="25"/>
  <c r="I58" i="17"/>
  <c r="I7" i="17"/>
  <c r="W40" i="17"/>
  <c r="X60" i="17" s="1"/>
  <c r="W60" i="17"/>
  <c r="E259" i="25"/>
  <c r="AA74" i="18"/>
  <c r="AA79" i="18" s="1"/>
  <c r="DB79" i="18" s="1"/>
  <c r="M5" i="17"/>
  <c r="H182" i="24"/>
  <c r="E22" i="31"/>
  <c r="F383" i="25"/>
  <c r="F403" i="25" s="1"/>
  <c r="I70" i="25"/>
  <c r="DJ111" i="18"/>
  <c r="E229" i="30"/>
  <c r="DR142" i="18"/>
  <c r="EF66" i="18"/>
  <c r="P107" i="30" s="1"/>
  <c r="BE87" i="18"/>
  <c r="AK5" i="17"/>
  <c r="AK69" i="17" s="1"/>
  <c r="BE170" i="18"/>
  <c r="BE128" i="18"/>
  <c r="BE70" i="18"/>
  <c r="BE171" i="18"/>
  <c r="DE127" i="18"/>
  <c r="DH175" i="18"/>
  <c r="H378" i="11"/>
  <c r="BV28" i="21"/>
  <c r="D557" i="21"/>
  <c r="DT5" i="18"/>
  <c r="U6" i="16"/>
  <c r="AE34" i="18"/>
  <c r="AI34" i="18" s="1"/>
  <c r="CZ15" i="18"/>
  <c r="AS38" i="18"/>
  <c r="L38" i="19" s="1"/>
  <c r="AO169" i="18"/>
  <c r="DO20" i="18"/>
  <c r="L221" i="24"/>
  <c r="L37" i="25" s="1"/>
  <c r="AA44" i="16" s="1"/>
  <c r="DY73" i="18"/>
  <c r="Q41" i="17"/>
  <c r="R61" i="17" s="1"/>
  <c r="Q61" i="17"/>
  <c r="K423" i="11"/>
  <c r="J453" i="11"/>
  <c r="Y33" i="18"/>
  <c r="AL74" i="18"/>
  <c r="AL171" i="18"/>
  <c r="DH171" i="18" s="1"/>
  <c r="AL70" i="18"/>
  <c r="E27" i="31"/>
  <c r="U9" i="16"/>
  <c r="AA78" i="17"/>
  <c r="BR149" i="18"/>
  <c r="E82" i="12"/>
  <c r="E64" i="12" s="1"/>
  <c r="F474" i="1"/>
  <c r="C342" i="14"/>
  <c r="V54" i="17"/>
  <c r="D28" i="30"/>
  <c r="AU41" i="18"/>
  <c r="D32" i="30" s="1"/>
  <c r="J225" i="24"/>
  <c r="DT77" i="18"/>
  <c r="DO77" i="18"/>
  <c r="DT83" i="18"/>
  <c r="J232" i="24"/>
  <c r="AT139" i="18"/>
  <c r="C196" i="30"/>
  <c r="C197" i="30" s="1"/>
  <c r="EF25" i="18"/>
  <c r="EA25" i="18"/>
  <c r="EE66" i="18"/>
  <c r="O107" i="30" s="1"/>
  <c r="BD74" i="18"/>
  <c r="BD79" i="18" s="1"/>
  <c r="EE79" i="18" s="1"/>
  <c r="AJ5" i="17"/>
  <c r="AM7" i="17"/>
  <c r="AM8" i="17" s="1"/>
  <c r="AM38" i="17"/>
  <c r="AM27" i="17" s="1"/>
  <c r="AM28" i="17" s="1"/>
  <c r="DM169" i="18"/>
  <c r="BS41" i="18"/>
  <c r="O86" i="29"/>
  <c r="BD171" i="18"/>
  <c r="CZ111" i="18"/>
  <c r="V51" i="17"/>
  <c r="E734" i="14"/>
  <c r="H28" i="12"/>
  <c r="H71" i="12" s="1"/>
  <c r="DO146" i="18"/>
  <c r="G39" i="19"/>
  <c r="P41" i="18"/>
  <c r="L60" i="20" s="1"/>
  <c r="CP78" i="18"/>
  <c r="R82" i="16"/>
  <c r="DQ176" i="18"/>
  <c r="BD170" i="18"/>
  <c r="CZ105" i="18"/>
  <c r="DE84" i="18"/>
  <c r="DD176" i="18"/>
  <c r="AB59" i="17"/>
  <c r="AN70" i="17"/>
  <c r="AN72" i="17" s="1"/>
  <c r="M131" i="25"/>
  <c r="S82" i="16"/>
  <c r="CZ120" i="18"/>
  <c r="BE149" i="18"/>
  <c r="EF149" i="18" s="1"/>
  <c r="M130" i="25"/>
  <c r="EA168" i="18"/>
  <c r="Z61" i="17"/>
  <c r="AL38" i="17"/>
  <c r="N169" i="30"/>
  <c r="DG174" i="18"/>
  <c r="L60" i="17"/>
  <c r="V60" i="17"/>
  <c r="F734" i="14"/>
  <c r="DE105" i="18"/>
  <c r="AF61" i="17"/>
  <c r="L228" i="30"/>
  <c r="J605" i="14"/>
  <c r="D304" i="25"/>
  <c r="CP116" i="18"/>
  <c r="V58" i="17"/>
  <c r="DO144" i="18"/>
  <c r="BH155" i="18"/>
  <c r="BH138" i="18"/>
  <c r="EC134" i="18"/>
  <c r="J589" i="14"/>
  <c r="BI39" i="18"/>
  <c r="BI38" i="18"/>
  <c r="O29" i="30" s="1"/>
  <c r="BG128" i="18"/>
  <c r="N100" i="30"/>
  <c r="BG70" i="18"/>
  <c r="BH32" i="18"/>
  <c r="BF41" i="18"/>
  <c r="M32" i="30" s="1"/>
  <c r="BG41" i="18"/>
  <c r="N32" i="30" s="1"/>
  <c r="V369" i="1"/>
  <c r="T86" i="29"/>
  <c r="R133" i="25"/>
  <c r="I994" i="14" s="1"/>
  <c r="I23" i="27"/>
  <c r="BM146" i="18"/>
  <c r="EI146" i="18" s="1"/>
  <c r="G23" i="27"/>
  <c r="E192" i="24"/>
  <c r="E193" i="24"/>
  <c r="E195" i="24" s="1"/>
  <c r="E196" i="24" s="1"/>
  <c r="CU24" i="18"/>
  <c r="G579" i="14"/>
  <c r="W15" i="16"/>
  <c r="EF106" i="18"/>
  <c r="BE107" i="18"/>
  <c r="AL41" i="18"/>
  <c r="DM176" i="18"/>
  <c r="EJ144" i="18"/>
  <c r="DT175" i="18"/>
  <c r="N86" i="29"/>
  <c r="AM41" i="18"/>
  <c r="F42" i="19"/>
  <c r="M169" i="30"/>
  <c r="AJ27" i="17"/>
  <c r="I40" i="18"/>
  <c r="F59" i="20"/>
  <c r="L53" i="20"/>
  <c r="Y40" i="18"/>
  <c r="Q59" i="20"/>
  <c r="N39" i="18"/>
  <c r="I32" i="18"/>
  <c r="AM70" i="18"/>
  <c r="D70" i="12"/>
  <c r="C70" i="12"/>
  <c r="I34" i="18"/>
  <c r="S37" i="18"/>
  <c r="I37" i="18"/>
  <c r="C405" i="25"/>
  <c r="I41" i="18"/>
  <c r="C60" i="20"/>
  <c r="N34" i="18"/>
  <c r="S38" i="18"/>
  <c r="N33" i="18"/>
  <c r="E498" i="21"/>
  <c r="F499" i="21" s="1"/>
  <c r="S40" i="18"/>
  <c r="EF95" i="18"/>
  <c r="L169" i="30"/>
  <c r="D259" i="25"/>
  <c r="F193" i="24"/>
  <c r="F195" i="24" s="1"/>
  <c r="DH149" i="18"/>
  <c r="N41" i="18"/>
  <c r="R78" i="20"/>
  <c r="E256" i="25"/>
  <c r="T6" i="16"/>
  <c r="R15" i="16"/>
  <c r="F23" i="31"/>
  <c r="G384" i="25"/>
  <c r="G404" i="25" s="1"/>
  <c r="T15" i="16"/>
  <c r="DH25" i="18"/>
  <c r="AL39" i="17"/>
  <c r="AM59" i="17" s="1"/>
  <c r="AL59" i="17"/>
  <c r="R13" i="16"/>
  <c r="Y37" i="18"/>
  <c r="C21" i="31"/>
  <c r="D382" i="25"/>
  <c r="I38" i="18"/>
  <c r="S33" i="18"/>
  <c r="H260" i="25"/>
  <c r="H259" i="25" s="1"/>
  <c r="G30" i="31"/>
  <c r="H29" i="31"/>
  <c r="X29" i="16"/>
  <c r="AI33" i="18"/>
  <c r="F256" i="25"/>
  <c r="DC174" i="18"/>
  <c r="AN73" i="17"/>
  <c r="M129" i="25"/>
  <c r="AC89" i="17" s="1"/>
  <c r="CP95" i="18"/>
  <c r="CU72" i="18"/>
  <c r="CZ112" i="18"/>
  <c r="AI37" i="18"/>
  <c r="CZ72" i="18"/>
  <c r="H51" i="17"/>
  <c r="R9" i="16"/>
  <c r="AL30" i="17"/>
  <c r="AP50" i="17" s="1"/>
  <c r="AL81" i="17"/>
  <c r="AL70" i="17" s="1"/>
  <c r="CK19" i="18"/>
  <c r="G383" i="25"/>
  <c r="G403" i="25" s="1"/>
  <c r="C256" i="25"/>
  <c r="CP62" i="18"/>
  <c r="DG149" i="18"/>
  <c r="C27" i="31"/>
  <c r="D28" i="12"/>
  <c r="D71" i="12" s="1"/>
  <c r="DS168" i="18"/>
  <c r="CP23" i="18"/>
  <c r="AK61" i="17"/>
  <c r="C560" i="14"/>
  <c r="D560" i="14" s="1"/>
  <c r="AK38" i="17"/>
  <c r="AK7" i="17"/>
  <c r="AM40" i="17"/>
  <c r="AN60" i="17" s="1"/>
  <c r="AM60" i="17"/>
  <c r="S6" i="16"/>
  <c r="AD32" i="18"/>
  <c r="CU176" i="18"/>
  <c r="E29" i="31"/>
  <c r="U29" i="16"/>
  <c r="CS174" i="18"/>
  <c r="V6" i="16"/>
  <c r="DK69" i="18"/>
  <c r="AS61" i="18"/>
  <c r="DA24" i="18"/>
  <c r="CP49" i="18"/>
  <c r="V15" i="16"/>
  <c r="I84" i="29"/>
  <c r="AH60" i="17"/>
  <c r="BC110" i="18"/>
  <c r="K30" i="31"/>
  <c r="X59" i="17"/>
  <c r="CR168" i="18"/>
  <c r="AK59" i="17"/>
  <c r="L100" i="30"/>
  <c r="G664" i="14"/>
  <c r="DE78" i="18"/>
  <c r="AB61" i="17"/>
  <c r="H232" i="30"/>
  <c r="E509" i="14"/>
  <c r="X509" i="14" s="1"/>
  <c r="M159" i="24"/>
  <c r="D865" i="14" s="1"/>
  <c r="CT174" i="18"/>
  <c r="CR176" i="18"/>
  <c r="J131" i="25"/>
  <c r="J155" i="25" s="1"/>
  <c r="AK75" i="17"/>
  <c r="M100" i="30"/>
  <c r="BI170" i="18"/>
  <c r="BI34" i="18"/>
  <c r="BI171" i="18"/>
  <c r="EE15" i="18"/>
  <c r="DO85" i="18"/>
  <c r="AM51" i="17"/>
  <c r="O169" i="25"/>
  <c r="AM61" i="17"/>
  <c r="AN44" i="18"/>
  <c r="K100" i="30"/>
  <c r="AX66" i="18"/>
  <c r="AX74" i="18" s="1"/>
  <c r="G144" i="30"/>
  <c r="AK81" i="17"/>
  <c r="AK70" i="17" s="1"/>
  <c r="DG168" i="18"/>
  <c r="DT144" i="18"/>
  <c r="K385" i="25"/>
  <c r="J30" i="31"/>
  <c r="D128" i="30"/>
  <c r="D167" i="30" s="1"/>
  <c r="BD139" i="18"/>
  <c r="K225" i="30" s="1"/>
  <c r="BG149" i="18"/>
  <c r="N236" i="30" s="1"/>
  <c r="AN59" i="17"/>
  <c r="AN39" i="17"/>
  <c r="AO59" i="17" s="1"/>
  <c r="U82" i="16"/>
  <c r="ED112" i="18"/>
  <c r="EI112" i="18"/>
  <c r="G73" i="25"/>
  <c r="S45" i="16"/>
  <c r="C65" i="25"/>
  <c r="C74" i="25"/>
  <c r="C292" i="25"/>
  <c r="C294" i="25" s="1"/>
  <c r="E74" i="25"/>
  <c r="E292" i="25"/>
  <c r="E299" i="25" s="1"/>
  <c r="E77" i="25"/>
  <c r="E84" i="25" s="1"/>
  <c r="R23" i="16"/>
  <c r="C384" i="25"/>
  <c r="C404" i="25" s="1"/>
  <c r="E65" i="25"/>
  <c r="T82" i="16"/>
  <c r="EK112" i="18"/>
  <c r="AA82" i="16"/>
  <c r="F65" i="25"/>
  <c r="C196" i="25"/>
  <c r="G18" i="25"/>
  <c r="EJ112" i="18"/>
  <c r="E206" i="25"/>
  <c r="D23" i="31" s="1"/>
  <c r="F18" i="25"/>
  <c r="G46" i="25"/>
  <c r="G47" i="25" s="1"/>
  <c r="C77" i="25"/>
  <c r="F77" i="25"/>
  <c r="E31" i="31" s="1"/>
  <c r="ED109" i="18"/>
  <c r="D206" i="25"/>
  <c r="C23" i="31" s="1"/>
  <c r="R45" i="16"/>
  <c r="F292" i="25"/>
  <c r="K128" i="30"/>
  <c r="K167" i="30" s="1"/>
  <c r="L128" i="30"/>
  <c r="L167" i="30" s="1"/>
  <c r="B142" i="30"/>
  <c r="C65" i="30"/>
  <c r="C71" i="30" s="1"/>
  <c r="C95" i="30" s="1"/>
  <c r="C102" i="30" s="1"/>
  <c r="C128" i="30" s="1"/>
  <c r="H3" i="30"/>
  <c r="I3" i="30"/>
  <c r="I32" i="30"/>
  <c r="E3" i="30"/>
  <c r="G3" i="30"/>
  <c r="F3" i="30"/>
  <c r="AB44" i="16"/>
  <c r="BN146" i="18"/>
  <c r="AD115" i="16"/>
  <c r="H23" i="27"/>
  <c r="F167" i="30"/>
  <c r="F194" i="30"/>
  <c r="F221" i="30" s="1"/>
  <c r="J134" i="30"/>
  <c r="J194" i="30"/>
  <c r="J221" i="30" s="1"/>
  <c r="J167" i="30"/>
  <c r="H167" i="30"/>
  <c r="H194" i="30"/>
  <c r="H221" i="30" s="1"/>
  <c r="H134" i="30"/>
  <c r="I194" i="30"/>
  <c r="I221" i="30" s="1"/>
  <c r="I167" i="30"/>
  <c r="V38" i="16"/>
  <c r="D596" i="14"/>
  <c r="G59" i="17"/>
  <c r="E39" i="17"/>
  <c r="X27" i="17"/>
  <c r="AB58" i="17"/>
  <c r="E194" i="30"/>
  <c r="E221" i="30" s="1"/>
  <c r="E167" i="30"/>
  <c r="BH24" i="18"/>
  <c r="C441" i="14"/>
  <c r="D426" i="14"/>
  <c r="AF8" i="17"/>
  <c r="AI8" i="17"/>
  <c r="L42" i="1"/>
  <c r="L409" i="1"/>
  <c r="L78" i="1"/>
  <c r="N26" i="1"/>
  <c r="C8" i="17"/>
  <c r="C6" i="17"/>
  <c r="N38" i="17"/>
  <c r="N7" i="17"/>
  <c r="C599" i="14"/>
  <c r="F9" i="25"/>
  <c r="E107" i="31" s="1"/>
  <c r="U40" i="16"/>
  <c r="J73" i="25"/>
  <c r="J385" i="25"/>
  <c r="Y81" i="16"/>
  <c r="Y82" i="16" s="1"/>
  <c r="Y30" i="16"/>
  <c r="G60" i="17"/>
  <c r="E40" i="17"/>
  <c r="E32" i="22"/>
  <c r="J59" i="17"/>
  <c r="J39" i="17"/>
  <c r="K59" i="17" s="1"/>
  <c r="L8" i="17"/>
  <c r="H596" i="14"/>
  <c r="Z38" i="16"/>
  <c r="G134" i="30"/>
  <c r="G194" i="30"/>
  <c r="G221" i="30" s="1"/>
  <c r="H61" i="17"/>
  <c r="F41" i="17"/>
  <c r="E9" i="25"/>
  <c r="T39" i="16"/>
  <c r="P60" i="17"/>
  <c r="P40" i="17"/>
  <c r="Q60" i="17" s="1"/>
  <c r="AF59" i="17"/>
  <c r="AF39" i="17"/>
  <c r="AG59" i="17" s="1"/>
  <c r="K8" i="17"/>
  <c r="AE58" i="17"/>
  <c r="AA27" i="17"/>
  <c r="L38" i="17"/>
  <c r="R40" i="17"/>
  <c r="S60" i="17" s="1"/>
  <c r="R60" i="17"/>
  <c r="D9" i="25"/>
  <c r="C107" i="31" s="1"/>
  <c r="S40" i="16"/>
  <c r="AK60" i="17"/>
  <c r="AK40" i="17"/>
  <c r="AL60" i="17" s="1"/>
  <c r="AL61" i="17"/>
  <c r="AM71" i="17"/>
  <c r="D10" i="24"/>
  <c r="D13" i="24"/>
  <c r="G153" i="24"/>
  <c r="F155" i="24"/>
  <c r="K159" i="24"/>
  <c r="J159" i="24"/>
  <c r="C264" i="24"/>
  <c r="C223" i="24"/>
  <c r="C229" i="24" s="1"/>
  <c r="C230" i="24" s="1"/>
  <c r="C220" i="24"/>
  <c r="C222" i="24"/>
  <c r="C236" i="24"/>
  <c r="C237" i="24" s="1"/>
  <c r="C233" i="24"/>
  <c r="C228" i="24"/>
  <c r="C274" i="24"/>
  <c r="C235" i="24"/>
  <c r="C226" i="24"/>
  <c r="M210" i="24"/>
  <c r="D104" i="24"/>
  <c r="D105" i="24" s="1"/>
  <c r="G195" i="24"/>
  <c r="K86" i="18"/>
  <c r="H79" i="20" s="1"/>
  <c r="K80" i="18"/>
  <c r="J80" i="18"/>
  <c r="J86" i="18"/>
  <c r="G79" i="20" s="1"/>
  <c r="AW99" i="18"/>
  <c r="DW99" i="18"/>
  <c r="DS111" i="18"/>
  <c r="DX111" i="18"/>
  <c r="AX111" i="18"/>
  <c r="I62" i="18"/>
  <c r="CK62" i="18" s="1"/>
  <c r="DL168" i="18"/>
  <c r="DJ21" i="18"/>
  <c r="DR176" i="18"/>
  <c r="DE72" i="18"/>
  <c r="CG62" i="18"/>
  <c r="AE25" i="18"/>
  <c r="DF25" i="18" s="1"/>
  <c r="AR41" i="18"/>
  <c r="BH2" i="18"/>
  <c r="EB69" i="18"/>
  <c r="EG69" i="18"/>
  <c r="CQ25" i="18"/>
  <c r="BC99" i="18"/>
  <c r="CZ84" i="18"/>
  <c r="DO78" i="18"/>
  <c r="DF24" i="18"/>
  <c r="DO21" i="18"/>
  <c r="Y34" i="18"/>
  <c r="CX168" i="18"/>
  <c r="Z41" i="18"/>
  <c r="DZ106" i="18"/>
  <c r="F105" i="18"/>
  <c r="CH105" i="18" s="1"/>
  <c r="AM128" i="18"/>
  <c r="AN39" i="18"/>
  <c r="EI144" i="18"/>
  <c r="DI24" i="18"/>
  <c r="DE9" i="18"/>
  <c r="BD103" i="18"/>
  <c r="BH25" i="18"/>
  <c r="EB169" i="18"/>
  <c r="EG169" i="18"/>
  <c r="L87" i="18"/>
  <c r="I80" i="20" s="1"/>
  <c r="DB66" i="18"/>
  <c r="DE111" i="18"/>
  <c r="DI176" i="18"/>
  <c r="AA128" i="18"/>
  <c r="CK50" i="18"/>
  <c r="EC69" i="18"/>
  <c r="CX174" i="18"/>
  <c r="BD113" i="18"/>
  <c r="O41" i="18"/>
  <c r="DJ105" i="18"/>
  <c r="CQ24" i="18"/>
  <c r="E66" i="18"/>
  <c r="C78" i="20" s="1"/>
  <c r="AI174" i="18"/>
  <c r="DO24" i="18"/>
  <c r="AS76" i="18"/>
  <c r="J240" i="24" s="1"/>
  <c r="DI169" i="18"/>
  <c r="BH145" i="18"/>
  <c r="EI145" i="18" s="1"/>
  <c r="EE145" i="18"/>
  <c r="DY175" i="18"/>
  <c r="CL24" i="18"/>
  <c r="CW66" i="18"/>
  <c r="N32" i="18"/>
  <c r="DO110" i="18"/>
  <c r="BH34" i="18"/>
  <c r="DC24" i="18"/>
  <c r="DY2" i="18"/>
  <c r="DY4" i="18" s="1"/>
  <c r="CU49" i="18"/>
  <c r="CZ49" i="18"/>
  <c r="AD33" i="18"/>
  <c r="CH25" i="18"/>
  <c r="AW41" i="18"/>
  <c r="F32" i="30" s="1"/>
  <c r="BE114" i="18"/>
  <c r="EF113" i="18"/>
  <c r="CI86" i="18"/>
  <c r="I63" i="18"/>
  <c r="CK63" i="18" s="1"/>
  <c r="AD34" i="18"/>
  <c r="BE117" i="18"/>
  <c r="EF117" i="18" s="1"/>
  <c r="BC4" i="18"/>
  <c r="AO39" i="18"/>
  <c r="ED5" i="18"/>
  <c r="BC55" i="18"/>
  <c r="DT174" i="18"/>
  <c r="EA169" i="18"/>
  <c r="EF169" i="18"/>
  <c r="EC66" i="18"/>
  <c r="N107" i="30" s="1"/>
  <c r="BG15" i="18"/>
  <c r="BG170" i="18" s="1"/>
  <c r="EB24" i="18"/>
  <c r="CZ9" i="18"/>
  <c r="BC166" i="18"/>
  <c r="BE41" i="18"/>
  <c r="L32" i="30" s="1"/>
  <c r="CP105" i="18"/>
  <c r="AH25" i="18"/>
  <c r="DI25" i="18" s="1"/>
  <c r="DS174" i="18"/>
  <c r="AS39" i="18"/>
  <c r="L40" i="19" s="1"/>
  <c r="BG140" i="18"/>
  <c r="N226" i="30" s="1"/>
  <c r="N231" i="30" s="1"/>
  <c r="EJ145" i="18"/>
  <c r="BD107" i="18"/>
  <c r="AD40" i="18"/>
  <c r="DT84" i="18"/>
  <c r="BD86" i="18"/>
  <c r="K222" i="30" s="1"/>
  <c r="AA171" i="18"/>
  <c r="S175" i="18"/>
  <c r="CU175" i="18" s="1"/>
  <c r="DM175" i="18"/>
  <c r="DZ138" i="18"/>
  <c r="AQ128" i="18"/>
  <c r="DJ85" i="18"/>
  <c r="BG97" i="18"/>
  <c r="BG132" i="18"/>
  <c r="BG87" i="18"/>
  <c r="BG74" i="18"/>
  <c r="CC39" i="18"/>
  <c r="BG113" i="18"/>
  <c r="EH113" i="18" s="1"/>
  <c r="BG107" i="18"/>
  <c r="BH16" i="18"/>
  <c r="ED9" i="18"/>
  <c r="BH33" i="18"/>
  <c r="DS144" i="18"/>
  <c r="DX144" i="18"/>
  <c r="DL174" i="18"/>
  <c r="DQ174" i="18"/>
  <c r="DG79" i="18"/>
  <c r="AF86" i="18"/>
  <c r="Q10" i="17" s="1"/>
  <c r="CW168" i="18"/>
  <c r="EB101" i="18"/>
  <c r="BB101" i="18"/>
  <c r="CK15" i="18"/>
  <c r="I25" i="18"/>
  <c r="O168" i="18"/>
  <c r="CQ168" i="18" s="1"/>
  <c r="CP21" i="18"/>
  <c r="CP77" i="18"/>
  <c r="CU77" i="18"/>
  <c r="AD16" i="18"/>
  <c r="DE5" i="18"/>
  <c r="AE32" i="18"/>
  <c r="AI32" i="18" s="1"/>
  <c r="AP68" i="18"/>
  <c r="AP69" i="18" s="1"/>
  <c r="DL66" i="18"/>
  <c r="DQ66" i="18"/>
  <c r="AP171" i="18"/>
  <c r="AP128" i="18"/>
  <c r="AP74" i="18"/>
  <c r="AP170" i="18"/>
  <c r="EC176" i="18"/>
  <c r="DX176" i="18"/>
  <c r="BF107" i="18"/>
  <c r="BF97" i="18"/>
  <c r="BF128" i="18"/>
  <c r="BF170" i="18"/>
  <c r="BF70" i="18"/>
  <c r="BF171" i="18"/>
  <c r="EB66" i="18"/>
  <c r="M107" i="30" s="1"/>
  <c r="CG73" i="18"/>
  <c r="F73" i="18"/>
  <c r="DE83" i="18"/>
  <c r="DJ83" i="18"/>
  <c r="DW142" i="18"/>
  <c r="BC142" i="18"/>
  <c r="L129" i="25" s="1"/>
  <c r="AB89" i="17" s="1"/>
  <c r="DN169" i="18"/>
  <c r="DD174" i="18"/>
  <c r="DI174" i="18"/>
  <c r="CX169" i="18"/>
  <c r="DC169" i="18"/>
  <c r="DX105" i="18"/>
  <c r="AX105" i="18"/>
  <c r="DT105" i="18" s="1"/>
  <c r="DS105" i="18"/>
  <c r="DB174" i="18"/>
  <c r="CW174" i="18"/>
  <c r="CZ62" i="18"/>
  <c r="CU62" i="18"/>
  <c r="Y66" i="18"/>
  <c r="DR174" i="18"/>
  <c r="DW174" i="18"/>
  <c r="AS66" i="18"/>
  <c r="DT63" i="18"/>
  <c r="DO63" i="18"/>
  <c r="DJ145" i="18"/>
  <c r="DO145" i="18"/>
  <c r="DC25" i="18"/>
  <c r="AP41" i="18"/>
  <c r="F116" i="18"/>
  <c r="CH116" i="18" s="1"/>
  <c r="CG116" i="18"/>
  <c r="DE116" i="18"/>
  <c r="CZ116" i="18"/>
  <c r="AO171" i="18"/>
  <c r="AO34" i="18"/>
  <c r="AO170" i="18"/>
  <c r="AN25" i="18"/>
  <c r="AT37" i="18"/>
  <c r="AT169" i="18"/>
  <c r="AS25" i="18"/>
  <c r="DO19" i="18"/>
  <c r="DT19" i="18"/>
  <c r="AX37" i="18"/>
  <c r="M36" i="19" s="1"/>
  <c r="AS37" i="18"/>
  <c r="L36" i="19" s="1"/>
  <c r="EA96" i="18"/>
  <c r="BA96" i="18"/>
  <c r="DV96" i="18"/>
  <c r="H171" i="30" s="1"/>
  <c r="AZ106" i="18"/>
  <c r="AZ138" i="18"/>
  <c r="H224" i="30" s="1"/>
  <c r="AZ97" i="18"/>
  <c r="H172" i="30" s="1"/>
  <c r="AT92" i="18"/>
  <c r="DU91" i="18"/>
  <c r="G137" i="30" s="1"/>
  <c r="CU112" i="18"/>
  <c r="I39" i="18"/>
  <c r="AN139" i="18"/>
  <c r="DF139" i="18"/>
  <c r="DY84" i="18"/>
  <c r="F84" i="18"/>
  <c r="CG84" i="18"/>
  <c r="CZ50" i="18"/>
  <c r="DE50" i="18"/>
  <c r="EI109" i="18"/>
  <c r="EJ109" i="18"/>
  <c r="L134" i="18"/>
  <c r="DM66" i="18"/>
  <c r="DI66" i="18"/>
  <c r="DH24" i="18"/>
  <c r="N161" i="24" l="1"/>
  <c r="E962" i="14" s="1"/>
  <c r="D962" i="14"/>
  <c r="C836" i="14"/>
  <c r="C837" i="14" s="1"/>
  <c r="L59" i="24"/>
  <c r="C1164" i="14"/>
  <c r="C1176" i="14" s="1"/>
  <c r="C1177" i="14" s="1"/>
  <c r="BL153" i="18"/>
  <c r="M166" i="24"/>
  <c r="I130" i="30"/>
  <c r="AL58" i="17"/>
  <c r="K166" i="24"/>
  <c r="AI27" i="17"/>
  <c r="AI28" i="17" s="1"/>
  <c r="AM48" i="17" s="1"/>
  <c r="AL27" i="17"/>
  <c r="AP58" i="17"/>
  <c r="AB80" i="18"/>
  <c r="J166" i="24"/>
  <c r="CB25" i="1"/>
  <c r="CN10" i="1" s="1"/>
  <c r="CN12" i="1" s="1"/>
  <c r="N497" i="1"/>
  <c r="O497" i="1" s="1"/>
  <c r="P497" i="1" s="1"/>
  <c r="L166" i="24"/>
  <c r="BB156" i="18"/>
  <c r="J241" i="30" s="1"/>
  <c r="CC25" i="1"/>
  <c r="CO10" i="1" s="1"/>
  <c r="CO12" i="1" s="1"/>
  <c r="G591" i="14"/>
  <c r="I24" i="20"/>
  <c r="BC156" i="18"/>
  <c r="F649" i="14"/>
  <c r="AB96" i="18"/>
  <c r="AB97" i="18" s="1"/>
  <c r="D492" i="14"/>
  <c r="J162" i="24"/>
  <c r="BD156" i="18"/>
  <c r="K241" i="30" s="1"/>
  <c r="N408" i="1"/>
  <c r="AB87" i="18"/>
  <c r="BE156" i="18"/>
  <c r="L241" i="30" s="1"/>
  <c r="AB134" i="18"/>
  <c r="O408" i="1"/>
  <c r="N530" i="1"/>
  <c r="O530" i="1" s="1"/>
  <c r="P530" i="1" s="1"/>
  <c r="BF79" i="18"/>
  <c r="EG79" i="18" s="1"/>
  <c r="F591" i="14"/>
  <c r="N462" i="1"/>
  <c r="N464" i="1" s="1"/>
  <c r="N466" i="1" s="1"/>
  <c r="N468" i="1" s="1"/>
  <c r="BF156" i="18"/>
  <c r="M241" i="30" s="1"/>
  <c r="K223" i="30"/>
  <c r="M162" i="24"/>
  <c r="D870" i="14" s="1"/>
  <c r="DZ70" i="18"/>
  <c r="I591" i="14"/>
  <c r="J591" i="14" s="1"/>
  <c r="L109" i="31"/>
  <c r="AC87" i="17"/>
  <c r="Z39" i="16"/>
  <c r="K109" i="31"/>
  <c r="AB87" i="17"/>
  <c r="J583" i="14"/>
  <c r="BG156" i="18"/>
  <c r="N241" i="30" s="1"/>
  <c r="BH156" i="18"/>
  <c r="I142" i="30"/>
  <c r="G583" i="14"/>
  <c r="D992" i="14"/>
  <c r="AC90" i="17"/>
  <c r="DW170" i="18"/>
  <c r="AK27" i="17"/>
  <c r="AO58" i="17"/>
  <c r="DU139" i="18"/>
  <c r="G225" i="30"/>
  <c r="F583" i="14"/>
  <c r="L200" i="24"/>
  <c r="L198" i="24" s="1"/>
  <c r="C869" i="14"/>
  <c r="BM50" i="18"/>
  <c r="E869" i="14"/>
  <c r="D869" i="14"/>
  <c r="H165" i="24"/>
  <c r="I166" i="24" s="1"/>
  <c r="H161" i="24"/>
  <c r="H162" i="24" s="1"/>
  <c r="Z321" i="24"/>
  <c r="Z118" i="24"/>
  <c r="Q830" i="14" s="1"/>
  <c r="I43" i="24"/>
  <c r="L162" i="24"/>
  <c r="C870" i="14" s="1"/>
  <c r="H43" i="24"/>
  <c r="H50" i="24"/>
  <c r="M281" i="24"/>
  <c r="M280" i="24" s="1"/>
  <c r="M362" i="24"/>
  <c r="Q845" i="14"/>
  <c r="C820" i="14"/>
  <c r="C827" i="14"/>
  <c r="C828" i="14"/>
  <c r="H88" i="24"/>
  <c r="H107" i="24"/>
  <c r="K112" i="24"/>
  <c r="K52" i="24"/>
  <c r="H578" i="14" s="1"/>
  <c r="Z222" i="16"/>
  <c r="K107" i="24"/>
  <c r="I122" i="24"/>
  <c r="J122" i="24"/>
  <c r="J121" i="24"/>
  <c r="J43" i="24"/>
  <c r="I121" i="24"/>
  <c r="J50" i="24"/>
  <c r="I104" i="24"/>
  <c r="I109" i="24"/>
  <c r="K62" i="24"/>
  <c r="K104" i="24"/>
  <c r="K109" i="24"/>
  <c r="H104" i="24"/>
  <c r="H109" i="24"/>
  <c r="J104" i="24"/>
  <c r="J109" i="24"/>
  <c r="K42" i="24"/>
  <c r="K43" i="24" s="1"/>
  <c r="K110" i="24"/>
  <c r="K115" i="24"/>
  <c r="K122" i="24" s="1"/>
  <c r="K105" i="24"/>
  <c r="K106" i="24"/>
  <c r="BN147" i="18"/>
  <c r="O143" i="25"/>
  <c r="O144" i="25" s="1"/>
  <c r="T1213" i="14" s="1"/>
  <c r="G280" i="30"/>
  <c r="AI58" i="17"/>
  <c r="BJ148" i="18"/>
  <c r="P235" i="30" s="1"/>
  <c r="O462" i="1"/>
  <c r="O464" i="1" s="1"/>
  <c r="EB90" i="18"/>
  <c r="J24" i="20"/>
  <c r="EB74" i="18"/>
  <c r="H280" i="30"/>
  <c r="C1100" i="14"/>
  <c r="D1102" i="14"/>
  <c r="D1104" i="14" s="1"/>
  <c r="D1110" i="14" s="1"/>
  <c r="D1113" i="14" s="1"/>
  <c r="E236" i="30"/>
  <c r="T272" i="30"/>
  <c r="O272" i="30"/>
  <c r="N272" i="30"/>
  <c r="S272" i="30"/>
  <c r="M272" i="30"/>
  <c r="R272" i="30"/>
  <c r="C194" i="30"/>
  <c r="C221" i="30" s="1"/>
  <c r="C167" i="30"/>
  <c r="C759" i="14"/>
  <c r="D760" i="14" s="1"/>
  <c r="D771" i="14" s="1"/>
  <c r="D770" i="14" s="1"/>
  <c r="BI149" i="18"/>
  <c r="BB91" i="18"/>
  <c r="EC91" i="18" s="1"/>
  <c r="Z217" i="16"/>
  <c r="H587" i="14"/>
  <c r="O250" i="24"/>
  <c r="P250" i="24" s="1"/>
  <c r="DX145" i="18"/>
  <c r="AX145" i="18"/>
  <c r="K132" i="25" s="1"/>
  <c r="D20" i="27" s="1"/>
  <c r="DS145" i="18"/>
  <c r="F228" i="30"/>
  <c r="M43" i="24"/>
  <c r="AZ134" i="18"/>
  <c r="AG11" i="17"/>
  <c r="AG31" i="17" s="1"/>
  <c r="X505" i="14"/>
  <c r="D512" i="14"/>
  <c r="C545" i="14" s="1"/>
  <c r="D1006" i="14"/>
  <c r="M172" i="25"/>
  <c r="D1004" i="14"/>
  <c r="D1009" i="14" s="1"/>
  <c r="M177" i="25"/>
  <c r="D1008" i="14" s="1"/>
  <c r="D991" i="14"/>
  <c r="L177" i="25"/>
  <c r="C1008" i="14" s="1"/>
  <c r="C991" i="14"/>
  <c r="DQ74" i="18"/>
  <c r="D989" i="14"/>
  <c r="AH6" i="17"/>
  <c r="AH26" i="17" s="1"/>
  <c r="AH25" i="17" s="1"/>
  <c r="AL45" i="17" s="1"/>
  <c r="DV171" i="18"/>
  <c r="DW70" i="18"/>
  <c r="D880" i="14"/>
  <c r="D882" i="14" s="1"/>
  <c r="D954" i="14" s="1"/>
  <c r="S133" i="24"/>
  <c r="S134" i="24" s="1"/>
  <c r="J819" i="14"/>
  <c r="J820" i="14" s="1"/>
  <c r="J917" i="14"/>
  <c r="S286" i="24"/>
  <c r="L6" i="25"/>
  <c r="I597" i="14" s="1"/>
  <c r="Q597" i="14" s="1"/>
  <c r="C877" i="14"/>
  <c r="Q819" i="14"/>
  <c r="Q820" i="14" s="1"/>
  <c r="Q917" i="14"/>
  <c r="Z286" i="24"/>
  <c r="Z133" i="24"/>
  <c r="Z134" i="24" s="1"/>
  <c r="Z131" i="24" s="1"/>
  <c r="K63" i="24"/>
  <c r="K49" i="24"/>
  <c r="K39" i="24"/>
  <c r="L39" i="24"/>
  <c r="AA62" i="16"/>
  <c r="L312" i="24"/>
  <c r="L326" i="24" s="1"/>
  <c r="C902" i="14" s="1"/>
  <c r="C903" i="14" s="1"/>
  <c r="H6" i="17"/>
  <c r="H46" i="17" s="1"/>
  <c r="F727" i="14"/>
  <c r="F729" i="14" s="1"/>
  <c r="M175" i="25"/>
  <c r="F27" i="27" s="1"/>
  <c r="F30" i="27" s="1"/>
  <c r="EB91" i="18"/>
  <c r="D64" i="1"/>
  <c r="P180" i="25"/>
  <c r="N81" i="17"/>
  <c r="F8" i="22"/>
  <c r="M8" i="22" s="1"/>
  <c r="L389" i="11"/>
  <c r="DR70" i="18"/>
  <c r="L355" i="11"/>
  <c r="AY149" i="18"/>
  <c r="G236" i="30" s="1"/>
  <c r="R100" i="25"/>
  <c r="L366" i="11"/>
  <c r="EF170" i="18"/>
  <c r="K28" i="12"/>
  <c r="K71" i="12" s="1"/>
  <c r="AC6" i="17"/>
  <c r="AC26" i="17" s="1"/>
  <c r="AG46" i="17" s="1"/>
  <c r="CK16" i="18"/>
  <c r="D723" i="14"/>
  <c r="D725" i="14" s="1"/>
  <c r="I19" i="20"/>
  <c r="N50" i="1"/>
  <c r="N52" i="1" s="1"/>
  <c r="N100" i="1" s="1"/>
  <c r="N425" i="1" s="1"/>
  <c r="N403" i="1"/>
  <c r="H196" i="30"/>
  <c r="H197" i="30" s="1"/>
  <c r="C64" i="1"/>
  <c r="BA131" i="18"/>
  <c r="BA139" i="18" s="1"/>
  <c r="I225" i="30" s="1"/>
  <c r="O467" i="21"/>
  <c r="O134" i="21"/>
  <c r="P134" i="21" s="1"/>
  <c r="Q134" i="21" s="1"/>
  <c r="O18" i="1"/>
  <c r="CC18" i="1" s="1"/>
  <c r="CO4" i="1" s="1"/>
  <c r="CO6" i="1" s="1"/>
  <c r="AZ139" i="18"/>
  <c r="H225" i="30" s="1"/>
  <c r="AD78" i="17"/>
  <c r="N21" i="1"/>
  <c r="N42" i="1" s="1"/>
  <c r="DE5" i="1"/>
  <c r="G256" i="25"/>
  <c r="DW149" i="18"/>
  <c r="L395" i="11"/>
  <c r="F252" i="25"/>
  <c r="E227" i="25"/>
  <c r="E228" i="25" s="1"/>
  <c r="M214" i="25"/>
  <c r="M155" i="25"/>
  <c r="D493" i="14"/>
  <c r="M9" i="25"/>
  <c r="AC85" i="17" s="1"/>
  <c r="F650" i="14"/>
  <c r="Z90" i="29"/>
  <c r="Z91" i="29" s="1"/>
  <c r="Y90" i="29"/>
  <c r="Y91" i="29" s="1"/>
  <c r="X90" i="29"/>
  <c r="X91" i="29" s="1"/>
  <c r="W90" i="29"/>
  <c r="W91" i="29" s="1"/>
  <c r="V90" i="29"/>
  <c r="V91" i="29" s="1"/>
  <c r="U90" i="29"/>
  <c r="U91" i="29" s="1"/>
  <c r="O161" i="24"/>
  <c r="F962" i="14" s="1"/>
  <c r="CX74" i="18"/>
  <c r="T100" i="25"/>
  <c r="I100" i="24"/>
  <c r="I157" i="24" s="1"/>
  <c r="L140" i="24"/>
  <c r="D592" i="14"/>
  <c r="G105" i="24"/>
  <c r="E74" i="24"/>
  <c r="W223" i="16"/>
  <c r="C581" i="14"/>
  <c r="D74" i="24"/>
  <c r="C74" i="24"/>
  <c r="E29" i="22"/>
  <c r="L411" i="11"/>
  <c r="CY25" i="18"/>
  <c r="O463" i="21"/>
  <c r="DI74" i="18"/>
  <c r="N81" i="25"/>
  <c r="N387" i="25" s="1"/>
  <c r="N406" i="25" s="1"/>
  <c r="L422" i="11"/>
  <c r="BB100" i="18"/>
  <c r="BB102" i="18" s="1"/>
  <c r="H227" i="25"/>
  <c r="H228" i="25" s="1"/>
  <c r="DX70" i="18"/>
  <c r="K390" i="11"/>
  <c r="L424" i="11"/>
  <c r="L106" i="18"/>
  <c r="L113" i="18" s="1"/>
  <c r="U77" i="16"/>
  <c r="U91" i="16" s="1"/>
  <c r="L404" i="11"/>
  <c r="Q100" i="25"/>
  <c r="L372" i="11"/>
  <c r="S100" i="25"/>
  <c r="Q6" i="17"/>
  <c r="Q26" i="17" s="1"/>
  <c r="L352" i="11"/>
  <c r="G28" i="17"/>
  <c r="K48" i="17" s="1"/>
  <c r="L373" i="11"/>
  <c r="M51" i="20"/>
  <c r="DW74" i="18"/>
  <c r="DS149" i="18"/>
  <c r="CX171" i="18"/>
  <c r="F227" i="25"/>
  <c r="F228" i="25" s="1"/>
  <c r="EB100" i="18"/>
  <c r="R75" i="16"/>
  <c r="R72" i="16" s="1"/>
  <c r="G4" i="21"/>
  <c r="AE6" i="17"/>
  <c r="AE26" i="17" s="1"/>
  <c r="AE25" i="17" s="1"/>
  <c r="AI45" i="17" s="1"/>
  <c r="D28" i="22"/>
  <c r="BA102" i="18"/>
  <c r="EB102" i="18" s="1"/>
  <c r="S74" i="18"/>
  <c r="S79" i="18" s="1"/>
  <c r="L394" i="11"/>
  <c r="DA171" i="18"/>
  <c r="L97" i="18"/>
  <c r="I83" i="20" s="1"/>
  <c r="K47" i="17"/>
  <c r="C600" i="14"/>
  <c r="E10" i="21"/>
  <c r="E542" i="21" s="1"/>
  <c r="G252" i="25"/>
  <c r="L388" i="11"/>
  <c r="O255" i="1"/>
  <c r="O171" i="1" s="1"/>
  <c r="L392" i="11"/>
  <c r="P304" i="24"/>
  <c r="O303" i="24"/>
  <c r="H100" i="24"/>
  <c r="K83" i="24"/>
  <c r="J100" i="24"/>
  <c r="J35" i="24"/>
  <c r="E217" i="24"/>
  <c r="H23" i="24"/>
  <c r="I23" i="24" s="1"/>
  <c r="J23" i="24" s="1"/>
  <c r="K23" i="24" s="1"/>
  <c r="L23" i="24" s="1"/>
  <c r="M23" i="24" s="1"/>
  <c r="N23" i="24" s="1"/>
  <c r="O23" i="24" s="1"/>
  <c r="P23" i="24" s="1"/>
  <c r="Q23" i="24" s="1"/>
  <c r="R23" i="24" s="1"/>
  <c r="S23" i="24" s="1"/>
  <c r="T23" i="24" s="1"/>
  <c r="U23" i="24" s="1"/>
  <c r="V23" i="24" s="1"/>
  <c r="W23" i="24" s="1"/>
  <c r="X23" i="24" s="1"/>
  <c r="Y23" i="24" s="1"/>
  <c r="Z23" i="24" s="1"/>
  <c r="DX170" i="18"/>
  <c r="L11" i="1"/>
  <c r="L399" i="1" s="1"/>
  <c r="O106" i="21"/>
  <c r="O608" i="21" s="1"/>
  <c r="CR170" i="18"/>
  <c r="DA168" i="18"/>
  <c r="AG69" i="17"/>
  <c r="CW25" i="18"/>
  <c r="AU134" i="18"/>
  <c r="L415" i="11"/>
  <c r="S27" i="17"/>
  <c r="S28" i="17" s="1"/>
  <c r="W48" i="17" s="1"/>
  <c r="AU132" i="18"/>
  <c r="D198" i="30" s="1"/>
  <c r="DV101" i="18"/>
  <c r="H366" i="25"/>
  <c r="Y47" i="17"/>
  <c r="DA170" i="18"/>
  <c r="X75" i="16"/>
  <c r="X72" i="16" s="1"/>
  <c r="AQ86" i="18"/>
  <c r="C470" i="14" s="1"/>
  <c r="Q423" i="21"/>
  <c r="R463" i="21" s="1"/>
  <c r="P463" i="21"/>
  <c r="D196" i="30"/>
  <c r="D197" i="30" s="1"/>
  <c r="Q596" i="14"/>
  <c r="L418" i="11"/>
  <c r="E426" i="14"/>
  <c r="H47" i="17"/>
  <c r="CP16" i="18"/>
  <c r="DR74" i="18"/>
  <c r="V24" i="16"/>
  <c r="V86" i="16" s="1"/>
  <c r="L385" i="11"/>
  <c r="AW86" i="18"/>
  <c r="AJ58" i="17"/>
  <c r="CV170" i="18"/>
  <c r="G10" i="12"/>
  <c r="L47" i="17"/>
  <c r="X6" i="17"/>
  <c r="X26" i="17" s="1"/>
  <c r="X25" i="17" s="1"/>
  <c r="AB45" i="17" s="1"/>
  <c r="CS170" i="18"/>
  <c r="DS170" i="18"/>
  <c r="O110" i="21"/>
  <c r="O612" i="21" s="1"/>
  <c r="P272" i="1"/>
  <c r="Q312" i="1" s="1"/>
  <c r="L393" i="11"/>
  <c r="G421" i="14"/>
  <c r="G422" i="14" s="1"/>
  <c r="DM74" i="18"/>
  <c r="L359" i="11"/>
  <c r="E429" i="14"/>
  <c r="L346" i="11"/>
  <c r="L436" i="11"/>
  <c r="AG75" i="17"/>
  <c r="DS142" i="18"/>
  <c r="I28" i="20"/>
  <c r="CV171" i="18"/>
  <c r="F139" i="25"/>
  <c r="F382" i="25"/>
  <c r="D333" i="21"/>
  <c r="F229" i="30"/>
  <c r="I230" i="30"/>
  <c r="DX142" i="18"/>
  <c r="K227" i="25"/>
  <c r="P100" i="25"/>
  <c r="H7" i="20"/>
  <c r="DE175" i="18"/>
  <c r="DF170" i="18"/>
  <c r="L435" i="11"/>
  <c r="L380" i="11"/>
  <c r="AE73" i="17"/>
  <c r="L344" i="11"/>
  <c r="DV145" i="18"/>
  <c r="O381" i="1"/>
  <c r="J397" i="11"/>
  <c r="BA145" i="18"/>
  <c r="BC145" i="18" s="1"/>
  <c r="ED145" i="18" s="1"/>
  <c r="L371" i="11"/>
  <c r="F758" i="21"/>
  <c r="F760" i="21" s="1"/>
  <c r="F763" i="21" s="1"/>
  <c r="BC143" i="18"/>
  <c r="DY143" i="18" s="1"/>
  <c r="AV131" i="18"/>
  <c r="AU139" i="18"/>
  <c r="D225" i="30" s="1"/>
  <c r="L58" i="17"/>
  <c r="K149" i="25"/>
  <c r="W225" i="16"/>
  <c r="K140" i="25"/>
  <c r="W61" i="16"/>
  <c r="D82" i="1"/>
  <c r="D84" i="1" s="1"/>
  <c r="L403" i="11"/>
  <c r="EA145" i="18"/>
  <c r="I112" i="18"/>
  <c r="CK112" i="18" s="1"/>
  <c r="E21" i="31"/>
  <c r="DI170" i="18"/>
  <c r="I78" i="18"/>
  <c r="CK78" i="18" s="1"/>
  <c r="AO80" i="18"/>
  <c r="DV131" i="18"/>
  <c r="CC24" i="18"/>
  <c r="CC25" i="18" s="1"/>
  <c r="AL6" i="17"/>
  <c r="AL26" i="17" s="1"/>
  <c r="Z9" i="16"/>
  <c r="Z27" i="16" s="1"/>
  <c r="Z119" i="16" s="1"/>
  <c r="L431" i="11"/>
  <c r="AX149" i="18"/>
  <c r="DT149" i="18" s="1"/>
  <c r="DK70" i="18"/>
  <c r="O24" i="1"/>
  <c r="J23" i="20" s="1"/>
  <c r="P462" i="21"/>
  <c r="L362" i="11"/>
  <c r="N407" i="1"/>
  <c r="CB24" i="1"/>
  <c r="DO149" i="18"/>
  <c r="AB72" i="17"/>
  <c r="AB76" i="17" s="1"/>
  <c r="AC31" i="17"/>
  <c r="F9" i="12"/>
  <c r="F83" i="12" s="1"/>
  <c r="X216" i="16"/>
  <c r="DF171" i="18"/>
  <c r="E287" i="25"/>
  <c r="E132" i="25" s="1"/>
  <c r="E135" i="25" s="1"/>
  <c r="E136" i="25" s="1"/>
  <c r="AH10" i="17"/>
  <c r="AH30" i="17" s="1"/>
  <c r="AL50" i="17" s="1"/>
  <c r="X60" i="16"/>
  <c r="E157" i="25"/>
  <c r="E159" i="25" s="1"/>
  <c r="AC51" i="17"/>
  <c r="DW86" i="18"/>
  <c r="C277" i="30" s="1"/>
  <c r="H275" i="25"/>
  <c r="H266" i="25"/>
  <c r="H52" i="25"/>
  <c r="G19" i="12"/>
  <c r="L133" i="25"/>
  <c r="ED146" i="18"/>
  <c r="U8" i="17"/>
  <c r="U48" i="17" s="1"/>
  <c r="U47" i="17"/>
  <c r="D33" i="22"/>
  <c r="E25" i="22"/>
  <c r="AA218" i="16"/>
  <c r="J82" i="20"/>
  <c r="M106" i="18"/>
  <c r="M113" i="18" s="1"/>
  <c r="L434" i="11"/>
  <c r="AY79" i="18"/>
  <c r="DU74" i="18"/>
  <c r="AG80" i="18"/>
  <c r="AG86" i="18"/>
  <c r="DC86" i="18" s="1"/>
  <c r="DH79" i="18"/>
  <c r="R232" i="16"/>
  <c r="R233" i="16" s="1"/>
  <c r="R86" i="16"/>
  <c r="H284" i="25"/>
  <c r="DP168" i="18"/>
  <c r="F359" i="21"/>
  <c r="F62" i="21" s="1"/>
  <c r="F158" i="21" s="1"/>
  <c r="F654" i="21" s="1"/>
  <c r="F355" i="21"/>
  <c r="N368" i="21" s="1"/>
  <c r="N359" i="21" s="1"/>
  <c r="N62" i="21" s="1"/>
  <c r="CL79" i="18"/>
  <c r="O80" i="18"/>
  <c r="O86" i="18"/>
  <c r="CL86" i="18" s="1"/>
  <c r="AV138" i="18"/>
  <c r="E224" i="30" s="1"/>
  <c r="AV97" i="18"/>
  <c r="AV101" i="18"/>
  <c r="DW101" i="18" s="1"/>
  <c r="AW96" i="18"/>
  <c r="AW97" i="18" s="1"/>
  <c r="F172" i="30" s="1"/>
  <c r="E170" i="30"/>
  <c r="E195" i="30"/>
  <c r="AV106" i="18"/>
  <c r="AV107" i="18" s="1"/>
  <c r="E141" i="30"/>
  <c r="AW89" i="18"/>
  <c r="AX89" i="18" s="1"/>
  <c r="DT89" i="18" s="1"/>
  <c r="AV91" i="18"/>
  <c r="E131" i="30" s="1"/>
  <c r="CH111" i="18"/>
  <c r="I111" i="18"/>
  <c r="CK111" i="18" s="1"/>
  <c r="J28" i="20"/>
  <c r="O55" i="1"/>
  <c r="DF168" i="18"/>
  <c r="AC81" i="17"/>
  <c r="AC70" i="17" s="1"/>
  <c r="AC72" i="17" s="1"/>
  <c r="AC76" i="17" s="1"/>
  <c r="F433" i="14"/>
  <c r="F432" i="14"/>
  <c r="L51" i="20"/>
  <c r="CM25" i="18"/>
  <c r="O346" i="1"/>
  <c r="P346" i="1" s="1"/>
  <c r="Q346" i="1" s="1"/>
  <c r="R346" i="1" s="1"/>
  <c r="R347" i="1" s="1"/>
  <c r="N347" i="1"/>
  <c r="L425" i="11"/>
  <c r="BF114" i="18"/>
  <c r="EG113" i="18"/>
  <c r="BF117" i="18"/>
  <c r="BF119" i="18" s="1"/>
  <c r="EG119" i="18" s="1"/>
  <c r="DC74" i="18"/>
  <c r="X79" i="18"/>
  <c r="X86" i="18" s="1"/>
  <c r="K10" i="17" s="1"/>
  <c r="CT74" i="18"/>
  <c r="DY120" i="18"/>
  <c r="DT120" i="18"/>
  <c r="B82" i="1"/>
  <c r="B71" i="1"/>
  <c r="AL78" i="17"/>
  <c r="I6" i="17"/>
  <c r="I26" i="17" s="1"/>
  <c r="I25" i="17" s="1"/>
  <c r="M45" i="17" s="1"/>
  <c r="H13" i="25"/>
  <c r="G139" i="25"/>
  <c r="AD156" i="18" s="1"/>
  <c r="R21" i="16"/>
  <c r="R79" i="16" s="1"/>
  <c r="C9" i="12"/>
  <c r="C11" i="12" s="1"/>
  <c r="C12" i="12" s="1"/>
  <c r="D252" i="25"/>
  <c r="D256" i="25"/>
  <c r="D250" i="25"/>
  <c r="DF169" i="18"/>
  <c r="L350" i="11"/>
  <c r="F169" i="21"/>
  <c r="CX170" i="18"/>
  <c r="K583" i="14"/>
  <c r="G21" i="31"/>
  <c r="AV24" i="21"/>
  <c r="DK169" i="18"/>
  <c r="CY170" i="18"/>
  <c r="R92" i="1"/>
  <c r="R419" i="1" s="1"/>
  <c r="DX110" i="18"/>
  <c r="N425" i="21"/>
  <c r="O425" i="21" s="1"/>
  <c r="P465" i="21" s="1"/>
  <c r="DJ149" i="18"/>
  <c r="D25" i="22"/>
  <c r="U229" i="16"/>
  <c r="U230" i="16" s="1"/>
  <c r="DS110" i="18"/>
  <c r="CQ171" i="18"/>
  <c r="G48" i="17"/>
  <c r="CY74" i="18"/>
  <c r="W21" i="16"/>
  <c r="W79" i="16" s="1"/>
  <c r="W91" i="16" s="1"/>
  <c r="DJ66" i="18"/>
  <c r="E474" i="14" s="1"/>
  <c r="CT171" i="18"/>
  <c r="C82" i="1"/>
  <c r="C84" i="1" s="1"/>
  <c r="DF74" i="18"/>
  <c r="DD170" i="18"/>
  <c r="N470" i="21"/>
  <c r="N68" i="21" s="1"/>
  <c r="S69" i="17"/>
  <c r="F24" i="31"/>
  <c r="F547" i="21"/>
  <c r="L377" i="11"/>
  <c r="L357" i="11"/>
  <c r="AO134" i="18"/>
  <c r="DP134" i="18" s="1"/>
  <c r="K162" i="24"/>
  <c r="E335" i="21"/>
  <c r="E337" i="21" s="1"/>
  <c r="E80" i="1"/>
  <c r="F80" i="1" s="1"/>
  <c r="F75" i="1" s="1"/>
  <c r="F77" i="1" s="1"/>
  <c r="F82" i="1" s="1"/>
  <c r="F84" i="1" s="1"/>
  <c r="F430" i="21"/>
  <c r="F412" i="21" s="1"/>
  <c r="F133" i="21" s="1"/>
  <c r="DU168" i="18"/>
  <c r="H143" i="30"/>
  <c r="DU70" i="18"/>
  <c r="Z113" i="18"/>
  <c r="Z117" i="18" s="1"/>
  <c r="CX25" i="18"/>
  <c r="O27" i="17"/>
  <c r="O28" i="17" s="1"/>
  <c r="S48" i="17" s="1"/>
  <c r="CB29" i="1"/>
  <c r="CN16" i="1" s="1"/>
  <c r="CN18" i="1" s="1"/>
  <c r="DZ171" i="18"/>
  <c r="E25" i="17"/>
  <c r="I45" i="17" s="1"/>
  <c r="F168" i="21"/>
  <c r="F662" i="21" s="1"/>
  <c r="C23" i="11"/>
  <c r="H25" i="25"/>
  <c r="DR170" i="18"/>
  <c r="DS74" i="18"/>
  <c r="AE41" i="18"/>
  <c r="AI41" i="18" s="1"/>
  <c r="L410" i="11"/>
  <c r="E23" i="11"/>
  <c r="EA74" i="18"/>
  <c r="ED74" i="18"/>
  <c r="F16" i="25"/>
  <c r="P268" i="1"/>
  <c r="Q308" i="1" s="1"/>
  <c r="L405" i="11"/>
  <c r="D29" i="22"/>
  <c r="L55" i="24"/>
  <c r="F29" i="24"/>
  <c r="I55" i="24"/>
  <c r="J182" i="24"/>
  <c r="Q112" i="25"/>
  <c r="DM170" i="18"/>
  <c r="J236" i="30"/>
  <c r="H225" i="25"/>
  <c r="AT117" i="18"/>
  <c r="AT119" i="18" s="1"/>
  <c r="AD41" i="18"/>
  <c r="CR25" i="18"/>
  <c r="G405" i="25"/>
  <c r="DX149" i="18"/>
  <c r="AJ41" i="18"/>
  <c r="F25" i="17"/>
  <c r="J45" i="17" s="1"/>
  <c r="C324" i="21"/>
  <c r="B490" i="21"/>
  <c r="DU171" i="18"/>
  <c r="AI128" i="18"/>
  <c r="J48" i="17"/>
  <c r="J128" i="24"/>
  <c r="CL74" i="18"/>
  <c r="V27" i="17"/>
  <c r="Z47" i="17" s="1"/>
  <c r="M405" i="25"/>
  <c r="AA40" i="16"/>
  <c r="N631" i="21"/>
  <c r="D35" i="22"/>
  <c r="D40" i="22" s="1"/>
  <c r="DE176" i="18"/>
  <c r="E174" i="24"/>
  <c r="CK25" i="18"/>
  <c r="AI38" i="18"/>
  <c r="H50" i="25"/>
  <c r="F11" i="27"/>
  <c r="G28" i="22"/>
  <c r="I141" i="30"/>
  <c r="C652" i="14"/>
  <c r="DI79" i="18"/>
  <c r="Q55" i="1"/>
  <c r="E82" i="20"/>
  <c r="BA92" i="18"/>
  <c r="EB92" i="18" s="1"/>
  <c r="H36" i="25"/>
  <c r="H281" i="25"/>
  <c r="L432" i="11"/>
  <c r="EB143" i="18"/>
  <c r="DV74" i="18"/>
  <c r="AB27" i="17"/>
  <c r="AB28" i="17" s="1"/>
  <c r="AF48" i="17" s="1"/>
  <c r="EB86" i="18"/>
  <c r="G277" i="30" s="1"/>
  <c r="E129" i="30"/>
  <c r="W222" i="16"/>
  <c r="H278" i="25"/>
  <c r="BH97" i="18"/>
  <c r="Y65" i="16"/>
  <c r="DN171" i="18"/>
  <c r="G16" i="25"/>
  <c r="DM70" i="18"/>
  <c r="L182" i="1"/>
  <c r="R79" i="18"/>
  <c r="R225" i="16"/>
  <c r="M10" i="12"/>
  <c r="G20" i="31"/>
  <c r="G382" i="25"/>
  <c r="CT170" i="18"/>
  <c r="N74" i="18"/>
  <c r="N79" i="18" s="1"/>
  <c r="N86" i="18" s="1"/>
  <c r="N134" i="18" s="1"/>
  <c r="P408" i="1"/>
  <c r="T27" i="17"/>
  <c r="X47" i="17" s="1"/>
  <c r="M188" i="25"/>
  <c r="M196" i="25" s="1"/>
  <c r="I599" i="14"/>
  <c r="Q599" i="14" s="1"/>
  <c r="CO25" i="18"/>
  <c r="Y58" i="17"/>
  <c r="C14" i="25"/>
  <c r="AB24" i="16"/>
  <c r="AB232" i="16" s="1"/>
  <c r="AB233" i="16" s="1"/>
  <c r="C192" i="25"/>
  <c r="I72" i="18"/>
  <c r="CK72" i="18" s="1"/>
  <c r="H127" i="24"/>
  <c r="D156" i="24"/>
  <c r="CP66" i="18"/>
  <c r="Q25" i="1"/>
  <c r="CE25" i="1" s="1"/>
  <c r="CQ10" i="1" s="1"/>
  <c r="CQ12" i="1" s="1"/>
  <c r="L387" i="11"/>
  <c r="D419" i="21"/>
  <c r="K345" i="11"/>
  <c r="K379" i="11" s="1"/>
  <c r="L343" i="11"/>
  <c r="DA169" i="18"/>
  <c r="DC79" i="18"/>
  <c r="H269" i="25"/>
  <c r="BH131" i="18"/>
  <c r="BH128" i="18" s="1"/>
  <c r="W27" i="17"/>
  <c r="W28" i="17" s="1"/>
  <c r="AA48" i="17" s="1"/>
  <c r="AU80" i="18"/>
  <c r="BA82" i="18"/>
  <c r="C275" i="30" s="1"/>
  <c r="C276" i="30" s="1"/>
  <c r="I232" i="30"/>
  <c r="DW89" i="18"/>
  <c r="I135" i="30" s="1"/>
  <c r="AH74" i="17"/>
  <c r="AD6" i="17"/>
  <c r="AD26" i="17" s="1"/>
  <c r="AD25" i="17" s="1"/>
  <c r="AH45" i="17" s="1"/>
  <c r="CP25" i="18"/>
  <c r="BA87" i="18"/>
  <c r="H16" i="24"/>
  <c r="E588" i="14"/>
  <c r="E594" i="14" s="1"/>
  <c r="F471" i="1"/>
  <c r="H76" i="24"/>
  <c r="AU92" i="18"/>
  <c r="D168" i="30" s="1"/>
  <c r="AI74" i="18"/>
  <c r="AI79" i="18" s="1"/>
  <c r="H54" i="25"/>
  <c r="P131" i="21"/>
  <c r="BU7" i="21"/>
  <c r="E580" i="14"/>
  <c r="H39" i="25"/>
  <c r="W45" i="16" s="1"/>
  <c r="H57" i="25"/>
  <c r="H38" i="25"/>
  <c r="H44" i="25"/>
  <c r="I144" i="21"/>
  <c r="I150" i="21"/>
  <c r="H78" i="24"/>
  <c r="X44" i="16"/>
  <c r="M126" i="25"/>
  <c r="H82" i="24"/>
  <c r="C25" i="25"/>
  <c r="Q109" i="16"/>
  <c r="Q114" i="16" s="1"/>
  <c r="W64" i="16"/>
  <c r="H87" i="24"/>
  <c r="CZ175" i="18"/>
  <c r="AJ51" i="17"/>
  <c r="L24" i="31"/>
  <c r="P55" i="1"/>
  <c r="J345" i="11"/>
  <c r="J368" i="11" s="1"/>
  <c r="DV91" i="18"/>
  <c r="H137" i="30" s="1"/>
  <c r="H42" i="25"/>
  <c r="CC29" i="1"/>
  <c r="CO16" i="1" s="1"/>
  <c r="CO18" i="1" s="1"/>
  <c r="AF72" i="17"/>
  <c r="AF76" i="17" s="1"/>
  <c r="DJ139" i="18"/>
  <c r="G113" i="18"/>
  <c r="G114" i="18" s="1"/>
  <c r="W42" i="16"/>
  <c r="DN70" i="18"/>
  <c r="AJ31" i="17"/>
  <c r="AN51" i="17" s="1"/>
  <c r="H272" i="25"/>
  <c r="O412" i="1"/>
  <c r="G231" i="30"/>
  <c r="AG50" i="17"/>
  <c r="C317" i="21"/>
  <c r="W66" i="16"/>
  <c r="Z44" i="16"/>
  <c r="F373" i="25"/>
  <c r="H191" i="24"/>
  <c r="H192" i="24" s="1"/>
  <c r="H125" i="24"/>
  <c r="E701" i="21"/>
  <c r="F259" i="21"/>
  <c r="H9" i="12"/>
  <c r="H83" i="12" s="1"/>
  <c r="H382" i="25"/>
  <c r="O271" i="1"/>
  <c r="O274" i="1" s="1"/>
  <c r="O311" i="1"/>
  <c r="O314" i="1" s="1"/>
  <c r="L35" i="24"/>
  <c r="M35" i="24"/>
  <c r="K128" i="24"/>
  <c r="H95" i="24"/>
  <c r="H35" i="24"/>
  <c r="L182" i="24"/>
  <c r="C878" i="14" s="1"/>
  <c r="H79" i="24"/>
  <c r="E162" i="24"/>
  <c r="M182" i="24"/>
  <c r="D878" i="14" s="1"/>
  <c r="I35" i="24"/>
  <c r="J88" i="24"/>
  <c r="E156" i="24"/>
  <c r="K88" i="24"/>
  <c r="J87" i="24"/>
  <c r="V12" i="16"/>
  <c r="G70" i="12"/>
  <c r="L433" i="11"/>
  <c r="CN74" i="18"/>
  <c r="Q79" i="18"/>
  <c r="Q80" i="18" s="1"/>
  <c r="E405" i="25"/>
  <c r="E10" i="12"/>
  <c r="E188" i="25"/>
  <c r="D109" i="31"/>
  <c r="J177" i="25"/>
  <c r="I177" i="25"/>
  <c r="D25" i="17"/>
  <c r="H45" i="17" s="1"/>
  <c r="D28" i="17"/>
  <c r="H48" i="17" s="1"/>
  <c r="W27" i="16"/>
  <c r="W119" i="16" s="1"/>
  <c r="W118" i="16" s="1"/>
  <c r="W237" i="16"/>
  <c r="P79" i="18"/>
  <c r="CR79" i="18" s="1"/>
  <c r="CM74" i="18"/>
  <c r="E649" i="21"/>
  <c r="E151" i="21"/>
  <c r="C25" i="17"/>
  <c r="G45" i="17" s="1"/>
  <c r="K240" i="24"/>
  <c r="K241" i="24" s="1"/>
  <c r="DY76" i="18"/>
  <c r="AI6" i="17"/>
  <c r="AI26" i="17" s="1"/>
  <c r="F674" i="14"/>
  <c r="C12" i="21"/>
  <c r="C544" i="21" s="1"/>
  <c r="BU11" i="21"/>
  <c r="C543" i="21"/>
  <c r="G599" i="14"/>
  <c r="C13" i="24"/>
  <c r="F150" i="14"/>
  <c r="F177" i="14" s="1"/>
  <c r="Q91" i="16"/>
  <c r="AK79" i="18"/>
  <c r="F258" i="21"/>
  <c r="V100" i="14"/>
  <c r="AG91" i="14" s="1"/>
  <c r="U90" i="14"/>
  <c r="AF66" i="14" s="1"/>
  <c r="U90" i="16"/>
  <c r="U89" i="16"/>
  <c r="AC27" i="17"/>
  <c r="AG58" i="17"/>
  <c r="L428" i="11"/>
  <c r="AG27" i="17"/>
  <c r="AG28" i="17" s="1"/>
  <c r="M334" i="25"/>
  <c r="N325" i="25"/>
  <c r="N334" i="25" s="1"/>
  <c r="K345" i="25"/>
  <c r="AD128" i="18"/>
  <c r="DE66" i="18"/>
  <c r="O136" i="21"/>
  <c r="N636" i="21"/>
  <c r="I578" i="14"/>
  <c r="CZ24" i="18"/>
  <c r="H55" i="24"/>
  <c r="N618" i="21"/>
  <c r="O117" i="21"/>
  <c r="I126" i="24"/>
  <c r="J77" i="24"/>
  <c r="Q230" i="16"/>
  <c r="Q235" i="16"/>
  <c r="K56" i="24"/>
  <c r="K58" i="24" s="1"/>
  <c r="Y218" i="16"/>
  <c r="Y62" i="16"/>
  <c r="J56" i="24"/>
  <c r="J126" i="24"/>
  <c r="J127" i="24"/>
  <c r="J55" i="24"/>
  <c r="T107" i="18"/>
  <c r="Y237" i="16"/>
  <c r="Y27" i="16"/>
  <c r="Y119" i="16" s="1"/>
  <c r="Y118" i="16" s="1"/>
  <c r="DX116" i="18"/>
  <c r="DS116" i="18"/>
  <c r="AX116" i="18"/>
  <c r="DY116" i="18" s="1"/>
  <c r="H106" i="18"/>
  <c r="B540" i="21"/>
  <c r="BT8" i="21"/>
  <c r="AG30" i="17"/>
  <c r="AK50" i="17" s="1"/>
  <c r="AG81" i="17"/>
  <c r="AG70" i="17" s="1"/>
  <c r="M8" i="17"/>
  <c r="M48" i="17" s="1"/>
  <c r="M47" i="17"/>
  <c r="M184" i="24"/>
  <c r="L7" i="25"/>
  <c r="L207" i="24"/>
  <c r="B324" i="21"/>
  <c r="B335" i="21"/>
  <c r="M336" i="25"/>
  <c r="L345" i="25"/>
  <c r="I159" i="24"/>
  <c r="H159" i="24"/>
  <c r="AA6" i="17"/>
  <c r="AA26" i="17" s="1"/>
  <c r="AA69" i="17"/>
  <c r="V6" i="17"/>
  <c r="V26" i="17" s="1"/>
  <c r="AF69" i="17"/>
  <c r="AF6" i="17"/>
  <c r="AF26" i="17" s="1"/>
  <c r="I236" i="30"/>
  <c r="AH78" i="17"/>
  <c r="Q58" i="17"/>
  <c r="M27" i="17"/>
  <c r="Q47" i="17" s="1"/>
  <c r="K27" i="17"/>
  <c r="K28" i="17" s="1"/>
  <c r="O48" i="17" s="1"/>
  <c r="D24" i="31"/>
  <c r="E31" i="11"/>
  <c r="E38" i="11"/>
  <c r="L187" i="24"/>
  <c r="M188" i="24" s="1"/>
  <c r="D12" i="21"/>
  <c r="D544" i="21" s="1"/>
  <c r="D543" i="21"/>
  <c r="BV11" i="21"/>
  <c r="P112" i="25"/>
  <c r="ED66" i="18"/>
  <c r="AI47" i="17"/>
  <c r="AE28" i="17"/>
  <c r="AI48" i="17" s="1"/>
  <c r="CS25" i="18"/>
  <c r="S79" i="16"/>
  <c r="S93" i="16" s="1"/>
  <c r="AP139" i="18"/>
  <c r="DL139" i="18" s="1"/>
  <c r="AQ131" i="18"/>
  <c r="AB6" i="17"/>
  <c r="AB26" i="17" s="1"/>
  <c r="AB69" i="17"/>
  <c r="H36" i="19"/>
  <c r="F478" i="14"/>
  <c r="CJ96" i="18"/>
  <c r="P498" i="21"/>
  <c r="P499" i="21" s="1"/>
  <c r="F109" i="31"/>
  <c r="G126" i="25"/>
  <c r="G127" i="25" s="1"/>
  <c r="X219" i="16"/>
  <c r="I76" i="24"/>
  <c r="I125" i="24"/>
  <c r="X64" i="16"/>
  <c r="I191" i="24"/>
  <c r="I193" i="24" s="1"/>
  <c r="I95" i="24"/>
  <c r="P230" i="16"/>
  <c r="P235" i="16"/>
  <c r="DK74" i="18"/>
  <c r="AJ79" i="18"/>
  <c r="G27" i="25"/>
  <c r="P26" i="16"/>
  <c r="P109" i="16"/>
  <c r="P114" i="16" s="1"/>
  <c r="AZ103" i="18"/>
  <c r="F82" i="20"/>
  <c r="X65" i="16"/>
  <c r="I356" i="25"/>
  <c r="I358" i="25"/>
  <c r="I366" i="25" s="1"/>
  <c r="J347" i="25"/>
  <c r="X38" i="16"/>
  <c r="F596" i="14"/>
  <c r="E142" i="30"/>
  <c r="DW90" i="18"/>
  <c r="I136" i="30" s="1"/>
  <c r="E130" i="30"/>
  <c r="AW90" i="18"/>
  <c r="DX90" i="18" s="1"/>
  <c r="J136" i="30" s="1"/>
  <c r="AD10" i="17"/>
  <c r="AV82" i="18"/>
  <c r="E333" i="21"/>
  <c r="F333" i="21" s="1"/>
  <c r="N333" i="21" s="1"/>
  <c r="O333" i="21" s="1"/>
  <c r="P333" i="21" s="1"/>
  <c r="Q333" i="21" s="1"/>
  <c r="R333" i="21" s="1"/>
  <c r="S333" i="21" s="1"/>
  <c r="T333" i="21" s="1"/>
  <c r="U333" i="21" s="1"/>
  <c r="V333" i="21" s="1"/>
  <c r="R226" i="16"/>
  <c r="Q89" i="16"/>
  <c r="AZ79" i="18"/>
  <c r="DV79" i="18" s="1"/>
  <c r="T24" i="16"/>
  <c r="T86" i="16" s="1"/>
  <c r="D540" i="21"/>
  <c r="BV8" i="21"/>
  <c r="CQ170" i="18"/>
  <c r="EB149" i="18"/>
  <c r="R42" i="16"/>
  <c r="C29" i="22"/>
  <c r="F274" i="21"/>
  <c r="E266" i="21"/>
  <c r="E716" i="21"/>
  <c r="Q385" i="21"/>
  <c r="P143" i="21"/>
  <c r="P642" i="21" s="1"/>
  <c r="CH120" i="18"/>
  <c r="L367" i="11"/>
  <c r="C333" i="21"/>
  <c r="H128" i="24"/>
  <c r="Z148" i="18"/>
  <c r="E11" i="27"/>
  <c r="EC70" i="18"/>
  <c r="N304" i="1"/>
  <c r="V40" i="16"/>
  <c r="O368" i="1"/>
  <c r="D220" i="24"/>
  <c r="H24" i="25"/>
  <c r="L396" i="11"/>
  <c r="CR171" i="18"/>
  <c r="H211" i="24"/>
  <c r="C35" i="22"/>
  <c r="C40" i="22" s="1"/>
  <c r="O464" i="21"/>
  <c r="D80" i="1"/>
  <c r="Y41" i="18"/>
  <c r="DP70" i="18"/>
  <c r="C153" i="25"/>
  <c r="C157" i="25" s="1"/>
  <c r="C159" i="25" s="1"/>
  <c r="DC170" i="18"/>
  <c r="F23" i="25"/>
  <c r="E109" i="31" s="1"/>
  <c r="F694" i="21"/>
  <c r="G97" i="18"/>
  <c r="E83" i="20" s="1"/>
  <c r="F236" i="30"/>
  <c r="D222" i="24"/>
  <c r="DR79" i="18"/>
  <c r="L419" i="11"/>
  <c r="G47" i="17"/>
  <c r="W67" i="16"/>
  <c r="CT25" i="18"/>
  <c r="AC80" i="18"/>
  <c r="AC86" i="18"/>
  <c r="G580" i="14"/>
  <c r="Y66" i="16"/>
  <c r="G588" i="14"/>
  <c r="G589" i="14" s="1"/>
  <c r="C670" i="14"/>
  <c r="Y223" i="16"/>
  <c r="L406" i="11"/>
  <c r="I251" i="25"/>
  <c r="X110" i="16"/>
  <c r="I154" i="25"/>
  <c r="DK149" i="18"/>
  <c r="I129" i="30"/>
  <c r="DU170" i="18"/>
  <c r="DZ170" i="18"/>
  <c r="E82" i="1"/>
  <c r="E84" i="1" s="1"/>
  <c r="CY171" i="18"/>
  <c r="V48" i="17"/>
  <c r="L412" i="11"/>
  <c r="J200" i="25"/>
  <c r="J199" i="25"/>
  <c r="D600" i="14"/>
  <c r="B543" i="21"/>
  <c r="F246" i="21"/>
  <c r="F278" i="21" s="1"/>
  <c r="F720" i="21" s="1"/>
  <c r="G35" i="22"/>
  <c r="G40" i="22" s="1"/>
  <c r="F31" i="22"/>
  <c r="G32" i="22" s="1"/>
  <c r="BV10" i="21"/>
  <c r="S486" i="1"/>
  <c r="S489" i="1" s="1"/>
  <c r="E524" i="21"/>
  <c r="E527" i="21" s="1"/>
  <c r="E528" i="21" s="1"/>
  <c r="E529" i="21" s="1"/>
  <c r="N256" i="1"/>
  <c r="N262" i="1" s="1"/>
  <c r="N263" i="1" s="1"/>
  <c r="E27" i="11"/>
  <c r="F264" i="24"/>
  <c r="D264" i="24"/>
  <c r="L347" i="11"/>
  <c r="L386" i="11"/>
  <c r="F261" i="21"/>
  <c r="F273" i="21" s="1"/>
  <c r="F715" i="21" s="1"/>
  <c r="K173" i="24"/>
  <c r="AT79" i="18"/>
  <c r="DP74" i="18"/>
  <c r="L48" i="17"/>
  <c r="BB89" i="18"/>
  <c r="EC89" i="18" s="1"/>
  <c r="T48" i="17"/>
  <c r="DT25" i="18"/>
  <c r="G9" i="25"/>
  <c r="H10" i="25" s="1"/>
  <c r="I182" i="24"/>
  <c r="Y67" i="16"/>
  <c r="Y222" i="16"/>
  <c r="M6" i="17"/>
  <c r="M26" i="17" s="1"/>
  <c r="BE79" i="18"/>
  <c r="EF79" i="18" s="1"/>
  <c r="E431" i="14"/>
  <c r="E433" i="14" s="1"/>
  <c r="E16" i="11"/>
  <c r="E76" i="12"/>
  <c r="F76" i="12" s="1"/>
  <c r="F27" i="12" s="1"/>
  <c r="U13" i="16" s="1"/>
  <c r="H287" i="25"/>
  <c r="H132" i="25" s="1"/>
  <c r="W112" i="16" s="1"/>
  <c r="Z67" i="16"/>
  <c r="D236" i="24"/>
  <c r="D237" i="24" s="1"/>
  <c r="K79" i="24"/>
  <c r="I78" i="24"/>
  <c r="E28" i="22"/>
  <c r="J83" i="24"/>
  <c r="C31" i="11"/>
  <c r="J153" i="11"/>
  <c r="L119" i="1"/>
  <c r="L125" i="1"/>
  <c r="F28" i="22"/>
  <c r="W216" i="16"/>
  <c r="W60" i="16"/>
  <c r="T237" i="16"/>
  <c r="T27" i="16"/>
  <c r="T119" i="16" s="1"/>
  <c r="T118" i="16" s="1"/>
  <c r="E139" i="25"/>
  <c r="R73" i="1"/>
  <c r="J427" i="11"/>
  <c r="L427" i="11" s="1"/>
  <c r="I127" i="24"/>
  <c r="J368" i="25"/>
  <c r="I369" i="25"/>
  <c r="I371" i="25" s="1"/>
  <c r="AD74" i="18"/>
  <c r="AD79" i="18" s="1"/>
  <c r="CZ66" i="18"/>
  <c r="CQ79" i="18"/>
  <c r="E198" i="24"/>
  <c r="E202" i="24" s="1"/>
  <c r="C33" i="22"/>
  <c r="T47" i="17"/>
  <c r="T226" i="16"/>
  <c r="D317" i="21"/>
  <c r="BE132" i="18"/>
  <c r="U6" i="17"/>
  <c r="U26" i="17" s="1"/>
  <c r="U25" i="17" s="1"/>
  <c r="Y45" i="17" s="1"/>
  <c r="DJ176" i="18"/>
  <c r="E582" i="14"/>
  <c r="BU5" i="21"/>
  <c r="S63" i="1"/>
  <c r="T63" i="1" s="1"/>
  <c r="U63" i="1" s="1"/>
  <c r="V63" i="1" s="1"/>
  <c r="W63" i="1" s="1"/>
  <c r="G227" i="25"/>
  <c r="G228" i="25" s="1"/>
  <c r="P464" i="21"/>
  <c r="O135" i="21"/>
  <c r="AC47" i="17"/>
  <c r="K45" i="17"/>
  <c r="I180" i="24"/>
  <c r="G335" i="14"/>
  <c r="H335" i="14" s="1"/>
  <c r="BD149" i="18"/>
  <c r="L138" i="25"/>
  <c r="O108" i="21"/>
  <c r="N610" i="21"/>
  <c r="F578" i="14"/>
  <c r="F582" i="14"/>
  <c r="F13" i="24"/>
  <c r="D148" i="25"/>
  <c r="D149" i="25" s="1"/>
  <c r="EB144" i="18"/>
  <c r="AN41" i="18"/>
  <c r="K169" i="30"/>
  <c r="AK11" i="17"/>
  <c r="AK31" i="17" s="1"/>
  <c r="AO51" i="17" s="1"/>
  <c r="AJ47" i="17"/>
  <c r="E9" i="12"/>
  <c r="E83" i="12" s="1"/>
  <c r="F13" i="25"/>
  <c r="H369" i="25"/>
  <c r="H371" i="25" s="1"/>
  <c r="H373" i="25" s="1"/>
  <c r="H31" i="12" s="1"/>
  <c r="W12" i="16" s="1"/>
  <c r="I87" i="24"/>
  <c r="H236" i="30"/>
  <c r="AG78" i="17"/>
  <c r="L28" i="20"/>
  <c r="X223" i="16"/>
  <c r="H353" i="14"/>
  <c r="I352" i="14"/>
  <c r="I353" i="14" s="1"/>
  <c r="BB82" i="18"/>
  <c r="D275" i="30" s="1"/>
  <c r="D276" i="30" s="1"/>
  <c r="H424" i="14"/>
  <c r="H431" i="14" s="1"/>
  <c r="H433" i="14" s="1"/>
  <c r="H10" i="12"/>
  <c r="K77" i="24"/>
  <c r="BF131" i="18"/>
  <c r="AL11" i="17" s="1"/>
  <c r="AL31" i="17" s="1"/>
  <c r="AP51" i="17" s="1"/>
  <c r="BC144" i="18"/>
  <c r="EA131" i="18"/>
  <c r="AC48" i="17"/>
  <c r="DJ25" i="18"/>
  <c r="CW171" i="18"/>
  <c r="AE149" i="18"/>
  <c r="DF149" i="18" s="1"/>
  <c r="DE24" i="18"/>
  <c r="D32" i="22"/>
  <c r="D84" i="25"/>
  <c r="S16" i="16" s="1"/>
  <c r="L381" i="11"/>
  <c r="AJ48" i="17"/>
  <c r="P368" i="1"/>
  <c r="DN170" i="18"/>
  <c r="P419" i="1"/>
  <c r="E405" i="21"/>
  <c r="F405" i="21" s="1"/>
  <c r="N405" i="21" s="1"/>
  <c r="O405" i="21" s="1"/>
  <c r="P405" i="21" s="1"/>
  <c r="Q405" i="21" s="1"/>
  <c r="R405" i="21" s="1"/>
  <c r="S405" i="21" s="1"/>
  <c r="T405" i="21" s="1"/>
  <c r="U405" i="21" s="1"/>
  <c r="V405" i="21" s="1"/>
  <c r="K46" i="17"/>
  <c r="F198" i="24"/>
  <c r="C38" i="11"/>
  <c r="CU25" i="18"/>
  <c r="C16" i="11"/>
  <c r="CH110" i="18"/>
  <c r="U28" i="17"/>
  <c r="Y48" i="17" s="1"/>
  <c r="CV79" i="18"/>
  <c r="M97" i="18"/>
  <c r="J83" i="20" s="1"/>
  <c r="DS112" i="18"/>
  <c r="DK170" i="18"/>
  <c r="DX112" i="18"/>
  <c r="CI96" i="18"/>
  <c r="H188" i="24"/>
  <c r="D78" i="25"/>
  <c r="P309" i="1"/>
  <c r="H19" i="12"/>
  <c r="K24" i="31"/>
  <c r="Z27" i="17"/>
  <c r="Z28" i="17" s="1"/>
  <c r="AD48" i="17" s="1"/>
  <c r="E478" i="14"/>
  <c r="E463" i="14"/>
  <c r="T21" i="16"/>
  <c r="E382" i="21"/>
  <c r="E64" i="1"/>
  <c r="DJ24" i="18"/>
  <c r="DB25" i="18"/>
  <c r="C27" i="11"/>
  <c r="G6" i="17"/>
  <c r="G46" i="17" s="1"/>
  <c r="L342" i="11"/>
  <c r="N252" i="21"/>
  <c r="O252" i="21" s="1"/>
  <c r="D21" i="31"/>
  <c r="H252" i="25"/>
  <c r="G24" i="31"/>
  <c r="E578" i="14"/>
  <c r="E27" i="25"/>
  <c r="E29" i="25" s="1"/>
  <c r="L15" i="1"/>
  <c r="H16" i="20" s="1"/>
  <c r="F228" i="24"/>
  <c r="F520" i="21"/>
  <c r="T6" i="17"/>
  <c r="T26" i="17" s="1"/>
  <c r="DX74" i="18"/>
  <c r="Z6" i="17"/>
  <c r="Z26" i="17" s="1"/>
  <c r="I109" i="18"/>
  <c r="CK109" i="18" s="1"/>
  <c r="J27" i="17"/>
  <c r="J28" i="17" s="1"/>
  <c r="C490" i="21"/>
  <c r="C236" i="30"/>
  <c r="AB78" i="17"/>
  <c r="H27" i="25"/>
  <c r="H188" i="25"/>
  <c r="H189" i="25" s="1"/>
  <c r="H202" i="25" s="1"/>
  <c r="H405" i="25"/>
  <c r="N321" i="21"/>
  <c r="O596" i="14"/>
  <c r="AL47" i="17"/>
  <c r="C382" i="25"/>
  <c r="DX109" i="18"/>
  <c r="S31" i="16"/>
  <c r="U80" i="18"/>
  <c r="CQ74" i="18"/>
  <c r="DS109" i="18"/>
  <c r="G188" i="24"/>
  <c r="P6" i="17"/>
  <c r="P26" i="17" s="1"/>
  <c r="D319" i="25"/>
  <c r="I260" i="25"/>
  <c r="I259" i="25" s="1"/>
  <c r="J259" i="25" s="1"/>
  <c r="K259" i="25" s="1"/>
  <c r="L259" i="25" s="1"/>
  <c r="M259" i="25" s="1"/>
  <c r="N259" i="25" s="1"/>
  <c r="O259" i="25" s="1"/>
  <c r="D84" i="20"/>
  <c r="E35" i="22"/>
  <c r="E16" i="25"/>
  <c r="F217" i="24"/>
  <c r="L356" i="11"/>
  <c r="E382" i="25"/>
  <c r="C16" i="25"/>
  <c r="C419" i="21"/>
  <c r="DU102" i="18"/>
  <c r="F597" i="14"/>
  <c r="X39" i="16"/>
  <c r="L374" i="11"/>
  <c r="O426" i="21"/>
  <c r="O466" i="21"/>
  <c r="BE134" i="18"/>
  <c r="EA127" i="18"/>
  <c r="D292" i="25"/>
  <c r="D302" i="25" s="1"/>
  <c r="C649" i="14"/>
  <c r="D649" i="14" s="1"/>
  <c r="E649" i="14" s="1"/>
  <c r="C492" i="14"/>
  <c r="AA38" i="16"/>
  <c r="P313" i="1"/>
  <c r="P273" i="1"/>
  <c r="J82" i="12"/>
  <c r="J64" i="12" s="1"/>
  <c r="V77" i="16"/>
  <c r="DD171" i="18"/>
  <c r="AY41" i="18"/>
  <c r="G32" i="30" s="1"/>
  <c r="CV74" i="18"/>
  <c r="DH74" i="18"/>
  <c r="CH77" i="18"/>
  <c r="E6" i="24"/>
  <c r="Q269" i="1"/>
  <c r="R309" i="1" s="1"/>
  <c r="L8" i="1"/>
  <c r="H9" i="20" s="1"/>
  <c r="J47" i="17"/>
  <c r="D335" i="21"/>
  <c r="D337" i="21" s="1"/>
  <c r="R100" i="14"/>
  <c r="AC91" i="14" s="1"/>
  <c r="DD79" i="18"/>
  <c r="BT11" i="21"/>
  <c r="F235" i="24"/>
  <c r="J6" i="17"/>
  <c r="AA216" i="16"/>
  <c r="AA60" i="16"/>
  <c r="F588" i="14"/>
  <c r="F580" i="14"/>
  <c r="X66" i="16"/>
  <c r="BU10" i="21"/>
  <c r="P306" i="1"/>
  <c r="P266" i="1"/>
  <c r="R6" i="17"/>
  <c r="R26" i="17" s="1"/>
  <c r="EF131" i="18"/>
  <c r="CS74" i="18"/>
  <c r="DE25" i="18"/>
  <c r="G5" i="24"/>
  <c r="G13" i="24" s="1"/>
  <c r="G216" i="24"/>
  <c r="G222" i="24" s="1"/>
  <c r="CH127" i="18"/>
  <c r="DV102" i="18"/>
  <c r="D670" i="14"/>
  <c r="F525" i="21"/>
  <c r="DP149" i="18"/>
  <c r="DD74" i="18"/>
  <c r="S100" i="14"/>
  <c r="AD91" i="14" s="1"/>
  <c r="O377" i="21"/>
  <c r="P377" i="21" s="1"/>
  <c r="F222" i="24"/>
  <c r="C17" i="24"/>
  <c r="I208" i="24"/>
  <c r="J78" i="24"/>
  <c r="L56" i="24"/>
  <c r="M56" i="24"/>
  <c r="CD25" i="1"/>
  <c r="CP10" i="1" s="1"/>
  <c r="CP12" i="1" s="1"/>
  <c r="P462" i="1"/>
  <c r="P464" i="1" s="1"/>
  <c r="D29" i="24"/>
  <c r="D6" i="24"/>
  <c r="N207" i="24"/>
  <c r="J191" i="24"/>
  <c r="E10" i="24"/>
  <c r="F156" i="24"/>
  <c r="E29" i="24"/>
  <c r="C10" i="24"/>
  <c r="D226" i="24"/>
  <c r="D235" i="24"/>
  <c r="D274" i="24"/>
  <c r="F24" i="22"/>
  <c r="F6" i="24"/>
  <c r="F10" i="24"/>
  <c r="F162" i="24"/>
  <c r="H150" i="24"/>
  <c r="D217" i="24"/>
  <c r="D233" i="24"/>
  <c r="H26" i="24"/>
  <c r="I26" i="24" s="1"/>
  <c r="J26" i="24" s="1"/>
  <c r="K26" i="24" s="1"/>
  <c r="L26" i="24" s="1"/>
  <c r="M26" i="24" s="1"/>
  <c r="N26" i="24" s="1"/>
  <c r="O26" i="24" s="1"/>
  <c r="P26" i="24" s="1"/>
  <c r="Q26" i="24" s="1"/>
  <c r="R26" i="24" s="1"/>
  <c r="S26" i="24" s="1"/>
  <c r="T26" i="24" s="1"/>
  <c r="U26" i="24" s="1"/>
  <c r="V26" i="24" s="1"/>
  <c r="W26" i="24" s="1"/>
  <c r="X26" i="24" s="1"/>
  <c r="Y26" i="24" s="1"/>
  <c r="Z26" i="24" s="1"/>
  <c r="F233" i="24"/>
  <c r="F226" i="24"/>
  <c r="F223" i="24"/>
  <c r="F229" i="24" s="1"/>
  <c r="F230" i="24" s="1"/>
  <c r="G47" i="24"/>
  <c r="G162" i="24"/>
  <c r="F274" i="24"/>
  <c r="E17" i="24"/>
  <c r="D228" i="24"/>
  <c r="F220" i="24"/>
  <c r="H5" i="24"/>
  <c r="H216" i="24"/>
  <c r="H173" i="24"/>
  <c r="H174" i="24" s="1"/>
  <c r="E13" i="24"/>
  <c r="AH87" i="18"/>
  <c r="S10" i="17"/>
  <c r="S81" i="17" s="1"/>
  <c r="AH134" i="18"/>
  <c r="K241" i="25"/>
  <c r="K247" i="25" s="1"/>
  <c r="K240" i="25"/>
  <c r="K246" i="25" s="1"/>
  <c r="L237" i="25"/>
  <c r="K243" i="25"/>
  <c r="K249" i="25" s="1"/>
  <c r="P310" i="1"/>
  <c r="P270" i="1"/>
  <c r="AL79" i="18"/>
  <c r="AL80" i="18" s="1"/>
  <c r="EE171" i="18"/>
  <c r="BC90" i="18"/>
  <c r="L258" i="24" s="1"/>
  <c r="J23" i="27"/>
  <c r="CJ134" i="18"/>
  <c r="E400" i="21"/>
  <c r="F400" i="21" s="1"/>
  <c r="N400" i="21" s="1"/>
  <c r="O400" i="21" s="1"/>
  <c r="P400" i="21" s="1"/>
  <c r="Q400" i="21" s="1"/>
  <c r="R400" i="21" s="1"/>
  <c r="S400" i="21" s="1"/>
  <c r="T400" i="21" s="1"/>
  <c r="U400" i="21" s="1"/>
  <c r="V400" i="21" s="1"/>
  <c r="E406" i="21"/>
  <c r="F406" i="21" s="1"/>
  <c r="N406" i="21" s="1"/>
  <c r="O406" i="21" s="1"/>
  <c r="P406" i="21" s="1"/>
  <c r="Q406" i="21" s="1"/>
  <c r="R406" i="21" s="1"/>
  <c r="S406" i="21" s="1"/>
  <c r="T406" i="21" s="1"/>
  <c r="U406" i="21" s="1"/>
  <c r="V406" i="21" s="1"/>
  <c r="K207" i="24"/>
  <c r="K208" i="24" s="1"/>
  <c r="K184" i="24"/>
  <c r="K7" i="25"/>
  <c r="DN74" i="18"/>
  <c r="V80" i="18"/>
  <c r="V86" i="18"/>
  <c r="N632" i="21"/>
  <c r="O132" i="21"/>
  <c r="I287" i="25"/>
  <c r="AH80" i="18"/>
  <c r="K397" i="11"/>
  <c r="F74" i="12"/>
  <c r="U10" i="16" s="1"/>
  <c r="U123" i="16" s="1"/>
  <c r="G30" i="12"/>
  <c r="AU107" i="18"/>
  <c r="AU113" i="18"/>
  <c r="H14" i="25"/>
  <c r="W20" i="16"/>
  <c r="Q412" i="1"/>
  <c r="BW4" i="21"/>
  <c r="CC4" i="21" s="1"/>
  <c r="E5" i="21"/>
  <c r="N611" i="21"/>
  <c r="O109" i="21"/>
  <c r="BV7" i="21"/>
  <c r="D539" i="21"/>
  <c r="H588" i="14"/>
  <c r="K78" i="24"/>
  <c r="K87" i="24"/>
  <c r="H580" i="14"/>
  <c r="K127" i="24"/>
  <c r="Z223" i="16"/>
  <c r="Z66" i="16"/>
  <c r="F474" i="14"/>
  <c r="H6" i="19"/>
  <c r="G169" i="30"/>
  <c r="DZ95" i="18"/>
  <c r="H126" i="24"/>
  <c r="H77" i="24"/>
  <c r="H83" i="24"/>
  <c r="W65" i="16"/>
  <c r="I83" i="24"/>
  <c r="I77" i="24"/>
  <c r="E48" i="21"/>
  <c r="F38" i="12"/>
  <c r="E51" i="12"/>
  <c r="I160" i="25"/>
  <c r="I301" i="25"/>
  <c r="I304" i="25" s="1"/>
  <c r="X111" i="16"/>
  <c r="L184" i="24"/>
  <c r="C139" i="25"/>
  <c r="D13" i="25"/>
  <c r="C27" i="25"/>
  <c r="C29" i="25" s="1"/>
  <c r="F603" i="14"/>
  <c r="F605" i="14" s="1"/>
  <c r="I12" i="24"/>
  <c r="E390" i="21"/>
  <c r="F70" i="1"/>
  <c r="F71" i="1" s="1"/>
  <c r="K129" i="25"/>
  <c r="J82" i="25"/>
  <c r="I82" i="25"/>
  <c r="I387" i="25"/>
  <c r="I406" i="25" s="1"/>
  <c r="CR74" i="18"/>
  <c r="EE170" i="18"/>
  <c r="L401" i="11"/>
  <c r="H407" i="11"/>
  <c r="J407" i="11"/>
  <c r="L407" i="11" s="1"/>
  <c r="O6" i="17"/>
  <c r="O69" i="17"/>
  <c r="D51" i="12"/>
  <c r="K153" i="11"/>
  <c r="X67" i="16"/>
  <c r="I88" i="24"/>
  <c r="X222" i="16"/>
  <c r="I128" i="24"/>
  <c r="J79" i="24"/>
  <c r="I79" i="24"/>
  <c r="DS146" i="18"/>
  <c r="DX146" i="18"/>
  <c r="AX146" i="18"/>
  <c r="F233" i="30"/>
  <c r="O429" i="21"/>
  <c r="O469" i="21"/>
  <c r="O468" i="21"/>
  <c r="O428" i="21"/>
  <c r="D81" i="20"/>
  <c r="CH95" i="18"/>
  <c r="D151" i="21"/>
  <c r="D624" i="21"/>
  <c r="AH96" i="18"/>
  <c r="AH106" i="18" s="1"/>
  <c r="F306" i="21"/>
  <c r="N326" i="21"/>
  <c r="F21" i="31"/>
  <c r="V21" i="16"/>
  <c r="G13" i="25"/>
  <c r="L402" i="11"/>
  <c r="DI86" i="18"/>
  <c r="B649" i="21"/>
  <c r="B151" i="21"/>
  <c r="D74" i="25"/>
  <c r="P345" i="21"/>
  <c r="E600" i="14"/>
  <c r="F460" i="21"/>
  <c r="F68" i="21"/>
  <c r="H362" i="14"/>
  <c r="I356" i="14"/>
  <c r="I362" i="14" s="1"/>
  <c r="BR70" i="18"/>
  <c r="DS70" i="18"/>
  <c r="P467" i="21"/>
  <c r="P427" i="21"/>
  <c r="I83" i="18"/>
  <c r="CK83" i="18" s="1"/>
  <c r="B544" i="21"/>
  <c r="BT12" i="21"/>
  <c r="D176" i="14"/>
  <c r="D150" i="14"/>
  <c r="D177" i="14" s="1"/>
  <c r="P96" i="16"/>
  <c r="P89" i="16"/>
  <c r="P93" i="16"/>
  <c r="P94" i="16"/>
  <c r="P90" i="16"/>
  <c r="P91" i="16"/>
  <c r="E150" i="14"/>
  <c r="E177" i="14" s="1"/>
  <c r="E175" i="14"/>
  <c r="E279" i="21"/>
  <c r="E721" i="21" s="1"/>
  <c r="P267" i="1"/>
  <c r="P307" i="1"/>
  <c r="R776" i="21"/>
  <c r="Q779" i="21"/>
  <c r="N710" i="21"/>
  <c r="N23" i="21"/>
  <c r="O268" i="21"/>
  <c r="Q422" i="21"/>
  <c r="Q462" i="21"/>
  <c r="AR79" i="18"/>
  <c r="DS79" i="18" s="1"/>
  <c r="BR74" i="18"/>
  <c r="C624" i="21"/>
  <c r="C151" i="21"/>
  <c r="BV5" i="21"/>
  <c r="D537" i="21"/>
  <c r="N18" i="21"/>
  <c r="O245" i="21"/>
  <c r="N687" i="21"/>
  <c r="L272" i="21"/>
  <c r="G336" i="14"/>
  <c r="H336" i="14" s="1"/>
  <c r="H35" i="22"/>
  <c r="H32" i="22"/>
  <c r="E418" i="21"/>
  <c r="E419" i="21" s="1"/>
  <c r="K90" i="12"/>
  <c r="G9" i="12"/>
  <c r="G83" i="12" s="1"/>
  <c r="T100" i="14"/>
  <c r="AE91" i="14" s="1"/>
  <c r="S90" i="14"/>
  <c r="AD66" i="14" s="1"/>
  <c r="I85" i="18"/>
  <c r="CK85" i="18" s="1"/>
  <c r="CH85" i="18"/>
  <c r="F550" i="21"/>
  <c r="BX21" i="21"/>
  <c r="BU8" i="21"/>
  <c r="C540" i="21"/>
  <c r="G109" i="31"/>
  <c r="W24" i="16"/>
  <c r="H126" i="25"/>
  <c r="R370" i="1"/>
  <c r="Q381" i="1"/>
  <c r="F712" i="21"/>
  <c r="F290" i="21"/>
  <c r="F731" i="21" s="1"/>
  <c r="AN128" i="18"/>
  <c r="AE79" i="18"/>
  <c r="DA79" i="18" s="1"/>
  <c r="V47" i="17"/>
  <c r="O379" i="21"/>
  <c r="N119" i="21"/>
  <c r="N620" i="21" s="1"/>
  <c r="AH48" i="17"/>
  <c r="CW74" i="18"/>
  <c r="F196" i="24"/>
  <c r="P381" i="1"/>
  <c r="F714" i="21"/>
  <c r="F291" i="21"/>
  <c r="F732" i="21" s="1"/>
  <c r="D194" i="30"/>
  <c r="D221" i="30" s="1"/>
  <c r="L351" i="11"/>
  <c r="N24" i="21"/>
  <c r="N711" i="21"/>
  <c r="N331" i="21"/>
  <c r="N332" i="21" s="1"/>
  <c r="O269" i="21"/>
  <c r="AM72" i="17"/>
  <c r="AM76" i="17" s="1"/>
  <c r="G16" i="24"/>
  <c r="F16" i="24"/>
  <c r="F17" i="24"/>
  <c r="L270" i="21"/>
  <c r="BX24" i="21"/>
  <c r="F553" i="21"/>
  <c r="DK168" i="18"/>
  <c r="D287" i="25"/>
  <c r="D132" i="25" s="1"/>
  <c r="D492" i="21"/>
  <c r="D495" i="21" s="1"/>
  <c r="D490" i="21"/>
  <c r="O265" i="21"/>
  <c r="O321" i="21" s="1"/>
  <c r="N21" i="21"/>
  <c r="N707" i="21"/>
  <c r="N270" i="21"/>
  <c r="N272" i="21"/>
  <c r="E194" i="24"/>
  <c r="J140" i="24"/>
  <c r="J141" i="24" s="1"/>
  <c r="W6" i="17"/>
  <c r="W26" i="17" s="1"/>
  <c r="AK78" i="17"/>
  <c r="W72" i="16"/>
  <c r="Q424" i="21"/>
  <c r="Q464" i="21"/>
  <c r="F194" i="24"/>
  <c r="O267" i="21"/>
  <c r="N22" i="21"/>
  <c r="N709" i="21"/>
  <c r="DB74" i="18"/>
  <c r="L10" i="1"/>
  <c r="L392" i="1"/>
  <c r="H5" i="20"/>
  <c r="F551" i="21"/>
  <c r="BX22" i="21"/>
  <c r="L363" i="11"/>
  <c r="L211" i="24"/>
  <c r="K211" i="24"/>
  <c r="L262" i="24"/>
  <c r="BC87" i="18"/>
  <c r="DU113" i="18"/>
  <c r="AY117" i="18"/>
  <c r="AY114" i="18"/>
  <c r="T72" i="16"/>
  <c r="T77" i="16"/>
  <c r="C24" i="31"/>
  <c r="C25" i="31" s="1"/>
  <c r="C26" i="31" s="1"/>
  <c r="C109" i="31"/>
  <c r="G287" i="25"/>
  <c r="G132" i="25" s="1"/>
  <c r="F287" i="25"/>
  <c r="F132" i="25" s="1"/>
  <c r="D107" i="31"/>
  <c r="L355" i="25"/>
  <c r="K365" i="25"/>
  <c r="EH70" i="18"/>
  <c r="H168" i="30"/>
  <c r="H132" i="30"/>
  <c r="EA92" i="18"/>
  <c r="AZ93" i="18"/>
  <c r="F105" i="21"/>
  <c r="F607" i="21" s="1"/>
  <c r="DY66" i="18"/>
  <c r="BA80" i="18"/>
  <c r="AM6" i="17"/>
  <c r="AM26" i="17" s="1"/>
  <c r="AM25" i="17" s="1"/>
  <c r="DW79" i="18"/>
  <c r="CH65" i="18"/>
  <c r="S75" i="16"/>
  <c r="D227" i="25"/>
  <c r="D228" i="25" s="1"/>
  <c r="E252" i="25"/>
  <c r="S121" i="1"/>
  <c r="T111" i="1"/>
  <c r="Y69" i="17"/>
  <c r="Y6" i="17"/>
  <c r="Y64" i="16"/>
  <c r="J125" i="24"/>
  <c r="Y219" i="16"/>
  <c r="J95" i="24"/>
  <c r="K82" i="24"/>
  <c r="K76" i="24"/>
  <c r="J82" i="24"/>
  <c r="K191" i="24"/>
  <c r="J76" i="24"/>
  <c r="L378" i="11"/>
  <c r="E6" i="19"/>
  <c r="C474" i="14"/>
  <c r="DH170" i="18"/>
  <c r="E499" i="21"/>
  <c r="BI41" i="18"/>
  <c r="O32" i="30" s="1"/>
  <c r="N514" i="21"/>
  <c r="F515" i="21"/>
  <c r="J180" i="24"/>
  <c r="J266" i="24"/>
  <c r="J5" i="25"/>
  <c r="K180" i="24"/>
  <c r="J187" i="24"/>
  <c r="K188" i="24" s="1"/>
  <c r="E250" i="21"/>
  <c r="E689" i="21"/>
  <c r="M220" i="25"/>
  <c r="M107" i="25" s="1"/>
  <c r="F515" i="14"/>
  <c r="AX79" i="18"/>
  <c r="DY79" i="18" s="1"/>
  <c r="DY74" i="18"/>
  <c r="M5" i="24"/>
  <c r="M216" i="24"/>
  <c r="M173" i="24"/>
  <c r="EF139" i="18"/>
  <c r="L225" i="30"/>
  <c r="AN80" i="17"/>
  <c r="AN77" i="17" s="1"/>
  <c r="M138" i="25"/>
  <c r="L10" i="12"/>
  <c r="M24" i="25"/>
  <c r="T31" i="16"/>
  <c r="M84" i="29"/>
  <c r="M85" i="29" s="1"/>
  <c r="M86" i="29" s="1"/>
  <c r="L89" i="29" s="1"/>
  <c r="F22" i="27"/>
  <c r="I65" i="18"/>
  <c r="CK65" i="18" s="1"/>
  <c r="D77" i="20"/>
  <c r="DM171" i="18"/>
  <c r="AO82" i="18"/>
  <c r="DP86" i="18"/>
  <c r="X10" i="17"/>
  <c r="AO87" i="18"/>
  <c r="AO93" i="18"/>
  <c r="H8" i="19"/>
  <c r="H12" i="19" s="1"/>
  <c r="CC44" i="18"/>
  <c r="AA24" i="16"/>
  <c r="AA232" i="16" s="1"/>
  <c r="M89" i="29"/>
  <c r="I8" i="17"/>
  <c r="I48" i="17" s="1"/>
  <c r="I47" i="17"/>
  <c r="N639" i="21"/>
  <c r="O140" i="21"/>
  <c r="CC16" i="18"/>
  <c r="L37" i="1"/>
  <c r="N37" i="1" s="1"/>
  <c r="G194" i="24"/>
  <c r="DP139" i="18"/>
  <c r="C225" i="30"/>
  <c r="AT140" i="18"/>
  <c r="Q94" i="16"/>
  <c r="Q96" i="16"/>
  <c r="Q93" i="16"/>
  <c r="R115" i="25"/>
  <c r="Q114" i="25"/>
  <c r="L126" i="25"/>
  <c r="C987" i="14" s="1"/>
  <c r="G196" i="24"/>
  <c r="J49" i="25"/>
  <c r="I257" i="25"/>
  <c r="I385" i="25"/>
  <c r="X80" i="16"/>
  <c r="X82" i="16" s="1"/>
  <c r="X30" i="16"/>
  <c r="N609" i="21"/>
  <c r="O107" i="21"/>
  <c r="H30" i="31"/>
  <c r="L188" i="25"/>
  <c r="L196" i="25" s="1"/>
  <c r="L194" i="25" s="1"/>
  <c r="U27" i="16"/>
  <c r="U119" i="16" s="1"/>
  <c r="U237" i="16"/>
  <c r="Q517" i="21"/>
  <c r="J390" i="11"/>
  <c r="K216" i="24"/>
  <c r="K5" i="24"/>
  <c r="AH47" i="17"/>
  <c r="EF171" i="18"/>
  <c r="EA171" i="18"/>
  <c r="I210" i="24"/>
  <c r="J186" i="24"/>
  <c r="I8" i="25"/>
  <c r="I187" i="24"/>
  <c r="I186" i="24"/>
  <c r="R367" i="1"/>
  <c r="Q368" i="1"/>
  <c r="N520" i="21"/>
  <c r="O521" i="21"/>
  <c r="Q127" i="21"/>
  <c r="P628" i="21"/>
  <c r="L405" i="25"/>
  <c r="D500" i="14"/>
  <c r="M7" i="29" s="1"/>
  <c r="EF70" i="18"/>
  <c r="EA70" i="18"/>
  <c r="O363" i="1"/>
  <c r="P362" i="1"/>
  <c r="EA170" i="18"/>
  <c r="U100" i="14"/>
  <c r="AF91" i="14" s="1"/>
  <c r="T90" i="14"/>
  <c r="AE66" i="14" s="1"/>
  <c r="BD82" i="18"/>
  <c r="AM79" i="18"/>
  <c r="AM86" i="18" s="1"/>
  <c r="EE139" i="18"/>
  <c r="M417" i="25"/>
  <c r="M418" i="25" s="1"/>
  <c r="L108" i="31" s="1"/>
  <c r="AB111" i="16"/>
  <c r="M160" i="25"/>
  <c r="F19" i="27"/>
  <c r="AJ69" i="17"/>
  <c r="AJ6" i="17"/>
  <c r="AJ26" i="17" s="1"/>
  <c r="S24" i="16"/>
  <c r="D405" i="25"/>
  <c r="D188" i="25"/>
  <c r="D10" i="12"/>
  <c r="D126" i="25"/>
  <c r="D127" i="25" s="1"/>
  <c r="D153" i="25" s="1"/>
  <c r="D157" i="25" s="1"/>
  <c r="D159" i="25" s="1"/>
  <c r="D27" i="25"/>
  <c r="E24" i="25"/>
  <c r="D24" i="25"/>
  <c r="H591" i="14"/>
  <c r="H583" i="14"/>
  <c r="F31" i="27"/>
  <c r="J41" i="25"/>
  <c r="AN74" i="18"/>
  <c r="AN79" i="18" s="1"/>
  <c r="AN86" i="18" s="1"/>
  <c r="I262" i="24" s="1"/>
  <c r="I34" i="25"/>
  <c r="AX128" i="18"/>
  <c r="F710" i="14"/>
  <c r="F720" i="14" s="1"/>
  <c r="F721" i="14" s="1"/>
  <c r="EA149" i="18"/>
  <c r="L236" i="30"/>
  <c r="EE74" i="18"/>
  <c r="DZ74" i="18"/>
  <c r="Z5" i="16"/>
  <c r="K34" i="12"/>
  <c r="F14" i="22"/>
  <c r="M14" i="22" s="1"/>
  <c r="L378" i="25"/>
  <c r="O522" i="21"/>
  <c r="N525" i="21"/>
  <c r="R105" i="25"/>
  <c r="R112" i="25" s="1"/>
  <c r="S103" i="25"/>
  <c r="G582" i="14"/>
  <c r="G578" i="14"/>
  <c r="E16" i="24"/>
  <c r="D16" i="24"/>
  <c r="BE140" i="18"/>
  <c r="EF140" i="18" s="1"/>
  <c r="DY109" i="18"/>
  <c r="B542" i="21"/>
  <c r="BT10" i="21"/>
  <c r="N333" i="1"/>
  <c r="U110" i="16"/>
  <c r="N447" i="1"/>
  <c r="N192" i="1"/>
  <c r="W365" i="1"/>
  <c r="AT41" i="18"/>
  <c r="C32" i="30" s="1"/>
  <c r="C28" i="30"/>
  <c r="BD140" i="18"/>
  <c r="EE140" i="18" s="1"/>
  <c r="BE118" i="18"/>
  <c r="DX79" i="18"/>
  <c r="Z6" i="16"/>
  <c r="D561" i="14"/>
  <c r="E560" i="14"/>
  <c r="E561" i="14" s="1"/>
  <c r="J6" i="19"/>
  <c r="H474" i="14"/>
  <c r="I116" i="18"/>
  <c r="CK116" i="18" s="1"/>
  <c r="I6" i="19"/>
  <c r="G474" i="14"/>
  <c r="CZ25" i="18"/>
  <c r="S41" i="18"/>
  <c r="K60" i="20"/>
  <c r="J142" i="30"/>
  <c r="J130" i="30"/>
  <c r="AM78" i="17"/>
  <c r="BE119" i="18"/>
  <c r="EF119" i="18" s="1"/>
  <c r="H10" i="17"/>
  <c r="Q79" i="20"/>
  <c r="C20" i="31"/>
  <c r="R27" i="16"/>
  <c r="R119" i="16" s="1"/>
  <c r="R237" i="16"/>
  <c r="W369" i="1"/>
  <c r="I19" i="12"/>
  <c r="J14" i="12"/>
  <c r="DZ139" i="18"/>
  <c r="O30" i="30"/>
  <c r="O36" i="30" s="1"/>
  <c r="E477" i="14"/>
  <c r="G40" i="19"/>
  <c r="K168" i="30"/>
  <c r="AJ10" i="17"/>
  <c r="AO41" i="18"/>
  <c r="H40" i="19"/>
  <c r="F477" i="14"/>
  <c r="EC149" i="18"/>
  <c r="D474" i="14"/>
  <c r="F6" i="19"/>
  <c r="DY55" i="18"/>
  <c r="I195" i="30"/>
  <c r="I170" i="30"/>
  <c r="Q81" i="17"/>
  <c r="U93" i="16"/>
  <c r="E302" i="25"/>
  <c r="P179" i="25"/>
  <c r="P169" i="25"/>
  <c r="F509" i="14"/>
  <c r="Y509" i="14" s="1"/>
  <c r="I85" i="29"/>
  <c r="I86" i="29" s="1"/>
  <c r="L154" i="25"/>
  <c r="AA110" i="16"/>
  <c r="E18" i="27"/>
  <c r="C504" i="14"/>
  <c r="V504" i="14" s="1"/>
  <c r="J417" i="25"/>
  <c r="C710" i="14"/>
  <c r="C721" i="14" s="1"/>
  <c r="J214" i="25"/>
  <c r="J215" i="25" s="1"/>
  <c r="J84" i="29"/>
  <c r="J85" i="29" s="1"/>
  <c r="J86" i="29" s="1"/>
  <c r="C132" i="30"/>
  <c r="C168" i="30"/>
  <c r="D198" i="24"/>
  <c r="D202" i="24" s="1"/>
  <c r="D204" i="24" s="1"/>
  <c r="J90" i="29"/>
  <c r="O89" i="29"/>
  <c r="L90" i="29"/>
  <c r="K90" i="29"/>
  <c r="R89" i="29"/>
  <c r="O90" i="29"/>
  <c r="S90" i="29"/>
  <c r="Q89" i="29"/>
  <c r="I90" i="29"/>
  <c r="P90" i="29"/>
  <c r="N89" i="29"/>
  <c r="N90" i="29"/>
  <c r="R90" i="29"/>
  <c r="P89" i="29"/>
  <c r="M90" i="29"/>
  <c r="T90" i="29"/>
  <c r="T91" i="29" s="1"/>
  <c r="S89" i="29"/>
  <c r="Q90" i="29"/>
  <c r="CI134" i="18"/>
  <c r="I86" i="20"/>
  <c r="E20" i="31"/>
  <c r="BD80" i="18"/>
  <c r="AN75" i="17"/>
  <c r="AN76" i="17" s="1"/>
  <c r="M132" i="25"/>
  <c r="D20" i="31"/>
  <c r="AK8" i="17"/>
  <c r="AK6" i="17"/>
  <c r="F18" i="27"/>
  <c r="D504" i="14"/>
  <c r="W504" i="14" s="1"/>
  <c r="AB110" i="16"/>
  <c r="AJ28" i="17"/>
  <c r="AN48" i="17" s="1"/>
  <c r="AN47" i="17"/>
  <c r="C296" i="25"/>
  <c r="C386" i="25"/>
  <c r="E294" i="25"/>
  <c r="E296" i="25" s="1"/>
  <c r="G77" i="25"/>
  <c r="G74" i="25"/>
  <c r="G292" i="25"/>
  <c r="E78" i="25"/>
  <c r="D31" i="31"/>
  <c r="E319" i="25"/>
  <c r="T16" i="16"/>
  <c r="C299" i="25"/>
  <c r="C302" i="25"/>
  <c r="C319" i="25"/>
  <c r="C84" i="25"/>
  <c r="C78" i="25"/>
  <c r="R31" i="16"/>
  <c r="E384" i="25"/>
  <c r="E404" i="25" s="1"/>
  <c r="T23" i="16"/>
  <c r="E207" i="25"/>
  <c r="D384" i="25"/>
  <c r="S23" i="16"/>
  <c r="D207" i="25"/>
  <c r="F302" i="25"/>
  <c r="F299" i="25"/>
  <c r="F294" i="25"/>
  <c r="U31" i="16"/>
  <c r="F319" i="25"/>
  <c r="F84" i="25"/>
  <c r="F78" i="25"/>
  <c r="E41" i="17"/>
  <c r="G61" i="17"/>
  <c r="AA28" i="17"/>
  <c r="AE48" i="17" s="1"/>
  <c r="AE47" i="17"/>
  <c r="D10" i="25"/>
  <c r="D25" i="25"/>
  <c r="D14" i="25"/>
  <c r="S225" i="16"/>
  <c r="S42" i="16"/>
  <c r="S20" i="16"/>
  <c r="S26" i="17"/>
  <c r="S133" i="25"/>
  <c r="J994" i="14" s="1"/>
  <c r="K23" i="27"/>
  <c r="N78" i="1"/>
  <c r="N409" i="1"/>
  <c r="O26" i="1"/>
  <c r="CB26" i="1"/>
  <c r="I25" i="20"/>
  <c r="L26" i="17"/>
  <c r="AB47" i="17"/>
  <c r="X28" i="17"/>
  <c r="AB48" i="17" s="1"/>
  <c r="T20" i="16"/>
  <c r="E10" i="25"/>
  <c r="T42" i="16"/>
  <c r="E25" i="25"/>
  <c r="T225" i="16"/>
  <c r="E14" i="25"/>
  <c r="P58" i="17"/>
  <c r="L27" i="17"/>
  <c r="J292" i="25"/>
  <c r="J77" i="25"/>
  <c r="I31" i="31" s="1"/>
  <c r="U20" i="16"/>
  <c r="F14" i="25"/>
  <c r="F10" i="25"/>
  <c r="U225" i="16"/>
  <c r="U42" i="16"/>
  <c r="G189" i="25"/>
  <c r="G202" i="25" s="1"/>
  <c r="G192" i="25"/>
  <c r="EJ146" i="18"/>
  <c r="N8" i="17"/>
  <c r="N6" i="17"/>
  <c r="N27" i="17"/>
  <c r="R58" i="17"/>
  <c r="H153" i="24"/>
  <c r="G155" i="24"/>
  <c r="G156" i="24" s="1"/>
  <c r="N210" i="24"/>
  <c r="M211" i="24"/>
  <c r="O107" i="24"/>
  <c r="O73" i="24" s="1"/>
  <c r="G174" i="24"/>
  <c r="G28" i="24"/>
  <c r="G29" i="24" s="1"/>
  <c r="DJ174" i="18"/>
  <c r="DE174" i="18"/>
  <c r="BH55" i="18"/>
  <c r="BH137" i="18"/>
  <c r="BH4" i="18"/>
  <c r="BH166" i="18"/>
  <c r="BM2" i="18"/>
  <c r="ED2" i="18"/>
  <c r="E128" i="18"/>
  <c r="C85" i="20" s="1"/>
  <c r="E74" i="18"/>
  <c r="CG66" i="18"/>
  <c r="BG34" i="18"/>
  <c r="EC15" i="18"/>
  <c r="BG25" i="18"/>
  <c r="EH25" i="18" s="1"/>
  <c r="BG171" i="18"/>
  <c r="AX99" i="18"/>
  <c r="DT99" i="18" s="1"/>
  <c r="DX99" i="18"/>
  <c r="DP170" i="18"/>
  <c r="ED99" i="18"/>
  <c r="J134" i="18"/>
  <c r="G86" i="20" s="1"/>
  <c r="J87" i="18"/>
  <c r="G80" i="20" s="1"/>
  <c r="J96" i="18"/>
  <c r="G82" i="20" s="1"/>
  <c r="I105" i="18"/>
  <c r="CK105" i="18" s="1"/>
  <c r="EE86" i="18"/>
  <c r="I277" i="30" s="1"/>
  <c r="BD87" i="18"/>
  <c r="DZ86" i="18"/>
  <c r="E277" i="30" s="1"/>
  <c r="BD93" i="18"/>
  <c r="BD134" i="18"/>
  <c r="DD25" i="18"/>
  <c r="DB171" i="18"/>
  <c r="EB171" i="18"/>
  <c r="EG171" i="18"/>
  <c r="EB70" i="18"/>
  <c r="EG70" i="18"/>
  <c r="EB170" i="18"/>
  <c r="EG170" i="18"/>
  <c r="DA25" i="18"/>
  <c r="EE113" i="18"/>
  <c r="BD114" i="18"/>
  <c r="BD117" i="18"/>
  <c r="DZ113" i="18"/>
  <c r="DY105" i="18"/>
  <c r="BG148" i="18"/>
  <c r="N235" i="30" s="1"/>
  <c r="AO97" i="18"/>
  <c r="AO103" i="18"/>
  <c r="AO106" i="18"/>
  <c r="AO138" i="18"/>
  <c r="DP96" i="18"/>
  <c r="K87" i="18"/>
  <c r="H80" i="20" s="1"/>
  <c r="K134" i="18"/>
  <c r="H86" i="20" s="1"/>
  <c r="K96" i="18"/>
  <c r="H82" i="20" s="1"/>
  <c r="EC170" i="18"/>
  <c r="F128" i="18"/>
  <c r="D85" i="20" s="1"/>
  <c r="CH66" i="18"/>
  <c r="DT111" i="18"/>
  <c r="DY111" i="18"/>
  <c r="DO66" i="18"/>
  <c r="AS128" i="18"/>
  <c r="AS74" i="18"/>
  <c r="DT66" i="18"/>
  <c r="DY112" i="18"/>
  <c r="DT112" i="18"/>
  <c r="DO25" i="18"/>
  <c r="DY142" i="18"/>
  <c r="ED142" i="18"/>
  <c r="AP70" i="18"/>
  <c r="DU169" i="18"/>
  <c r="DP169" i="18"/>
  <c r="DQ170" i="18"/>
  <c r="DL170" i="18"/>
  <c r="AP79" i="18"/>
  <c r="DL74" i="18"/>
  <c r="CH84" i="18"/>
  <c r="I84" i="18"/>
  <c r="CK84" i="18" s="1"/>
  <c r="DQ171" i="18"/>
  <c r="DL171" i="18"/>
  <c r="DY110" i="18"/>
  <c r="DT110" i="18"/>
  <c r="DV138" i="18"/>
  <c r="EA138" i="18"/>
  <c r="DP171" i="18"/>
  <c r="DK171" i="18"/>
  <c r="AZ113" i="18"/>
  <c r="DV106" i="18"/>
  <c r="AZ107" i="18"/>
  <c r="EA106" i="18"/>
  <c r="CH73" i="18"/>
  <c r="F74" i="18"/>
  <c r="EC101" i="18"/>
  <c r="BC101" i="18"/>
  <c r="BG79" i="18"/>
  <c r="EC74" i="18"/>
  <c r="AA86" i="18"/>
  <c r="AA80" i="18"/>
  <c r="CW79" i="18"/>
  <c r="DQ69" i="18"/>
  <c r="DL69" i="18"/>
  <c r="BA106" i="18"/>
  <c r="BA138" i="18"/>
  <c r="I224" i="30" s="1"/>
  <c r="BA97" i="18"/>
  <c r="I172" i="30" s="1"/>
  <c r="EB96" i="18"/>
  <c r="BB96" i="18"/>
  <c r="DW96" i="18"/>
  <c r="I171" i="30" s="1"/>
  <c r="I73" i="18"/>
  <c r="CK73" i="18" s="1"/>
  <c r="EA95" i="18"/>
  <c r="AF87" i="18"/>
  <c r="AF134" i="18"/>
  <c r="AF96" i="18"/>
  <c r="DG86" i="18"/>
  <c r="BG117" i="18"/>
  <c r="EH117" i="18" s="1"/>
  <c r="BG114" i="18"/>
  <c r="U87" i="18"/>
  <c r="Q80" i="20" s="1"/>
  <c r="U134" i="18"/>
  <c r="Q86" i="20" s="1"/>
  <c r="U96" i="18"/>
  <c r="Q82" i="20" s="1"/>
  <c r="CV86" i="18"/>
  <c r="W80" i="18"/>
  <c r="W86" i="18"/>
  <c r="CX79" i="18"/>
  <c r="AT93" i="18"/>
  <c r="DU92" i="18"/>
  <c r="G138" i="30" s="1"/>
  <c r="AT95" i="18"/>
  <c r="C169" i="30" s="1"/>
  <c r="CU66" i="18"/>
  <c r="Y74" i="18"/>
  <c r="Y128" i="18"/>
  <c r="AM47" i="17" l="1"/>
  <c r="P106" i="21"/>
  <c r="F1000" i="14"/>
  <c r="C1282" i="14"/>
  <c r="N280" i="24"/>
  <c r="O280" i="24" s="1"/>
  <c r="M361" i="24"/>
  <c r="H592" i="14"/>
  <c r="EB79" i="18"/>
  <c r="AB93" i="17"/>
  <c r="AB96" i="17" s="1"/>
  <c r="AC93" i="17"/>
  <c r="AC96" i="17" s="1"/>
  <c r="G592" i="14"/>
  <c r="H198" i="24"/>
  <c r="BF80" i="18"/>
  <c r="BF82" i="18"/>
  <c r="G275" i="30" s="1"/>
  <c r="K283" i="30" s="1"/>
  <c r="N469" i="1"/>
  <c r="N110" i="1" s="1"/>
  <c r="DT145" i="18"/>
  <c r="N93" i="1"/>
  <c r="AL25" i="17"/>
  <c r="AP45" i="17" s="1"/>
  <c r="AP46" i="17"/>
  <c r="O469" i="1"/>
  <c r="O110" i="1" s="1"/>
  <c r="AB138" i="18"/>
  <c r="AB140" i="18" s="1"/>
  <c r="AB148" i="18" s="1"/>
  <c r="AB106" i="18"/>
  <c r="AB113" i="18" s="1"/>
  <c r="AB117" i="18" s="1"/>
  <c r="AL28" i="17"/>
  <c r="AP48" i="17" s="1"/>
  <c r="AP47" i="17"/>
  <c r="J131" i="30"/>
  <c r="BC91" i="18"/>
  <c r="L260" i="24" s="1"/>
  <c r="L268" i="24" s="1"/>
  <c r="I144" i="30"/>
  <c r="AE10" i="17"/>
  <c r="AE81" i="17" s="1"/>
  <c r="AE70" i="17" s="1"/>
  <c r="AY156" i="18"/>
  <c r="G241" i="30" s="1"/>
  <c r="AZ156" i="18"/>
  <c r="H241" i="30" s="1"/>
  <c r="AX156" i="18"/>
  <c r="BI148" i="18"/>
  <c r="O235" i="30" s="1"/>
  <c r="O236" i="30"/>
  <c r="AO78" i="17"/>
  <c r="BA156" i="18"/>
  <c r="I241" i="30" s="1"/>
  <c r="H166" i="24"/>
  <c r="Z112" i="16"/>
  <c r="D993" i="14"/>
  <c r="AC91" i="17"/>
  <c r="DV134" i="18"/>
  <c r="AK28" i="17"/>
  <c r="AO48" i="17" s="1"/>
  <c r="AO47" i="17"/>
  <c r="EG149" i="18"/>
  <c r="BN50" i="18"/>
  <c r="F869" i="14"/>
  <c r="D948" i="14"/>
  <c r="M393" i="24"/>
  <c r="D978" i="14" s="1"/>
  <c r="Q844" i="14"/>
  <c r="H582" i="14"/>
  <c r="D932" i="14"/>
  <c r="D934" i="14" s="1"/>
  <c r="D1007" i="14"/>
  <c r="K113" i="24"/>
  <c r="E790" i="14"/>
  <c r="C829" i="14"/>
  <c r="L113" i="24"/>
  <c r="G198" i="24"/>
  <c r="G202" i="24" s="1"/>
  <c r="G204" i="24" s="1"/>
  <c r="K50" i="24"/>
  <c r="K121" i="24"/>
  <c r="L43" i="24"/>
  <c r="BO147" i="18"/>
  <c r="P143" i="25"/>
  <c r="P144" i="25" s="1"/>
  <c r="G1000" i="14" s="1"/>
  <c r="O466" i="1"/>
  <c r="O93" i="1" s="1"/>
  <c r="K140" i="24"/>
  <c r="K142" i="24" s="1"/>
  <c r="EE82" i="18"/>
  <c r="E275" i="30"/>
  <c r="I283" i="30" s="1"/>
  <c r="AG51" i="17"/>
  <c r="AG71" i="17"/>
  <c r="AG72" i="17" s="1"/>
  <c r="AG76" i="17" s="1"/>
  <c r="C493" i="14"/>
  <c r="D674" i="14"/>
  <c r="Q250" i="24"/>
  <c r="M179" i="25"/>
  <c r="M154" i="25" s="1"/>
  <c r="L107" i="31"/>
  <c r="D984" i="14"/>
  <c r="O597" i="14"/>
  <c r="R597" i="14" s="1"/>
  <c r="BH139" i="18"/>
  <c r="D987" i="14"/>
  <c r="AA115" i="16"/>
  <c r="C994" i="14"/>
  <c r="L145" i="25"/>
  <c r="C999" i="14"/>
  <c r="C1001" i="14" s="1"/>
  <c r="M145" i="25"/>
  <c r="D999" i="14"/>
  <c r="O50" i="1"/>
  <c r="O52" i="1" s="1"/>
  <c r="O100" i="1" s="1"/>
  <c r="O425" i="1" s="1"/>
  <c r="BW10" i="21"/>
  <c r="C650" i="14"/>
  <c r="D650" i="14" s="1"/>
  <c r="E650" i="14" s="1"/>
  <c r="Z278" i="24"/>
  <c r="N1266" i="14" s="1"/>
  <c r="Q918" i="14"/>
  <c r="M208" i="24"/>
  <c r="C880" i="14"/>
  <c r="C882" i="14" s="1"/>
  <c r="T133" i="24"/>
  <c r="T134" i="24" s="1"/>
  <c r="K917" i="14"/>
  <c r="K819" i="14"/>
  <c r="K820" i="14" s="1"/>
  <c r="T286" i="24"/>
  <c r="S278" i="24"/>
  <c r="G1266" i="14" s="1"/>
  <c r="J918" i="14"/>
  <c r="N183" i="24"/>
  <c r="E880" i="14"/>
  <c r="P161" i="24"/>
  <c r="G962" i="14" s="1"/>
  <c r="H26" i="17"/>
  <c r="H25" i="17" s="1"/>
  <c r="L45" i="17" s="1"/>
  <c r="AA39" i="16"/>
  <c r="DY145" i="18"/>
  <c r="EC100" i="18"/>
  <c r="L132" i="25"/>
  <c r="E20" i="27" s="1"/>
  <c r="BA132" i="18"/>
  <c r="I198" i="30" s="1"/>
  <c r="BA134" i="18"/>
  <c r="AH11" i="17"/>
  <c r="AH31" i="17" s="1"/>
  <c r="AL51" i="17" s="1"/>
  <c r="DX100" i="18"/>
  <c r="I196" i="30"/>
  <c r="I197" i="30" s="1"/>
  <c r="AF78" i="17"/>
  <c r="DU149" i="18"/>
  <c r="AY148" i="18"/>
  <c r="G235" i="30" s="1"/>
  <c r="BC100" i="18"/>
  <c r="ED100" i="18" s="1"/>
  <c r="BC131" i="18"/>
  <c r="N22" i="19" s="1"/>
  <c r="F129" i="30"/>
  <c r="F141" i="30"/>
  <c r="R118" i="25"/>
  <c r="DW131" i="18"/>
  <c r="N44" i="1"/>
  <c r="CB21" i="1"/>
  <c r="CN7" i="1" s="1"/>
  <c r="CN9" i="1" s="1"/>
  <c r="O21" i="1"/>
  <c r="O23" i="1" s="1"/>
  <c r="CC23" i="1" s="1"/>
  <c r="N477" i="1"/>
  <c r="O403" i="1"/>
  <c r="P18" i="1"/>
  <c r="CD18" i="1" s="1"/>
  <c r="CP4" i="1" s="1"/>
  <c r="CP6" i="1" s="1"/>
  <c r="Q180" i="25"/>
  <c r="AU93" i="18"/>
  <c r="AC25" i="17"/>
  <c r="AG45" i="17" s="1"/>
  <c r="DV92" i="18"/>
  <c r="H138" i="30" s="1"/>
  <c r="AU95" i="18"/>
  <c r="DV95" i="18" s="1"/>
  <c r="O81" i="25"/>
  <c r="P81" i="25" s="1"/>
  <c r="Q81" i="25" s="1"/>
  <c r="R81" i="25" s="1"/>
  <c r="S81" i="25" s="1"/>
  <c r="T81" i="25" s="1"/>
  <c r="U81" i="25" s="1"/>
  <c r="V81" i="25" s="1"/>
  <c r="W81" i="25" s="1"/>
  <c r="X81" i="25" s="1"/>
  <c r="Y81" i="25" s="1"/>
  <c r="Z81" i="25" s="1"/>
  <c r="Q268" i="1"/>
  <c r="R308" i="1" s="1"/>
  <c r="AQ92" i="18"/>
  <c r="AQ93" i="18" s="1"/>
  <c r="H12" i="20"/>
  <c r="H13" i="20" s="1"/>
  <c r="Z114" i="18"/>
  <c r="AG134" i="18"/>
  <c r="DC134" i="18" s="1"/>
  <c r="R423" i="21"/>
  <c r="S423" i="21" s="1"/>
  <c r="AV113" i="18"/>
  <c r="AV114" i="18" s="1"/>
  <c r="X46" i="17"/>
  <c r="BA95" i="18"/>
  <c r="I169" i="30" s="1"/>
  <c r="P255" i="1"/>
  <c r="P171" i="1" s="1"/>
  <c r="AQ134" i="18"/>
  <c r="P425" i="21"/>
  <c r="Q465" i="21" s="1"/>
  <c r="J8" i="19"/>
  <c r="J12" i="19" s="1"/>
  <c r="AQ82" i="18"/>
  <c r="Y92" i="1"/>
  <c r="S92" i="1"/>
  <c r="T92" i="1" s="1"/>
  <c r="T419" i="1" s="1"/>
  <c r="S47" i="17"/>
  <c r="DR86" i="18"/>
  <c r="J129" i="30"/>
  <c r="Z10" i="17"/>
  <c r="Z81" i="17" s="1"/>
  <c r="Z70" i="17" s="1"/>
  <c r="Z72" i="17" s="1"/>
  <c r="Z76" i="17" s="1"/>
  <c r="AQ87" i="18"/>
  <c r="R10" i="17"/>
  <c r="R81" i="17" s="1"/>
  <c r="I228" i="30"/>
  <c r="EA139" i="18"/>
  <c r="AH75" i="17"/>
  <c r="P634" i="21"/>
  <c r="N83" i="1"/>
  <c r="L24" i="20"/>
  <c r="P110" i="21"/>
  <c r="P612" i="21" s="1"/>
  <c r="N41" i="1"/>
  <c r="AZ140" i="18"/>
  <c r="H226" i="30" s="1"/>
  <c r="H231" i="30" s="1"/>
  <c r="N23" i="1"/>
  <c r="N68" i="1" s="1"/>
  <c r="J19" i="20"/>
  <c r="O634" i="21"/>
  <c r="N404" i="1"/>
  <c r="I20" i="20"/>
  <c r="CY79" i="18"/>
  <c r="L20" i="31"/>
  <c r="G429" i="14"/>
  <c r="AB42" i="16"/>
  <c r="L390" i="11"/>
  <c r="CI106" i="18"/>
  <c r="AB20" i="16"/>
  <c r="L107" i="18"/>
  <c r="J141" i="30"/>
  <c r="AG87" i="18"/>
  <c r="E653" i="14"/>
  <c r="M25" i="25"/>
  <c r="F5" i="27"/>
  <c r="M34" i="25"/>
  <c r="M224" i="25" s="1"/>
  <c r="F698" i="14"/>
  <c r="AB225" i="16"/>
  <c r="D496" i="14"/>
  <c r="E36" i="22"/>
  <c r="D581" i="14"/>
  <c r="I582" i="14"/>
  <c r="L583" i="14"/>
  <c r="R229" i="16"/>
  <c r="R230" i="16" s="1"/>
  <c r="S346" i="1"/>
  <c r="T346" i="1" s="1"/>
  <c r="T347" i="1" s="1"/>
  <c r="C83" i="12"/>
  <c r="O347" i="1"/>
  <c r="Q347" i="1"/>
  <c r="D601" i="14"/>
  <c r="F142" i="30"/>
  <c r="J144" i="30" s="1"/>
  <c r="R77" i="16"/>
  <c r="R91" i="16" s="1"/>
  <c r="L142" i="24"/>
  <c r="H28" i="25"/>
  <c r="K102" i="15"/>
  <c r="C125" i="15" s="1"/>
  <c r="D499" i="14"/>
  <c r="F706" i="14"/>
  <c r="F717" i="14" s="1"/>
  <c r="E80" i="24"/>
  <c r="T224" i="16"/>
  <c r="E89" i="24"/>
  <c r="T63" i="16"/>
  <c r="E91" i="24"/>
  <c r="G74" i="24"/>
  <c r="R63" i="16"/>
  <c r="R224" i="16"/>
  <c r="C91" i="24"/>
  <c r="D91" i="24"/>
  <c r="S63" i="16"/>
  <c r="S224" i="16"/>
  <c r="D89" i="24"/>
  <c r="D80" i="24"/>
  <c r="F74" i="24"/>
  <c r="H101" i="24"/>
  <c r="H157" i="24"/>
  <c r="H155" i="24" s="1"/>
  <c r="H156" i="24" s="1"/>
  <c r="F35" i="22"/>
  <c r="F40" i="22" s="1"/>
  <c r="J101" i="24"/>
  <c r="J157" i="24"/>
  <c r="F32" i="22"/>
  <c r="S25" i="17"/>
  <c r="W45" i="17" s="1"/>
  <c r="ED143" i="18"/>
  <c r="X80" i="18"/>
  <c r="O256" i="1"/>
  <c r="O166" i="1" s="1"/>
  <c r="W47" i="17"/>
  <c r="DW91" i="18"/>
  <c r="I137" i="30" s="1"/>
  <c r="Q272" i="1"/>
  <c r="R272" i="1" s="1"/>
  <c r="S312" i="1" s="1"/>
  <c r="E23" i="27"/>
  <c r="N47" i="17"/>
  <c r="AE46" i="17"/>
  <c r="I132" i="30"/>
  <c r="AU140" i="18"/>
  <c r="D226" i="30" s="1"/>
  <c r="D231" i="30" s="1"/>
  <c r="N48" i="17"/>
  <c r="AW82" i="18"/>
  <c r="DX82" i="18" s="1"/>
  <c r="Q118" i="25"/>
  <c r="F188" i="25"/>
  <c r="F192" i="25" s="1"/>
  <c r="AG25" i="17"/>
  <c r="AK45" i="17" s="1"/>
  <c r="Q46" i="17"/>
  <c r="BU12" i="21"/>
  <c r="V25" i="16"/>
  <c r="V26" i="16" s="1"/>
  <c r="BA93" i="18"/>
  <c r="V232" i="16"/>
  <c r="V233" i="16" s="1"/>
  <c r="BA103" i="18"/>
  <c r="O87" i="18"/>
  <c r="K80" i="20" s="1"/>
  <c r="P347" i="1"/>
  <c r="R90" i="16"/>
  <c r="Q304" i="24"/>
  <c r="Q303" i="24" s="1"/>
  <c r="P303" i="24"/>
  <c r="K101" i="24"/>
  <c r="I101" i="24"/>
  <c r="H22" i="24"/>
  <c r="I22" i="24" s="1"/>
  <c r="F173" i="21"/>
  <c r="F666" i="21" s="1"/>
  <c r="AX86" i="18"/>
  <c r="K262" i="24" s="1"/>
  <c r="K8" i="24" s="1"/>
  <c r="K10" i="24" s="1"/>
  <c r="J379" i="11"/>
  <c r="L379" i="11" s="1"/>
  <c r="BC89" i="18"/>
  <c r="L256" i="24" s="1"/>
  <c r="L266" i="24" s="1"/>
  <c r="M266" i="24" s="1"/>
  <c r="N266" i="24" s="1"/>
  <c r="O266" i="24" s="1"/>
  <c r="P266" i="24" s="1"/>
  <c r="Q266" i="24" s="1"/>
  <c r="R266" i="24" s="1"/>
  <c r="S266" i="24" s="1"/>
  <c r="T266" i="24" s="1"/>
  <c r="U266" i="24" s="1"/>
  <c r="V266" i="24" s="1"/>
  <c r="W266" i="24" s="1"/>
  <c r="X266" i="24" s="1"/>
  <c r="Y266" i="24" s="1"/>
  <c r="Z266" i="24" s="1"/>
  <c r="CJ106" i="18"/>
  <c r="AW156" i="18"/>
  <c r="F241" i="30" s="1"/>
  <c r="AH81" i="17"/>
  <c r="AH70" i="17" s="1"/>
  <c r="DX86" i="18"/>
  <c r="D277" i="30" s="1"/>
  <c r="K79" i="20"/>
  <c r="F24" i="25"/>
  <c r="K353" i="11"/>
  <c r="M107" i="18"/>
  <c r="D10" i="17"/>
  <c r="D30" i="17" s="1"/>
  <c r="H50" i="17" s="1"/>
  <c r="N460" i="21"/>
  <c r="L397" i="11"/>
  <c r="AW87" i="18"/>
  <c r="AA25" i="17"/>
  <c r="AE45" i="17" s="1"/>
  <c r="X77" i="16"/>
  <c r="O407" i="1"/>
  <c r="H193" i="24"/>
  <c r="H194" i="24" s="1"/>
  <c r="DV139" i="18"/>
  <c r="Q462" i="1"/>
  <c r="Q464" i="1" s="1"/>
  <c r="Q469" i="1" s="1"/>
  <c r="Q110" i="1" s="1"/>
  <c r="AH46" i="17"/>
  <c r="O134" i="18"/>
  <c r="CQ134" i="18" s="1"/>
  <c r="Z237" i="16"/>
  <c r="G25" i="31"/>
  <c r="G26" i="31" s="1"/>
  <c r="N484" i="21"/>
  <c r="N493" i="21" s="1"/>
  <c r="N587" i="21"/>
  <c r="CC24" i="1"/>
  <c r="V42" i="16"/>
  <c r="L130" i="25"/>
  <c r="AB90" i="17" s="1"/>
  <c r="N80" i="18"/>
  <c r="V20" i="16"/>
  <c r="AV134" i="18"/>
  <c r="CT79" i="18"/>
  <c r="X118" i="16"/>
  <c r="P118" i="25"/>
  <c r="DW145" i="18"/>
  <c r="AD11" i="17"/>
  <c r="AD31" i="17" s="1"/>
  <c r="F357" i="21"/>
  <c r="F484" i="21"/>
  <c r="F493" i="21" s="1"/>
  <c r="N87" i="18"/>
  <c r="F20" i="31"/>
  <c r="E583" i="14"/>
  <c r="Q583" i="14" s="1"/>
  <c r="F587" i="21"/>
  <c r="CS79" i="18"/>
  <c r="AW131" i="18"/>
  <c r="AE11" i="17" s="1"/>
  <c r="M127" i="25"/>
  <c r="BH140" i="18" s="1"/>
  <c r="E196" i="30"/>
  <c r="E197" i="30" s="1"/>
  <c r="N430" i="21"/>
  <c r="N412" i="21" s="1"/>
  <c r="N418" i="21" s="1"/>
  <c r="G14" i="25"/>
  <c r="P24" i="1"/>
  <c r="AV132" i="18"/>
  <c r="E198" i="30" s="1"/>
  <c r="CC41" i="18"/>
  <c r="AV139" i="18"/>
  <c r="E225" i="30" s="1"/>
  <c r="O465" i="21"/>
  <c r="O470" i="21" s="1"/>
  <c r="F12" i="27"/>
  <c r="CN79" i="18"/>
  <c r="R25" i="1"/>
  <c r="S25" i="1" s="1"/>
  <c r="EB145" i="18"/>
  <c r="D25" i="31"/>
  <c r="D26" i="31" s="1"/>
  <c r="W229" i="16"/>
  <c r="W230" i="16" s="1"/>
  <c r="F104" i="21"/>
  <c r="F606" i="21" s="1"/>
  <c r="I143" i="30"/>
  <c r="Q408" i="1"/>
  <c r="R25" i="16"/>
  <c r="R109" i="16" s="1"/>
  <c r="Q530" i="1"/>
  <c r="F137" i="21"/>
  <c r="F637" i="21" s="1"/>
  <c r="F633" i="21"/>
  <c r="D41" i="22"/>
  <c r="AY80" i="18"/>
  <c r="AY82" i="18"/>
  <c r="DZ82" i="18" s="1"/>
  <c r="DZ79" i="18"/>
  <c r="AV102" i="18"/>
  <c r="DW102" i="18" s="1"/>
  <c r="F130" i="30"/>
  <c r="F247" i="21"/>
  <c r="F279" i="21" s="1"/>
  <c r="F721" i="21" s="1"/>
  <c r="AX90" i="18"/>
  <c r="DY90" i="18" s="1"/>
  <c r="F688" i="21"/>
  <c r="D36" i="22"/>
  <c r="AT118" i="18"/>
  <c r="N694" i="21"/>
  <c r="F271" i="21"/>
  <c r="F713" i="21" s="1"/>
  <c r="T28" i="17"/>
  <c r="X48" i="17" s="1"/>
  <c r="H46" i="25"/>
  <c r="H47" i="25" s="1"/>
  <c r="L345" i="11"/>
  <c r="K256" i="24"/>
  <c r="AD47" i="17"/>
  <c r="F663" i="21"/>
  <c r="F25" i="31"/>
  <c r="F26" i="31" s="1"/>
  <c r="V25" i="17"/>
  <c r="Z45" i="17" s="1"/>
  <c r="J348" i="11"/>
  <c r="Z46" i="17"/>
  <c r="E589" i="14"/>
  <c r="DU79" i="18"/>
  <c r="K368" i="11"/>
  <c r="L368" i="11" s="1"/>
  <c r="DU117" i="18"/>
  <c r="N246" i="21"/>
  <c r="N688" i="21" s="1"/>
  <c r="K375" i="11"/>
  <c r="AK47" i="17"/>
  <c r="AD46" i="17"/>
  <c r="J360" i="11"/>
  <c r="N96" i="18"/>
  <c r="N97" i="18" s="1"/>
  <c r="H113" i="18"/>
  <c r="H117" i="18" s="1"/>
  <c r="CP74" i="18"/>
  <c r="H107" i="18"/>
  <c r="M28" i="17"/>
  <c r="Q48" i="17" s="1"/>
  <c r="AK48" i="17"/>
  <c r="J353" i="11"/>
  <c r="C84" i="12"/>
  <c r="C85" i="12" s="1"/>
  <c r="Q497" i="1"/>
  <c r="AW91" i="18"/>
  <c r="F131" i="30" s="1"/>
  <c r="AW106" i="18"/>
  <c r="AW107" i="18" s="1"/>
  <c r="AV92" i="18"/>
  <c r="E132" i="30" s="1"/>
  <c r="AW101" i="18"/>
  <c r="DX101" i="18" s="1"/>
  <c r="F170" i="30"/>
  <c r="I46" i="17"/>
  <c r="AW138" i="18"/>
  <c r="AX138" i="18" s="1"/>
  <c r="CQ86" i="18"/>
  <c r="O96" i="18"/>
  <c r="K82" i="20" s="1"/>
  <c r="V225" i="16"/>
  <c r="F195" i="30"/>
  <c r="DX89" i="18"/>
  <c r="J135" i="30" s="1"/>
  <c r="F249" i="21"/>
  <c r="F296" i="21" s="1"/>
  <c r="F737" i="21" s="1"/>
  <c r="AG96" i="18"/>
  <c r="DH86" i="18"/>
  <c r="G10" i="25"/>
  <c r="I168" i="30"/>
  <c r="J375" i="11"/>
  <c r="W90" i="16"/>
  <c r="BF118" i="18"/>
  <c r="EG117" i="18"/>
  <c r="F199" i="24"/>
  <c r="O130" i="1"/>
  <c r="O304" i="1"/>
  <c r="L396" i="1"/>
  <c r="P271" i="1"/>
  <c r="P274" i="1" s="1"/>
  <c r="P311" i="1"/>
  <c r="P314" i="1" s="1"/>
  <c r="P130" i="1" s="1"/>
  <c r="Q131" i="21"/>
  <c r="P631" i="21"/>
  <c r="G11" i="12"/>
  <c r="G12" i="12" s="1"/>
  <c r="AB46" i="17"/>
  <c r="H11" i="12"/>
  <c r="H12" i="12" s="1"/>
  <c r="N259" i="21"/>
  <c r="F701" i="21"/>
  <c r="BE82" i="18"/>
  <c r="F107" i="31"/>
  <c r="O430" i="21"/>
  <c r="O412" i="21" s="1"/>
  <c r="O418" i="21" s="1"/>
  <c r="BE80" i="18"/>
  <c r="AB86" i="16"/>
  <c r="O325" i="25"/>
  <c r="O334" i="25" s="1"/>
  <c r="R80" i="18"/>
  <c r="AI46" i="17"/>
  <c r="AA47" i="17"/>
  <c r="Z118" i="16"/>
  <c r="H192" i="25"/>
  <c r="F703" i="21"/>
  <c r="K360" i="11"/>
  <c r="R86" i="18"/>
  <c r="R96" i="18" s="1"/>
  <c r="N82" i="20" s="1"/>
  <c r="G117" i="18"/>
  <c r="G119" i="18" s="1"/>
  <c r="AM80" i="18"/>
  <c r="J364" i="11"/>
  <c r="L364" i="11" s="1"/>
  <c r="G76" i="12"/>
  <c r="G27" i="12" s="1"/>
  <c r="V13" i="16" s="1"/>
  <c r="F263" i="21"/>
  <c r="F705" i="21" s="1"/>
  <c r="K348" i="11"/>
  <c r="I256" i="25"/>
  <c r="J256" i="25" s="1"/>
  <c r="K256" i="25" s="1"/>
  <c r="L256" i="25" s="1"/>
  <c r="M256" i="25" s="1"/>
  <c r="N256" i="25" s="1"/>
  <c r="O256" i="25" s="1"/>
  <c r="E27" i="12"/>
  <c r="T13" i="16" s="1"/>
  <c r="V28" i="17"/>
  <c r="Z48" i="17" s="1"/>
  <c r="L261" i="21"/>
  <c r="L262" i="21" s="1"/>
  <c r="N262" i="21" s="1"/>
  <c r="N261" i="21" s="1"/>
  <c r="N336" i="21" s="1"/>
  <c r="I373" i="25"/>
  <c r="I31" i="12" s="1"/>
  <c r="AB25" i="17"/>
  <c r="AF45" i="17" s="1"/>
  <c r="G84" i="12"/>
  <c r="G85" i="12" s="1"/>
  <c r="CO79" i="18"/>
  <c r="DW82" i="18"/>
  <c r="BV12" i="21"/>
  <c r="D132" i="30"/>
  <c r="N253" i="21"/>
  <c r="N695" i="21" s="1"/>
  <c r="T232" i="16"/>
  <c r="T233" i="16" s="1"/>
  <c r="E601" i="14"/>
  <c r="W89" i="16"/>
  <c r="AF47" i="17"/>
  <c r="O207" i="24"/>
  <c r="L241" i="24"/>
  <c r="G6" i="24"/>
  <c r="EA79" i="18"/>
  <c r="L173" i="24"/>
  <c r="L174" i="24" s="1"/>
  <c r="L216" i="24"/>
  <c r="M217" i="24" s="1"/>
  <c r="L5" i="24"/>
  <c r="M6" i="24" s="1"/>
  <c r="E40" i="22"/>
  <c r="E41" i="22" s="1"/>
  <c r="G24" i="25"/>
  <c r="Q143" i="21"/>
  <c r="Q642" i="21" s="1"/>
  <c r="R385" i="21"/>
  <c r="E299" i="21"/>
  <c r="E286" i="21"/>
  <c r="E708" i="21"/>
  <c r="K347" i="25"/>
  <c r="J356" i="25"/>
  <c r="J358" i="25"/>
  <c r="J366" i="25" s="1"/>
  <c r="G17" i="24"/>
  <c r="F27" i="25"/>
  <c r="G28" i="25" s="1"/>
  <c r="N148" i="1"/>
  <c r="E189" i="25"/>
  <c r="E202" i="25" s="1"/>
  <c r="E192" i="25"/>
  <c r="I192" i="24"/>
  <c r="U24" i="16"/>
  <c r="U86" i="16" s="1"/>
  <c r="N166" i="1"/>
  <c r="G29" i="25"/>
  <c r="AF46" i="17"/>
  <c r="D299" i="25"/>
  <c r="F25" i="25"/>
  <c r="F10" i="12"/>
  <c r="L188" i="24"/>
  <c r="F33" i="22"/>
  <c r="I598" i="14"/>
  <c r="C494" i="14"/>
  <c r="C651" i="14"/>
  <c r="D651" i="14" s="1"/>
  <c r="E651" i="14" s="1"/>
  <c r="DT116" i="18"/>
  <c r="DF79" i="18"/>
  <c r="AD139" i="18"/>
  <c r="W93" i="16"/>
  <c r="DQ139" i="18"/>
  <c r="D28" i="25"/>
  <c r="O116" i="21"/>
  <c r="O617" i="21" s="1"/>
  <c r="E84" i="12"/>
  <c r="E85" i="12" s="1"/>
  <c r="AD30" i="17"/>
  <c r="AH50" i="17" s="1"/>
  <c r="AD81" i="17"/>
  <c r="AD70" i="17" s="1"/>
  <c r="Q86" i="18"/>
  <c r="CN86" i="18" s="1"/>
  <c r="AE80" i="18"/>
  <c r="C388" i="25"/>
  <c r="C389" i="25" s="1"/>
  <c r="C86" i="12" s="1"/>
  <c r="V226" i="16"/>
  <c r="D294" i="25"/>
  <c r="D386" i="25" s="1"/>
  <c r="D388" i="25" s="1"/>
  <c r="C32" i="31" s="1"/>
  <c r="F524" i="21"/>
  <c r="F527" i="21" s="1"/>
  <c r="F528" i="21" s="1"/>
  <c r="F529" i="21" s="1"/>
  <c r="K25" i="17"/>
  <c r="O45" i="17" s="1"/>
  <c r="G24" i="22"/>
  <c r="G29" i="22" s="1"/>
  <c r="BB92" i="18"/>
  <c r="J132" i="30" s="1"/>
  <c r="F328" i="21"/>
  <c r="F330" i="21" s="1"/>
  <c r="F37" i="21" s="1"/>
  <c r="G236" i="24"/>
  <c r="G237" i="24" s="1"/>
  <c r="BF132" i="18"/>
  <c r="O47" i="17"/>
  <c r="F301" i="21"/>
  <c r="F741" i="21" s="1"/>
  <c r="F19" i="21"/>
  <c r="F302" i="21"/>
  <c r="F742" i="21" s="1"/>
  <c r="F336" i="21"/>
  <c r="CM79" i="18"/>
  <c r="P86" i="18"/>
  <c r="P80" i="18"/>
  <c r="AJ86" i="18"/>
  <c r="AJ80" i="18"/>
  <c r="DK79" i="18"/>
  <c r="AQ139" i="18"/>
  <c r="DM139" i="18" s="1"/>
  <c r="AR131" i="18"/>
  <c r="AQ132" i="18"/>
  <c r="M345" i="25"/>
  <c r="N336" i="25"/>
  <c r="AZ80" i="18"/>
  <c r="F126" i="25"/>
  <c r="F127" i="25" s="1"/>
  <c r="F153" i="25" s="1"/>
  <c r="F157" i="25" s="1"/>
  <c r="F159" i="25" s="1"/>
  <c r="O10" i="17"/>
  <c r="AC87" i="18"/>
  <c r="AC96" i="18"/>
  <c r="AC134" i="18"/>
  <c r="DD134" i="18" s="1"/>
  <c r="N274" i="21"/>
  <c r="F716" i="21"/>
  <c r="F266" i="21"/>
  <c r="N258" i="21"/>
  <c r="F700" i="21"/>
  <c r="DM79" i="18"/>
  <c r="DE74" i="18"/>
  <c r="AZ82" i="18"/>
  <c r="G10" i="24"/>
  <c r="F202" i="24"/>
  <c r="R269" i="1"/>
  <c r="S269" i="1" s="1"/>
  <c r="F405" i="25"/>
  <c r="AK80" i="18"/>
  <c r="AK86" i="18"/>
  <c r="AL86" i="18"/>
  <c r="AL87" i="18" s="1"/>
  <c r="G25" i="25"/>
  <c r="E24" i="31"/>
  <c r="E25" i="31" s="1"/>
  <c r="E26" i="31" s="1"/>
  <c r="P136" i="21"/>
  <c r="O636" i="21"/>
  <c r="DD86" i="18"/>
  <c r="AE86" i="18"/>
  <c r="P10" i="17" s="1"/>
  <c r="P50" i="17" s="1"/>
  <c r="G226" i="24"/>
  <c r="DN79" i="18"/>
  <c r="AT80" i="18"/>
  <c r="AT82" i="18"/>
  <c r="DP79" i="18"/>
  <c r="P117" i="21"/>
  <c r="O618" i="21"/>
  <c r="R596" i="14"/>
  <c r="T25" i="17"/>
  <c r="X45" i="17" s="1"/>
  <c r="I250" i="25"/>
  <c r="I252" i="25"/>
  <c r="J252" i="25" s="1"/>
  <c r="G235" i="24"/>
  <c r="Q498" i="21"/>
  <c r="Q499" i="21" s="1"/>
  <c r="AH97" i="18"/>
  <c r="E591" i="14"/>
  <c r="E592" i="14" s="1"/>
  <c r="U118" i="16"/>
  <c r="N158" i="21"/>
  <c r="N654" i="21" s="1"/>
  <c r="H84" i="12"/>
  <c r="H85" i="12" s="1"/>
  <c r="T486" i="1"/>
  <c r="U486" i="1" s="1"/>
  <c r="G424" i="14"/>
  <c r="G425" i="14" s="1"/>
  <c r="J383" i="25"/>
  <c r="J403" i="25" s="1"/>
  <c r="I22" i="31"/>
  <c r="Y22" i="16"/>
  <c r="G274" i="24"/>
  <c r="I162" i="24"/>
  <c r="L9" i="25"/>
  <c r="AB85" i="17" s="1"/>
  <c r="H426" i="14"/>
  <c r="H217" i="24"/>
  <c r="F418" i="21"/>
  <c r="F419" i="21" s="1"/>
  <c r="AC28" i="17"/>
  <c r="AG48" i="17" s="1"/>
  <c r="AG47" i="17"/>
  <c r="EE149" i="18"/>
  <c r="K236" i="30"/>
  <c r="AJ78" i="17"/>
  <c r="DZ149" i="18"/>
  <c r="AX80" i="18"/>
  <c r="EB127" i="18"/>
  <c r="I335" i="14"/>
  <c r="J335" i="14" s="1"/>
  <c r="Y73" i="1"/>
  <c r="S73" i="1"/>
  <c r="Q273" i="1"/>
  <c r="Q313" i="1"/>
  <c r="G264" i="24"/>
  <c r="I66" i="18"/>
  <c r="I74" i="18" s="1"/>
  <c r="N328" i="21"/>
  <c r="N330" i="21" s="1"/>
  <c r="N37" i="21" s="1"/>
  <c r="T229" i="16"/>
  <c r="T230" i="16" s="1"/>
  <c r="T79" i="16"/>
  <c r="T96" i="16" s="1"/>
  <c r="T25" i="16"/>
  <c r="AL71" i="17"/>
  <c r="AL72" i="17" s="1"/>
  <c r="AL76" i="17" s="1"/>
  <c r="P466" i="1"/>
  <c r="P469" i="1"/>
  <c r="P110" i="1" s="1"/>
  <c r="G217" i="24"/>
  <c r="H432" i="14"/>
  <c r="AK71" i="17"/>
  <c r="AK72" i="17" s="1"/>
  <c r="AK76" i="17" s="1"/>
  <c r="H29" i="25"/>
  <c r="H6" i="24"/>
  <c r="W226" i="16"/>
  <c r="H24" i="22"/>
  <c r="P135" i="21"/>
  <c r="O635" i="21"/>
  <c r="O610" i="21"/>
  <c r="P108" i="21"/>
  <c r="K27" i="31"/>
  <c r="L28" i="12"/>
  <c r="L71" i="12" s="1"/>
  <c r="C513" i="14"/>
  <c r="AA9" i="16"/>
  <c r="E723" i="14"/>
  <c r="E725" i="14" s="1"/>
  <c r="L227" i="25"/>
  <c r="L149" i="25"/>
  <c r="L140" i="25"/>
  <c r="H70" i="12"/>
  <c r="Q266" i="1"/>
  <c r="Q306" i="1"/>
  <c r="R89" i="16"/>
  <c r="G220" i="24"/>
  <c r="AK51" i="17"/>
  <c r="F589" i="14"/>
  <c r="G594" i="14"/>
  <c r="F594" i="14"/>
  <c r="BF139" i="18"/>
  <c r="G223" i="24"/>
  <c r="G229" i="24" s="1"/>
  <c r="G230" i="24" s="1"/>
  <c r="Z25" i="17"/>
  <c r="AD45" i="17" s="1"/>
  <c r="R29" i="1"/>
  <c r="Q377" i="21"/>
  <c r="P116" i="21"/>
  <c r="P617" i="21" s="1"/>
  <c r="EF134" i="18"/>
  <c r="EA134" i="18"/>
  <c r="EG131" i="18"/>
  <c r="E11" i="12"/>
  <c r="E12" i="12" s="1"/>
  <c r="G233" i="24"/>
  <c r="K192" i="24"/>
  <c r="BF134" i="18"/>
  <c r="EG134" i="18" s="1"/>
  <c r="BE148" i="18"/>
  <c r="EF148" i="18" s="1"/>
  <c r="J46" i="17"/>
  <c r="J26" i="17"/>
  <c r="J25" i="17" s="1"/>
  <c r="N45" i="17" s="1"/>
  <c r="P426" i="21"/>
  <c r="P466" i="21"/>
  <c r="L126" i="1"/>
  <c r="L132" i="1"/>
  <c r="K368" i="25"/>
  <c r="J369" i="25"/>
  <c r="J371" i="25" s="1"/>
  <c r="R96" i="16"/>
  <c r="EB131" i="18"/>
  <c r="G228" i="24"/>
  <c r="C674" i="14"/>
  <c r="F29" i="22"/>
  <c r="F25" i="22"/>
  <c r="DY144" i="18"/>
  <c r="L131" i="25"/>
  <c r="ED144" i="18"/>
  <c r="J192" i="24"/>
  <c r="J193" i="24"/>
  <c r="J195" i="24" s="1"/>
  <c r="H25" i="24"/>
  <c r="L267" i="24"/>
  <c r="L208" i="24"/>
  <c r="H226" i="24"/>
  <c r="H228" i="24"/>
  <c r="H220" i="24"/>
  <c r="H233" i="24"/>
  <c r="H274" i="24"/>
  <c r="H222" i="24"/>
  <c r="H264" i="24"/>
  <c r="H223" i="24"/>
  <c r="H235" i="24"/>
  <c r="H236" i="24"/>
  <c r="H237" i="24" s="1"/>
  <c r="J142" i="24"/>
  <c r="H17" i="24"/>
  <c r="H13" i="24"/>
  <c r="H10" i="24"/>
  <c r="O26" i="17"/>
  <c r="O46" i="17"/>
  <c r="I31" i="22"/>
  <c r="I32" i="22" s="1"/>
  <c r="I23" i="25"/>
  <c r="R93" i="16"/>
  <c r="I10" i="17"/>
  <c r="I30" i="17" s="1"/>
  <c r="R79" i="20"/>
  <c r="V134" i="18"/>
  <c r="R86" i="20" s="1"/>
  <c r="V96" i="18"/>
  <c r="V87" i="18"/>
  <c r="R80" i="20" s="1"/>
  <c r="DT146" i="18"/>
  <c r="K133" i="25"/>
  <c r="DY146" i="18"/>
  <c r="H589" i="14"/>
  <c r="H594" i="14"/>
  <c r="Q270" i="1"/>
  <c r="Q310" i="1"/>
  <c r="DI96" i="18"/>
  <c r="P109" i="21"/>
  <c r="O611" i="21"/>
  <c r="AU117" i="18"/>
  <c r="AU114" i="18"/>
  <c r="L241" i="25"/>
  <c r="L247" i="25" s="1"/>
  <c r="L240" i="25"/>
  <c r="L246" i="25" s="1"/>
  <c r="M237" i="25"/>
  <c r="L243" i="25"/>
  <c r="L249" i="25" s="1"/>
  <c r="H598" i="14"/>
  <c r="H600" i="14" s="1"/>
  <c r="K9" i="25"/>
  <c r="F651" i="14"/>
  <c r="BW5" i="21"/>
  <c r="E537" i="21"/>
  <c r="H30" i="12"/>
  <c r="G74" i="12"/>
  <c r="V10" i="16" s="1"/>
  <c r="V123" i="16" s="1"/>
  <c r="CC6" i="21"/>
  <c r="CC25" i="21"/>
  <c r="D18" i="27"/>
  <c r="K177" i="25"/>
  <c r="Z110" i="16"/>
  <c r="K154" i="25"/>
  <c r="G38" i="12"/>
  <c r="F51" i="12"/>
  <c r="I37" i="20" s="1"/>
  <c r="E55" i="21"/>
  <c r="E49" i="21"/>
  <c r="E574" i="21" s="1"/>
  <c r="E573" i="21"/>
  <c r="P468" i="21"/>
  <c r="P428" i="21"/>
  <c r="AH138" i="18"/>
  <c r="AH140" i="18" s="1"/>
  <c r="AH148" i="18" s="1"/>
  <c r="P469" i="21"/>
  <c r="P429" i="21"/>
  <c r="P132" i="21"/>
  <c r="O632" i="21"/>
  <c r="R779" i="21"/>
  <c r="S776" i="21"/>
  <c r="V79" i="16"/>
  <c r="V96" i="16" s="1"/>
  <c r="V229" i="16"/>
  <c r="V230" i="16" s="1"/>
  <c r="W86" i="16"/>
  <c r="W232" i="16"/>
  <c r="W25" i="16"/>
  <c r="W26" i="16" s="1"/>
  <c r="H36" i="22"/>
  <c r="H40" i="22"/>
  <c r="H41" i="22" s="1"/>
  <c r="Q307" i="1"/>
  <c r="Q267" i="1"/>
  <c r="Q345" i="21"/>
  <c r="P53" i="21"/>
  <c r="P578" i="21" s="1"/>
  <c r="N306" i="21"/>
  <c r="O326" i="21"/>
  <c r="N220" i="25"/>
  <c r="N107" i="25" s="1"/>
  <c r="F746" i="21"/>
  <c r="F27" i="21"/>
  <c r="I336" i="14"/>
  <c r="J336" i="14" s="1"/>
  <c r="Q427" i="21"/>
  <c r="Q467" i="21"/>
  <c r="AR80" i="18"/>
  <c r="BR79" i="18"/>
  <c r="AR86" i="18"/>
  <c r="DN86" i="18" s="1"/>
  <c r="K9" i="19" s="1"/>
  <c r="P91" i="29"/>
  <c r="P245" i="21"/>
  <c r="O687" i="21"/>
  <c r="O18" i="21"/>
  <c r="AH107" i="18"/>
  <c r="AH113" i="18"/>
  <c r="BY18" i="21"/>
  <c r="CK4" i="21" s="1"/>
  <c r="CK6" i="21" s="1"/>
  <c r="N547" i="21"/>
  <c r="R462" i="21"/>
  <c r="R422" i="21"/>
  <c r="O710" i="21"/>
  <c r="P268" i="21"/>
  <c r="O23" i="21"/>
  <c r="F9" i="19"/>
  <c r="D475" i="14"/>
  <c r="W50" i="17"/>
  <c r="BY23" i="21"/>
  <c r="CK10" i="21" s="1"/>
  <c r="CK12" i="21" s="1"/>
  <c r="N787" i="21"/>
  <c r="N818" i="21"/>
  <c r="N552" i="21"/>
  <c r="F593" i="21"/>
  <c r="F182" i="21"/>
  <c r="F485" i="21"/>
  <c r="BY21" i="21"/>
  <c r="N550" i="21"/>
  <c r="P608" i="21"/>
  <c r="Q106" i="21"/>
  <c r="L8" i="24"/>
  <c r="L398" i="1"/>
  <c r="H11" i="20"/>
  <c r="R464" i="21"/>
  <c r="R424" i="21"/>
  <c r="O270" i="21"/>
  <c r="O21" i="21"/>
  <c r="P265" i="21"/>
  <c r="O272" i="21"/>
  <c r="O707" i="21"/>
  <c r="O331" i="21"/>
  <c r="O332" i="21" s="1"/>
  <c r="O328" i="21" s="1"/>
  <c r="O24" i="21"/>
  <c r="O711" i="21"/>
  <c r="P269" i="21"/>
  <c r="Q634" i="21"/>
  <c r="R134" i="21"/>
  <c r="AN80" i="18"/>
  <c r="I592" i="14"/>
  <c r="R94" i="16"/>
  <c r="BY24" i="21"/>
  <c r="N553" i="21"/>
  <c r="V118" i="16"/>
  <c r="AY119" i="18"/>
  <c r="DU119" i="18" s="1"/>
  <c r="AY118" i="18"/>
  <c r="BY22" i="21"/>
  <c r="N551" i="21"/>
  <c r="P267" i="21"/>
  <c r="O22" i="21"/>
  <c r="O709" i="21"/>
  <c r="P379" i="21"/>
  <c r="O119" i="21"/>
  <c r="O620" i="21" s="1"/>
  <c r="S370" i="1"/>
  <c r="R381" i="1"/>
  <c r="N714" i="21"/>
  <c r="N291" i="21"/>
  <c r="N732" i="21" s="1"/>
  <c r="N290" i="21"/>
  <c r="N731" i="21" s="1"/>
  <c r="N712" i="21"/>
  <c r="M91" i="29"/>
  <c r="M29" i="12" s="1"/>
  <c r="M72" i="12" s="1"/>
  <c r="M355" i="25"/>
  <c r="L365" i="25"/>
  <c r="V112" i="16"/>
  <c r="AD145" i="18"/>
  <c r="J173" i="24"/>
  <c r="K174" i="24" s="1"/>
  <c r="J216" i="24"/>
  <c r="K217" i="24" s="1"/>
  <c r="J5" i="24"/>
  <c r="K6" i="24" s="1"/>
  <c r="U111" i="1"/>
  <c r="T121" i="1"/>
  <c r="M25" i="17"/>
  <c r="Q45" i="17" s="1"/>
  <c r="Y38" i="16"/>
  <c r="J9" i="25"/>
  <c r="I107" i="31" s="1"/>
  <c r="G596" i="14"/>
  <c r="G600" i="14" s="1"/>
  <c r="AL46" i="17"/>
  <c r="K193" i="24"/>
  <c r="K195" i="24" s="1"/>
  <c r="S90" i="16"/>
  <c r="S72" i="16"/>
  <c r="S89" i="16" s="1"/>
  <c r="S77" i="16"/>
  <c r="S91" i="16" s="1"/>
  <c r="E692" i="21"/>
  <c r="E282" i="21"/>
  <c r="E724" i="21" s="1"/>
  <c r="E257" i="21"/>
  <c r="E699" i="21" s="1"/>
  <c r="E255" i="21"/>
  <c r="E697" i="21" s="1"/>
  <c r="E248" i="21"/>
  <c r="N515" i="21"/>
  <c r="N524" i="21" s="1"/>
  <c r="N527" i="21" s="1"/>
  <c r="N528" i="21" s="1"/>
  <c r="N529" i="21" s="1"/>
  <c r="O514" i="21"/>
  <c r="Y26" i="17"/>
  <c r="Y46" i="17"/>
  <c r="Q91" i="29"/>
  <c r="E386" i="25"/>
  <c r="E388" i="25" s="1"/>
  <c r="D32" i="31" s="1"/>
  <c r="W46" i="17"/>
  <c r="D29" i="25"/>
  <c r="AA86" i="16"/>
  <c r="N485" i="21"/>
  <c r="N182" i="21"/>
  <c r="N593" i="21"/>
  <c r="AJ25" i="17"/>
  <c r="AN45" i="17" s="1"/>
  <c r="AN46" i="17"/>
  <c r="J211" i="24"/>
  <c r="I211" i="24"/>
  <c r="R517" i="21"/>
  <c r="AT148" i="18"/>
  <c r="C235" i="30" s="1"/>
  <c r="C226" i="30"/>
  <c r="C231" i="30" s="1"/>
  <c r="DU140" i="18"/>
  <c r="E28" i="25"/>
  <c r="P522" i="21"/>
  <c r="O525" i="21"/>
  <c r="K24" i="22"/>
  <c r="Z226" i="16"/>
  <c r="M378" i="25"/>
  <c r="AA5" i="16"/>
  <c r="L34" i="12"/>
  <c r="L35" i="12" s="1"/>
  <c r="L380" i="25"/>
  <c r="R127" i="21"/>
  <c r="Q628" i="21"/>
  <c r="P521" i="21"/>
  <c r="O520" i="21"/>
  <c r="K222" i="24"/>
  <c r="K220" i="24"/>
  <c r="K223" i="24"/>
  <c r="O37" i="1"/>
  <c r="N19" i="1"/>
  <c r="N20" i="1"/>
  <c r="M220" i="24"/>
  <c r="N220" i="24" s="1"/>
  <c r="O220" i="24" s="1"/>
  <c r="P220" i="24" s="1"/>
  <c r="Q220" i="24" s="1"/>
  <c r="R220" i="24" s="1"/>
  <c r="S220" i="24" s="1"/>
  <c r="T220" i="24" s="1"/>
  <c r="U220" i="24" s="1"/>
  <c r="V220" i="24" s="1"/>
  <c r="W220" i="24" s="1"/>
  <c r="X220" i="24" s="1"/>
  <c r="Y220" i="24" s="1"/>
  <c r="Z220" i="24" s="1"/>
  <c r="M222" i="24"/>
  <c r="P222" i="24" s="1"/>
  <c r="Q222" i="24" s="1"/>
  <c r="R222" i="24" s="1"/>
  <c r="S222" i="24" s="1"/>
  <c r="T222" i="24" s="1"/>
  <c r="U222" i="24" s="1"/>
  <c r="V222" i="24" s="1"/>
  <c r="W222" i="24" s="1"/>
  <c r="X222" i="24" s="1"/>
  <c r="Y222" i="24" s="1"/>
  <c r="Z222" i="24" s="1"/>
  <c r="M223" i="24"/>
  <c r="M242" i="24" s="1"/>
  <c r="M244" i="24" s="1"/>
  <c r="M274" i="24"/>
  <c r="J592" i="14"/>
  <c r="K591" i="14"/>
  <c r="AB9" i="16"/>
  <c r="M28" i="12"/>
  <c r="M71" i="12" s="1"/>
  <c r="M149" i="25"/>
  <c r="M227" i="25"/>
  <c r="F723" i="14"/>
  <c r="F725" i="14" s="1"/>
  <c r="L27" i="31"/>
  <c r="M140" i="25"/>
  <c r="D513" i="14"/>
  <c r="AB226" i="16"/>
  <c r="M13" i="24"/>
  <c r="M24" i="22"/>
  <c r="O91" i="29"/>
  <c r="O29" i="12" s="1"/>
  <c r="O72" i="12" s="1"/>
  <c r="D189" i="25"/>
  <c r="D202" i="25" s="1"/>
  <c r="D192" i="25"/>
  <c r="L91" i="29"/>
  <c r="L29" i="12" s="1"/>
  <c r="L72" i="12" s="1"/>
  <c r="K82" i="12"/>
  <c r="K64" i="12" s="1"/>
  <c r="K35" i="12"/>
  <c r="D11" i="12"/>
  <c r="D12" i="12" s="1"/>
  <c r="D84" i="12"/>
  <c r="D85" i="12" s="1"/>
  <c r="L25" i="17"/>
  <c r="P45" i="17" s="1"/>
  <c r="L226" i="30"/>
  <c r="T103" i="25"/>
  <c r="S105" i="25"/>
  <c r="S112" i="25" s="1"/>
  <c r="S118" i="25" s="1"/>
  <c r="O246" i="21"/>
  <c r="O253" i="21"/>
  <c r="O695" i="21" s="1"/>
  <c r="O694" i="21"/>
  <c r="P252" i="21"/>
  <c r="S86" i="16"/>
  <c r="S232" i="16"/>
  <c r="S25" i="16"/>
  <c r="I173" i="24"/>
  <c r="I188" i="24"/>
  <c r="I5" i="24"/>
  <c r="I216" i="24"/>
  <c r="J188" i="24"/>
  <c r="R114" i="25"/>
  <c r="S115" i="25"/>
  <c r="O639" i="21"/>
  <c r="P140" i="21"/>
  <c r="M46" i="17"/>
  <c r="S367" i="1"/>
  <c r="R368" i="1"/>
  <c r="X40" i="16"/>
  <c r="F599" i="14"/>
  <c r="F600" i="14" s="1"/>
  <c r="I9" i="25"/>
  <c r="H107" i="31" s="1"/>
  <c r="O609" i="21"/>
  <c r="P107" i="21"/>
  <c r="DZ140" i="18"/>
  <c r="E199" i="24"/>
  <c r="D135" i="25"/>
  <c r="D136" i="25" s="1"/>
  <c r="N91" i="29"/>
  <c r="N29" i="12" s="1"/>
  <c r="N72" i="12" s="1"/>
  <c r="DJ74" i="18"/>
  <c r="F32" i="27"/>
  <c r="I269" i="25"/>
  <c r="J269" i="25" s="1"/>
  <c r="I42" i="25"/>
  <c r="I50" i="25"/>
  <c r="I275" i="25"/>
  <c r="J275" i="25" s="1"/>
  <c r="I225" i="25"/>
  <c r="I281" i="25"/>
  <c r="J281" i="25" s="1"/>
  <c r="I44" i="25"/>
  <c r="I36" i="25"/>
  <c r="I52" i="25"/>
  <c r="I38" i="25"/>
  <c r="I39" i="25"/>
  <c r="I272" i="25"/>
  <c r="J272" i="25" s="1"/>
  <c r="I278" i="25"/>
  <c r="J278" i="25" s="1"/>
  <c r="I284" i="25"/>
  <c r="J284" i="25" s="1"/>
  <c r="I266" i="25"/>
  <c r="J266" i="25" s="1"/>
  <c r="Q362" i="1"/>
  <c r="P363" i="1"/>
  <c r="BC139" i="18"/>
  <c r="E706" i="14"/>
  <c r="E717" i="14" s="1"/>
  <c r="C499" i="14"/>
  <c r="X30" i="17"/>
  <c r="AB50" i="17" s="1"/>
  <c r="X81" i="17"/>
  <c r="X70" i="17" s="1"/>
  <c r="X72" i="17" s="1"/>
  <c r="X76" i="17" s="1"/>
  <c r="S91" i="29"/>
  <c r="R91" i="29"/>
  <c r="U50" i="17"/>
  <c r="D9" i="19"/>
  <c r="K30" i="17"/>
  <c r="S79" i="20"/>
  <c r="J10" i="17"/>
  <c r="F20" i="27"/>
  <c r="AB112" i="16"/>
  <c r="Q179" i="25"/>
  <c r="Q143" i="25" s="1"/>
  <c r="Q169" i="25"/>
  <c r="G509" i="14"/>
  <c r="Z509" i="14" s="1"/>
  <c r="AJ50" i="17"/>
  <c r="AJ81" i="17"/>
  <c r="AJ70" i="17" s="1"/>
  <c r="AJ72" i="17" s="1"/>
  <c r="AJ76" i="17" s="1"/>
  <c r="AJ30" i="17"/>
  <c r="AN50" i="17" s="1"/>
  <c r="H30" i="17"/>
  <c r="L50" i="17" s="1"/>
  <c r="G515" i="14"/>
  <c r="J170" i="30"/>
  <c r="J195" i="30"/>
  <c r="J197" i="30" s="1"/>
  <c r="AK26" i="17"/>
  <c r="AK46" i="17"/>
  <c r="DB86" i="18"/>
  <c r="M10" i="17"/>
  <c r="W10" i="17"/>
  <c r="F8" i="19"/>
  <c r="F12" i="19" s="1"/>
  <c r="R118" i="16"/>
  <c r="S118" i="16"/>
  <c r="BD148" i="18"/>
  <c r="K226" i="30"/>
  <c r="I8" i="24"/>
  <c r="I263" i="24"/>
  <c r="K213" i="25"/>
  <c r="K211" i="25"/>
  <c r="K215" i="25" s="1"/>
  <c r="K14" i="12"/>
  <c r="J19" i="12"/>
  <c r="G294" i="25"/>
  <c r="G302" i="25"/>
  <c r="G299" i="25"/>
  <c r="G84" i="25"/>
  <c r="G78" i="25"/>
  <c r="F31" i="31"/>
  <c r="G319" i="25"/>
  <c r="V31" i="16"/>
  <c r="R16" i="16"/>
  <c r="F296" i="25"/>
  <c r="F386" i="25"/>
  <c r="F388" i="25" s="1"/>
  <c r="E32" i="31" s="1"/>
  <c r="U16" i="16"/>
  <c r="F397" i="25"/>
  <c r="D404" i="25"/>
  <c r="P46" i="17"/>
  <c r="M194" i="25"/>
  <c r="M63" i="25"/>
  <c r="BH105" i="18" s="1"/>
  <c r="P25" i="17"/>
  <c r="T45" i="17" s="1"/>
  <c r="T46" i="17"/>
  <c r="CC26" i="1"/>
  <c r="P26" i="1"/>
  <c r="O409" i="1"/>
  <c r="J25" i="20"/>
  <c r="O78" i="1"/>
  <c r="N28" i="17"/>
  <c r="R48" i="17" s="1"/>
  <c r="R47" i="17"/>
  <c r="R25" i="17"/>
  <c r="V45" i="17" s="1"/>
  <c r="V46" i="17"/>
  <c r="N79" i="1"/>
  <c r="N75" i="1" s="1"/>
  <c r="N77" i="1" s="1"/>
  <c r="G153" i="25"/>
  <c r="G157" i="25" s="1"/>
  <c r="G159" i="25" s="1"/>
  <c r="AD140" i="18"/>
  <c r="G135" i="25"/>
  <c r="V109" i="16"/>
  <c r="N102" i="1"/>
  <c r="J319" i="25"/>
  <c r="J318" i="25" s="1"/>
  <c r="I29" i="31" s="1"/>
  <c r="J84" i="25"/>
  <c r="J80" i="25"/>
  <c r="Y31" i="16"/>
  <c r="AI25" i="17"/>
  <c r="AM45" i="17" s="1"/>
  <c r="AM46" i="17"/>
  <c r="AA46" i="17"/>
  <c r="W25" i="17"/>
  <c r="AA45" i="17" s="1"/>
  <c r="J294" i="25"/>
  <c r="J301" i="25"/>
  <c r="N26" i="17"/>
  <c r="Q25" i="17"/>
  <c r="U45" i="17" s="1"/>
  <c r="U46" i="17"/>
  <c r="AJ46" i="17"/>
  <c r="AF25" i="17"/>
  <c r="AJ45" i="17" s="1"/>
  <c r="T133" i="25"/>
  <c r="K994" i="14" s="1"/>
  <c r="L23" i="27"/>
  <c r="L28" i="17"/>
  <c r="P48" i="17" s="1"/>
  <c r="P47" i="17"/>
  <c r="AA233" i="16"/>
  <c r="I153" i="24"/>
  <c r="P107" i="24"/>
  <c r="P73" i="24" s="1"/>
  <c r="I195" i="24"/>
  <c r="E203" i="24"/>
  <c r="E204" i="24"/>
  <c r="E205" i="24" s="1"/>
  <c r="O210" i="24"/>
  <c r="AO140" i="18"/>
  <c r="DP138" i="18"/>
  <c r="EE117" i="18"/>
  <c r="DZ117" i="18"/>
  <c r="BD119" i="18"/>
  <c r="BD118" i="18"/>
  <c r="AO113" i="18"/>
  <c r="DP106" i="18"/>
  <c r="AO107" i="18"/>
  <c r="EE134" i="18"/>
  <c r="DZ134" i="18"/>
  <c r="J97" i="18"/>
  <c r="G83" i="20" s="1"/>
  <c r="J106" i="18"/>
  <c r="ED4" i="18"/>
  <c r="ED55" i="18"/>
  <c r="EC171" i="18"/>
  <c r="BM4" i="18"/>
  <c r="BM55" i="18"/>
  <c r="BN2" i="18"/>
  <c r="EI2" i="18"/>
  <c r="BM137" i="18"/>
  <c r="BM166" i="18"/>
  <c r="DY99" i="18"/>
  <c r="AN87" i="18"/>
  <c r="AN134" i="18"/>
  <c r="AN96" i="18"/>
  <c r="I60" i="25" s="1"/>
  <c r="AI80" i="18"/>
  <c r="AI86" i="18"/>
  <c r="DJ86" i="18" s="1"/>
  <c r="E475" i="14" s="1"/>
  <c r="DJ79" i="18"/>
  <c r="K106" i="18"/>
  <c r="K97" i="18"/>
  <c r="H83" i="20" s="1"/>
  <c r="CG74" i="18"/>
  <c r="E79" i="18"/>
  <c r="ED101" i="18"/>
  <c r="X96" i="18"/>
  <c r="X134" i="18"/>
  <c r="X87" i="18"/>
  <c r="CY86" i="18"/>
  <c r="Z156" i="18"/>
  <c r="Z118" i="18"/>
  <c r="Z119" i="18"/>
  <c r="F79" i="18"/>
  <c r="CH74" i="18"/>
  <c r="AM134" i="18"/>
  <c r="DI134" i="18" s="1"/>
  <c r="AM96" i="18"/>
  <c r="AM87" i="18"/>
  <c r="U138" i="18"/>
  <c r="U140" i="18" s="1"/>
  <c r="CV96" i="18"/>
  <c r="U97" i="18"/>
  <c r="Q83" i="20" s="1"/>
  <c r="U106" i="18"/>
  <c r="EC96" i="18"/>
  <c r="BB106" i="18"/>
  <c r="BB138" i="18"/>
  <c r="J224" i="30" s="1"/>
  <c r="DX96" i="18"/>
  <c r="J171" i="30" s="1"/>
  <c r="BB97" i="18"/>
  <c r="J172" i="30" s="1"/>
  <c r="CV134" i="18"/>
  <c r="DO74" i="18"/>
  <c r="AS79" i="18"/>
  <c r="DT74" i="18"/>
  <c r="BG118" i="18"/>
  <c r="BG119" i="18"/>
  <c r="EH119" i="18" s="1"/>
  <c r="Y79" i="18"/>
  <c r="CZ79" i="18" s="1"/>
  <c r="CU74" i="18"/>
  <c r="AA96" i="18"/>
  <c r="AA134" i="18"/>
  <c r="AB156" i="18"/>
  <c r="AA87" i="18"/>
  <c r="AA156" i="18"/>
  <c r="CW86" i="18"/>
  <c r="AC156" i="18"/>
  <c r="AP80" i="18"/>
  <c r="DL79" i="18"/>
  <c r="AP86" i="18"/>
  <c r="DQ79" i="18"/>
  <c r="AZ114" i="18"/>
  <c r="AZ117" i="18"/>
  <c r="DV113" i="18"/>
  <c r="EA113" i="18"/>
  <c r="DQ70" i="18"/>
  <c r="DL70" i="18"/>
  <c r="DU95" i="18"/>
  <c r="DP95" i="18"/>
  <c r="AF138" i="18"/>
  <c r="AF97" i="18"/>
  <c r="DG96" i="18"/>
  <c r="AF106" i="18"/>
  <c r="DW138" i="18"/>
  <c r="EB138" i="18"/>
  <c r="BA140" i="18"/>
  <c r="I226" i="30" s="1"/>
  <c r="EC79" i="18"/>
  <c r="BG80" i="18"/>
  <c r="BG82" i="18"/>
  <c r="H275" i="30" s="1"/>
  <c r="H283" i="30" s="1"/>
  <c r="AD80" i="18"/>
  <c r="AD86" i="18"/>
  <c r="DE79" i="18"/>
  <c r="BA107" i="18"/>
  <c r="EB106" i="18"/>
  <c r="BA113" i="18"/>
  <c r="DW106" i="18"/>
  <c r="M117" i="18"/>
  <c r="M114" i="18"/>
  <c r="L114" i="18"/>
  <c r="CI113" i="18"/>
  <c r="L117" i="18"/>
  <c r="W134" i="18"/>
  <c r="S86" i="20" s="1"/>
  <c r="W96" i="18"/>
  <c r="S82" i="20" s="1"/>
  <c r="CX86" i="18"/>
  <c r="W87" i="18"/>
  <c r="S80" i="20" s="1"/>
  <c r="CZ74" i="18"/>
  <c r="CP79" i="18"/>
  <c r="S80" i="18"/>
  <c r="S86" i="18"/>
  <c r="BB103" i="18"/>
  <c r="EC102" i="18"/>
  <c r="BC102" i="18"/>
  <c r="D947" i="14" l="1"/>
  <c r="M391" i="24"/>
  <c r="E932" i="14"/>
  <c r="N7" i="25"/>
  <c r="BM64" i="18" s="1"/>
  <c r="BL64" i="18" s="1"/>
  <c r="EH64" i="18" s="1"/>
  <c r="N351" i="24"/>
  <c r="E910" i="14" s="1"/>
  <c r="E955" i="14" s="1"/>
  <c r="EG82" i="18"/>
  <c r="EB82" i="18"/>
  <c r="AE30" i="17"/>
  <c r="AI50" i="17" s="1"/>
  <c r="R275" i="30"/>
  <c r="N471" i="1"/>
  <c r="G276" i="30"/>
  <c r="K284" i="30" s="1"/>
  <c r="M275" i="30"/>
  <c r="AB107" i="18"/>
  <c r="G283" i="30"/>
  <c r="G203" i="24"/>
  <c r="G199" i="24"/>
  <c r="EG139" i="18"/>
  <c r="M225" i="30"/>
  <c r="L231" i="30"/>
  <c r="C993" i="14"/>
  <c r="AB91" i="17"/>
  <c r="O42" i="1"/>
  <c r="AK25" i="17"/>
  <c r="AO45" i="17" s="1"/>
  <c r="AO46" i="17"/>
  <c r="BO50" i="18"/>
  <c r="G869" i="14"/>
  <c r="D977" i="14"/>
  <c r="K141" i="24"/>
  <c r="L141" i="24"/>
  <c r="Q144" i="25"/>
  <c r="H1000" i="14" s="1"/>
  <c r="O468" i="1"/>
  <c r="O471" i="1" s="1"/>
  <c r="D1001" i="14"/>
  <c r="M583" i="14"/>
  <c r="DY100" i="18"/>
  <c r="P280" i="24"/>
  <c r="F932" i="14"/>
  <c r="EF82" i="18"/>
  <c r="F275" i="30"/>
  <c r="J283" i="30" s="1"/>
  <c r="N275" i="30"/>
  <c r="S275" i="30"/>
  <c r="H276" i="30"/>
  <c r="H284" i="30" s="1"/>
  <c r="N184" i="24"/>
  <c r="T275" i="30"/>
  <c r="O275" i="30"/>
  <c r="E276" i="30"/>
  <c r="I284" i="30" s="1"/>
  <c r="R250" i="24"/>
  <c r="AH51" i="17"/>
  <c r="L46" i="17"/>
  <c r="AH71" i="17"/>
  <c r="AH72" i="17" s="1"/>
  <c r="AH76" i="17" s="1"/>
  <c r="P403" i="1"/>
  <c r="ED139" i="18"/>
  <c r="Q18" i="1"/>
  <c r="CE18" i="1" s="1"/>
  <c r="CQ4" i="1" s="1"/>
  <c r="CQ6" i="1" s="1"/>
  <c r="DR134" i="18"/>
  <c r="P181" i="25"/>
  <c r="O477" i="1"/>
  <c r="K107" i="31"/>
  <c r="C984" i="14"/>
  <c r="AA112" i="16"/>
  <c r="L160" i="25"/>
  <c r="C992" i="14"/>
  <c r="L155" i="25"/>
  <c r="C989" i="14"/>
  <c r="DW134" i="18"/>
  <c r="P207" i="24"/>
  <c r="F880" i="14"/>
  <c r="T278" i="24"/>
  <c r="H1266" i="14" s="1"/>
  <c r="K918" i="14"/>
  <c r="O68" i="1"/>
  <c r="J143" i="30"/>
  <c r="J920" i="14"/>
  <c r="N406" i="1"/>
  <c r="N40" i="1"/>
  <c r="N60" i="1" s="1"/>
  <c r="N66" i="1" s="1"/>
  <c r="N69" i="1" s="1"/>
  <c r="N70" i="1" s="1"/>
  <c r="N90" i="1" s="1"/>
  <c r="N417" i="1" s="1"/>
  <c r="I22" i="20"/>
  <c r="N45" i="1"/>
  <c r="CB23" i="1"/>
  <c r="Q161" i="24"/>
  <c r="Q920" i="14"/>
  <c r="U133" i="24"/>
  <c r="U134" i="24" s="1"/>
  <c r="L917" i="14"/>
  <c r="L819" i="14"/>
  <c r="L820" i="14" s="1"/>
  <c r="U286" i="24"/>
  <c r="DY127" i="18"/>
  <c r="BC134" i="18"/>
  <c r="ED127" i="18"/>
  <c r="ED131" i="18"/>
  <c r="BC128" i="18"/>
  <c r="O45" i="1"/>
  <c r="J22" i="20"/>
  <c r="P50" i="1"/>
  <c r="P52" i="1" s="1"/>
  <c r="P100" i="1" s="1"/>
  <c r="P425" i="1" s="1"/>
  <c r="O40" i="1"/>
  <c r="O60" i="1" s="1"/>
  <c r="O66" i="1" s="1"/>
  <c r="CC21" i="1"/>
  <c r="CO7" i="1" s="1"/>
  <c r="CO9" i="1" s="1"/>
  <c r="O41" i="1"/>
  <c r="P21" i="1"/>
  <c r="P83" i="1" s="1"/>
  <c r="O406" i="1"/>
  <c r="O44" i="1"/>
  <c r="O83" i="1"/>
  <c r="O404" i="1"/>
  <c r="K19" i="20"/>
  <c r="J20" i="20"/>
  <c r="R268" i="1"/>
  <c r="S308" i="1" s="1"/>
  <c r="Q255" i="1"/>
  <c r="Q171" i="1" s="1"/>
  <c r="DQ95" i="18"/>
  <c r="AZ148" i="18"/>
  <c r="EA148" i="18" s="1"/>
  <c r="Q110" i="21"/>
  <c r="R110" i="21" s="1"/>
  <c r="U92" i="1"/>
  <c r="U419" i="1" s="1"/>
  <c r="AU148" i="18"/>
  <c r="D235" i="30" s="1"/>
  <c r="S419" i="1"/>
  <c r="D169" i="30"/>
  <c r="Q425" i="21"/>
  <c r="R425" i="21" s="1"/>
  <c r="DV140" i="18"/>
  <c r="EA140" i="18"/>
  <c r="O387" i="25"/>
  <c r="O406" i="25" s="1"/>
  <c r="R180" i="25"/>
  <c r="P256" i="1"/>
  <c r="P166" i="1" s="1"/>
  <c r="AV117" i="18"/>
  <c r="DW117" i="18" s="1"/>
  <c r="Z30" i="17"/>
  <c r="AD50" i="17" s="1"/>
  <c r="R50" i="17"/>
  <c r="O148" i="1"/>
  <c r="S463" i="21"/>
  <c r="S272" i="1"/>
  <c r="T312" i="1" s="1"/>
  <c r="EB95" i="18"/>
  <c r="O262" i="1"/>
  <c r="O263" i="1" s="1"/>
  <c r="R312" i="1"/>
  <c r="AW134" i="18"/>
  <c r="DX134" i="18" s="1"/>
  <c r="M36" i="25"/>
  <c r="M39" i="25"/>
  <c r="AB45" i="16" s="1"/>
  <c r="U346" i="1"/>
  <c r="U347" i="1" s="1"/>
  <c r="AX82" i="18"/>
  <c r="AL134" i="18"/>
  <c r="DH134" i="18" s="1"/>
  <c r="M135" i="25"/>
  <c r="M38" i="25"/>
  <c r="S347" i="1"/>
  <c r="R235" i="16"/>
  <c r="T105" i="25"/>
  <c r="T112" i="25" s="1"/>
  <c r="T118" i="25" s="1"/>
  <c r="U103" i="25"/>
  <c r="C527" i="14"/>
  <c r="L6" i="29"/>
  <c r="D527" i="14"/>
  <c r="M6" i="29"/>
  <c r="K27" i="22"/>
  <c r="K29" i="22" s="1"/>
  <c r="J202" i="24"/>
  <c r="L263" i="24"/>
  <c r="K12" i="25"/>
  <c r="J21" i="31" s="1"/>
  <c r="M23" i="27"/>
  <c r="U133" i="25"/>
  <c r="L994" i="14" s="1"/>
  <c r="L375" i="11"/>
  <c r="AW139" i="18"/>
  <c r="F225" i="30" s="1"/>
  <c r="F581" i="14"/>
  <c r="G36" i="22"/>
  <c r="F36" i="22"/>
  <c r="G581" i="14"/>
  <c r="G25" i="22"/>
  <c r="I74" i="24"/>
  <c r="I91" i="24" s="1"/>
  <c r="H581" i="14"/>
  <c r="I202" i="24"/>
  <c r="I204" i="24" s="1"/>
  <c r="E581" i="14"/>
  <c r="D92" i="24"/>
  <c r="V224" i="16"/>
  <c r="V63" i="16"/>
  <c r="G89" i="24"/>
  <c r="G91" i="24"/>
  <c r="G80" i="24"/>
  <c r="K74" i="24"/>
  <c r="E92" i="24"/>
  <c r="H74" i="24"/>
  <c r="F80" i="24"/>
  <c r="F89" i="24"/>
  <c r="F91" i="24"/>
  <c r="F92" i="24" s="1"/>
  <c r="U63" i="16"/>
  <c r="U224" i="16"/>
  <c r="EI64" i="18"/>
  <c r="AB109" i="16"/>
  <c r="F189" i="25"/>
  <c r="F202" i="25" s="1"/>
  <c r="N133" i="21"/>
  <c r="N633" i="21" s="1"/>
  <c r="R26" i="16"/>
  <c r="AV95" i="18"/>
  <c r="E169" i="30" s="1"/>
  <c r="AV93" i="18"/>
  <c r="M153" i="25"/>
  <c r="M157" i="25" s="1"/>
  <c r="M159" i="25" s="1"/>
  <c r="F196" i="30"/>
  <c r="F197" i="30" s="1"/>
  <c r="F224" i="30"/>
  <c r="AX87" i="18"/>
  <c r="CS86" i="18"/>
  <c r="M174" i="24"/>
  <c r="F111" i="21"/>
  <c r="F613" i="21" s="1"/>
  <c r="AX131" i="18"/>
  <c r="K273" i="24" s="1"/>
  <c r="H603" i="14" s="1"/>
  <c r="H605" i="14" s="1"/>
  <c r="CQ96" i="18"/>
  <c r="Q591" i="14"/>
  <c r="CO86" i="18"/>
  <c r="DY89" i="18"/>
  <c r="DX131" i="18"/>
  <c r="DY86" i="18"/>
  <c r="D296" i="25"/>
  <c r="K258" i="24"/>
  <c r="L259" i="24" s="1"/>
  <c r="DT90" i="18"/>
  <c r="R497" i="1"/>
  <c r="S497" i="1" s="1"/>
  <c r="R408" i="1"/>
  <c r="R462" i="1"/>
  <c r="R464" i="1" s="1"/>
  <c r="R469" i="1" s="1"/>
  <c r="R110" i="1" s="1"/>
  <c r="L348" i="11"/>
  <c r="AW132" i="18"/>
  <c r="F198" i="30" s="1"/>
  <c r="R530" i="1"/>
  <c r="S530" i="1" s="1"/>
  <c r="H28" i="24"/>
  <c r="H29" i="24" s="1"/>
  <c r="L9" i="24"/>
  <c r="K264" i="24"/>
  <c r="M256" i="24"/>
  <c r="L257" i="24"/>
  <c r="I194" i="24"/>
  <c r="H195" i="24"/>
  <c r="H196" i="24" s="1"/>
  <c r="K257" i="24"/>
  <c r="E168" i="30"/>
  <c r="K266" i="24"/>
  <c r="L271" i="21"/>
  <c r="DW92" i="18"/>
  <c r="I138" i="30" s="1"/>
  <c r="K86" i="20"/>
  <c r="Q466" i="1"/>
  <c r="Q468" i="1" s="1"/>
  <c r="Q471" i="1" s="1"/>
  <c r="CL134" i="18"/>
  <c r="F254" i="21"/>
  <c r="AV32" i="21" s="1"/>
  <c r="G33" i="22"/>
  <c r="EC92" i="18"/>
  <c r="AW113" i="18"/>
  <c r="AW114" i="18" s="1"/>
  <c r="L353" i="11"/>
  <c r="AW102" i="18"/>
  <c r="DX102" i="18" s="1"/>
  <c r="H25" i="22"/>
  <c r="AL96" i="18"/>
  <c r="AL97" i="18" s="1"/>
  <c r="AX101" i="18"/>
  <c r="DT101" i="18" s="1"/>
  <c r="DW139" i="18"/>
  <c r="P407" i="1"/>
  <c r="K23" i="20"/>
  <c r="U232" i="16"/>
  <c r="U235" i="16" s="1"/>
  <c r="E19" i="27"/>
  <c r="L249" i="21"/>
  <c r="L254" i="21" s="1"/>
  <c r="AA111" i="16"/>
  <c r="D652" i="14"/>
  <c r="E652" i="14" s="1"/>
  <c r="L264" i="24"/>
  <c r="U25" i="16"/>
  <c r="U26" i="16" s="1"/>
  <c r="AV103" i="18"/>
  <c r="F691" i="21"/>
  <c r="BC82" i="18"/>
  <c r="CD24" i="1"/>
  <c r="AV140" i="18"/>
  <c r="E226" i="30" s="1"/>
  <c r="E231" i="30" s="1"/>
  <c r="F341" i="21"/>
  <c r="F46" i="21" s="1"/>
  <c r="F571" i="21" s="1"/>
  <c r="F281" i="21"/>
  <c r="F723" i="21" s="1"/>
  <c r="L360" i="11"/>
  <c r="AD51" i="17"/>
  <c r="AD71" i="17"/>
  <c r="AD72" i="17" s="1"/>
  <c r="AD76" i="17" s="1"/>
  <c r="BC92" i="18"/>
  <c r="Q24" i="1"/>
  <c r="BB93" i="18"/>
  <c r="DA86" i="18"/>
  <c r="G118" i="18"/>
  <c r="CT86" i="18"/>
  <c r="F10" i="17"/>
  <c r="F30" i="17" s="1"/>
  <c r="J50" i="17" s="1"/>
  <c r="N278" i="21"/>
  <c r="N720" i="21" s="1"/>
  <c r="M79" i="20"/>
  <c r="AB114" i="18"/>
  <c r="CL96" i="18"/>
  <c r="N247" i="21"/>
  <c r="N689" i="21" s="1"/>
  <c r="O106" i="18"/>
  <c r="O113" i="18" s="1"/>
  <c r="F250" i="21"/>
  <c r="F257" i="21" s="1"/>
  <c r="F699" i="21" s="1"/>
  <c r="CJ113" i="18"/>
  <c r="O97" i="18"/>
  <c r="K83" i="20" s="1"/>
  <c r="F592" i="14"/>
  <c r="F689" i="21"/>
  <c r="O330" i="21"/>
  <c r="O37" i="21" s="1"/>
  <c r="O562" i="21" s="1"/>
  <c r="N419" i="21"/>
  <c r="N249" i="21"/>
  <c r="N256" i="21" s="1"/>
  <c r="N698" i="21" s="1"/>
  <c r="AW92" i="18"/>
  <c r="AW93" i="18" s="1"/>
  <c r="AX91" i="18"/>
  <c r="K260" i="24" s="1"/>
  <c r="K261" i="24" s="1"/>
  <c r="H114" i="18"/>
  <c r="O50" i="17"/>
  <c r="DX91" i="18"/>
  <c r="J137" i="30" s="1"/>
  <c r="O138" i="18"/>
  <c r="O140" i="18" s="1"/>
  <c r="Q96" i="18"/>
  <c r="M82" i="20" s="1"/>
  <c r="G10" i="17"/>
  <c r="G30" i="17" s="1"/>
  <c r="K50" i="17" s="1"/>
  <c r="E9" i="19"/>
  <c r="V50" i="17"/>
  <c r="C475" i="14"/>
  <c r="R134" i="18"/>
  <c r="CO134" i="18" s="1"/>
  <c r="Q87" i="18"/>
  <c r="M80" i="20" s="1"/>
  <c r="N79" i="20"/>
  <c r="DU82" i="18"/>
  <c r="AG106" i="18"/>
  <c r="DC96" i="18"/>
  <c r="DH96" i="18"/>
  <c r="AG138" i="18"/>
  <c r="AG140" i="18" s="1"/>
  <c r="AG148" i="18" s="1"/>
  <c r="AG97" i="18"/>
  <c r="EB134" i="18"/>
  <c r="R87" i="18"/>
  <c r="N80" i="20" s="1"/>
  <c r="DR139" i="18"/>
  <c r="Q134" i="18"/>
  <c r="CS134" i="18" s="1"/>
  <c r="N106" i="18"/>
  <c r="N113" i="18" s="1"/>
  <c r="AE156" i="18"/>
  <c r="F256" i="21"/>
  <c r="F698" i="21" s="1"/>
  <c r="H76" i="12"/>
  <c r="I76" i="12" s="1"/>
  <c r="I27" i="12" s="1"/>
  <c r="DM86" i="18"/>
  <c r="J9" i="19" s="1"/>
  <c r="J194" i="24"/>
  <c r="H47" i="24"/>
  <c r="AE87" i="18"/>
  <c r="N701" i="21"/>
  <c r="O259" i="21"/>
  <c r="AE96" i="18"/>
  <c r="AE106" i="18" s="1"/>
  <c r="BB95" i="18"/>
  <c r="J169" i="30" s="1"/>
  <c r="AE134" i="18"/>
  <c r="DA134" i="18" s="1"/>
  <c r="V94" i="16"/>
  <c r="O133" i="21"/>
  <c r="O137" i="21" s="1"/>
  <c r="O637" i="21" s="1"/>
  <c r="F203" i="24"/>
  <c r="C91" i="12"/>
  <c r="F204" i="24"/>
  <c r="F205" i="24" s="1"/>
  <c r="Q631" i="21"/>
  <c r="R131" i="21"/>
  <c r="R32" i="16"/>
  <c r="E8" i="19"/>
  <c r="E12" i="19" s="1"/>
  <c r="T489" i="1"/>
  <c r="L273" i="21"/>
  <c r="Q311" i="1"/>
  <c r="Q314" i="1" s="1"/>
  <c r="Q271" i="1"/>
  <c r="Q274" i="1" s="1"/>
  <c r="X12" i="16"/>
  <c r="I70" i="12"/>
  <c r="DF86" i="18"/>
  <c r="T50" i="17" s="1"/>
  <c r="J168" i="30"/>
  <c r="O262" i="21"/>
  <c r="N704" i="21"/>
  <c r="C402" i="25"/>
  <c r="C407" i="25" s="1"/>
  <c r="C89" i="12" s="1"/>
  <c r="C50" i="12" s="1"/>
  <c r="V10" i="17"/>
  <c r="V30" i="17" s="1"/>
  <c r="Z50" i="17" s="1"/>
  <c r="G426" i="14"/>
  <c r="BF140" i="18"/>
  <c r="R498" i="21"/>
  <c r="R499" i="21" s="1"/>
  <c r="O183" i="24"/>
  <c r="P81" i="17"/>
  <c r="G431" i="14"/>
  <c r="G432" i="14" s="1"/>
  <c r="J373" i="25"/>
  <c r="I5" i="22" s="1"/>
  <c r="I6" i="22" s="1"/>
  <c r="F10" i="22" s="1"/>
  <c r="O333" i="1"/>
  <c r="O447" i="1"/>
  <c r="L6" i="24"/>
  <c r="L217" i="24"/>
  <c r="P333" i="1"/>
  <c r="P447" i="1"/>
  <c r="S309" i="1"/>
  <c r="N716" i="21"/>
  <c r="O274" i="21"/>
  <c r="N266" i="21"/>
  <c r="E740" i="21"/>
  <c r="E313" i="21"/>
  <c r="E316" i="21" s="1"/>
  <c r="L34" i="25"/>
  <c r="L36" i="25" s="1"/>
  <c r="K252" i="25"/>
  <c r="L252" i="25" s="1"/>
  <c r="M252" i="25" s="1"/>
  <c r="N252" i="25" s="1"/>
  <c r="J251" i="25"/>
  <c r="E5" i="27"/>
  <c r="F6" i="27" s="1"/>
  <c r="DV82" i="18"/>
  <c r="EB139" i="18"/>
  <c r="P618" i="21"/>
  <c r="Q117" i="21"/>
  <c r="AK96" i="18"/>
  <c r="AK134" i="18"/>
  <c r="DG134" i="18" s="1"/>
  <c r="AK87" i="18"/>
  <c r="D8" i="19"/>
  <c r="D12" i="19" s="1"/>
  <c r="U10" i="17"/>
  <c r="Q30" i="17" s="1"/>
  <c r="L79" i="20"/>
  <c r="E10" i="17"/>
  <c r="E30" i="17" s="1"/>
  <c r="I50" i="17" s="1"/>
  <c r="P134" i="18"/>
  <c r="CR134" i="18" s="1"/>
  <c r="P96" i="18"/>
  <c r="P87" i="18"/>
  <c r="L80" i="20" s="1"/>
  <c r="CM86" i="18"/>
  <c r="R143" i="21"/>
  <c r="R642" i="21" s="1"/>
  <c r="S385" i="21"/>
  <c r="L235" i="30"/>
  <c r="P304" i="1"/>
  <c r="AA225" i="16"/>
  <c r="AC138" i="18"/>
  <c r="AC140" i="18" s="1"/>
  <c r="AC148" i="18" s="1"/>
  <c r="AC106" i="18"/>
  <c r="DD96" i="18"/>
  <c r="AC97" i="18"/>
  <c r="AA42" i="16"/>
  <c r="R114" i="16"/>
  <c r="EA82" i="18"/>
  <c r="N5" i="19"/>
  <c r="F135" i="25"/>
  <c r="F136" i="25" s="1"/>
  <c r="H202" i="24"/>
  <c r="H199" i="24"/>
  <c r="C496" i="14"/>
  <c r="E698" i="14"/>
  <c r="AA20" i="16"/>
  <c r="O30" i="17"/>
  <c r="S50" i="17" s="1"/>
  <c r="O81" i="17"/>
  <c r="BX19" i="21"/>
  <c r="CJ7" i="21" s="1"/>
  <c r="CJ9" i="21" s="1"/>
  <c r="F548" i="21"/>
  <c r="AA226" i="16"/>
  <c r="L24" i="22"/>
  <c r="L33" i="22" s="1"/>
  <c r="L13" i="24"/>
  <c r="L222" i="24"/>
  <c r="L223" i="24"/>
  <c r="L274" i="24"/>
  <c r="L220" i="24"/>
  <c r="N345" i="25"/>
  <c r="O336" i="25"/>
  <c r="O345" i="25" s="1"/>
  <c r="Q598" i="14"/>
  <c r="O598" i="14"/>
  <c r="I600" i="14"/>
  <c r="F28" i="25"/>
  <c r="F29" i="25"/>
  <c r="AS131" i="18"/>
  <c r="AR132" i="18"/>
  <c r="AR139" i="18"/>
  <c r="M10" i="25"/>
  <c r="D883" i="14" s="1"/>
  <c r="C653" i="14"/>
  <c r="F84" i="12"/>
  <c r="F85" i="12" s="1"/>
  <c r="F11" i="12"/>
  <c r="Q136" i="21"/>
  <c r="P636" i="21"/>
  <c r="L25" i="25"/>
  <c r="P470" i="21"/>
  <c r="P460" i="21" s="1"/>
  <c r="H601" i="14"/>
  <c r="K20" i="31"/>
  <c r="J337" i="14"/>
  <c r="C339" i="14" s="1"/>
  <c r="C340" i="14" s="1"/>
  <c r="C341" i="14" s="1"/>
  <c r="C343" i="14" s="1"/>
  <c r="O258" i="21"/>
  <c r="O249" i="21" s="1"/>
  <c r="O256" i="21" s="1"/>
  <c r="O698" i="21" s="1"/>
  <c r="N700" i="21"/>
  <c r="F562" i="21"/>
  <c r="F94" i="21"/>
  <c r="L347" i="25"/>
  <c r="K358" i="25"/>
  <c r="K366" i="25" s="1"/>
  <c r="K356" i="25"/>
  <c r="CR86" i="18"/>
  <c r="F708" i="21"/>
  <c r="F299" i="21"/>
  <c r="AJ87" i="18"/>
  <c r="AJ96" i="18"/>
  <c r="AJ134" i="18"/>
  <c r="DK134" i="18" s="1"/>
  <c r="DK86" i="18"/>
  <c r="C8" i="19"/>
  <c r="C12" i="19" s="1"/>
  <c r="T10" i="17"/>
  <c r="O818" i="21"/>
  <c r="T73" i="1"/>
  <c r="S29" i="1"/>
  <c r="T91" i="16"/>
  <c r="AA27" i="16"/>
  <c r="AA119" i="16" s="1"/>
  <c r="AA118" i="16" s="1"/>
  <c r="AA237" i="16"/>
  <c r="CW134" i="18"/>
  <c r="R313" i="1"/>
  <c r="R273" i="1"/>
  <c r="C516" i="14"/>
  <c r="V513" i="14"/>
  <c r="V512" i="14" s="1"/>
  <c r="V235" i="16"/>
  <c r="P468" i="1"/>
  <c r="P471" i="1" s="1"/>
  <c r="P93" i="1"/>
  <c r="I128" i="18"/>
  <c r="CK66" i="18"/>
  <c r="O419" i="21"/>
  <c r="L84" i="29"/>
  <c r="L85" i="29" s="1"/>
  <c r="L86" i="29" s="1"/>
  <c r="E710" i="14"/>
  <c r="E720" i="14" s="1"/>
  <c r="E721" i="14" s="1"/>
  <c r="L214" i="25"/>
  <c r="L417" i="25"/>
  <c r="C500" i="14"/>
  <c r="L7" i="29" s="1"/>
  <c r="E22" i="27"/>
  <c r="Q116" i="21"/>
  <c r="Q617" i="21" s="1"/>
  <c r="R377" i="21"/>
  <c r="Q108" i="21"/>
  <c r="P610" i="21"/>
  <c r="T109" i="16"/>
  <c r="T114" i="16" s="1"/>
  <c r="T26" i="16"/>
  <c r="Q466" i="21"/>
  <c r="Q426" i="21"/>
  <c r="T90" i="16"/>
  <c r="T89" i="16"/>
  <c r="T94" i="16"/>
  <c r="T93" i="16"/>
  <c r="N94" i="21"/>
  <c r="N562" i="21"/>
  <c r="O220" i="25"/>
  <c r="O107" i="25" s="1"/>
  <c r="T235" i="16"/>
  <c r="L133" i="1"/>
  <c r="L136" i="1"/>
  <c r="L137" i="1" s="1"/>
  <c r="H33" i="22"/>
  <c r="H29" i="22"/>
  <c r="N301" i="21"/>
  <c r="N741" i="21" s="1"/>
  <c r="N703" i="21"/>
  <c r="N19" i="21"/>
  <c r="N302" i="21"/>
  <c r="N742" i="21" s="1"/>
  <c r="N263" i="21"/>
  <c r="N705" i="21" s="1"/>
  <c r="N46" i="17"/>
  <c r="O68" i="21"/>
  <c r="O460" i="21"/>
  <c r="N271" i="21"/>
  <c r="N713" i="21" s="1"/>
  <c r="R55" i="1"/>
  <c r="R412" i="1"/>
  <c r="P430" i="21"/>
  <c r="P412" i="21" s="1"/>
  <c r="P133" i="21" s="1"/>
  <c r="L368" i="25"/>
  <c r="K369" i="25"/>
  <c r="K371" i="25" s="1"/>
  <c r="Q135" i="21"/>
  <c r="P635" i="21"/>
  <c r="R266" i="1"/>
  <c r="R306" i="1"/>
  <c r="N273" i="21"/>
  <c r="N715" i="21" s="1"/>
  <c r="I25" i="24"/>
  <c r="I28" i="24" s="1"/>
  <c r="H139" i="24"/>
  <c r="H229" i="24"/>
  <c r="H230" i="24" s="1"/>
  <c r="K194" i="24"/>
  <c r="AU118" i="18"/>
  <c r="AU119" i="18"/>
  <c r="Q428" i="21"/>
  <c r="Q468" i="21"/>
  <c r="D23" i="27"/>
  <c r="Z115" i="16"/>
  <c r="Q109" i="21"/>
  <c r="P611" i="21"/>
  <c r="H74" i="12"/>
  <c r="W10" i="16" s="1"/>
  <c r="W123" i="16" s="1"/>
  <c r="I30" i="12"/>
  <c r="V97" i="18"/>
  <c r="R83" i="20" s="1"/>
  <c r="V106" i="18"/>
  <c r="R82" i="20"/>
  <c r="V138" i="18"/>
  <c r="V140" i="18" s="1"/>
  <c r="E580" i="21"/>
  <c r="E483" i="21"/>
  <c r="E56" i="21"/>
  <c r="E581" i="21" s="1"/>
  <c r="E6" i="21"/>
  <c r="E415" i="21"/>
  <c r="E416" i="21" s="1"/>
  <c r="E15" i="21" s="1"/>
  <c r="BW15" i="21" s="1"/>
  <c r="E59" i="21"/>
  <c r="J20" i="31"/>
  <c r="Z42" i="16"/>
  <c r="K34" i="25"/>
  <c r="D5" i="27"/>
  <c r="M5" i="19"/>
  <c r="Z225" i="16"/>
  <c r="Z20" i="16"/>
  <c r="L10" i="25"/>
  <c r="D698" i="14"/>
  <c r="J107" i="31"/>
  <c r="F653" i="14"/>
  <c r="R310" i="1"/>
  <c r="R270" i="1"/>
  <c r="I24" i="25"/>
  <c r="I10" i="12"/>
  <c r="I126" i="25"/>
  <c r="H109" i="31"/>
  <c r="X24" i="16"/>
  <c r="I405" i="25"/>
  <c r="I188" i="25"/>
  <c r="H24" i="31"/>
  <c r="Q132" i="21"/>
  <c r="P632" i="21"/>
  <c r="H38" i="12"/>
  <c r="G51" i="12"/>
  <c r="J37" i="20" s="1"/>
  <c r="Q469" i="21"/>
  <c r="Q429" i="21"/>
  <c r="M241" i="25"/>
  <c r="M247" i="25" s="1"/>
  <c r="N237" i="25"/>
  <c r="O237" i="25" s="1"/>
  <c r="S46" i="17"/>
  <c r="O25" i="17"/>
  <c r="S45" i="17" s="1"/>
  <c r="Q268" i="21"/>
  <c r="P23" i="21"/>
  <c r="P710" i="21"/>
  <c r="N746" i="21"/>
  <c r="N27" i="21"/>
  <c r="BT86" i="18"/>
  <c r="H470" i="14" s="1"/>
  <c r="K8" i="19"/>
  <c r="K12" i="19" s="1"/>
  <c r="AR134" i="18"/>
  <c r="DN134" i="18" s="1"/>
  <c r="AR82" i="18"/>
  <c r="BR86" i="18"/>
  <c r="F470" i="14" s="1"/>
  <c r="AA10" i="17"/>
  <c r="AR92" i="18"/>
  <c r="AR93" i="18" s="1"/>
  <c r="AR87" i="18"/>
  <c r="AV156" i="18"/>
  <c r="E241" i="30" s="1"/>
  <c r="DS86" i="18"/>
  <c r="Q53" i="21"/>
  <c r="Q578" i="21" s="1"/>
  <c r="R345" i="21"/>
  <c r="R307" i="1"/>
  <c r="R267" i="1"/>
  <c r="S462" i="21"/>
  <c r="S422" i="21"/>
  <c r="R427" i="21"/>
  <c r="R467" i="21"/>
  <c r="F675" i="21"/>
  <c r="F184" i="21"/>
  <c r="F677" i="21" s="1"/>
  <c r="W233" i="16"/>
  <c r="W235" i="16"/>
  <c r="W96" i="16"/>
  <c r="W94" i="16"/>
  <c r="N754" i="21"/>
  <c r="N756" i="21" s="1"/>
  <c r="O787" i="21"/>
  <c r="AH117" i="18"/>
  <c r="AH114" i="18"/>
  <c r="BX27" i="21"/>
  <c r="CJ16" i="21" s="1"/>
  <c r="CJ18" i="21" s="1"/>
  <c r="F556" i="21"/>
  <c r="V91" i="16"/>
  <c r="V93" i="16"/>
  <c r="V90" i="16"/>
  <c r="V89" i="16"/>
  <c r="BZ18" i="21"/>
  <c r="CL4" i="21" s="1"/>
  <c r="CL6" i="21" s="1"/>
  <c r="O547" i="21"/>
  <c r="T776" i="21"/>
  <c r="S779" i="21"/>
  <c r="P687" i="21"/>
  <c r="P18" i="21"/>
  <c r="P547" i="21" s="1"/>
  <c r="Q245" i="21"/>
  <c r="O552" i="21"/>
  <c r="BZ23" i="21"/>
  <c r="CL10" i="21" s="1"/>
  <c r="CL12" i="21" s="1"/>
  <c r="O306" i="21"/>
  <c r="P326" i="21"/>
  <c r="BZ22" i="21"/>
  <c r="O551" i="21"/>
  <c r="S134" i="21"/>
  <c r="R634" i="21"/>
  <c r="P709" i="21"/>
  <c r="Q267" i="21"/>
  <c r="P22" i="21"/>
  <c r="P551" i="21" s="1"/>
  <c r="Q269" i="21"/>
  <c r="P711" i="21"/>
  <c r="P24" i="21"/>
  <c r="P553" i="21" s="1"/>
  <c r="P331" i="21"/>
  <c r="L15" i="24"/>
  <c r="L17" i="24" s="1"/>
  <c r="L27" i="22"/>
  <c r="L12" i="25"/>
  <c r="AB86" i="17" s="1"/>
  <c r="L10" i="24"/>
  <c r="DU148" i="18"/>
  <c r="O553" i="21"/>
  <c r="BZ24" i="21"/>
  <c r="Q608" i="21"/>
  <c r="R106" i="21"/>
  <c r="T370" i="1"/>
  <c r="S381" i="1"/>
  <c r="O714" i="21"/>
  <c r="O291" i="21"/>
  <c r="O732" i="21" s="1"/>
  <c r="Q379" i="21"/>
  <c r="P119" i="21"/>
  <c r="P620" i="21" s="1"/>
  <c r="P321" i="21"/>
  <c r="P270" i="21"/>
  <c r="Q265" i="21"/>
  <c r="P272" i="21"/>
  <c r="P707" i="21"/>
  <c r="P21" i="21"/>
  <c r="P550" i="21" s="1"/>
  <c r="O550" i="21"/>
  <c r="BZ21" i="21"/>
  <c r="O290" i="21"/>
  <c r="O731" i="21" s="1"/>
  <c r="O712" i="21"/>
  <c r="S464" i="21"/>
  <c r="S424" i="21"/>
  <c r="M365" i="25"/>
  <c r="N355" i="25"/>
  <c r="DB134" i="18"/>
  <c r="V111" i="1"/>
  <c r="U121" i="1"/>
  <c r="Y226" i="16"/>
  <c r="J24" i="22"/>
  <c r="K25" i="22" s="1"/>
  <c r="Y25" i="17"/>
  <c r="AC45" i="17" s="1"/>
  <c r="AC46" i="17"/>
  <c r="V486" i="1"/>
  <c r="U489" i="1"/>
  <c r="J228" i="24"/>
  <c r="K228" i="24" s="1"/>
  <c r="J223" i="24"/>
  <c r="J220" i="24"/>
  <c r="J235" i="24"/>
  <c r="K235" i="24" s="1"/>
  <c r="J222" i="24"/>
  <c r="J233" i="24"/>
  <c r="K233" i="24" s="1"/>
  <c r="J226" i="24"/>
  <c r="K226" i="24" s="1"/>
  <c r="P514" i="21"/>
  <c r="O515" i="21"/>
  <c r="O524" i="21" s="1"/>
  <c r="O527" i="21" s="1"/>
  <c r="O528" i="21" s="1"/>
  <c r="O529" i="21" s="1"/>
  <c r="H515" i="14"/>
  <c r="Y42" i="16"/>
  <c r="L5" i="19"/>
  <c r="C698" i="14"/>
  <c r="Y225" i="16"/>
  <c r="J34" i="25"/>
  <c r="J271" i="25" s="1"/>
  <c r="J97" i="25" s="1"/>
  <c r="C461" i="14"/>
  <c r="C462" i="14" s="1"/>
  <c r="C463" i="14" s="1"/>
  <c r="Y20" i="16"/>
  <c r="K10" i="25"/>
  <c r="M6" i="19" s="1"/>
  <c r="I20" i="31"/>
  <c r="C5" i="27"/>
  <c r="E690" i="21"/>
  <c r="E297" i="21"/>
  <c r="E738" i="21" s="1"/>
  <c r="E280" i="21"/>
  <c r="E722" i="21" s="1"/>
  <c r="E295" i="21"/>
  <c r="E736" i="21" s="1"/>
  <c r="G5" i="19"/>
  <c r="J10" i="25"/>
  <c r="L6" i="19" s="1"/>
  <c r="X42" i="16"/>
  <c r="H20" i="31"/>
  <c r="I10" i="25"/>
  <c r="G6" i="19" s="1"/>
  <c r="X20" i="16"/>
  <c r="I25" i="25"/>
  <c r="X225" i="16"/>
  <c r="R628" i="21"/>
  <c r="S127" i="21"/>
  <c r="K242" i="24"/>
  <c r="K246" i="24"/>
  <c r="K248" i="24" s="1"/>
  <c r="N675" i="21"/>
  <c r="N184" i="21"/>
  <c r="N677" i="21" s="1"/>
  <c r="K272" i="25"/>
  <c r="P639" i="21"/>
  <c r="Q140" i="21"/>
  <c r="I24" i="22"/>
  <c r="I6" i="24"/>
  <c r="X226" i="16"/>
  <c r="I13" i="24"/>
  <c r="J6" i="24"/>
  <c r="K592" i="14"/>
  <c r="L591" i="14"/>
  <c r="X45" i="16"/>
  <c r="I46" i="25"/>
  <c r="I47" i="25" s="1"/>
  <c r="T423" i="21"/>
  <c r="T463" i="21"/>
  <c r="T367" i="1"/>
  <c r="S368" i="1"/>
  <c r="S109" i="16"/>
  <c r="S114" i="16" s="1"/>
  <c r="S26" i="16"/>
  <c r="M33" i="22"/>
  <c r="R362" i="1"/>
  <c r="Q363" i="1"/>
  <c r="S96" i="16"/>
  <c r="S94" i="16"/>
  <c r="N36" i="1"/>
  <c r="N43" i="1"/>
  <c r="U94" i="16"/>
  <c r="U96" i="16"/>
  <c r="K269" i="25"/>
  <c r="I274" i="24"/>
  <c r="I217" i="24"/>
  <c r="I233" i="24"/>
  <c r="I220" i="24"/>
  <c r="I222" i="24"/>
  <c r="I226" i="24"/>
  <c r="I235" i="24"/>
  <c r="J217" i="24"/>
  <c r="I223" i="24"/>
  <c r="I228" i="24"/>
  <c r="I264" i="24"/>
  <c r="T115" i="25"/>
  <c r="S114" i="25"/>
  <c r="K281" i="25"/>
  <c r="P246" i="21"/>
  <c r="P694" i="21"/>
  <c r="P253" i="21"/>
  <c r="P695" i="21" s="1"/>
  <c r="Q252" i="21"/>
  <c r="O19" i="1"/>
  <c r="P37" i="1"/>
  <c r="O20" i="1"/>
  <c r="AA6" i="16"/>
  <c r="K278" i="25"/>
  <c r="I236" i="24"/>
  <c r="I237" i="24" s="1"/>
  <c r="S233" i="16"/>
  <c r="S235" i="16"/>
  <c r="D511" i="14"/>
  <c r="D516" i="14"/>
  <c r="L82" i="12"/>
  <c r="L64" i="12" s="1"/>
  <c r="K284" i="25"/>
  <c r="F601" i="14"/>
  <c r="G601" i="14"/>
  <c r="I174" i="24"/>
  <c r="J174" i="24"/>
  <c r="AB27" i="16"/>
  <c r="AB119" i="16" s="1"/>
  <c r="AB237" i="16"/>
  <c r="T32" i="16"/>
  <c r="K275" i="25"/>
  <c r="Q107" i="21"/>
  <c r="P609" i="21"/>
  <c r="P520" i="21"/>
  <c r="Q521" i="21"/>
  <c r="K266" i="25"/>
  <c r="F41" i="22"/>
  <c r="G41" i="22"/>
  <c r="O278" i="21"/>
  <c r="O720" i="21" s="1"/>
  <c r="O247" i="21"/>
  <c r="O688" i="21"/>
  <c r="M380" i="25"/>
  <c r="N378" i="25"/>
  <c r="AB5" i="16"/>
  <c r="M34" i="12"/>
  <c r="M35" i="12" s="1"/>
  <c r="Q522" i="21"/>
  <c r="P525" i="21"/>
  <c r="S517" i="21"/>
  <c r="E402" i="25"/>
  <c r="E407" i="25" s="1"/>
  <c r="D33" i="31" s="1"/>
  <c r="E389" i="25"/>
  <c r="E86" i="12" s="1"/>
  <c r="T17" i="16" s="1"/>
  <c r="K231" i="30"/>
  <c r="Y10" i="17"/>
  <c r="I8" i="19"/>
  <c r="I12" i="19" s="1"/>
  <c r="E91" i="12"/>
  <c r="K235" i="30"/>
  <c r="EE148" i="18"/>
  <c r="DZ148" i="18"/>
  <c r="L14" i="12"/>
  <c r="K19" i="12"/>
  <c r="W30" i="17"/>
  <c r="W81" i="17"/>
  <c r="W70" i="17" s="1"/>
  <c r="W72" i="17" s="1"/>
  <c r="W76" i="17" s="1"/>
  <c r="S30" i="17"/>
  <c r="AE51" i="17"/>
  <c r="AE71" i="17"/>
  <c r="AE72" i="17" s="1"/>
  <c r="AE76" i="17" s="1"/>
  <c r="AE31" i="17"/>
  <c r="AI51" i="17" s="1"/>
  <c r="M30" i="17"/>
  <c r="Q50" i="17" s="1"/>
  <c r="M50" i="17"/>
  <c r="R17" i="16"/>
  <c r="L213" i="25"/>
  <c r="L211" i="25"/>
  <c r="I125" i="25"/>
  <c r="I64" i="25"/>
  <c r="I17" i="25"/>
  <c r="I416" i="25" s="1"/>
  <c r="I418" i="25" s="1"/>
  <c r="H108" i="31" s="1"/>
  <c r="I61" i="25"/>
  <c r="R179" i="25"/>
  <c r="R143" i="25" s="1"/>
  <c r="R169" i="25"/>
  <c r="H509" i="14"/>
  <c r="AA509" i="14" s="1"/>
  <c r="J30" i="17"/>
  <c r="N50" i="17" s="1"/>
  <c r="T269" i="1"/>
  <c r="T309" i="1"/>
  <c r="I12" i="25"/>
  <c r="I27" i="22"/>
  <c r="I15" i="24"/>
  <c r="I9" i="24"/>
  <c r="I10" i="24"/>
  <c r="I231" i="30"/>
  <c r="C49" i="12"/>
  <c r="V16" i="16"/>
  <c r="G397" i="25"/>
  <c r="G386" i="25"/>
  <c r="G388" i="25" s="1"/>
  <c r="G296" i="25"/>
  <c r="D389" i="25"/>
  <c r="D91" i="12"/>
  <c r="S32" i="16"/>
  <c r="D402" i="25"/>
  <c r="D407" i="25" s="1"/>
  <c r="C33" i="31" s="1"/>
  <c r="F402" i="25"/>
  <c r="F407" i="25" s="1"/>
  <c r="E33" i="31" s="1"/>
  <c r="F389" i="25"/>
  <c r="U32" i="16"/>
  <c r="F91" i="12"/>
  <c r="AD148" i="18"/>
  <c r="V114" i="16"/>
  <c r="G136" i="25"/>
  <c r="AD149" i="18" s="1"/>
  <c r="K25" i="20"/>
  <c r="P78" i="1"/>
  <c r="P79" i="1" s="1"/>
  <c r="P75" i="1" s="1"/>
  <c r="P77" i="1" s="1"/>
  <c r="Q26" i="1"/>
  <c r="P409" i="1"/>
  <c r="CD26" i="1"/>
  <c r="N91" i="1"/>
  <c r="N418" i="1" s="1"/>
  <c r="M260" i="25"/>
  <c r="M69" i="25" s="1"/>
  <c r="AB76" i="16"/>
  <c r="M94" i="25"/>
  <c r="M222" i="25"/>
  <c r="O79" i="1"/>
  <c r="O75" i="1" s="1"/>
  <c r="O77" i="1" s="1"/>
  <c r="J397" i="25"/>
  <c r="Y16" i="16"/>
  <c r="J116" i="25"/>
  <c r="J114" i="25" s="1"/>
  <c r="Y29" i="16"/>
  <c r="ED105" i="18"/>
  <c r="BH106" i="18"/>
  <c r="N25" i="17"/>
  <c r="R45" i="17" s="1"/>
  <c r="R46" i="17"/>
  <c r="J298" i="25"/>
  <c r="J299" i="25" s="1"/>
  <c r="J386" i="25"/>
  <c r="S408" i="1"/>
  <c r="T25" i="1"/>
  <c r="S462" i="1"/>
  <c r="S464" i="1" s="1"/>
  <c r="Q107" i="24"/>
  <c r="Q73" i="24" s="1"/>
  <c r="P210" i="24"/>
  <c r="J22" i="24"/>
  <c r="J153" i="24"/>
  <c r="I155" i="24"/>
  <c r="I156" i="24" s="1"/>
  <c r="J196" i="24"/>
  <c r="K196" i="24"/>
  <c r="AI134" i="18"/>
  <c r="DJ134" i="18" s="1"/>
  <c r="AI87" i="18"/>
  <c r="AI96" i="18"/>
  <c r="J113" i="18"/>
  <c r="J107" i="18"/>
  <c r="EC82" i="18"/>
  <c r="EI4" i="18"/>
  <c r="EI55" i="18"/>
  <c r="BN166" i="18"/>
  <c r="EJ2" i="18"/>
  <c r="BN137" i="18"/>
  <c r="BN55" i="18"/>
  <c r="BN4" i="18"/>
  <c r="BO2" i="18"/>
  <c r="AO117" i="18"/>
  <c r="AO114" i="18"/>
  <c r="DP113" i="18"/>
  <c r="K107" i="18"/>
  <c r="K113" i="18"/>
  <c r="H118" i="18"/>
  <c r="H119" i="18"/>
  <c r="DZ119" i="18"/>
  <c r="EE119" i="18"/>
  <c r="AN106" i="18"/>
  <c r="AN97" i="18"/>
  <c r="AO148" i="18"/>
  <c r="DP148" i="18" s="1"/>
  <c r="DP140" i="18"/>
  <c r="E86" i="18"/>
  <c r="C79" i="20" s="1"/>
  <c r="CG79" i="18"/>
  <c r="E80" i="18"/>
  <c r="CX134" i="18"/>
  <c r="CO96" i="18"/>
  <c r="R106" i="18"/>
  <c r="R97" i="18"/>
  <c r="N83" i="20" s="1"/>
  <c r="R138" i="18"/>
  <c r="R140" i="18" s="1"/>
  <c r="AF107" i="18"/>
  <c r="AF113" i="18"/>
  <c r="AA97" i="18"/>
  <c r="CW96" i="18"/>
  <c r="AA106" i="18"/>
  <c r="DB106" i="18" s="1"/>
  <c r="AA138" i="18"/>
  <c r="AA140" i="18" s="1"/>
  <c r="AA148" i="18" s="1"/>
  <c r="DX106" i="18"/>
  <c r="BB107" i="18"/>
  <c r="BB113" i="18"/>
  <c r="EC106" i="18"/>
  <c r="EB113" i="18"/>
  <c r="BA117" i="18"/>
  <c r="BA114" i="18"/>
  <c r="DW113" i="18"/>
  <c r="AS80" i="18"/>
  <c r="DO79" i="18"/>
  <c r="AS86" i="18"/>
  <c r="J262" i="24" s="1"/>
  <c r="DT79" i="18"/>
  <c r="AM97" i="18"/>
  <c r="AM138" i="18"/>
  <c r="AM106" i="18"/>
  <c r="I79" i="18"/>
  <c r="CK74" i="18"/>
  <c r="CV106" i="18"/>
  <c r="U107" i="18"/>
  <c r="U113" i="18"/>
  <c r="CH79" i="18"/>
  <c r="F86" i="18"/>
  <c r="D79" i="20" s="1"/>
  <c r="F80" i="18"/>
  <c r="AF140" i="18"/>
  <c r="AP87" i="18"/>
  <c r="DQ86" i="18"/>
  <c r="AP82" i="18"/>
  <c r="AP92" i="18"/>
  <c r="AP93" i="18" s="1"/>
  <c r="AP134" i="18"/>
  <c r="DL86" i="18"/>
  <c r="AP96" i="18"/>
  <c r="DB96" i="18"/>
  <c r="Y86" i="18"/>
  <c r="Y80" i="18"/>
  <c r="CU79" i="18"/>
  <c r="CX96" i="18"/>
  <c r="W106" i="18"/>
  <c r="W97" i="18"/>
  <c r="S83" i="20" s="1"/>
  <c r="W138" i="18"/>
  <c r="W140" i="18" s="1"/>
  <c r="ED102" i="18"/>
  <c r="AD96" i="18"/>
  <c r="AD134" i="18"/>
  <c r="DE86" i="18"/>
  <c r="AD87" i="18"/>
  <c r="AG156" i="18"/>
  <c r="AH156" i="18"/>
  <c r="AF156" i="18"/>
  <c r="AZ118" i="18"/>
  <c r="AZ119" i="18"/>
  <c r="DV117" i="18"/>
  <c r="EA117" i="18"/>
  <c r="X138" i="18"/>
  <c r="X140" i="18" s="1"/>
  <c r="CT96" i="18"/>
  <c r="X106" i="18"/>
  <c r="X97" i="18"/>
  <c r="CY96" i="18"/>
  <c r="CI117" i="18"/>
  <c r="L118" i="18"/>
  <c r="L119" i="18"/>
  <c r="CI119" i="18" s="1"/>
  <c r="DC117" i="18"/>
  <c r="AB118" i="18"/>
  <c r="AB119" i="18"/>
  <c r="CY134" i="18"/>
  <c r="BA148" i="18"/>
  <c r="I235" i="30" s="1"/>
  <c r="S87" i="18"/>
  <c r="CP86" i="18"/>
  <c r="S96" i="18"/>
  <c r="S134" i="18"/>
  <c r="CP134" i="18" s="1"/>
  <c r="M118" i="18"/>
  <c r="CJ117" i="18"/>
  <c r="M119" i="18"/>
  <c r="DX138" i="18"/>
  <c r="EC138" i="18"/>
  <c r="BB140" i="18"/>
  <c r="J226" i="30" s="1"/>
  <c r="H869" i="14" l="1"/>
  <c r="H962" i="14"/>
  <c r="E494" i="14"/>
  <c r="O7" i="25"/>
  <c r="F494" i="14" s="1"/>
  <c r="O351" i="24"/>
  <c r="F910" i="14" s="1"/>
  <c r="F955" i="14" s="1"/>
  <c r="R276" i="30"/>
  <c r="M276" i="30"/>
  <c r="G284" i="30"/>
  <c r="V92" i="1"/>
  <c r="W92" i="1" s="1"/>
  <c r="W419" i="1" s="1"/>
  <c r="EG140" i="18"/>
  <c r="M226" i="30"/>
  <c r="M231" i="30" s="1"/>
  <c r="C986" i="14"/>
  <c r="C1002" i="14" s="1"/>
  <c r="AB88" i="17"/>
  <c r="AB92" i="17" s="1"/>
  <c r="H235" i="30"/>
  <c r="R144" i="25"/>
  <c r="I1000" i="14" s="1"/>
  <c r="O102" i="1"/>
  <c r="N67" i="1"/>
  <c r="L19" i="20"/>
  <c r="R18" i="1"/>
  <c r="R21" i="1" s="1"/>
  <c r="R41" i="1" s="1"/>
  <c r="DE16" i="1"/>
  <c r="Q403" i="1"/>
  <c r="Q21" i="1"/>
  <c r="Q83" i="1" s="1"/>
  <c r="Q50" i="1"/>
  <c r="Q52" i="1" s="1"/>
  <c r="Q100" i="1" s="1"/>
  <c r="Q425" i="1" s="1"/>
  <c r="Q280" i="24"/>
  <c r="G932" i="14"/>
  <c r="K202" i="24"/>
  <c r="K203" i="24" s="1"/>
  <c r="O67" i="1"/>
  <c r="P23" i="1"/>
  <c r="CD23" i="1" s="1"/>
  <c r="S276" i="30"/>
  <c r="N276" i="30"/>
  <c r="T276" i="30"/>
  <c r="O276" i="30"/>
  <c r="U275" i="30"/>
  <c r="P275" i="30"/>
  <c r="F276" i="30"/>
  <c r="J284" i="30" s="1"/>
  <c r="DV148" i="18"/>
  <c r="N6" i="19"/>
  <c r="C883" i="14"/>
  <c r="S250" i="24"/>
  <c r="P184" i="25"/>
  <c r="P129" i="25" s="1"/>
  <c r="P154" i="25"/>
  <c r="AL106" i="18"/>
  <c r="AL113" i="18" s="1"/>
  <c r="F24" i="27"/>
  <c r="D996" i="14"/>
  <c r="P42" i="1"/>
  <c r="O69" i="1"/>
  <c r="O70" i="1" s="1"/>
  <c r="O72" i="1" s="1"/>
  <c r="G880" i="14"/>
  <c r="Q612" i="21"/>
  <c r="P183" i="24"/>
  <c r="AV119" i="18"/>
  <c r="U278" i="24"/>
  <c r="I1266" i="14" s="1"/>
  <c r="L918" i="14"/>
  <c r="V133" i="24"/>
  <c r="V134" i="24" s="1"/>
  <c r="M917" i="14"/>
  <c r="M819" i="14"/>
  <c r="M820" i="14" s="1"/>
  <c r="V286" i="24"/>
  <c r="Q207" i="24"/>
  <c r="AV118" i="18"/>
  <c r="N28" i="1"/>
  <c r="CB28" i="1" s="1"/>
  <c r="CN13" i="1" s="1"/>
  <c r="CN15" i="1" s="1"/>
  <c r="O28" i="1"/>
  <c r="O411" i="1" s="1"/>
  <c r="T272" i="1"/>
  <c r="U272" i="1" s="1"/>
  <c r="V312" i="1" s="1"/>
  <c r="R161" i="24"/>
  <c r="N583" i="14"/>
  <c r="K920" i="14"/>
  <c r="CD21" i="1"/>
  <c r="CP7" i="1" s="1"/>
  <c r="CP9" i="1" s="1"/>
  <c r="P404" i="1"/>
  <c r="P44" i="1"/>
  <c r="P477" i="1"/>
  <c r="K20" i="20"/>
  <c r="L28" i="22"/>
  <c r="P41" i="1"/>
  <c r="R465" i="21"/>
  <c r="DR95" i="18"/>
  <c r="Q256" i="1"/>
  <c r="Q262" i="1" s="1"/>
  <c r="V81" i="17"/>
  <c r="V70" i="17" s="1"/>
  <c r="V72" i="17" s="1"/>
  <c r="V76" i="17" s="1"/>
  <c r="R255" i="1"/>
  <c r="R171" i="1" s="1"/>
  <c r="AW140" i="18"/>
  <c r="F226" i="30" s="1"/>
  <c r="S268" i="1"/>
  <c r="T308" i="1" s="1"/>
  <c r="DX139" i="18"/>
  <c r="M136" i="25"/>
  <c r="N137" i="21"/>
  <c r="N637" i="21" s="1"/>
  <c r="P148" i="1"/>
  <c r="P262" i="1"/>
  <c r="P263" i="1" s="1"/>
  <c r="S183" i="25"/>
  <c r="F132" i="30"/>
  <c r="DY82" i="18"/>
  <c r="AW117" i="18"/>
  <c r="AW119" i="18" s="1"/>
  <c r="DM134" i="18"/>
  <c r="DW95" i="18"/>
  <c r="AX139" i="18"/>
  <c r="DY139" i="18" s="1"/>
  <c r="F282" i="21"/>
  <c r="F724" i="21" s="1"/>
  <c r="DX92" i="18"/>
  <c r="J138" i="30" s="1"/>
  <c r="AW95" i="18"/>
  <c r="DS95" i="18" s="1"/>
  <c r="AL138" i="18"/>
  <c r="AL140" i="18" s="1"/>
  <c r="AX132" i="18"/>
  <c r="V346" i="1"/>
  <c r="V347" i="1" s="1"/>
  <c r="K199" i="24"/>
  <c r="F168" i="30"/>
  <c r="DY101" i="18"/>
  <c r="BH148" i="18"/>
  <c r="AB114" i="16"/>
  <c r="D702" i="14"/>
  <c r="K139" i="25"/>
  <c r="K14" i="25"/>
  <c r="K9" i="12"/>
  <c r="K83" i="12" s="1"/>
  <c r="T114" i="25"/>
  <c r="U115" i="25"/>
  <c r="V103" i="25"/>
  <c r="U105" i="25"/>
  <c r="U112" i="25" s="1"/>
  <c r="U118" i="25" s="1"/>
  <c r="K382" i="25"/>
  <c r="K141" i="25"/>
  <c r="Z21" i="16"/>
  <c r="Z79" i="16" s="1"/>
  <c r="M8" i="19"/>
  <c r="K56" i="25"/>
  <c r="K228" i="25" s="1"/>
  <c r="L13" i="25"/>
  <c r="N9" i="19" s="1"/>
  <c r="X224" i="16"/>
  <c r="D8" i="27"/>
  <c r="D28" i="27" s="1"/>
  <c r="K259" i="24"/>
  <c r="V133" i="25"/>
  <c r="EK146" i="18"/>
  <c r="X63" i="16"/>
  <c r="R466" i="1"/>
  <c r="R93" i="1" s="1"/>
  <c r="Y93" i="1" s="1"/>
  <c r="F202" i="21"/>
  <c r="F203" i="21" s="1"/>
  <c r="J199" i="24"/>
  <c r="K274" i="24"/>
  <c r="I89" i="24"/>
  <c r="K267" i="24"/>
  <c r="C408" i="25"/>
  <c r="G92" i="24"/>
  <c r="J74" i="24"/>
  <c r="I199" i="24"/>
  <c r="Z63" i="16"/>
  <c r="Z224" i="16"/>
  <c r="K91" i="24"/>
  <c r="W63" i="16"/>
  <c r="H89" i="24"/>
  <c r="H80" i="24"/>
  <c r="W224" i="16"/>
  <c r="H91" i="24"/>
  <c r="I80" i="24"/>
  <c r="U233" i="16"/>
  <c r="DF96" i="18"/>
  <c r="F692" i="21"/>
  <c r="F255" i="21"/>
  <c r="F697" i="21" s="1"/>
  <c r="AX92" i="18"/>
  <c r="AX93" i="18" s="1"/>
  <c r="DY131" i="18"/>
  <c r="DY91" i="18"/>
  <c r="P30" i="17"/>
  <c r="DT91" i="18"/>
  <c r="R33" i="16"/>
  <c r="R236" i="16" s="1"/>
  <c r="AX134" i="18"/>
  <c r="DY134" i="18" s="1"/>
  <c r="R30" i="17"/>
  <c r="D662" i="14"/>
  <c r="M257" i="24"/>
  <c r="S498" i="21"/>
  <c r="S499" i="21" s="1"/>
  <c r="F696" i="21"/>
  <c r="CL106" i="18"/>
  <c r="Q93" i="1"/>
  <c r="BH89" i="18"/>
  <c r="ED89" i="18" s="1"/>
  <c r="M86" i="20"/>
  <c r="I29" i="24"/>
  <c r="K12" i="24"/>
  <c r="K13" i="24" s="1"/>
  <c r="L261" i="24"/>
  <c r="I196" i="24"/>
  <c r="K268" i="24"/>
  <c r="U109" i="16"/>
  <c r="AX102" i="18"/>
  <c r="DT102" i="18" s="1"/>
  <c r="P68" i="21"/>
  <c r="P593" i="21" s="1"/>
  <c r="AW103" i="18"/>
  <c r="CT134" i="18"/>
  <c r="J76" i="12"/>
  <c r="J27" i="12" s="1"/>
  <c r="H27" i="12"/>
  <c r="W13" i="16" s="1"/>
  <c r="N86" i="20"/>
  <c r="N254" i="21"/>
  <c r="N696" i="21" s="1"/>
  <c r="H475" i="14"/>
  <c r="CE24" i="1"/>
  <c r="R24" i="1"/>
  <c r="Q407" i="1"/>
  <c r="L23" i="20"/>
  <c r="AE138" i="18"/>
  <c r="AE140" i="18" s="1"/>
  <c r="AE148" i="18" s="1"/>
  <c r="N296" i="21"/>
  <c r="N737" i="21" s="1"/>
  <c r="O633" i="21"/>
  <c r="N250" i="21"/>
  <c r="N257" i="21" s="1"/>
  <c r="N699" i="21" s="1"/>
  <c r="DW140" i="18"/>
  <c r="C9" i="19"/>
  <c r="N341" i="21"/>
  <c r="N46" i="21" s="1"/>
  <c r="N571" i="21" s="1"/>
  <c r="P102" i="1"/>
  <c r="AV148" i="18"/>
  <c r="E235" i="30" s="1"/>
  <c r="N279" i="21"/>
  <c r="N721" i="21" s="1"/>
  <c r="CN134" i="18"/>
  <c r="F248" i="21"/>
  <c r="F295" i="21" s="1"/>
  <c r="F736" i="21" s="1"/>
  <c r="CQ106" i="18"/>
  <c r="O107" i="18"/>
  <c r="Q97" i="18"/>
  <c r="M83" i="20" s="1"/>
  <c r="CS96" i="18"/>
  <c r="Q106" i="18"/>
  <c r="Q113" i="18" s="1"/>
  <c r="O94" i="21"/>
  <c r="AG107" i="18"/>
  <c r="AG113" i="18"/>
  <c r="DC106" i="18"/>
  <c r="CN96" i="18"/>
  <c r="N107" i="18"/>
  <c r="N691" i="21"/>
  <c r="EC95" i="18"/>
  <c r="Q138" i="18"/>
  <c r="Q140" i="18" s="1"/>
  <c r="BN64" i="18"/>
  <c r="EJ64" i="18" s="1"/>
  <c r="AE97" i="18"/>
  <c r="G50" i="17"/>
  <c r="DA96" i="18"/>
  <c r="BF148" i="18"/>
  <c r="N281" i="21"/>
  <c r="N723" i="21" s="1"/>
  <c r="Q130" i="1"/>
  <c r="Q333" i="1" s="1"/>
  <c r="Q304" i="1"/>
  <c r="J31" i="12"/>
  <c r="Y12" i="16" s="1"/>
  <c r="Z12" i="16" s="1"/>
  <c r="AA12" i="16" s="1"/>
  <c r="AB12" i="16" s="1"/>
  <c r="AC12" i="16" s="1"/>
  <c r="AD12" i="16" s="1"/>
  <c r="R271" i="1"/>
  <c r="R274" i="1" s="1"/>
  <c r="R311" i="1"/>
  <c r="R314" i="1" s="1"/>
  <c r="R130" i="1" s="1"/>
  <c r="R333" i="1" s="1"/>
  <c r="G433" i="14"/>
  <c r="EB140" i="18"/>
  <c r="G205" i="24"/>
  <c r="O704" i="21"/>
  <c r="P262" i="21"/>
  <c r="O261" i="21"/>
  <c r="DS134" i="18"/>
  <c r="O701" i="21"/>
  <c r="P259" i="21"/>
  <c r="O184" i="24"/>
  <c r="R631" i="21"/>
  <c r="S131" i="21"/>
  <c r="K373" i="25"/>
  <c r="K31" i="12" s="1"/>
  <c r="K70" i="12" s="1"/>
  <c r="DF134" i="18"/>
  <c r="Q636" i="21"/>
  <c r="R136" i="21"/>
  <c r="L82" i="20"/>
  <c r="P138" i="18"/>
  <c r="P140" i="18" s="1"/>
  <c r="P97" i="18"/>
  <c r="L83" i="20" s="1"/>
  <c r="P106" i="18"/>
  <c r="CM96" i="18"/>
  <c r="P418" i="21"/>
  <c r="P419" i="21" s="1"/>
  <c r="CR96" i="18"/>
  <c r="BR139" i="18"/>
  <c r="DN139" i="18"/>
  <c r="AS139" i="18"/>
  <c r="DO139" i="18" s="1"/>
  <c r="O716" i="21"/>
  <c r="P274" i="21"/>
  <c r="O266" i="21"/>
  <c r="E6" i="27"/>
  <c r="P258" i="21"/>
  <c r="P249" i="21" s="1"/>
  <c r="O700" i="21"/>
  <c r="J273" i="24"/>
  <c r="AS132" i="18"/>
  <c r="R612" i="21"/>
  <c r="S110" i="21"/>
  <c r="T30" i="17"/>
  <c r="X50" i="17" s="1"/>
  <c r="T81" i="17"/>
  <c r="T70" i="17" s="1"/>
  <c r="T72" i="17" s="1"/>
  <c r="T76" i="17" s="1"/>
  <c r="Q618" i="21"/>
  <c r="R117" i="21"/>
  <c r="AB118" i="16"/>
  <c r="CM134" i="18"/>
  <c r="L86" i="20"/>
  <c r="M25" i="22"/>
  <c r="AC107" i="18"/>
  <c r="AC113" i="18"/>
  <c r="DD106" i="18"/>
  <c r="AK97" i="18"/>
  <c r="AK138" i="18"/>
  <c r="AK106" i="18"/>
  <c r="H9" i="19"/>
  <c r="F475" i="14"/>
  <c r="Q600" i="14"/>
  <c r="R600" i="14"/>
  <c r="I601" i="14"/>
  <c r="I203" i="24"/>
  <c r="H203" i="24"/>
  <c r="H204" i="24"/>
  <c r="U81" i="17"/>
  <c r="U70" i="17" s="1"/>
  <c r="U72" i="17" s="1"/>
  <c r="U76" i="17" s="1"/>
  <c r="U30" i="17"/>
  <c r="Y50" i="17" s="1"/>
  <c r="AS82" i="18"/>
  <c r="Q470" i="21"/>
  <c r="Q68" i="21" s="1"/>
  <c r="R598" i="14"/>
  <c r="O599" i="14"/>
  <c r="R599" i="14" s="1"/>
  <c r="F740" i="21"/>
  <c r="F313" i="21"/>
  <c r="J250" i="25"/>
  <c r="J257" i="25"/>
  <c r="F12" i="12"/>
  <c r="Q102" i="15"/>
  <c r="E125" i="15" s="1"/>
  <c r="L39" i="25"/>
  <c r="AA45" i="16" s="1"/>
  <c r="L38" i="25"/>
  <c r="L224" i="25"/>
  <c r="L246" i="24"/>
  <c r="L248" i="24" s="1"/>
  <c r="L242" i="24"/>
  <c r="L243" i="24" s="1"/>
  <c r="F316" i="21"/>
  <c r="E317" i="21"/>
  <c r="M347" i="25"/>
  <c r="L358" i="25"/>
  <c r="L366" i="25" s="1"/>
  <c r="L356" i="25"/>
  <c r="N708" i="21"/>
  <c r="N299" i="21"/>
  <c r="DS139" i="18"/>
  <c r="L25" i="22"/>
  <c r="DK96" i="18"/>
  <c r="AJ106" i="18"/>
  <c r="AJ138" i="18"/>
  <c r="AJ97" i="18"/>
  <c r="T385" i="21"/>
  <c r="S143" i="21"/>
  <c r="S642" i="21" s="1"/>
  <c r="S306" i="1"/>
  <c r="S266" i="1"/>
  <c r="K89" i="29"/>
  <c r="K91" i="29" s="1"/>
  <c r="J89" i="29"/>
  <c r="J91" i="29" s="1"/>
  <c r="J29" i="12" s="1"/>
  <c r="J72" i="12" s="1"/>
  <c r="I89" i="29"/>
  <c r="I91" i="29" s="1"/>
  <c r="I29" i="12" s="1"/>
  <c r="I72" i="12" s="1"/>
  <c r="R466" i="21"/>
  <c r="R426" i="21"/>
  <c r="AA50" i="17"/>
  <c r="M368" i="25"/>
  <c r="L369" i="25"/>
  <c r="L371" i="25" s="1"/>
  <c r="L215" i="25"/>
  <c r="M213" i="25" s="1"/>
  <c r="M10" i="22"/>
  <c r="F31" i="12"/>
  <c r="I127" i="25"/>
  <c r="X109" i="16" s="1"/>
  <c r="S55" i="1"/>
  <c r="S412" i="1"/>
  <c r="T29" i="1"/>
  <c r="U73" i="1"/>
  <c r="S313" i="1"/>
  <c r="S273" i="1"/>
  <c r="Q610" i="21"/>
  <c r="R108" i="21"/>
  <c r="BY19" i="21"/>
  <c r="CK7" i="21" s="1"/>
  <c r="CK9" i="21" s="1"/>
  <c r="N548" i="21"/>
  <c r="O485" i="21"/>
  <c r="O593" i="21"/>
  <c r="O182" i="21"/>
  <c r="O675" i="21" s="1"/>
  <c r="S377" i="21"/>
  <c r="R116" i="21"/>
  <c r="R617" i="21" s="1"/>
  <c r="Q635" i="21"/>
  <c r="R135" i="21"/>
  <c r="J25" i="24"/>
  <c r="J28" i="24" s="1"/>
  <c r="J29" i="24" s="1"/>
  <c r="I47" i="24"/>
  <c r="I139" i="24"/>
  <c r="V113" i="18"/>
  <c r="V107" i="18"/>
  <c r="I229" i="24"/>
  <c r="I230" i="24" s="1"/>
  <c r="Q632" i="21"/>
  <c r="R132" i="21"/>
  <c r="K38" i="25"/>
  <c r="K224" i="25"/>
  <c r="K39" i="25"/>
  <c r="Z45" i="16" s="1"/>
  <c r="K36" i="25"/>
  <c r="X232" i="16"/>
  <c r="X233" i="16" s="1"/>
  <c r="X86" i="16"/>
  <c r="R109" i="21"/>
  <c r="Q611" i="21"/>
  <c r="E63" i="21"/>
  <c r="E584" i="21"/>
  <c r="E60" i="21"/>
  <c r="E585" i="21" s="1"/>
  <c r="BW6" i="21"/>
  <c r="CC7" i="21" s="1"/>
  <c r="E7" i="21"/>
  <c r="E11" i="21"/>
  <c r="E538" i="21"/>
  <c r="G6" i="21"/>
  <c r="E8" i="21"/>
  <c r="R428" i="21"/>
  <c r="R468" i="21"/>
  <c r="S270" i="1"/>
  <c r="S310" i="1"/>
  <c r="I189" i="25"/>
  <c r="I202" i="25" s="1"/>
  <c r="I192" i="25"/>
  <c r="D6" i="27"/>
  <c r="I74" i="12"/>
  <c r="J30" i="12"/>
  <c r="R469" i="21"/>
  <c r="R429" i="21"/>
  <c r="E408" i="25"/>
  <c r="Q430" i="21"/>
  <c r="Q412" i="21" s="1"/>
  <c r="Q418" i="21" s="1"/>
  <c r="I38" i="12"/>
  <c r="H51" i="12"/>
  <c r="K37" i="20" s="1"/>
  <c r="R245" i="21"/>
  <c r="Q687" i="21"/>
  <c r="Q18" i="21"/>
  <c r="Q547" i="21" s="1"/>
  <c r="P787" i="21"/>
  <c r="O754" i="21"/>
  <c r="O756" i="21" s="1"/>
  <c r="N758" i="21"/>
  <c r="N760" i="21" s="1"/>
  <c r="N761" i="21"/>
  <c r="J283" i="25"/>
  <c r="J104" i="25" s="1"/>
  <c r="T779" i="21"/>
  <c r="U776" i="21"/>
  <c r="AA81" i="17"/>
  <c r="AA70" i="17" s="1"/>
  <c r="AA72" i="17" s="1"/>
  <c r="AA76" i="17" s="1"/>
  <c r="AA30" i="17"/>
  <c r="AE50" i="17" s="1"/>
  <c r="S467" i="21"/>
  <c r="S427" i="21"/>
  <c r="T422" i="21"/>
  <c r="T462" i="21"/>
  <c r="BY27" i="21"/>
  <c r="CK16" i="21" s="1"/>
  <c r="CK18" i="21" s="1"/>
  <c r="N556" i="21"/>
  <c r="Q326" i="21"/>
  <c r="P306" i="21"/>
  <c r="S267" i="1"/>
  <c r="S307" i="1"/>
  <c r="J274" i="25"/>
  <c r="J91" i="25" s="1"/>
  <c r="O746" i="21"/>
  <c r="O27" i="21"/>
  <c r="P552" i="21"/>
  <c r="P818" i="21"/>
  <c r="AH118" i="18"/>
  <c r="AH119" i="18"/>
  <c r="S345" i="21"/>
  <c r="R53" i="21"/>
  <c r="R578" i="21" s="1"/>
  <c r="Q23" i="21"/>
  <c r="Q552" i="21" s="1"/>
  <c r="Q710" i="21"/>
  <c r="R268" i="21"/>
  <c r="R379" i="21"/>
  <c r="Q119" i="21"/>
  <c r="Q620" i="21" s="1"/>
  <c r="J265" i="25"/>
  <c r="J96" i="25" s="1"/>
  <c r="C657" i="14"/>
  <c r="L139" i="25"/>
  <c r="AA21" i="16"/>
  <c r="L14" i="25"/>
  <c r="L141" i="25"/>
  <c r="C514" i="14" s="1"/>
  <c r="L9" i="12"/>
  <c r="E8" i="27"/>
  <c r="L27" i="25"/>
  <c r="L29" i="25" s="1"/>
  <c r="L56" i="25"/>
  <c r="K21" i="31"/>
  <c r="K25" i="31" s="1"/>
  <c r="K26" i="31" s="1"/>
  <c r="C498" i="14"/>
  <c r="L5" i="29" s="1"/>
  <c r="N8" i="19"/>
  <c r="L382" i="25"/>
  <c r="E702" i="14"/>
  <c r="U370" i="1"/>
  <c r="T381" i="1"/>
  <c r="L29" i="22"/>
  <c r="L35" i="22"/>
  <c r="L40" i="22" s="1"/>
  <c r="S106" i="21"/>
  <c r="R608" i="21"/>
  <c r="P332" i="21"/>
  <c r="P328" i="21" s="1"/>
  <c r="P330" i="21" s="1"/>
  <c r="P37" i="21" s="1"/>
  <c r="R267" i="21"/>
  <c r="Q709" i="21"/>
  <c r="Q22" i="21"/>
  <c r="Q551" i="21" s="1"/>
  <c r="T464" i="21"/>
  <c r="T424" i="21"/>
  <c r="P291" i="21"/>
  <c r="P732" i="21" s="1"/>
  <c r="P714" i="21"/>
  <c r="Q321" i="21"/>
  <c r="R265" i="21"/>
  <c r="Q21" i="21"/>
  <c r="Q550" i="21" s="1"/>
  <c r="Q707" i="21"/>
  <c r="Q272" i="21"/>
  <c r="Q270" i="21"/>
  <c r="S634" i="21"/>
  <c r="T134" i="21"/>
  <c r="P290" i="21"/>
  <c r="P731" i="21" s="1"/>
  <c r="P712" i="21"/>
  <c r="Q711" i="21"/>
  <c r="R269" i="21"/>
  <c r="Q24" i="21"/>
  <c r="Q553" i="21" s="1"/>
  <c r="Q331" i="21"/>
  <c r="Q332" i="21" s="1"/>
  <c r="Q328" i="21" s="1"/>
  <c r="E49" i="12"/>
  <c r="T33" i="16"/>
  <c r="T236" i="16" s="1"/>
  <c r="O355" i="25"/>
  <c r="O365" i="25" s="1"/>
  <c r="N365" i="25"/>
  <c r="J277" i="25"/>
  <c r="J108" i="25" s="1"/>
  <c r="J268" i="25"/>
  <c r="J95" i="25" s="1"/>
  <c r="J280" i="25"/>
  <c r="J109" i="25" s="1"/>
  <c r="L226" i="24"/>
  <c r="K225" i="24"/>
  <c r="L233" i="24"/>
  <c r="K232" i="24"/>
  <c r="K49" i="25" s="1"/>
  <c r="K50" i="25" s="1"/>
  <c r="L235" i="24"/>
  <c r="K234" i="24"/>
  <c r="K51" i="25" s="1"/>
  <c r="K52" i="25" s="1"/>
  <c r="E89" i="12"/>
  <c r="E50" i="12" s="1"/>
  <c r="J242" i="24"/>
  <c r="J244" i="24" s="1"/>
  <c r="J229" i="24"/>
  <c r="J230" i="24" s="1"/>
  <c r="L228" i="24"/>
  <c r="K227" i="24"/>
  <c r="K43" i="25" s="1"/>
  <c r="K44" i="25" s="1"/>
  <c r="W111" i="1"/>
  <c r="W121" i="1" s="1"/>
  <c r="V121" i="1"/>
  <c r="I53" i="25"/>
  <c r="I54" i="25" s="1"/>
  <c r="X489" i="1"/>
  <c r="W486" i="1"/>
  <c r="W489" i="1" s="1"/>
  <c r="V489" i="1"/>
  <c r="Q514" i="21"/>
  <c r="P515" i="21"/>
  <c r="P524" i="21" s="1"/>
  <c r="P527" i="21" s="1"/>
  <c r="P528" i="21" s="1"/>
  <c r="P529" i="21" s="1"/>
  <c r="S465" i="21"/>
  <c r="S425" i="21"/>
  <c r="J61" i="25"/>
  <c r="J65" i="25"/>
  <c r="J44" i="25"/>
  <c r="J74" i="25"/>
  <c r="J52" i="25"/>
  <c r="J36" i="25"/>
  <c r="J38" i="25"/>
  <c r="J39" i="25"/>
  <c r="J224" i="25"/>
  <c r="J42" i="25"/>
  <c r="J50" i="25"/>
  <c r="J78" i="25"/>
  <c r="P633" i="21"/>
  <c r="P137" i="21"/>
  <c r="P637" i="21" s="1"/>
  <c r="U367" i="1"/>
  <c r="T368" i="1"/>
  <c r="L272" i="25"/>
  <c r="K271" i="25"/>
  <c r="K97" i="25" s="1"/>
  <c r="K265" i="25"/>
  <c r="L266" i="25"/>
  <c r="Q37" i="1"/>
  <c r="P20" i="1"/>
  <c r="P19" i="1"/>
  <c r="L269" i="25"/>
  <c r="K268" i="25"/>
  <c r="K95" i="25" s="1"/>
  <c r="M591" i="14"/>
  <c r="L592" i="14"/>
  <c r="T127" i="21"/>
  <c r="S628" i="21"/>
  <c r="AB6" i="16"/>
  <c r="L284" i="25"/>
  <c r="K283" i="25"/>
  <c r="K104" i="25" s="1"/>
  <c r="O43" i="1"/>
  <c r="O36" i="1"/>
  <c r="L278" i="25"/>
  <c r="K277" i="25"/>
  <c r="K108" i="25" s="1"/>
  <c r="Q694" i="21"/>
  <c r="Q253" i="21"/>
  <c r="Q695" i="21" s="1"/>
  <c r="Q246" i="21"/>
  <c r="R252" i="21"/>
  <c r="N82" i="1"/>
  <c r="N84" i="1" s="1"/>
  <c r="U463" i="21"/>
  <c r="U423" i="21"/>
  <c r="P247" i="21"/>
  <c r="P278" i="21"/>
  <c r="P720" i="21" s="1"/>
  <c r="P688" i="21"/>
  <c r="S362" i="1"/>
  <c r="R363" i="1"/>
  <c r="Q520" i="21"/>
  <c r="R521" i="21"/>
  <c r="K244" i="24"/>
  <c r="O279" i="21"/>
  <c r="O721" i="21" s="1"/>
  <c r="O341" i="21"/>
  <c r="O46" i="21" s="1"/>
  <c r="O571" i="21" s="1"/>
  <c r="O689" i="21"/>
  <c r="O250" i="21"/>
  <c r="O248" i="21" s="1"/>
  <c r="R522" i="21"/>
  <c r="Q525" i="21"/>
  <c r="O296" i="21"/>
  <c r="O737" i="21" s="1"/>
  <c r="O254" i="21"/>
  <c r="O696" i="21" s="1"/>
  <c r="O691" i="21"/>
  <c r="O281" i="21"/>
  <c r="Q609" i="21"/>
  <c r="R107" i="21"/>
  <c r="L281" i="25"/>
  <c r="K280" i="25"/>
  <c r="K109" i="25" s="1"/>
  <c r="I33" i="22"/>
  <c r="I25" i="22"/>
  <c r="J25" i="22"/>
  <c r="M82" i="12"/>
  <c r="M64" i="12" s="1"/>
  <c r="Q639" i="21"/>
  <c r="R140" i="21"/>
  <c r="L275" i="25"/>
  <c r="K274" i="25"/>
  <c r="K91" i="25" s="1"/>
  <c r="T517" i="21"/>
  <c r="N380" i="25"/>
  <c r="N34" i="12"/>
  <c r="O378" i="25"/>
  <c r="AC5" i="16"/>
  <c r="J204" i="24"/>
  <c r="J205" i="24" s="1"/>
  <c r="J203" i="24"/>
  <c r="I73" i="25"/>
  <c r="I65" i="25"/>
  <c r="I515" i="14"/>
  <c r="N94" i="1"/>
  <c r="N108" i="1" s="1"/>
  <c r="L19" i="12"/>
  <c r="M14" i="12"/>
  <c r="DJ96" i="18"/>
  <c r="H60" i="25"/>
  <c r="Y81" i="17"/>
  <c r="Y70" i="17" s="1"/>
  <c r="Y72" i="17" s="1"/>
  <c r="Y76" i="17" s="1"/>
  <c r="Y30" i="17"/>
  <c r="AC50" i="17" s="1"/>
  <c r="I17" i="24"/>
  <c r="I16" i="24"/>
  <c r="J8" i="24"/>
  <c r="J264" i="24"/>
  <c r="J236" i="24"/>
  <c r="J263" i="24"/>
  <c r="J246" i="24"/>
  <c r="K263" i="24"/>
  <c r="I35" i="22"/>
  <c r="I29" i="22"/>
  <c r="I28" i="22"/>
  <c r="CJ119" i="18"/>
  <c r="H21" i="31"/>
  <c r="H25" i="31" s="1"/>
  <c r="H26" i="31" s="1"/>
  <c r="I56" i="25"/>
  <c r="I382" i="25"/>
  <c r="G8" i="19"/>
  <c r="G12" i="19" s="1"/>
  <c r="I9" i="12"/>
  <c r="I13" i="25"/>
  <c r="G9" i="19" s="1"/>
  <c r="I139" i="25"/>
  <c r="X21" i="16"/>
  <c r="I27" i="25"/>
  <c r="I14" i="25"/>
  <c r="I9" i="19"/>
  <c r="G475" i="14"/>
  <c r="I509" i="14"/>
  <c r="AB509" i="14" s="1"/>
  <c r="I16" i="25"/>
  <c r="X13" i="16"/>
  <c r="J231" i="30"/>
  <c r="U309" i="1"/>
  <c r="U269" i="1"/>
  <c r="G91" i="12"/>
  <c r="V32" i="16"/>
  <c r="G389" i="25"/>
  <c r="G86" i="12" s="1"/>
  <c r="G402" i="25"/>
  <c r="G407" i="25" s="1"/>
  <c r="F32" i="31"/>
  <c r="F86" i="12"/>
  <c r="F390" i="25"/>
  <c r="U33" i="16"/>
  <c r="U236" i="16" s="1"/>
  <c r="F408" i="25"/>
  <c r="F89" i="12"/>
  <c r="F50" i="12" s="1"/>
  <c r="I36" i="20" s="1"/>
  <c r="D408" i="25"/>
  <c r="S33" i="16"/>
  <c r="S236" i="16" s="1"/>
  <c r="D89" i="12"/>
  <c r="D50" i="12" s="1"/>
  <c r="E390" i="25"/>
  <c r="D86" i="12"/>
  <c r="BH107" i="18"/>
  <c r="J304" i="25"/>
  <c r="O91" i="1"/>
  <c r="O418" i="1" s="1"/>
  <c r="S466" i="1"/>
  <c r="S469" i="1"/>
  <c r="S110" i="1" s="1"/>
  <c r="M221" i="25"/>
  <c r="M102" i="25" s="1"/>
  <c r="AB75" i="16"/>
  <c r="T462" i="1"/>
  <c r="T464" i="1" s="1"/>
  <c r="U25" i="1"/>
  <c r="T408" i="1"/>
  <c r="O252" i="25"/>
  <c r="N251" i="25"/>
  <c r="R26" i="1"/>
  <c r="CE26" i="1"/>
  <c r="L25" i="20"/>
  <c r="Q409" i="1"/>
  <c r="Q78" i="1"/>
  <c r="Q79" i="1" s="1"/>
  <c r="Q75" i="1" s="1"/>
  <c r="Q77" i="1" s="1"/>
  <c r="T530" i="1"/>
  <c r="BH110" i="18"/>
  <c r="ED110" i="18" s="1"/>
  <c r="AB81" i="16"/>
  <c r="Q102" i="1"/>
  <c r="P91" i="1"/>
  <c r="P418" i="1" s="1"/>
  <c r="T497" i="1"/>
  <c r="R107" i="24"/>
  <c r="R73" i="24" s="1"/>
  <c r="K22" i="24"/>
  <c r="Q210" i="24"/>
  <c r="K153" i="24"/>
  <c r="J155" i="24"/>
  <c r="J156" i="24" s="1"/>
  <c r="CG86" i="18"/>
  <c r="E96" i="18"/>
  <c r="C82" i="20" s="1"/>
  <c r="E134" i="18"/>
  <c r="E87" i="18"/>
  <c r="C80" i="20" s="1"/>
  <c r="DA106" i="18"/>
  <c r="AE113" i="18"/>
  <c r="AE107" i="18"/>
  <c r="EJ4" i="18"/>
  <c r="EJ55" i="18"/>
  <c r="AN107" i="18"/>
  <c r="AN113" i="18"/>
  <c r="K117" i="18"/>
  <c r="K114" i="18"/>
  <c r="O117" i="18"/>
  <c r="O114" i="18"/>
  <c r="CL113" i="18"/>
  <c r="J117" i="18"/>
  <c r="J114" i="18"/>
  <c r="AI106" i="18"/>
  <c r="AI97" i="18"/>
  <c r="AI138" i="18"/>
  <c r="AI140" i="18" s="1"/>
  <c r="AI148" i="18" s="1"/>
  <c r="AO118" i="18"/>
  <c r="AO119" i="18"/>
  <c r="DP119" i="18" s="1"/>
  <c r="DP117" i="18"/>
  <c r="BO166" i="18"/>
  <c r="BO137" i="18"/>
  <c r="BO55" i="18"/>
  <c r="BO4" i="18"/>
  <c r="EK2" i="18"/>
  <c r="BB148" i="18"/>
  <c r="J235" i="30" s="1"/>
  <c r="EC140" i="18"/>
  <c r="CP96" i="18"/>
  <c r="S97" i="18"/>
  <c r="S106" i="18"/>
  <c r="S138" i="18"/>
  <c r="S140" i="18" s="1"/>
  <c r="X113" i="18"/>
  <c r="X107" i="18"/>
  <c r="CT106" i="18"/>
  <c r="CY106" i="18"/>
  <c r="Y96" i="18"/>
  <c r="CZ96" i="18" s="1"/>
  <c r="Y134" i="18"/>
  <c r="CU134" i="18" s="1"/>
  <c r="Y87" i="18"/>
  <c r="CU86" i="18"/>
  <c r="EB117" i="18"/>
  <c r="BA118" i="18"/>
  <c r="BA119" i="18"/>
  <c r="CQ113" i="18"/>
  <c r="U114" i="18"/>
  <c r="U117" i="18"/>
  <c r="CV113" i="18"/>
  <c r="DV119" i="18"/>
  <c r="EA119" i="18"/>
  <c r="AF148" i="18"/>
  <c r="AF114" i="18"/>
  <c r="AF117" i="18"/>
  <c r="DE134" i="18"/>
  <c r="AM107" i="18"/>
  <c r="DI106" i="18"/>
  <c r="AM113" i="18"/>
  <c r="AD106" i="18"/>
  <c r="AD97" i="18"/>
  <c r="DE96" i="18"/>
  <c r="AM140" i="18"/>
  <c r="DI138" i="18"/>
  <c r="N117" i="18"/>
  <c r="N114" i="18"/>
  <c r="BB114" i="18"/>
  <c r="BB117" i="18"/>
  <c r="DX113" i="18"/>
  <c r="EC113" i="18"/>
  <c r="DL96" i="18"/>
  <c r="AP138" i="18"/>
  <c r="DQ96" i="18"/>
  <c r="AP97" i="18"/>
  <c r="AQ96" i="18"/>
  <c r="AP106" i="18"/>
  <c r="AP103" i="18"/>
  <c r="DQ134" i="18"/>
  <c r="DL134" i="18"/>
  <c r="CZ86" i="18"/>
  <c r="I80" i="18"/>
  <c r="I86" i="18"/>
  <c r="CK79" i="18"/>
  <c r="W113" i="18"/>
  <c r="W107" i="18"/>
  <c r="CX106" i="18"/>
  <c r="R113" i="18"/>
  <c r="R107" i="18"/>
  <c r="CO106" i="18"/>
  <c r="F87" i="18"/>
  <c r="D80" i="20" s="1"/>
  <c r="F134" i="18"/>
  <c r="F96" i="18"/>
  <c r="D82" i="20" s="1"/>
  <c r="CH86" i="18"/>
  <c r="AS87" i="18"/>
  <c r="AS96" i="18"/>
  <c r="J17" i="25" s="1"/>
  <c r="J416" i="25" s="1"/>
  <c r="J418" i="25" s="1"/>
  <c r="I108" i="31" s="1"/>
  <c r="DO86" i="18"/>
  <c r="AS134" i="18"/>
  <c r="DO134" i="18" s="1"/>
  <c r="DT86" i="18"/>
  <c r="AA107" i="18"/>
  <c r="CW106" i="18"/>
  <c r="AA113" i="18"/>
  <c r="DB113" i="18" s="1"/>
  <c r="I869" i="14" l="1"/>
  <c r="I962" i="14"/>
  <c r="V419" i="1"/>
  <c r="P7" i="25"/>
  <c r="G494" i="14" s="1"/>
  <c r="P351" i="24"/>
  <c r="G910" i="14" s="1"/>
  <c r="G955" i="14" s="1"/>
  <c r="Q477" i="1"/>
  <c r="Q42" i="1"/>
  <c r="Q23" i="1"/>
  <c r="L22" i="20" s="1"/>
  <c r="O90" i="1"/>
  <c r="R83" i="1"/>
  <c r="R404" i="1"/>
  <c r="EG148" i="18"/>
  <c r="M235" i="30"/>
  <c r="R23" i="1"/>
  <c r="R406" i="1" s="1"/>
  <c r="S18" i="1"/>
  <c r="T18" i="1" s="1"/>
  <c r="T403" i="1" s="1"/>
  <c r="BO142" i="18"/>
  <c r="AF89" i="17"/>
  <c r="R403" i="1"/>
  <c r="R50" i="1"/>
  <c r="R52" i="1" s="1"/>
  <c r="R100" i="1" s="1"/>
  <c r="R425" i="1" s="1"/>
  <c r="R477" i="1"/>
  <c r="R44" i="1"/>
  <c r="D507" i="14"/>
  <c r="AC94" i="17"/>
  <c r="CE21" i="1"/>
  <c r="CQ7" i="1" s="1"/>
  <c r="CQ9" i="1" s="1"/>
  <c r="DH106" i="18"/>
  <c r="Q41" i="1"/>
  <c r="Q404" i="1"/>
  <c r="P68" i="1"/>
  <c r="P45" i="1"/>
  <c r="P40" i="1"/>
  <c r="P60" i="1" s="1"/>
  <c r="P66" i="1" s="1"/>
  <c r="P28" i="1" s="1"/>
  <c r="P54" i="1" s="1"/>
  <c r="P406" i="1"/>
  <c r="K22" i="20"/>
  <c r="K204" i="24"/>
  <c r="K170" i="24" s="1"/>
  <c r="L20" i="20"/>
  <c r="Q44" i="1"/>
  <c r="R280" i="24"/>
  <c r="H932" i="14"/>
  <c r="AW118" i="18"/>
  <c r="S255" i="1"/>
  <c r="S171" i="1" s="1"/>
  <c r="P276" i="30"/>
  <c r="U276" i="30"/>
  <c r="T268" i="1"/>
  <c r="T255" i="1" s="1"/>
  <c r="T171" i="1" s="1"/>
  <c r="AL107" i="18"/>
  <c r="I27" i="20"/>
  <c r="N411" i="1"/>
  <c r="AW148" i="18"/>
  <c r="F235" i="30" s="1"/>
  <c r="N30" i="1"/>
  <c r="N413" i="1" s="1"/>
  <c r="T250" i="24"/>
  <c r="O82" i="1"/>
  <c r="O84" i="1" s="1"/>
  <c r="G504" i="14"/>
  <c r="Z504" i="14" s="1"/>
  <c r="I18" i="27"/>
  <c r="G991" i="14"/>
  <c r="O30" i="1"/>
  <c r="O413" i="1" s="1"/>
  <c r="J27" i="20"/>
  <c r="CC28" i="1"/>
  <c r="CO13" i="1" s="1"/>
  <c r="CO15" i="1" s="1"/>
  <c r="O54" i="1"/>
  <c r="W133" i="25"/>
  <c r="M994" i="14"/>
  <c r="Q166" i="1"/>
  <c r="Q148" i="1"/>
  <c r="P184" i="24"/>
  <c r="V272" i="1"/>
  <c r="W272" i="1" s="1"/>
  <c r="H880" i="14"/>
  <c r="U312" i="1"/>
  <c r="Q183" i="24"/>
  <c r="V278" i="24"/>
  <c r="J1266" i="14" s="1"/>
  <c r="M918" i="14"/>
  <c r="W133" i="24"/>
  <c r="W134" i="24" s="1"/>
  <c r="N819" i="14"/>
  <c r="N820" i="14" s="1"/>
  <c r="N917" i="14"/>
  <c r="W286" i="24"/>
  <c r="BH149" i="18"/>
  <c r="AN78" i="17" s="1"/>
  <c r="S161" i="24"/>
  <c r="O583" i="14"/>
  <c r="R583" i="14" s="1"/>
  <c r="R207" i="24"/>
  <c r="S207" i="24" s="1"/>
  <c r="F25" i="27"/>
  <c r="L920" i="14"/>
  <c r="AX140" i="18"/>
  <c r="DX140" i="18"/>
  <c r="F231" i="30"/>
  <c r="R256" i="1"/>
  <c r="R262" i="1" s="1"/>
  <c r="R263" i="1" s="1"/>
  <c r="AX117" i="18"/>
  <c r="AX119" i="18" s="1"/>
  <c r="Q263" i="1"/>
  <c r="R468" i="1"/>
  <c r="R471" i="1" s="1"/>
  <c r="W346" i="1"/>
  <c r="W347" i="1" s="1"/>
  <c r="DH138" i="18"/>
  <c r="K57" i="25"/>
  <c r="EB148" i="18"/>
  <c r="CS106" i="18"/>
  <c r="N202" i="21"/>
  <c r="N203" i="21" s="1"/>
  <c r="DW148" i="18"/>
  <c r="F169" i="30"/>
  <c r="DX95" i="18"/>
  <c r="E9" i="27"/>
  <c r="W103" i="25"/>
  <c r="V105" i="25"/>
  <c r="V112" i="25" s="1"/>
  <c r="V118" i="25" s="1"/>
  <c r="Z229" i="16"/>
  <c r="Z230" i="16" s="1"/>
  <c r="T498" i="21"/>
  <c r="U498" i="21" s="1"/>
  <c r="U499" i="21" s="1"/>
  <c r="V115" i="25"/>
  <c r="U114" i="25"/>
  <c r="K76" i="12"/>
  <c r="K27" i="12" s="1"/>
  <c r="F17" i="22" s="1"/>
  <c r="M17" i="22" s="1"/>
  <c r="DT92" i="18"/>
  <c r="Q107" i="18"/>
  <c r="DY92" i="18"/>
  <c r="CN106" i="18"/>
  <c r="Y63" i="16"/>
  <c r="Y224" i="16"/>
  <c r="J91" i="24"/>
  <c r="J92" i="24" s="1"/>
  <c r="J80" i="24"/>
  <c r="J89" i="24"/>
  <c r="K80" i="24"/>
  <c r="K89" i="24"/>
  <c r="H92" i="24"/>
  <c r="I92" i="24"/>
  <c r="K15" i="24"/>
  <c r="K17" i="24" s="1"/>
  <c r="P182" i="21"/>
  <c r="P675" i="21" s="1"/>
  <c r="DY102" i="18"/>
  <c r="K31" i="22"/>
  <c r="K33" i="22" s="1"/>
  <c r="K23" i="25"/>
  <c r="J109" i="31" s="1"/>
  <c r="P485" i="21"/>
  <c r="N282" i="21"/>
  <c r="N724" i="21" s="1"/>
  <c r="N255" i="21"/>
  <c r="N697" i="21" s="1"/>
  <c r="F280" i="21"/>
  <c r="F722" i="21" s="1"/>
  <c r="F690" i="21"/>
  <c r="S24" i="1"/>
  <c r="R407" i="1"/>
  <c r="N692" i="21"/>
  <c r="F297" i="21"/>
  <c r="F738" i="21" s="1"/>
  <c r="Q419" i="21"/>
  <c r="DF138" i="18"/>
  <c r="L248" i="21"/>
  <c r="N248" i="21"/>
  <c r="O280" i="21" s="1"/>
  <c r="O722" i="21" s="1"/>
  <c r="Q133" i="21"/>
  <c r="Q137" i="21" s="1"/>
  <c r="Q637" i="21" s="1"/>
  <c r="I135" i="25"/>
  <c r="X114" i="16" s="1"/>
  <c r="R430" i="21"/>
  <c r="R412" i="21" s="1"/>
  <c r="R418" i="21" s="1"/>
  <c r="R419" i="21" s="1"/>
  <c r="R470" i="21"/>
  <c r="R460" i="21" s="1"/>
  <c r="Q447" i="1"/>
  <c r="AG114" i="18"/>
  <c r="AG117" i="18"/>
  <c r="DC113" i="18"/>
  <c r="J70" i="12"/>
  <c r="Q485" i="21"/>
  <c r="Q182" i="21"/>
  <c r="Q675" i="21" s="1"/>
  <c r="Q593" i="21"/>
  <c r="P704" i="21"/>
  <c r="Q262" i="21"/>
  <c r="P261" i="21"/>
  <c r="P336" i="21" s="1"/>
  <c r="P701" i="21"/>
  <c r="Q259" i="21"/>
  <c r="Q460" i="21"/>
  <c r="L373" i="25"/>
  <c r="L31" i="12" s="1"/>
  <c r="L70" i="12" s="1"/>
  <c r="S311" i="1"/>
  <c r="S314" i="1" s="1"/>
  <c r="S304" i="1" s="1"/>
  <c r="S271" i="1"/>
  <c r="O703" i="21"/>
  <c r="O302" i="21"/>
  <c r="O742" i="21" s="1"/>
  <c r="O301" i="21"/>
  <c r="O741" i="21" s="1"/>
  <c r="O19" i="21"/>
  <c r="O263" i="21"/>
  <c r="O705" i="21" s="1"/>
  <c r="O271" i="21"/>
  <c r="O713" i="21" s="1"/>
  <c r="O273" i="21"/>
  <c r="O715" i="21" s="1"/>
  <c r="O336" i="21"/>
  <c r="T131" i="21"/>
  <c r="S631" i="21"/>
  <c r="I153" i="25"/>
  <c r="I157" i="25" s="1"/>
  <c r="I159" i="25" s="1"/>
  <c r="O299" i="21"/>
  <c r="O708" i="21"/>
  <c r="AJ113" i="18"/>
  <c r="AJ107" i="18"/>
  <c r="DK106" i="18"/>
  <c r="AK140" i="18"/>
  <c r="DG138" i="18"/>
  <c r="J274" i="24"/>
  <c r="C662" i="14"/>
  <c r="G662" i="14" s="1"/>
  <c r="G665" i="14" s="1"/>
  <c r="G603" i="14"/>
  <c r="G605" i="14" s="1"/>
  <c r="J12" i="24"/>
  <c r="R618" i="21"/>
  <c r="S117" i="21"/>
  <c r="S612" i="21"/>
  <c r="T110" i="21"/>
  <c r="AK107" i="18"/>
  <c r="AK113" i="18"/>
  <c r="DG106" i="18"/>
  <c r="L247" i="24"/>
  <c r="M358" i="25"/>
  <c r="M366" i="25" s="1"/>
  <c r="N347" i="25"/>
  <c r="M356" i="25"/>
  <c r="R636" i="21"/>
  <c r="S136" i="21"/>
  <c r="M243" i="24"/>
  <c r="L244" i="24"/>
  <c r="L260" i="25"/>
  <c r="L94" i="25"/>
  <c r="L222" i="25"/>
  <c r="AA76" i="16"/>
  <c r="N109" i="1"/>
  <c r="N432" i="1" s="1"/>
  <c r="AC117" i="18"/>
  <c r="AC114" i="18"/>
  <c r="DD113" i="18"/>
  <c r="Q258" i="21"/>
  <c r="Q249" i="21" s="1"/>
  <c r="P700" i="21"/>
  <c r="T143" i="21"/>
  <c r="T642" i="21" s="1"/>
  <c r="U385" i="21"/>
  <c r="H205" i="24"/>
  <c r="I205" i="24"/>
  <c r="P716" i="21"/>
  <c r="Q274" i="21"/>
  <c r="P266" i="21"/>
  <c r="DK138" i="18"/>
  <c r="AJ140" i="18"/>
  <c r="DT139" i="18"/>
  <c r="DF106" i="18"/>
  <c r="N740" i="21"/>
  <c r="N313" i="21"/>
  <c r="P113" i="18"/>
  <c r="CM106" i="18"/>
  <c r="P107" i="18"/>
  <c r="AN138" i="18"/>
  <c r="DJ138" i="18" s="1"/>
  <c r="N101" i="1"/>
  <c r="N426" i="1" s="1"/>
  <c r="X10" i="16"/>
  <c r="X123" i="16" s="1"/>
  <c r="F319" i="21"/>
  <c r="N316" i="21"/>
  <c r="CR106" i="18"/>
  <c r="T313" i="1"/>
  <c r="T273" i="1"/>
  <c r="S466" i="21"/>
  <c r="S426" i="21"/>
  <c r="U29" i="1"/>
  <c r="V73" i="1"/>
  <c r="N98" i="1"/>
  <c r="S135" i="21"/>
  <c r="R635" i="21"/>
  <c r="T55" i="1"/>
  <c r="T412" i="1"/>
  <c r="N420" i="1"/>
  <c r="N107" i="1"/>
  <c r="N430" i="1" s="1"/>
  <c r="S116" i="21"/>
  <c r="S617" i="21" s="1"/>
  <c r="T377" i="21"/>
  <c r="N95" i="1"/>
  <c r="N421" i="1" s="1"/>
  <c r="F70" i="12"/>
  <c r="U12" i="16"/>
  <c r="N4" i="1"/>
  <c r="I5" i="20" s="1"/>
  <c r="M211" i="25"/>
  <c r="M215" i="25" s="1"/>
  <c r="N211" i="25" s="1"/>
  <c r="N215" i="25" s="1"/>
  <c r="Q330" i="21"/>
  <c r="Q37" i="21" s="1"/>
  <c r="N212" i="1"/>
  <c r="N342" i="1" s="1"/>
  <c r="R447" i="1"/>
  <c r="R304" i="1"/>
  <c r="S108" i="21"/>
  <c r="R610" i="21"/>
  <c r="K91" i="14"/>
  <c r="K92" i="14" s="1"/>
  <c r="N368" i="25"/>
  <c r="M369" i="25"/>
  <c r="M371" i="25" s="1"/>
  <c r="K29" i="12"/>
  <c r="K72" i="12" s="1"/>
  <c r="F9" i="22"/>
  <c r="M9" i="22" s="1"/>
  <c r="T306" i="1"/>
  <c r="T266" i="1"/>
  <c r="J139" i="24"/>
  <c r="K25" i="24"/>
  <c r="K28" i="24" s="1"/>
  <c r="K29" i="24" s="1"/>
  <c r="J47" i="24"/>
  <c r="E70" i="21"/>
  <c r="E64" i="21"/>
  <c r="E589" i="21" s="1"/>
  <c r="E157" i="21"/>
  <c r="E588" i="21"/>
  <c r="N763" i="21"/>
  <c r="R611" i="21"/>
  <c r="S109" i="21"/>
  <c r="T310" i="1"/>
  <c r="T270" i="1"/>
  <c r="S468" i="21"/>
  <c r="S428" i="21"/>
  <c r="E540" i="21"/>
  <c r="BW8" i="21"/>
  <c r="K222" i="25"/>
  <c r="K94" i="25"/>
  <c r="Z76" i="16"/>
  <c r="K260" i="25"/>
  <c r="J38" i="12"/>
  <c r="I51" i="12"/>
  <c r="L37" i="20" s="1"/>
  <c r="S132" i="21"/>
  <c r="R632" i="21"/>
  <c r="Q818" i="21"/>
  <c r="E12" i="21"/>
  <c r="E543" i="21"/>
  <c r="BW11" i="21"/>
  <c r="CC13" i="21" s="1"/>
  <c r="CC15" i="21" s="1"/>
  <c r="BW7" i="21"/>
  <c r="E539" i="21"/>
  <c r="S469" i="21"/>
  <c r="S429" i="21"/>
  <c r="CC22" i="21"/>
  <c r="CC9" i="21"/>
  <c r="K30" i="12"/>
  <c r="J74" i="12"/>
  <c r="Y10" i="16" s="1"/>
  <c r="Y123" i="16" s="1"/>
  <c r="V114" i="18"/>
  <c r="V117" i="18"/>
  <c r="O556" i="21"/>
  <c r="BZ27" i="21"/>
  <c r="CL16" i="21" s="1"/>
  <c r="CL18" i="21" s="1"/>
  <c r="U779" i="21"/>
  <c r="V776" i="21"/>
  <c r="T307" i="1"/>
  <c r="T267" i="1"/>
  <c r="J110" i="25"/>
  <c r="P27" i="21"/>
  <c r="P556" i="21" s="1"/>
  <c r="P746" i="21"/>
  <c r="S268" i="21"/>
  <c r="R23" i="21"/>
  <c r="R710" i="21"/>
  <c r="R326" i="21"/>
  <c r="Q306" i="21"/>
  <c r="F500" i="1"/>
  <c r="F501" i="1" s="1"/>
  <c r="F502" i="1" s="1"/>
  <c r="F510" i="1" s="1"/>
  <c r="O758" i="21"/>
  <c r="O760" i="21" s="1"/>
  <c r="O761" i="21"/>
  <c r="P754" i="21"/>
  <c r="P756" i="21" s="1"/>
  <c r="Q787" i="21"/>
  <c r="T345" i="21"/>
  <c r="S53" i="21"/>
  <c r="S578" i="21" s="1"/>
  <c r="U422" i="21"/>
  <c r="U462" i="21"/>
  <c r="T467" i="21"/>
  <c r="T427" i="21"/>
  <c r="R687" i="21"/>
  <c r="S245" i="21"/>
  <c r="R18" i="21"/>
  <c r="R547" i="21" s="1"/>
  <c r="T634" i="21"/>
  <c r="U134" i="21"/>
  <c r="U464" i="21"/>
  <c r="U424" i="21"/>
  <c r="R22" i="21"/>
  <c r="R551" i="21" s="1"/>
  <c r="S267" i="21"/>
  <c r="R709" i="21"/>
  <c r="V370" i="1"/>
  <c r="U381" i="1"/>
  <c r="P562" i="21"/>
  <c r="P94" i="21"/>
  <c r="C517" i="14"/>
  <c r="C501" i="14"/>
  <c r="C521" i="14" s="1"/>
  <c r="Q290" i="21"/>
  <c r="Q731" i="21" s="1"/>
  <c r="Q712" i="21"/>
  <c r="Q291" i="21"/>
  <c r="Q732" i="21" s="1"/>
  <c r="Q714" i="21"/>
  <c r="L228" i="25"/>
  <c r="L57" i="25"/>
  <c r="K243" i="24"/>
  <c r="T106" i="21"/>
  <c r="S608" i="21"/>
  <c r="R331" i="21"/>
  <c r="R24" i="21"/>
  <c r="R553" i="21" s="1"/>
  <c r="R711" i="21"/>
  <c r="S269" i="21"/>
  <c r="E14" i="27"/>
  <c r="E17" i="27" s="1"/>
  <c r="E21" i="27" s="1"/>
  <c r="E28" i="27"/>
  <c r="L83" i="12"/>
  <c r="L11" i="12"/>
  <c r="L12" i="12" s="1"/>
  <c r="L84" i="12"/>
  <c r="L85" i="12" s="1"/>
  <c r="R321" i="21"/>
  <c r="S265" i="21"/>
  <c r="R21" i="21"/>
  <c r="R550" i="21" s="1"/>
  <c r="R707" i="21"/>
  <c r="R272" i="21"/>
  <c r="R270" i="21"/>
  <c r="AA25" i="16"/>
  <c r="AA26" i="16" s="1"/>
  <c r="AA229" i="16"/>
  <c r="AA79" i="16"/>
  <c r="S379" i="21"/>
  <c r="R119" i="21"/>
  <c r="R620" i="21" s="1"/>
  <c r="C658" i="14"/>
  <c r="C655" i="14"/>
  <c r="J286" i="25"/>
  <c r="J287" i="25" s="1"/>
  <c r="M228" i="24"/>
  <c r="L227" i="24"/>
  <c r="L43" i="25" s="1"/>
  <c r="L44" i="25" s="1"/>
  <c r="Y76" i="16"/>
  <c r="J260" i="25"/>
  <c r="J222" i="25"/>
  <c r="J94" i="25"/>
  <c r="J98" i="25" s="1"/>
  <c r="T465" i="21"/>
  <c r="T425" i="21"/>
  <c r="M235" i="24"/>
  <c r="L234" i="24"/>
  <c r="L51" i="25" s="1"/>
  <c r="L52" i="25" s="1"/>
  <c r="J46" i="25"/>
  <c r="J47" i="25" s="1"/>
  <c r="Y45" i="16"/>
  <c r="M233" i="24"/>
  <c r="L232" i="24"/>
  <c r="L49" i="25" s="1"/>
  <c r="L50" i="25" s="1"/>
  <c r="R514" i="21"/>
  <c r="Q515" i="21"/>
  <c r="Q524" i="21" s="1"/>
  <c r="Q527" i="21" s="1"/>
  <c r="Q528" i="21" s="1"/>
  <c r="Q529" i="21" s="1"/>
  <c r="K41" i="25"/>
  <c r="K236" i="24"/>
  <c r="K229" i="24"/>
  <c r="K230" i="24" s="1"/>
  <c r="M226" i="24"/>
  <c r="L225" i="24"/>
  <c r="M266" i="25"/>
  <c r="L265" i="25"/>
  <c r="V423" i="21"/>
  <c r="V463" i="21"/>
  <c r="K96" i="25"/>
  <c r="K286" i="25"/>
  <c r="O295" i="21"/>
  <c r="O736" i="21" s="1"/>
  <c r="O297" i="21"/>
  <c r="O738" i="21" s="1"/>
  <c r="O690" i="21"/>
  <c r="M269" i="25"/>
  <c r="L268" i="25"/>
  <c r="L95" i="25" s="1"/>
  <c r="O202" i="21"/>
  <c r="O203" i="21" s="1"/>
  <c r="O723" i="21"/>
  <c r="R694" i="21"/>
  <c r="S252" i="21"/>
  <c r="R246" i="21"/>
  <c r="R253" i="21"/>
  <c r="R695" i="21" s="1"/>
  <c r="P36" i="1"/>
  <c r="P43" i="1"/>
  <c r="O34" i="12"/>
  <c r="O82" i="12" s="1"/>
  <c r="O64" i="12" s="1"/>
  <c r="AD5" i="16"/>
  <c r="O380" i="25"/>
  <c r="Q20" i="1"/>
  <c r="DE17" i="1" s="1"/>
  <c r="R37" i="1"/>
  <c r="Q19" i="1"/>
  <c r="L271" i="25"/>
  <c r="L97" i="25" s="1"/>
  <c r="M272" i="25"/>
  <c r="N82" i="12"/>
  <c r="N64" i="12" s="1"/>
  <c r="L283" i="25"/>
  <c r="L104" i="25" s="1"/>
  <c r="M284" i="25"/>
  <c r="AC6" i="16"/>
  <c r="P254" i="21"/>
  <c r="P696" i="21" s="1"/>
  <c r="P281" i="21"/>
  <c r="P296" i="21"/>
  <c r="P737" i="21" s="1"/>
  <c r="P691" i="21"/>
  <c r="K110" i="25"/>
  <c r="S363" i="1"/>
  <c r="T362" i="1"/>
  <c r="Q688" i="21"/>
  <c r="Q247" i="21"/>
  <c r="Q278" i="21"/>
  <c r="Q720" i="21" s="1"/>
  <c r="M281" i="25"/>
  <c r="L280" i="25"/>
  <c r="L109" i="25" s="1"/>
  <c r="S522" i="21"/>
  <c r="R525" i="21"/>
  <c r="L277" i="25"/>
  <c r="L108" i="25" s="1"/>
  <c r="M278" i="25"/>
  <c r="T628" i="21"/>
  <c r="U127" i="21"/>
  <c r="G390" i="25"/>
  <c r="O692" i="21"/>
  <c r="O255" i="21"/>
  <c r="O697" i="21" s="1"/>
  <c r="O282" i="21"/>
  <c r="O724" i="21" s="1"/>
  <c r="M275" i="25"/>
  <c r="L274" i="25"/>
  <c r="L91" i="25" s="1"/>
  <c r="S140" i="21"/>
  <c r="R639" i="21"/>
  <c r="N35" i="12"/>
  <c r="S521" i="21"/>
  <c r="R520" i="21"/>
  <c r="P689" i="21"/>
  <c r="P279" i="21"/>
  <c r="P721" i="21" s="1"/>
  <c r="P250" i="21"/>
  <c r="P257" i="21" s="1"/>
  <c r="P699" i="21" s="1"/>
  <c r="P341" i="21"/>
  <c r="P46" i="21" s="1"/>
  <c r="P571" i="21" s="1"/>
  <c r="N591" i="14"/>
  <c r="M592" i="14"/>
  <c r="V367" i="1"/>
  <c r="U368" i="1"/>
  <c r="U517" i="21"/>
  <c r="R609" i="21"/>
  <c r="S107" i="21"/>
  <c r="O257" i="21"/>
  <c r="O699" i="21" s="1"/>
  <c r="P256" i="21"/>
  <c r="P698" i="21" s="1"/>
  <c r="CG134" i="18"/>
  <c r="C86" i="20"/>
  <c r="I29" i="25"/>
  <c r="I28" i="25"/>
  <c r="X25" i="16"/>
  <c r="X26" i="16" s="1"/>
  <c r="X79" i="16"/>
  <c r="X229" i="16"/>
  <c r="M19" i="12"/>
  <c r="N14" i="12"/>
  <c r="CH134" i="18"/>
  <c r="D86" i="20"/>
  <c r="J248" i="24"/>
  <c r="K247" i="24"/>
  <c r="H59" i="25"/>
  <c r="H17" i="25"/>
  <c r="H416" i="25" s="1"/>
  <c r="H418" i="25" s="1"/>
  <c r="G108" i="31" s="1"/>
  <c r="H64" i="25"/>
  <c r="H61" i="25"/>
  <c r="H125" i="25"/>
  <c r="H127" i="25" s="1"/>
  <c r="I77" i="25"/>
  <c r="I292" i="25"/>
  <c r="I74" i="25"/>
  <c r="Y13" i="16"/>
  <c r="J237" i="24"/>
  <c r="J53" i="25"/>
  <c r="J54" i="25" s="1"/>
  <c r="I57" i="25"/>
  <c r="I228" i="25"/>
  <c r="I59" i="25"/>
  <c r="I84" i="12"/>
  <c r="I85" i="12" s="1"/>
  <c r="I11" i="12"/>
  <c r="I12" i="12" s="1"/>
  <c r="I83" i="12"/>
  <c r="U497" i="1"/>
  <c r="J21" i="25"/>
  <c r="J18" i="25"/>
  <c r="V309" i="1"/>
  <c r="V269" i="1"/>
  <c r="J10" i="24"/>
  <c r="J27" i="22"/>
  <c r="J12" i="25"/>
  <c r="J9" i="24"/>
  <c r="K9" i="24"/>
  <c r="Z93" i="16"/>
  <c r="U530" i="1"/>
  <c r="T169" i="25"/>
  <c r="J509" i="14"/>
  <c r="I36" i="22"/>
  <c r="I40" i="22"/>
  <c r="I41" i="22" s="1"/>
  <c r="F33" i="31"/>
  <c r="G89" i="12"/>
  <c r="G50" i="12" s="1"/>
  <c r="J36" i="20" s="1"/>
  <c r="V33" i="16"/>
  <c r="V236" i="16" s="1"/>
  <c r="G408" i="25"/>
  <c r="G398" i="25" s="1"/>
  <c r="G49" i="12"/>
  <c r="J35" i="20" s="1"/>
  <c r="V17" i="16"/>
  <c r="D409" i="25"/>
  <c r="E409" i="25"/>
  <c r="U17" i="16"/>
  <c r="F49" i="12"/>
  <c r="I35" i="20" s="1"/>
  <c r="F398" i="25"/>
  <c r="F409" i="25"/>
  <c r="D49" i="12"/>
  <c r="S17" i="16"/>
  <c r="N250" i="25"/>
  <c r="N257" i="25"/>
  <c r="N70" i="25" s="1"/>
  <c r="N431" i="1"/>
  <c r="U408" i="1"/>
  <c r="V25" i="1"/>
  <c r="U462" i="1"/>
  <c r="U464" i="1" s="1"/>
  <c r="T466" i="1"/>
  <c r="T469" i="1"/>
  <c r="T110" i="1" s="1"/>
  <c r="AB72" i="16"/>
  <c r="AB77" i="16"/>
  <c r="Q91" i="1"/>
  <c r="Q418" i="1" s="1"/>
  <c r="S26" i="1"/>
  <c r="R409" i="1"/>
  <c r="R42" i="1"/>
  <c r="R78" i="1"/>
  <c r="S468" i="1"/>
  <c r="S471" i="1" s="1"/>
  <c r="S93" i="1"/>
  <c r="O417" i="1"/>
  <c r="O94" i="1"/>
  <c r="L153" i="24"/>
  <c r="K155" i="24"/>
  <c r="K156" i="24" s="1"/>
  <c r="R210" i="24"/>
  <c r="L22" i="24"/>
  <c r="S107" i="24"/>
  <c r="S73" i="24" s="1"/>
  <c r="Q114" i="18"/>
  <c r="Q117" i="18"/>
  <c r="CN113" i="18"/>
  <c r="AI113" i="18"/>
  <c r="DJ113" i="18" s="1"/>
  <c r="AI107" i="18"/>
  <c r="J119" i="18"/>
  <c r="J118" i="18"/>
  <c r="EK4" i="18"/>
  <c r="EK55" i="18"/>
  <c r="O119" i="18"/>
  <c r="O118" i="18"/>
  <c r="CL117" i="18"/>
  <c r="AE117" i="18"/>
  <c r="AE114" i="18"/>
  <c r="DA113" i="18"/>
  <c r="K118" i="18"/>
  <c r="K119" i="18"/>
  <c r="DJ106" i="18"/>
  <c r="AN117" i="18"/>
  <c r="AN114" i="18"/>
  <c r="E97" i="18"/>
  <c r="C83" i="20" s="1"/>
  <c r="E106" i="18"/>
  <c r="CG96" i="18"/>
  <c r="BB119" i="18"/>
  <c r="DX117" i="18"/>
  <c r="BB118" i="18"/>
  <c r="EC117" i="18"/>
  <c r="W114" i="18"/>
  <c r="CS113" i="18"/>
  <c r="W117" i="18"/>
  <c r="CX113" i="18"/>
  <c r="AM114" i="18"/>
  <c r="DI113" i="18"/>
  <c r="AM117" i="18"/>
  <c r="DW119" i="18"/>
  <c r="EB119" i="18"/>
  <c r="N118" i="18"/>
  <c r="N119" i="18"/>
  <c r="X117" i="18"/>
  <c r="X114" i="18"/>
  <c r="CT113" i="18"/>
  <c r="CY113" i="18"/>
  <c r="AS97" i="18"/>
  <c r="AS106" i="18"/>
  <c r="DO96" i="18"/>
  <c r="AM148" i="18"/>
  <c r="DI140" i="18"/>
  <c r="CZ134" i="18"/>
  <c r="DL106" i="18"/>
  <c r="AP113" i="18"/>
  <c r="DQ106" i="18"/>
  <c r="AP107" i="18"/>
  <c r="AF119" i="18"/>
  <c r="AF118" i="18"/>
  <c r="F97" i="18"/>
  <c r="D83" i="20" s="1"/>
  <c r="F106" i="18"/>
  <c r="CH96" i="18"/>
  <c r="AR96" i="18"/>
  <c r="AQ97" i="18"/>
  <c r="AQ103" i="18"/>
  <c r="DR96" i="18"/>
  <c r="DM96" i="18"/>
  <c r="AQ138" i="18"/>
  <c r="AQ106" i="18"/>
  <c r="I87" i="18"/>
  <c r="I134" i="18"/>
  <c r="CK134" i="18" s="1"/>
  <c r="I96" i="18"/>
  <c r="CK86" i="18"/>
  <c r="AL114" i="18"/>
  <c r="DH113" i="18"/>
  <c r="AL117" i="18"/>
  <c r="S113" i="18"/>
  <c r="CP106" i="18"/>
  <c r="S107" i="18"/>
  <c r="AL148" i="18"/>
  <c r="DH148" i="18" s="1"/>
  <c r="DH140" i="18"/>
  <c r="DQ138" i="18"/>
  <c r="AP140" i="18"/>
  <c r="DL138" i="18"/>
  <c r="AA114" i="18"/>
  <c r="AA117" i="18"/>
  <c r="DB117" i="18" s="1"/>
  <c r="CW113" i="18"/>
  <c r="CO113" i="18"/>
  <c r="R114" i="18"/>
  <c r="R117" i="18"/>
  <c r="AD107" i="18"/>
  <c r="AD113" i="18"/>
  <c r="DE106" i="18"/>
  <c r="Y106" i="18"/>
  <c r="CZ106" i="18" s="1"/>
  <c r="CU96" i="18"/>
  <c r="Y138" i="18"/>
  <c r="Y140" i="18" s="1"/>
  <c r="Y97" i="18"/>
  <c r="DT134" i="18"/>
  <c r="CQ117" i="18"/>
  <c r="U119" i="18"/>
  <c r="U118" i="18"/>
  <c r="CV117" i="18"/>
  <c r="EC148" i="18"/>
  <c r="J869" i="14" l="1"/>
  <c r="J962" i="14"/>
  <c r="BO64" i="18"/>
  <c r="EK64" i="18" s="1"/>
  <c r="Q40" i="1"/>
  <c r="Q60" i="1" s="1"/>
  <c r="Q66" i="1" s="1"/>
  <c r="DE18" i="1"/>
  <c r="Q68" i="1"/>
  <c r="CE23" i="1"/>
  <c r="Q7" i="25"/>
  <c r="H494" i="14" s="1"/>
  <c r="Q351" i="24"/>
  <c r="H910" i="14" s="1"/>
  <c r="H955" i="14" s="1"/>
  <c r="Q406" i="1"/>
  <c r="Q45" i="1"/>
  <c r="R45" i="1"/>
  <c r="R68" i="1"/>
  <c r="S403" i="1"/>
  <c r="R40" i="1"/>
  <c r="R60" i="1" s="1"/>
  <c r="R66" i="1" s="1"/>
  <c r="Y66" i="1" s="1"/>
  <c r="T21" i="1"/>
  <c r="T477" i="1" s="1"/>
  <c r="T50" i="1"/>
  <c r="T52" i="1" s="1"/>
  <c r="T100" i="1" s="1"/>
  <c r="T425" i="1" s="1"/>
  <c r="S50" i="1"/>
  <c r="S52" i="1" s="1"/>
  <c r="S100" i="1" s="1"/>
  <c r="S425" i="1" s="1"/>
  <c r="U18" i="1"/>
  <c r="U50" i="1" s="1"/>
  <c r="U52" i="1" s="1"/>
  <c r="U100" i="1" s="1"/>
  <c r="U425" i="1" s="1"/>
  <c r="CD28" i="1"/>
  <c r="CP13" i="1" s="1"/>
  <c r="CP15" i="1" s="1"/>
  <c r="AB131" i="1"/>
  <c r="AB132" i="1" s="1"/>
  <c r="P411" i="1"/>
  <c r="U308" i="1"/>
  <c r="U268" i="1"/>
  <c r="V268" i="1" s="1"/>
  <c r="CB30" i="1"/>
  <c r="CN21" i="1" s="1"/>
  <c r="CN23" i="1" s="1"/>
  <c r="S21" i="1"/>
  <c r="S477" i="1" s="1"/>
  <c r="AJ97" i="17"/>
  <c r="I29" i="20"/>
  <c r="P67" i="1"/>
  <c r="P30" i="1"/>
  <c r="CD30" i="1" s="1"/>
  <c r="CP21" i="1" s="1"/>
  <c r="CP23" i="1" s="1"/>
  <c r="Q67" i="1"/>
  <c r="P69" i="1"/>
  <c r="P70" i="1" s="1"/>
  <c r="P90" i="1" s="1"/>
  <c r="P94" i="1" s="1"/>
  <c r="P101" i="1" s="1"/>
  <c r="P426" i="1" s="1"/>
  <c r="K27" i="20"/>
  <c r="K205" i="24"/>
  <c r="AX118" i="18"/>
  <c r="S280" i="24"/>
  <c r="I932" i="14"/>
  <c r="J29" i="20"/>
  <c r="CC30" i="1"/>
  <c r="CO21" i="1" s="1"/>
  <c r="CO23" i="1" s="1"/>
  <c r="DX148" i="18"/>
  <c r="AX148" i="18"/>
  <c r="W312" i="1"/>
  <c r="U250" i="24"/>
  <c r="R102" i="1"/>
  <c r="X133" i="25"/>
  <c r="N994" i="14"/>
  <c r="Q184" i="24"/>
  <c r="I880" i="14"/>
  <c r="T161" i="24"/>
  <c r="W278" i="24"/>
  <c r="K1266" i="14" s="1"/>
  <c r="N918" i="14"/>
  <c r="X133" i="24"/>
  <c r="X134" i="24" s="1"/>
  <c r="O819" i="14"/>
  <c r="O820" i="14" s="1"/>
  <c r="O917" i="14"/>
  <c r="X286" i="24"/>
  <c r="Y286" i="24"/>
  <c r="R148" i="1"/>
  <c r="R166" i="1"/>
  <c r="M920" i="14"/>
  <c r="R183" i="24"/>
  <c r="K35" i="22"/>
  <c r="L36" i="22" s="1"/>
  <c r="Z13" i="16"/>
  <c r="T499" i="21"/>
  <c r="K509" i="14"/>
  <c r="U169" i="25"/>
  <c r="Z24" i="16"/>
  <c r="Z25" i="16" s="1"/>
  <c r="Z26" i="16" s="1"/>
  <c r="K10" i="12"/>
  <c r="K84" i="12" s="1"/>
  <c r="K85" i="12" s="1"/>
  <c r="W115" i="25"/>
  <c r="V114" i="25"/>
  <c r="L24" i="25"/>
  <c r="K25" i="25"/>
  <c r="X103" i="25"/>
  <c r="W105" i="25"/>
  <c r="W112" i="25" s="1"/>
  <c r="W118" i="25" s="1"/>
  <c r="J24" i="31"/>
  <c r="J25" i="31" s="1"/>
  <c r="J26" i="31" s="1"/>
  <c r="L16" i="24"/>
  <c r="I136" i="25"/>
  <c r="K27" i="25"/>
  <c r="K29" i="25" s="1"/>
  <c r="K92" i="24"/>
  <c r="L32" i="22"/>
  <c r="D11" i="27"/>
  <c r="D14" i="27" s="1"/>
  <c r="K405" i="25"/>
  <c r="K126" i="25"/>
  <c r="D706" i="14" s="1"/>
  <c r="D717" i="14" s="1"/>
  <c r="K188" i="25"/>
  <c r="K196" i="25" s="1"/>
  <c r="K194" i="25" s="1"/>
  <c r="N213" i="25"/>
  <c r="K98" i="14"/>
  <c r="W100" i="14" s="1"/>
  <c r="AH91" i="14" s="1"/>
  <c r="Q633" i="21"/>
  <c r="M373" i="25"/>
  <c r="M31" i="12" s="1"/>
  <c r="M70" i="12" s="1"/>
  <c r="N297" i="21"/>
  <c r="N738" i="21" s="1"/>
  <c r="R133" i="21"/>
  <c r="R633" i="21" s="1"/>
  <c r="N295" i="21"/>
  <c r="N736" i="21" s="1"/>
  <c r="N280" i="21"/>
  <c r="N722" i="21" s="1"/>
  <c r="N690" i="21"/>
  <c r="S407" i="1"/>
  <c r="T24" i="1"/>
  <c r="N392" i="1"/>
  <c r="R68" i="21"/>
  <c r="R593" i="21" s="1"/>
  <c r="DE6" i="1"/>
  <c r="AG118" i="18"/>
  <c r="AG119" i="18"/>
  <c r="DC119" i="18" s="1"/>
  <c r="CX4" i="1"/>
  <c r="CX15" i="1" s="1"/>
  <c r="CX17" i="1" s="1"/>
  <c r="N104" i="1"/>
  <c r="N427" i="1" s="1"/>
  <c r="Q28" i="1"/>
  <c r="Q411" i="1" s="1"/>
  <c r="T311" i="1"/>
  <c r="T314" i="1" s="1"/>
  <c r="T130" i="1" s="1"/>
  <c r="T271" i="1"/>
  <c r="T274" i="1" s="1"/>
  <c r="T256" i="1" s="1"/>
  <c r="Q701" i="21"/>
  <c r="R259" i="21"/>
  <c r="N5" i="1"/>
  <c r="CB5" i="1" s="1"/>
  <c r="T631" i="21"/>
  <c r="U131" i="21"/>
  <c r="Q69" i="1"/>
  <c r="Q70" i="1" s="1"/>
  <c r="CB4" i="1"/>
  <c r="CH4" i="1" s="1"/>
  <c r="CH6" i="1" s="1"/>
  <c r="P302" i="21"/>
  <c r="P742" i="21" s="1"/>
  <c r="P301" i="21"/>
  <c r="P741" i="21" s="1"/>
  <c r="P19" i="21"/>
  <c r="P548" i="21" s="1"/>
  <c r="P703" i="21"/>
  <c r="P263" i="21"/>
  <c r="P705" i="21" s="1"/>
  <c r="P273" i="21"/>
  <c r="P715" i="21" s="1"/>
  <c r="P271" i="21"/>
  <c r="P713" i="21" s="1"/>
  <c r="R262" i="21"/>
  <c r="Q704" i="21"/>
  <c r="Q261" i="21"/>
  <c r="S274" i="1"/>
  <c r="S256" i="1" s="1"/>
  <c r="S166" i="1" s="1"/>
  <c r="BZ19" i="21"/>
  <c r="CL7" i="21" s="1"/>
  <c r="CL9" i="21" s="1"/>
  <c r="O548" i="21"/>
  <c r="S130" i="1"/>
  <c r="S447" i="1" s="1"/>
  <c r="N238" i="1"/>
  <c r="N235" i="1" s="1"/>
  <c r="N236" i="1" s="1"/>
  <c r="P708" i="21"/>
  <c r="P299" i="21"/>
  <c r="J31" i="22"/>
  <c r="J35" i="22" s="1"/>
  <c r="J13" i="24"/>
  <c r="J23" i="25"/>
  <c r="J27" i="25" s="1"/>
  <c r="V385" i="21"/>
  <c r="V143" i="21" s="1"/>
  <c r="V642" i="21" s="1"/>
  <c r="U143" i="21"/>
  <c r="U642" i="21" s="1"/>
  <c r="N319" i="21"/>
  <c r="O316" i="21"/>
  <c r="S618" i="21"/>
  <c r="T117" i="21"/>
  <c r="J15" i="24"/>
  <c r="K16" i="24" s="1"/>
  <c r="N356" i="25"/>
  <c r="N358" i="25"/>
  <c r="N366" i="25" s="1"/>
  <c r="O347" i="25"/>
  <c r="N423" i="1"/>
  <c r="N9" i="1"/>
  <c r="N10" i="1" s="1"/>
  <c r="AC118" i="18"/>
  <c r="AC119" i="18"/>
  <c r="DD119" i="18" s="1"/>
  <c r="DD117" i="18"/>
  <c r="AK117" i="18"/>
  <c r="AK114" i="18"/>
  <c r="DG113" i="18"/>
  <c r="AJ117" i="18"/>
  <c r="DF117" i="18" s="1"/>
  <c r="AJ114" i="18"/>
  <c r="DK113" i="18"/>
  <c r="R274" i="21"/>
  <c r="Q716" i="21"/>
  <c r="Q266" i="21"/>
  <c r="S636" i="21"/>
  <c r="T136" i="21"/>
  <c r="K98" i="25"/>
  <c r="DF113" i="18"/>
  <c r="P117" i="18"/>
  <c r="CR117" i="18" s="1"/>
  <c r="P114" i="18"/>
  <c r="CM113" i="18"/>
  <c r="CR113" i="18"/>
  <c r="Q700" i="21"/>
  <c r="R258" i="21"/>
  <c r="T612" i="21"/>
  <c r="U110" i="21"/>
  <c r="F322" i="21"/>
  <c r="F320" i="21"/>
  <c r="F305" i="21"/>
  <c r="AK148" i="18"/>
  <c r="DG148" i="18" s="1"/>
  <c r="DG140" i="18"/>
  <c r="AN140" i="18"/>
  <c r="DJ140" i="18" s="1"/>
  <c r="AJ148" i="18"/>
  <c r="DK140" i="18"/>
  <c r="DF140" i="18"/>
  <c r="M251" i="25"/>
  <c r="L221" i="25"/>
  <c r="L102" i="25" s="1"/>
  <c r="L105" i="25" s="1"/>
  <c r="AA75" i="16"/>
  <c r="AA90" i="16" s="1"/>
  <c r="O740" i="21"/>
  <c r="O313" i="21"/>
  <c r="S635" i="21"/>
  <c r="T135" i="21"/>
  <c r="S470" i="21"/>
  <c r="S68" i="21" s="1"/>
  <c r="V29" i="1"/>
  <c r="W73" i="1"/>
  <c r="W29" i="1" s="1"/>
  <c r="T116" i="21"/>
  <c r="T617" i="21" s="1"/>
  <c r="U377" i="21"/>
  <c r="W91" i="14"/>
  <c r="AH71" i="14" s="1"/>
  <c r="Q94" i="21"/>
  <c r="Q562" i="21"/>
  <c r="U55" i="1"/>
  <c r="U412" i="1"/>
  <c r="S610" i="21"/>
  <c r="T108" i="21"/>
  <c r="U306" i="1"/>
  <c r="U266" i="1"/>
  <c r="T426" i="21"/>
  <c r="T466" i="21"/>
  <c r="U313" i="1"/>
  <c r="U273" i="1"/>
  <c r="O368" i="25"/>
  <c r="O369" i="25" s="1"/>
  <c r="O371" i="25" s="1"/>
  <c r="N369" i="25"/>
  <c r="N371" i="25" s="1"/>
  <c r="O107" i="1"/>
  <c r="O430" i="1" s="1"/>
  <c r="K47" i="24"/>
  <c r="L25" i="24"/>
  <c r="L28" i="24" s="1"/>
  <c r="L29" i="24" s="1"/>
  <c r="K139" i="24"/>
  <c r="T469" i="21"/>
  <c r="T429" i="21"/>
  <c r="T468" i="21"/>
  <c r="T428" i="21"/>
  <c r="S430" i="21"/>
  <c r="S412" i="21" s="1"/>
  <c r="S133" i="21" s="1"/>
  <c r="O763" i="21"/>
  <c r="U270" i="1"/>
  <c r="U310" i="1"/>
  <c r="E544" i="21"/>
  <c r="BW12" i="21"/>
  <c r="S611" i="21"/>
  <c r="T109" i="21"/>
  <c r="T132" i="21"/>
  <c r="S632" i="21"/>
  <c r="V119" i="18"/>
  <c r="V118" i="18"/>
  <c r="K38" i="12"/>
  <c r="L38" i="12" s="1"/>
  <c r="M38" i="12" s="1"/>
  <c r="N38" i="12" s="1"/>
  <c r="O38" i="12" s="1"/>
  <c r="J51" i="12"/>
  <c r="E653" i="21"/>
  <c r="E164" i="21"/>
  <c r="L30" i="12"/>
  <c r="K74" i="12"/>
  <c r="Z10" i="16" s="1"/>
  <c r="Z123" i="16" s="1"/>
  <c r="E74" i="21"/>
  <c r="E477" i="21"/>
  <c r="E487" i="21" s="1"/>
  <c r="E595" i="21"/>
  <c r="E71" i="21"/>
  <c r="E596" i="21" s="1"/>
  <c r="K221" i="25"/>
  <c r="K102" i="25" s="1"/>
  <c r="K105" i="25" s="1"/>
  <c r="K112" i="25" s="1"/>
  <c r="L251" i="25"/>
  <c r="Z75" i="16"/>
  <c r="R552" i="21"/>
  <c r="R818" i="21"/>
  <c r="S23" i="21"/>
  <c r="S552" i="21" s="1"/>
  <c r="S710" i="21"/>
  <c r="T268" i="21"/>
  <c r="V422" i="21"/>
  <c r="V462" i="21"/>
  <c r="U345" i="21"/>
  <c r="T53" i="21"/>
  <c r="T578" i="21" s="1"/>
  <c r="Q754" i="21"/>
  <c r="Q756" i="21" s="1"/>
  <c r="R787" i="21"/>
  <c r="U267" i="1"/>
  <c r="U307" i="1"/>
  <c r="P761" i="21"/>
  <c r="P758" i="21"/>
  <c r="P760" i="21" s="1"/>
  <c r="V779" i="21"/>
  <c r="W779" i="21"/>
  <c r="S687" i="21"/>
  <c r="T245" i="21"/>
  <c r="S18" i="21"/>
  <c r="S547" i="21" s="1"/>
  <c r="Q746" i="21"/>
  <c r="Q27" i="21"/>
  <c r="Q556" i="21" s="1"/>
  <c r="S326" i="21"/>
  <c r="R306" i="21"/>
  <c r="U427" i="21"/>
  <c r="U467" i="21"/>
  <c r="T267" i="21"/>
  <c r="S22" i="21"/>
  <c r="S551" i="21" s="1"/>
  <c r="S709" i="21"/>
  <c r="R332" i="21"/>
  <c r="R328" i="21" s="1"/>
  <c r="R330" i="21" s="1"/>
  <c r="R37" i="21" s="1"/>
  <c r="V464" i="21"/>
  <c r="V424" i="21"/>
  <c r="T608" i="21"/>
  <c r="U106" i="21"/>
  <c r="S321" i="21"/>
  <c r="S21" i="21"/>
  <c r="S550" i="21" s="1"/>
  <c r="S707" i="21"/>
  <c r="S272" i="21"/>
  <c r="S270" i="21"/>
  <c r="T265" i="21"/>
  <c r="T379" i="21"/>
  <c r="S119" i="21"/>
  <c r="S620" i="21" s="1"/>
  <c r="AA93" i="16"/>
  <c r="AA96" i="16"/>
  <c r="AA94" i="16"/>
  <c r="AA230" i="16"/>
  <c r="AA235" i="16"/>
  <c r="R712" i="21"/>
  <c r="R290" i="21"/>
  <c r="R731" i="21" s="1"/>
  <c r="U634" i="21"/>
  <c r="V134" i="21"/>
  <c r="V634" i="21" s="1"/>
  <c r="R291" i="21"/>
  <c r="R732" i="21" s="1"/>
  <c r="R714" i="21"/>
  <c r="S331" i="21"/>
  <c r="T269" i="21"/>
  <c r="S711" i="21"/>
  <c r="S24" i="21"/>
  <c r="S553" i="21" s="1"/>
  <c r="W370" i="1"/>
  <c r="W381" i="1" s="1"/>
  <c r="V381" i="1"/>
  <c r="G409" i="25"/>
  <c r="K287" i="25"/>
  <c r="K237" i="24"/>
  <c r="K53" i="25"/>
  <c r="K54" i="25" s="1"/>
  <c r="U425" i="21"/>
  <c r="U465" i="21"/>
  <c r="K42" i="25"/>
  <c r="K46" i="25"/>
  <c r="K47" i="25" s="1"/>
  <c r="S102" i="1"/>
  <c r="L41" i="25"/>
  <c r="L236" i="24"/>
  <c r="L229" i="24"/>
  <c r="L230" i="24" s="1"/>
  <c r="R515" i="21"/>
  <c r="R524" i="21" s="1"/>
  <c r="R527" i="21" s="1"/>
  <c r="R528" i="21" s="1"/>
  <c r="R529" i="21" s="1"/>
  <c r="S514" i="21"/>
  <c r="N226" i="24"/>
  <c r="O226" i="24" s="1"/>
  <c r="P226" i="24" s="1"/>
  <c r="Q226" i="24" s="1"/>
  <c r="R226" i="24" s="1"/>
  <c r="S226" i="24" s="1"/>
  <c r="T226" i="24" s="1"/>
  <c r="U226" i="24" s="1"/>
  <c r="V226" i="24" s="1"/>
  <c r="W226" i="24" s="1"/>
  <c r="X226" i="24" s="1"/>
  <c r="Y226" i="24" s="1"/>
  <c r="Z226" i="24" s="1"/>
  <c r="M225" i="24"/>
  <c r="N233" i="24"/>
  <c r="O233" i="24" s="1"/>
  <c r="P233" i="24" s="1"/>
  <c r="Q233" i="24" s="1"/>
  <c r="R233" i="24" s="1"/>
  <c r="S233" i="24" s="1"/>
  <c r="T233" i="24" s="1"/>
  <c r="U233" i="24" s="1"/>
  <c r="V233" i="24" s="1"/>
  <c r="W233" i="24" s="1"/>
  <c r="X233" i="24" s="1"/>
  <c r="Y233" i="24" s="1"/>
  <c r="Z233" i="24" s="1"/>
  <c r="M232" i="24"/>
  <c r="M49" i="25" s="1"/>
  <c r="Y75" i="16"/>
  <c r="J221" i="25"/>
  <c r="J102" i="25" s="1"/>
  <c r="J105" i="25" s="1"/>
  <c r="J112" i="25" s="1"/>
  <c r="K251" i="25"/>
  <c r="N235" i="24"/>
  <c r="O235" i="24" s="1"/>
  <c r="P235" i="24" s="1"/>
  <c r="Q235" i="24" s="1"/>
  <c r="R235" i="24" s="1"/>
  <c r="S235" i="24" s="1"/>
  <c r="T235" i="24" s="1"/>
  <c r="U235" i="24" s="1"/>
  <c r="V235" i="24" s="1"/>
  <c r="W235" i="24" s="1"/>
  <c r="X235" i="24" s="1"/>
  <c r="Y235" i="24" s="1"/>
  <c r="Z235" i="24" s="1"/>
  <c r="M234" i="24"/>
  <c r="M51" i="25" s="1"/>
  <c r="N228" i="24"/>
  <c r="O228" i="24" s="1"/>
  <c r="P228" i="24" s="1"/>
  <c r="Q228" i="24" s="1"/>
  <c r="R228" i="24" s="1"/>
  <c r="S228" i="24" s="1"/>
  <c r="T228" i="24" s="1"/>
  <c r="U228" i="24" s="1"/>
  <c r="V228" i="24" s="1"/>
  <c r="W228" i="24" s="1"/>
  <c r="X228" i="24" s="1"/>
  <c r="Y228" i="24" s="1"/>
  <c r="Z228" i="24" s="1"/>
  <c r="M227" i="24"/>
  <c r="M43" i="25" s="1"/>
  <c r="Q281" i="21"/>
  <c r="Q254" i="21"/>
  <c r="Q696" i="21" s="1"/>
  <c r="Q296" i="21"/>
  <c r="Q737" i="21" s="1"/>
  <c r="Q691" i="21"/>
  <c r="S37" i="1"/>
  <c r="R20" i="1"/>
  <c r="R19" i="1"/>
  <c r="O591" i="14"/>
  <c r="N592" i="14"/>
  <c r="N278" i="25"/>
  <c r="O278" i="25" s="1"/>
  <c r="M277" i="25"/>
  <c r="M108" i="25" s="1"/>
  <c r="Q256" i="21"/>
  <c r="Q698" i="21" s="1"/>
  <c r="S609" i="21"/>
  <c r="T107" i="21"/>
  <c r="L110" i="25"/>
  <c r="U362" i="1"/>
  <c r="T363" i="1"/>
  <c r="P723" i="21"/>
  <c r="P202" i="21"/>
  <c r="P203" i="21" s="1"/>
  <c r="V517" i="21"/>
  <c r="P282" i="21"/>
  <c r="P724" i="21" s="1"/>
  <c r="P692" i="21"/>
  <c r="P255" i="21"/>
  <c r="P697" i="21" s="1"/>
  <c r="P248" i="21"/>
  <c r="T522" i="21"/>
  <c r="S525" i="21"/>
  <c r="L96" i="25"/>
  <c r="L98" i="25" s="1"/>
  <c r="L286" i="25"/>
  <c r="L287" i="25" s="1"/>
  <c r="N281" i="25"/>
  <c r="O281" i="25" s="1"/>
  <c r="M280" i="25"/>
  <c r="M109" i="25" s="1"/>
  <c r="N266" i="25"/>
  <c r="O266" i="25" s="1"/>
  <c r="M265" i="25"/>
  <c r="O35" i="12"/>
  <c r="R278" i="21"/>
  <c r="R720" i="21" s="1"/>
  <c r="R247" i="21"/>
  <c r="R688" i="21"/>
  <c r="S694" i="21"/>
  <c r="S253" i="21"/>
  <c r="S695" i="21" s="1"/>
  <c r="S246" i="21"/>
  <c r="T252" i="21"/>
  <c r="S520" i="21"/>
  <c r="T521" i="21"/>
  <c r="N275" i="25"/>
  <c r="O275" i="25" s="1"/>
  <c r="M274" i="25"/>
  <c r="M91" i="25" s="1"/>
  <c r="U628" i="21"/>
  <c r="V127" i="21"/>
  <c r="V628" i="21" s="1"/>
  <c r="N272" i="25"/>
  <c r="O272" i="25" s="1"/>
  <c r="M271" i="25"/>
  <c r="M97" i="25" s="1"/>
  <c r="AD6" i="16"/>
  <c r="N269" i="25"/>
  <c r="O269" i="25" s="1"/>
  <c r="M268" i="25"/>
  <c r="M95" i="25" s="1"/>
  <c r="W367" i="1"/>
  <c r="W368" i="1" s="1"/>
  <c r="V368" i="1"/>
  <c r="Q689" i="21"/>
  <c r="Q341" i="21"/>
  <c r="Q46" i="21" s="1"/>
  <c r="Q571" i="21" s="1"/>
  <c r="Q250" i="21"/>
  <c r="Q279" i="21"/>
  <c r="Q721" i="21" s="1"/>
  <c r="N284" i="25"/>
  <c r="O284" i="25" s="1"/>
  <c r="M283" i="25"/>
  <c r="M104" i="25" s="1"/>
  <c r="M105" i="25" s="1"/>
  <c r="S639" i="21"/>
  <c r="T140" i="21"/>
  <c r="Q36" i="1"/>
  <c r="Q43" i="1"/>
  <c r="W309" i="1"/>
  <c r="W269" i="1"/>
  <c r="V498" i="21"/>
  <c r="V499" i="21" s="1"/>
  <c r="H135" i="25"/>
  <c r="W114" i="16" s="1"/>
  <c r="H153" i="25"/>
  <c r="H157" i="25" s="1"/>
  <c r="H159" i="25" s="1"/>
  <c r="W109" i="16"/>
  <c r="I21" i="31"/>
  <c r="L8" i="19"/>
  <c r="L12" i="19" s="1"/>
  <c r="J9" i="12"/>
  <c r="C702" i="14"/>
  <c r="Y21" i="16"/>
  <c r="J141" i="25"/>
  <c r="J139" i="25"/>
  <c r="C8" i="27"/>
  <c r="D9" i="27" s="1"/>
  <c r="J382" i="25"/>
  <c r="J388" i="25" s="1"/>
  <c r="J56" i="25"/>
  <c r="J13" i="25"/>
  <c r="L9" i="19" s="1"/>
  <c r="J14" i="25"/>
  <c r="K13" i="25"/>
  <c r="M9" i="19" s="1"/>
  <c r="H73" i="25"/>
  <c r="H65" i="25"/>
  <c r="X230" i="16"/>
  <c r="X235" i="16"/>
  <c r="X93" i="16"/>
  <c r="X91" i="16"/>
  <c r="X96" i="16"/>
  <c r="X89" i="16"/>
  <c r="X94" i="16"/>
  <c r="X90" i="16"/>
  <c r="I294" i="25"/>
  <c r="I299" i="25"/>
  <c r="I302" i="25"/>
  <c r="J16" i="25"/>
  <c r="H31" i="31"/>
  <c r="X31" i="16"/>
  <c r="I78" i="25"/>
  <c r="I319" i="25"/>
  <c r="I84" i="25"/>
  <c r="O14" i="12"/>
  <c r="O19" i="12" s="1"/>
  <c r="N19" i="12"/>
  <c r="H18" i="25"/>
  <c r="H16" i="25"/>
  <c r="I18" i="25"/>
  <c r="O213" i="25"/>
  <c r="O211" i="25"/>
  <c r="O215" i="25" s="1"/>
  <c r="J28" i="22"/>
  <c r="D5" i="22"/>
  <c r="J29" i="22"/>
  <c r="K28" i="22"/>
  <c r="O98" i="1"/>
  <c r="O95" i="1"/>
  <c r="O421" i="1" s="1"/>
  <c r="O420" i="1"/>
  <c r="L91" i="14"/>
  <c r="O212" i="1"/>
  <c r="O4" i="1"/>
  <c r="O101" i="1"/>
  <c r="O426" i="1" s="1"/>
  <c r="W25" i="1"/>
  <c r="V408" i="1"/>
  <c r="V462" i="1"/>
  <c r="V464" i="1" s="1"/>
  <c r="T26" i="1"/>
  <c r="S409" i="1"/>
  <c r="S78" i="1"/>
  <c r="S79" i="1" s="1"/>
  <c r="S75" i="1" s="1"/>
  <c r="S77" i="1" s="1"/>
  <c r="R79" i="1"/>
  <c r="R75" i="1" s="1"/>
  <c r="O108" i="1"/>
  <c r="V497" i="1"/>
  <c r="O109" i="1"/>
  <c r="T93" i="1"/>
  <c r="T468" i="1"/>
  <c r="T471" i="1" s="1"/>
  <c r="V530" i="1"/>
  <c r="U469" i="1"/>
  <c r="U110" i="1" s="1"/>
  <c r="U466" i="1"/>
  <c r="BM111" i="18"/>
  <c r="AC80" i="16"/>
  <c r="S210" i="24"/>
  <c r="J880" i="14" s="1"/>
  <c r="T107" i="24"/>
  <c r="M22" i="24"/>
  <c r="S183" i="24"/>
  <c r="T207" i="24"/>
  <c r="CL119" i="18"/>
  <c r="CG106" i="18"/>
  <c r="E113" i="18"/>
  <c r="E107" i="18"/>
  <c r="AN119" i="18"/>
  <c r="I80" i="25" s="1"/>
  <c r="AN118" i="18"/>
  <c r="AI114" i="18"/>
  <c r="AI117" i="18"/>
  <c r="AE119" i="18"/>
  <c r="DA119" i="18" s="1"/>
  <c r="AE118" i="18"/>
  <c r="DA117" i="18"/>
  <c r="Q118" i="18"/>
  <c r="Q119" i="18"/>
  <c r="CN119" i="18" s="1"/>
  <c r="CN117" i="18"/>
  <c r="CQ119" i="18"/>
  <c r="CV119" i="18"/>
  <c r="AA118" i="18"/>
  <c r="AA119" i="18"/>
  <c r="CW117" i="18"/>
  <c r="DI148" i="18"/>
  <c r="AQ107" i="18"/>
  <c r="AQ113" i="18"/>
  <c r="DR106" i="18"/>
  <c r="DM106" i="18"/>
  <c r="AM119" i="18"/>
  <c r="DI119" i="18" s="1"/>
  <c r="AM118" i="18"/>
  <c r="DI117" i="18"/>
  <c r="DM138" i="18"/>
  <c r="DR138" i="18"/>
  <c r="AQ140" i="18"/>
  <c r="AP148" i="18"/>
  <c r="DL140" i="18"/>
  <c r="DQ140" i="18"/>
  <c r="AP114" i="18"/>
  <c r="DL113" i="18"/>
  <c r="AP117" i="18"/>
  <c r="DQ113" i="18"/>
  <c r="AS113" i="18"/>
  <c r="AS107" i="18"/>
  <c r="DO106" i="18"/>
  <c r="Y107" i="18"/>
  <c r="CU106" i="18"/>
  <c r="Y113" i="18"/>
  <c r="CZ113" i="18" s="1"/>
  <c r="W118" i="18"/>
  <c r="CS117" i="18"/>
  <c r="W119" i="18"/>
  <c r="CX117" i="18"/>
  <c r="BT96" i="18"/>
  <c r="AR103" i="18"/>
  <c r="DN96" i="18"/>
  <c r="AR138" i="18"/>
  <c r="AR106" i="18"/>
  <c r="AR97" i="18"/>
  <c r="BR96" i="18"/>
  <c r="DS96" i="18"/>
  <c r="F171" i="30" s="1"/>
  <c r="CP113" i="18"/>
  <c r="S117" i="18"/>
  <c r="S114" i="18"/>
  <c r="F107" i="18"/>
  <c r="F113" i="18"/>
  <c r="CH106" i="18"/>
  <c r="R119" i="18"/>
  <c r="CO119" i="18" s="1"/>
  <c r="R118" i="18"/>
  <c r="CO117" i="18"/>
  <c r="AL118" i="18"/>
  <c r="DH117" i="18"/>
  <c r="AL119" i="18"/>
  <c r="DM117" i="18"/>
  <c r="X118" i="18"/>
  <c r="CT117" i="18"/>
  <c r="X119" i="18"/>
  <c r="CY117" i="18"/>
  <c r="AD117" i="18"/>
  <c r="AD114" i="18"/>
  <c r="DE113" i="18"/>
  <c r="I106" i="18"/>
  <c r="I97" i="18"/>
  <c r="CK96" i="18"/>
  <c r="DX119" i="18"/>
  <c r="EC119" i="18"/>
  <c r="T23" i="1" l="1"/>
  <c r="K869" i="14"/>
  <c r="K962" i="14"/>
  <c r="T41" i="1"/>
  <c r="T404" i="1"/>
  <c r="R67" i="1"/>
  <c r="R28" i="1"/>
  <c r="R30" i="1" s="1"/>
  <c r="R413" i="1" s="1"/>
  <c r="S7" i="25"/>
  <c r="J494" i="14" s="1"/>
  <c r="S351" i="24"/>
  <c r="J910" i="14" s="1"/>
  <c r="J955" i="14" s="1"/>
  <c r="R7" i="25"/>
  <c r="H651" i="14" s="1"/>
  <c r="J651" i="14" s="1"/>
  <c r="R351" i="24"/>
  <c r="I910" i="14" s="1"/>
  <c r="I955" i="14" s="1"/>
  <c r="R69" i="1"/>
  <c r="R70" i="1" s="1"/>
  <c r="R90" i="1" s="1"/>
  <c r="Y90" i="1" s="1"/>
  <c r="U403" i="1"/>
  <c r="V18" i="1"/>
  <c r="V21" i="1" s="1"/>
  <c r="U21" i="1"/>
  <c r="U477" i="1" s="1"/>
  <c r="V308" i="1"/>
  <c r="U255" i="1"/>
  <c r="U171" i="1" s="1"/>
  <c r="T83" i="1"/>
  <c r="S404" i="1"/>
  <c r="S23" i="1"/>
  <c r="S41" i="1"/>
  <c r="P95" i="1"/>
  <c r="P421" i="1" s="1"/>
  <c r="P413" i="1"/>
  <c r="S42" i="1"/>
  <c r="P82" i="1"/>
  <c r="P84" i="1" s="1"/>
  <c r="P4" i="1"/>
  <c r="CD4" i="1" s="1"/>
  <c r="CJ4" i="1" s="1"/>
  <c r="CJ6" i="1" s="1"/>
  <c r="K29" i="20"/>
  <c r="D3" i="13"/>
  <c r="P420" i="1"/>
  <c r="T44" i="1"/>
  <c r="P212" i="1"/>
  <c r="P342" i="1" s="1"/>
  <c r="S44" i="1"/>
  <c r="S83" i="1"/>
  <c r="P98" i="1"/>
  <c r="P423" i="1" s="1"/>
  <c r="P417" i="1"/>
  <c r="P72" i="1"/>
  <c r="U107" i="24"/>
  <c r="U73" i="24" s="1"/>
  <c r="T73" i="24"/>
  <c r="J932" i="14"/>
  <c r="T280" i="24"/>
  <c r="V250" i="24"/>
  <c r="R184" i="24"/>
  <c r="I494" i="14"/>
  <c r="T494" i="14" s="1"/>
  <c r="Y133" i="25"/>
  <c r="O994" i="14"/>
  <c r="Y278" i="24"/>
  <c r="M1266" i="14" s="1"/>
  <c r="P918" i="14"/>
  <c r="X278" i="24"/>
  <c r="L1266" i="14" s="1"/>
  <c r="O918" i="14"/>
  <c r="N920" i="14"/>
  <c r="U161" i="24"/>
  <c r="K40" i="22"/>
  <c r="L41" i="22" s="1"/>
  <c r="CE28" i="1"/>
  <c r="CQ13" i="1" s="1"/>
  <c r="CQ15" i="1" s="1"/>
  <c r="L27" i="20"/>
  <c r="Q30" i="1"/>
  <c r="CE30" i="1" s="1"/>
  <c r="CQ21" i="1" s="1"/>
  <c r="CQ23" i="1" s="1"/>
  <c r="Q54" i="1"/>
  <c r="R137" i="21"/>
  <c r="R637" i="21" s="1"/>
  <c r="Z232" i="16"/>
  <c r="Z235" i="16" s="1"/>
  <c r="Z86" i="16"/>
  <c r="Z96" i="16" s="1"/>
  <c r="Y103" i="25"/>
  <c r="X105" i="25"/>
  <c r="X112" i="25" s="1"/>
  <c r="X118" i="25" s="1"/>
  <c r="K11" i="12"/>
  <c r="K12" i="12" s="1"/>
  <c r="E12" i="27"/>
  <c r="X115" i="25"/>
  <c r="W114" i="25"/>
  <c r="L509" i="14"/>
  <c r="V169" i="25"/>
  <c r="L28" i="25"/>
  <c r="W99" i="14"/>
  <c r="AH86" i="14" s="1"/>
  <c r="W98" i="14"/>
  <c r="AH81" i="14" s="1"/>
  <c r="K28" i="25"/>
  <c r="Q90" i="1"/>
  <c r="Q417" i="1" s="1"/>
  <c r="S333" i="1"/>
  <c r="Q72" i="1"/>
  <c r="T407" i="1"/>
  <c r="U24" i="1"/>
  <c r="R485" i="21"/>
  <c r="Q82" i="1"/>
  <c r="Q84" i="1" s="1"/>
  <c r="R182" i="21"/>
  <c r="R675" i="21" s="1"/>
  <c r="DH119" i="18"/>
  <c r="CX6" i="1"/>
  <c r="CX21" i="1" s="1"/>
  <c r="CX23" i="1" s="1"/>
  <c r="AN148" i="18"/>
  <c r="DJ148" i="18" s="1"/>
  <c r="N248" i="1"/>
  <c r="T470" i="21"/>
  <c r="T68" i="21" s="1"/>
  <c r="CB9" i="1"/>
  <c r="CH10" i="1" s="1"/>
  <c r="CH12" i="1" s="1"/>
  <c r="N105" i="1"/>
  <c r="N428" i="1" s="1"/>
  <c r="J16" i="24"/>
  <c r="N393" i="1"/>
  <c r="I6" i="20"/>
  <c r="S148" i="1"/>
  <c r="N397" i="1"/>
  <c r="AC397" i="1" s="1"/>
  <c r="N112" i="1"/>
  <c r="N114" i="1" s="1"/>
  <c r="J17" i="24"/>
  <c r="S262" i="1"/>
  <c r="S263" i="1" s="1"/>
  <c r="U631" i="21"/>
  <c r="V131" i="21"/>
  <c r="V631" i="21" s="1"/>
  <c r="S259" i="21"/>
  <c r="R701" i="21"/>
  <c r="T304" i="1"/>
  <c r="I10" i="20"/>
  <c r="S262" i="21"/>
  <c r="R704" i="21"/>
  <c r="R261" i="21"/>
  <c r="R336" i="21" s="1"/>
  <c r="U311" i="1"/>
  <c r="U314" i="1" s="1"/>
  <c r="U271" i="1"/>
  <c r="T430" i="21"/>
  <c r="T412" i="21" s="1"/>
  <c r="T133" i="21" s="1"/>
  <c r="Q703" i="21"/>
  <c r="Q271" i="21"/>
  <c r="Q713" i="21" s="1"/>
  <c r="Q263" i="21"/>
  <c r="Q705" i="21" s="1"/>
  <c r="Q302" i="21"/>
  <c r="Q742" i="21" s="1"/>
  <c r="Q336" i="21"/>
  <c r="Q19" i="21"/>
  <c r="Q548" i="21" s="1"/>
  <c r="Q273" i="21"/>
  <c r="Q715" i="21" s="1"/>
  <c r="Q301" i="21"/>
  <c r="Q741" i="21" s="1"/>
  <c r="S460" i="21"/>
  <c r="F323" i="21"/>
  <c r="F335" i="21"/>
  <c r="F337" i="21" s="1"/>
  <c r="F307" i="21" s="1"/>
  <c r="N373" i="25"/>
  <c r="N31" i="12" s="1"/>
  <c r="N70" i="12" s="1"/>
  <c r="I109" i="31"/>
  <c r="J25" i="25"/>
  <c r="J10" i="12"/>
  <c r="J11" i="12" s="1"/>
  <c r="J12" i="12" s="1"/>
  <c r="Y24" i="16"/>
  <c r="J405" i="25"/>
  <c r="I24" i="31"/>
  <c r="I25" i="31" s="1"/>
  <c r="I26" i="31" s="1"/>
  <c r="J24" i="25"/>
  <c r="C11" i="27"/>
  <c r="D12" i="27" s="1"/>
  <c r="J126" i="25"/>
  <c r="J188" i="25"/>
  <c r="K24" i="25"/>
  <c r="V110" i="21"/>
  <c r="V612" i="21" s="1"/>
  <c r="U612" i="21"/>
  <c r="M250" i="25"/>
  <c r="M257" i="25"/>
  <c r="M70" i="25" s="1"/>
  <c r="DF148" i="18"/>
  <c r="DK148" i="18"/>
  <c r="F745" i="21"/>
  <c r="F26" i="21"/>
  <c r="T618" i="21"/>
  <c r="U117" i="21"/>
  <c r="N322" i="21"/>
  <c r="N305" i="21"/>
  <c r="N320" i="21"/>
  <c r="J33" i="22"/>
  <c r="K32" i="22"/>
  <c r="J32" i="22"/>
  <c r="Q299" i="21"/>
  <c r="Q708" i="21"/>
  <c r="S274" i="21"/>
  <c r="R716" i="21"/>
  <c r="R266" i="21"/>
  <c r="L112" i="25"/>
  <c r="S258" i="21"/>
  <c r="S249" i="21" s="1"/>
  <c r="R700" i="21"/>
  <c r="P316" i="21"/>
  <c r="O319" i="21"/>
  <c r="AK119" i="18"/>
  <c r="DG119" i="18" s="1"/>
  <c r="AK118" i="18"/>
  <c r="DG117" i="18"/>
  <c r="P119" i="18"/>
  <c r="CM119" i="18" s="1"/>
  <c r="CM117" i="18"/>
  <c r="P118" i="18"/>
  <c r="CW119" i="18"/>
  <c r="U136" i="21"/>
  <c r="T636" i="21"/>
  <c r="O358" i="25"/>
  <c r="O366" i="25" s="1"/>
  <c r="O356" i="25"/>
  <c r="O373" i="25" s="1"/>
  <c r="O31" i="12" s="1"/>
  <c r="O70" i="12" s="1"/>
  <c r="P313" i="21"/>
  <c r="P740" i="21"/>
  <c r="AJ118" i="18"/>
  <c r="DK117" i="18"/>
  <c r="AJ119" i="18"/>
  <c r="DK119" i="18" s="1"/>
  <c r="AA77" i="16"/>
  <c r="AA91" i="16" s="1"/>
  <c r="AA72" i="16"/>
  <c r="AA89" i="16" s="1"/>
  <c r="R249" i="21"/>
  <c r="R256" i="21" s="1"/>
  <c r="R698" i="21" s="1"/>
  <c r="V377" i="21"/>
  <c r="V116" i="21" s="1"/>
  <c r="V617" i="21" s="1"/>
  <c r="U116" i="21"/>
  <c r="U617" i="21" s="1"/>
  <c r="V273" i="1"/>
  <c r="V313" i="1"/>
  <c r="P107" i="1"/>
  <c r="P430" i="1" s="1"/>
  <c r="W55" i="1"/>
  <c r="W412" i="1"/>
  <c r="V55" i="1"/>
  <c r="V412" i="1"/>
  <c r="F790" i="21"/>
  <c r="F791" i="21" s="1"/>
  <c r="F792" i="21" s="1"/>
  <c r="F800" i="21" s="1"/>
  <c r="U466" i="21"/>
  <c r="U426" i="21"/>
  <c r="V266" i="1"/>
  <c r="V306" i="1"/>
  <c r="U135" i="21"/>
  <c r="T635" i="21"/>
  <c r="U108" i="21"/>
  <c r="T610" i="21"/>
  <c r="M25" i="24"/>
  <c r="M28" i="24" s="1"/>
  <c r="M29" i="24" s="1"/>
  <c r="L47" i="24"/>
  <c r="L139" i="24"/>
  <c r="T183" i="24"/>
  <c r="U207" i="24"/>
  <c r="E507" i="21"/>
  <c r="E509" i="21" s="1"/>
  <c r="E489" i="21"/>
  <c r="E599" i="21"/>
  <c r="E76" i="21"/>
  <c r="E601" i="21" s="1"/>
  <c r="E13" i="21"/>
  <c r="E80" i="21"/>
  <c r="E75" i="21"/>
  <c r="E600" i="21" s="1"/>
  <c r="V310" i="1"/>
  <c r="V270" i="1"/>
  <c r="M30" i="12"/>
  <c r="L74" i="12"/>
  <c r="AA10" i="16" s="1"/>
  <c r="AA123" i="16" s="1"/>
  <c r="E659" i="21"/>
  <c r="E186" i="21"/>
  <c r="E679" i="21" s="1"/>
  <c r="U428" i="21"/>
  <c r="U468" i="21"/>
  <c r="U469" i="21"/>
  <c r="U429" i="21"/>
  <c r="T447" i="1"/>
  <c r="T333" i="1"/>
  <c r="S418" i="21"/>
  <c r="S419" i="21" s="1"/>
  <c r="Z72" i="16"/>
  <c r="Z89" i="16" s="1"/>
  <c r="Z77" i="16"/>
  <c r="Z91" i="16" s="1"/>
  <c r="Z90" i="16"/>
  <c r="U132" i="21"/>
  <c r="T632" i="21"/>
  <c r="L250" i="25"/>
  <c r="L257" i="25"/>
  <c r="T611" i="21"/>
  <c r="U109" i="21"/>
  <c r="S485" i="21"/>
  <c r="S593" i="21"/>
  <c r="S182" i="21"/>
  <c r="S675" i="21" s="1"/>
  <c r="P763" i="21"/>
  <c r="W497" i="1"/>
  <c r="V467" i="21"/>
  <c r="V427" i="21"/>
  <c r="R27" i="21"/>
  <c r="R556" i="21" s="1"/>
  <c r="R746" i="21"/>
  <c r="V307" i="1"/>
  <c r="V267" i="1"/>
  <c r="T326" i="21"/>
  <c r="S306" i="21"/>
  <c r="S787" i="21"/>
  <c r="R754" i="21"/>
  <c r="R756" i="21" s="1"/>
  <c r="Q761" i="21"/>
  <c r="Q758" i="21"/>
  <c r="Q760" i="21" s="1"/>
  <c r="V345" i="21"/>
  <c r="V53" i="21" s="1"/>
  <c r="V578" i="21" s="1"/>
  <c r="U53" i="21"/>
  <c r="U578" i="21" s="1"/>
  <c r="U245" i="21"/>
  <c r="T18" i="21"/>
  <c r="T547" i="21" s="1"/>
  <c r="T687" i="21"/>
  <c r="T710" i="21"/>
  <c r="T23" i="21"/>
  <c r="T552" i="21" s="1"/>
  <c r="U268" i="21"/>
  <c r="S818" i="21"/>
  <c r="V106" i="21"/>
  <c r="V608" i="21" s="1"/>
  <c r="U608" i="21"/>
  <c r="T119" i="21"/>
  <c r="T620" i="21" s="1"/>
  <c r="U379" i="21"/>
  <c r="T321" i="21"/>
  <c r="U265" i="21"/>
  <c r="T707" i="21"/>
  <c r="T270" i="21"/>
  <c r="T21" i="21"/>
  <c r="T550" i="21" s="1"/>
  <c r="T272" i="21"/>
  <c r="R94" i="21"/>
  <c r="R562" i="21"/>
  <c r="S332" i="21"/>
  <c r="S328" i="21" s="1"/>
  <c r="S330" i="21" s="1"/>
  <c r="S37" i="21" s="1"/>
  <c r="S712" i="21"/>
  <c r="S290" i="21"/>
  <c r="S731" i="21" s="1"/>
  <c r="S714" i="21"/>
  <c r="S291" i="21"/>
  <c r="S732" i="21" s="1"/>
  <c r="U269" i="21"/>
  <c r="T24" i="21"/>
  <c r="T553" i="21" s="1"/>
  <c r="T711" i="21"/>
  <c r="T331" i="21"/>
  <c r="T709" i="21"/>
  <c r="U267" i="21"/>
  <c r="T22" i="21"/>
  <c r="T551" i="21" s="1"/>
  <c r="S137" i="21"/>
  <c r="S637" i="21" s="1"/>
  <c r="S633" i="21"/>
  <c r="BH78" i="18"/>
  <c r="ED78" i="18" s="1"/>
  <c r="M44" i="25"/>
  <c r="M229" i="24"/>
  <c r="M230" i="24" s="1"/>
  <c r="M41" i="25"/>
  <c r="BH84" i="18"/>
  <c r="ED84" i="18" s="1"/>
  <c r="M52" i="25"/>
  <c r="T148" i="1"/>
  <c r="T166" i="1"/>
  <c r="T262" i="1"/>
  <c r="K250" i="25"/>
  <c r="K257" i="25"/>
  <c r="T514" i="21"/>
  <c r="S515" i="21"/>
  <c r="S524" i="21" s="1"/>
  <c r="S527" i="21" s="1"/>
  <c r="S528" i="21" s="1"/>
  <c r="S529" i="21" s="1"/>
  <c r="Y77" i="16"/>
  <c r="Y72" i="16"/>
  <c r="V425" i="21"/>
  <c r="V465" i="21"/>
  <c r="BH83" i="18"/>
  <c r="ED83" i="18" s="1"/>
  <c r="M50" i="25"/>
  <c r="L53" i="25"/>
  <c r="L54" i="25" s="1"/>
  <c r="L237" i="24"/>
  <c r="L42" i="25"/>
  <c r="L46" i="25"/>
  <c r="L47" i="25" s="1"/>
  <c r="W268" i="1"/>
  <c r="W255" i="1" s="1"/>
  <c r="W171" i="1" s="1"/>
  <c r="V255" i="1"/>
  <c r="V171" i="1" s="1"/>
  <c r="W308" i="1"/>
  <c r="M96" i="25"/>
  <c r="M98" i="25" s="1"/>
  <c r="M286" i="25"/>
  <c r="M287" i="25" s="1"/>
  <c r="R36" i="1"/>
  <c r="Y19" i="1"/>
  <c r="R43" i="1"/>
  <c r="T520" i="21"/>
  <c r="U521" i="21"/>
  <c r="T37" i="1"/>
  <c r="S20" i="1"/>
  <c r="S19" i="1"/>
  <c r="U363" i="1"/>
  <c r="V362" i="1"/>
  <c r="Q248" i="21"/>
  <c r="Q257" i="21"/>
  <c r="Q699" i="21" s="1"/>
  <c r="Q282" i="21"/>
  <c r="Q724" i="21" s="1"/>
  <c r="Q255" i="21"/>
  <c r="Q697" i="21" s="1"/>
  <c r="Q692" i="21"/>
  <c r="T609" i="21"/>
  <c r="U107" i="21"/>
  <c r="O592" i="14"/>
  <c r="R591" i="14"/>
  <c r="T246" i="21"/>
  <c r="T253" i="21"/>
  <c r="T695" i="21" s="1"/>
  <c r="T694" i="21"/>
  <c r="U252" i="21"/>
  <c r="R689" i="21"/>
  <c r="R341" i="21"/>
  <c r="R46" i="21" s="1"/>
  <c r="R571" i="21" s="1"/>
  <c r="R250" i="21"/>
  <c r="R279" i="21"/>
  <c r="R721" i="21" s="1"/>
  <c r="Q723" i="21"/>
  <c r="Q202" i="21"/>
  <c r="Q203" i="21" s="1"/>
  <c r="S278" i="21"/>
  <c r="S720" i="21" s="1"/>
  <c r="S688" i="21"/>
  <c r="S247" i="21"/>
  <c r="M110" i="25"/>
  <c r="M112" i="25" s="1"/>
  <c r="T639" i="21"/>
  <c r="U140" i="21"/>
  <c r="U522" i="21"/>
  <c r="T525" i="21"/>
  <c r="P297" i="21"/>
  <c r="P738" i="21" s="1"/>
  <c r="P280" i="21"/>
  <c r="P722" i="21" s="1"/>
  <c r="P690" i="21"/>
  <c r="P295" i="21"/>
  <c r="P736" i="21" s="1"/>
  <c r="X16" i="16"/>
  <c r="I397" i="25"/>
  <c r="T102" i="1"/>
  <c r="DB119" i="18"/>
  <c r="D17" i="27"/>
  <c r="D21" i="27" s="1"/>
  <c r="E15" i="27"/>
  <c r="H136" i="25"/>
  <c r="Y79" i="16"/>
  <c r="Y229" i="16"/>
  <c r="J83" i="12"/>
  <c r="Q83" i="12" s="1"/>
  <c r="W530" i="1"/>
  <c r="J40" i="22"/>
  <c r="J41" i="22" s="1"/>
  <c r="J36" i="22"/>
  <c r="K36" i="22"/>
  <c r="J28" i="25"/>
  <c r="J29" i="25"/>
  <c r="I296" i="25"/>
  <c r="I386" i="25"/>
  <c r="I388" i="25" s="1"/>
  <c r="J59" i="25"/>
  <c r="J228" i="25"/>
  <c r="J57" i="25"/>
  <c r="H77" i="25"/>
  <c r="H292" i="25"/>
  <c r="H74" i="25"/>
  <c r="I32" i="31"/>
  <c r="Y32" i="16"/>
  <c r="J389" i="25"/>
  <c r="J402" i="25"/>
  <c r="J91" i="12"/>
  <c r="N191" i="1"/>
  <c r="N229" i="1"/>
  <c r="L98" i="14"/>
  <c r="O342" i="1"/>
  <c r="O238" i="1"/>
  <c r="O9" i="1"/>
  <c r="I11" i="20"/>
  <c r="CB10" i="1"/>
  <c r="DE8" i="1"/>
  <c r="N398" i="1"/>
  <c r="V469" i="1"/>
  <c r="V110" i="1" s="1"/>
  <c r="V466" i="1"/>
  <c r="L92" i="14"/>
  <c r="X91" i="14"/>
  <c r="AI71" i="14" s="1"/>
  <c r="U468" i="1"/>
  <c r="U471" i="1" s="1"/>
  <c r="U93" i="1"/>
  <c r="O423" i="1"/>
  <c r="O104" i="1"/>
  <c r="P108" i="1"/>
  <c r="O431" i="1"/>
  <c r="W408" i="1"/>
  <c r="W462" i="1"/>
  <c r="W464" i="1" s="1"/>
  <c r="Y75" i="1"/>
  <c r="R77" i="1"/>
  <c r="U26" i="1"/>
  <c r="T42" i="1"/>
  <c r="T409" i="1"/>
  <c r="T78" i="1"/>
  <c r="T79" i="1" s="1"/>
  <c r="T75" i="1" s="1"/>
  <c r="T77" i="1" s="1"/>
  <c r="N190" i="1"/>
  <c r="N228" i="1"/>
  <c r="T406" i="1"/>
  <c r="T40" i="1"/>
  <c r="T60" i="1" s="1"/>
  <c r="T66" i="1" s="1"/>
  <c r="S91" i="1"/>
  <c r="S418" i="1" s="1"/>
  <c r="O432" i="1"/>
  <c r="P109" i="1"/>
  <c r="O392" i="1"/>
  <c r="J5" i="20"/>
  <c r="CY4" i="1"/>
  <c r="CY15" i="1" s="1"/>
  <c r="CY17" i="1" s="1"/>
  <c r="CC4" i="1"/>
  <c r="CI4" i="1" s="1"/>
  <c r="CI6" i="1" s="1"/>
  <c r="O5" i="1"/>
  <c r="N22" i="24"/>
  <c r="T210" i="24"/>
  <c r="K880" i="14" s="1"/>
  <c r="S184" i="24"/>
  <c r="M155" i="24"/>
  <c r="N153" i="24"/>
  <c r="AI118" i="18"/>
  <c r="AI119" i="18"/>
  <c r="DJ119" i="18" s="1"/>
  <c r="DJ117" i="18"/>
  <c r="CG113" i="18"/>
  <c r="E117" i="18"/>
  <c r="E114" i="18"/>
  <c r="CT119" i="18"/>
  <c r="CY119" i="18"/>
  <c r="AS114" i="18"/>
  <c r="DO113" i="18"/>
  <c r="AQ114" i="18"/>
  <c r="DM113" i="18"/>
  <c r="DR113" i="18"/>
  <c r="AQ117" i="18"/>
  <c r="BR106" i="18"/>
  <c r="DS106" i="18"/>
  <c r="DN106" i="18"/>
  <c r="AR107" i="18"/>
  <c r="AR113" i="18"/>
  <c r="I113" i="18"/>
  <c r="I107" i="18"/>
  <c r="CK106" i="18"/>
  <c r="AS138" i="18"/>
  <c r="AR140" i="18"/>
  <c r="DS138" i="18"/>
  <c r="BR138" i="18"/>
  <c r="DN138" i="18"/>
  <c r="DL117" i="18"/>
  <c r="AP118" i="18"/>
  <c r="AP119" i="18"/>
  <c r="DQ117" i="18"/>
  <c r="AD118" i="18"/>
  <c r="AD119" i="18"/>
  <c r="DE117" i="18"/>
  <c r="F117" i="18"/>
  <c r="F114" i="18"/>
  <c r="CH113" i="18"/>
  <c r="CS119" i="18"/>
  <c r="CX119" i="18"/>
  <c r="DL148" i="18"/>
  <c r="DQ148" i="18"/>
  <c r="DM140" i="18"/>
  <c r="AQ148" i="18"/>
  <c r="DR140" i="18"/>
  <c r="S119" i="18"/>
  <c r="CP119" i="18" s="1"/>
  <c r="S118" i="18"/>
  <c r="CP117" i="18"/>
  <c r="Y114" i="18"/>
  <c r="CU113" i="18"/>
  <c r="Y117" i="18"/>
  <c r="R417" i="1" l="1"/>
  <c r="T68" i="1"/>
  <c r="T69" i="1" s="1"/>
  <c r="T70" i="1" s="1"/>
  <c r="T90" i="1" s="1"/>
  <c r="L869" i="14"/>
  <c r="L962" i="14"/>
  <c r="R54" i="1"/>
  <c r="R411" i="1"/>
  <c r="R72" i="1"/>
  <c r="I651" i="14"/>
  <c r="T7" i="25"/>
  <c r="K494" i="14" s="1"/>
  <c r="T351" i="24"/>
  <c r="K910" i="14" s="1"/>
  <c r="K955" i="14" s="1"/>
  <c r="W18" i="1"/>
  <c r="W50" i="1" s="1"/>
  <c r="W52" i="1" s="1"/>
  <c r="W100" i="1" s="1"/>
  <c r="W425" i="1" s="1"/>
  <c r="V403" i="1"/>
  <c r="V50" i="1"/>
  <c r="V52" i="1" s="1"/>
  <c r="V100" i="1" s="1"/>
  <c r="V425" i="1" s="1"/>
  <c r="S406" i="1"/>
  <c r="T45" i="1"/>
  <c r="U41" i="1"/>
  <c r="U23" i="1"/>
  <c r="U68" i="1" s="1"/>
  <c r="U404" i="1"/>
  <c r="U44" i="1"/>
  <c r="S40" i="1"/>
  <c r="S60" i="1" s="1"/>
  <c r="S66" i="1" s="1"/>
  <c r="S28" i="1" s="1"/>
  <c r="S411" i="1" s="1"/>
  <c r="V83" i="1"/>
  <c r="U83" i="1"/>
  <c r="K5" i="20"/>
  <c r="P392" i="1"/>
  <c r="P5" i="1"/>
  <c r="K6" i="20" s="1"/>
  <c r="CZ4" i="1"/>
  <c r="CZ15" i="1" s="1"/>
  <c r="CZ17" i="1" s="1"/>
  <c r="S68" i="1"/>
  <c r="S45" i="1"/>
  <c r="P9" i="1"/>
  <c r="CD9" i="1" s="1"/>
  <c r="CJ10" i="1" s="1"/>
  <c r="P104" i="1"/>
  <c r="P427" i="1" s="1"/>
  <c r="P238" i="1"/>
  <c r="P235" i="1" s="1"/>
  <c r="P190" i="1" s="1"/>
  <c r="Q94" i="1"/>
  <c r="Q109" i="1" s="1"/>
  <c r="V107" i="24"/>
  <c r="V73" i="24" s="1"/>
  <c r="K932" i="14"/>
  <c r="U280" i="24"/>
  <c r="L29" i="20"/>
  <c r="DE19" i="1"/>
  <c r="Q413" i="1"/>
  <c r="W250" i="24"/>
  <c r="Z133" i="25"/>
  <c r="Q994" i="14" s="1"/>
  <c r="P994" i="14"/>
  <c r="V161" i="24"/>
  <c r="P920" i="14"/>
  <c r="O920" i="14"/>
  <c r="Z94" i="16"/>
  <c r="T818" i="21"/>
  <c r="Z233" i="16"/>
  <c r="W169" i="25"/>
  <c r="M509" i="14"/>
  <c r="Y115" i="25"/>
  <c r="X114" i="25"/>
  <c r="Z103" i="25"/>
  <c r="Z105" i="25" s="1"/>
  <c r="Z112" i="25" s="1"/>
  <c r="Z118" i="25" s="1"/>
  <c r="Y105" i="25"/>
  <c r="Y112" i="25" s="1"/>
  <c r="Y118" i="25" s="1"/>
  <c r="N434" i="1"/>
  <c r="N6" i="1"/>
  <c r="N394" i="1" s="1"/>
  <c r="N259" i="1"/>
  <c r="N118" i="1"/>
  <c r="N438" i="1" s="1"/>
  <c r="K95" i="14"/>
  <c r="K101" i="14" s="1"/>
  <c r="CX36" i="1"/>
  <c r="CH27" i="1"/>
  <c r="T182" i="21"/>
  <c r="T675" i="21" s="1"/>
  <c r="T485" i="21"/>
  <c r="T593" i="21"/>
  <c r="R296" i="21"/>
  <c r="R737" i="21" s="1"/>
  <c r="T460" i="21"/>
  <c r="U130" i="1"/>
  <c r="U333" i="1" s="1"/>
  <c r="U304" i="1"/>
  <c r="T418" i="21"/>
  <c r="T419" i="21" s="1"/>
  <c r="U407" i="1"/>
  <c r="V24" i="1"/>
  <c r="T263" i="1"/>
  <c r="N113" i="1"/>
  <c r="N435" i="1" s="1"/>
  <c r="N331" i="1"/>
  <c r="T259" i="21"/>
  <c r="S701" i="21"/>
  <c r="R254" i="21"/>
  <c r="R696" i="21" s="1"/>
  <c r="DF119" i="18"/>
  <c r="V271" i="1"/>
  <c r="V274" i="1" s="1"/>
  <c r="V256" i="1" s="1"/>
  <c r="V148" i="1" s="1"/>
  <c r="V311" i="1"/>
  <c r="V314" i="1" s="1"/>
  <c r="J407" i="25"/>
  <c r="I33" i="31" s="1"/>
  <c r="U274" i="1"/>
  <c r="U256" i="1" s="1"/>
  <c r="U148" i="1" s="1"/>
  <c r="R19" i="21"/>
  <c r="R548" i="21" s="1"/>
  <c r="R703" i="21"/>
  <c r="R302" i="21"/>
  <c r="R742" i="21" s="1"/>
  <c r="R263" i="21"/>
  <c r="R705" i="21" s="1"/>
  <c r="R301" i="21"/>
  <c r="R741" i="21" s="1"/>
  <c r="R273" i="21"/>
  <c r="R715" i="21" s="1"/>
  <c r="R271" i="21"/>
  <c r="R713" i="21" s="1"/>
  <c r="T262" i="21"/>
  <c r="S704" i="21"/>
  <c r="S261" i="21"/>
  <c r="S336" i="21" s="1"/>
  <c r="R691" i="21"/>
  <c r="R281" i="21"/>
  <c r="R723" i="21" s="1"/>
  <c r="C14" i="27"/>
  <c r="D15" i="27" s="1"/>
  <c r="N745" i="21"/>
  <c r="N26" i="21"/>
  <c r="BX26" i="21"/>
  <c r="CJ13" i="21" s="1"/>
  <c r="CJ15" i="21" s="1"/>
  <c r="F555" i="21"/>
  <c r="R299" i="21"/>
  <c r="R708" i="21"/>
  <c r="U636" i="21"/>
  <c r="V136" i="21"/>
  <c r="V636" i="21" s="1"/>
  <c r="F28" i="21"/>
  <c r="F747" i="21"/>
  <c r="F324" i="21"/>
  <c r="F36" i="21"/>
  <c r="N335" i="21"/>
  <c r="N337" i="21" s="1"/>
  <c r="N307" i="21" s="1"/>
  <c r="N323" i="21"/>
  <c r="N36" i="21" s="1"/>
  <c r="Q316" i="21"/>
  <c r="P319" i="21"/>
  <c r="J84" i="12"/>
  <c r="J196" i="25"/>
  <c r="J194" i="25" s="1"/>
  <c r="J189" i="25"/>
  <c r="CR119" i="18"/>
  <c r="U618" i="21"/>
  <c r="V117" i="21"/>
  <c r="V618" i="21" s="1"/>
  <c r="S716" i="21"/>
  <c r="T274" i="21"/>
  <c r="S266" i="21"/>
  <c r="Q740" i="21"/>
  <c r="Q313" i="21"/>
  <c r="C706" i="14"/>
  <c r="C717" i="14" s="1"/>
  <c r="J127" i="25"/>
  <c r="O322" i="21"/>
  <c r="O320" i="21"/>
  <c r="O305" i="21"/>
  <c r="Y86" i="16"/>
  <c r="Y96" i="16" s="1"/>
  <c r="Y232" i="16"/>
  <c r="Y233" i="16" s="1"/>
  <c r="S700" i="21"/>
  <c r="T258" i="21"/>
  <c r="T249" i="21" s="1"/>
  <c r="T256" i="21" s="1"/>
  <c r="T698" i="21" s="1"/>
  <c r="Y25" i="16"/>
  <c r="Y26" i="16" s="1"/>
  <c r="M385" i="25"/>
  <c r="BH111" i="18"/>
  <c r="AB30" i="16"/>
  <c r="L30" i="31"/>
  <c r="AB80" i="16"/>
  <c r="AB82" i="16" s="1"/>
  <c r="T184" i="24"/>
  <c r="U470" i="21"/>
  <c r="U68" i="21" s="1"/>
  <c r="U485" i="21" s="1"/>
  <c r="V135" i="21"/>
  <c r="V635" i="21" s="1"/>
  <c r="U635" i="21"/>
  <c r="W306" i="1"/>
  <c r="W266" i="1"/>
  <c r="V426" i="21"/>
  <c r="V466" i="21"/>
  <c r="V108" i="21"/>
  <c r="V610" i="21" s="1"/>
  <c r="U610" i="21"/>
  <c r="W313" i="1"/>
  <c r="W273" i="1"/>
  <c r="M47" i="24"/>
  <c r="M139" i="24"/>
  <c r="N25" i="24"/>
  <c r="U210" i="24"/>
  <c r="L880" i="14" s="1"/>
  <c r="V207" i="24"/>
  <c r="U183" i="24"/>
  <c r="V428" i="21"/>
  <c r="V468" i="21"/>
  <c r="M74" i="12"/>
  <c r="AB10" i="16" s="1"/>
  <c r="AB123" i="16" s="1"/>
  <c r="N30" i="12"/>
  <c r="V132" i="21"/>
  <c r="V632" i="21" s="1"/>
  <c r="U632" i="21"/>
  <c r="E545" i="21"/>
  <c r="BW13" i="21"/>
  <c r="CC16" i="21" s="1"/>
  <c r="W310" i="1"/>
  <c r="W270" i="1"/>
  <c r="V469" i="21"/>
  <c r="V429" i="21"/>
  <c r="V109" i="21"/>
  <c r="V611" i="21" s="1"/>
  <c r="U611" i="21"/>
  <c r="E490" i="21"/>
  <c r="E492" i="21"/>
  <c r="E495" i="21" s="1"/>
  <c r="U430" i="21"/>
  <c r="U412" i="21" s="1"/>
  <c r="U133" i="21" s="1"/>
  <c r="R758" i="21"/>
  <c r="R760" i="21" s="1"/>
  <c r="R761" i="21"/>
  <c r="S754" i="21"/>
  <c r="S756" i="21" s="1"/>
  <c r="T787" i="21"/>
  <c r="S746" i="21"/>
  <c r="S27" i="21"/>
  <c r="S556" i="21" s="1"/>
  <c r="T306" i="21"/>
  <c r="U326" i="21"/>
  <c r="W267" i="1"/>
  <c r="W307" i="1"/>
  <c r="V268" i="21"/>
  <c r="U23" i="21"/>
  <c r="U552" i="21" s="1"/>
  <c r="U710" i="21"/>
  <c r="U687" i="21"/>
  <c r="V245" i="21"/>
  <c r="U18" i="21"/>
  <c r="U547" i="21" s="1"/>
  <c r="Q763" i="21"/>
  <c r="S562" i="21"/>
  <c r="S94" i="21"/>
  <c r="U709" i="21"/>
  <c r="U22" i="21"/>
  <c r="U551" i="21" s="1"/>
  <c r="V267" i="21"/>
  <c r="T291" i="21"/>
  <c r="T732" i="21" s="1"/>
  <c r="T714" i="21"/>
  <c r="V379" i="21"/>
  <c r="V119" i="21" s="1"/>
  <c r="V620" i="21" s="1"/>
  <c r="U119" i="21"/>
  <c r="U620" i="21" s="1"/>
  <c r="T290" i="21"/>
  <c r="T731" i="21" s="1"/>
  <c r="T712" i="21"/>
  <c r="U24" i="21"/>
  <c r="U553" i="21" s="1"/>
  <c r="U331" i="21"/>
  <c r="U332" i="21" s="1"/>
  <c r="U328" i="21" s="1"/>
  <c r="V269" i="21"/>
  <c r="U711" i="21"/>
  <c r="U321" i="21"/>
  <c r="V265" i="21"/>
  <c r="U270" i="21"/>
  <c r="U21" i="21"/>
  <c r="U550" i="21" s="1"/>
  <c r="U707" i="21"/>
  <c r="U272" i="21"/>
  <c r="T332" i="21"/>
  <c r="T328" i="21" s="1"/>
  <c r="T330" i="21" s="1"/>
  <c r="T37" i="21" s="1"/>
  <c r="T633" i="21"/>
  <c r="T137" i="21"/>
  <c r="T637" i="21" s="1"/>
  <c r="T515" i="21"/>
  <c r="T524" i="21" s="1"/>
  <c r="T527" i="21" s="1"/>
  <c r="T528" i="21" s="1"/>
  <c r="T529" i="21" s="1"/>
  <c r="U514" i="21"/>
  <c r="M42" i="25"/>
  <c r="M46" i="25"/>
  <c r="M47" i="25" s="1"/>
  <c r="BH77" i="18"/>
  <c r="V107" i="21"/>
  <c r="V609" i="21" s="1"/>
  <c r="U609" i="21"/>
  <c r="Q690" i="21"/>
  <c r="Q295" i="21"/>
  <c r="Q736" i="21" s="1"/>
  <c r="Q280" i="21"/>
  <c r="Q722" i="21" s="1"/>
  <c r="Q297" i="21"/>
  <c r="Q738" i="21" s="1"/>
  <c r="S691" i="21"/>
  <c r="S254" i="21"/>
  <c r="S696" i="21" s="1"/>
  <c r="S256" i="21"/>
  <c r="S698" i="21" s="1"/>
  <c r="S281" i="21"/>
  <c r="S296" i="21"/>
  <c r="S737" i="21" s="1"/>
  <c r="R255" i="21"/>
  <c r="R697" i="21" s="1"/>
  <c r="R692" i="21"/>
  <c r="R282" i="21"/>
  <c r="R724" i="21" s="1"/>
  <c r="R257" i="21"/>
  <c r="R699" i="21" s="1"/>
  <c r="U520" i="21"/>
  <c r="V521" i="21"/>
  <c r="V520" i="21" s="1"/>
  <c r="K41" i="22"/>
  <c r="T247" i="21"/>
  <c r="T688" i="21"/>
  <c r="T278" i="21"/>
  <c r="T720" i="21" s="1"/>
  <c r="T20" i="1"/>
  <c r="U37" i="1"/>
  <c r="T19" i="1"/>
  <c r="S43" i="1"/>
  <c r="S36" i="1"/>
  <c r="S250" i="21"/>
  <c r="S248" i="21" s="1"/>
  <c r="S341" i="21"/>
  <c r="S46" i="21" s="1"/>
  <c r="S571" i="21" s="1"/>
  <c r="S279" i="21"/>
  <c r="S721" i="21" s="1"/>
  <c r="S689" i="21"/>
  <c r="V252" i="21"/>
  <c r="U246" i="21"/>
  <c r="U694" i="21"/>
  <c r="U253" i="21"/>
  <c r="U695" i="21" s="1"/>
  <c r="V522" i="21"/>
  <c r="V525" i="21" s="1"/>
  <c r="U525" i="21"/>
  <c r="U102" i="1"/>
  <c r="V140" i="21"/>
  <c r="V639" i="21" s="1"/>
  <c r="U639" i="21"/>
  <c r="R248" i="21"/>
  <c r="W362" i="1"/>
  <c r="W363" i="1" s="1"/>
  <c r="V363" i="1"/>
  <c r="Y230" i="16"/>
  <c r="V477" i="1"/>
  <c r="Y93" i="16"/>
  <c r="Y90" i="16"/>
  <c r="Y91" i="16"/>
  <c r="Y89" i="16"/>
  <c r="J86" i="12"/>
  <c r="H32" i="31"/>
  <c r="I389" i="25"/>
  <c r="J390" i="25" s="1"/>
  <c r="X32" i="16"/>
  <c r="I402" i="25"/>
  <c r="I407" i="25" s="1"/>
  <c r="I91" i="12"/>
  <c r="H294" i="25"/>
  <c r="H302" i="25"/>
  <c r="H299" i="25"/>
  <c r="G31" i="31"/>
  <c r="W31" i="16"/>
  <c r="H78" i="25"/>
  <c r="H84" i="25"/>
  <c r="H319" i="25"/>
  <c r="T91" i="1"/>
  <c r="T418" i="1" s="1"/>
  <c r="CC5" i="1"/>
  <c r="O393" i="1"/>
  <c r="J6" i="20"/>
  <c r="P432" i="1"/>
  <c r="W466" i="1"/>
  <c r="W469" i="1"/>
  <c r="W110" i="1" s="1"/>
  <c r="U409" i="1"/>
  <c r="U42" i="1"/>
  <c r="V26" i="1"/>
  <c r="U78" i="1"/>
  <c r="U79" i="1" s="1"/>
  <c r="U75" i="1" s="1"/>
  <c r="U77" i="1" s="1"/>
  <c r="V23" i="1"/>
  <c r="V44" i="1"/>
  <c r="V404" i="1"/>
  <c r="V41" i="1"/>
  <c r="T28" i="1"/>
  <c r="P431" i="1"/>
  <c r="CC9" i="1"/>
  <c r="CI10" i="1" s="1"/>
  <c r="O397" i="1"/>
  <c r="CY6" i="1"/>
  <c r="CY21" i="1" s="1"/>
  <c r="O10" i="1"/>
  <c r="J10" i="20"/>
  <c r="O235" i="1"/>
  <c r="O190" i="1" s="1"/>
  <c r="O427" i="1"/>
  <c r="O112" i="1"/>
  <c r="O105" i="1"/>
  <c r="O428" i="1" s="1"/>
  <c r="V468" i="1"/>
  <c r="V471" i="1" s="1"/>
  <c r="X471" i="1" s="1"/>
  <c r="V93" i="1"/>
  <c r="X98" i="14"/>
  <c r="AI81" i="14" s="1"/>
  <c r="X100" i="14"/>
  <c r="AI91" i="14" s="1"/>
  <c r="X99" i="14"/>
  <c r="AI86" i="14" s="1"/>
  <c r="N144" i="1"/>
  <c r="N153" i="1" s="1"/>
  <c r="O241" i="1"/>
  <c r="O232" i="1" s="1"/>
  <c r="O124" i="1" s="1"/>
  <c r="R82" i="1"/>
  <c r="R84" i="1" s="1"/>
  <c r="R91" i="1"/>
  <c r="N230" i="1"/>
  <c r="N145" i="1"/>
  <c r="N154" i="1" s="1"/>
  <c r="O246" i="1"/>
  <c r="N155" i="24"/>
  <c r="O155" i="24" s="1"/>
  <c r="P155" i="24" s="1"/>
  <c r="Q155" i="24" s="1"/>
  <c r="R155" i="24" s="1"/>
  <c r="S155" i="24" s="1"/>
  <c r="T155" i="24" s="1"/>
  <c r="U155" i="24" s="1"/>
  <c r="V155" i="24" s="1"/>
  <c r="W155" i="24" s="1"/>
  <c r="X155" i="24" s="1"/>
  <c r="Y155" i="24" s="1"/>
  <c r="Z155" i="24" s="1"/>
  <c r="O153" i="24"/>
  <c r="O22" i="24"/>
  <c r="CG117" i="18"/>
  <c r="E118" i="18"/>
  <c r="E119" i="18"/>
  <c r="CG119" i="18" s="1"/>
  <c r="F118" i="18"/>
  <c r="F119" i="18"/>
  <c r="CH119" i="18" s="1"/>
  <c r="CH117" i="18"/>
  <c r="I117" i="18"/>
  <c r="I114" i="18"/>
  <c r="CK113" i="18"/>
  <c r="Y119" i="18"/>
  <c r="CU119" i="18" s="1"/>
  <c r="Y118" i="18"/>
  <c r="CU117" i="18"/>
  <c r="AR114" i="18"/>
  <c r="BR113" i="18"/>
  <c r="DN113" i="18"/>
  <c r="AR117" i="18"/>
  <c r="DS113" i="18"/>
  <c r="CZ117" i="18"/>
  <c r="DE119" i="18"/>
  <c r="DL119" i="18"/>
  <c r="DQ119" i="18"/>
  <c r="DR117" i="18"/>
  <c r="AQ119" i="18"/>
  <c r="AQ118" i="18"/>
  <c r="DM148" i="18"/>
  <c r="DR148" i="18"/>
  <c r="AR148" i="18"/>
  <c r="AS140" i="18"/>
  <c r="DN140" i="18"/>
  <c r="BR140" i="18"/>
  <c r="DS140" i="18"/>
  <c r="DO138" i="18"/>
  <c r="DT138" i="18"/>
  <c r="M869" i="14" l="1"/>
  <c r="M962" i="14"/>
  <c r="U40" i="1"/>
  <c r="U60" i="1" s="1"/>
  <c r="U66" i="1" s="1"/>
  <c r="U69" i="1" s="1"/>
  <c r="U70" i="1" s="1"/>
  <c r="U90" i="1" s="1"/>
  <c r="V68" i="1"/>
  <c r="W403" i="1"/>
  <c r="W21" i="1"/>
  <c r="W477" i="1" s="1"/>
  <c r="P112" i="1"/>
  <c r="P434" i="1" s="1"/>
  <c r="K10" i="20"/>
  <c r="U7" i="25"/>
  <c r="L494" i="14" s="1"/>
  <c r="U351" i="24"/>
  <c r="L910" i="14" s="1"/>
  <c r="L955" i="14" s="1"/>
  <c r="T82" i="1"/>
  <c r="T84" i="1" s="1"/>
  <c r="S69" i="1"/>
  <c r="S82" i="1" s="1"/>
  <c r="S84" i="1" s="1"/>
  <c r="T67" i="1"/>
  <c r="P105" i="1"/>
  <c r="P428" i="1" s="1"/>
  <c r="CZ6" i="1"/>
  <c r="CZ21" i="1" s="1"/>
  <c r="CZ36" i="1" s="1"/>
  <c r="U406" i="1"/>
  <c r="U45" i="1"/>
  <c r="CD5" i="1"/>
  <c r="P393" i="1"/>
  <c r="S67" i="1"/>
  <c r="P397" i="1"/>
  <c r="P10" i="1"/>
  <c r="CD10" i="1" s="1"/>
  <c r="Q420" i="1"/>
  <c r="Q212" i="1"/>
  <c r="Q238" i="1" s="1"/>
  <c r="Q4" i="1"/>
  <c r="CE4" i="1" s="1"/>
  <c r="CK4" i="1" s="1"/>
  <c r="CK6" i="1" s="1"/>
  <c r="S30" i="1"/>
  <c r="S413" i="1" s="1"/>
  <c r="Q108" i="1"/>
  <c r="Q431" i="1" s="1"/>
  <c r="Q101" i="1"/>
  <c r="Q426" i="1" s="1"/>
  <c r="S54" i="1"/>
  <c r="Q98" i="1"/>
  <c r="Q423" i="1" s="1"/>
  <c r="Q95" i="1"/>
  <c r="Q421" i="1" s="1"/>
  <c r="Q107" i="1"/>
  <c r="Q430" i="1" s="1"/>
  <c r="W107" i="24"/>
  <c r="W73" i="24" s="1"/>
  <c r="L932" i="14"/>
  <c r="V280" i="24"/>
  <c r="X250" i="24"/>
  <c r="W161" i="24"/>
  <c r="W96" i="14"/>
  <c r="AH101" i="14" s="1"/>
  <c r="W95" i="14"/>
  <c r="AH76" i="14" s="1"/>
  <c r="N11" i="1"/>
  <c r="N12" i="1" s="1"/>
  <c r="CB6" i="1"/>
  <c r="CH7" i="1" s="1"/>
  <c r="CH9" i="1" s="1"/>
  <c r="DE7" i="1"/>
  <c r="N7" i="1"/>
  <c r="N373" i="1" s="1"/>
  <c r="I7" i="20"/>
  <c r="N8" i="1"/>
  <c r="I9" i="20" s="1"/>
  <c r="CX5" i="1"/>
  <c r="CX18" i="1" s="1"/>
  <c r="CX24" i="1" s="1"/>
  <c r="CX26" i="1" s="1"/>
  <c r="U447" i="1"/>
  <c r="N119" i="1"/>
  <c r="N439" i="1" s="1"/>
  <c r="Z115" i="25"/>
  <c r="Z114" i="25" s="1"/>
  <c r="Y114" i="25"/>
  <c r="X169" i="25"/>
  <c r="N509" i="14"/>
  <c r="N125" i="1"/>
  <c r="N126" i="1" s="1"/>
  <c r="N443" i="1" s="1"/>
  <c r="J89" i="12"/>
  <c r="J50" i="12" s="1"/>
  <c r="W24" i="1"/>
  <c r="W407" i="1" s="1"/>
  <c r="V407" i="1"/>
  <c r="V430" i="21"/>
  <c r="V412" i="21" s="1"/>
  <c r="V418" i="21" s="1"/>
  <c r="J408" i="25"/>
  <c r="J398" i="25" s="1"/>
  <c r="V166" i="1"/>
  <c r="R202" i="21"/>
  <c r="R203" i="21" s="1"/>
  <c r="Y94" i="16"/>
  <c r="U166" i="1"/>
  <c r="Y235" i="16"/>
  <c r="V304" i="1"/>
  <c r="N28" i="24"/>
  <c r="N29" i="24" s="1"/>
  <c r="N47" i="24"/>
  <c r="V262" i="1"/>
  <c r="W271" i="1"/>
  <c r="W274" i="1" s="1"/>
  <c r="W256" i="1" s="1"/>
  <c r="W262" i="1" s="1"/>
  <c r="W311" i="1"/>
  <c r="W314" i="1" s="1"/>
  <c r="Y33" i="16"/>
  <c r="Y236" i="16" s="1"/>
  <c r="U262" i="1"/>
  <c r="U263" i="1" s="1"/>
  <c r="U262" i="21"/>
  <c r="T704" i="21"/>
  <c r="T261" i="21"/>
  <c r="T336" i="21" s="1"/>
  <c r="T701" i="21"/>
  <c r="U259" i="21"/>
  <c r="S301" i="21"/>
  <c r="S741" i="21" s="1"/>
  <c r="S703" i="21"/>
  <c r="S263" i="21"/>
  <c r="S705" i="21" s="1"/>
  <c r="S19" i="21"/>
  <c r="S548" i="21" s="1"/>
  <c r="S302" i="21"/>
  <c r="S742" i="21" s="1"/>
  <c r="S271" i="21"/>
  <c r="S713" i="21" s="1"/>
  <c r="S273" i="21"/>
  <c r="S715" i="21" s="1"/>
  <c r="P320" i="21"/>
  <c r="P322" i="21"/>
  <c r="P305" i="21"/>
  <c r="N561" i="21"/>
  <c r="N39" i="21"/>
  <c r="N86" i="21"/>
  <c r="J153" i="25"/>
  <c r="J157" i="25" s="1"/>
  <c r="J159" i="25" s="1"/>
  <c r="J135" i="25"/>
  <c r="Y114" i="16" s="1"/>
  <c r="Y109" i="16"/>
  <c r="F561" i="21"/>
  <c r="F86" i="21"/>
  <c r="F39" i="21"/>
  <c r="V130" i="1"/>
  <c r="V333" i="1" s="1"/>
  <c r="R316" i="21"/>
  <c r="Q319" i="21"/>
  <c r="N28" i="21"/>
  <c r="N747" i="21"/>
  <c r="BX28" i="21"/>
  <c r="CJ19" i="21" s="1"/>
  <c r="CJ21" i="21" s="1"/>
  <c r="F557" i="21"/>
  <c r="U460" i="21"/>
  <c r="R313" i="21"/>
  <c r="R740" i="21"/>
  <c r="T700" i="21"/>
  <c r="U258" i="21"/>
  <c r="U249" i="21" s="1"/>
  <c r="U256" i="21" s="1"/>
  <c r="U698" i="21" s="1"/>
  <c r="O323" i="21"/>
  <c r="O36" i="21" s="1"/>
  <c r="O335" i="21"/>
  <c r="O337" i="21" s="1"/>
  <c r="O307" i="21" s="1"/>
  <c r="U274" i="21"/>
  <c r="T716" i="21"/>
  <c r="T266" i="21"/>
  <c r="ED111" i="18"/>
  <c r="BH113" i="18"/>
  <c r="BH114" i="18" s="1"/>
  <c r="EI111" i="18"/>
  <c r="J202" i="25"/>
  <c r="J203" i="25" s="1"/>
  <c r="K189" i="25"/>
  <c r="J190" i="25"/>
  <c r="J208" i="25" s="1"/>
  <c r="J209" i="25" s="1"/>
  <c r="J85" i="12"/>
  <c r="Q85" i="12" s="1"/>
  <c r="Q84" i="12"/>
  <c r="O26" i="21"/>
  <c r="O745" i="21"/>
  <c r="S708" i="21"/>
  <c r="S299" i="21"/>
  <c r="N555" i="21"/>
  <c r="BY26" i="21"/>
  <c r="CK13" i="21" s="1"/>
  <c r="CK15" i="21" s="1"/>
  <c r="U593" i="21"/>
  <c r="V470" i="21"/>
  <c r="V68" i="21" s="1"/>
  <c r="U182" i="21"/>
  <c r="U675" i="21" s="1"/>
  <c r="U418" i="21"/>
  <c r="U419" i="21" s="1"/>
  <c r="O25" i="24"/>
  <c r="O47" i="24" s="1"/>
  <c r="N139" i="24"/>
  <c r="U184" i="24"/>
  <c r="V210" i="24"/>
  <c r="M880" i="14" s="1"/>
  <c r="W207" i="24"/>
  <c r="V183" i="24"/>
  <c r="O30" i="12"/>
  <c r="O74" i="12" s="1"/>
  <c r="AD10" i="16" s="1"/>
  <c r="AD123" i="16" s="1"/>
  <c r="N74" i="12"/>
  <c r="AC10" i="16" s="1"/>
  <c r="AC123" i="16" s="1"/>
  <c r="V710" i="21"/>
  <c r="V23" i="21"/>
  <c r="V552" i="21" s="1"/>
  <c r="V326" i="21"/>
  <c r="V306" i="21" s="1"/>
  <c r="U306" i="21"/>
  <c r="T27" i="21"/>
  <c r="T556" i="21" s="1"/>
  <c r="T746" i="21"/>
  <c r="U787" i="21"/>
  <c r="T754" i="21"/>
  <c r="T756" i="21" s="1"/>
  <c r="U330" i="21"/>
  <c r="U37" i="21" s="1"/>
  <c r="U562" i="21" s="1"/>
  <c r="S758" i="21"/>
  <c r="S760" i="21" s="1"/>
  <c r="S761" i="21"/>
  <c r="R763" i="21"/>
  <c r="V18" i="21"/>
  <c r="V547" i="21" s="1"/>
  <c r="V687" i="21"/>
  <c r="U818" i="21"/>
  <c r="T562" i="21"/>
  <c r="T94" i="21"/>
  <c r="S257" i="21"/>
  <c r="S699" i="21" s="1"/>
  <c r="U291" i="21"/>
  <c r="U732" i="21" s="1"/>
  <c r="U714" i="21"/>
  <c r="U290" i="21"/>
  <c r="U731" i="21" s="1"/>
  <c r="U712" i="21"/>
  <c r="V321" i="21"/>
  <c r="V21" i="21"/>
  <c r="V550" i="21" s="1"/>
  <c r="V270" i="21"/>
  <c r="V707" i="21"/>
  <c r="V272" i="21"/>
  <c r="V709" i="21"/>
  <c r="V22" i="21"/>
  <c r="V551" i="21" s="1"/>
  <c r="V24" i="21"/>
  <c r="V553" i="21" s="1"/>
  <c r="V711" i="21"/>
  <c r="V331" i="21"/>
  <c r="V332" i="21" s="1"/>
  <c r="V328" i="21" s="1"/>
  <c r="ED77" i="18"/>
  <c r="BH79" i="18"/>
  <c r="U633" i="21"/>
  <c r="U137" i="21"/>
  <c r="U637" i="21" s="1"/>
  <c r="V514" i="21"/>
  <c r="V515" i="21" s="1"/>
  <c r="V524" i="21" s="1"/>
  <c r="V527" i="21" s="1"/>
  <c r="V528" i="21" s="1"/>
  <c r="V529" i="21" s="1"/>
  <c r="U515" i="21"/>
  <c r="U524" i="21" s="1"/>
  <c r="U527" i="21" s="1"/>
  <c r="U528" i="21" s="1"/>
  <c r="U529" i="21" s="1"/>
  <c r="S690" i="21"/>
  <c r="S295" i="21"/>
  <c r="S736" i="21" s="1"/>
  <c r="S280" i="21"/>
  <c r="S722" i="21" s="1"/>
  <c r="S297" i="21"/>
  <c r="S738" i="21" s="1"/>
  <c r="S202" i="21"/>
  <c r="S203" i="21" s="1"/>
  <c r="S723" i="21"/>
  <c r="R295" i="21"/>
  <c r="R736" i="21" s="1"/>
  <c r="R690" i="21"/>
  <c r="R280" i="21"/>
  <c r="R722" i="21" s="1"/>
  <c r="R297" i="21"/>
  <c r="R738" i="21" s="1"/>
  <c r="U688" i="21"/>
  <c r="U278" i="21"/>
  <c r="U720" i="21" s="1"/>
  <c r="U247" i="21"/>
  <c r="U20" i="1"/>
  <c r="V37" i="1"/>
  <c r="U19" i="1"/>
  <c r="T296" i="21"/>
  <c r="T737" i="21" s="1"/>
  <c r="T691" i="21"/>
  <c r="T254" i="21"/>
  <c r="T696" i="21" s="1"/>
  <c r="T281" i="21"/>
  <c r="T689" i="21"/>
  <c r="T279" i="21"/>
  <c r="T721" i="21" s="1"/>
  <c r="T341" i="21"/>
  <c r="T46" i="21" s="1"/>
  <c r="T571" i="21" s="1"/>
  <c r="T250" i="21"/>
  <c r="T248" i="21" s="1"/>
  <c r="V694" i="21"/>
  <c r="V253" i="21"/>
  <c r="V695" i="21" s="1"/>
  <c r="V246" i="21"/>
  <c r="T36" i="1"/>
  <c r="T43" i="1"/>
  <c r="S255" i="21"/>
  <c r="S697" i="21" s="1"/>
  <c r="S692" i="21"/>
  <c r="S282" i="21"/>
  <c r="S724" i="21" s="1"/>
  <c r="H296" i="25"/>
  <c r="H386" i="25"/>
  <c r="H388" i="25" s="1"/>
  <c r="J49" i="12"/>
  <c r="Y17" i="16"/>
  <c r="O236" i="1"/>
  <c r="O248" i="1"/>
  <c r="H397" i="25"/>
  <c r="W16" i="16"/>
  <c r="H33" i="31"/>
  <c r="I408" i="25"/>
  <c r="I89" i="12"/>
  <c r="I50" i="12" s="1"/>
  <c r="L36" i="20" s="1"/>
  <c r="X33" i="16"/>
  <c r="X236" i="16" s="1"/>
  <c r="I86" i="12"/>
  <c r="P236" i="1"/>
  <c r="P191" i="1" s="1"/>
  <c r="W26" i="1"/>
  <c r="V409" i="1"/>
  <c r="V42" i="1"/>
  <c r="V78" i="1"/>
  <c r="O441" i="1"/>
  <c r="O332" i="1"/>
  <c r="O341" i="1" s="1"/>
  <c r="O187" i="1"/>
  <c r="V102" i="1"/>
  <c r="CJ12" i="1"/>
  <c r="CJ27" i="1"/>
  <c r="O228" i="1"/>
  <c r="O434" i="1"/>
  <c r="O114" i="1"/>
  <c r="O331" i="1"/>
  <c r="L95" i="14"/>
  <c r="O118" i="1"/>
  <c r="O113" i="1"/>
  <c r="O435" i="1" s="1"/>
  <c r="O259" i="1"/>
  <c r="O6" i="1"/>
  <c r="Q432" i="1"/>
  <c r="Y91" i="1"/>
  <c r="R418" i="1"/>
  <c r="R94" i="1"/>
  <c r="V472" i="1"/>
  <c r="J11" i="20"/>
  <c r="CC10" i="1"/>
  <c r="O398" i="1"/>
  <c r="T417" i="1"/>
  <c r="T94" i="1"/>
  <c r="U91" i="1"/>
  <c r="U418" i="1" s="1"/>
  <c r="CY23" i="1"/>
  <c r="CY36" i="1"/>
  <c r="W93" i="1"/>
  <c r="W468" i="1"/>
  <c r="W471" i="1" s="1"/>
  <c r="F472" i="1" s="1"/>
  <c r="F473" i="1" s="1"/>
  <c r="F475" i="1" s="1"/>
  <c r="CI12" i="1"/>
  <c r="CI27" i="1"/>
  <c r="U28" i="1"/>
  <c r="T30" i="1"/>
  <c r="T413" i="1" s="1"/>
  <c r="T411" i="1"/>
  <c r="T54" i="1"/>
  <c r="V406" i="1"/>
  <c r="V45" i="1"/>
  <c r="V40" i="1"/>
  <c r="V60" i="1" s="1"/>
  <c r="V66" i="1" s="1"/>
  <c r="V69" i="1" s="1"/>
  <c r="V70" i="1" s="1"/>
  <c r="P153" i="24"/>
  <c r="P22" i="24"/>
  <c r="CZ119" i="18"/>
  <c r="AR119" i="18"/>
  <c r="AR118" i="18"/>
  <c r="BR118" i="18" s="1"/>
  <c r="AS117" i="18"/>
  <c r="DN117" i="18"/>
  <c r="BR117" i="18"/>
  <c r="DS117" i="18"/>
  <c r="DO140" i="18"/>
  <c r="DT140" i="18"/>
  <c r="DN148" i="18"/>
  <c r="BR148" i="18"/>
  <c r="AS148" i="18"/>
  <c r="DS148" i="18"/>
  <c r="I119" i="18"/>
  <c r="CK119" i="18" s="1"/>
  <c r="I118" i="18"/>
  <c r="CK117" i="18"/>
  <c r="DR119" i="18"/>
  <c r="DM119" i="18"/>
  <c r="W41" i="1" l="1"/>
  <c r="W23" i="1"/>
  <c r="W40" i="1" s="1"/>
  <c r="W60" i="1" s="1"/>
  <c r="W66" i="1" s="1"/>
  <c r="P331" i="1"/>
  <c r="P259" i="1"/>
  <c r="P118" i="1"/>
  <c r="P438" i="1" s="1"/>
  <c r="Q392" i="1"/>
  <c r="N869" i="14"/>
  <c r="N962" i="14"/>
  <c r="P6" i="1"/>
  <c r="CD6" i="1" s="1"/>
  <c r="CJ7" i="1" s="1"/>
  <c r="P113" i="1"/>
  <c r="D4" i="13" s="1"/>
  <c r="P114" i="1"/>
  <c r="W44" i="1"/>
  <c r="U67" i="1"/>
  <c r="W404" i="1"/>
  <c r="W83" i="1"/>
  <c r="U82" i="1"/>
  <c r="U84" i="1" s="1"/>
  <c r="CZ23" i="1"/>
  <c r="Q342" i="1"/>
  <c r="Q9" i="1"/>
  <c r="CE9" i="1" s="1"/>
  <c r="CK10" i="1" s="1"/>
  <c r="S70" i="1"/>
  <c r="T72" i="1" s="1"/>
  <c r="V7" i="25"/>
  <c r="M494" i="14" s="1"/>
  <c r="V351" i="24"/>
  <c r="M910" i="14" s="1"/>
  <c r="M955" i="14" s="1"/>
  <c r="K11" i="20"/>
  <c r="U72" i="1"/>
  <c r="DA4" i="1"/>
  <c r="DA15" i="1" s="1"/>
  <c r="DA17" i="1" s="1"/>
  <c r="P398" i="1"/>
  <c r="Q5" i="1"/>
  <c r="L6" i="20" s="1"/>
  <c r="L5" i="20"/>
  <c r="Q104" i="1"/>
  <c r="Q105" i="1" s="1"/>
  <c r="Q428" i="1" s="1"/>
  <c r="X107" i="24"/>
  <c r="X73" i="24" s="1"/>
  <c r="M932" i="14"/>
  <c r="W280" i="24"/>
  <c r="CB7" i="1"/>
  <c r="CX33" i="1"/>
  <c r="X161" i="24"/>
  <c r="CB11" i="1"/>
  <c r="CH13" i="1" s="1"/>
  <c r="CH15" i="1" s="1"/>
  <c r="N442" i="1"/>
  <c r="I12" i="20"/>
  <c r="N399" i="1"/>
  <c r="V133" i="21"/>
  <c r="V633" i="21" s="1"/>
  <c r="CH24" i="1"/>
  <c r="CB8" i="1"/>
  <c r="N396" i="1"/>
  <c r="I8" i="20"/>
  <c r="CX20" i="1"/>
  <c r="N395" i="1"/>
  <c r="O509" i="14"/>
  <c r="Y169" i="25"/>
  <c r="N132" i="1"/>
  <c r="N449" i="1" s="1"/>
  <c r="N186" i="1"/>
  <c r="W263" i="1"/>
  <c r="O28" i="24"/>
  <c r="O29" i="24" s="1"/>
  <c r="W130" i="1"/>
  <c r="W333" i="1" s="1"/>
  <c r="W304" i="1"/>
  <c r="V263" i="1"/>
  <c r="V460" i="21"/>
  <c r="V419" i="21"/>
  <c r="T257" i="21"/>
  <c r="T699" i="21" s="1"/>
  <c r="V262" i="21"/>
  <c r="U704" i="21"/>
  <c r="U261" i="21"/>
  <c r="U336" i="21" s="1"/>
  <c r="V818" i="21"/>
  <c r="U701" i="21"/>
  <c r="V259" i="21"/>
  <c r="V701" i="21" s="1"/>
  <c r="T301" i="21"/>
  <c r="T741" i="21" s="1"/>
  <c r="T263" i="21"/>
  <c r="T705" i="21" s="1"/>
  <c r="T19" i="21"/>
  <c r="T548" i="21" s="1"/>
  <c r="T302" i="21"/>
  <c r="T742" i="21" s="1"/>
  <c r="T703" i="21"/>
  <c r="T271" i="21"/>
  <c r="T713" i="21" s="1"/>
  <c r="T273" i="21"/>
  <c r="T715" i="21" s="1"/>
  <c r="N557" i="21"/>
  <c r="BY28" i="21"/>
  <c r="CK19" i="21" s="1"/>
  <c r="CK21" i="21" s="1"/>
  <c r="F343" i="21"/>
  <c r="F51" i="21" s="1"/>
  <c r="F576" i="21" s="1"/>
  <c r="F342" i="21"/>
  <c r="F47" i="21" s="1"/>
  <c r="F392" i="21"/>
  <c r="F564" i="21"/>
  <c r="F199" i="21"/>
  <c r="F684" i="21" s="1"/>
  <c r="F4" i="21"/>
  <c r="F344" i="21"/>
  <c r="F52" i="21" s="1"/>
  <c r="F577" i="21" s="1"/>
  <c r="F40" i="21"/>
  <c r="F565" i="21" s="1"/>
  <c r="U716" i="21"/>
  <c r="V274" i="21"/>
  <c r="U266" i="21"/>
  <c r="U94" i="21"/>
  <c r="O39" i="21"/>
  <c r="O86" i="21"/>
  <c r="O561" i="21"/>
  <c r="V447" i="1"/>
  <c r="V258" i="21"/>
  <c r="V700" i="21" s="1"/>
  <c r="U700" i="21"/>
  <c r="N4" i="21"/>
  <c r="N392" i="21"/>
  <c r="N343" i="21"/>
  <c r="N51" i="21" s="1"/>
  <c r="N576" i="21" s="1"/>
  <c r="N564" i="21"/>
  <c r="N197" i="21"/>
  <c r="N342" i="21"/>
  <c r="N47" i="21" s="1"/>
  <c r="N344" i="21"/>
  <c r="N52" i="21" s="1"/>
  <c r="N577" i="21" s="1"/>
  <c r="K205" i="25"/>
  <c r="K206" i="25"/>
  <c r="J90" i="25"/>
  <c r="S313" i="21"/>
  <c r="S740" i="21"/>
  <c r="BZ26" i="21"/>
  <c r="CL13" i="21" s="1"/>
  <c r="CL15" i="21" s="1"/>
  <c r="O555" i="21"/>
  <c r="K202" i="25"/>
  <c r="L189" i="25"/>
  <c r="K190" i="25"/>
  <c r="K208" i="25" s="1"/>
  <c r="P26" i="21"/>
  <c r="P555" i="21" s="1"/>
  <c r="P745" i="21"/>
  <c r="K200" i="25"/>
  <c r="J89" i="25"/>
  <c r="K199" i="25"/>
  <c r="P335" i="21"/>
  <c r="P337" i="21" s="1"/>
  <c r="P307" i="21" s="1"/>
  <c r="P323" i="21"/>
  <c r="P36" i="21" s="1"/>
  <c r="Q322" i="21"/>
  <c r="Q305" i="21"/>
  <c r="Q320" i="21"/>
  <c r="S316" i="21"/>
  <c r="R319" i="21"/>
  <c r="T708" i="21"/>
  <c r="T299" i="21"/>
  <c r="W148" i="1"/>
  <c r="W166" i="1"/>
  <c r="O747" i="21"/>
  <c r="O28" i="21"/>
  <c r="J136" i="25"/>
  <c r="AC216" i="16"/>
  <c r="AC60" i="16"/>
  <c r="BM5" i="18"/>
  <c r="EI5" i="18" s="1"/>
  <c r="N67" i="24"/>
  <c r="K1149" i="14" s="1"/>
  <c r="N54" i="24"/>
  <c r="E836" i="14" s="1"/>
  <c r="P25" i="24"/>
  <c r="O139" i="24"/>
  <c r="X207" i="24"/>
  <c r="W183" i="24"/>
  <c r="V184" i="24"/>
  <c r="W210" i="24"/>
  <c r="N880" i="14" s="1"/>
  <c r="U27" i="21"/>
  <c r="U556" i="21" s="1"/>
  <c r="U746" i="21"/>
  <c r="T761" i="21"/>
  <c r="T758" i="21"/>
  <c r="T760" i="21" s="1"/>
  <c r="U754" i="21"/>
  <c r="U756" i="21" s="1"/>
  <c r="V787" i="21"/>
  <c r="V754" i="21" s="1"/>
  <c r="V756" i="21" s="1"/>
  <c r="S763" i="21"/>
  <c r="V485" i="21"/>
  <c r="V182" i="21"/>
  <c r="V675" i="21" s="1"/>
  <c r="V593" i="21"/>
  <c r="V330" i="21"/>
  <c r="V37" i="21" s="1"/>
  <c r="V746" i="21"/>
  <c r="V27" i="21"/>
  <c r="V556" i="21" s="1"/>
  <c r="V291" i="21"/>
  <c r="V732" i="21" s="1"/>
  <c r="V714" i="21"/>
  <c r="V290" i="21"/>
  <c r="V731" i="21" s="1"/>
  <c r="V712" i="21"/>
  <c r="ED79" i="18"/>
  <c r="BH80" i="18"/>
  <c r="T280" i="21"/>
  <c r="T722" i="21" s="1"/>
  <c r="T690" i="21"/>
  <c r="T297" i="21"/>
  <c r="T738" i="21" s="1"/>
  <c r="T295" i="21"/>
  <c r="T736" i="21" s="1"/>
  <c r="T202" i="21"/>
  <c r="T203" i="21" s="1"/>
  <c r="T723" i="21"/>
  <c r="W37" i="1"/>
  <c r="V20" i="1"/>
  <c r="V19" i="1"/>
  <c r="T692" i="21"/>
  <c r="T255" i="21"/>
  <c r="T697" i="21" s="1"/>
  <c r="T282" i="21"/>
  <c r="T724" i="21" s="1"/>
  <c r="V278" i="21"/>
  <c r="V720" i="21" s="1"/>
  <c r="V688" i="21"/>
  <c r="V247" i="21"/>
  <c r="U36" i="1"/>
  <c r="U43" i="1"/>
  <c r="U254" i="21"/>
  <c r="U696" i="21" s="1"/>
  <c r="U281" i="21"/>
  <c r="U296" i="21"/>
  <c r="U737" i="21" s="1"/>
  <c r="U691" i="21"/>
  <c r="U689" i="21"/>
  <c r="U250" i="21"/>
  <c r="U279" i="21"/>
  <c r="U721" i="21" s="1"/>
  <c r="U341" i="21"/>
  <c r="U46" i="21" s="1"/>
  <c r="U571" i="21" s="1"/>
  <c r="I398" i="25"/>
  <c r="O191" i="1"/>
  <c r="O229" i="1"/>
  <c r="O230" i="1" s="1"/>
  <c r="G32" i="31"/>
  <c r="H402" i="25"/>
  <c r="H407" i="25" s="1"/>
  <c r="H91" i="12"/>
  <c r="W32" i="16"/>
  <c r="H389" i="25"/>
  <c r="X17" i="16"/>
  <c r="I49" i="12"/>
  <c r="L35" i="20" s="1"/>
  <c r="J409" i="25"/>
  <c r="U411" i="1"/>
  <c r="U54" i="1"/>
  <c r="U30" i="1"/>
  <c r="U413" i="1" s="1"/>
  <c r="W45" i="1"/>
  <c r="W406" i="1"/>
  <c r="CB12" i="1"/>
  <c r="I13" i="20"/>
  <c r="N400" i="1"/>
  <c r="V67" i="1"/>
  <c r="V28" i="1"/>
  <c r="T98" i="1"/>
  <c r="T4" i="1"/>
  <c r="T212" i="1"/>
  <c r="T420" i="1"/>
  <c r="T101" i="1"/>
  <c r="T426" i="1" s="1"/>
  <c r="O8" i="1"/>
  <c r="O394" i="1"/>
  <c r="O7" i="1"/>
  <c r="O373" i="1" s="1"/>
  <c r="O11" i="1"/>
  <c r="CY5" i="1"/>
  <c r="CY18" i="1" s="1"/>
  <c r="J7" i="20"/>
  <c r="CC6" i="1"/>
  <c r="CI7" i="1" s="1"/>
  <c r="W42" i="1"/>
  <c r="W409" i="1"/>
  <c r="W78" i="1"/>
  <c r="W79" i="1" s="1"/>
  <c r="W75" i="1" s="1"/>
  <c r="W77" i="1" s="1"/>
  <c r="V79" i="1"/>
  <c r="V75" i="1" s="1"/>
  <c r="V77" i="1" s="1"/>
  <c r="W102" i="1"/>
  <c r="O438" i="1"/>
  <c r="O119" i="1"/>
  <c r="O439" i="1" s="1"/>
  <c r="O125" i="1"/>
  <c r="N374" i="1"/>
  <c r="N375" i="1" s="1"/>
  <c r="N380" i="1" s="1"/>
  <c r="N383" i="1" s="1"/>
  <c r="N384" i="1" s="1"/>
  <c r="N385" i="1" s="1"/>
  <c r="L101" i="14"/>
  <c r="X96" i="14"/>
  <c r="AI101" i="14" s="1"/>
  <c r="X95" i="14"/>
  <c r="AI76" i="14" s="1"/>
  <c r="U417" i="1"/>
  <c r="U94" i="1"/>
  <c r="R420" i="1"/>
  <c r="R4" i="1"/>
  <c r="R101" i="1"/>
  <c r="R426" i="1" s="1"/>
  <c r="Y94" i="1"/>
  <c r="R212" i="1"/>
  <c r="R95" i="1"/>
  <c r="R421" i="1" s="1"/>
  <c r="R98" i="1"/>
  <c r="AC130" i="1"/>
  <c r="AC132" i="1"/>
  <c r="R107" i="1"/>
  <c r="V90" i="1"/>
  <c r="V72" i="1"/>
  <c r="R108" i="1"/>
  <c r="O144" i="1"/>
  <c r="O153" i="1" s="1"/>
  <c r="P241" i="1"/>
  <c r="Q235" i="1"/>
  <c r="Q190" i="1" s="1"/>
  <c r="R109" i="1"/>
  <c r="Q397" i="1"/>
  <c r="Q10" i="1"/>
  <c r="Q153" i="24"/>
  <c r="Q22" i="24"/>
  <c r="DO148" i="18"/>
  <c r="DT148" i="18"/>
  <c r="AS119" i="18"/>
  <c r="DO117" i="18"/>
  <c r="AS118" i="18"/>
  <c r="DT117" i="18"/>
  <c r="BR119" i="18"/>
  <c r="DN119" i="18"/>
  <c r="DS119" i="18"/>
  <c r="P8" i="1" l="1"/>
  <c r="W68" i="1"/>
  <c r="P435" i="1"/>
  <c r="P119" i="1"/>
  <c r="P439" i="1" s="1"/>
  <c r="K7" i="20"/>
  <c r="CZ5" i="1"/>
  <c r="CZ18" i="1" s="1"/>
  <c r="P394" i="1"/>
  <c r="P11" i="1"/>
  <c r="P7" i="1"/>
  <c r="DA6" i="1"/>
  <c r="DA21" i="1" s="1"/>
  <c r="L10" i="20"/>
  <c r="O869" i="14"/>
  <c r="O962" i="14"/>
  <c r="S90" i="1"/>
  <c r="S94" i="1" s="1"/>
  <c r="S72" i="1"/>
  <c r="Q112" i="1"/>
  <c r="Q427" i="1"/>
  <c r="DE11" i="1"/>
  <c r="W7" i="25"/>
  <c r="N494" i="14" s="1"/>
  <c r="W351" i="24"/>
  <c r="N910" i="14" s="1"/>
  <c r="N955" i="14" s="1"/>
  <c r="Y107" i="24"/>
  <c r="Y73" i="24" s="1"/>
  <c r="Q393" i="1"/>
  <c r="CE5" i="1"/>
  <c r="L1149" i="14"/>
  <c r="L1151" i="14" s="1"/>
  <c r="K1148" i="14"/>
  <c r="N932" i="14"/>
  <c r="X280" i="24"/>
  <c r="N325" i="24"/>
  <c r="E834" i="14"/>
  <c r="V137" i="21"/>
  <c r="V637" i="21" s="1"/>
  <c r="Y161" i="24"/>
  <c r="N312" i="24"/>
  <c r="N61" i="24"/>
  <c r="N133" i="1"/>
  <c r="N450" i="1" s="1"/>
  <c r="Z179" i="25"/>
  <c r="Z169" i="25"/>
  <c r="P509" i="14"/>
  <c r="N323" i="1"/>
  <c r="N98" i="24"/>
  <c r="N68" i="24"/>
  <c r="E839" i="14" s="1"/>
  <c r="W447" i="1"/>
  <c r="V249" i="21"/>
  <c r="V254" i="21" s="1"/>
  <c r="V696" i="21" s="1"/>
  <c r="I35" i="31"/>
  <c r="P28" i="24"/>
  <c r="P29" i="24" s="1"/>
  <c r="P47" i="24"/>
  <c r="U301" i="21"/>
  <c r="U741" i="21" s="1"/>
  <c r="U19" i="21"/>
  <c r="U548" i="21" s="1"/>
  <c r="U263" i="21"/>
  <c r="U705" i="21" s="1"/>
  <c r="U302" i="21"/>
  <c r="U742" i="21" s="1"/>
  <c r="U703" i="21"/>
  <c r="U271" i="21"/>
  <c r="U713" i="21" s="1"/>
  <c r="U273" i="21"/>
  <c r="U715" i="21" s="1"/>
  <c r="T763" i="21"/>
  <c r="V704" i="21"/>
  <c r="V261" i="21"/>
  <c r="J23" i="31"/>
  <c r="K384" i="25"/>
  <c r="K404" i="25" s="1"/>
  <c r="Z23" i="16"/>
  <c r="U299" i="21"/>
  <c r="U708" i="21"/>
  <c r="Z22" i="16"/>
  <c r="J22" i="31"/>
  <c r="K383" i="25"/>
  <c r="K403" i="25" s="1"/>
  <c r="F5" i="21"/>
  <c r="L4" i="21"/>
  <c r="F10" i="21"/>
  <c r="F536" i="21"/>
  <c r="AB336" i="21"/>
  <c r="AB339" i="21" s="1"/>
  <c r="AC336" i="21" s="1"/>
  <c r="BX4" i="21"/>
  <c r="CD4" i="21" s="1"/>
  <c r="L190" i="25"/>
  <c r="L208" i="25" s="1"/>
  <c r="L202" i="25"/>
  <c r="M189" i="25"/>
  <c r="T740" i="21"/>
  <c r="T313" i="21"/>
  <c r="K203" i="25"/>
  <c r="F572" i="21"/>
  <c r="F393" i="21"/>
  <c r="F375" i="21" s="1"/>
  <c r="F114" i="21" s="1"/>
  <c r="F615" i="21" s="1"/>
  <c r="F394" i="21"/>
  <c r="P747" i="21"/>
  <c r="P28" i="21"/>
  <c r="P557" i="21" s="1"/>
  <c r="V716" i="21"/>
  <c r="V266" i="21"/>
  <c r="N378" i="21"/>
  <c r="N118" i="21" s="1"/>
  <c r="N619" i="21" s="1"/>
  <c r="N376" i="21"/>
  <c r="N115" i="21" s="1"/>
  <c r="N616" i="21" s="1"/>
  <c r="N387" i="21"/>
  <c r="N146" i="21" s="1"/>
  <c r="N645" i="21" s="1"/>
  <c r="N388" i="21"/>
  <c r="N147" i="21" s="1"/>
  <c r="N646" i="21" s="1"/>
  <c r="BY4" i="21"/>
  <c r="CE4" i="21" s="1"/>
  <c r="CE6" i="21" s="1"/>
  <c r="N536" i="21"/>
  <c r="F44" i="21"/>
  <c r="R322" i="21"/>
  <c r="R320" i="21"/>
  <c r="R305" i="21"/>
  <c r="Q745" i="21"/>
  <c r="Q26" i="21"/>
  <c r="Q555" i="21" s="1"/>
  <c r="Q323" i="21"/>
  <c r="Q36" i="21" s="1"/>
  <c r="Q335" i="21"/>
  <c r="Q337" i="21" s="1"/>
  <c r="Q307" i="21" s="1"/>
  <c r="P561" i="21"/>
  <c r="P86" i="21"/>
  <c r="P39" i="21"/>
  <c r="D461" i="14"/>
  <c r="D462" i="14" s="1"/>
  <c r="D463" i="14" s="1"/>
  <c r="Y35" i="16"/>
  <c r="J92" i="25"/>
  <c r="J100" i="25" s="1"/>
  <c r="J118" i="25" s="1"/>
  <c r="N683" i="21"/>
  <c r="N9" i="21"/>
  <c r="N365" i="21"/>
  <c r="N494" i="21"/>
  <c r="F387" i="21"/>
  <c r="F146" i="21" s="1"/>
  <c r="F645" i="21" s="1"/>
  <c r="F378" i="21"/>
  <c r="F118" i="21" s="1"/>
  <c r="F619" i="21" s="1"/>
  <c r="F376" i="21"/>
  <c r="F115" i="21" s="1"/>
  <c r="F616" i="21" s="1"/>
  <c r="F388" i="21"/>
  <c r="F147" i="21" s="1"/>
  <c r="F646" i="21" s="1"/>
  <c r="T316" i="21"/>
  <c r="S319" i="21"/>
  <c r="O40" i="21"/>
  <c r="O565" i="21" s="1"/>
  <c r="O343" i="21"/>
  <c r="O51" i="21" s="1"/>
  <c r="O576" i="21" s="1"/>
  <c r="O197" i="21"/>
  <c r="O4" i="21"/>
  <c r="O392" i="21"/>
  <c r="O344" i="21"/>
  <c r="O52" i="21" s="1"/>
  <c r="O577" i="21" s="1"/>
  <c r="O342" i="21"/>
  <c r="O47" i="21" s="1"/>
  <c r="O564" i="21"/>
  <c r="K209" i="25"/>
  <c r="N394" i="21"/>
  <c r="N393" i="21"/>
  <c r="N375" i="21" s="1"/>
  <c r="N114" i="21" s="1"/>
  <c r="N615" i="21" s="1"/>
  <c r="N572" i="21"/>
  <c r="BZ28" i="21"/>
  <c r="CL19" i="21" s="1"/>
  <c r="CL21" i="21" s="1"/>
  <c r="O557" i="21"/>
  <c r="BM9" i="18"/>
  <c r="AC217" i="16"/>
  <c r="K579" i="14"/>
  <c r="N56" i="24"/>
  <c r="AC62" i="16"/>
  <c r="AC218" i="16"/>
  <c r="BM15" i="18"/>
  <c r="BL15" i="18" s="1"/>
  <c r="AC219" i="16"/>
  <c r="BM19" i="18"/>
  <c r="C810" i="14" s="1"/>
  <c r="AC64" i="16"/>
  <c r="BN5" i="18"/>
  <c r="EJ5" i="18" s="1"/>
  <c r="AD60" i="16"/>
  <c r="AD216" i="16"/>
  <c r="O54" i="24"/>
  <c r="F836" i="14" s="1"/>
  <c r="Q25" i="24"/>
  <c r="Q47" i="24" s="1"/>
  <c r="P139" i="24"/>
  <c r="N76" i="24"/>
  <c r="N125" i="24"/>
  <c r="N82" i="24"/>
  <c r="C809" i="14" s="1"/>
  <c r="N57" i="24"/>
  <c r="W184" i="24"/>
  <c r="Y207" i="24"/>
  <c r="X183" i="24"/>
  <c r="X210" i="24"/>
  <c r="O880" i="14" s="1"/>
  <c r="Z107" i="24"/>
  <c r="Z73" i="24" s="1"/>
  <c r="V562" i="21"/>
  <c r="V94" i="21"/>
  <c r="V761" i="21"/>
  <c r="V758" i="21"/>
  <c r="V760" i="21" s="1"/>
  <c r="U758" i="21"/>
  <c r="U760" i="21" s="1"/>
  <c r="U761" i="21"/>
  <c r="V279" i="21"/>
  <c r="V721" i="21" s="1"/>
  <c r="V250" i="21"/>
  <c r="V689" i="21"/>
  <c r="V341" i="21"/>
  <c r="V46" i="21" s="1"/>
  <c r="V571" i="21" s="1"/>
  <c r="U282" i="21"/>
  <c r="U724" i="21" s="1"/>
  <c r="U692" i="21"/>
  <c r="U255" i="21"/>
  <c r="U697" i="21" s="1"/>
  <c r="U257" i="21"/>
  <c r="U699" i="21" s="1"/>
  <c r="V36" i="1"/>
  <c r="V43" i="1"/>
  <c r="U723" i="21"/>
  <c r="U202" i="21"/>
  <c r="U203" i="21" s="1"/>
  <c r="W20" i="1"/>
  <c r="W19" i="1"/>
  <c r="U248" i="21"/>
  <c r="H390" i="25"/>
  <c r="H86" i="12"/>
  <c r="I390" i="25"/>
  <c r="G33" i="31"/>
  <c r="W33" i="16"/>
  <c r="W236" i="16" s="1"/>
  <c r="H408" i="25"/>
  <c r="H89" i="12"/>
  <c r="H50" i="12" s="1"/>
  <c r="K36" i="20" s="1"/>
  <c r="O145" i="1"/>
  <c r="O154" i="1" s="1"/>
  <c r="P246" i="1"/>
  <c r="P229" i="1"/>
  <c r="R22" i="24"/>
  <c r="R153" i="24"/>
  <c r="DO119" i="18"/>
  <c r="DT119" i="18"/>
  <c r="N350" i="24" l="1"/>
  <c r="E909" i="14" s="1"/>
  <c r="S417" i="1"/>
  <c r="P869" i="14"/>
  <c r="P962" i="14"/>
  <c r="X7" i="25"/>
  <c r="O494" i="14" s="1"/>
  <c r="X351" i="24"/>
  <c r="O910" i="14" s="1"/>
  <c r="O955" i="14" s="1"/>
  <c r="S4" i="1"/>
  <c r="T5" i="1" s="1"/>
  <c r="T393" i="1" s="1"/>
  <c r="S101" i="1"/>
  <c r="S426" i="1" s="1"/>
  <c r="S98" i="1"/>
  <c r="S212" i="1"/>
  <c r="S420" i="1"/>
  <c r="S95" i="1"/>
  <c r="S421" i="1" s="1"/>
  <c r="T95" i="1"/>
  <c r="T421" i="1" s="1"/>
  <c r="L1148" i="14"/>
  <c r="M1149" i="14"/>
  <c r="C804" i="14"/>
  <c r="C813" i="14"/>
  <c r="O932" i="14"/>
  <c r="Y280" i="24"/>
  <c r="BL34" i="18"/>
  <c r="EH15" i="18"/>
  <c r="E840" i="14"/>
  <c r="O325" i="24"/>
  <c r="F834" i="14"/>
  <c r="Z161" i="24"/>
  <c r="O312" i="24"/>
  <c r="O61" i="24"/>
  <c r="V296" i="21"/>
  <c r="V737" i="21" s="1"/>
  <c r="V256" i="21"/>
  <c r="V698" i="21" s="1"/>
  <c r="V281" i="21"/>
  <c r="V723" i="21" s="1"/>
  <c r="V691" i="21"/>
  <c r="Q509" i="14"/>
  <c r="O98" i="24"/>
  <c r="O68" i="24"/>
  <c r="F839" i="14" s="1"/>
  <c r="N58" i="24"/>
  <c r="AC337" i="21"/>
  <c r="V301" i="21"/>
  <c r="V741" i="21" s="1"/>
  <c r="V302" i="21"/>
  <c r="V742" i="21" s="1"/>
  <c r="V263" i="21"/>
  <c r="V705" i="21" s="1"/>
  <c r="V19" i="21"/>
  <c r="V548" i="21" s="1"/>
  <c r="V703" i="21"/>
  <c r="V273" i="21"/>
  <c r="V715" i="21" s="1"/>
  <c r="V271" i="21"/>
  <c r="V713" i="21" s="1"/>
  <c r="V336" i="21"/>
  <c r="S322" i="21"/>
  <c r="S320" i="21"/>
  <c r="S305" i="21"/>
  <c r="Q39" i="21"/>
  <c r="Q561" i="21"/>
  <c r="Q86" i="21"/>
  <c r="N386" i="21"/>
  <c r="N145" i="21" s="1"/>
  <c r="N644" i="21" s="1"/>
  <c r="N380" i="21"/>
  <c r="K89" i="25"/>
  <c r="L199" i="25"/>
  <c r="L200" i="25"/>
  <c r="U740" i="21"/>
  <c r="U313" i="21"/>
  <c r="O572" i="21"/>
  <c r="O394" i="21"/>
  <c r="O393" i="21"/>
  <c r="O375" i="21" s="1"/>
  <c r="O114" i="21" s="1"/>
  <c r="O615" i="21" s="1"/>
  <c r="O387" i="21"/>
  <c r="O146" i="21" s="1"/>
  <c r="O645" i="21" s="1"/>
  <c r="O376" i="21"/>
  <c r="O115" i="21" s="1"/>
  <c r="O616" i="21" s="1"/>
  <c r="O388" i="21"/>
  <c r="O147" i="21" s="1"/>
  <c r="O646" i="21" s="1"/>
  <c r="O378" i="21"/>
  <c r="O118" i="21" s="1"/>
  <c r="O619" i="21" s="1"/>
  <c r="O9" i="21"/>
  <c r="O683" i="21"/>
  <c r="O494" i="21"/>
  <c r="O365" i="21"/>
  <c r="F542" i="21"/>
  <c r="BX10" i="21"/>
  <c r="F537" i="21"/>
  <c r="BX5" i="21"/>
  <c r="AV26" i="21"/>
  <c r="T319" i="21"/>
  <c r="U316" i="21"/>
  <c r="R745" i="21"/>
  <c r="R26" i="21"/>
  <c r="R555" i="21" s="1"/>
  <c r="L206" i="25"/>
  <c r="L205" i="25"/>
  <c r="K90" i="25"/>
  <c r="R335" i="21"/>
  <c r="R337" i="21" s="1"/>
  <c r="R307" i="21" s="1"/>
  <c r="R323" i="21"/>
  <c r="R36" i="21" s="1"/>
  <c r="CD6" i="21"/>
  <c r="CD25" i="21"/>
  <c r="O536" i="21"/>
  <c r="BZ4" i="21"/>
  <c r="CF4" i="21" s="1"/>
  <c r="CF6" i="21" s="1"/>
  <c r="O5" i="21"/>
  <c r="N5" i="21"/>
  <c r="L39" i="21"/>
  <c r="N40" i="21" s="1"/>
  <c r="L10" i="21"/>
  <c r="F396" i="21"/>
  <c r="F384" i="21" s="1"/>
  <c r="F380" i="21"/>
  <c r="F386" i="21"/>
  <c r="F145" i="21" s="1"/>
  <c r="F644" i="21" s="1"/>
  <c r="O44" i="21"/>
  <c r="N395" i="21"/>
  <c r="N396" i="21" s="1"/>
  <c r="N384" i="21" s="1"/>
  <c r="N362" i="21"/>
  <c r="F48" i="21"/>
  <c r="F569" i="21"/>
  <c r="P197" i="21"/>
  <c r="P40" i="21"/>
  <c r="P343" i="21"/>
  <c r="P51" i="21" s="1"/>
  <c r="P576" i="21" s="1"/>
  <c r="P392" i="21"/>
  <c r="P564" i="21"/>
  <c r="P4" i="21"/>
  <c r="P344" i="21"/>
  <c r="P52" i="21" s="1"/>
  <c r="P577" i="21" s="1"/>
  <c r="P342" i="21"/>
  <c r="P47" i="21" s="1"/>
  <c r="V708" i="21"/>
  <c r="V299" i="21"/>
  <c r="Q28" i="21"/>
  <c r="Q557" i="21" s="1"/>
  <c r="Q747" i="21"/>
  <c r="AC339" i="21"/>
  <c r="AC338" i="21"/>
  <c r="N10" i="21"/>
  <c r="F1" i="21"/>
  <c r="N541" i="21"/>
  <c r="AB541" i="21" s="1"/>
  <c r="BY9" i="21"/>
  <c r="CE10" i="21" s="1"/>
  <c r="M202" i="25"/>
  <c r="M190" i="25"/>
  <c r="M208" i="25" s="1"/>
  <c r="BM37" i="18"/>
  <c r="BL37" i="18" s="1"/>
  <c r="BL19" i="18" s="1"/>
  <c r="EH19" i="18" s="1"/>
  <c r="EI19" i="18"/>
  <c r="EI15" i="18"/>
  <c r="BM34" i="18"/>
  <c r="L579" i="14"/>
  <c r="BN9" i="18"/>
  <c r="AD217" i="16"/>
  <c r="AD64" i="16"/>
  <c r="BN19" i="18"/>
  <c r="AD219" i="16"/>
  <c r="O56" i="24"/>
  <c r="AD62" i="16"/>
  <c r="AD218" i="16"/>
  <c r="BN15" i="18"/>
  <c r="EI9" i="18"/>
  <c r="BM16" i="18"/>
  <c r="R25" i="24"/>
  <c r="Q139" i="24"/>
  <c r="Q28" i="24"/>
  <c r="Q29" i="24" s="1"/>
  <c r="BO5" i="18"/>
  <c r="EK5" i="18" s="1"/>
  <c r="P54" i="24"/>
  <c r="G836" i="14" s="1"/>
  <c r="P67" i="24"/>
  <c r="O82" i="24"/>
  <c r="O125" i="24"/>
  <c r="O57" i="24"/>
  <c r="O76" i="24"/>
  <c r="Y210" i="24"/>
  <c r="P880" i="14" s="1"/>
  <c r="Y183" i="24"/>
  <c r="Z207" i="24"/>
  <c r="X184" i="24"/>
  <c r="U763" i="21"/>
  <c r="V763" i="21"/>
  <c r="W763" i="21" s="1"/>
  <c r="V764" i="21" s="1"/>
  <c r="W36" i="1"/>
  <c r="W43" i="1"/>
  <c r="V282" i="21"/>
  <c r="V724" i="21" s="1"/>
  <c r="V255" i="21"/>
  <c r="V697" i="21" s="1"/>
  <c r="V248" i="21"/>
  <c r="V692" i="21"/>
  <c r="U280" i="21"/>
  <c r="U722" i="21" s="1"/>
  <c r="U690" i="21"/>
  <c r="U295" i="21"/>
  <c r="U736" i="21" s="1"/>
  <c r="U297" i="21"/>
  <c r="U738" i="21" s="1"/>
  <c r="V257" i="21"/>
  <c r="V699" i="21" s="1"/>
  <c r="H409" i="25"/>
  <c r="H398" i="25"/>
  <c r="I409" i="25"/>
  <c r="Q246" i="1"/>
  <c r="P145" i="1"/>
  <c r="P154" i="1" s="1"/>
  <c r="W17" i="16"/>
  <c r="H49" i="12"/>
  <c r="K35" i="20" s="1"/>
  <c r="N335" i="1"/>
  <c r="N321" i="1"/>
  <c r="N318" i="1"/>
  <c r="W91" i="1"/>
  <c r="W418" i="1" s="1"/>
  <c r="J12" i="20"/>
  <c r="O12" i="1"/>
  <c r="CC11" i="1"/>
  <c r="CI13" i="1" s="1"/>
  <c r="CI15" i="1" s="1"/>
  <c r="O399" i="1"/>
  <c r="Q113" i="1"/>
  <c r="Q435" i="1" s="1"/>
  <c r="Q114" i="1"/>
  <c r="Q331" i="1"/>
  <c r="Q434" i="1"/>
  <c r="Q259" i="1"/>
  <c r="Q6" i="1"/>
  <c r="Q118" i="1"/>
  <c r="CC7" i="1"/>
  <c r="O395" i="1"/>
  <c r="J8" i="20"/>
  <c r="P232" i="1"/>
  <c r="P124" i="1" s="1"/>
  <c r="P248" i="1"/>
  <c r="R430" i="1"/>
  <c r="S107" i="1"/>
  <c r="CD8" i="1"/>
  <c r="K9" i="20"/>
  <c r="P396" i="1"/>
  <c r="CC8" i="1"/>
  <c r="O396" i="1"/>
  <c r="J9" i="20"/>
  <c r="P228" i="1"/>
  <c r="V30" i="1"/>
  <c r="V413" i="1" s="1"/>
  <c r="V54" i="1"/>
  <c r="V411" i="1"/>
  <c r="S108" i="1"/>
  <c r="R431" i="1"/>
  <c r="R104" i="1"/>
  <c r="R423" i="1"/>
  <c r="CZ20" i="1"/>
  <c r="CZ24" i="1"/>
  <c r="CZ26" i="1" s="1"/>
  <c r="CZ33" i="1"/>
  <c r="V91" i="1"/>
  <c r="V418" i="1" s="1"/>
  <c r="V82" i="1"/>
  <c r="V84" i="1" s="1"/>
  <c r="P12" i="1"/>
  <c r="K12" i="20"/>
  <c r="P399" i="1"/>
  <c r="CD11" i="1"/>
  <c r="CJ13" i="1" s="1"/>
  <c r="CJ15" i="1" s="1"/>
  <c r="W69" i="1"/>
  <c r="W70" i="1" s="1"/>
  <c r="DA23" i="1"/>
  <c r="DA36" i="1"/>
  <c r="R9" i="1"/>
  <c r="R342" i="1"/>
  <c r="R238" i="1"/>
  <c r="P395" i="1"/>
  <c r="CD7" i="1"/>
  <c r="K8" i="20"/>
  <c r="CJ24" i="1"/>
  <c r="CJ9" i="1"/>
  <c r="CK27" i="1"/>
  <c r="CK12" i="1"/>
  <c r="P373" i="1"/>
  <c r="O374" i="1"/>
  <c r="O375" i="1" s="1"/>
  <c r="O380" i="1" s="1"/>
  <c r="O383" i="1" s="1"/>
  <c r="O384" i="1" s="1"/>
  <c r="O385" i="1" s="1"/>
  <c r="W67" i="1"/>
  <c r="W28" i="1"/>
  <c r="L11" i="20"/>
  <c r="Q398" i="1"/>
  <c r="DE13" i="1"/>
  <c r="CE10" i="1"/>
  <c r="R5" i="1"/>
  <c r="R393" i="1" s="1"/>
  <c r="R392" i="1"/>
  <c r="T342" i="1"/>
  <c r="T9" i="1"/>
  <c r="T238" i="1"/>
  <c r="T392" i="1"/>
  <c r="U4" i="1"/>
  <c r="U98" i="1"/>
  <c r="U212" i="1"/>
  <c r="U420" i="1"/>
  <c r="U95" i="1"/>
  <c r="U421" i="1" s="1"/>
  <c r="U101" i="1"/>
  <c r="U426" i="1" s="1"/>
  <c r="O186" i="1"/>
  <c r="O442" i="1"/>
  <c r="O126" i="1"/>
  <c r="O443" i="1" s="1"/>
  <c r="CI9" i="1"/>
  <c r="CI24" i="1"/>
  <c r="T423" i="1"/>
  <c r="T104" i="1"/>
  <c r="S109" i="1"/>
  <c r="R432" i="1"/>
  <c r="V417" i="1"/>
  <c r="Q236" i="1"/>
  <c r="CY24" i="1"/>
  <c r="CY26" i="1" s="1"/>
  <c r="CY33" i="1"/>
  <c r="CY20" i="1"/>
  <c r="S153" i="24"/>
  <c r="S22" i="24"/>
  <c r="O350" i="24" l="1"/>
  <c r="F909" i="14" s="1"/>
  <c r="Q869" i="14"/>
  <c r="Q962" i="14"/>
  <c r="Y7" i="25"/>
  <c r="P494" i="14" s="1"/>
  <c r="Y351" i="24"/>
  <c r="P910" i="14" s="1"/>
  <c r="P955" i="14" s="1"/>
  <c r="S9" i="1"/>
  <c r="S238" i="1"/>
  <c r="S235" i="1" s="1"/>
  <c r="S190" i="1" s="1"/>
  <c r="S342" i="1"/>
  <c r="S104" i="1"/>
  <c r="S112" i="1" s="1"/>
  <c r="S423" i="1"/>
  <c r="S392" i="1"/>
  <c r="S5" i="1"/>
  <c r="S393" i="1" s="1"/>
  <c r="M1151" i="14"/>
  <c r="N1149" i="14"/>
  <c r="M1148" i="14"/>
  <c r="M1153" i="14" s="1"/>
  <c r="M1154" i="14" s="1"/>
  <c r="L1153" i="14"/>
  <c r="L1154" i="14" s="1"/>
  <c r="C806" i="14"/>
  <c r="C803" i="14"/>
  <c r="P932" i="14"/>
  <c r="Z280" i="24"/>
  <c r="F840" i="14"/>
  <c r="P325" i="24"/>
  <c r="G834" i="14"/>
  <c r="P312" i="24"/>
  <c r="P61" i="24"/>
  <c r="V202" i="21"/>
  <c r="V203" i="21" s="1"/>
  <c r="O58" i="24"/>
  <c r="P98" i="24"/>
  <c r="P68" i="24"/>
  <c r="G839" i="14" s="1"/>
  <c r="L307" i="21"/>
  <c r="L337" i="21" s="1"/>
  <c r="L209" i="25"/>
  <c r="M206" i="25" s="1"/>
  <c r="R28" i="24"/>
  <c r="R29" i="24" s="1"/>
  <c r="R47" i="24"/>
  <c r="N44" i="21"/>
  <c r="N565" i="21"/>
  <c r="P378" i="21"/>
  <c r="P118" i="21" s="1"/>
  <c r="P619" i="21" s="1"/>
  <c r="P388" i="21"/>
  <c r="P147" i="21" s="1"/>
  <c r="P646" i="21" s="1"/>
  <c r="P387" i="21"/>
  <c r="P146" i="21" s="1"/>
  <c r="P645" i="21" s="1"/>
  <c r="P376" i="21"/>
  <c r="P115" i="21" s="1"/>
  <c r="P616" i="21" s="1"/>
  <c r="AA22" i="16"/>
  <c r="K22" i="31"/>
  <c r="L383" i="25"/>
  <c r="L403" i="25" s="1"/>
  <c r="N121" i="21"/>
  <c r="N622" i="21" s="1"/>
  <c r="N381" i="21"/>
  <c r="N142" i="21"/>
  <c r="N641" i="21" s="1"/>
  <c r="N389" i="21"/>
  <c r="O48" i="21"/>
  <c r="O569" i="21"/>
  <c r="AA23" i="16"/>
  <c r="K23" i="31"/>
  <c r="L384" i="25"/>
  <c r="L404" i="25" s="1"/>
  <c r="T305" i="21"/>
  <c r="T320" i="21"/>
  <c r="T322" i="21"/>
  <c r="L203" i="25"/>
  <c r="P494" i="21"/>
  <c r="P683" i="21"/>
  <c r="P365" i="21"/>
  <c r="P9" i="21"/>
  <c r="O362" i="21"/>
  <c r="O168" i="21" s="1"/>
  <c r="O662" i="21" s="1"/>
  <c r="O395" i="21"/>
  <c r="O396" i="21" s="1"/>
  <c r="O384" i="21" s="1"/>
  <c r="R561" i="21"/>
  <c r="R86" i="21"/>
  <c r="R39" i="21"/>
  <c r="R28" i="21"/>
  <c r="R557" i="21" s="1"/>
  <c r="R747" i="21"/>
  <c r="BZ9" i="21"/>
  <c r="CF10" i="21" s="1"/>
  <c r="O10" i="21"/>
  <c r="O541" i="21"/>
  <c r="Q342" i="21"/>
  <c r="Q47" i="21" s="1"/>
  <c r="Q40" i="21"/>
  <c r="Q197" i="21"/>
  <c r="Q343" i="21"/>
  <c r="Q51" i="21" s="1"/>
  <c r="Q576" i="21" s="1"/>
  <c r="Q4" i="21"/>
  <c r="Q564" i="21"/>
  <c r="Q344" i="21"/>
  <c r="Q52" i="21" s="1"/>
  <c r="Q577" i="21" s="1"/>
  <c r="Q392" i="21"/>
  <c r="V313" i="21"/>
  <c r="V740" i="21"/>
  <c r="F121" i="21"/>
  <c r="F622" i="21" s="1"/>
  <c r="F381" i="21"/>
  <c r="F382" i="21" s="1"/>
  <c r="F160" i="21" s="1"/>
  <c r="F656" i="21" s="1"/>
  <c r="S745" i="21"/>
  <c r="S26" i="21"/>
  <c r="S555" i="21" s="1"/>
  <c r="BY5" i="21"/>
  <c r="N537" i="21"/>
  <c r="BZ5" i="21"/>
  <c r="O537" i="21"/>
  <c r="Z35" i="16"/>
  <c r="K92" i="25"/>
  <c r="K100" i="25" s="1"/>
  <c r="N363" i="21"/>
  <c r="N355" i="21"/>
  <c r="N168" i="21"/>
  <c r="N662" i="21" s="1"/>
  <c r="J35" i="31"/>
  <c r="F389" i="21"/>
  <c r="F390" i="21" s="1"/>
  <c r="F161" i="21" s="1"/>
  <c r="F657" i="21" s="1"/>
  <c r="F142" i="21"/>
  <c r="F641" i="21" s="1"/>
  <c r="O386" i="21"/>
  <c r="O145" i="21" s="1"/>
  <c r="O644" i="21" s="1"/>
  <c r="O380" i="21"/>
  <c r="P536" i="21"/>
  <c r="P5" i="21"/>
  <c r="P537" i="21" s="1"/>
  <c r="CE12" i="21"/>
  <c r="CE25" i="21"/>
  <c r="P565" i="21"/>
  <c r="P44" i="21"/>
  <c r="BY10" i="21"/>
  <c r="N542" i="21"/>
  <c r="F55" i="21"/>
  <c r="F49" i="21"/>
  <c r="F574" i="21" s="1"/>
  <c r="F573" i="21"/>
  <c r="P572" i="21"/>
  <c r="P394" i="21"/>
  <c r="P393" i="21"/>
  <c r="P375" i="21" s="1"/>
  <c r="P114" i="21" s="1"/>
  <c r="P615" i="21" s="1"/>
  <c r="V316" i="21"/>
  <c r="U319" i="21"/>
  <c r="S323" i="21"/>
  <c r="S36" i="21" s="1"/>
  <c r="S335" i="21"/>
  <c r="S337" i="21" s="1"/>
  <c r="S307" i="21" s="1"/>
  <c r="EJ19" i="18"/>
  <c r="BN37" i="18"/>
  <c r="EJ9" i="18"/>
  <c r="BN16" i="18"/>
  <c r="P56" i="24"/>
  <c r="BO15" i="18"/>
  <c r="EJ15" i="18"/>
  <c r="BN34" i="18"/>
  <c r="M579" i="14"/>
  <c r="BO9" i="18"/>
  <c r="BO19" i="18"/>
  <c r="AD67" i="24"/>
  <c r="P82" i="24"/>
  <c r="P76" i="24"/>
  <c r="AG67" i="24"/>
  <c r="P125" i="24"/>
  <c r="P57" i="24"/>
  <c r="S25" i="24"/>
  <c r="S47" i="24" s="1"/>
  <c r="R139" i="24"/>
  <c r="Q54" i="24"/>
  <c r="H836" i="14" s="1"/>
  <c r="Q67" i="24"/>
  <c r="Z183" i="24"/>
  <c r="Y184" i="24"/>
  <c r="Z210" i="24"/>
  <c r="Q880" i="14" s="1"/>
  <c r="F764" i="21"/>
  <c r="F765" i="21" s="1"/>
  <c r="F767" i="21" s="1"/>
  <c r="V690" i="21"/>
  <c r="V295" i="21"/>
  <c r="V736" i="21" s="1"/>
  <c r="V297" i="21"/>
  <c r="V738" i="21" s="1"/>
  <c r="V280" i="21"/>
  <c r="V722" i="21" s="1"/>
  <c r="R235" i="1"/>
  <c r="R190" i="1" s="1"/>
  <c r="S431" i="1"/>
  <c r="T108" i="1"/>
  <c r="T107" i="1"/>
  <c r="S430" i="1"/>
  <c r="CC12" i="1"/>
  <c r="J13" i="20"/>
  <c r="O400" i="1"/>
  <c r="U9" i="1"/>
  <c r="U342" i="1"/>
  <c r="U238" i="1"/>
  <c r="R397" i="1"/>
  <c r="R10" i="1"/>
  <c r="R398" i="1" s="1"/>
  <c r="Q191" i="1"/>
  <c r="Q229" i="1"/>
  <c r="U104" i="1"/>
  <c r="U423" i="1"/>
  <c r="P374" i="1"/>
  <c r="P375" i="1" s="1"/>
  <c r="P380" i="1" s="1"/>
  <c r="P383" i="1" s="1"/>
  <c r="P384" i="1" s="1"/>
  <c r="P385" i="1" s="1"/>
  <c r="W90" i="1"/>
  <c r="W72" i="1"/>
  <c r="W82" i="1"/>
  <c r="W84" i="1" s="1"/>
  <c r="R427" i="1"/>
  <c r="R112" i="1"/>
  <c r="R105" i="1"/>
  <c r="R428" i="1" s="1"/>
  <c r="U392" i="1"/>
  <c r="U5" i="1"/>
  <c r="U393" i="1" s="1"/>
  <c r="P332" i="1"/>
  <c r="P187" i="1"/>
  <c r="P441" i="1"/>
  <c r="P125" i="1"/>
  <c r="V94" i="1"/>
  <c r="N135" i="1"/>
  <c r="O320" i="1"/>
  <c r="N327" i="1"/>
  <c r="N168" i="1" s="1"/>
  <c r="W411" i="1"/>
  <c r="W54" i="1"/>
  <c r="W30" i="1"/>
  <c r="W413" i="1" s="1"/>
  <c r="P144" i="1"/>
  <c r="P153" i="1" s="1"/>
  <c r="Q241" i="1"/>
  <c r="Q228" i="1" s="1"/>
  <c r="P230" i="1"/>
  <c r="T109" i="1"/>
  <c r="S432" i="1"/>
  <c r="T235" i="1"/>
  <c r="T190" i="1" s="1"/>
  <c r="K13" i="20"/>
  <c r="P400" i="1"/>
  <c r="CD12" i="1"/>
  <c r="N355" i="1"/>
  <c r="N357" i="1" s="1"/>
  <c r="N337" i="1"/>
  <c r="T427" i="1"/>
  <c r="T105" i="1"/>
  <c r="T428" i="1" s="1"/>
  <c r="T10" i="1"/>
  <c r="T398" i="1" s="1"/>
  <c r="T397" i="1"/>
  <c r="Q119" i="1"/>
  <c r="Q439" i="1" s="1"/>
  <c r="Q438" i="1"/>
  <c r="Q394" i="1"/>
  <c r="L7" i="20"/>
  <c r="CE6" i="1"/>
  <c r="CK7" i="1" s="1"/>
  <c r="Q1" i="1"/>
  <c r="Q8" i="1"/>
  <c r="Q7" i="1"/>
  <c r="Q373" i="1" s="1"/>
  <c r="Q11" i="1"/>
  <c r="DA5" i="1"/>
  <c r="DA18" i="1" s="1"/>
  <c r="T153" i="24"/>
  <c r="U153" i="24" s="1"/>
  <c r="T22" i="24"/>
  <c r="P350" i="24" l="1"/>
  <c r="G909" i="14" s="1"/>
  <c r="Z7" i="25"/>
  <c r="Q494" i="14" s="1"/>
  <c r="Z351" i="24"/>
  <c r="Q910" i="14" s="1"/>
  <c r="Q955" i="14" s="1"/>
  <c r="S236" i="1"/>
  <c r="S191" i="1" s="1"/>
  <c r="S105" i="1"/>
  <c r="S428" i="1" s="1"/>
  <c r="S427" i="1"/>
  <c r="S10" i="1"/>
  <c r="S398" i="1" s="1"/>
  <c r="S397" i="1"/>
  <c r="N1151" i="14"/>
  <c r="N1148" i="14"/>
  <c r="N1153" i="14" s="1"/>
  <c r="N1154" i="14" s="1"/>
  <c r="Q932" i="14"/>
  <c r="G840" i="14"/>
  <c r="Q325" i="24"/>
  <c r="Q350" i="24" s="1"/>
  <c r="H909" i="14" s="1"/>
  <c r="H834" i="14"/>
  <c r="Q61" i="24"/>
  <c r="Q56" i="24"/>
  <c r="Q312" i="24"/>
  <c r="S28" i="24"/>
  <c r="S29" i="24" s="1"/>
  <c r="M205" i="25"/>
  <c r="M209" i="25" s="1"/>
  <c r="L90" i="25"/>
  <c r="P58" i="24"/>
  <c r="Q98" i="24"/>
  <c r="Q68" i="24"/>
  <c r="H839" i="14" s="1"/>
  <c r="N390" i="21"/>
  <c r="N161" i="21" s="1"/>
  <c r="N657" i="21" s="1"/>
  <c r="N382" i="21"/>
  <c r="N160" i="21" s="1"/>
  <c r="N656" i="21" s="1"/>
  <c r="F59" i="21"/>
  <c r="F6" i="21"/>
  <c r="F415" i="21"/>
  <c r="F483" i="21"/>
  <c r="F56" i="21"/>
  <c r="F581" i="21" s="1"/>
  <c r="F580" i="21"/>
  <c r="Q387" i="21"/>
  <c r="Q146" i="21" s="1"/>
  <c r="Q645" i="21" s="1"/>
  <c r="Q378" i="21"/>
  <c r="Q118" i="21" s="1"/>
  <c r="Q619" i="21" s="1"/>
  <c r="Q388" i="21"/>
  <c r="Q147" i="21" s="1"/>
  <c r="Q646" i="21" s="1"/>
  <c r="Q376" i="21"/>
  <c r="Q115" i="21" s="1"/>
  <c r="Q616" i="21" s="1"/>
  <c r="O49" i="21"/>
  <c r="O574" i="21" s="1"/>
  <c r="O573" i="21"/>
  <c r="O55" i="21"/>
  <c r="P48" i="21"/>
  <c r="P569" i="21"/>
  <c r="P395" i="21"/>
  <c r="P396" i="21" s="1"/>
  <c r="P384" i="21" s="1"/>
  <c r="P362" i="21"/>
  <c r="S28" i="21"/>
  <c r="S557" i="21" s="1"/>
  <c r="S747" i="21"/>
  <c r="S86" i="21"/>
  <c r="S561" i="21"/>
  <c r="S39" i="21"/>
  <c r="T323" i="21"/>
  <c r="T36" i="21" s="1"/>
  <c r="T335" i="21"/>
  <c r="T337" i="21" s="1"/>
  <c r="T307" i="21" s="1"/>
  <c r="U320" i="21"/>
  <c r="U305" i="21"/>
  <c r="U322" i="21"/>
  <c r="V319" i="21"/>
  <c r="O121" i="21"/>
  <c r="O622" i="21" s="1"/>
  <c r="O381" i="21"/>
  <c r="O382" i="21" s="1"/>
  <c r="O160" i="21" s="1"/>
  <c r="O656" i="21" s="1"/>
  <c r="O542" i="21"/>
  <c r="BZ10" i="21"/>
  <c r="CF12" i="21"/>
  <c r="CF25" i="21"/>
  <c r="P386" i="21"/>
  <c r="P145" i="21" s="1"/>
  <c r="P644" i="21" s="1"/>
  <c r="P380" i="21"/>
  <c r="P121" i="21" s="1"/>
  <c r="P622" i="21" s="1"/>
  <c r="O368" i="21"/>
  <c r="N104" i="21"/>
  <c r="N606" i="21" s="1"/>
  <c r="Q536" i="21"/>
  <c r="Q5" i="21"/>
  <c r="Q537" i="21" s="1"/>
  <c r="M199" i="25"/>
  <c r="M200" i="25"/>
  <c r="L89" i="25"/>
  <c r="Q572" i="21"/>
  <c r="Q394" i="21"/>
  <c r="Q393" i="21"/>
  <c r="Q375" i="21" s="1"/>
  <c r="Q114" i="21" s="1"/>
  <c r="Q615" i="21" s="1"/>
  <c r="N169" i="21"/>
  <c r="N663" i="21" s="1"/>
  <c r="N356" i="21"/>
  <c r="Q683" i="21"/>
  <c r="Q9" i="21"/>
  <c r="Q365" i="21"/>
  <c r="Q494" i="21"/>
  <c r="Q565" i="21"/>
  <c r="Q44" i="21"/>
  <c r="T26" i="21"/>
  <c r="T555" i="21" s="1"/>
  <c r="T745" i="21"/>
  <c r="O363" i="21"/>
  <c r="O169" i="21" s="1"/>
  <c r="O663" i="21" s="1"/>
  <c r="R4" i="21"/>
  <c r="R392" i="21"/>
  <c r="R564" i="21"/>
  <c r="R343" i="21"/>
  <c r="R51" i="21" s="1"/>
  <c r="R576" i="21" s="1"/>
  <c r="R342" i="21"/>
  <c r="R47" i="21" s="1"/>
  <c r="R40" i="21"/>
  <c r="R344" i="21"/>
  <c r="R52" i="21" s="1"/>
  <c r="R577" i="21" s="1"/>
  <c r="R197" i="21"/>
  <c r="M384" i="25"/>
  <c r="M404" i="25" s="1"/>
  <c r="AB23" i="16"/>
  <c r="L23" i="31"/>
  <c r="O389" i="21"/>
  <c r="O390" i="21" s="1"/>
  <c r="O161" i="21" s="1"/>
  <c r="O657" i="21" s="1"/>
  <c r="O142" i="21"/>
  <c r="O641" i="21" s="1"/>
  <c r="P10" i="21"/>
  <c r="P542" i="21" s="1"/>
  <c r="P541" i="21"/>
  <c r="N48" i="21"/>
  <c r="N569" i="21"/>
  <c r="BO16" i="18"/>
  <c r="EK9" i="18"/>
  <c r="EK19" i="18"/>
  <c r="BO37" i="18"/>
  <c r="BO34" i="18"/>
  <c r="EK15" i="18"/>
  <c r="S139" i="24"/>
  <c r="T25" i="24"/>
  <c r="R67" i="24"/>
  <c r="R54" i="24"/>
  <c r="I836" i="14" s="1"/>
  <c r="Q57" i="24"/>
  <c r="Q76" i="24"/>
  <c r="Q125" i="24"/>
  <c r="Q82" i="24"/>
  <c r="V153" i="24"/>
  <c r="Z184" i="24"/>
  <c r="U22" i="24"/>
  <c r="T112" i="1"/>
  <c r="T434" i="1" s="1"/>
  <c r="Q374" i="1"/>
  <c r="Q375" i="1" s="1"/>
  <c r="Q380" i="1" s="1"/>
  <c r="Q383" i="1" s="1"/>
  <c r="Q384" i="1" s="1"/>
  <c r="Q385" i="1" s="1"/>
  <c r="N136" i="1"/>
  <c r="N452" i="1"/>
  <c r="U235" i="1"/>
  <c r="U190" i="1" s="1"/>
  <c r="U109" i="1"/>
  <c r="T432" i="1"/>
  <c r="V420" i="1"/>
  <c r="V101" i="1"/>
  <c r="V426" i="1" s="1"/>
  <c r="V95" i="1"/>
  <c r="V421" i="1" s="1"/>
  <c r="V4" i="1"/>
  <c r="V98" i="1"/>
  <c r="V212" i="1"/>
  <c r="U397" i="1"/>
  <c r="U10" i="1"/>
  <c r="U398" i="1" s="1"/>
  <c r="W94" i="1"/>
  <c r="W417" i="1"/>
  <c r="DA20" i="1"/>
  <c r="DA33" i="1"/>
  <c r="DA24" i="1"/>
  <c r="DA26" i="1" s="1"/>
  <c r="L12" i="20"/>
  <c r="Q12" i="1"/>
  <c r="Q399" i="1"/>
  <c r="CE11" i="1"/>
  <c r="CK13" i="1" s="1"/>
  <c r="CK15" i="1" s="1"/>
  <c r="Q232" i="1"/>
  <c r="Q124" i="1" s="1"/>
  <c r="Q248" i="1"/>
  <c r="DE12" i="1"/>
  <c r="Q395" i="1"/>
  <c r="L8" i="20"/>
  <c r="CE7" i="1"/>
  <c r="N338" i="1"/>
  <c r="N340" i="1"/>
  <c r="N343" i="1" s="1"/>
  <c r="R241" i="1"/>
  <c r="R228" i="1" s="1"/>
  <c r="Q144" i="1"/>
  <c r="Q153" i="1" s="1"/>
  <c r="P126" i="1"/>
  <c r="P443" i="1" s="1"/>
  <c r="P442" i="1"/>
  <c r="P186" i="1"/>
  <c r="L9" i="20"/>
  <c r="Q396" i="1"/>
  <c r="CE8" i="1"/>
  <c r="U427" i="1"/>
  <c r="U105" i="1"/>
  <c r="U428" i="1" s="1"/>
  <c r="U107" i="1"/>
  <c r="T430" i="1"/>
  <c r="Q145" i="1"/>
  <c r="Q154" i="1" s="1"/>
  <c r="R246" i="1"/>
  <c r="Q230" i="1"/>
  <c r="U108" i="1"/>
  <c r="T431" i="1"/>
  <c r="CK9" i="1"/>
  <c r="CK24" i="1"/>
  <c r="P341" i="1"/>
  <c r="R236" i="1"/>
  <c r="R191" i="1" s="1"/>
  <c r="O189" i="1"/>
  <c r="O356" i="1" s="1"/>
  <c r="S331" i="1"/>
  <c r="S434" i="1"/>
  <c r="S118" i="1"/>
  <c r="S259" i="1"/>
  <c r="S114" i="1"/>
  <c r="S113" i="1"/>
  <c r="S435" i="1" s="1"/>
  <c r="S6" i="1"/>
  <c r="T236" i="1"/>
  <c r="T191" i="1" s="1"/>
  <c r="R113" i="1"/>
  <c r="R6" i="1"/>
  <c r="R114" i="1"/>
  <c r="R118" i="1"/>
  <c r="R434" i="1"/>
  <c r="R331" i="1"/>
  <c r="R259" i="1"/>
  <c r="N188" i="1"/>
  <c r="N175" i="1"/>
  <c r="Q58" i="24" l="1"/>
  <c r="H840" i="14"/>
  <c r="R325" i="24"/>
  <c r="I834" i="14"/>
  <c r="R61" i="24"/>
  <c r="R56" i="24"/>
  <c r="R312" i="24"/>
  <c r="P381" i="21"/>
  <c r="P382" i="21" s="1"/>
  <c r="P160" i="21" s="1"/>
  <c r="P656" i="21" s="1"/>
  <c r="R98" i="24"/>
  <c r="R68" i="24"/>
  <c r="I839" i="14" s="1"/>
  <c r="T28" i="24"/>
  <c r="T29" i="24" s="1"/>
  <c r="T47" i="24"/>
  <c r="Q386" i="21"/>
  <c r="Q145" i="21" s="1"/>
  <c r="Q644" i="21" s="1"/>
  <c r="Q380" i="21"/>
  <c r="Q121" i="21" s="1"/>
  <c r="Q622" i="21" s="1"/>
  <c r="R387" i="21"/>
  <c r="R146" i="21" s="1"/>
  <c r="R645" i="21" s="1"/>
  <c r="R376" i="21"/>
  <c r="R115" i="21" s="1"/>
  <c r="R616" i="21" s="1"/>
  <c r="R388" i="21"/>
  <c r="R147" i="21" s="1"/>
  <c r="R646" i="21" s="1"/>
  <c r="R378" i="21"/>
  <c r="R118" i="21" s="1"/>
  <c r="R619" i="21" s="1"/>
  <c r="N573" i="21"/>
  <c r="N49" i="21"/>
  <c r="N574" i="21" s="1"/>
  <c r="N55" i="21"/>
  <c r="U323" i="21"/>
  <c r="U36" i="21" s="1"/>
  <c r="U335" i="21"/>
  <c r="U337" i="21" s="1"/>
  <c r="U307" i="21" s="1"/>
  <c r="T28" i="21"/>
  <c r="T557" i="21" s="1"/>
  <c r="T747" i="21"/>
  <c r="S344" i="21"/>
  <c r="S52" i="21" s="1"/>
  <c r="S577" i="21" s="1"/>
  <c r="S4" i="21"/>
  <c r="S342" i="21"/>
  <c r="S47" i="21" s="1"/>
  <c r="S197" i="21"/>
  <c r="S40" i="21"/>
  <c r="S392" i="21"/>
  <c r="S564" i="21"/>
  <c r="S343" i="21"/>
  <c r="S51" i="21" s="1"/>
  <c r="S576" i="21" s="1"/>
  <c r="Q541" i="21"/>
  <c r="Q10" i="21"/>
  <c r="Q542" i="21" s="1"/>
  <c r="L6" i="21"/>
  <c r="L8" i="21" s="1"/>
  <c r="F11" i="21"/>
  <c r="BX6" i="21"/>
  <c r="CD7" i="21" s="1"/>
  <c r="F538" i="21"/>
  <c r="F8" i="21"/>
  <c r="F7" i="21"/>
  <c r="P168" i="21"/>
  <c r="P662" i="21" s="1"/>
  <c r="P363" i="21"/>
  <c r="P169" i="21" s="1"/>
  <c r="P663" i="21" s="1"/>
  <c r="F63" i="21"/>
  <c r="F60" i="21"/>
  <c r="F585" i="21" s="1"/>
  <c r="F584" i="21"/>
  <c r="V305" i="21"/>
  <c r="V322" i="21"/>
  <c r="V320" i="21"/>
  <c r="L92" i="25"/>
  <c r="L100" i="25" s="1"/>
  <c r="K35" i="31"/>
  <c r="AA35" i="16"/>
  <c r="L22" i="31"/>
  <c r="M383" i="25"/>
  <c r="M403" i="25" s="1"/>
  <c r="AB22" i="16"/>
  <c r="M203" i="25"/>
  <c r="Q362" i="21"/>
  <c r="Q168" i="21" s="1"/>
  <c r="Q662" i="21" s="1"/>
  <c r="Q395" i="21"/>
  <c r="Q396" i="21" s="1"/>
  <c r="Q384" i="21" s="1"/>
  <c r="T6" i="1"/>
  <c r="T7" i="1" s="1"/>
  <c r="T395" i="1" s="1"/>
  <c r="R565" i="21"/>
  <c r="R44" i="21"/>
  <c r="N357" i="21"/>
  <c r="O356" i="21"/>
  <c r="N105" i="21"/>
  <c r="N607" i="21" s="1"/>
  <c r="P142" i="21"/>
  <c r="P641" i="21" s="1"/>
  <c r="P389" i="21"/>
  <c r="P390" i="21" s="1"/>
  <c r="P161" i="21" s="1"/>
  <c r="P657" i="21" s="1"/>
  <c r="R536" i="21"/>
  <c r="R5" i="21"/>
  <c r="R537" i="21" s="1"/>
  <c r="M90" i="25"/>
  <c r="N205" i="25"/>
  <c r="N206" i="25"/>
  <c r="O359" i="21"/>
  <c r="O62" i="21" s="1"/>
  <c r="O355" i="21"/>
  <c r="R365" i="21"/>
  <c r="R494" i="21"/>
  <c r="R9" i="21"/>
  <c r="R683" i="21"/>
  <c r="R393" i="21"/>
  <c r="R375" i="21" s="1"/>
  <c r="R114" i="21" s="1"/>
  <c r="R615" i="21" s="1"/>
  <c r="R394" i="21"/>
  <c r="R572" i="21"/>
  <c r="O56" i="21"/>
  <c r="O581" i="21" s="1"/>
  <c r="O580" i="21"/>
  <c r="O59" i="21"/>
  <c r="O415" i="21"/>
  <c r="O6" i="21"/>
  <c r="O483" i="21"/>
  <c r="U745" i="21"/>
  <c r="U26" i="21"/>
  <c r="U555" i="21" s="1"/>
  <c r="T561" i="21"/>
  <c r="T39" i="21"/>
  <c r="T86" i="21"/>
  <c r="Q48" i="21"/>
  <c r="Q569" i="21"/>
  <c r="P573" i="21"/>
  <c r="P49" i="21"/>
  <c r="P574" i="21" s="1"/>
  <c r="P55" i="21"/>
  <c r="O579" i="14"/>
  <c r="R82" i="24"/>
  <c r="R125" i="24"/>
  <c r="R76" i="24"/>
  <c r="R57" i="24"/>
  <c r="S67" i="24"/>
  <c r="S54" i="24"/>
  <c r="J836" i="14" s="1"/>
  <c r="U25" i="24"/>
  <c r="U47" i="24" s="1"/>
  <c r="T139" i="24"/>
  <c r="V22" i="24"/>
  <c r="W153" i="24"/>
  <c r="T331" i="1"/>
  <c r="T114" i="1"/>
  <c r="T118" i="1"/>
  <c r="T438" i="1" s="1"/>
  <c r="T259" i="1"/>
  <c r="T113" i="1"/>
  <c r="T435" i="1" s="1"/>
  <c r="U112" i="1"/>
  <c r="U114" i="1" s="1"/>
  <c r="U236" i="1"/>
  <c r="U191" i="1" s="1"/>
  <c r="R144" i="1"/>
  <c r="R153" i="1" s="1"/>
  <c r="S241" i="1"/>
  <c r="N138" i="1"/>
  <c r="N455" i="1" s="1"/>
  <c r="N137" i="1"/>
  <c r="N454" i="1" s="1"/>
  <c r="N146" i="1"/>
  <c r="N453" i="1"/>
  <c r="N13" i="1"/>
  <c r="O349" i="1"/>
  <c r="U112" i="16"/>
  <c r="U114" i="16" s="1"/>
  <c r="N201" i="1"/>
  <c r="N147" i="1" s="1"/>
  <c r="S394" i="1"/>
  <c r="S8" i="1"/>
  <c r="S396" i="1" s="1"/>
  <c r="S11" i="1"/>
  <c r="S7" i="1"/>
  <c r="S395" i="1" s="1"/>
  <c r="V9" i="1"/>
  <c r="V342" i="1"/>
  <c r="V238" i="1"/>
  <c r="V108" i="1"/>
  <c r="U431" i="1"/>
  <c r="S438" i="1"/>
  <c r="S119" i="1"/>
  <c r="S439" i="1" s="1"/>
  <c r="V5" i="1"/>
  <c r="V393" i="1" s="1"/>
  <c r="V392" i="1"/>
  <c r="R229" i="1"/>
  <c r="L13" i="20"/>
  <c r="Q400" i="1"/>
  <c r="CE12" i="1"/>
  <c r="Q332" i="1"/>
  <c r="Q441" i="1"/>
  <c r="Q187" i="1"/>
  <c r="Q125" i="1"/>
  <c r="R438" i="1"/>
  <c r="R119" i="1"/>
  <c r="R439" i="1" s="1"/>
  <c r="V423" i="1"/>
  <c r="V104" i="1"/>
  <c r="R232" i="1"/>
  <c r="R124" i="1" s="1"/>
  <c r="R248" i="1"/>
  <c r="U432" i="1"/>
  <c r="V109" i="1"/>
  <c r="R11" i="1"/>
  <c r="R7" i="1"/>
  <c r="R394" i="1"/>
  <c r="R8" i="1"/>
  <c r="R396" i="1" s="1"/>
  <c r="AC133" i="1"/>
  <c r="R435" i="1"/>
  <c r="V107" i="1"/>
  <c r="U430" i="1"/>
  <c r="W95" i="1"/>
  <c r="W421" i="1" s="1"/>
  <c r="W98" i="1"/>
  <c r="W212" i="1"/>
  <c r="W420" i="1"/>
  <c r="W101" i="1"/>
  <c r="W426" i="1" s="1"/>
  <c r="W4" i="1"/>
  <c r="R350" i="24" l="1"/>
  <c r="I909" i="14" s="1"/>
  <c r="I840" i="14"/>
  <c r="S325" i="24"/>
  <c r="J834" i="14"/>
  <c r="R58" i="24"/>
  <c r="S61" i="24"/>
  <c r="S56" i="24"/>
  <c r="S312" i="24"/>
  <c r="S98" i="24"/>
  <c r="S68" i="24"/>
  <c r="J839" i="14" s="1"/>
  <c r="T394" i="1"/>
  <c r="T8" i="1"/>
  <c r="T396" i="1" s="1"/>
  <c r="Q381" i="21"/>
  <c r="Q382" i="21" s="1"/>
  <c r="Q160" i="21" s="1"/>
  <c r="Q656" i="21" s="1"/>
  <c r="T11" i="1"/>
  <c r="T399" i="1" s="1"/>
  <c r="P368" i="21"/>
  <c r="P359" i="21" s="1"/>
  <c r="P62" i="21" s="1"/>
  <c r="O104" i="21"/>
  <c r="N199" i="25"/>
  <c r="N200" i="25"/>
  <c r="M89" i="25"/>
  <c r="BX8" i="21"/>
  <c r="AV28" i="21"/>
  <c r="F540" i="21"/>
  <c r="BZ6" i="21"/>
  <c r="CF7" i="21" s="1"/>
  <c r="O11" i="21"/>
  <c r="O8" i="21"/>
  <c r="O538" i="21"/>
  <c r="F12" i="21"/>
  <c r="BX11" i="21"/>
  <c r="CD13" i="21" s="1"/>
  <c r="CD15" i="21" s="1"/>
  <c r="F543" i="21"/>
  <c r="O60" i="21"/>
  <c r="O585" i="21" s="1"/>
  <c r="O584" i="21"/>
  <c r="O63" i="21"/>
  <c r="P59" i="21"/>
  <c r="P415" i="21"/>
  <c r="P483" i="21"/>
  <c r="P6" i="21"/>
  <c r="P580" i="21"/>
  <c r="P56" i="21"/>
  <c r="P581" i="21" s="1"/>
  <c r="O357" i="21"/>
  <c r="O105" i="21"/>
  <c r="O607" i="21" s="1"/>
  <c r="P356" i="21"/>
  <c r="V745" i="21"/>
  <c r="V26" i="21"/>
  <c r="V555" i="21" s="1"/>
  <c r="S388" i="21"/>
  <c r="S147" i="21" s="1"/>
  <c r="S646" i="21" s="1"/>
  <c r="S387" i="21"/>
  <c r="S146" i="21" s="1"/>
  <c r="S645" i="21" s="1"/>
  <c r="S376" i="21"/>
  <c r="S115" i="21" s="1"/>
  <c r="S616" i="21" s="1"/>
  <c r="S378" i="21"/>
  <c r="S118" i="21" s="1"/>
  <c r="S619" i="21" s="1"/>
  <c r="Q389" i="21"/>
  <c r="Q390" i="21" s="1"/>
  <c r="Q161" i="21" s="1"/>
  <c r="Q657" i="21" s="1"/>
  <c r="Q142" i="21"/>
  <c r="Q641" i="21" s="1"/>
  <c r="O484" i="21"/>
  <c r="O493" i="21" s="1"/>
  <c r="O158" i="21"/>
  <c r="O654" i="21" s="1"/>
  <c r="O587" i="21"/>
  <c r="U747" i="21"/>
  <c r="U28" i="21"/>
  <c r="U557" i="21" s="1"/>
  <c r="T119" i="1"/>
  <c r="T439" i="1" s="1"/>
  <c r="Q49" i="21"/>
  <c r="Q574" i="21" s="1"/>
  <c r="Q573" i="21"/>
  <c r="Q55" i="21"/>
  <c r="R569" i="21"/>
  <c r="R48" i="21"/>
  <c r="S565" i="21"/>
  <c r="S44" i="21"/>
  <c r="BX7" i="21"/>
  <c r="F539" i="21"/>
  <c r="M23" i="31"/>
  <c r="N384" i="25"/>
  <c r="N404" i="25" s="1"/>
  <c r="AC23" i="16"/>
  <c r="CD9" i="21"/>
  <c r="CD22" i="21"/>
  <c r="N415" i="21"/>
  <c r="N59" i="21"/>
  <c r="N580" i="21"/>
  <c r="N56" i="21"/>
  <c r="N581" i="21" s="1"/>
  <c r="N6" i="21"/>
  <c r="N483" i="21"/>
  <c r="V335" i="21"/>
  <c r="V337" i="21" s="1"/>
  <c r="V307" i="21" s="1"/>
  <c r="V323" i="21"/>
  <c r="V36" i="21" s="1"/>
  <c r="R386" i="21"/>
  <c r="R145" i="21" s="1"/>
  <c r="R644" i="21" s="1"/>
  <c r="R380" i="21"/>
  <c r="R121" i="21" s="1"/>
  <c r="R622" i="21" s="1"/>
  <c r="N111" i="21"/>
  <c r="N613" i="21" s="1"/>
  <c r="R541" i="21"/>
  <c r="R10" i="21"/>
  <c r="R542" i="21" s="1"/>
  <c r="F70" i="21"/>
  <c r="F588" i="21"/>
  <c r="F157" i="21"/>
  <c r="F64" i="21"/>
  <c r="F589" i="21" s="1"/>
  <c r="S9" i="21"/>
  <c r="S494" i="21"/>
  <c r="S365" i="21"/>
  <c r="S683" i="21"/>
  <c r="T392" i="21"/>
  <c r="T197" i="21"/>
  <c r="T342" i="21"/>
  <c r="T47" i="21" s="1"/>
  <c r="T343" i="21"/>
  <c r="T51" i="21" s="1"/>
  <c r="T576" i="21" s="1"/>
  <c r="T344" i="21"/>
  <c r="T52" i="21" s="1"/>
  <c r="T577" i="21" s="1"/>
  <c r="T40" i="21"/>
  <c r="T565" i="21" s="1"/>
  <c r="T4" i="21"/>
  <c r="T564" i="21"/>
  <c r="R395" i="21"/>
  <c r="R396" i="21" s="1"/>
  <c r="R384" i="21" s="1"/>
  <c r="R362" i="21"/>
  <c r="R168" i="21" s="1"/>
  <c r="R662" i="21" s="1"/>
  <c r="S536" i="21"/>
  <c r="S5" i="21"/>
  <c r="S537" i="21" s="1"/>
  <c r="U86" i="21"/>
  <c r="U561" i="21"/>
  <c r="U39" i="21"/>
  <c r="S394" i="21"/>
  <c r="S393" i="21"/>
  <c r="S375" i="21" s="1"/>
  <c r="S114" i="21" s="1"/>
  <c r="S615" i="21" s="1"/>
  <c r="S572" i="21"/>
  <c r="Q363" i="21"/>
  <c r="Q169" i="21" s="1"/>
  <c r="Q663" i="21" s="1"/>
  <c r="S76" i="24"/>
  <c r="S82" i="24"/>
  <c r="S125" i="24"/>
  <c r="S57" i="24"/>
  <c r="U139" i="24"/>
  <c r="V25" i="24"/>
  <c r="V47" i="24" s="1"/>
  <c r="U28" i="24"/>
  <c r="U29" i="24" s="1"/>
  <c r="T67" i="24"/>
  <c r="T54" i="24"/>
  <c r="K836" i="14" s="1"/>
  <c r="W22" i="24"/>
  <c r="X153" i="24"/>
  <c r="U118" i="1"/>
  <c r="U438" i="1" s="1"/>
  <c r="U331" i="1"/>
  <c r="U434" i="1"/>
  <c r="U259" i="1"/>
  <c r="U6" i="1"/>
  <c r="U7" i="1" s="1"/>
  <c r="U395" i="1" s="1"/>
  <c r="U113" i="1"/>
  <c r="U435" i="1" s="1"/>
  <c r="O194" i="1"/>
  <c r="O350" i="1"/>
  <c r="O569" i="1" s="1"/>
  <c r="O570" i="1" s="1"/>
  <c r="Q186" i="1"/>
  <c r="Q126" i="1"/>
  <c r="Q443" i="1" s="1"/>
  <c r="Q442" i="1"/>
  <c r="N401" i="1"/>
  <c r="I14" i="20"/>
  <c r="CB13" i="1"/>
  <c r="CH16" i="1" s="1"/>
  <c r="CH18" i="1" s="1"/>
  <c r="V430" i="1"/>
  <c r="W107" i="1"/>
  <c r="W430" i="1" s="1"/>
  <c r="N177" i="1"/>
  <c r="R395" i="1"/>
  <c r="R373" i="1"/>
  <c r="Q341" i="1"/>
  <c r="R12" i="1"/>
  <c r="R400" i="1" s="1"/>
  <c r="R399" i="1"/>
  <c r="S232" i="1"/>
  <c r="S124" i="1" s="1"/>
  <c r="S248" i="1"/>
  <c r="V431" i="1"/>
  <c r="W108" i="1"/>
  <c r="W431" i="1" s="1"/>
  <c r="V432" i="1"/>
  <c r="W109" i="1"/>
  <c r="W432" i="1" s="1"/>
  <c r="V235" i="1"/>
  <c r="V190" i="1" s="1"/>
  <c r="S228" i="1"/>
  <c r="W5" i="1"/>
  <c r="W393" i="1" s="1"/>
  <c r="W392" i="1"/>
  <c r="V10" i="1"/>
  <c r="V398" i="1" s="1"/>
  <c r="V397" i="1"/>
  <c r="R441" i="1"/>
  <c r="R187" i="1"/>
  <c r="R332" i="1"/>
  <c r="S229" i="1"/>
  <c r="R145" i="1"/>
  <c r="R154" i="1" s="1"/>
  <c r="S246" i="1"/>
  <c r="R230" i="1"/>
  <c r="W9" i="1"/>
  <c r="W238" i="1"/>
  <c r="W342" i="1"/>
  <c r="S399" i="1"/>
  <c r="S12" i="1"/>
  <c r="S400" i="1" s="1"/>
  <c r="W423" i="1"/>
  <c r="W104" i="1"/>
  <c r="R125" i="1"/>
  <c r="N158" i="1"/>
  <c r="N163" i="1" s="1"/>
  <c r="N257" i="1"/>
  <c r="N258" i="1" s="1"/>
  <c r="O129" i="1"/>
  <c r="V427" i="1"/>
  <c r="V105" i="1"/>
  <c r="V428" i="1" s="1"/>
  <c r="V112" i="1"/>
  <c r="S350" i="24" l="1"/>
  <c r="J909" i="14" s="1"/>
  <c r="S58" i="24"/>
  <c r="J840" i="14"/>
  <c r="T325" i="24"/>
  <c r="T350" i="24" s="1"/>
  <c r="K909" i="14" s="1"/>
  <c r="K834" i="14"/>
  <c r="T61" i="24"/>
  <c r="T56" i="24"/>
  <c r="T312" i="24"/>
  <c r="U119" i="1"/>
  <c r="U439" i="1" s="1"/>
  <c r="T98" i="24"/>
  <c r="T68" i="24"/>
  <c r="K839" i="14" s="1"/>
  <c r="T12" i="1"/>
  <c r="T400" i="1" s="1"/>
  <c r="P355" i="21"/>
  <c r="P104" i="21" s="1"/>
  <c r="U342" i="21"/>
  <c r="U47" i="21" s="1"/>
  <c r="U392" i="21"/>
  <c r="U343" i="21"/>
  <c r="U51" i="21" s="1"/>
  <c r="U576" i="21" s="1"/>
  <c r="U40" i="21"/>
  <c r="U565" i="21" s="1"/>
  <c r="U344" i="21"/>
  <c r="U52" i="21" s="1"/>
  <c r="U577" i="21" s="1"/>
  <c r="U197" i="21"/>
  <c r="U4" i="21"/>
  <c r="U564" i="21"/>
  <c r="N11" i="21"/>
  <c r="N538" i="21"/>
  <c r="N7" i="21"/>
  <c r="BY6" i="21"/>
  <c r="CE7" i="21" s="1"/>
  <c r="N8" i="21"/>
  <c r="O7" i="21"/>
  <c r="BZ8" i="21"/>
  <c r="O540" i="21"/>
  <c r="F164" i="21"/>
  <c r="F653" i="21"/>
  <c r="CF22" i="21"/>
  <c r="CF9" i="21"/>
  <c r="R389" i="21"/>
  <c r="R390" i="21" s="1"/>
  <c r="R161" i="21" s="1"/>
  <c r="R657" i="21" s="1"/>
  <c r="R142" i="21"/>
  <c r="R641" i="21" s="1"/>
  <c r="F71" i="21"/>
  <c r="F596" i="21" s="1"/>
  <c r="F477" i="21"/>
  <c r="F595" i="21"/>
  <c r="L35" i="31"/>
  <c r="AB35" i="16"/>
  <c r="M92" i="25"/>
  <c r="M100" i="25" s="1"/>
  <c r="M22" i="31"/>
  <c r="N383" i="25"/>
  <c r="N403" i="25" s="1"/>
  <c r="AC22" i="16"/>
  <c r="P584" i="21"/>
  <c r="P60" i="21"/>
  <c r="P585" i="21" s="1"/>
  <c r="T572" i="21"/>
  <c r="T393" i="21"/>
  <c r="T375" i="21" s="1"/>
  <c r="T114" i="21" s="1"/>
  <c r="T615" i="21" s="1"/>
  <c r="T394" i="21"/>
  <c r="V39" i="21"/>
  <c r="V561" i="21"/>
  <c r="V86" i="21"/>
  <c r="S569" i="21"/>
  <c r="S48" i="21"/>
  <c r="O588" i="21"/>
  <c r="O64" i="21"/>
  <c r="O589" i="21" s="1"/>
  <c r="O157" i="21"/>
  <c r="O653" i="21" s="1"/>
  <c r="O111" i="21"/>
  <c r="O613" i="21" s="1"/>
  <c r="O606" i="21"/>
  <c r="S395" i="21"/>
  <c r="S396" i="21" s="1"/>
  <c r="S384" i="21" s="1"/>
  <c r="S362" i="21"/>
  <c r="S168" i="21" s="1"/>
  <c r="S662" i="21" s="1"/>
  <c r="N584" i="21"/>
  <c r="N60" i="21"/>
  <c r="N585" i="21" s="1"/>
  <c r="N63" i="21"/>
  <c r="T536" i="21"/>
  <c r="T5" i="21"/>
  <c r="T537" i="21" s="1"/>
  <c r="T494" i="21"/>
  <c r="T365" i="21"/>
  <c r="T683" i="21"/>
  <c r="T9" i="21"/>
  <c r="V28" i="21"/>
  <c r="V557" i="21" s="1"/>
  <c r="V747" i="21"/>
  <c r="P63" i="21"/>
  <c r="P158" i="21"/>
  <c r="P654" i="21" s="1"/>
  <c r="P484" i="21"/>
  <c r="P493" i="21" s="1"/>
  <c r="P587" i="21"/>
  <c r="Q59" i="21"/>
  <c r="Q56" i="21"/>
  <c r="Q581" i="21" s="1"/>
  <c r="Q483" i="21"/>
  <c r="Q415" i="21"/>
  <c r="Q6" i="21"/>
  <c r="Q580" i="21"/>
  <c r="P11" i="21"/>
  <c r="P8" i="21"/>
  <c r="P540" i="21" s="1"/>
  <c r="P538" i="21"/>
  <c r="P7" i="21"/>
  <c r="P539" i="21" s="1"/>
  <c r="T388" i="21"/>
  <c r="T147" i="21" s="1"/>
  <c r="T646" i="21" s="1"/>
  <c r="T387" i="21"/>
  <c r="T146" i="21" s="1"/>
  <c r="T645" i="21" s="1"/>
  <c r="T376" i="21"/>
  <c r="T115" i="21" s="1"/>
  <c r="T616" i="21" s="1"/>
  <c r="T378" i="21"/>
  <c r="T118" i="21" s="1"/>
  <c r="T619" i="21" s="1"/>
  <c r="R381" i="21"/>
  <c r="R382" i="21" s="1"/>
  <c r="R160" i="21" s="1"/>
  <c r="R656" i="21" s="1"/>
  <c r="R55" i="21"/>
  <c r="R573" i="21"/>
  <c r="R49" i="21"/>
  <c r="R574" i="21" s="1"/>
  <c r="T44" i="21"/>
  <c r="F544" i="21"/>
  <c r="BX12" i="21"/>
  <c r="S10" i="21"/>
  <c r="S542" i="21" s="1"/>
  <c r="S541" i="21"/>
  <c r="Q356" i="21"/>
  <c r="P105" i="21"/>
  <c r="P607" i="21" s="1"/>
  <c r="O12" i="21"/>
  <c r="BZ11" i="21"/>
  <c r="CF13" i="21" s="1"/>
  <c r="CF15" i="21" s="1"/>
  <c r="O543" i="21"/>
  <c r="S380" i="21"/>
  <c r="S386" i="21"/>
  <c r="S145" i="21" s="1"/>
  <c r="S644" i="21" s="1"/>
  <c r="R363" i="21"/>
  <c r="R169" i="21" s="1"/>
  <c r="R663" i="21" s="1"/>
  <c r="W25" i="24"/>
  <c r="W47" i="24" s="1"/>
  <c r="V139" i="24"/>
  <c r="U67" i="24"/>
  <c r="U54" i="24"/>
  <c r="L836" i="14" s="1"/>
  <c r="T76" i="24"/>
  <c r="T125" i="24"/>
  <c r="T57" i="24"/>
  <c r="T82" i="24"/>
  <c r="V28" i="24"/>
  <c r="V29" i="24" s="1"/>
  <c r="Y153" i="24"/>
  <c r="X22" i="24"/>
  <c r="U8" i="1"/>
  <c r="U396" i="1" s="1"/>
  <c r="U11" i="1"/>
  <c r="U399" i="1" s="1"/>
  <c r="U394" i="1"/>
  <c r="N182" i="1"/>
  <c r="V236" i="1"/>
  <c r="V191" i="1" s="1"/>
  <c r="V331" i="1"/>
  <c r="V434" i="1"/>
  <c r="V113" i="1"/>
  <c r="V435" i="1" s="1"/>
  <c r="V114" i="1"/>
  <c r="V259" i="1"/>
  <c r="V118" i="1"/>
  <c r="V6" i="1"/>
  <c r="W105" i="1"/>
  <c r="W428" i="1" s="1"/>
  <c r="W427" i="1"/>
  <c r="W112" i="1"/>
  <c r="O132" i="1"/>
  <c r="O192" i="1"/>
  <c r="O446" i="1"/>
  <c r="N260" i="1"/>
  <c r="N15" i="1" s="1"/>
  <c r="N14" i="1"/>
  <c r="R374" i="1"/>
  <c r="R375" i="1" s="1"/>
  <c r="R380" i="1" s="1"/>
  <c r="R383" i="1" s="1"/>
  <c r="R384" i="1" s="1"/>
  <c r="R385" i="1" s="1"/>
  <c r="S373" i="1"/>
  <c r="R442" i="1"/>
  <c r="R186" i="1"/>
  <c r="R126" i="1"/>
  <c r="R443" i="1" s="1"/>
  <c r="W235" i="1"/>
  <c r="W190" i="1" s="1"/>
  <c r="W397" i="1"/>
  <c r="W10" i="1"/>
  <c r="W398" i="1" s="1"/>
  <c r="T246" i="1"/>
  <c r="S230" i="1"/>
  <c r="S145" i="1"/>
  <c r="S154" i="1" s="1"/>
  <c r="T229" i="1"/>
  <c r="S144" i="1"/>
  <c r="S153" i="1" s="1"/>
  <c r="T241" i="1"/>
  <c r="T228" i="1" s="1"/>
  <c r="S187" i="1"/>
  <c r="S332" i="1"/>
  <c r="S441" i="1"/>
  <c r="S125" i="1"/>
  <c r="R341" i="1"/>
  <c r="K840" i="14" l="1"/>
  <c r="T58" i="24"/>
  <c r="U325" i="24"/>
  <c r="U350" i="24" s="1"/>
  <c r="L909" i="14" s="1"/>
  <c r="L834" i="14"/>
  <c r="U61" i="24"/>
  <c r="U56" i="24"/>
  <c r="U312" i="24"/>
  <c r="U44" i="21"/>
  <c r="U569" i="21" s="1"/>
  <c r="U98" i="24"/>
  <c r="U68" i="24"/>
  <c r="L839" i="14" s="1"/>
  <c r="P357" i="21"/>
  <c r="Q368" i="21"/>
  <c r="Q359" i="21" s="1"/>
  <c r="Q62" i="21" s="1"/>
  <c r="Q158" i="21" s="1"/>
  <c r="Q654" i="21" s="1"/>
  <c r="P12" i="21"/>
  <c r="P544" i="21" s="1"/>
  <c r="P543" i="21"/>
  <c r="N539" i="21"/>
  <c r="BY7" i="21"/>
  <c r="V197" i="21"/>
  <c r="V342" i="21"/>
  <c r="V47" i="21" s="1"/>
  <c r="V392" i="21"/>
  <c r="V344" i="21"/>
  <c r="V52" i="21" s="1"/>
  <c r="V577" i="21" s="1"/>
  <c r="V343" i="21"/>
  <c r="V51" i="21" s="1"/>
  <c r="V576" i="21" s="1"/>
  <c r="V40" i="21"/>
  <c r="V565" i="21" s="1"/>
  <c r="V4" i="21"/>
  <c r="V564" i="21"/>
  <c r="Q538" i="21"/>
  <c r="Q11" i="21"/>
  <c r="Q7" i="21"/>
  <c r="Q539" i="21" s="1"/>
  <c r="Q8" i="21"/>
  <c r="Q540" i="21" s="1"/>
  <c r="T380" i="21"/>
  <c r="T121" i="21" s="1"/>
  <c r="T622" i="21" s="1"/>
  <c r="T386" i="21"/>
  <c r="T145" i="21" s="1"/>
  <c r="T644" i="21" s="1"/>
  <c r="F474" i="21"/>
  <c r="F487" i="21"/>
  <c r="N12" i="21"/>
  <c r="BY11" i="21"/>
  <c r="CE13" i="21" s="1"/>
  <c r="CE15" i="21" s="1"/>
  <c r="N543" i="21"/>
  <c r="BZ12" i="21"/>
  <c r="O544" i="21"/>
  <c r="N540" i="21"/>
  <c r="BY8" i="21"/>
  <c r="CE9" i="21"/>
  <c r="CE22" i="21"/>
  <c r="U365" i="21"/>
  <c r="U683" i="21"/>
  <c r="U494" i="21"/>
  <c r="U9" i="21"/>
  <c r="R56" i="21"/>
  <c r="R581" i="21" s="1"/>
  <c r="R6" i="21"/>
  <c r="R483" i="21"/>
  <c r="R415" i="21"/>
  <c r="R59" i="21"/>
  <c r="R580" i="21"/>
  <c r="S389" i="21"/>
  <c r="S390" i="21" s="1"/>
  <c r="S161" i="21" s="1"/>
  <c r="S657" i="21" s="1"/>
  <c r="S142" i="21"/>
  <c r="S641" i="21" s="1"/>
  <c r="P606" i="21"/>
  <c r="P111" i="21"/>
  <c r="P613" i="21" s="1"/>
  <c r="T541" i="21"/>
  <c r="T10" i="21"/>
  <c r="T542" i="21" s="1"/>
  <c r="Q60" i="21"/>
  <c r="Q585" i="21" s="1"/>
  <c r="Q584" i="21"/>
  <c r="S121" i="21"/>
  <c r="S622" i="21" s="1"/>
  <c r="S381" i="21"/>
  <c r="S382" i="21" s="1"/>
  <c r="S160" i="21" s="1"/>
  <c r="S656" i="21" s="1"/>
  <c r="F186" i="21"/>
  <c r="F659" i="21"/>
  <c r="U378" i="21"/>
  <c r="U118" i="21" s="1"/>
  <c r="U619" i="21" s="1"/>
  <c r="U388" i="21"/>
  <c r="U147" i="21" s="1"/>
  <c r="U646" i="21" s="1"/>
  <c r="U387" i="21"/>
  <c r="U146" i="21" s="1"/>
  <c r="U645" i="21" s="1"/>
  <c r="U376" i="21"/>
  <c r="U115" i="21" s="1"/>
  <c r="U616" i="21" s="1"/>
  <c r="S49" i="21"/>
  <c r="S574" i="21" s="1"/>
  <c r="S55" i="21"/>
  <c r="S573" i="21"/>
  <c r="T362" i="21"/>
  <c r="T168" i="21" s="1"/>
  <c r="T662" i="21" s="1"/>
  <c r="T395" i="21"/>
  <c r="T396" i="21" s="1"/>
  <c r="T384" i="21" s="1"/>
  <c r="T48" i="21"/>
  <c r="T569" i="21"/>
  <c r="U5" i="21"/>
  <c r="U537" i="21" s="1"/>
  <c r="U536" i="21"/>
  <c r="P588" i="21"/>
  <c r="P157" i="21"/>
  <c r="P653" i="21" s="1"/>
  <c r="P64" i="21"/>
  <c r="P589" i="21" s="1"/>
  <c r="U394" i="21"/>
  <c r="U393" i="21"/>
  <c r="U375" i="21" s="1"/>
  <c r="U114" i="21" s="1"/>
  <c r="U615" i="21" s="1"/>
  <c r="U572" i="21"/>
  <c r="BZ7" i="21"/>
  <c r="O539" i="21"/>
  <c r="Q105" i="21"/>
  <c r="Q607" i="21" s="1"/>
  <c r="R356" i="21"/>
  <c r="N157" i="21"/>
  <c r="N653" i="21" s="1"/>
  <c r="N64" i="21"/>
  <c r="N589" i="21" s="1"/>
  <c r="N588" i="21"/>
  <c r="S363" i="21"/>
  <c r="S169" i="21" s="1"/>
  <c r="S663" i="21" s="1"/>
  <c r="U76" i="24"/>
  <c r="U82" i="24"/>
  <c r="U57" i="24"/>
  <c r="U125" i="24"/>
  <c r="X25" i="24"/>
  <c r="W139" i="24"/>
  <c r="W28" i="24"/>
  <c r="W29" i="24" s="1"/>
  <c r="V67" i="24"/>
  <c r="V54" i="24"/>
  <c r="M836" i="14" s="1"/>
  <c r="Y22" i="24"/>
  <c r="Z153" i="24"/>
  <c r="U12" i="1"/>
  <c r="U400" i="1" s="1"/>
  <c r="W236" i="1"/>
  <c r="W191" i="1" s="1"/>
  <c r="U241" i="1"/>
  <c r="U228" i="1" s="1"/>
  <c r="T144" i="1"/>
  <c r="T153" i="1" s="1"/>
  <c r="U246" i="1"/>
  <c r="T145" i="1"/>
  <c r="T154" i="1" s="1"/>
  <c r="U229" i="1"/>
  <c r="T230" i="1"/>
  <c r="I15" i="20"/>
  <c r="CX7" i="1"/>
  <c r="CX27" i="1" s="1"/>
  <c r="CB14" i="1"/>
  <c r="CH21" i="1" s="1"/>
  <c r="CH23" i="1" s="1"/>
  <c r="I16" i="20"/>
  <c r="CB15" i="1"/>
  <c r="T373" i="1"/>
  <c r="S374" i="1"/>
  <c r="S375" i="1" s="1"/>
  <c r="S380" i="1" s="1"/>
  <c r="S383" i="1" s="1"/>
  <c r="S384" i="1" s="1"/>
  <c r="S385" i="1" s="1"/>
  <c r="V394" i="1"/>
  <c r="V11" i="1"/>
  <c r="V7" i="1"/>
  <c r="V395" i="1" s="1"/>
  <c r="V8" i="1"/>
  <c r="V396" i="1" s="1"/>
  <c r="V438" i="1"/>
  <c r="V119" i="1"/>
  <c r="V439" i="1" s="1"/>
  <c r="O323" i="1"/>
  <c r="O449" i="1"/>
  <c r="O133" i="1"/>
  <c r="O450" i="1" s="1"/>
  <c r="S442" i="1"/>
  <c r="S126" i="1"/>
  <c r="S443" i="1" s="1"/>
  <c r="S186" i="1"/>
  <c r="W114" i="1"/>
  <c r="W113" i="1"/>
  <c r="W435" i="1" s="1"/>
  <c r="W6" i="1"/>
  <c r="W259" i="1"/>
  <c r="W434" i="1"/>
  <c r="W331" i="1"/>
  <c r="W118" i="1"/>
  <c r="S341" i="1"/>
  <c r="T232" i="1"/>
  <c r="T124" i="1" s="1"/>
  <c r="T248" i="1"/>
  <c r="U48" i="21" l="1"/>
  <c r="U55" i="21" s="1"/>
  <c r="L840" i="14"/>
  <c r="V325" i="24"/>
  <c r="M834" i="14"/>
  <c r="Q587" i="21"/>
  <c r="U58" i="24"/>
  <c r="V61" i="24"/>
  <c r="V56" i="24"/>
  <c r="V312" i="24"/>
  <c r="Q63" i="21"/>
  <c r="Q588" i="21" s="1"/>
  <c r="Q355" i="21"/>
  <c r="Q357" i="21" s="1"/>
  <c r="T363" i="21"/>
  <c r="T169" i="21" s="1"/>
  <c r="T663" i="21" s="1"/>
  <c r="Q484" i="21"/>
  <c r="Q493" i="21" s="1"/>
  <c r="V44" i="21"/>
  <c r="V48" i="21" s="1"/>
  <c r="V98" i="24"/>
  <c r="V68" i="24"/>
  <c r="M839" i="14" s="1"/>
  <c r="T381" i="21"/>
  <c r="T382" i="21" s="1"/>
  <c r="T160" i="21" s="1"/>
  <c r="T656" i="21" s="1"/>
  <c r="X28" i="24"/>
  <c r="X29" i="24" s="1"/>
  <c r="X47" i="24"/>
  <c r="Q12" i="21"/>
  <c r="Q544" i="21" s="1"/>
  <c r="Q543" i="21"/>
  <c r="T55" i="21"/>
  <c r="T573" i="21"/>
  <c r="T49" i="21"/>
  <c r="T574" i="21" s="1"/>
  <c r="S356" i="21"/>
  <c r="R105" i="21"/>
  <c r="R607" i="21" s="1"/>
  <c r="U541" i="21"/>
  <c r="U10" i="21"/>
  <c r="U542" i="21" s="1"/>
  <c r="F144" i="21"/>
  <c r="N475" i="21"/>
  <c r="N162" i="21" s="1"/>
  <c r="F73" i="21"/>
  <c r="S580" i="21"/>
  <c r="S6" i="21"/>
  <c r="S56" i="21"/>
  <c r="S581" i="21" s="1"/>
  <c r="S415" i="21"/>
  <c r="S483" i="21"/>
  <c r="S59" i="21"/>
  <c r="R7" i="21"/>
  <c r="R539" i="21" s="1"/>
  <c r="R538" i="21"/>
  <c r="R8" i="21"/>
  <c r="R540" i="21" s="1"/>
  <c r="R11" i="21"/>
  <c r="V378" i="21"/>
  <c r="V118" i="21" s="1"/>
  <c r="V619" i="21" s="1"/>
  <c r="V387" i="21"/>
  <c r="V146" i="21" s="1"/>
  <c r="V645" i="21" s="1"/>
  <c r="V388" i="21"/>
  <c r="V147" i="21" s="1"/>
  <c r="V646" i="21" s="1"/>
  <c r="V376" i="21"/>
  <c r="V115" i="21" s="1"/>
  <c r="V616" i="21" s="1"/>
  <c r="V572" i="21"/>
  <c r="V394" i="21"/>
  <c r="V393" i="21"/>
  <c r="V375" i="21" s="1"/>
  <c r="U395" i="21"/>
  <c r="U396" i="21" s="1"/>
  <c r="U384" i="21" s="1"/>
  <c r="U362" i="21"/>
  <c r="F507" i="21"/>
  <c r="F509" i="21" s="1"/>
  <c r="F489" i="21"/>
  <c r="F120" i="21"/>
  <c r="F679" i="21"/>
  <c r="R60" i="21"/>
  <c r="R585" i="21" s="1"/>
  <c r="R584" i="21"/>
  <c r="V5" i="21"/>
  <c r="V537" i="21" s="1"/>
  <c r="V536" i="21"/>
  <c r="T389" i="21"/>
  <c r="T390" i="21" s="1"/>
  <c r="T161" i="21" s="1"/>
  <c r="T657" i="21" s="1"/>
  <c r="T142" i="21"/>
  <c r="T641" i="21" s="1"/>
  <c r="BY12" i="21"/>
  <c r="N544" i="21"/>
  <c r="V365" i="21"/>
  <c r="V9" i="21"/>
  <c r="V683" i="21"/>
  <c r="V494" i="21"/>
  <c r="U386" i="21"/>
  <c r="U145" i="21" s="1"/>
  <c r="U644" i="21" s="1"/>
  <c r="U380" i="21"/>
  <c r="U121" i="21" s="1"/>
  <c r="U622" i="21" s="1"/>
  <c r="V76" i="24"/>
  <c r="V82" i="24"/>
  <c r="V57" i="24"/>
  <c r="V125" i="24"/>
  <c r="Y25" i="24"/>
  <c r="X139" i="24"/>
  <c r="W67" i="24"/>
  <c r="W54" i="24"/>
  <c r="N836" i="14" s="1"/>
  <c r="Z22" i="24"/>
  <c r="CX29" i="1"/>
  <c r="CX30" i="1"/>
  <c r="T187" i="1"/>
  <c r="T441" i="1"/>
  <c r="T332" i="1"/>
  <c r="T125" i="1"/>
  <c r="O318" i="1"/>
  <c r="O335" i="1"/>
  <c r="O321" i="1"/>
  <c r="V229" i="1"/>
  <c r="U230" i="1"/>
  <c r="V246" i="1"/>
  <c r="U145" i="1"/>
  <c r="U154" i="1" s="1"/>
  <c r="W438" i="1"/>
  <c r="W119" i="1"/>
  <c r="W439" i="1" s="1"/>
  <c r="U144" i="1"/>
  <c r="U153" i="1" s="1"/>
  <c r="V241" i="1"/>
  <c r="V228" i="1" s="1"/>
  <c r="V399" i="1"/>
  <c r="V12" i="1"/>
  <c r="V400" i="1" s="1"/>
  <c r="U232" i="1"/>
  <c r="U124" i="1" s="1"/>
  <c r="U248" i="1"/>
  <c r="W11" i="1"/>
  <c r="W7" i="1"/>
  <c r="W395" i="1" s="1"/>
  <c r="W394" i="1"/>
  <c r="W8" i="1"/>
  <c r="W396" i="1" s="1"/>
  <c r="U373" i="1"/>
  <c r="T374" i="1"/>
  <c r="T375" i="1" s="1"/>
  <c r="T380" i="1" s="1"/>
  <c r="T383" i="1" s="1"/>
  <c r="T384" i="1" s="1"/>
  <c r="T385" i="1" s="1"/>
  <c r="V350" i="24" l="1"/>
  <c r="M909" i="14" s="1"/>
  <c r="U49" i="21"/>
  <c r="U574" i="21" s="1"/>
  <c r="U573" i="21"/>
  <c r="M840" i="14"/>
  <c r="V58" i="24"/>
  <c r="R368" i="21"/>
  <c r="R359" i="21" s="1"/>
  <c r="R62" i="21" s="1"/>
  <c r="R158" i="21" s="1"/>
  <c r="R654" i="21" s="1"/>
  <c r="Q104" i="21"/>
  <c r="Q606" i="21" s="1"/>
  <c r="V569" i="21"/>
  <c r="W325" i="24"/>
  <c r="N834" i="14"/>
  <c r="Q64" i="21"/>
  <c r="Q589" i="21" s="1"/>
  <c r="Q157" i="21"/>
  <c r="Q653" i="21" s="1"/>
  <c r="W61" i="24"/>
  <c r="W56" i="24"/>
  <c r="W312" i="24"/>
  <c r="W98" i="24"/>
  <c r="W68" i="24"/>
  <c r="N839" i="14" s="1"/>
  <c r="Y28" i="24"/>
  <c r="Y29" i="24" s="1"/>
  <c r="Y47" i="24"/>
  <c r="F621" i="21"/>
  <c r="F413" i="21"/>
  <c r="F414" i="21" s="1"/>
  <c r="N67" i="21"/>
  <c r="F122" i="21"/>
  <c r="V49" i="21"/>
  <c r="V574" i="21" s="1"/>
  <c r="V55" i="21"/>
  <c r="V573" i="21"/>
  <c r="U168" i="21"/>
  <c r="U662" i="21" s="1"/>
  <c r="U363" i="21"/>
  <c r="U169" i="21" s="1"/>
  <c r="U663" i="21" s="1"/>
  <c r="T580" i="21"/>
  <c r="T59" i="21"/>
  <c r="T483" i="21"/>
  <c r="T6" i="21"/>
  <c r="T56" i="21"/>
  <c r="T581" i="21" s="1"/>
  <c r="T415" i="21"/>
  <c r="N508" i="21"/>
  <c r="N658" i="21"/>
  <c r="F643" i="21"/>
  <c r="F148" i="21"/>
  <c r="F647" i="21" s="1"/>
  <c r="V395" i="21"/>
  <c r="V396" i="21" s="1"/>
  <c r="V384" i="21" s="1"/>
  <c r="V362" i="21"/>
  <c r="V168" i="21" s="1"/>
  <c r="V662" i="21" s="1"/>
  <c r="F492" i="21"/>
  <c r="F495" i="21" s="1"/>
  <c r="F490" i="21"/>
  <c r="U580" i="21"/>
  <c r="U56" i="21"/>
  <c r="U581" i="21" s="1"/>
  <c r="U6" i="21"/>
  <c r="U483" i="21"/>
  <c r="U59" i="21"/>
  <c r="U415" i="21"/>
  <c r="U142" i="21"/>
  <c r="U641" i="21" s="1"/>
  <c r="U389" i="21"/>
  <c r="U390" i="21" s="1"/>
  <c r="U161" i="21" s="1"/>
  <c r="U657" i="21" s="1"/>
  <c r="V114" i="21"/>
  <c r="V615" i="21" s="1"/>
  <c r="V380" i="21"/>
  <c r="V121" i="21" s="1"/>
  <c r="V622" i="21" s="1"/>
  <c r="V386" i="21"/>
  <c r="V145" i="21" s="1"/>
  <c r="V644" i="21" s="1"/>
  <c r="N164" i="21"/>
  <c r="N659" i="21" s="1"/>
  <c r="U381" i="21"/>
  <c r="U382" i="21" s="1"/>
  <c r="U160" i="21" s="1"/>
  <c r="U656" i="21" s="1"/>
  <c r="V10" i="21"/>
  <c r="V542" i="21" s="1"/>
  <c r="V541" i="21"/>
  <c r="R543" i="21"/>
  <c r="R12" i="21"/>
  <c r="R544" i="21" s="1"/>
  <c r="T356" i="21"/>
  <c r="S105" i="21"/>
  <c r="S607" i="21" s="1"/>
  <c r="S584" i="21"/>
  <c r="S60" i="21"/>
  <c r="S585" i="21" s="1"/>
  <c r="S7" i="21"/>
  <c r="S539" i="21" s="1"/>
  <c r="S8" i="21"/>
  <c r="S540" i="21" s="1"/>
  <c r="S538" i="21"/>
  <c r="S11" i="21"/>
  <c r="F598" i="21"/>
  <c r="F74" i="21"/>
  <c r="W76" i="24"/>
  <c r="W125" i="24"/>
  <c r="W57" i="24"/>
  <c r="W82" i="24"/>
  <c r="X67" i="24"/>
  <c r="X54" i="24"/>
  <c r="O836" i="14" s="1"/>
  <c r="Z25" i="24"/>
  <c r="Y139" i="24"/>
  <c r="V144" i="1"/>
  <c r="V153" i="1" s="1"/>
  <c r="W241" i="1"/>
  <c r="W228" i="1" s="1"/>
  <c r="W144" i="1" s="1"/>
  <c r="W153" i="1" s="1"/>
  <c r="W399" i="1"/>
  <c r="W12" i="1"/>
  <c r="W400" i="1" s="1"/>
  <c r="W229" i="1"/>
  <c r="W246" i="1"/>
  <c r="V145" i="1"/>
  <c r="V154" i="1" s="1"/>
  <c r="V230" i="1"/>
  <c r="U441" i="1"/>
  <c r="U332" i="1"/>
  <c r="U187" i="1"/>
  <c r="U125" i="1"/>
  <c r="O355" i="1"/>
  <c r="O357" i="1" s="1"/>
  <c r="O337" i="1"/>
  <c r="O135" i="1"/>
  <c r="P320" i="1"/>
  <c r="O327" i="1"/>
  <c r="O168" i="1" s="1"/>
  <c r="T126" i="1"/>
  <c r="T443" i="1" s="1"/>
  <c r="T442" i="1"/>
  <c r="T186" i="1"/>
  <c r="V232" i="1"/>
  <c r="V124" i="1" s="1"/>
  <c r="V248" i="1"/>
  <c r="T341" i="1"/>
  <c r="U374" i="1"/>
  <c r="U375" i="1" s="1"/>
  <c r="U380" i="1" s="1"/>
  <c r="U383" i="1" s="1"/>
  <c r="U384" i="1" s="1"/>
  <c r="U385" i="1" s="1"/>
  <c r="V373" i="1"/>
  <c r="W350" i="24" l="1"/>
  <c r="N909" i="14" s="1"/>
  <c r="Q111" i="21"/>
  <c r="Q613" i="21" s="1"/>
  <c r="R355" i="21"/>
  <c r="S368" i="21" s="1"/>
  <c r="S359" i="21" s="1"/>
  <c r="S62" i="21" s="1"/>
  <c r="R484" i="21"/>
  <c r="R493" i="21" s="1"/>
  <c r="R63" i="21"/>
  <c r="R157" i="21" s="1"/>
  <c r="R653" i="21" s="1"/>
  <c r="R587" i="21"/>
  <c r="N840" i="14"/>
  <c r="W58" i="24"/>
  <c r="X325" i="24"/>
  <c r="X350" i="24" s="1"/>
  <c r="O909" i="14" s="1"/>
  <c r="O834" i="14"/>
  <c r="X61" i="24"/>
  <c r="X56" i="24"/>
  <c r="X312" i="24"/>
  <c r="V363" i="21"/>
  <c r="V169" i="21" s="1"/>
  <c r="V663" i="21" s="1"/>
  <c r="X98" i="24"/>
  <c r="X68" i="24"/>
  <c r="O839" i="14" s="1"/>
  <c r="Z28" i="24"/>
  <c r="Z29" i="24" s="1"/>
  <c r="Z47" i="24"/>
  <c r="V142" i="21"/>
  <c r="V641" i="21" s="1"/>
  <c r="V389" i="21"/>
  <c r="V390" i="21" s="1"/>
  <c r="V161" i="21" s="1"/>
  <c r="V657" i="21" s="1"/>
  <c r="V381" i="21"/>
  <c r="V382" i="21" s="1"/>
  <c r="V160" i="21" s="1"/>
  <c r="V656" i="21" s="1"/>
  <c r="U584" i="21"/>
  <c r="U60" i="21"/>
  <c r="U585" i="21" s="1"/>
  <c r="N70" i="21"/>
  <c r="N171" i="21"/>
  <c r="N592" i="21"/>
  <c r="F416" i="21"/>
  <c r="F15" i="21" s="1"/>
  <c r="F14" i="21"/>
  <c r="BX14" i="21" s="1"/>
  <c r="CD19" i="21" s="1"/>
  <c r="CD21" i="21" s="1"/>
  <c r="F75" i="21"/>
  <c r="F600" i="21" s="1"/>
  <c r="F80" i="21"/>
  <c r="F599" i="21"/>
  <c r="F13" i="21"/>
  <c r="F76" i="21"/>
  <c r="V6" i="21"/>
  <c r="V580" i="21"/>
  <c r="V415" i="21"/>
  <c r="V59" i="21"/>
  <c r="V56" i="21"/>
  <c r="V581" i="21" s="1"/>
  <c r="V483" i="21"/>
  <c r="T105" i="21"/>
  <c r="T607" i="21" s="1"/>
  <c r="U356" i="21"/>
  <c r="U538" i="21"/>
  <c r="U11" i="21"/>
  <c r="U8" i="21"/>
  <c r="U540" i="21" s="1"/>
  <c r="U7" i="21"/>
  <c r="U539" i="21" s="1"/>
  <c r="T584" i="21"/>
  <c r="T60" i="21"/>
  <c r="T585" i="21" s="1"/>
  <c r="S12" i="21"/>
  <c r="S544" i="21" s="1"/>
  <c r="S543" i="21"/>
  <c r="T538" i="21"/>
  <c r="T8" i="21"/>
  <c r="T540" i="21" s="1"/>
  <c r="T7" i="21"/>
  <c r="T539" i="21" s="1"/>
  <c r="T11" i="21"/>
  <c r="F623" i="21"/>
  <c r="F123" i="21"/>
  <c r="F624" i="21" s="1"/>
  <c r="X76" i="24"/>
  <c r="X125" i="24"/>
  <c r="X82" i="24"/>
  <c r="X57" i="24"/>
  <c r="Z139" i="24"/>
  <c r="Y67" i="24"/>
  <c r="Y54" i="24"/>
  <c r="P836" i="14" s="1"/>
  <c r="O136" i="1"/>
  <c r="O452" i="1"/>
  <c r="O340" i="1"/>
  <c r="O343" i="1" s="1"/>
  <c r="O338" i="1"/>
  <c r="U442" i="1"/>
  <c r="U126" i="1"/>
  <c r="U443" i="1" s="1"/>
  <c r="U186" i="1"/>
  <c r="U341" i="1"/>
  <c r="V187" i="1"/>
  <c r="V441" i="1"/>
  <c r="V332" i="1"/>
  <c r="V125" i="1"/>
  <c r="W145" i="1"/>
  <c r="W154" i="1" s="1"/>
  <c r="W230" i="1"/>
  <c r="W232" i="1"/>
  <c r="W124" i="1" s="1"/>
  <c r="W248" i="1"/>
  <c r="O175" i="1"/>
  <c r="O188" i="1"/>
  <c r="O201" i="1" s="1"/>
  <c r="O147" i="1" s="1"/>
  <c r="W373" i="1"/>
  <c r="W374" i="1" s="1"/>
  <c r="W375" i="1" s="1"/>
  <c r="W380" i="1" s="1"/>
  <c r="W383" i="1" s="1"/>
  <c r="W384" i="1" s="1"/>
  <c r="W385" i="1" s="1"/>
  <c r="V374" i="1"/>
  <c r="V375" i="1" s="1"/>
  <c r="V380" i="1" s="1"/>
  <c r="V383" i="1" s="1"/>
  <c r="V384" i="1" s="1"/>
  <c r="V385" i="1" s="1"/>
  <c r="P189" i="1"/>
  <c r="P356" i="1" s="1"/>
  <c r="R357" i="21" l="1"/>
  <c r="R104" i="21"/>
  <c r="R606" i="21" s="1"/>
  <c r="R64" i="21"/>
  <c r="R589" i="21" s="1"/>
  <c r="R588" i="21"/>
  <c r="X58" i="24"/>
  <c r="O840" i="14"/>
  <c r="Y325" i="24"/>
  <c r="P834" i="14"/>
  <c r="Y61" i="24"/>
  <c r="Y56" i="24"/>
  <c r="Y312" i="24"/>
  <c r="Y98" i="24"/>
  <c r="Y68" i="24"/>
  <c r="P839" i="14" s="1"/>
  <c r="S355" i="21"/>
  <c r="T368" i="21" s="1"/>
  <c r="T359" i="21" s="1"/>
  <c r="T62" i="21" s="1"/>
  <c r="BX13" i="21"/>
  <c r="CD16" i="21" s="1"/>
  <c r="CD18" i="21" s="1"/>
  <c r="F545" i="21"/>
  <c r="T12" i="21"/>
  <c r="T544" i="21" s="1"/>
  <c r="T543" i="21"/>
  <c r="V584" i="21"/>
  <c r="V60" i="21"/>
  <c r="V585" i="21" s="1"/>
  <c r="F126" i="21"/>
  <c r="F601" i="21"/>
  <c r="AV36" i="21"/>
  <c r="BX15" i="21"/>
  <c r="S158" i="21"/>
  <c r="S654" i="21" s="1"/>
  <c r="S484" i="21"/>
  <c r="S493" i="21" s="1"/>
  <c r="S587" i="21"/>
  <c r="S63" i="21"/>
  <c r="N173" i="21"/>
  <c r="N665" i="21"/>
  <c r="N595" i="21"/>
  <c r="N477" i="21"/>
  <c r="N71" i="21"/>
  <c r="N596" i="21" s="1"/>
  <c r="U12" i="21"/>
  <c r="U544" i="21" s="1"/>
  <c r="U543" i="21"/>
  <c r="V356" i="21"/>
  <c r="V105" i="21" s="1"/>
  <c r="V607" i="21" s="1"/>
  <c r="U105" i="21"/>
  <c r="U607" i="21" s="1"/>
  <c r="V7" i="21"/>
  <c r="V539" i="21" s="1"/>
  <c r="V538" i="21"/>
  <c r="V8" i="21"/>
  <c r="V540" i="21" s="1"/>
  <c r="V11" i="21"/>
  <c r="Z67" i="24"/>
  <c r="Z54" i="24"/>
  <c r="Q836" i="14" s="1"/>
  <c r="Y76" i="24"/>
  <c r="Y82" i="24"/>
  <c r="Y57" i="24"/>
  <c r="Y125" i="24"/>
  <c r="W332" i="1"/>
  <c r="W187" i="1"/>
  <c r="W441" i="1"/>
  <c r="W125" i="1"/>
  <c r="V186" i="1"/>
  <c r="V126" i="1"/>
  <c r="V443" i="1" s="1"/>
  <c r="V442" i="1"/>
  <c r="V341" i="1"/>
  <c r="O158" i="1"/>
  <c r="O163" i="1" s="1"/>
  <c r="O257" i="1"/>
  <c r="O258" i="1" s="1"/>
  <c r="P129" i="1"/>
  <c r="P349" i="1"/>
  <c r="O137" i="1"/>
  <c r="O454" i="1" s="1"/>
  <c r="O138" i="1"/>
  <c r="O455" i="1" s="1"/>
  <c r="O13" i="1"/>
  <c r="O453" i="1"/>
  <c r="O146" i="1"/>
  <c r="Y350" i="24" l="1"/>
  <c r="P909" i="14" s="1"/>
  <c r="R111" i="21"/>
  <c r="R613" i="21" s="1"/>
  <c r="Y58" i="24"/>
  <c r="P840" i="14"/>
  <c r="Z325" i="24"/>
  <c r="Z350" i="24" s="1"/>
  <c r="Q909" i="14" s="1"/>
  <c r="Q834" i="14"/>
  <c r="Z61" i="24"/>
  <c r="Z56" i="24"/>
  <c r="Z312" i="24"/>
  <c r="Z98" i="24"/>
  <c r="Z68" i="24"/>
  <c r="Q839" i="14" s="1"/>
  <c r="S104" i="21"/>
  <c r="S606" i="21" s="1"/>
  <c r="S357" i="21"/>
  <c r="T355" i="21"/>
  <c r="T104" i="21" s="1"/>
  <c r="F128" i="21"/>
  <c r="F627" i="21"/>
  <c r="N474" i="21"/>
  <c r="N487" i="21"/>
  <c r="N666" i="21"/>
  <c r="N186" i="21"/>
  <c r="S64" i="21"/>
  <c r="S589" i="21" s="1"/>
  <c r="S157" i="21"/>
  <c r="S653" i="21" s="1"/>
  <c r="S588" i="21"/>
  <c r="T158" i="21"/>
  <c r="T654" i="21" s="1"/>
  <c r="T484" i="21"/>
  <c r="T493" i="21" s="1"/>
  <c r="T63" i="21"/>
  <c r="T587" i="21"/>
  <c r="V12" i="21"/>
  <c r="V544" i="21" s="1"/>
  <c r="V543" i="21"/>
  <c r="Z125" i="24"/>
  <c r="Z82" i="24"/>
  <c r="Z57" i="24"/>
  <c r="Z76" i="24"/>
  <c r="O177" i="1"/>
  <c r="O182" i="1" s="1"/>
  <c r="CC13" i="1"/>
  <c r="CI16" i="1" s="1"/>
  <c r="CI18" i="1" s="1"/>
  <c r="O401" i="1"/>
  <c r="J14" i="20"/>
  <c r="W126" i="1"/>
  <c r="W443" i="1" s="1"/>
  <c r="W186" i="1"/>
  <c r="W442" i="1"/>
  <c r="P194" i="1"/>
  <c r="P350" i="1"/>
  <c r="P569" i="1" s="1"/>
  <c r="P570" i="1" s="1"/>
  <c r="P132" i="1"/>
  <c r="P446" i="1"/>
  <c r="P192" i="1"/>
  <c r="W341" i="1"/>
  <c r="O260" i="1"/>
  <c r="O15" i="1" s="1"/>
  <c r="O14" i="1"/>
  <c r="Z58" i="24" l="1"/>
  <c r="Q840" i="14"/>
  <c r="S111" i="21"/>
  <c r="S613" i="21" s="1"/>
  <c r="U368" i="21"/>
  <c r="U359" i="21" s="1"/>
  <c r="U62" i="21" s="1"/>
  <c r="U484" i="21" s="1"/>
  <c r="U493" i="21" s="1"/>
  <c r="T357" i="21"/>
  <c r="T606" i="21"/>
  <c r="T111" i="21"/>
  <c r="T613" i="21" s="1"/>
  <c r="O475" i="21"/>
  <c r="O162" i="21" s="1"/>
  <c r="N73" i="21"/>
  <c r="N144" i="21"/>
  <c r="N679" i="21"/>
  <c r="N120" i="21"/>
  <c r="N489" i="21"/>
  <c r="N507" i="21"/>
  <c r="N509" i="21" s="1"/>
  <c r="F629" i="21"/>
  <c r="F150" i="21"/>
  <c r="T157" i="21"/>
  <c r="T653" i="21" s="1"/>
  <c r="T588" i="21"/>
  <c r="T64" i="21"/>
  <c r="T589" i="21" s="1"/>
  <c r="P449" i="1"/>
  <c r="P323" i="1"/>
  <c r="P133" i="1"/>
  <c r="P450" i="1" s="1"/>
  <c r="CC14" i="1"/>
  <c r="CI21" i="1" s="1"/>
  <c r="CI23" i="1" s="1"/>
  <c r="J15" i="20"/>
  <c r="CY7" i="1"/>
  <c r="CY27" i="1" s="1"/>
  <c r="J16" i="20"/>
  <c r="CC15" i="1"/>
  <c r="O563" i="1"/>
  <c r="O565" i="1" s="1"/>
  <c r="O566" i="1" s="1"/>
  <c r="O567" i="1" s="1"/>
  <c r="U355" i="21" l="1"/>
  <c r="U63" i="21"/>
  <c r="U64" i="21" s="1"/>
  <c r="U589" i="21" s="1"/>
  <c r="U158" i="21"/>
  <c r="U654" i="21" s="1"/>
  <c r="U587" i="21"/>
  <c r="N492" i="21"/>
  <c r="N495" i="21" s="1"/>
  <c r="N490" i="21"/>
  <c r="N621" i="21"/>
  <c r="N122" i="21"/>
  <c r="O67" i="21"/>
  <c r="N413" i="21"/>
  <c r="N414" i="21" s="1"/>
  <c r="N74" i="21"/>
  <c r="N598" i="21"/>
  <c r="O658" i="21"/>
  <c r="O508" i="21"/>
  <c r="O164" i="21"/>
  <c r="O659" i="21" s="1"/>
  <c r="F649" i="21"/>
  <c r="F151" i="21"/>
  <c r="F152" i="21" s="1"/>
  <c r="N148" i="21"/>
  <c r="N647" i="21" s="1"/>
  <c r="N643" i="21"/>
  <c r="CY30" i="1"/>
  <c r="CY29" i="1"/>
  <c r="P335" i="1"/>
  <c r="P318" i="1"/>
  <c r="P321" i="1"/>
  <c r="V368" i="21" l="1"/>
  <c r="U357" i="21"/>
  <c r="U104" i="21"/>
  <c r="U157" i="21"/>
  <c r="U653" i="21" s="1"/>
  <c r="U588" i="21"/>
  <c r="N14" i="21"/>
  <c r="BY14" i="21" s="1"/>
  <c r="CE19" i="21" s="1"/>
  <c r="CE21" i="21" s="1"/>
  <c r="N416" i="21"/>
  <c r="N15" i="21" s="1"/>
  <c r="BY15" i="21" s="1"/>
  <c r="N80" i="21"/>
  <c r="N599" i="21"/>
  <c r="N75" i="21"/>
  <c r="N600" i="21" s="1"/>
  <c r="N13" i="21"/>
  <c r="N76" i="21"/>
  <c r="O501" i="21"/>
  <c r="O70" i="21"/>
  <c r="O592" i="21"/>
  <c r="O171" i="21"/>
  <c r="N623" i="21"/>
  <c r="N123" i="21"/>
  <c r="N624" i="21" s="1"/>
  <c r="Q320" i="1"/>
  <c r="P135" i="1"/>
  <c r="P327" i="1"/>
  <c r="P168" i="1" s="1"/>
  <c r="P355" i="1"/>
  <c r="P357" i="1" s="1"/>
  <c r="P337" i="1"/>
  <c r="V359" i="21" l="1"/>
  <c r="V62" i="21" s="1"/>
  <c r="V355" i="21"/>
  <c r="U606" i="21"/>
  <c r="U111" i="21"/>
  <c r="U613" i="21" s="1"/>
  <c r="N126" i="21"/>
  <c r="N601" i="21"/>
  <c r="O665" i="21"/>
  <c r="O173" i="21"/>
  <c r="O666" i="21" s="1"/>
  <c r="O477" i="21"/>
  <c r="O595" i="21"/>
  <c r="O71" i="21"/>
  <c r="O596" i="21" s="1"/>
  <c r="O179" i="21"/>
  <c r="O502" i="21"/>
  <c r="BY13" i="21"/>
  <c r="CE16" i="21" s="1"/>
  <c r="CE18" i="21" s="1"/>
  <c r="N545" i="21"/>
  <c r="P340" i="1"/>
  <c r="P343" i="1" s="1"/>
  <c r="P338" i="1"/>
  <c r="P188" i="1"/>
  <c r="P201" i="1" s="1"/>
  <c r="P147" i="1" s="1"/>
  <c r="P175" i="1"/>
  <c r="P452" i="1"/>
  <c r="P136" i="1"/>
  <c r="Q189" i="1"/>
  <c r="Q356" i="1" s="1"/>
  <c r="V158" i="21" l="1"/>
  <c r="V654" i="21" s="1"/>
  <c r="V484" i="21"/>
  <c r="V493" i="21" s="1"/>
  <c r="V63" i="21"/>
  <c r="V587" i="21"/>
  <c r="V104" i="21"/>
  <c r="V357" i="21"/>
  <c r="O487" i="21"/>
  <c r="O474" i="21"/>
  <c r="O184" i="21"/>
  <c r="O672" i="21"/>
  <c r="N627" i="21"/>
  <c r="N128" i="21"/>
  <c r="P13" i="1"/>
  <c r="Q349" i="1"/>
  <c r="P138" i="1"/>
  <c r="P455" i="1" s="1"/>
  <c r="P453" i="1"/>
  <c r="P137" i="1"/>
  <c r="P454" i="1" s="1"/>
  <c r="P146" i="1"/>
  <c r="Q129" i="1"/>
  <c r="P158" i="1"/>
  <c r="P163" i="1" s="1"/>
  <c r="P257" i="1"/>
  <c r="P258" i="1" s="1"/>
  <c r="V111" i="21" l="1"/>
  <c r="V613" i="21" s="1"/>
  <c r="V606" i="21"/>
  <c r="V157" i="21"/>
  <c r="V653" i="21" s="1"/>
  <c r="V64" i="21"/>
  <c r="V589" i="21" s="1"/>
  <c r="V588" i="21"/>
  <c r="N629" i="21"/>
  <c r="N150" i="21"/>
  <c r="O677" i="21"/>
  <c r="O186" i="21"/>
  <c r="P475" i="21"/>
  <c r="P162" i="21" s="1"/>
  <c r="O144" i="21"/>
  <c r="O73" i="21"/>
  <c r="O489" i="21"/>
  <c r="O507" i="21"/>
  <c r="O509" i="21" s="1"/>
  <c r="P260" i="1"/>
  <c r="P15" i="1" s="1"/>
  <c r="P14" i="1"/>
  <c r="Q132" i="1"/>
  <c r="Q446" i="1"/>
  <c r="Q192" i="1"/>
  <c r="P177" i="1"/>
  <c r="P182" i="1" s="1"/>
  <c r="Q350" i="1"/>
  <c r="Q569" i="1" s="1"/>
  <c r="Q570" i="1" s="1"/>
  <c r="Q194" i="1"/>
  <c r="CD13" i="1"/>
  <c r="CJ16" i="1" s="1"/>
  <c r="CJ18" i="1" s="1"/>
  <c r="K14" i="20"/>
  <c r="P401" i="1"/>
  <c r="O490" i="21" l="1"/>
  <c r="O492" i="21"/>
  <c r="O495" i="21" s="1"/>
  <c r="O598" i="21"/>
  <c r="O74" i="21"/>
  <c r="O148" i="21"/>
  <c r="O647" i="21" s="1"/>
  <c r="O643" i="21"/>
  <c r="P658" i="21"/>
  <c r="P164" i="21"/>
  <c r="P659" i="21" s="1"/>
  <c r="P508" i="21"/>
  <c r="N649" i="21"/>
  <c r="N151" i="21"/>
  <c r="N152" i="21" s="1"/>
  <c r="O679" i="21"/>
  <c r="O120" i="21"/>
  <c r="Q133" i="1"/>
  <c r="Q450" i="1" s="1"/>
  <c r="Q323" i="1"/>
  <c r="Q449" i="1"/>
  <c r="CZ7" i="1"/>
  <c r="CZ27" i="1" s="1"/>
  <c r="K15" i="20"/>
  <c r="CD14" i="1"/>
  <c r="CJ21" i="1" s="1"/>
  <c r="CJ23" i="1" s="1"/>
  <c r="K16" i="20"/>
  <c r="CD15" i="1"/>
  <c r="P563" i="1"/>
  <c r="P565" i="1" s="1"/>
  <c r="P566" i="1" s="1"/>
  <c r="P567" i="1" s="1"/>
  <c r="O413" i="21" l="1"/>
  <c r="O414" i="21" s="1"/>
  <c r="O621" i="21"/>
  <c r="P67" i="21"/>
  <c r="O122" i="21"/>
  <c r="P501" i="21"/>
  <c r="O76" i="21"/>
  <c r="O13" i="21"/>
  <c r="O75" i="21"/>
  <c r="O600" i="21" s="1"/>
  <c r="O599" i="21"/>
  <c r="O80" i="21"/>
  <c r="CZ29" i="1"/>
  <c r="CZ30" i="1"/>
  <c r="Q318" i="1"/>
  <c r="Q335" i="1"/>
  <c r="Q321" i="1"/>
  <c r="BZ13" i="21" l="1"/>
  <c r="CF16" i="21" s="1"/>
  <c r="CF18" i="21" s="1"/>
  <c r="O545" i="21"/>
  <c r="O601" i="21"/>
  <c r="O126" i="21"/>
  <c r="O623" i="21"/>
  <c r="O123" i="21"/>
  <c r="O624" i="21" s="1"/>
  <c r="P179" i="21"/>
  <c r="P502" i="21"/>
  <c r="P171" i="21"/>
  <c r="P592" i="21"/>
  <c r="P70" i="21"/>
  <c r="O416" i="21"/>
  <c r="O15" i="21" s="1"/>
  <c r="BZ15" i="21" s="1"/>
  <c r="O14" i="21"/>
  <c r="BZ14" i="21" s="1"/>
  <c r="CF19" i="21" s="1"/>
  <c r="CF21" i="21" s="1"/>
  <c r="Q355" i="1"/>
  <c r="Q357" i="1" s="1"/>
  <c r="Q337" i="1"/>
  <c r="Q135" i="1"/>
  <c r="R320" i="1"/>
  <c r="Q327" i="1"/>
  <c r="Q168" i="1" s="1"/>
  <c r="P477" i="21" l="1"/>
  <c r="P71" i="21"/>
  <c r="P596" i="21" s="1"/>
  <c r="P595" i="21"/>
  <c r="P665" i="21"/>
  <c r="P173" i="21"/>
  <c r="P666" i="21" s="1"/>
  <c r="P672" i="21"/>
  <c r="P184" i="21"/>
  <c r="O627" i="21"/>
  <c r="O128" i="21"/>
  <c r="Q188" i="1"/>
  <c r="Q201" i="1" s="1"/>
  <c r="Q147" i="1" s="1"/>
  <c r="Q175" i="1"/>
  <c r="R189" i="1"/>
  <c r="R356" i="1" s="1"/>
  <c r="Q452" i="1"/>
  <c r="Q136" i="1"/>
  <c r="Q340" i="1"/>
  <c r="Q343" i="1" s="1"/>
  <c r="Q338" i="1"/>
  <c r="O629" i="21" l="1"/>
  <c r="O150" i="21"/>
  <c r="P186" i="21"/>
  <c r="P677" i="21"/>
  <c r="P487" i="21"/>
  <c r="P474" i="21"/>
  <c r="Q453" i="1"/>
  <c r="R349" i="1"/>
  <c r="Q137" i="1"/>
  <c r="Q454" i="1" s="1"/>
  <c r="Q13" i="1"/>
  <c r="Q138" i="1"/>
  <c r="Q455" i="1" s="1"/>
  <c r="Q146" i="1"/>
  <c r="R129" i="1"/>
  <c r="Q158" i="1"/>
  <c r="Q163" i="1" s="1"/>
  <c r="Q257" i="1"/>
  <c r="Q258" i="1" s="1"/>
  <c r="Q475" i="21" l="1"/>
  <c r="Q162" i="21" s="1"/>
  <c r="P144" i="21"/>
  <c r="P73" i="21"/>
  <c r="P120" i="21"/>
  <c r="P679" i="21"/>
  <c r="O649" i="21"/>
  <c r="O151" i="21"/>
  <c r="O152" i="21" s="1"/>
  <c r="P489" i="21"/>
  <c r="P507" i="21"/>
  <c r="P509" i="21" s="1"/>
  <c r="Q260" i="1"/>
  <c r="Q15" i="1" s="1"/>
  <c r="Q14" i="1"/>
  <c r="R132" i="1"/>
  <c r="R446" i="1"/>
  <c r="R192" i="1"/>
  <c r="Q177" i="1"/>
  <c r="Q182" i="1" s="1"/>
  <c r="L14" i="20"/>
  <c r="Q401" i="1"/>
  <c r="CE13" i="1"/>
  <c r="CK16" i="1" s="1"/>
  <c r="CK18" i="1" s="1"/>
  <c r="R194" i="1"/>
  <c r="R350" i="1"/>
  <c r="R569" i="1" s="1"/>
  <c r="R570" i="1" s="1"/>
  <c r="P621" i="21" l="1"/>
  <c r="Q67" i="21"/>
  <c r="P122" i="21"/>
  <c r="P413" i="21"/>
  <c r="P414" i="21" s="1"/>
  <c r="P492" i="21"/>
  <c r="P495" i="21" s="1"/>
  <c r="P490" i="21"/>
  <c r="P598" i="21"/>
  <c r="P74" i="21"/>
  <c r="P643" i="21"/>
  <c r="P148" i="21"/>
  <c r="P647" i="21" s="1"/>
  <c r="Q164" i="21"/>
  <c r="Q659" i="21" s="1"/>
  <c r="Q508" i="21"/>
  <c r="Q658" i="21"/>
  <c r="DA7" i="1"/>
  <c r="DA27" i="1" s="1"/>
  <c r="L15" i="20"/>
  <c r="CE14" i="1"/>
  <c r="CK21" i="1" s="1"/>
  <c r="CK23" i="1" s="1"/>
  <c r="DE14" i="1"/>
  <c r="Q563" i="1"/>
  <c r="Q565" i="1" s="1"/>
  <c r="Q566" i="1" s="1"/>
  <c r="Q567" i="1" s="1"/>
  <c r="CE15" i="1"/>
  <c r="L16" i="20"/>
  <c r="R133" i="1"/>
  <c r="R450" i="1" s="1"/>
  <c r="R449" i="1"/>
  <c r="R323" i="1"/>
  <c r="P80" i="21" l="1"/>
  <c r="P599" i="21"/>
  <c r="P75" i="21"/>
  <c r="P600" i="21" s="1"/>
  <c r="P76" i="21"/>
  <c r="Q501" i="21"/>
  <c r="P13" i="21"/>
  <c r="P545" i="21" s="1"/>
  <c r="P416" i="21"/>
  <c r="P15" i="21" s="1"/>
  <c r="P14" i="21"/>
  <c r="P123" i="21"/>
  <c r="P624" i="21" s="1"/>
  <c r="P623" i="21"/>
  <c r="Q70" i="21"/>
  <c r="Q592" i="21"/>
  <c r="Q171" i="21"/>
  <c r="R318" i="1"/>
  <c r="R335" i="1"/>
  <c r="R321" i="1"/>
  <c r="DA29" i="1"/>
  <c r="DA30" i="1"/>
  <c r="Q665" i="21" l="1"/>
  <c r="Q173" i="21"/>
  <c r="Q666" i="21" s="1"/>
  <c r="Q477" i="21"/>
  <c r="Q71" i="21"/>
  <c r="Q596" i="21" s="1"/>
  <c r="Q595" i="21"/>
  <c r="Q179" i="21"/>
  <c r="Q502" i="21"/>
  <c r="P126" i="21"/>
  <c r="P601" i="21"/>
  <c r="R355" i="1"/>
  <c r="R357" i="1" s="1"/>
  <c r="R337" i="1"/>
  <c r="R135" i="1"/>
  <c r="S320" i="1"/>
  <c r="R327" i="1"/>
  <c r="R168" i="1" s="1"/>
  <c r="P128" i="21" l="1"/>
  <c r="P627" i="21"/>
  <c r="Q474" i="21"/>
  <c r="Q487" i="21"/>
  <c r="Q184" i="21"/>
  <c r="Q672" i="21"/>
  <c r="R188" i="1"/>
  <c r="R201" i="1" s="1"/>
  <c r="R147" i="1" s="1"/>
  <c r="R175" i="1"/>
  <c r="S189" i="1"/>
  <c r="S356" i="1" s="1"/>
  <c r="R136" i="1"/>
  <c r="R452" i="1"/>
  <c r="R338" i="1"/>
  <c r="R340" i="1"/>
  <c r="R343" i="1" s="1"/>
  <c r="Q186" i="21" l="1"/>
  <c r="Q677" i="21"/>
  <c r="Q489" i="21"/>
  <c r="Q507" i="21"/>
  <c r="Q509" i="21" s="1"/>
  <c r="Q73" i="21"/>
  <c r="R475" i="21"/>
  <c r="R162" i="21" s="1"/>
  <c r="Q144" i="21"/>
  <c r="P629" i="21"/>
  <c r="P150" i="21"/>
  <c r="R257" i="1"/>
  <c r="R258" i="1" s="1"/>
  <c r="R158" i="1"/>
  <c r="R163" i="1" s="1"/>
  <c r="S129" i="1"/>
  <c r="R13" i="1"/>
  <c r="R401" i="1" s="1"/>
  <c r="R453" i="1"/>
  <c r="S349" i="1"/>
  <c r="R138" i="1"/>
  <c r="R455" i="1" s="1"/>
  <c r="R137" i="1"/>
  <c r="R454" i="1" s="1"/>
  <c r="R146" i="1"/>
  <c r="Q148" i="21" l="1"/>
  <c r="Q647" i="21" s="1"/>
  <c r="Q643" i="21"/>
  <c r="P649" i="21"/>
  <c r="P151" i="21"/>
  <c r="P152" i="21" s="1"/>
  <c r="R164" i="21"/>
  <c r="R659" i="21" s="1"/>
  <c r="R508" i="21"/>
  <c r="R658" i="21"/>
  <c r="Q598" i="21"/>
  <c r="Q74" i="21"/>
  <c r="Q492" i="21"/>
  <c r="Q495" i="21" s="1"/>
  <c r="Q490" i="21"/>
  <c r="Q679" i="21"/>
  <c r="Q120" i="21"/>
  <c r="S192" i="1"/>
  <c r="S446" i="1"/>
  <c r="S132" i="1"/>
  <c r="R14" i="1"/>
  <c r="R260" i="1"/>
  <c r="R15" i="1" s="1"/>
  <c r="R563" i="1" s="1"/>
  <c r="R565" i="1" s="1"/>
  <c r="R566" i="1" s="1"/>
  <c r="R567" i="1" s="1"/>
  <c r="R571" i="1" s="1"/>
  <c r="R572" i="1" s="1"/>
  <c r="R177" i="1"/>
  <c r="R182" i="1" s="1"/>
  <c r="S350" i="1"/>
  <c r="S569" i="1" s="1"/>
  <c r="S570" i="1" s="1"/>
  <c r="S194" i="1"/>
  <c r="Q621" i="21" l="1"/>
  <c r="R67" i="21"/>
  <c r="Q413" i="21"/>
  <c r="Q414" i="21" s="1"/>
  <c r="Q122" i="21"/>
  <c r="Q13" i="21"/>
  <c r="Q545" i="21" s="1"/>
  <c r="Q75" i="21"/>
  <c r="Q600" i="21" s="1"/>
  <c r="Q76" i="21"/>
  <c r="Q599" i="21"/>
  <c r="R501" i="21"/>
  <c r="Q80" i="21"/>
  <c r="S323" i="1"/>
  <c r="S133" i="1"/>
  <c r="S450" i="1" s="1"/>
  <c r="S449" i="1"/>
  <c r="Q416" i="21" l="1"/>
  <c r="Q15" i="21" s="1"/>
  <c r="Q14" i="21"/>
  <c r="R179" i="21"/>
  <c r="R502" i="21"/>
  <c r="Q601" i="21"/>
  <c r="Q126" i="21"/>
  <c r="Q623" i="21"/>
  <c r="Q123" i="21"/>
  <c r="Q624" i="21" s="1"/>
  <c r="R592" i="21"/>
  <c r="R171" i="21"/>
  <c r="R70" i="21"/>
  <c r="S318" i="1"/>
  <c r="S335" i="1"/>
  <c r="S321" i="1"/>
  <c r="R595" i="21" l="1"/>
  <c r="R477" i="21"/>
  <c r="R71" i="21"/>
  <c r="R596" i="21" s="1"/>
  <c r="R665" i="21"/>
  <c r="R173" i="21"/>
  <c r="R666" i="21" s="1"/>
  <c r="Q128" i="21"/>
  <c r="Q627" i="21"/>
  <c r="R672" i="21"/>
  <c r="R184" i="21"/>
  <c r="S355" i="1"/>
  <c r="S357" i="1" s="1"/>
  <c r="S337" i="1"/>
  <c r="T320" i="1"/>
  <c r="S135" i="1"/>
  <c r="S327" i="1"/>
  <c r="S168" i="1" s="1"/>
  <c r="Q629" i="21" l="1"/>
  <c r="Q150" i="21"/>
  <c r="R474" i="21"/>
  <c r="R487" i="21"/>
  <c r="R186" i="21"/>
  <c r="R677" i="21"/>
  <c r="S188" i="1"/>
  <c r="S201" i="1" s="1"/>
  <c r="S147" i="1" s="1"/>
  <c r="S175" i="1"/>
  <c r="S136" i="1"/>
  <c r="S452" i="1"/>
  <c r="T189" i="1"/>
  <c r="T356" i="1" s="1"/>
  <c r="S338" i="1"/>
  <c r="S340" i="1"/>
  <c r="S343" i="1" s="1"/>
  <c r="R679" i="21" l="1"/>
  <c r="R120" i="21"/>
  <c r="R489" i="21"/>
  <c r="R507" i="21"/>
  <c r="R509" i="21" s="1"/>
  <c r="Q151" i="21"/>
  <c r="Q152" i="21" s="1"/>
  <c r="Q649" i="21"/>
  <c r="S475" i="21"/>
  <c r="S162" i="21" s="1"/>
  <c r="R144" i="21"/>
  <c r="R73" i="21"/>
  <c r="S13" i="1"/>
  <c r="S401" i="1" s="1"/>
  <c r="S137" i="1"/>
  <c r="S454" i="1" s="1"/>
  <c r="S453" i="1"/>
  <c r="T349" i="1"/>
  <c r="S138" i="1"/>
  <c r="S455" i="1" s="1"/>
  <c r="S146" i="1"/>
  <c r="S257" i="1"/>
  <c r="S258" i="1" s="1"/>
  <c r="T129" i="1"/>
  <c r="S158" i="1"/>
  <c r="S163" i="1" s="1"/>
  <c r="R413" i="21" l="1"/>
  <c r="R414" i="21" s="1"/>
  <c r="R122" i="21"/>
  <c r="S67" i="21"/>
  <c r="R621" i="21"/>
  <c r="R598" i="21"/>
  <c r="R74" i="21"/>
  <c r="R643" i="21"/>
  <c r="R148" i="21"/>
  <c r="R647" i="21" s="1"/>
  <c r="S658" i="21"/>
  <c r="S164" i="21"/>
  <c r="S659" i="21" s="1"/>
  <c r="S508" i="21"/>
  <c r="R492" i="21"/>
  <c r="R495" i="21" s="1"/>
  <c r="R490" i="21"/>
  <c r="T446" i="1"/>
  <c r="T192" i="1"/>
  <c r="T132" i="1"/>
  <c r="S14" i="1"/>
  <c r="S260" i="1"/>
  <c r="S15" i="1" s="1"/>
  <c r="S563" i="1" s="1"/>
  <c r="S565" i="1" s="1"/>
  <c r="S566" i="1" s="1"/>
  <c r="S567" i="1" s="1"/>
  <c r="S177" i="1"/>
  <c r="S182" i="1" s="1"/>
  <c r="T194" i="1"/>
  <c r="T350" i="1"/>
  <c r="R123" i="21" l="1"/>
  <c r="R624" i="21" s="1"/>
  <c r="R623" i="21"/>
  <c r="R80" i="21"/>
  <c r="R13" i="21"/>
  <c r="R545" i="21" s="1"/>
  <c r="R76" i="21"/>
  <c r="R75" i="21"/>
  <c r="R600" i="21" s="1"/>
  <c r="S501" i="21"/>
  <c r="R599" i="21"/>
  <c r="S592" i="21"/>
  <c r="S171" i="21"/>
  <c r="S70" i="21"/>
  <c r="R14" i="21"/>
  <c r="R416" i="21"/>
  <c r="R15" i="21" s="1"/>
  <c r="T133" i="1"/>
  <c r="T450" i="1" s="1"/>
  <c r="T323" i="1"/>
  <c r="T449" i="1"/>
  <c r="R126" i="21" l="1"/>
  <c r="R601" i="21"/>
  <c r="S595" i="21"/>
  <c r="S477" i="21"/>
  <c r="S71" i="21"/>
  <c r="S596" i="21" s="1"/>
  <c r="S665" i="21"/>
  <c r="S173" i="21"/>
  <c r="S666" i="21" s="1"/>
  <c r="S502" i="21"/>
  <c r="S179" i="21"/>
  <c r="T335" i="1"/>
  <c r="T318" i="1"/>
  <c r="T321" i="1"/>
  <c r="S672" i="21" l="1"/>
  <c r="S184" i="21"/>
  <c r="S474" i="21"/>
  <c r="S487" i="21"/>
  <c r="R627" i="21"/>
  <c r="R128" i="21"/>
  <c r="U320" i="1"/>
  <c r="T135" i="1"/>
  <c r="T327" i="1"/>
  <c r="T168" i="1" s="1"/>
  <c r="T355" i="1"/>
  <c r="T357" i="1" s="1"/>
  <c r="T337" i="1"/>
  <c r="R629" i="21" l="1"/>
  <c r="R150" i="21"/>
  <c r="S507" i="21"/>
  <c r="S509" i="21" s="1"/>
  <c r="S489" i="21"/>
  <c r="S677" i="21"/>
  <c r="S186" i="21"/>
  <c r="T475" i="21"/>
  <c r="T162" i="21" s="1"/>
  <c r="S144" i="21"/>
  <c r="S73" i="21"/>
  <c r="T340" i="1"/>
  <c r="T343" i="1" s="1"/>
  <c r="T338" i="1"/>
  <c r="T188" i="1"/>
  <c r="T201" i="1" s="1"/>
  <c r="T147" i="1" s="1"/>
  <c r="T175" i="1"/>
  <c r="T136" i="1"/>
  <c r="T452" i="1"/>
  <c r="U189" i="1"/>
  <c r="U356" i="1" s="1"/>
  <c r="S74" i="21" l="1"/>
  <c r="S598" i="21"/>
  <c r="S490" i="21"/>
  <c r="S492" i="21"/>
  <c r="S495" i="21" s="1"/>
  <c r="R151" i="21"/>
  <c r="R152" i="21" s="1"/>
  <c r="R649" i="21"/>
  <c r="S148" i="21"/>
  <c r="S647" i="21" s="1"/>
  <c r="S643" i="21"/>
  <c r="T658" i="21"/>
  <c r="T508" i="21"/>
  <c r="T164" i="21"/>
  <c r="T659" i="21" s="1"/>
  <c r="S120" i="21"/>
  <c r="S679" i="21"/>
  <c r="U349" i="1"/>
  <c r="T453" i="1"/>
  <c r="T137" i="1"/>
  <c r="T454" i="1" s="1"/>
  <c r="T13" i="1"/>
  <c r="T401" i="1" s="1"/>
  <c r="T138" i="1"/>
  <c r="T455" i="1" s="1"/>
  <c r="T146" i="1"/>
  <c r="U129" i="1"/>
  <c r="T158" i="1"/>
  <c r="T163" i="1" s="1"/>
  <c r="T257" i="1"/>
  <c r="T258" i="1" s="1"/>
  <c r="S621" i="21" l="1"/>
  <c r="T67" i="21"/>
  <c r="S413" i="21"/>
  <c r="S414" i="21" s="1"/>
  <c r="S122" i="21"/>
  <c r="T501" i="21"/>
  <c r="S13" i="21"/>
  <c r="S545" i="21" s="1"/>
  <c r="S599" i="21"/>
  <c r="S80" i="21"/>
  <c r="S76" i="21"/>
  <c r="S75" i="21"/>
  <c r="S600" i="21" s="1"/>
  <c r="T260" i="1"/>
  <c r="T15" i="1" s="1"/>
  <c r="T14" i="1"/>
  <c r="U446" i="1"/>
  <c r="U132" i="1"/>
  <c r="U192" i="1"/>
  <c r="T177" i="1"/>
  <c r="T182" i="1" s="1"/>
  <c r="U350" i="1"/>
  <c r="U194" i="1"/>
  <c r="S601" i="21" l="1"/>
  <c r="S126" i="21"/>
  <c r="S416" i="21"/>
  <c r="S15" i="21" s="1"/>
  <c r="S14" i="21"/>
  <c r="T179" i="21"/>
  <c r="T502" i="21"/>
  <c r="S123" i="21"/>
  <c r="S624" i="21" s="1"/>
  <c r="S623" i="21"/>
  <c r="T592" i="21"/>
  <c r="T171" i="21"/>
  <c r="T70" i="21"/>
  <c r="U133" i="1"/>
  <c r="U450" i="1" s="1"/>
  <c r="U323" i="1"/>
  <c r="U449" i="1"/>
  <c r="T477" i="21" l="1"/>
  <c r="T595" i="21"/>
  <c r="T71" i="21"/>
  <c r="T596" i="21" s="1"/>
  <c r="T173" i="21"/>
  <c r="T666" i="21" s="1"/>
  <c r="T665" i="21"/>
  <c r="T672" i="21"/>
  <c r="T184" i="21"/>
  <c r="S128" i="21"/>
  <c r="S627" i="21"/>
  <c r="U318" i="1"/>
  <c r="U335" i="1"/>
  <c r="U321" i="1"/>
  <c r="T487" i="21" l="1"/>
  <c r="T474" i="21"/>
  <c r="S150" i="21"/>
  <c r="S629" i="21"/>
  <c r="T186" i="21"/>
  <c r="T677" i="21"/>
  <c r="U355" i="1"/>
  <c r="U357" i="1" s="1"/>
  <c r="U337" i="1"/>
  <c r="V320" i="1"/>
  <c r="U135" i="1"/>
  <c r="U327" i="1"/>
  <c r="U168" i="1" s="1"/>
  <c r="T507" i="21" l="1"/>
  <c r="T509" i="21" s="1"/>
  <c r="T489" i="21"/>
  <c r="T679" i="21"/>
  <c r="T120" i="21"/>
  <c r="S649" i="21"/>
  <c r="S151" i="21"/>
  <c r="S152" i="21" s="1"/>
  <c r="T144" i="21"/>
  <c r="T73" i="21"/>
  <c r="U475" i="21"/>
  <c r="U162" i="21" s="1"/>
  <c r="U188" i="1"/>
  <c r="U201" i="1" s="1"/>
  <c r="U147" i="1" s="1"/>
  <c r="U175" i="1"/>
  <c r="U136" i="1"/>
  <c r="U452" i="1"/>
  <c r="U340" i="1"/>
  <c r="U343" i="1" s="1"/>
  <c r="U338" i="1"/>
  <c r="V189" i="1"/>
  <c r="V356" i="1" s="1"/>
  <c r="T643" i="21" l="1"/>
  <c r="T148" i="21"/>
  <c r="T647" i="21" s="1"/>
  <c r="U67" i="21"/>
  <c r="T621" i="21"/>
  <c r="T122" i="21"/>
  <c r="T413" i="21"/>
  <c r="T414" i="21" s="1"/>
  <c r="T490" i="21"/>
  <c r="T492" i="21"/>
  <c r="T495" i="21" s="1"/>
  <c r="U164" i="21"/>
  <c r="U659" i="21" s="1"/>
  <c r="U658" i="21"/>
  <c r="U508" i="21"/>
  <c r="T598" i="21"/>
  <c r="T74" i="21"/>
  <c r="U453" i="1"/>
  <c r="U13" i="1"/>
  <c r="U401" i="1" s="1"/>
  <c r="U138" i="1"/>
  <c r="U455" i="1" s="1"/>
  <c r="U137" i="1"/>
  <c r="U454" i="1" s="1"/>
  <c r="V349" i="1"/>
  <c r="U146" i="1"/>
  <c r="U158" i="1"/>
  <c r="U163" i="1" s="1"/>
  <c r="V129" i="1"/>
  <c r="U257" i="1"/>
  <c r="U258" i="1" s="1"/>
  <c r="T14" i="21" l="1"/>
  <c r="T416" i="21"/>
  <c r="T15" i="21" s="1"/>
  <c r="U70" i="21"/>
  <c r="U592" i="21"/>
  <c r="U171" i="21"/>
  <c r="U501" i="21"/>
  <c r="T599" i="21"/>
  <c r="T13" i="21"/>
  <c r="T545" i="21" s="1"/>
  <c r="T76" i="21"/>
  <c r="T75" i="21"/>
  <c r="T600" i="21" s="1"/>
  <c r="T80" i="21"/>
  <c r="T123" i="21"/>
  <c r="T624" i="21" s="1"/>
  <c r="T623" i="21"/>
  <c r="U260" i="1"/>
  <c r="U15" i="1" s="1"/>
  <c r="U14" i="1"/>
  <c r="V446" i="1"/>
  <c r="V132" i="1"/>
  <c r="V192" i="1"/>
  <c r="U177" i="1"/>
  <c r="U182" i="1" s="1"/>
  <c r="V194" i="1"/>
  <c r="V350" i="1"/>
  <c r="T601" i="21" l="1"/>
  <c r="T126" i="21"/>
  <c r="U477" i="21"/>
  <c r="U595" i="21"/>
  <c r="U71" i="21"/>
  <c r="U596" i="21" s="1"/>
  <c r="U179" i="21"/>
  <c r="U502" i="21"/>
  <c r="U665" i="21"/>
  <c r="U173" i="21"/>
  <c r="U666" i="21" s="1"/>
  <c r="V449" i="1"/>
  <c r="V133" i="1"/>
  <c r="V450" i="1" s="1"/>
  <c r="V323" i="1"/>
  <c r="T128" i="21" l="1"/>
  <c r="T627" i="21"/>
  <c r="U184" i="21"/>
  <c r="U672" i="21"/>
  <c r="U487" i="21"/>
  <c r="U474" i="21"/>
  <c r="V318" i="1"/>
  <c r="V335" i="1"/>
  <c r="V321" i="1"/>
  <c r="T629" i="21" l="1"/>
  <c r="T150" i="21"/>
  <c r="V475" i="21"/>
  <c r="V162" i="21" s="1"/>
  <c r="U144" i="21"/>
  <c r="U73" i="21"/>
  <c r="U489" i="21"/>
  <c r="U507" i="21"/>
  <c r="U509" i="21" s="1"/>
  <c r="U186" i="21"/>
  <c r="U677" i="21"/>
  <c r="V355" i="1"/>
  <c r="V357" i="1" s="1"/>
  <c r="V337" i="1"/>
  <c r="V135" i="1"/>
  <c r="W320" i="1"/>
  <c r="V327" i="1"/>
  <c r="V168" i="1" s="1"/>
  <c r="U492" i="21" l="1"/>
  <c r="U495" i="21" s="1"/>
  <c r="U490" i="21"/>
  <c r="U679" i="21"/>
  <c r="U120" i="21"/>
  <c r="U598" i="21"/>
  <c r="U74" i="21"/>
  <c r="U643" i="21"/>
  <c r="U148" i="21"/>
  <c r="U647" i="21" s="1"/>
  <c r="V658" i="21"/>
  <c r="V164" i="21"/>
  <c r="V659" i="21" s="1"/>
  <c r="V508" i="21"/>
  <c r="T151" i="21"/>
  <c r="T152" i="21" s="1"/>
  <c r="T649" i="21"/>
  <c r="V188" i="1"/>
  <c r="V201" i="1" s="1"/>
  <c r="V147" i="1" s="1"/>
  <c r="V175" i="1"/>
  <c r="W189" i="1"/>
  <c r="W356" i="1" s="1"/>
  <c r="V452" i="1"/>
  <c r="V136" i="1"/>
  <c r="V338" i="1"/>
  <c r="V340" i="1"/>
  <c r="V343" i="1" s="1"/>
  <c r="V358" i="1"/>
  <c r="N358" i="1"/>
  <c r="O358" i="1"/>
  <c r="P358" i="1"/>
  <c r="U358" i="1"/>
  <c r="T358" i="1"/>
  <c r="S358" i="1"/>
  <c r="R358" i="1"/>
  <c r="Q358" i="1"/>
  <c r="U76" i="21" l="1"/>
  <c r="U80" i="21"/>
  <c r="V501" i="21"/>
  <c r="U75" i="21"/>
  <c r="U600" i="21" s="1"/>
  <c r="U13" i="21"/>
  <c r="U545" i="21" s="1"/>
  <c r="U599" i="21"/>
  <c r="U413" i="21"/>
  <c r="U414" i="21" s="1"/>
  <c r="V67" i="21"/>
  <c r="U621" i="21"/>
  <c r="U122" i="21"/>
  <c r="V137" i="1"/>
  <c r="V454" i="1" s="1"/>
  <c r="V13" i="1"/>
  <c r="V401" i="1" s="1"/>
  <c r="V453" i="1"/>
  <c r="W349" i="1"/>
  <c r="V138" i="1"/>
  <c r="V455" i="1" s="1"/>
  <c r="V146" i="1"/>
  <c r="W129" i="1"/>
  <c r="V158" i="1"/>
  <c r="V163" i="1" s="1"/>
  <c r="V257" i="1"/>
  <c r="V258" i="1" s="1"/>
  <c r="U416" i="21" l="1"/>
  <c r="U15" i="21" s="1"/>
  <c r="U14" i="21"/>
  <c r="U123" i="21"/>
  <c r="U624" i="21" s="1"/>
  <c r="U623" i="21"/>
  <c r="V171" i="21"/>
  <c r="V70" i="21"/>
  <c r="V592" i="21"/>
  <c r="V179" i="21"/>
  <c r="V502" i="21"/>
  <c r="U126" i="21"/>
  <c r="U601" i="21"/>
  <c r="V260" i="1"/>
  <c r="V15" i="1" s="1"/>
  <c r="V14" i="1"/>
  <c r="W446" i="1"/>
  <c r="W132" i="1"/>
  <c r="W192" i="1"/>
  <c r="V177" i="1"/>
  <c r="V182" i="1" s="1"/>
  <c r="W194" i="1"/>
  <c r="W350" i="1"/>
  <c r="U627" i="21" l="1"/>
  <c r="U128" i="21"/>
  <c r="V595" i="21"/>
  <c r="V477" i="21"/>
  <c r="V71" i="21"/>
  <c r="V596" i="21" s="1"/>
  <c r="V173" i="21"/>
  <c r="V666" i="21" s="1"/>
  <c r="V665" i="21"/>
  <c r="V184" i="21"/>
  <c r="V672" i="21"/>
  <c r="W323" i="1"/>
  <c r="W449" i="1"/>
  <c r="W133" i="1"/>
  <c r="W450" i="1" s="1"/>
  <c r="V677" i="21" l="1"/>
  <c r="V186" i="21"/>
  <c r="V474" i="21"/>
  <c r="V487" i="21"/>
  <c r="U629" i="21"/>
  <c r="U150" i="21"/>
  <c r="W318" i="1"/>
  <c r="W335" i="1"/>
  <c r="W321" i="1"/>
  <c r="V73" i="21" l="1"/>
  <c r="V144" i="21"/>
  <c r="U649" i="21"/>
  <c r="U151" i="21"/>
  <c r="U152" i="21" s="1"/>
  <c r="V489" i="21"/>
  <c r="V507" i="21"/>
  <c r="V509" i="21" s="1"/>
  <c r="V679" i="21"/>
  <c r="V120" i="21"/>
  <c r="W355" i="1"/>
  <c r="W357" i="1" s="1"/>
  <c r="W358" i="1" s="1"/>
  <c r="W337" i="1"/>
  <c r="W135" i="1"/>
  <c r="W327" i="1"/>
  <c r="W168" i="1" s="1"/>
  <c r="U510" i="21" l="1"/>
  <c r="S510" i="21"/>
  <c r="R510" i="21"/>
  <c r="T510" i="21"/>
  <c r="N510" i="21"/>
  <c r="V510" i="21"/>
  <c r="O510" i="21"/>
  <c r="P510" i="21"/>
  <c r="E510" i="21"/>
  <c r="F510" i="21"/>
  <c r="Q510" i="21"/>
  <c r="V621" i="21"/>
  <c r="V122" i="21"/>
  <c r="V413" i="21"/>
  <c r="V414" i="21" s="1"/>
  <c r="V490" i="21"/>
  <c r="V492" i="21"/>
  <c r="V495" i="21" s="1"/>
  <c r="V643" i="21"/>
  <c r="V148" i="21"/>
  <c r="V647" i="21" s="1"/>
  <c r="V598" i="21"/>
  <c r="V74" i="21"/>
  <c r="W188" i="1"/>
  <c r="W201" i="1" s="1"/>
  <c r="W147" i="1" s="1"/>
  <c r="W175" i="1"/>
  <c r="W136" i="1"/>
  <c r="W452" i="1"/>
  <c r="W340" i="1"/>
  <c r="W343" i="1" s="1"/>
  <c r="W338" i="1"/>
  <c r="V14" i="21" l="1"/>
  <c r="V416" i="21"/>
  <c r="V15" i="21" s="1"/>
  <c r="V623" i="21"/>
  <c r="V123" i="21"/>
  <c r="V624" i="21" s="1"/>
  <c r="V13" i="21"/>
  <c r="V545" i="21" s="1"/>
  <c r="V76" i="21"/>
  <c r="V80" i="21"/>
  <c r="V599" i="21"/>
  <c r="V75" i="21"/>
  <c r="V600" i="21" s="1"/>
  <c r="W138" i="1"/>
  <c r="W455" i="1" s="1"/>
  <c r="W13" i="1"/>
  <c r="W401" i="1" s="1"/>
  <c r="W453" i="1"/>
  <c r="W137" i="1"/>
  <c r="W454" i="1" s="1"/>
  <c r="W146" i="1"/>
  <c r="W177" i="1" s="1"/>
  <c r="W257" i="1"/>
  <c r="W258" i="1" s="1"/>
  <c r="W158" i="1"/>
  <c r="W163" i="1" s="1"/>
  <c r="W182" i="1" l="1"/>
  <c r="V601" i="21"/>
  <c r="V126" i="21"/>
  <c r="W14" i="1"/>
  <c r="W260" i="1"/>
  <c r="W15" i="1" s="1"/>
  <c r="V627" i="21" l="1"/>
  <c r="V128" i="21"/>
  <c r="V150" i="21" l="1"/>
  <c r="V629" i="21"/>
  <c r="M27" i="31"/>
  <c r="N27" i="31"/>
  <c r="V649" i="21" l="1"/>
  <c r="V151" i="21"/>
  <c r="V152" i="21" s="1"/>
  <c r="AI274" i="24" l="1"/>
  <c r="N579" i="14" l="1"/>
  <c r="R301" i="24"/>
  <c r="R306" i="24"/>
  <c r="R307" i="24" s="1"/>
  <c r="R308" i="24" s="1"/>
  <c r="S301" i="24" l="1"/>
  <c r="S303" i="24" s="1"/>
  <c r="R303" i="24"/>
  <c r="V128" i="24"/>
  <c r="AD67" i="16"/>
  <c r="X128" i="24"/>
  <c r="R126" i="24"/>
  <c r="O578" i="14"/>
  <c r="N578" i="14"/>
  <c r="K578" i="14"/>
  <c r="N88" i="24"/>
  <c r="M578" i="14"/>
  <c r="L578" i="14"/>
  <c r="Q126" i="24"/>
  <c r="P83" i="24"/>
  <c r="W158" i="24"/>
  <c r="V126" i="24"/>
  <c r="S126" i="24"/>
  <c r="T128" i="24"/>
  <c r="Y158" i="24"/>
  <c r="P864" i="14" s="1"/>
  <c r="Y126" i="24"/>
  <c r="Y77" i="24"/>
  <c r="U77" i="24"/>
  <c r="AF277" i="24"/>
  <c r="P158" i="24"/>
  <c r="G864" i="14" s="1"/>
  <c r="T126" i="24"/>
  <c r="T158" i="24"/>
  <c r="K864" i="14" s="1"/>
  <c r="U126" i="24"/>
  <c r="U83" i="24"/>
  <c r="U158" i="24"/>
  <c r="L864" i="14" s="1"/>
  <c r="T301" i="24" l="1"/>
  <c r="W147" i="24"/>
  <c r="N864" i="14"/>
  <c r="O128" i="24"/>
  <c r="BN23" i="18"/>
  <c r="AD222" i="16"/>
  <c r="P79" i="24"/>
  <c r="V88" i="24"/>
  <c r="X88" i="24"/>
  <c r="U301" i="24"/>
  <c r="T303" i="24"/>
  <c r="O88" i="24"/>
  <c r="R158" i="24"/>
  <c r="N128" i="24"/>
  <c r="T77" i="24"/>
  <c r="P88" i="24"/>
  <c r="V158" i="24"/>
  <c r="Q77" i="24"/>
  <c r="Q158" i="24"/>
  <c r="W83" i="24"/>
  <c r="BM20" i="18"/>
  <c r="AC65" i="16"/>
  <c r="N79" i="24"/>
  <c r="AC67" i="16"/>
  <c r="BM23" i="18"/>
  <c r="AC222" i="16"/>
  <c r="BN20" i="18"/>
  <c r="AD65" i="16"/>
  <c r="R83" i="24"/>
  <c r="O83" i="24"/>
  <c r="O158" i="24"/>
  <c r="O191" i="24" s="1"/>
  <c r="P126" i="24"/>
  <c r="BO20" i="18"/>
  <c r="N158" i="24"/>
  <c r="E864" i="14" s="1"/>
  <c r="O590" i="14"/>
  <c r="K590" i="14" s="1"/>
  <c r="L590" i="14" s="1"/>
  <c r="M590" i="14" s="1"/>
  <c r="N590" i="14" s="1"/>
  <c r="O589" i="14"/>
  <c r="N83" i="24"/>
  <c r="Q83" i="24"/>
  <c r="P128" i="24"/>
  <c r="BO23" i="18"/>
  <c r="P77" i="24"/>
  <c r="R77" i="24"/>
  <c r="O79" i="24"/>
  <c r="T83" i="24"/>
  <c r="V77" i="24"/>
  <c r="S158" i="24"/>
  <c r="V83" i="24"/>
  <c r="S77" i="24"/>
  <c r="W77" i="24"/>
  <c r="W126" i="24"/>
  <c r="N77" i="24"/>
  <c r="N126" i="24"/>
  <c r="O77" i="24"/>
  <c r="O126" i="24"/>
  <c r="W191" i="24"/>
  <c r="U79" i="24"/>
  <c r="T88" i="24"/>
  <c r="T79" i="24"/>
  <c r="S83" i="24"/>
  <c r="V79" i="24"/>
  <c r="W79" i="24"/>
  <c r="W128" i="24"/>
  <c r="X79" i="24"/>
  <c r="U88" i="24"/>
  <c r="U128" i="24"/>
  <c r="W88" i="24"/>
  <c r="AG277" i="24"/>
  <c r="R88" i="24"/>
  <c r="R128" i="24"/>
  <c r="R79" i="24"/>
  <c r="Q128" i="24"/>
  <c r="Q88" i="24"/>
  <c r="Q79" i="24"/>
  <c r="P191" i="24"/>
  <c r="P147" i="24"/>
  <c r="BO49" i="18" s="1"/>
  <c r="U147" i="24"/>
  <c r="U159" i="24"/>
  <c r="L865" i="14" s="1"/>
  <c r="U191" i="24"/>
  <c r="Y191" i="24"/>
  <c r="Y147" i="24"/>
  <c r="X158" i="24"/>
  <c r="X77" i="24"/>
  <c r="X83" i="24"/>
  <c r="X126" i="24"/>
  <c r="Z126" i="24"/>
  <c r="Z158" i="24"/>
  <c r="Q864" i="14" s="1"/>
  <c r="Z77" i="24"/>
  <c r="Z83" i="24"/>
  <c r="S88" i="24"/>
  <c r="S128" i="24"/>
  <c r="S79" i="24"/>
  <c r="T191" i="24"/>
  <c r="T147" i="24"/>
  <c r="Y79" i="24"/>
  <c r="Y88" i="24"/>
  <c r="Y128" i="24"/>
  <c r="Y83" i="24"/>
  <c r="Z128" i="24"/>
  <c r="Z88" i="24"/>
  <c r="Z79" i="24"/>
  <c r="BN40" i="18" l="1"/>
  <c r="P159" i="24"/>
  <c r="G865" i="14" s="1"/>
  <c r="F864" i="14"/>
  <c r="S147" i="24"/>
  <c r="J864" i="14"/>
  <c r="R147" i="24"/>
  <c r="I864" i="14"/>
  <c r="Q191" i="24"/>
  <c r="Q192" i="24" s="1"/>
  <c r="H864" i="14"/>
  <c r="V147" i="24"/>
  <c r="M864" i="14"/>
  <c r="Y159" i="24"/>
  <c r="P865" i="14" s="1"/>
  <c r="O864" i="14"/>
  <c r="EJ23" i="18"/>
  <c r="R159" i="24"/>
  <c r="I865" i="14" s="1"/>
  <c r="R191" i="24"/>
  <c r="V301" i="24"/>
  <c r="U303" i="24"/>
  <c r="N159" i="24"/>
  <c r="E865" i="14" s="1"/>
  <c r="N191" i="24"/>
  <c r="Q159" i="24"/>
  <c r="H865" i="14" s="1"/>
  <c r="V159" i="24"/>
  <c r="M865" i="14" s="1"/>
  <c r="W159" i="24"/>
  <c r="N865" i="14" s="1"/>
  <c r="V191" i="24"/>
  <c r="V192" i="24" s="1"/>
  <c r="Q147" i="24"/>
  <c r="P192" i="24"/>
  <c r="O147" i="24"/>
  <c r="BN49" i="18" s="1"/>
  <c r="EK49" i="18" s="1"/>
  <c r="T159" i="24"/>
  <c r="K865" i="14" s="1"/>
  <c r="EK23" i="18"/>
  <c r="BO40" i="18"/>
  <c r="S191" i="24"/>
  <c r="T192" i="24" s="1"/>
  <c r="S159" i="24"/>
  <c r="J865" i="14" s="1"/>
  <c r="BO38" i="18"/>
  <c r="EK20" i="18"/>
  <c r="EI20" i="18"/>
  <c r="BM38" i="18"/>
  <c r="BL38" i="18" s="1"/>
  <c r="EJ20" i="18"/>
  <c r="BN38" i="18"/>
  <c r="N147" i="24"/>
  <c r="BM49" i="18" s="1"/>
  <c r="BO175" i="18"/>
  <c r="O159" i="24"/>
  <c r="F865" i="14" s="1"/>
  <c r="O588" i="14"/>
  <c r="K589" i="14"/>
  <c r="BM40" i="18"/>
  <c r="BL40" i="18" s="1"/>
  <c r="BL23" i="18" s="1"/>
  <c r="EI23" i="18"/>
  <c r="Z191" i="24"/>
  <c r="Z159" i="24"/>
  <c r="Q865" i="14" s="1"/>
  <c r="Z147" i="24"/>
  <c r="U192" i="24"/>
  <c r="X159" i="24"/>
  <c r="O865" i="14" s="1"/>
  <c r="X147" i="24"/>
  <c r="X191" i="24"/>
  <c r="R192" i="24" l="1"/>
  <c r="EH23" i="18"/>
  <c r="BL20" i="18"/>
  <c r="EH20" i="18" s="1"/>
  <c r="BN175" i="18"/>
  <c r="EK175" i="18" s="1"/>
  <c r="W301" i="24"/>
  <c r="V303" i="24"/>
  <c r="O192" i="24"/>
  <c r="W192" i="24"/>
  <c r="S192" i="24"/>
  <c r="EI49" i="18"/>
  <c r="BM175" i="18"/>
  <c r="EI175" i="18" s="1"/>
  <c r="K588" i="14"/>
  <c r="L589" i="14"/>
  <c r="EJ49" i="18"/>
  <c r="O593" i="14"/>
  <c r="X192" i="24"/>
  <c r="Y192" i="24"/>
  <c r="Z192" i="24"/>
  <c r="X301" i="24" l="1"/>
  <c r="X303" i="24" s="1"/>
  <c r="W303" i="24"/>
  <c r="K594" i="14"/>
  <c r="K593" i="14"/>
  <c r="M589" i="14"/>
  <c r="L588" i="14"/>
  <c r="EJ175" i="18"/>
  <c r="L593" i="14" l="1"/>
  <c r="L594" i="14"/>
  <c r="M588" i="14"/>
  <c r="N589" i="14"/>
  <c r="N588" i="14" s="1"/>
  <c r="N594" i="14" l="1"/>
  <c r="N593" i="14"/>
  <c r="O594" i="14"/>
  <c r="M594" i="14"/>
  <c r="M593" i="14"/>
  <c r="L121" i="24" l="1"/>
  <c r="L122" i="24"/>
  <c r="G512" i="14" l="1"/>
  <c r="I727" i="14"/>
  <c r="I729" i="14" s="1"/>
  <c r="G1006" i="14"/>
  <c r="H512" i="14"/>
  <c r="I512" i="14"/>
  <c r="J512" i="14"/>
  <c r="K512" i="14"/>
  <c r="L512" i="14"/>
  <c r="M512" i="14"/>
  <c r="N512" i="14"/>
  <c r="O512" i="14"/>
  <c r="P512" i="14"/>
  <c r="Q512" i="14"/>
  <c r="J727" i="14"/>
  <c r="J729" i="14" s="1"/>
  <c r="K727" i="14"/>
  <c r="K729" i="14" s="1"/>
  <c r="L727" i="14"/>
  <c r="L729" i="14" s="1"/>
  <c r="M727" i="14"/>
  <c r="M729" i="14" s="1"/>
  <c r="H1006" i="14"/>
  <c r="I1006" i="14"/>
  <c r="J1006" i="14"/>
  <c r="K1006" i="14"/>
  <c r="L1006" i="14"/>
  <c r="M1006" i="14"/>
  <c r="N1006" i="14"/>
  <c r="O1006" i="14"/>
  <c r="P1006" i="14"/>
  <c r="Q1006" i="14"/>
  <c r="F890" i="14" l="1"/>
  <c r="F894" i="14"/>
  <c r="N890" i="14"/>
  <c r="N894" i="14"/>
  <c r="I894" i="14"/>
  <c r="I890" i="14"/>
  <c r="M894" i="14"/>
  <c r="M890" i="14"/>
  <c r="O890" i="14"/>
  <c r="O894" i="14"/>
  <c r="H894" i="14"/>
  <c r="H890" i="14"/>
  <c r="P890" i="14"/>
  <c r="P894" i="14"/>
  <c r="K894" i="14"/>
  <c r="K890" i="14"/>
  <c r="G894" i="14"/>
  <c r="G890" i="14"/>
  <c r="Q890" i="14"/>
  <c r="Q894" i="14"/>
  <c r="J894" i="14"/>
  <c r="J890" i="14"/>
  <c r="L894" i="14"/>
  <c r="L890" i="14"/>
  <c r="N336" i="24" l="1"/>
  <c r="E891" i="14" l="1"/>
  <c r="O334" i="24" l="1"/>
  <c r="F856" i="14" l="1"/>
  <c r="P334" i="24"/>
  <c r="F893" i="14"/>
  <c r="EI50" i="18"/>
  <c r="BM174" i="18"/>
  <c r="EI174" i="18" s="1"/>
  <c r="G893" i="14" l="1"/>
  <c r="G856" i="14"/>
  <c r="Q334" i="24"/>
  <c r="R334" i="24" l="1"/>
  <c r="S334" i="24" s="1"/>
  <c r="H893" i="14"/>
  <c r="H856" i="14"/>
  <c r="I856" i="14" l="1"/>
  <c r="I893" i="14"/>
  <c r="J893" i="14"/>
  <c r="J856" i="14"/>
  <c r="T334" i="24"/>
  <c r="K893" i="14" l="1"/>
  <c r="K856" i="14"/>
  <c r="U334" i="24"/>
  <c r="L893" i="14" l="1"/>
  <c r="L856" i="14"/>
  <c r="V334" i="24"/>
  <c r="M893" i="14" l="1"/>
  <c r="M856" i="14"/>
  <c r="W334" i="24"/>
  <c r="N893" i="14" l="1"/>
  <c r="N856" i="14"/>
  <c r="X334" i="24"/>
  <c r="O893" i="14" l="1"/>
  <c r="O856" i="14"/>
  <c r="Y334" i="24"/>
  <c r="P893" i="14" l="1"/>
  <c r="P856" i="14"/>
  <c r="Z334" i="24"/>
  <c r="Q856" i="14" s="1"/>
  <c r="O332" i="24"/>
  <c r="F854" i="14" s="1"/>
  <c r="F889" i="14" l="1"/>
  <c r="O336" i="24"/>
  <c r="O337" i="24" s="1"/>
  <c r="F892" i="14" s="1"/>
  <c r="P332" i="24"/>
  <c r="G854" i="14" s="1"/>
  <c r="F891" i="14"/>
  <c r="Q893" i="14"/>
  <c r="G889" i="14" l="1"/>
  <c r="P336" i="24"/>
  <c r="Q332" i="24"/>
  <c r="H854" i="14" s="1"/>
  <c r="G891" i="14" l="1"/>
  <c r="P337" i="24"/>
  <c r="G892" i="14" s="1"/>
  <c r="H889" i="14"/>
  <c r="R332" i="24"/>
  <c r="I854" i="14" s="1"/>
  <c r="Q336" i="24"/>
  <c r="H891" i="14" s="1"/>
  <c r="S332" i="24" l="1"/>
  <c r="J854" i="14" s="1"/>
  <c r="R336" i="24"/>
  <c r="I891" i="14" s="1"/>
  <c r="Q337" i="24"/>
  <c r="H892" i="14" s="1"/>
  <c r="I889" i="14"/>
  <c r="R337" i="24" l="1"/>
  <c r="I892" i="14" s="1"/>
  <c r="T332" i="24"/>
  <c r="K854" i="14" s="1"/>
  <c r="J889" i="14"/>
  <c r="S336" i="24"/>
  <c r="J891" i="14" s="1"/>
  <c r="EJ50" i="18"/>
  <c r="K889" i="14" l="1"/>
  <c r="S337" i="24"/>
  <c r="J892" i="14" s="1"/>
  <c r="U332" i="24"/>
  <c r="L854" i="14" s="1"/>
  <c r="T336" i="24"/>
  <c r="K891" i="14" s="1"/>
  <c r="L889" i="14" l="1"/>
  <c r="V332" i="24"/>
  <c r="M854" i="14" s="1"/>
  <c r="U336" i="24"/>
  <c r="L891" i="14" s="1"/>
  <c r="T337" i="24"/>
  <c r="K892" i="14" s="1"/>
  <c r="BO174" i="18"/>
  <c r="EK50" i="18"/>
  <c r="M889" i="14" l="1"/>
  <c r="W332" i="24"/>
  <c r="N854" i="14" s="1"/>
  <c r="V336" i="24"/>
  <c r="M891" i="14" s="1"/>
  <c r="U337" i="24"/>
  <c r="L892" i="14" s="1"/>
  <c r="X332" i="24" l="1"/>
  <c r="O854" i="14" s="1"/>
  <c r="W336" i="24"/>
  <c r="N891" i="14" s="1"/>
  <c r="N889" i="14"/>
  <c r="V337" i="24"/>
  <c r="M892" i="14" s="1"/>
  <c r="O889" i="14" l="1"/>
  <c r="Y332" i="24"/>
  <c r="P854" i="14" s="1"/>
  <c r="X336" i="24"/>
  <c r="O891" i="14" s="1"/>
  <c r="W337" i="24"/>
  <c r="N892" i="14" s="1"/>
  <c r="Y336" i="24"/>
  <c r="P891" i="14" s="1"/>
  <c r="P889" i="14" l="1"/>
  <c r="Z332" i="24"/>
  <c r="Q854" i="14" s="1"/>
  <c r="X337" i="24"/>
  <c r="O892" i="14" s="1"/>
  <c r="Z336" i="24"/>
  <c r="Q891" i="14" s="1"/>
  <c r="Y337" i="24"/>
  <c r="P892" i="14" s="1"/>
  <c r="Q889" i="14" l="1"/>
  <c r="Z337" i="24"/>
  <c r="Q892" i="14" s="1"/>
  <c r="L199" i="24" l="1"/>
  <c r="I581" i="14"/>
  <c r="C871" i="14"/>
  <c r="C859" i="14" s="1"/>
  <c r="Q581" i="14" l="1"/>
  <c r="L202" i="24"/>
  <c r="L204" i="24" s="1"/>
  <c r="L170" i="24" s="1"/>
  <c r="L205" i="24" l="1"/>
  <c r="L203" i="24"/>
  <c r="L171" i="24" l="1"/>
  <c r="BN174" i="18" l="1"/>
  <c r="EK174" i="18" s="1"/>
  <c r="AC111" i="16"/>
  <c r="AD90" i="17"/>
  <c r="BM143" i="18"/>
  <c r="N160" i="25"/>
  <c r="G19" i="27"/>
  <c r="E992" i="14"/>
  <c r="EJ174" i="18" l="1"/>
  <c r="EI143" i="18"/>
  <c r="BL143" i="18"/>
  <c r="EH143" i="18" s="1"/>
  <c r="O181" i="25" l="1"/>
  <c r="O184" i="25" l="1"/>
  <c r="O129" i="25" s="1"/>
  <c r="O154" i="25"/>
  <c r="H18" i="27" l="1"/>
  <c r="AD110" i="16"/>
  <c r="F991" i="14"/>
  <c r="F504" i="14"/>
  <c r="Y504" i="14" s="1"/>
  <c r="BN142" i="18"/>
  <c r="AE89" i="17"/>
  <c r="EK142" i="18" l="1"/>
  <c r="EJ142" i="18"/>
  <c r="AC9" i="16"/>
  <c r="AD9" i="16"/>
  <c r="AA13" i="16"/>
  <c r="AB13" i="16"/>
  <c r="AC13" i="16"/>
  <c r="AD13" i="16"/>
  <c r="R14" i="16"/>
  <c r="S14" i="16"/>
  <c r="T14" i="16"/>
  <c r="U14" i="16"/>
  <c r="V14" i="16"/>
  <c r="W14" i="16"/>
  <c r="X14" i="16"/>
  <c r="Y14" i="16"/>
  <c r="Z14" i="16"/>
  <c r="AA14" i="16"/>
  <c r="AB14" i="16"/>
  <c r="AC14" i="16"/>
  <c r="AD14" i="16"/>
  <c r="Z15" i="16"/>
  <c r="AA15" i="16"/>
  <c r="AB15" i="16"/>
  <c r="AC15" i="16"/>
  <c r="AD15" i="16"/>
  <c r="Z16" i="16"/>
  <c r="AA16" i="16"/>
  <c r="AB16" i="16"/>
  <c r="AC16" i="16"/>
  <c r="AD16" i="16"/>
  <c r="Z17" i="16"/>
  <c r="AA17" i="16"/>
  <c r="AB17" i="16"/>
  <c r="AC17" i="16"/>
  <c r="AD17" i="16"/>
  <c r="AC20" i="16"/>
  <c r="AD20" i="16"/>
  <c r="AB21" i="16"/>
  <c r="AC21" i="16"/>
  <c r="AD21" i="16"/>
  <c r="AD22" i="16"/>
  <c r="AD23" i="16"/>
  <c r="AC24" i="16"/>
  <c r="AD24" i="16"/>
  <c r="AB25" i="16"/>
  <c r="AC25" i="16"/>
  <c r="AD25" i="16"/>
  <c r="AB26" i="16"/>
  <c r="AC26" i="16"/>
  <c r="AD26" i="16"/>
  <c r="AC27" i="16"/>
  <c r="AD27" i="16"/>
  <c r="Z29" i="16"/>
  <c r="AA29" i="16"/>
  <c r="AB29" i="16"/>
  <c r="AC29" i="16"/>
  <c r="AD29" i="16"/>
  <c r="AC30" i="16"/>
  <c r="AD30" i="16"/>
  <c r="Z31" i="16"/>
  <c r="AA31" i="16"/>
  <c r="AB31" i="16"/>
  <c r="AC31" i="16"/>
  <c r="AD31" i="16"/>
  <c r="Z32" i="16"/>
  <c r="AA32" i="16"/>
  <c r="AB32" i="16"/>
  <c r="AC32" i="16"/>
  <c r="AD32" i="16"/>
  <c r="Z33" i="16"/>
  <c r="AA33" i="16"/>
  <c r="AB33" i="16"/>
  <c r="AC33" i="16"/>
  <c r="AD33" i="16"/>
  <c r="AC35" i="16"/>
  <c r="AD35" i="16"/>
  <c r="AC38" i="16"/>
  <c r="AD38" i="16"/>
  <c r="AC39" i="16"/>
  <c r="AD39" i="16"/>
  <c r="AC40" i="16"/>
  <c r="AD40" i="16"/>
  <c r="AC42" i="16"/>
  <c r="AD42" i="16"/>
  <c r="AC44" i="16"/>
  <c r="AD44" i="16"/>
  <c r="AC45" i="16"/>
  <c r="AD45" i="16"/>
  <c r="AC61" i="16"/>
  <c r="AD61" i="16"/>
  <c r="AA63" i="16"/>
  <c r="AB63" i="16"/>
  <c r="AC63" i="16"/>
  <c r="AD63" i="16"/>
  <c r="AA64" i="16"/>
  <c r="AA65" i="16"/>
  <c r="AA66" i="16"/>
  <c r="AC66" i="16"/>
  <c r="AD66" i="16"/>
  <c r="AA67" i="16"/>
  <c r="AC72" i="16"/>
  <c r="AD72" i="16"/>
  <c r="AC75" i="16"/>
  <c r="AD75" i="16"/>
  <c r="AC76" i="16"/>
  <c r="AD76" i="16"/>
  <c r="AC77" i="16"/>
  <c r="AD77" i="16"/>
  <c r="AB79" i="16"/>
  <c r="AC79" i="16"/>
  <c r="AD79" i="16"/>
  <c r="AD80" i="16"/>
  <c r="AC81" i="16"/>
  <c r="AD81" i="16"/>
  <c r="AC82" i="16"/>
  <c r="AD82" i="16"/>
  <c r="AC86" i="16"/>
  <c r="AD86" i="16"/>
  <c r="AB89" i="16"/>
  <c r="AC89" i="16"/>
  <c r="AD89" i="16"/>
  <c r="AB90" i="16"/>
  <c r="AC90" i="16"/>
  <c r="AD90" i="16"/>
  <c r="AB91" i="16"/>
  <c r="AC91" i="16"/>
  <c r="AD91" i="16"/>
  <c r="AB93" i="16"/>
  <c r="AC93" i="16"/>
  <c r="AD93" i="16"/>
  <c r="AB94" i="16"/>
  <c r="AC94" i="16"/>
  <c r="AD94" i="16"/>
  <c r="AB96" i="16"/>
  <c r="AC96" i="16"/>
  <c r="AD96" i="16"/>
  <c r="Z109" i="16"/>
  <c r="AA109" i="16"/>
  <c r="AC109" i="16"/>
  <c r="AD109" i="16"/>
  <c r="AD111" i="16"/>
  <c r="Z114" i="16"/>
  <c r="AA114" i="16"/>
  <c r="AC118" i="16"/>
  <c r="AD118" i="16"/>
  <c r="AC119" i="16"/>
  <c r="AD119" i="16"/>
  <c r="R122" i="16"/>
  <c r="S122" i="16"/>
  <c r="T122" i="16"/>
  <c r="U122" i="16"/>
  <c r="V122" i="16"/>
  <c r="W122" i="16"/>
  <c r="X122" i="16"/>
  <c r="Y122" i="16"/>
  <c r="Z122" i="16"/>
  <c r="AA122" i="16"/>
  <c r="AB122" i="16"/>
  <c r="AC122" i="16"/>
  <c r="AD122" i="16"/>
  <c r="AA219" i="16"/>
  <c r="AA222" i="16"/>
  <c r="AA223" i="16"/>
  <c r="AC223" i="16"/>
  <c r="AD223" i="16"/>
  <c r="AA224" i="16"/>
  <c r="AB224" i="16"/>
  <c r="AC224" i="16"/>
  <c r="AD224" i="16"/>
  <c r="AC225" i="16"/>
  <c r="AD225" i="16"/>
  <c r="AC226" i="16"/>
  <c r="AD226" i="16"/>
  <c r="AB229" i="16"/>
  <c r="AC229" i="16"/>
  <c r="AD229" i="16"/>
  <c r="AB230" i="16"/>
  <c r="AC230" i="16"/>
  <c r="AD230" i="16"/>
  <c r="AC232" i="16"/>
  <c r="AD232" i="16"/>
  <c r="AC233" i="16"/>
  <c r="AD233" i="16"/>
  <c r="AB235" i="16"/>
  <c r="AC235" i="16"/>
  <c r="AD235" i="16"/>
  <c r="Z236" i="16"/>
  <c r="AA236" i="16"/>
  <c r="AB236" i="16"/>
  <c r="AC236" i="16"/>
  <c r="AD236" i="16"/>
  <c r="AC237" i="16"/>
  <c r="AD237" i="16"/>
  <c r="M20" i="31"/>
  <c r="N20" i="31"/>
  <c r="O20" i="31"/>
  <c r="P20" i="31"/>
  <c r="Q20" i="31"/>
  <c r="R20" i="31"/>
  <c r="S20" i="31"/>
  <c r="L21" i="31"/>
  <c r="M21" i="31"/>
  <c r="N21" i="31"/>
  <c r="O21" i="31"/>
  <c r="P21" i="31"/>
  <c r="Q21" i="31"/>
  <c r="R21" i="31"/>
  <c r="S21" i="31"/>
  <c r="N22" i="31"/>
  <c r="N23" i="31"/>
  <c r="M24" i="31"/>
  <c r="N24" i="31"/>
  <c r="O24" i="31"/>
  <c r="P24" i="31"/>
  <c r="Q24" i="31"/>
  <c r="R24" i="31"/>
  <c r="S24" i="31"/>
  <c r="L25" i="31"/>
  <c r="M25" i="31"/>
  <c r="N25" i="31"/>
  <c r="O25" i="31"/>
  <c r="P25" i="31"/>
  <c r="Q25" i="31"/>
  <c r="R25" i="31"/>
  <c r="S25" i="31"/>
  <c r="L26" i="31"/>
  <c r="M26" i="31"/>
  <c r="N26" i="31"/>
  <c r="O26" i="31"/>
  <c r="P26" i="31"/>
  <c r="Q26" i="31"/>
  <c r="R26" i="31"/>
  <c r="S26" i="31"/>
  <c r="J29" i="31"/>
  <c r="K29" i="31"/>
  <c r="L29" i="31"/>
  <c r="M29" i="31"/>
  <c r="N29" i="31"/>
  <c r="M30" i="31"/>
  <c r="N30" i="31"/>
  <c r="J31" i="31"/>
  <c r="K31" i="31"/>
  <c r="L31" i="31"/>
  <c r="M31" i="31"/>
  <c r="N31" i="31"/>
  <c r="O31" i="31"/>
  <c r="P31" i="31"/>
  <c r="Q31" i="31"/>
  <c r="R31" i="31"/>
  <c r="S31" i="31"/>
  <c r="J32" i="31"/>
  <c r="K32" i="31"/>
  <c r="L32" i="31"/>
  <c r="M32" i="31"/>
  <c r="N32" i="31"/>
  <c r="J33" i="31"/>
  <c r="K33" i="31"/>
  <c r="L33" i="31"/>
  <c r="M33" i="31"/>
  <c r="N33" i="31"/>
  <c r="M35" i="31"/>
  <c r="N35" i="31"/>
  <c r="M107" i="31"/>
  <c r="N107" i="31"/>
  <c r="O107" i="31"/>
  <c r="P107" i="31"/>
  <c r="Q107" i="31"/>
  <c r="R107" i="31"/>
  <c r="S107" i="31"/>
  <c r="J108" i="31"/>
  <c r="K108" i="31"/>
  <c r="M108" i="31"/>
  <c r="N108" i="31"/>
  <c r="O108" i="31"/>
  <c r="P108" i="31"/>
  <c r="Q108" i="31"/>
  <c r="R108" i="31"/>
  <c r="S108" i="31"/>
  <c r="M109" i="31"/>
  <c r="N109" i="31"/>
  <c r="O109" i="31"/>
  <c r="P109" i="31"/>
  <c r="Q109" i="31"/>
  <c r="R109" i="31"/>
  <c r="S109" i="31"/>
  <c r="AI19" i="17"/>
  <c r="AI20" i="17"/>
  <c r="AI21" i="17"/>
  <c r="AI39" i="17"/>
  <c r="AI40" i="17"/>
  <c r="AI41" i="17"/>
  <c r="AI59" i="17"/>
  <c r="AJ59" i="17"/>
  <c r="AI60" i="17"/>
  <c r="AJ60" i="17"/>
  <c r="AI61" i="17"/>
  <c r="AJ61" i="17"/>
  <c r="AD85" i="17"/>
  <c r="AE85" i="17"/>
  <c r="AF85" i="17"/>
  <c r="AG85" i="17"/>
  <c r="AH85" i="17"/>
  <c r="AI85" i="17"/>
  <c r="AJ85" i="17"/>
  <c r="AC86" i="17"/>
  <c r="AD86" i="17"/>
  <c r="AE86" i="17"/>
  <c r="AF86" i="17"/>
  <c r="AG86" i="17"/>
  <c r="AH86" i="17"/>
  <c r="AI86" i="17"/>
  <c r="AJ86" i="17"/>
  <c r="AD87" i="17"/>
  <c r="AE87" i="17"/>
  <c r="AF87" i="17"/>
  <c r="AG87" i="17"/>
  <c r="AH87" i="17"/>
  <c r="AI87" i="17"/>
  <c r="AJ87" i="17"/>
  <c r="AC88" i="17"/>
  <c r="AD88" i="17"/>
  <c r="AE88" i="17"/>
  <c r="AF88" i="17"/>
  <c r="AG88" i="17"/>
  <c r="AH88" i="17"/>
  <c r="AI88" i="17"/>
  <c r="AJ88" i="17"/>
  <c r="AG89" i="17"/>
  <c r="AH89" i="17"/>
  <c r="AI89" i="17"/>
  <c r="AJ89" i="17"/>
  <c r="AE90" i="17"/>
  <c r="AF90" i="17"/>
  <c r="AG90" i="17"/>
  <c r="AH90" i="17"/>
  <c r="AI90" i="17"/>
  <c r="AJ90" i="17"/>
  <c r="AC92" i="17"/>
  <c r="AD92" i="17"/>
  <c r="AE92" i="17"/>
  <c r="AF92" i="17"/>
  <c r="AG92" i="17"/>
  <c r="AH92" i="17"/>
  <c r="AI92" i="17"/>
  <c r="AJ92" i="17"/>
  <c r="AD93" i="17"/>
  <c r="AE93" i="17"/>
  <c r="AF93" i="17"/>
  <c r="AG93" i="17"/>
  <c r="AH93" i="17"/>
  <c r="AI93" i="17"/>
  <c r="AJ93" i="17"/>
  <c r="AB94" i="17"/>
  <c r="AD94" i="17"/>
  <c r="AE94" i="17"/>
  <c r="AF94" i="17"/>
  <c r="AG94" i="17"/>
  <c r="AH94" i="17"/>
  <c r="AI94" i="17"/>
  <c r="AJ94" i="17"/>
  <c r="AD95" i="17"/>
  <c r="AE95" i="17"/>
  <c r="AF95" i="17"/>
  <c r="AG95" i="17"/>
  <c r="AH95" i="17"/>
  <c r="AI95" i="17"/>
  <c r="AJ95" i="17"/>
  <c r="AD96" i="17"/>
  <c r="AE96" i="17"/>
  <c r="AF96" i="17"/>
  <c r="AG96" i="17"/>
  <c r="AH96" i="17"/>
  <c r="AI96" i="17"/>
  <c r="AJ96" i="17"/>
  <c r="AE97" i="17"/>
  <c r="AF97" i="17"/>
  <c r="AG97" i="17"/>
  <c r="AH97" i="17"/>
  <c r="AI97" i="17"/>
  <c r="N5" i="24"/>
  <c r="O5" i="24"/>
  <c r="P5" i="24"/>
  <c r="Q5" i="24"/>
  <c r="R5" i="24"/>
  <c r="S5" i="24"/>
  <c r="T5" i="24"/>
  <c r="U5" i="24"/>
  <c r="V5" i="24"/>
  <c r="W5" i="24"/>
  <c r="X5" i="24"/>
  <c r="Y5" i="24"/>
  <c r="Z5" i="24"/>
  <c r="N6" i="24"/>
  <c r="O6" i="24"/>
  <c r="P6" i="24"/>
  <c r="Q6" i="24"/>
  <c r="R6" i="24"/>
  <c r="S6" i="24"/>
  <c r="T6" i="24"/>
  <c r="U6" i="24"/>
  <c r="V6" i="24"/>
  <c r="W6" i="24"/>
  <c r="X6" i="24"/>
  <c r="Y6" i="24"/>
  <c r="Z6" i="24"/>
  <c r="M8" i="24"/>
  <c r="N8" i="24"/>
  <c r="O8" i="24"/>
  <c r="P8" i="24"/>
  <c r="Q8" i="24"/>
  <c r="R8" i="24"/>
  <c r="S8" i="24"/>
  <c r="T8" i="24"/>
  <c r="U8" i="24"/>
  <c r="V8" i="24"/>
  <c r="W8" i="24"/>
  <c r="X8" i="24"/>
  <c r="Y8" i="24"/>
  <c r="Z8" i="24"/>
  <c r="M9" i="24"/>
  <c r="N9" i="24"/>
  <c r="O9" i="24"/>
  <c r="P9" i="24"/>
  <c r="Q9" i="24"/>
  <c r="R9" i="24"/>
  <c r="S9" i="24"/>
  <c r="T9" i="24"/>
  <c r="U9" i="24"/>
  <c r="V9" i="24"/>
  <c r="W9" i="24"/>
  <c r="X9" i="24"/>
  <c r="Y9" i="24"/>
  <c r="Z9" i="24"/>
  <c r="M10" i="24"/>
  <c r="N10" i="24"/>
  <c r="O10" i="24"/>
  <c r="P10" i="24"/>
  <c r="Q10" i="24"/>
  <c r="R10" i="24"/>
  <c r="S10" i="24"/>
  <c r="T10" i="24"/>
  <c r="U10" i="24"/>
  <c r="V10" i="24"/>
  <c r="W10" i="24"/>
  <c r="X10" i="24"/>
  <c r="Y10" i="24"/>
  <c r="Z10" i="24"/>
  <c r="N12" i="24"/>
  <c r="O12" i="24"/>
  <c r="P12" i="24"/>
  <c r="Q12" i="24"/>
  <c r="R12" i="24"/>
  <c r="S12" i="24"/>
  <c r="T12" i="24"/>
  <c r="U12" i="24"/>
  <c r="V12" i="24"/>
  <c r="W12" i="24"/>
  <c r="X12" i="24"/>
  <c r="Y12" i="24"/>
  <c r="Z12" i="24"/>
  <c r="N13" i="24"/>
  <c r="O13" i="24"/>
  <c r="P13" i="24"/>
  <c r="Q13" i="24"/>
  <c r="R13" i="24"/>
  <c r="S13" i="24"/>
  <c r="T13" i="24"/>
  <c r="U13" i="24"/>
  <c r="V13" i="24"/>
  <c r="W13" i="24"/>
  <c r="X13" i="24"/>
  <c r="Y13" i="24"/>
  <c r="Z13" i="24"/>
  <c r="M15" i="24"/>
  <c r="N15" i="24"/>
  <c r="O15" i="24"/>
  <c r="P15" i="24"/>
  <c r="Q15" i="24"/>
  <c r="R15" i="24"/>
  <c r="S15" i="24"/>
  <c r="T15" i="24"/>
  <c r="U15" i="24"/>
  <c r="V15" i="24"/>
  <c r="W15" i="24"/>
  <c r="X15" i="24"/>
  <c r="Y15" i="24"/>
  <c r="Z15" i="24"/>
  <c r="M16" i="24"/>
  <c r="N16" i="24"/>
  <c r="O16" i="24"/>
  <c r="P16" i="24"/>
  <c r="Q16" i="24"/>
  <c r="R16" i="24"/>
  <c r="S16" i="24"/>
  <c r="T16" i="24"/>
  <c r="U16" i="24"/>
  <c r="V16" i="24"/>
  <c r="W16" i="24"/>
  <c r="X16" i="24"/>
  <c r="Y16" i="24"/>
  <c r="Z16" i="24"/>
  <c r="M17" i="24"/>
  <c r="N17" i="24"/>
  <c r="O17" i="24"/>
  <c r="P17" i="24"/>
  <c r="Q17" i="24"/>
  <c r="R17" i="24"/>
  <c r="S17" i="24"/>
  <c r="T17" i="24"/>
  <c r="U17" i="24"/>
  <c r="V17" i="24"/>
  <c r="W17" i="24"/>
  <c r="X17" i="24"/>
  <c r="Y17" i="24"/>
  <c r="Z17" i="24"/>
  <c r="L57" i="24"/>
  <c r="M57" i="24"/>
  <c r="L58" i="24"/>
  <c r="M58" i="24"/>
  <c r="M59" i="24"/>
  <c r="N59" i="24"/>
  <c r="O59" i="24"/>
  <c r="P59" i="24"/>
  <c r="Q59" i="24"/>
  <c r="R59" i="24"/>
  <c r="S59" i="24"/>
  <c r="T59" i="24"/>
  <c r="U59" i="24"/>
  <c r="V59" i="24"/>
  <c r="W59" i="24"/>
  <c r="X59" i="24"/>
  <c r="Y59" i="24"/>
  <c r="Z59" i="24"/>
  <c r="L61" i="24"/>
  <c r="L62" i="24"/>
  <c r="N62" i="24"/>
  <c r="O62" i="24"/>
  <c r="P62" i="24"/>
  <c r="Q62" i="24"/>
  <c r="R62" i="24"/>
  <c r="S62" i="24"/>
  <c r="T62" i="24"/>
  <c r="U62" i="24"/>
  <c r="V62" i="24"/>
  <c r="W62" i="24"/>
  <c r="X62" i="24"/>
  <c r="Y62" i="24"/>
  <c r="Z62" i="24"/>
  <c r="L63" i="24"/>
  <c r="N63" i="24"/>
  <c r="O63" i="24"/>
  <c r="P63" i="24"/>
  <c r="Q63" i="24"/>
  <c r="R63" i="24"/>
  <c r="S63" i="24"/>
  <c r="T63" i="24"/>
  <c r="U63" i="24"/>
  <c r="V63" i="24"/>
  <c r="W63" i="24"/>
  <c r="X63" i="24"/>
  <c r="Y63" i="24"/>
  <c r="Z63" i="24"/>
  <c r="L67" i="24"/>
  <c r="AJ67" i="24"/>
  <c r="L68" i="24"/>
  <c r="M70" i="24"/>
  <c r="N70" i="24"/>
  <c r="O70" i="24"/>
  <c r="P70" i="24"/>
  <c r="Q70" i="24"/>
  <c r="R70" i="24"/>
  <c r="S70" i="24"/>
  <c r="T70" i="24"/>
  <c r="U70" i="24"/>
  <c r="V70" i="24"/>
  <c r="W70" i="24"/>
  <c r="X70" i="24"/>
  <c r="Y70" i="24"/>
  <c r="Z70" i="24"/>
  <c r="M71" i="24"/>
  <c r="N71" i="24"/>
  <c r="O71" i="24"/>
  <c r="P71" i="24"/>
  <c r="Q71" i="24"/>
  <c r="R71" i="24"/>
  <c r="S71" i="24"/>
  <c r="T71" i="24"/>
  <c r="U71" i="24"/>
  <c r="V71" i="24"/>
  <c r="W71" i="24"/>
  <c r="X71" i="24"/>
  <c r="Y71" i="24"/>
  <c r="Z71" i="24"/>
  <c r="L72" i="24"/>
  <c r="N72" i="24"/>
  <c r="O72" i="24"/>
  <c r="P72" i="24"/>
  <c r="Q72" i="24"/>
  <c r="R72" i="24"/>
  <c r="S72" i="24"/>
  <c r="T72" i="24"/>
  <c r="U72" i="24"/>
  <c r="V72" i="24"/>
  <c r="W72" i="24"/>
  <c r="X72" i="24"/>
  <c r="Y72" i="24"/>
  <c r="Z72" i="24"/>
  <c r="L73" i="24"/>
  <c r="L74" i="24"/>
  <c r="M74" i="24"/>
  <c r="N74" i="24"/>
  <c r="O74" i="24"/>
  <c r="P74" i="24"/>
  <c r="Q74" i="24"/>
  <c r="R74" i="24"/>
  <c r="S74" i="24"/>
  <c r="T74" i="24"/>
  <c r="U74" i="24"/>
  <c r="V74" i="24"/>
  <c r="W74" i="24"/>
  <c r="X74" i="24"/>
  <c r="Y74" i="24"/>
  <c r="Z74" i="24"/>
  <c r="L76" i="24"/>
  <c r="M76" i="24"/>
  <c r="L77" i="24"/>
  <c r="M77" i="24"/>
  <c r="L78" i="24"/>
  <c r="M78" i="24"/>
  <c r="N78" i="24"/>
  <c r="O78" i="24"/>
  <c r="P78" i="24"/>
  <c r="Q78" i="24"/>
  <c r="R78" i="24"/>
  <c r="S78" i="24"/>
  <c r="T78" i="24"/>
  <c r="U78" i="24"/>
  <c r="V78" i="24"/>
  <c r="W78" i="24"/>
  <c r="X78" i="24"/>
  <c r="Y78" i="24"/>
  <c r="Z78" i="24"/>
  <c r="L79" i="24"/>
  <c r="M79" i="24"/>
  <c r="L80" i="24"/>
  <c r="M80" i="24"/>
  <c r="N80" i="24"/>
  <c r="O80" i="24"/>
  <c r="P80" i="24"/>
  <c r="Q80" i="24"/>
  <c r="R80" i="24"/>
  <c r="S80" i="24"/>
  <c r="T80" i="24"/>
  <c r="U80" i="24"/>
  <c r="V80" i="24"/>
  <c r="W80" i="24"/>
  <c r="X80" i="24"/>
  <c r="Y80" i="24"/>
  <c r="Z80" i="24"/>
  <c r="L82" i="24"/>
  <c r="M82" i="24"/>
  <c r="L83" i="24"/>
  <c r="M83" i="24"/>
  <c r="M85" i="24"/>
  <c r="N85" i="24"/>
  <c r="O85" i="24"/>
  <c r="P85" i="24"/>
  <c r="Q85" i="24"/>
  <c r="R85" i="24"/>
  <c r="S85" i="24"/>
  <c r="T85" i="24"/>
  <c r="U85" i="24"/>
  <c r="V85" i="24"/>
  <c r="W85" i="24"/>
  <c r="X85" i="24"/>
  <c r="Y85" i="24"/>
  <c r="Z85" i="24"/>
  <c r="M86" i="24"/>
  <c r="N86" i="24"/>
  <c r="O86" i="24"/>
  <c r="P86" i="24"/>
  <c r="Q86" i="24"/>
  <c r="R86" i="24"/>
  <c r="S86" i="24"/>
  <c r="T86" i="24"/>
  <c r="U86" i="24"/>
  <c r="V86" i="24"/>
  <c r="W86" i="24"/>
  <c r="X86" i="24"/>
  <c r="Y86" i="24"/>
  <c r="Z86" i="24"/>
  <c r="L87" i="24"/>
  <c r="M87" i="24"/>
  <c r="N87" i="24"/>
  <c r="O87" i="24"/>
  <c r="P87" i="24"/>
  <c r="Q87" i="24"/>
  <c r="R87" i="24"/>
  <c r="S87" i="24"/>
  <c r="T87" i="24"/>
  <c r="U87" i="24"/>
  <c r="V87" i="24"/>
  <c r="W87" i="24"/>
  <c r="X87" i="24"/>
  <c r="Y87" i="24"/>
  <c r="Z87" i="24"/>
  <c r="L88" i="24"/>
  <c r="M88" i="24"/>
  <c r="L89" i="24"/>
  <c r="M89" i="24"/>
  <c r="N89" i="24"/>
  <c r="O89" i="24"/>
  <c r="P89" i="24"/>
  <c r="Q89" i="24"/>
  <c r="R89" i="24"/>
  <c r="S89" i="24"/>
  <c r="T89" i="24"/>
  <c r="U89" i="24"/>
  <c r="V89" i="24"/>
  <c r="W89" i="24"/>
  <c r="X89" i="24"/>
  <c r="Y89" i="24"/>
  <c r="Z89" i="24"/>
  <c r="L91" i="24"/>
  <c r="M91" i="24"/>
  <c r="N91" i="24"/>
  <c r="O91" i="24"/>
  <c r="P91" i="24"/>
  <c r="Q91" i="24"/>
  <c r="R91" i="24"/>
  <c r="S91" i="24"/>
  <c r="T91" i="24"/>
  <c r="U91" i="24"/>
  <c r="V91" i="24"/>
  <c r="W91" i="24"/>
  <c r="X91" i="24"/>
  <c r="Y91" i="24"/>
  <c r="Z91" i="24"/>
  <c r="L92" i="24"/>
  <c r="M92" i="24"/>
  <c r="N92" i="24"/>
  <c r="O92" i="24"/>
  <c r="P92" i="24"/>
  <c r="Q92" i="24"/>
  <c r="R92" i="24"/>
  <c r="S92" i="24"/>
  <c r="T92" i="24"/>
  <c r="U92" i="24"/>
  <c r="V92" i="24"/>
  <c r="W92" i="24"/>
  <c r="X92" i="24"/>
  <c r="Y92" i="24"/>
  <c r="Z92" i="24"/>
  <c r="L95" i="24"/>
  <c r="L98" i="24"/>
  <c r="L100" i="24"/>
  <c r="L101" i="24"/>
  <c r="M101" i="24"/>
  <c r="L104" i="24"/>
  <c r="N104" i="24"/>
  <c r="O104" i="24"/>
  <c r="P104" i="24"/>
  <c r="Q104" i="24"/>
  <c r="R104" i="24"/>
  <c r="S104" i="24"/>
  <c r="T104" i="24"/>
  <c r="U104" i="24"/>
  <c r="V104" i="24"/>
  <c r="W104" i="24"/>
  <c r="X104" i="24"/>
  <c r="Y104" i="24"/>
  <c r="Z104" i="24"/>
  <c r="M105" i="24"/>
  <c r="N105" i="24"/>
  <c r="O105" i="24"/>
  <c r="P105" i="24"/>
  <c r="Q105" i="24"/>
  <c r="R105" i="24"/>
  <c r="S105" i="24"/>
  <c r="T105" i="24"/>
  <c r="U105" i="24"/>
  <c r="V105" i="24"/>
  <c r="W105" i="24"/>
  <c r="X105" i="24"/>
  <c r="Y105" i="24"/>
  <c r="Z105" i="24"/>
  <c r="M106" i="24"/>
  <c r="N106" i="24"/>
  <c r="O106" i="24"/>
  <c r="P106" i="24"/>
  <c r="Q106" i="24"/>
  <c r="R106" i="24"/>
  <c r="S106" i="24"/>
  <c r="T106" i="24"/>
  <c r="U106" i="24"/>
  <c r="V106" i="24"/>
  <c r="W106" i="24"/>
  <c r="X106" i="24"/>
  <c r="Y106" i="24"/>
  <c r="Z106" i="24"/>
  <c r="L107" i="24"/>
  <c r="L109" i="24"/>
  <c r="N109" i="24"/>
  <c r="O109" i="24"/>
  <c r="P109" i="24"/>
  <c r="Q109" i="24"/>
  <c r="R109" i="24"/>
  <c r="S109" i="24"/>
  <c r="T109" i="24"/>
  <c r="U109" i="24"/>
  <c r="V109" i="24"/>
  <c r="W109" i="24"/>
  <c r="X109" i="24"/>
  <c r="Y109" i="24"/>
  <c r="Z109" i="24"/>
  <c r="M110" i="24"/>
  <c r="N110" i="24"/>
  <c r="O110" i="24"/>
  <c r="P110" i="24"/>
  <c r="Q110" i="24"/>
  <c r="R110" i="24"/>
  <c r="S110" i="24"/>
  <c r="T110" i="24"/>
  <c r="U110" i="24"/>
  <c r="V110" i="24"/>
  <c r="W110" i="24"/>
  <c r="X110" i="24"/>
  <c r="Y110" i="24"/>
  <c r="Z110" i="24"/>
  <c r="M112" i="24"/>
  <c r="N112" i="24"/>
  <c r="O112" i="24"/>
  <c r="P112" i="24"/>
  <c r="Q112" i="24"/>
  <c r="R112" i="24"/>
  <c r="S112" i="24"/>
  <c r="T112" i="24"/>
  <c r="U112" i="24"/>
  <c r="V112" i="24"/>
  <c r="W112" i="24"/>
  <c r="X112" i="24"/>
  <c r="Y112" i="24"/>
  <c r="Z112" i="24"/>
  <c r="M113" i="24"/>
  <c r="N113" i="24"/>
  <c r="O113" i="24"/>
  <c r="P113" i="24"/>
  <c r="Q113" i="24"/>
  <c r="R113" i="24"/>
  <c r="S113" i="24"/>
  <c r="T113" i="24"/>
  <c r="U113" i="24"/>
  <c r="V113" i="24"/>
  <c r="W113" i="24"/>
  <c r="X113" i="24"/>
  <c r="Y113" i="24"/>
  <c r="Z113" i="24"/>
  <c r="M115" i="24"/>
  <c r="N115" i="24"/>
  <c r="O115" i="24"/>
  <c r="P115" i="24"/>
  <c r="Q115" i="24"/>
  <c r="R115" i="24"/>
  <c r="S115" i="24"/>
  <c r="T115" i="24"/>
  <c r="U115" i="24"/>
  <c r="V115" i="24"/>
  <c r="W115" i="24"/>
  <c r="X115" i="24"/>
  <c r="Y115" i="24"/>
  <c r="Z115" i="24"/>
  <c r="M116" i="24"/>
  <c r="N116" i="24"/>
  <c r="O116" i="24"/>
  <c r="P116" i="24"/>
  <c r="Q116" i="24"/>
  <c r="R116" i="24"/>
  <c r="S116" i="24"/>
  <c r="T116" i="24"/>
  <c r="U116" i="24"/>
  <c r="V116" i="24"/>
  <c r="W116" i="24"/>
  <c r="X116" i="24"/>
  <c r="Y116" i="24"/>
  <c r="M118" i="24"/>
  <c r="N118" i="24"/>
  <c r="O118" i="24"/>
  <c r="P118" i="24"/>
  <c r="Q118" i="24"/>
  <c r="R118" i="24"/>
  <c r="S118" i="24"/>
  <c r="T118" i="24"/>
  <c r="U118" i="24"/>
  <c r="V118" i="24"/>
  <c r="W118" i="24"/>
  <c r="X118" i="24"/>
  <c r="Y118" i="24"/>
  <c r="N119" i="24"/>
  <c r="O119" i="24"/>
  <c r="P119" i="24"/>
  <c r="Q119" i="24"/>
  <c r="R119" i="24"/>
  <c r="S119" i="24"/>
  <c r="T119" i="24"/>
  <c r="U119" i="24"/>
  <c r="V119" i="24"/>
  <c r="W119" i="24"/>
  <c r="X119" i="24"/>
  <c r="Y119" i="24"/>
  <c r="Z119" i="24"/>
  <c r="M121" i="24"/>
  <c r="M122" i="24"/>
  <c r="L125" i="24"/>
  <c r="L126" i="24"/>
  <c r="L127" i="24"/>
  <c r="N127" i="24"/>
  <c r="O127" i="24"/>
  <c r="P127" i="24"/>
  <c r="Q127" i="24"/>
  <c r="R127" i="24"/>
  <c r="S127" i="24"/>
  <c r="T127" i="24"/>
  <c r="U127" i="24"/>
  <c r="V127" i="24"/>
  <c r="W127" i="24"/>
  <c r="X127" i="24"/>
  <c r="Y127" i="24"/>
  <c r="Z127" i="24"/>
  <c r="L128" i="24"/>
  <c r="N130" i="24"/>
  <c r="O130" i="24"/>
  <c r="P130" i="24"/>
  <c r="Q130" i="24"/>
  <c r="R130" i="24"/>
  <c r="S130" i="24"/>
  <c r="T130" i="24"/>
  <c r="U130" i="24"/>
  <c r="V130" i="24"/>
  <c r="W130" i="24"/>
  <c r="X130" i="24"/>
  <c r="Y130" i="24"/>
  <c r="Z130" i="24"/>
  <c r="M131" i="24"/>
  <c r="N131" i="24"/>
  <c r="O131" i="24"/>
  <c r="P131" i="24"/>
  <c r="Q131" i="24"/>
  <c r="R131" i="24"/>
  <c r="S131" i="24"/>
  <c r="T131" i="24"/>
  <c r="U131" i="24"/>
  <c r="V131" i="24"/>
  <c r="W131" i="24"/>
  <c r="X131" i="24"/>
  <c r="Y131" i="24"/>
  <c r="M132" i="24"/>
  <c r="N132" i="24"/>
  <c r="O132" i="24"/>
  <c r="P132" i="24"/>
  <c r="Q132" i="24"/>
  <c r="R132" i="24"/>
  <c r="S132" i="24"/>
  <c r="T132" i="24"/>
  <c r="U132" i="24"/>
  <c r="V132" i="24"/>
  <c r="W132" i="24"/>
  <c r="X132" i="24"/>
  <c r="Y132" i="24"/>
  <c r="M140" i="24"/>
  <c r="N140" i="24"/>
  <c r="O140" i="24"/>
  <c r="P140" i="24"/>
  <c r="Q140" i="24"/>
  <c r="R140" i="24"/>
  <c r="S140" i="24"/>
  <c r="T140" i="24"/>
  <c r="U140" i="24"/>
  <c r="V140" i="24"/>
  <c r="W140" i="24"/>
  <c r="X140" i="24"/>
  <c r="Y140" i="24"/>
  <c r="Z140" i="24"/>
  <c r="M141" i="24"/>
  <c r="N141" i="24"/>
  <c r="O141" i="24"/>
  <c r="P141" i="24"/>
  <c r="Q141" i="24"/>
  <c r="R141" i="24"/>
  <c r="S141" i="24"/>
  <c r="T141" i="24"/>
  <c r="U141" i="24"/>
  <c r="V141" i="24"/>
  <c r="W141" i="24"/>
  <c r="X141" i="24"/>
  <c r="Y141" i="24"/>
  <c r="Z141" i="24"/>
  <c r="M142" i="24"/>
  <c r="N142" i="24"/>
  <c r="O142" i="24"/>
  <c r="P142" i="24"/>
  <c r="Q142" i="24"/>
  <c r="R142" i="24"/>
  <c r="S142" i="24"/>
  <c r="T142" i="24"/>
  <c r="U142" i="24"/>
  <c r="V142" i="24"/>
  <c r="W142" i="24"/>
  <c r="X142" i="24"/>
  <c r="Y142" i="24"/>
  <c r="Z142" i="24"/>
  <c r="N148" i="24"/>
  <c r="O148" i="24"/>
  <c r="P148" i="24"/>
  <c r="Q148" i="24"/>
  <c r="R148" i="24"/>
  <c r="S148" i="24"/>
  <c r="T148" i="24"/>
  <c r="U148" i="24"/>
  <c r="V148" i="24"/>
  <c r="W148" i="24"/>
  <c r="X148" i="24"/>
  <c r="Y148" i="24"/>
  <c r="Z148" i="24"/>
  <c r="N149" i="24"/>
  <c r="O149" i="24"/>
  <c r="P149" i="24"/>
  <c r="Q149" i="24"/>
  <c r="R149" i="24"/>
  <c r="S149" i="24"/>
  <c r="T149" i="24"/>
  <c r="U149" i="24"/>
  <c r="V149" i="24"/>
  <c r="W149" i="24"/>
  <c r="X149" i="24"/>
  <c r="Y149" i="24"/>
  <c r="Z149" i="24"/>
  <c r="N150" i="24"/>
  <c r="O150" i="24"/>
  <c r="P150" i="24"/>
  <c r="Q150" i="24"/>
  <c r="R150" i="24"/>
  <c r="S150" i="24"/>
  <c r="T150" i="24"/>
  <c r="U150" i="24"/>
  <c r="V150" i="24"/>
  <c r="W150" i="24"/>
  <c r="X150" i="24"/>
  <c r="Y150" i="24"/>
  <c r="Z150" i="24"/>
  <c r="L155" i="24"/>
  <c r="L156" i="24"/>
  <c r="M156" i="24"/>
  <c r="L157" i="24"/>
  <c r="M163" i="24"/>
  <c r="N163" i="24"/>
  <c r="O163" i="24"/>
  <c r="P163" i="24"/>
  <c r="Q163" i="24"/>
  <c r="R163" i="24"/>
  <c r="S163" i="24"/>
  <c r="T163" i="24"/>
  <c r="U163" i="24"/>
  <c r="V163" i="24"/>
  <c r="W163" i="24"/>
  <c r="X163" i="24"/>
  <c r="Y163" i="24"/>
  <c r="Z163" i="24"/>
  <c r="M164" i="24"/>
  <c r="N164" i="24"/>
  <c r="O164" i="24"/>
  <c r="P164" i="24"/>
  <c r="Q164" i="24"/>
  <c r="R164" i="24"/>
  <c r="S164" i="24"/>
  <c r="T164" i="24"/>
  <c r="U164" i="24"/>
  <c r="V164" i="24"/>
  <c r="W164" i="24"/>
  <c r="X164" i="24"/>
  <c r="Y164" i="24"/>
  <c r="Z164" i="24"/>
  <c r="N165" i="24" a="1"/>
  <c r="N165" i="24"/>
  <c r="O165" i="24" a="1"/>
  <c r="O165" i="24"/>
  <c r="P165" i="24" a="1"/>
  <c r="P165" i="24"/>
  <c r="Q165" i="24" a="1"/>
  <c r="Q165" i="24"/>
  <c r="R165" i="24" a="1"/>
  <c r="R165" i="24"/>
  <c r="S165" i="24" a="1"/>
  <c r="S165" i="24"/>
  <c r="T165" i="24" a="1"/>
  <c r="T165" i="24"/>
  <c r="U165" i="24" a="1"/>
  <c r="U165" i="24"/>
  <c r="V165" i="24" a="1"/>
  <c r="V165" i="24"/>
  <c r="W165" i="24" a="1"/>
  <c r="W165" i="24"/>
  <c r="X165" i="24" a="1"/>
  <c r="X165" i="24"/>
  <c r="Y165" i="24" a="1"/>
  <c r="Y165" i="24"/>
  <c r="Z165" i="24" a="1"/>
  <c r="Z165" i="24"/>
  <c r="N166" i="24"/>
  <c r="O166" i="24"/>
  <c r="P166" i="24"/>
  <c r="Q166" i="24"/>
  <c r="R166" i="24"/>
  <c r="S166" i="24"/>
  <c r="T166" i="24"/>
  <c r="U166" i="24"/>
  <c r="V166" i="24"/>
  <c r="W166" i="24"/>
  <c r="X166" i="24"/>
  <c r="Y166" i="24"/>
  <c r="Z166" i="24"/>
  <c r="M168" i="24"/>
  <c r="N168" i="24"/>
  <c r="O168" i="24"/>
  <c r="P168" i="24"/>
  <c r="Q168" i="24"/>
  <c r="R168" i="24"/>
  <c r="S168" i="24"/>
  <c r="T168" i="24"/>
  <c r="U168" i="24"/>
  <c r="V168" i="24"/>
  <c r="W168" i="24"/>
  <c r="X168" i="24"/>
  <c r="Y168" i="24"/>
  <c r="Z168" i="24"/>
  <c r="M169" i="24"/>
  <c r="N169" i="24"/>
  <c r="O169" i="24"/>
  <c r="P169" i="24"/>
  <c r="Q169" i="24"/>
  <c r="R169" i="24"/>
  <c r="S169" i="24"/>
  <c r="T169" i="24"/>
  <c r="U169" i="24"/>
  <c r="V169" i="24"/>
  <c r="W169" i="24"/>
  <c r="X169" i="24"/>
  <c r="Y169" i="24"/>
  <c r="Z169" i="24"/>
  <c r="M170" i="24"/>
  <c r="N170" i="24"/>
  <c r="O170" i="24"/>
  <c r="P170" i="24"/>
  <c r="Q170" i="24"/>
  <c r="R170" i="24"/>
  <c r="S170" i="24"/>
  <c r="T170" i="24"/>
  <c r="U170" i="24"/>
  <c r="V170" i="24"/>
  <c r="W170" i="24"/>
  <c r="X170" i="24"/>
  <c r="Y170" i="24"/>
  <c r="Z170" i="24"/>
  <c r="M171" i="24"/>
  <c r="N171" i="24"/>
  <c r="O171" i="24"/>
  <c r="P171" i="24"/>
  <c r="Q171" i="24"/>
  <c r="R171" i="24"/>
  <c r="S171" i="24"/>
  <c r="T171" i="24"/>
  <c r="U171" i="24"/>
  <c r="V171" i="24"/>
  <c r="W171" i="24"/>
  <c r="X171" i="24"/>
  <c r="Y171" i="24"/>
  <c r="Z171" i="24"/>
  <c r="N173" i="24"/>
  <c r="O173" i="24"/>
  <c r="P173" i="24"/>
  <c r="Q173" i="24"/>
  <c r="R173" i="24"/>
  <c r="S173" i="24"/>
  <c r="T173" i="24"/>
  <c r="U173" i="24"/>
  <c r="V173" i="24"/>
  <c r="W173" i="24"/>
  <c r="X173" i="24"/>
  <c r="Y173" i="24"/>
  <c r="Z173" i="24"/>
  <c r="N174" i="24"/>
  <c r="O174" i="24"/>
  <c r="P174" i="24"/>
  <c r="Q174" i="24"/>
  <c r="R174" i="24"/>
  <c r="S174" i="24"/>
  <c r="T174" i="24"/>
  <c r="U174" i="24"/>
  <c r="V174" i="24"/>
  <c r="W174" i="24"/>
  <c r="X174" i="24"/>
  <c r="Y174" i="24"/>
  <c r="Z174" i="24"/>
  <c r="O178" i="24"/>
  <c r="N179" i="24"/>
  <c r="O179" i="24"/>
  <c r="P179" i="24"/>
  <c r="Q179" i="24"/>
  <c r="R179" i="24"/>
  <c r="S179" i="24"/>
  <c r="T179" i="24"/>
  <c r="U179" i="24"/>
  <c r="V179" i="24"/>
  <c r="W179" i="24"/>
  <c r="X179" i="24"/>
  <c r="Y179" i="24"/>
  <c r="Z179" i="24"/>
  <c r="N180" i="24"/>
  <c r="O180" i="24"/>
  <c r="P180" i="24"/>
  <c r="Q180" i="24"/>
  <c r="R180" i="24"/>
  <c r="S180" i="24"/>
  <c r="T180" i="24"/>
  <c r="U180" i="24"/>
  <c r="V180" i="24"/>
  <c r="W180" i="24"/>
  <c r="X180" i="24"/>
  <c r="Y180" i="24"/>
  <c r="Z180" i="24"/>
  <c r="N181" i="24"/>
  <c r="O181" i="24"/>
  <c r="P181" i="24"/>
  <c r="Q181" i="24"/>
  <c r="R181" i="24"/>
  <c r="S181" i="24"/>
  <c r="T181" i="24"/>
  <c r="U181" i="24"/>
  <c r="V181" i="24"/>
  <c r="W181" i="24"/>
  <c r="X181" i="24"/>
  <c r="Y181" i="24"/>
  <c r="Z181" i="24"/>
  <c r="N182" i="24"/>
  <c r="O182" i="24"/>
  <c r="P182" i="24"/>
  <c r="Q182" i="24"/>
  <c r="R182" i="24"/>
  <c r="S182" i="24"/>
  <c r="T182" i="24"/>
  <c r="U182" i="24"/>
  <c r="V182" i="24"/>
  <c r="W182" i="24"/>
  <c r="X182" i="24"/>
  <c r="Y182" i="24"/>
  <c r="Z182" i="24"/>
  <c r="N185" i="24"/>
  <c r="O185" i="24"/>
  <c r="P185" i="24"/>
  <c r="Q185" i="24"/>
  <c r="R185" i="24"/>
  <c r="S185" i="24"/>
  <c r="T185" i="24"/>
  <c r="U185" i="24"/>
  <c r="V185" i="24"/>
  <c r="W185" i="24"/>
  <c r="X185" i="24"/>
  <c r="Y185" i="24"/>
  <c r="Z185" i="24"/>
  <c r="N186" i="24"/>
  <c r="O186" i="24"/>
  <c r="P186" i="24"/>
  <c r="Q186" i="24"/>
  <c r="R186" i="24"/>
  <c r="S186" i="24"/>
  <c r="T186" i="24"/>
  <c r="U186" i="24"/>
  <c r="V186" i="24"/>
  <c r="W186" i="24"/>
  <c r="X186" i="24"/>
  <c r="Y186" i="24"/>
  <c r="Z186" i="24"/>
  <c r="N187" i="24"/>
  <c r="O187" i="24"/>
  <c r="P187" i="24"/>
  <c r="Q187" i="24"/>
  <c r="R187" i="24"/>
  <c r="S187" i="24"/>
  <c r="T187" i="24"/>
  <c r="U187" i="24"/>
  <c r="V187" i="24"/>
  <c r="W187" i="24"/>
  <c r="X187" i="24"/>
  <c r="Y187" i="24"/>
  <c r="Z187" i="24"/>
  <c r="N188" i="24"/>
  <c r="O188" i="24"/>
  <c r="P188" i="24"/>
  <c r="Q188" i="24"/>
  <c r="R188" i="24"/>
  <c r="S188" i="24"/>
  <c r="T188" i="24"/>
  <c r="U188" i="24"/>
  <c r="V188" i="24"/>
  <c r="W188" i="24"/>
  <c r="X188" i="24"/>
  <c r="Y188" i="24"/>
  <c r="Z188" i="24"/>
  <c r="L191" i="24"/>
  <c r="M191" i="24"/>
  <c r="L192" i="24"/>
  <c r="M192" i="24"/>
  <c r="N192" i="24"/>
  <c r="L193" i="24"/>
  <c r="M193" i="24"/>
  <c r="N193" i="24"/>
  <c r="O193" i="24"/>
  <c r="P193" i="24"/>
  <c r="Q193" i="24"/>
  <c r="R193" i="24"/>
  <c r="S193" i="24"/>
  <c r="T193" i="24"/>
  <c r="U193" i="24"/>
  <c r="V193" i="24"/>
  <c r="W193" i="24"/>
  <c r="X193" i="24"/>
  <c r="Y193" i="24"/>
  <c r="Z193" i="24"/>
  <c r="L194" i="24"/>
  <c r="M194" i="24"/>
  <c r="L195" i="24"/>
  <c r="M195" i="24"/>
  <c r="N195" i="24"/>
  <c r="O195" i="24"/>
  <c r="P195" i="24"/>
  <c r="Q195" i="24"/>
  <c r="R195" i="24"/>
  <c r="S195" i="24"/>
  <c r="T195" i="24"/>
  <c r="U195" i="24"/>
  <c r="V195" i="24"/>
  <c r="W195" i="24"/>
  <c r="X195" i="24"/>
  <c r="Y195" i="24"/>
  <c r="Z195" i="24"/>
  <c r="L196" i="24"/>
  <c r="M196" i="24"/>
  <c r="N196" i="24"/>
  <c r="O196" i="24"/>
  <c r="P196" i="24"/>
  <c r="Q196" i="24"/>
  <c r="R196" i="24"/>
  <c r="S196" i="24"/>
  <c r="T196" i="24"/>
  <c r="U196" i="24"/>
  <c r="V196" i="24"/>
  <c r="W196" i="24"/>
  <c r="X196" i="24"/>
  <c r="Y196" i="24"/>
  <c r="Z196" i="24"/>
  <c r="M198" i="24"/>
  <c r="N198" i="24"/>
  <c r="O198" i="24"/>
  <c r="P198" i="24"/>
  <c r="Q198" i="24"/>
  <c r="R198" i="24"/>
  <c r="S198" i="24"/>
  <c r="T198" i="24"/>
  <c r="U198" i="24"/>
  <c r="V198" i="24"/>
  <c r="W198" i="24"/>
  <c r="X198" i="24"/>
  <c r="Y198" i="24"/>
  <c r="Z198" i="24"/>
  <c r="M199" i="24"/>
  <c r="N199" i="24"/>
  <c r="O199" i="24"/>
  <c r="P199" i="24"/>
  <c r="Q199" i="24"/>
  <c r="R199" i="24"/>
  <c r="S199" i="24"/>
  <c r="T199" i="24"/>
  <c r="U199" i="24"/>
  <c r="V199" i="24"/>
  <c r="W199" i="24"/>
  <c r="X199" i="24"/>
  <c r="Y199" i="24"/>
  <c r="Z199" i="24"/>
  <c r="M200" i="24"/>
  <c r="N200" i="24"/>
  <c r="O200" i="24"/>
  <c r="P200" i="24"/>
  <c r="Q200" i="24"/>
  <c r="R200" i="24"/>
  <c r="S200" i="24"/>
  <c r="T200" i="24"/>
  <c r="U200" i="24"/>
  <c r="V200" i="24"/>
  <c r="W200" i="24"/>
  <c r="X200" i="24"/>
  <c r="Y200" i="24"/>
  <c r="Z200" i="24"/>
  <c r="M201" i="24"/>
  <c r="N201" i="24"/>
  <c r="O201" i="24"/>
  <c r="P201" i="24"/>
  <c r="Q201" i="24"/>
  <c r="R201" i="24"/>
  <c r="S201" i="24"/>
  <c r="T201" i="24"/>
  <c r="U201" i="24"/>
  <c r="V201" i="24"/>
  <c r="W201" i="24"/>
  <c r="X201" i="24"/>
  <c r="Y201" i="24"/>
  <c r="Z201" i="24"/>
  <c r="M202" i="24"/>
  <c r="O202" i="24"/>
  <c r="P202" i="24"/>
  <c r="Q202" i="24"/>
  <c r="R202" i="24"/>
  <c r="S202" i="24"/>
  <c r="T202" i="24"/>
  <c r="U202" i="24"/>
  <c r="V202" i="24"/>
  <c r="W202" i="24"/>
  <c r="X202" i="24"/>
  <c r="Y202" i="24"/>
  <c r="Z202" i="24"/>
  <c r="M203" i="24"/>
  <c r="N203" i="24"/>
  <c r="O203" i="24"/>
  <c r="P203" i="24"/>
  <c r="Q203" i="24"/>
  <c r="R203" i="24"/>
  <c r="S203" i="24"/>
  <c r="T203" i="24"/>
  <c r="U203" i="24"/>
  <c r="V203" i="24"/>
  <c r="W203" i="24"/>
  <c r="X203" i="24"/>
  <c r="Y203" i="24"/>
  <c r="Z203" i="24"/>
  <c r="M204" i="24"/>
  <c r="N204" i="24"/>
  <c r="O204" i="24"/>
  <c r="P204" i="24"/>
  <c r="Q204" i="24"/>
  <c r="R204" i="24"/>
  <c r="S204" i="24"/>
  <c r="T204" i="24"/>
  <c r="U204" i="24"/>
  <c r="V204" i="24"/>
  <c r="W204" i="24"/>
  <c r="X204" i="24"/>
  <c r="Y204" i="24"/>
  <c r="Z204" i="24"/>
  <c r="M205" i="24"/>
  <c r="N205" i="24"/>
  <c r="O205" i="24"/>
  <c r="P205" i="24"/>
  <c r="Q205" i="24"/>
  <c r="R205" i="24"/>
  <c r="S205" i="24"/>
  <c r="T205" i="24"/>
  <c r="U205" i="24"/>
  <c r="V205" i="24"/>
  <c r="W205" i="24"/>
  <c r="X205" i="24"/>
  <c r="Y205" i="24"/>
  <c r="Z205" i="24"/>
  <c r="N216" i="24"/>
  <c r="O216" i="24"/>
  <c r="P216" i="24"/>
  <c r="Q216" i="24"/>
  <c r="R216" i="24"/>
  <c r="S216" i="24"/>
  <c r="T216" i="24"/>
  <c r="U216" i="24"/>
  <c r="V216" i="24"/>
  <c r="W216" i="24"/>
  <c r="X216" i="24"/>
  <c r="Y216" i="24"/>
  <c r="Z216" i="24"/>
  <c r="N217" i="24"/>
  <c r="O217" i="24"/>
  <c r="P217" i="24"/>
  <c r="Q217" i="24"/>
  <c r="R217" i="24"/>
  <c r="S217" i="24"/>
  <c r="T217" i="24"/>
  <c r="U217" i="24"/>
  <c r="V217" i="24"/>
  <c r="W217" i="24"/>
  <c r="X217" i="24"/>
  <c r="Y217" i="24"/>
  <c r="Z217" i="24"/>
  <c r="N219" i="24"/>
  <c r="O219" i="24"/>
  <c r="P219" i="24"/>
  <c r="Q219" i="24"/>
  <c r="R219" i="24"/>
  <c r="S219" i="24"/>
  <c r="T219" i="24"/>
  <c r="U219" i="24"/>
  <c r="V219" i="24"/>
  <c r="W219" i="24"/>
  <c r="X219" i="24"/>
  <c r="Y219" i="24"/>
  <c r="Z219" i="24"/>
  <c r="N221" i="24"/>
  <c r="O221" i="24"/>
  <c r="P221" i="24"/>
  <c r="Q221" i="24"/>
  <c r="R221" i="24"/>
  <c r="S221" i="24"/>
  <c r="T221" i="24"/>
  <c r="U221" i="24"/>
  <c r="V221" i="24"/>
  <c r="W221" i="24"/>
  <c r="X221" i="24"/>
  <c r="Y221" i="24"/>
  <c r="Z221" i="24"/>
  <c r="N223" i="24"/>
  <c r="O223" i="24"/>
  <c r="P223" i="24"/>
  <c r="Q223" i="24"/>
  <c r="R223" i="24"/>
  <c r="S223" i="24"/>
  <c r="T223" i="24"/>
  <c r="U223" i="24"/>
  <c r="V223" i="24"/>
  <c r="W223" i="24"/>
  <c r="X223" i="24"/>
  <c r="Y223" i="24"/>
  <c r="Z223" i="24"/>
  <c r="N225" i="24"/>
  <c r="O225" i="24"/>
  <c r="P225" i="24"/>
  <c r="Q225" i="24"/>
  <c r="R225" i="24"/>
  <c r="S225" i="24"/>
  <c r="T225" i="24"/>
  <c r="U225" i="24"/>
  <c r="V225" i="24"/>
  <c r="W225" i="24"/>
  <c r="X225" i="24"/>
  <c r="Y225" i="24"/>
  <c r="Z225" i="24"/>
  <c r="N227" i="24"/>
  <c r="O227" i="24"/>
  <c r="P227" i="24"/>
  <c r="Q227" i="24"/>
  <c r="R227" i="24"/>
  <c r="S227" i="24"/>
  <c r="T227" i="24"/>
  <c r="U227" i="24"/>
  <c r="V227" i="24"/>
  <c r="W227" i="24"/>
  <c r="X227" i="24"/>
  <c r="Y227" i="24"/>
  <c r="Z227" i="24"/>
  <c r="N229" i="24"/>
  <c r="O229" i="24"/>
  <c r="P229" i="24"/>
  <c r="Q229" i="24"/>
  <c r="R229" i="24"/>
  <c r="S229" i="24"/>
  <c r="T229" i="24"/>
  <c r="U229" i="24"/>
  <c r="V229" i="24"/>
  <c r="W229" i="24"/>
  <c r="X229" i="24"/>
  <c r="Y229" i="24"/>
  <c r="Z229" i="24"/>
  <c r="N230" i="24"/>
  <c r="O230" i="24"/>
  <c r="P230" i="24"/>
  <c r="Q230" i="24"/>
  <c r="R230" i="24"/>
  <c r="S230" i="24"/>
  <c r="T230" i="24"/>
  <c r="U230" i="24"/>
  <c r="V230" i="24"/>
  <c r="W230" i="24"/>
  <c r="X230" i="24"/>
  <c r="Y230" i="24"/>
  <c r="Z230" i="24"/>
  <c r="N232" i="24"/>
  <c r="O232" i="24"/>
  <c r="P232" i="24"/>
  <c r="Q232" i="24"/>
  <c r="R232" i="24"/>
  <c r="S232" i="24"/>
  <c r="T232" i="24"/>
  <c r="U232" i="24"/>
  <c r="V232" i="24"/>
  <c r="W232" i="24"/>
  <c r="X232" i="24"/>
  <c r="Y232" i="24"/>
  <c r="Z232" i="24"/>
  <c r="N234" i="24"/>
  <c r="O234" i="24"/>
  <c r="P234" i="24"/>
  <c r="Q234" i="24"/>
  <c r="R234" i="24"/>
  <c r="S234" i="24"/>
  <c r="T234" i="24"/>
  <c r="U234" i="24"/>
  <c r="V234" i="24"/>
  <c r="W234" i="24"/>
  <c r="X234" i="24"/>
  <c r="Y234" i="24"/>
  <c r="Z234" i="24"/>
  <c r="M236" i="24"/>
  <c r="N236" i="24"/>
  <c r="O236" i="24"/>
  <c r="P236" i="24"/>
  <c r="Q236" i="24"/>
  <c r="R236" i="24"/>
  <c r="S236" i="24"/>
  <c r="T236" i="24"/>
  <c r="U236" i="24"/>
  <c r="V236" i="24"/>
  <c r="W236" i="24"/>
  <c r="X236" i="24"/>
  <c r="Y236" i="24"/>
  <c r="Z236" i="24"/>
  <c r="M237" i="24"/>
  <c r="N237" i="24"/>
  <c r="O237" i="24"/>
  <c r="P237" i="24"/>
  <c r="Q237" i="24"/>
  <c r="R237" i="24"/>
  <c r="S237" i="24"/>
  <c r="T237" i="24"/>
  <c r="U237" i="24"/>
  <c r="V237" i="24"/>
  <c r="W237" i="24"/>
  <c r="X237" i="24"/>
  <c r="Y237" i="24"/>
  <c r="Z237" i="24"/>
  <c r="N240" i="24"/>
  <c r="O240" i="24"/>
  <c r="P240" i="24"/>
  <c r="Q240" i="24"/>
  <c r="R240" i="24"/>
  <c r="S240" i="24"/>
  <c r="T240" i="24"/>
  <c r="U240" i="24"/>
  <c r="V240" i="24"/>
  <c r="W240" i="24"/>
  <c r="X240" i="24"/>
  <c r="Y240" i="24"/>
  <c r="Z240" i="24"/>
  <c r="N241" i="24"/>
  <c r="O241" i="24"/>
  <c r="P241" i="24"/>
  <c r="Q241" i="24"/>
  <c r="R241" i="24"/>
  <c r="S241" i="24"/>
  <c r="T241" i="24"/>
  <c r="U241" i="24"/>
  <c r="V241" i="24"/>
  <c r="W241" i="24"/>
  <c r="X241" i="24"/>
  <c r="Y241" i="24"/>
  <c r="Z241" i="24"/>
  <c r="N242" i="24"/>
  <c r="O242" i="24"/>
  <c r="P242" i="24"/>
  <c r="Q242" i="24"/>
  <c r="R242" i="24"/>
  <c r="S242" i="24"/>
  <c r="T242" i="24"/>
  <c r="U242" i="24"/>
  <c r="V242" i="24"/>
  <c r="W242" i="24"/>
  <c r="X242" i="24"/>
  <c r="Y242" i="24"/>
  <c r="Z242" i="24"/>
  <c r="N243" i="24"/>
  <c r="O243" i="24"/>
  <c r="P243" i="24"/>
  <c r="Q243" i="24"/>
  <c r="R243" i="24"/>
  <c r="S243" i="24"/>
  <c r="T243" i="24"/>
  <c r="U243" i="24"/>
  <c r="V243" i="24"/>
  <c r="W243" i="24"/>
  <c r="X243" i="24"/>
  <c r="Y243" i="24"/>
  <c r="Z243" i="24"/>
  <c r="M246" i="24"/>
  <c r="N246" i="24"/>
  <c r="O246" i="24"/>
  <c r="P246" i="24"/>
  <c r="Q246" i="24"/>
  <c r="R246" i="24"/>
  <c r="S246" i="24"/>
  <c r="T246" i="24"/>
  <c r="U246" i="24"/>
  <c r="V246" i="24"/>
  <c r="W246" i="24"/>
  <c r="X246" i="24"/>
  <c r="Y246" i="24"/>
  <c r="Z246" i="24"/>
  <c r="M247" i="24"/>
  <c r="N247" i="24"/>
  <c r="O247" i="24"/>
  <c r="P247" i="24"/>
  <c r="Q247" i="24"/>
  <c r="R247" i="24"/>
  <c r="S247" i="24"/>
  <c r="T247" i="24"/>
  <c r="U247" i="24"/>
  <c r="V247" i="24"/>
  <c r="W247" i="24"/>
  <c r="X247" i="24"/>
  <c r="Y247" i="24"/>
  <c r="Z247" i="24"/>
  <c r="M248" i="24"/>
  <c r="N248" i="24"/>
  <c r="O248" i="24"/>
  <c r="P248" i="24"/>
  <c r="Q248" i="24"/>
  <c r="R248" i="24"/>
  <c r="S248" i="24"/>
  <c r="T248" i="24"/>
  <c r="U248" i="24"/>
  <c r="V248" i="24"/>
  <c r="W248" i="24"/>
  <c r="X248" i="24"/>
  <c r="Y248" i="24"/>
  <c r="Z248" i="24"/>
  <c r="N251" i="24"/>
  <c r="O251" i="24"/>
  <c r="P251" i="24"/>
  <c r="Q251" i="24"/>
  <c r="R251" i="24"/>
  <c r="S251" i="24"/>
  <c r="T251" i="24"/>
  <c r="U251" i="24"/>
  <c r="V251" i="24"/>
  <c r="W251" i="24"/>
  <c r="X251" i="24"/>
  <c r="Y251" i="24"/>
  <c r="Z251" i="24"/>
  <c r="N253" i="24"/>
  <c r="O253" i="24"/>
  <c r="P253" i="24"/>
  <c r="Q253" i="24"/>
  <c r="R253" i="24"/>
  <c r="S253" i="24"/>
  <c r="T253" i="24"/>
  <c r="U253" i="24"/>
  <c r="V253" i="24"/>
  <c r="W253" i="24"/>
  <c r="X253" i="24"/>
  <c r="Y253" i="24"/>
  <c r="Z253" i="24"/>
  <c r="O254" i="24"/>
  <c r="P254" i="24"/>
  <c r="Q254" i="24"/>
  <c r="R254" i="24"/>
  <c r="S254" i="24"/>
  <c r="T254" i="24"/>
  <c r="U254" i="24"/>
  <c r="V254" i="24"/>
  <c r="W254" i="24"/>
  <c r="X254" i="24"/>
  <c r="Y254" i="24"/>
  <c r="Z254" i="24"/>
  <c r="N256" i="24"/>
  <c r="O256" i="24"/>
  <c r="P256" i="24"/>
  <c r="Q256" i="24"/>
  <c r="R256" i="24"/>
  <c r="S256" i="24"/>
  <c r="T256" i="24"/>
  <c r="U256" i="24"/>
  <c r="V256" i="24"/>
  <c r="W256" i="24"/>
  <c r="X256" i="24"/>
  <c r="Y256" i="24"/>
  <c r="Z256" i="24"/>
  <c r="N257" i="24"/>
  <c r="O257" i="24"/>
  <c r="P257" i="24"/>
  <c r="Q257" i="24"/>
  <c r="R257" i="24"/>
  <c r="S257" i="24"/>
  <c r="T257" i="24"/>
  <c r="U257" i="24"/>
  <c r="V257" i="24"/>
  <c r="W257" i="24"/>
  <c r="X257" i="24"/>
  <c r="Y257" i="24"/>
  <c r="Z257" i="24"/>
  <c r="M258" i="24"/>
  <c r="N258" i="24"/>
  <c r="O258" i="24"/>
  <c r="P258" i="24"/>
  <c r="Q258" i="24"/>
  <c r="R258" i="24"/>
  <c r="S258" i="24"/>
  <c r="T258" i="24"/>
  <c r="U258" i="24"/>
  <c r="V258" i="24"/>
  <c r="W258" i="24"/>
  <c r="X258" i="24"/>
  <c r="Y258" i="24"/>
  <c r="Z258" i="24"/>
  <c r="M259" i="24"/>
  <c r="N259" i="24"/>
  <c r="O259" i="24"/>
  <c r="P259" i="24"/>
  <c r="Q259" i="24"/>
  <c r="R259" i="24"/>
  <c r="S259" i="24"/>
  <c r="T259" i="24"/>
  <c r="U259" i="24"/>
  <c r="V259" i="24"/>
  <c r="W259" i="24"/>
  <c r="X259" i="24"/>
  <c r="Y259" i="24"/>
  <c r="Z259" i="24"/>
  <c r="M260" i="24"/>
  <c r="N260" i="24"/>
  <c r="O260" i="24"/>
  <c r="P260" i="24"/>
  <c r="Q260" i="24"/>
  <c r="R260" i="24"/>
  <c r="S260" i="24"/>
  <c r="T260" i="24"/>
  <c r="U260" i="24"/>
  <c r="V260" i="24"/>
  <c r="W260" i="24"/>
  <c r="X260" i="24"/>
  <c r="Y260" i="24"/>
  <c r="Z260" i="24"/>
  <c r="M261" i="24"/>
  <c r="N261" i="24"/>
  <c r="O261" i="24"/>
  <c r="P261" i="24"/>
  <c r="Q261" i="24"/>
  <c r="R261" i="24"/>
  <c r="S261" i="24"/>
  <c r="T261" i="24"/>
  <c r="U261" i="24"/>
  <c r="V261" i="24"/>
  <c r="W261" i="24"/>
  <c r="X261" i="24"/>
  <c r="Y261" i="24"/>
  <c r="Z261" i="24"/>
  <c r="M262" i="24"/>
  <c r="N262" i="24"/>
  <c r="O262" i="24"/>
  <c r="P262" i="24"/>
  <c r="Q262" i="24"/>
  <c r="R262" i="24"/>
  <c r="S262" i="24"/>
  <c r="T262" i="24"/>
  <c r="U262" i="24"/>
  <c r="V262" i="24"/>
  <c r="W262" i="24"/>
  <c r="X262" i="24"/>
  <c r="Y262" i="24"/>
  <c r="Z262" i="24"/>
  <c r="M263" i="24"/>
  <c r="N263" i="24"/>
  <c r="O263" i="24"/>
  <c r="P263" i="24"/>
  <c r="Q263" i="24"/>
  <c r="R263" i="24"/>
  <c r="S263" i="24"/>
  <c r="T263" i="24"/>
  <c r="U263" i="24"/>
  <c r="V263" i="24"/>
  <c r="W263" i="24"/>
  <c r="X263" i="24"/>
  <c r="Y263" i="24"/>
  <c r="Z263" i="24"/>
  <c r="M264" i="24"/>
  <c r="N264" i="24"/>
  <c r="O264" i="24"/>
  <c r="P264" i="24"/>
  <c r="Q264" i="24"/>
  <c r="R264" i="24"/>
  <c r="S264" i="24"/>
  <c r="T264" i="24"/>
  <c r="U264" i="24"/>
  <c r="V264" i="24"/>
  <c r="W264" i="24"/>
  <c r="X264" i="24"/>
  <c r="Y264" i="24"/>
  <c r="Z264" i="24"/>
  <c r="M268" i="24"/>
  <c r="N273" i="24"/>
  <c r="O273" i="24"/>
  <c r="P273" i="24"/>
  <c r="Q273" i="24"/>
  <c r="R273" i="24"/>
  <c r="S273" i="24"/>
  <c r="T273" i="24"/>
  <c r="U273" i="24"/>
  <c r="V273" i="24"/>
  <c r="W273" i="24"/>
  <c r="X273" i="24"/>
  <c r="Y273" i="24"/>
  <c r="Z273" i="24"/>
  <c r="N274" i="24"/>
  <c r="O274" i="24"/>
  <c r="P274" i="24"/>
  <c r="Q274" i="24"/>
  <c r="R274" i="24"/>
  <c r="S274" i="24"/>
  <c r="T274" i="24"/>
  <c r="U274" i="24"/>
  <c r="V274" i="24"/>
  <c r="W274" i="24"/>
  <c r="X274" i="24"/>
  <c r="Y274" i="24"/>
  <c r="Z274" i="24"/>
  <c r="AD274" i="24"/>
  <c r="AE274" i="24"/>
  <c r="AF274" i="24"/>
  <c r="AG274" i="24"/>
  <c r="AH274" i="24"/>
  <c r="N277" i="24"/>
  <c r="O277" i="24"/>
  <c r="P277" i="24"/>
  <c r="Q277" i="24"/>
  <c r="R277" i="24"/>
  <c r="S277" i="24"/>
  <c r="T277" i="24"/>
  <c r="U277" i="24"/>
  <c r="V277" i="24"/>
  <c r="W277" i="24"/>
  <c r="X277" i="24"/>
  <c r="Y277" i="24"/>
  <c r="Z277" i="24"/>
  <c r="AF278" i="24"/>
  <c r="AG278" i="24"/>
  <c r="AF281" i="24"/>
  <c r="AF283" i="24"/>
  <c r="M290" i="24"/>
  <c r="N290" i="24"/>
  <c r="O290" i="24"/>
  <c r="P290" i="24"/>
  <c r="Q290" i="24"/>
  <c r="R290" i="24"/>
  <c r="S290" i="24"/>
  <c r="T290" i="24"/>
  <c r="U290" i="24"/>
  <c r="V290" i="24"/>
  <c r="W290" i="24"/>
  <c r="X290" i="24"/>
  <c r="Y290" i="24"/>
  <c r="Z290" i="24"/>
  <c r="M292" i="24"/>
  <c r="N292" i="24"/>
  <c r="O292" i="24"/>
  <c r="P292" i="24"/>
  <c r="Q292" i="24"/>
  <c r="R292" i="24"/>
  <c r="S292" i="24"/>
  <c r="T292" i="24"/>
  <c r="U292" i="24"/>
  <c r="V292" i="24"/>
  <c r="W292" i="24"/>
  <c r="X292" i="24"/>
  <c r="Y292" i="24"/>
  <c r="Z292" i="24"/>
  <c r="M294" i="24"/>
  <c r="N294" i="24"/>
  <c r="O294" i="24"/>
  <c r="P294" i="24"/>
  <c r="Q294" i="24"/>
  <c r="R294" i="24"/>
  <c r="S294" i="24"/>
  <c r="T294" i="24"/>
  <c r="U294" i="24"/>
  <c r="V294" i="24"/>
  <c r="W294" i="24"/>
  <c r="X294" i="24"/>
  <c r="Y294" i="24"/>
  <c r="Z294" i="24"/>
  <c r="M295" i="24"/>
  <c r="N295" i="24"/>
  <c r="O295" i="24"/>
  <c r="P295" i="24"/>
  <c r="Q295" i="24"/>
  <c r="R295" i="24"/>
  <c r="S295" i="24"/>
  <c r="T295" i="24"/>
  <c r="U295" i="24"/>
  <c r="V295" i="24"/>
  <c r="W295" i="24"/>
  <c r="X295" i="24"/>
  <c r="Y295" i="24"/>
  <c r="Z295" i="24"/>
  <c r="N296" i="24"/>
  <c r="O296" i="24"/>
  <c r="P296" i="24"/>
  <c r="Q296" i="24"/>
  <c r="R296" i="24"/>
  <c r="S296" i="24"/>
  <c r="T296" i="24"/>
  <c r="U296" i="24"/>
  <c r="V296" i="24"/>
  <c r="W296" i="24"/>
  <c r="X296" i="24"/>
  <c r="Y296" i="24"/>
  <c r="Z296" i="24"/>
  <c r="N298" i="24"/>
  <c r="O298" i="24"/>
  <c r="P298" i="24"/>
  <c r="Q298" i="24"/>
  <c r="R298" i="24"/>
  <c r="S298" i="24"/>
  <c r="T298" i="24"/>
  <c r="U298" i="24"/>
  <c r="V298" i="24"/>
  <c r="W298" i="24"/>
  <c r="X298" i="24"/>
  <c r="Y298" i="24"/>
  <c r="Z298" i="24"/>
  <c r="M314" i="24"/>
  <c r="N314" i="24"/>
  <c r="O314" i="24"/>
  <c r="P314" i="24"/>
  <c r="Q314" i="24"/>
  <c r="R314" i="24"/>
  <c r="S314" i="24"/>
  <c r="T314" i="24"/>
  <c r="U314" i="24"/>
  <c r="V314" i="24"/>
  <c r="W314" i="24"/>
  <c r="X314" i="24"/>
  <c r="Y314" i="24"/>
  <c r="Z314" i="24"/>
  <c r="M315" i="24"/>
  <c r="N315" i="24"/>
  <c r="O315" i="24"/>
  <c r="P315" i="24"/>
  <c r="Q315" i="24"/>
  <c r="R315" i="24"/>
  <c r="S315" i="24"/>
  <c r="T315" i="24"/>
  <c r="U315" i="24"/>
  <c r="V315" i="24"/>
  <c r="W315" i="24"/>
  <c r="X315" i="24"/>
  <c r="Y315" i="24"/>
  <c r="Z315" i="24"/>
  <c r="N316" i="24"/>
  <c r="O316" i="24"/>
  <c r="P316" i="24"/>
  <c r="Q316" i="24"/>
  <c r="R316" i="24"/>
  <c r="S316" i="24"/>
  <c r="T316" i="24"/>
  <c r="U316" i="24"/>
  <c r="V316" i="24"/>
  <c r="W316" i="24"/>
  <c r="X316" i="24"/>
  <c r="Y316" i="24"/>
  <c r="Z316" i="24"/>
  <c r="N317" i="24"/>
  <c r="O317" i="24"/>
  <c r="P317" i="24"/>
  <c r="Q317" i="24"/>
  <c r="R317" i="24"/>
  <c r="S317" i="24"/>
  <c r="T317" i="24"/>
  <c r="U317" i="24"/>
  <c r="V317" i="24"/>
  <c r="W317" i="24"/>
  <c r="X317" i="24"/>
  <c r="Y317" i="24"/>
  <c r="Z317" i="24"/>
  <c r="M319" i="24"/>
  <c r="N319" i="24"/>
  <c r="O319" i="24"/>
  <c r="P319" i="24"/>
  <c r="Q319" i="24"/>
  <c r="R319" i="24"/>
  <c r="S319" i="24"/>
  <c r="T319" i="24"/>
  <c r="U319" i="24"/>
  <c r="V319" i="24"/>
  <c r="W319" i="24"/>
  <c r="X319" i="24"/>
  <c r="Y319" i="24"/>
  <c r="Z319" i="24"/>
  <c r="M320" i="24"/>
  <c r="N320" i="24"/>
  <c r="O320" i="24"/>
  <c r="P320" i="24"/>
  <c r="Q320" i="24"/>
  <c r="R320" i="24"/>
  <c r="S320" i="24"/>
  <c r="T320" i="24"/>
  <c r="U320" i="24"/>
  <c r="V320" i="24"/>
  <c r="W320" i="24"/>
  <c r="X320" i="24"/>
  <c r="Y320" i="24"/>
  <c r="Z320" i="24"/>
  <c r="M321" i="24"/>
  <c r="N321" i="24"/>
  <c r="O321" i="24"/>
  <c r="P321" i="24"/>
  <c r="Q321" i="24"/>
  <c r="R321" i="24"/>
  <c r="S321" i="24"/>
  <c r="T321" i="24"/>
  <c r="U321" i="24"/>
  <c r="V321" i="24"/>
  <c r="W321" i="24"/>
  <c r="X321" i="24"/>
  <c r="Y321" i="24"/>
  <c r="N322" i="24"/>
  <c r="O322" i="24"/>
  <c r="P322" i="24"/>
  <c r="Q322" i="24"/>
  <c r="R322" i="24"/>
  <c r="S322" i="24"/>
  <c r="T322" i="24"/>
  <c r="U322" i="24"/>
  <c r="V322" i="24"/>
  <c r="W322" i="24"/>
  <c r="X322" i="24"/>
  <c r="Y322" i="24"/>
  <c r="Z322" i="24"/>
  <c r="L325" i="24"/>
  <c r="M326" i="24"/>
  <c r="N326" i="24"/>
  <c r="O326" i="24"/>
  <c r="P326" i="24"/>
  <c r="Q326" i="24"/>
  <c r="R326" i="24"/>
  <c r="S326" i="24"/>
  <c r="T326" i="24"/>
  <c r="U326" i="24"/>
  <c r="V326" i="24"/>
  <c r="W326" i="24"/>
  <c r="X326" i="24"/>
  <c r="Y326" i="24"/>
  <c r="Z326" i="24"/>
  <c r="M341" i="24"/>
  <c r="N341" i="24"/>
  <c r="O341" i="24"/>
  <c r="P341" i="24"/>
  <c r="Q341" i="24"/>
  <c r="R341" i="24"/>
  <c r="S341" i="24"/>
  <c r="T341" i="24"/>
  <c r="U341" i="24"/>
  <c r="V341" i="24"/>
  <c r="W341" i="24"/>
  <c r="X341" i="24"/>
  <c r="Y341" i="24"/>
  <c r="Z341" i="24"/>
  <c r="N342" i="24"/>
  <c r="O342" i="24"/>
  <c r="P342" i="24"/>
  <c r="Q342" i="24"/>
  <c r="R342" i="24"/>
  <c r="S342" i="24"/>
  <c r="T342" i="24"/>
  <c r="U342" i="24"/>
  <c r="V342" i="24"/>
  <c r="W342" i="24"/>
  <c r="X342" i="24"/>
  <c r="Y342" i="24"/>
  <c r="Z342" i="24"/>
  <c r="M343" i="24"/>
  <c r="N343" i="24"/>
  <c r="O343" i="24"/>
  <c r="P343" i="24"/>
  <c r="Q343" i="24"/>
  <c r="R343" i="24"/>
  <c r="S343" i="24"/>
  <c r="T343" i="24"/>
  <c r="U343" i="24"/>
  <c r="V343" i="24"/>
  <c r="W343" i="24"/>
  <c r="X343" i="24"/>
  <c r="Y343" i="24"/>
  <c r="Z343" i="24"/>
  <c r="M344" i="24"/>
  <c r="N344" i="24"/>
  <c r="O344" i="24"/>
  <c r="P344" i="24"/>
  <c r="Q344" i="24"/>
  <c r="R344" i="24"/>
  <c r="S344" i="24"/>
  <c r="T344" i="24"/>
  <c r="U344" i="24"/>
  <c r="V344" i="24"/>
  <c r="W344" i="24"/>
  <c r="X344" i="24"/>
  <c r="Y344" i="24"/>
  <c r="Z344" i="24"/>
  <c r="M346" i="24"/>
  <c r="N346" i="24"/>
  <c r="O346" i="24"/>
  <c r="P346" i="24"/>
  <c r="Q346" i="24"/>
  <c r="R346" i="24"/>
  <c r="S346" i="24"/>
  <c r="T346" i="24"/>
  <c r="U346" i="24"/>
  <c r="V346" i="24"/>
  <c r="W346" i="24"/>
  <c r="X346" i="24"/>
  <c r="Y346" i="24"/>
  <c r="Z346" i="24"/>
  <c r="M347" i="24"/>
  <c r="N347" i="24"/>
  <c r="O347" i="24"/>
  <c r="P347" i="24"/>
  <c r="Q347" i="24"/>
  <c r="R347" i="24"/>
  <c r="S347" i="24"/>
  <c r="T347" i="24"/>
  <c r="U347" i="24"/>
  <c r="V347" i="24"/>
  <c r="W347" i="24"/>
  <c r="X347" i="24"/>
  <c r="Y347" i="24"/>
  <c r="Z347" i="24"/>
  <c r="N348" i="24"/>
  <c r="O348" i="24"/>
  <c r="P348" i="24"/>
  <c r="Q348" i="24"/>
  <c r="R348" i="24"/>
  <c r="S348" i="24"/>
  <c r="T348" i="24"/>
  <c r="U348" i="24"/>
  <c r="V348" i="24"/>
  <c r="W348" i="24"/>
  <c r="X348" i="24"/>
  <c r="Y348" i="24"/>
  <c r="Z348" i="24"/>
  <c r="N349" i="24"/>
  <c r="O349" i="24"/>
  <c r="P349" i="24"/>
  <c r="Q349" i="24"/>
  <c r="R349" i="24"/>
  <c r="S349" i="24"/>
  <c r="T349" i="24"/>
  <c r="U349" i="24"/>
  <c r="V349" i="24"/>
  <c r="W349" i="24"/>
  <c r="X349" i="24"/>
  <c r="Y349" i="24"/>
  <c r="Z349" i="24"/>
  <c r="M350" i="24"/>
  <c r="M352" i="24"/>
  <c r="N352" i="24"/>
  <c r="O352" i="24"/>
  <c r="P352" i="24"/>
  <c r="Q352" i="24"/>
  <c r="R352" i="24"/>
  <c r="S352" i="24"/>
  <c r="T352" i="24"/>
  <c r="U352" i="24"/>
  <c r="V352" i="24"/>
  <c r="W352" i="24"/>
  <c r="X352" i="24"/>
  <c r="Y352" i="24"/>
  <c r="Z352" i="24"/>
  <c r="N353" i="24"/>
  <c r="O353" i="24"/>
  <c r="P353" i="24"/>
  <c r="Q353" i="24"/>
  <c r="R353" i="24"/>
  <c r="S353" i="24"/>
  <c r="T353" i="24"/>
  <c r="U353" i="24"/>
  <c r="V353" i="24"/>
  <c r="W353" i="24"/>
  <c r="X353" i="24"/>
  <c r="Y353" i="24"/>
  <c r="Z353" i="24"/>
  <c r="M355" i="24"/>
  <c r="N355" i="24"/>
  <c r="O355" i="24"/>
  <c r="P355" i="24"/>
  <c r="Q355" i="24"/>
  <c r="R355" i="24"/>
  <c r="S355" i="24"/>
  <c r="T355" i="24"/>
  <c r="U355" i="24"/>
  <c r="V355" i="24"/>
  <c r="W355" i="24"/>
  <c r="X355" i="24"/>
  <c r="Y355" i="24"/>
  <c r="Z355" i="24"/>
  <c r="N356" i="24"/>
  <c r="O356" i="24"/>
  <c r="P356" i="24"/>
  <c r="Q356" i="24"/>
  <c r="R356" i="24"/>
  <c r="S356" i="24"/>
  <c r="T356" i="24"/>
  <c r="U356" i="24"/>
  <c r="V356" i="24"/>
  <c r="W356" i="24"/>
  <c r="X356" i="24"/>
  <c r="Y356" i="24"/>
  <c r="Z356" i="24"/>
  <c r="M358" i="24"/>
  <c r="N358" i="24"/>
  <c r="O358" i="24"/>
  <c r="P358" i="24"/>
  <c r="Q358" i="24"/>
  <c r="R358" i="24"/>
  <c r="S358" i="24"/>
  <c r="T358" i="24"/>
  <c r="U358" i="24"/>
  <c r="V358" i="24"/>
  <c r="W358" i="24"/>
  <c r="X358" i="24"/>
  <c r="Y358" i="24"/>
  <c r="Z358" i="24"/>
  <c r="N361" i="24"/>
  <c r="O361" i="24"/>
  <c r="P361" i="24"/>
  <c r="Q361" i="24"/>
  <c r="R361" i="24"/>
  <c r="S361" i="24"/>
  <c r="T361" i="24"/>
  <c r="U361" i="24"/>
  <c r="V361" i="24"/>
  <c r="W361" i="24"/>
  <c r="X361" i="24"/>
  <c r="Y361" i="24"/>
  <c r="Z361" i="24"/>
  <c r="M363" i="24"/>
  <c r="M364" i="24"/>
  <c r="N364" i="24"/>
  <c r="O364" i="24"/>
  <c r="P364" i="24"/>
  <c r="Q364" i="24"/>
  <c r="R364" i="24"/>
  <c r="S364" i="24"/>
  <c r="T364" i="24"/>
  <c r="U364" i="24"/>
  <c r="V364" i="24"/>
  <c r="W364" i="24"/>
  <c r="X364" i="24"/>
  <c r="Y364" i="24"/>
  <c r="Z364" i="24"/>
  <c r="M367" i="24"/>
  <c r="N367" i="24"/>
  <c r="O367" i="24"/>
  <c r="P367" i="24"/>
  <c r="Q367" i="24"/>
  <c r="R367" i="24"/>
  <c r="S367" i="24"/>
  <c r="T367" i="24"/>
  <c r="U367" i="24"/>
  <c r="V367" i="24"/>
  <c r="W367" i="24"/>
  <c r="X367" i="24"/>
  <c r="Y367" i="24"/>
  <c r="Z367" i="24"/>
  <c r="N368" i="24"/>
  <c r="O368" i="24"/>
  <c r="P368" i="24"/>
  <c r="Q368" i="24"/>
  <c r="R368" i="24"/>
  <c r="S368" i="24"/>
  <c r="T368" i="24"/>
  <c r="U368" i="24"/>
  <c r="V368" i="24"/>
  <c r="W368" i="24"/>
  <c r="X368" i="24"/>
  <c r="Y368" i="24"/>
  <c r="Z368" i="24"/>
  <c r="O369" i="24"/>
  <c r="P369" i="24"/>
  <c r="Q369" i="24"/>
  <c r="R369" i="24"/>
  <c r="S369" i="24"/>
  <c r="T369" i="24"/>
  <c r="U369" i="24"/>
  <c r="V369" i="24"/>
  <c r="W369" i="24"/>
  <c r="X369" i="24"/>
  <c r="Y369" i="24"/>
  <c r="Z369" i="24"/>
  <c r="P370" i="24"/>
  <c r="Q370" i="24"/>
  <c r="R370" i="24"/>
  <c r="S370" i="24"/>
  <c r="T370" i="24"/>
  <c r="U370" i="24"/>
  <c r="V370" i="24"/>
  <c r="W370" i="24"/>
  <c r="X370" i="24"/>
  <c r="Y370" i="24"/>
  <c r="Z370" i="24"/>
  <c r="M372" i="24"/>
  <c r="N372" i="24"/>
  <c r="O372" i="24"/>
  <c r="P372" i="24"/>
  <c r="Q372" i="24"/>
  <c r="R372" i="24"/>
  <c r="S372" i="24"/>
  <c r="T372" i="24"/>
  <c r="U372" i="24"/>
  <c r="V372" i="24"/>
  <c r="W372" i="24"/>
  <c r="X372" i="24"/>
  <c r="Y372" i="24"/>
  <c r="Z372" i="24"/>
  <c r="M373" i="24"/>
  <c r="N373" i="24"/>
  <c r="O373" i="24"/>
  <c r="P373" i="24"/>
  <c r="Q373" i="24"/>
  <c r="R373" i="24"/>
  <c r="S373" i="24"/>
  <c r="T373" i="24"/>
  <c r="U373" i="24"/>
  <c r="V373" i="24"/>
  <c r="W373" i="24"/>
  <c r="X373" i="24"/>
  <c r="Y373" i="24"/>
  <c r="Z373" i="24"/>
  <c r="O375" i="24"/>
  <c r="P375" i="24"/>
  <c r="Q375" i="24"/>
  <c r="R375" i="24"/>
  <c r="S375" i="24"/>
  <c r="T375" i="24"/>
  <c r="U375" i="24"/>
  <c r="V375" i="24"/>
  <c r="W375" i="24"/>
  <c r="X375" i="24"/>
  <c r="Y375" i="24"/>
  <c r="Z375" i="24"/>
  <c r="M376" i="24"/>
  <c r="N376" i="24"/>
  <c r="O376" i="24"/>
  <c r="P376" i="24"/>
  <c r="Q376" i="24"/>
  <c r="R376" i="24"/>
  <c r="S376" i="24"/>
  <c r="T376" i="24"/>
  <c r="U376" i="24"/>
  <c r="V376" i="24"/>
  <c r="W376" i="24"/>
  <c r="X376" i="24"/>
  <c r="Y376" i="24"/>
  <c r="Z376" i="24"/>
  <c r="M377" i="24"/>
  <c r="N377" i="24"/>
  <c r="O377" i="24"/>
  <c r="P377" i="24"/>
  <c r="Q377" i="24"/>
  <c r="R377" i="24"/>
  <c r="S377" i="24"/>
  <c r="T377" i="24"/>
  <c r="U377" i="24"/>
  <c r="V377" i="24"/>
  <c r="W377" i="24"/>
  <c r="X377" i="24"/>
  <c r="Y377" i="24"/>
  <c r="Z377" i="24"/>
  <c r="M378" i="24"/>
  <c r="N378" i="24"/>
  <c r="O378" i="24"/>
  <c r="P378" i="24"/>
  <c r="Q378" i="24"/>
  <c r="R378" i="24"/>
  <c r="S378" i="24"/>
  <c r="T378" i="24"/>
  <c r="U378" i="24"/>
  <c r="V378" i="24"/>
  <c r="W378" i="24"/>
  <c r="X378" i="24"/>
  <c r="Y378" i="24"/>
  <c r="Z378" i="24"/>
  <c r="M379" i="24"/>
  <c r="N379" i="24"/>
  <c r="O379" i="24"/>
  <c r="P379" i="24"/>
  <c r="Q379" i="24"/>
  <c r="R379" i="24"/>
  <c r="S379" i="24"/>
  <c r="T379" i="24"/>
  <c r="U379" i="24"/>
  <c r="V379" i="24"/>
  <c r="W379" i="24"/>
  <c r="X379" i="24"/>
  <c r="Y379" i="24"/>
  <c r="Z379" i="24"/>
  <c r="M380" i="24"/>
  <c r="N380" i="24"/>
  <c r="O380" i="24"/>
  <c r="P380" i="24"/>
  <c r="Q380" i="24"/>
  <c r="R380" i="24"/>
  <c r="S380" i="24"/>
  <c r="T380" i="24"/>
  <c r="U380" i="24"/>
  <c r="V380" i="24"/>
  <c r="W380" i="24"/>
  <c r="X380" i="24"/>
  <c r="Y380" i="24"/>
  <c r="Z380" i="24"/>
  <c r="M381" i="24"/>
  <c r="N381" i="24"/>
  <c r="O381" i="24"/>
  <c r="P381" i="24"/>
  <c r="Q381" i="24"/>
  <c r="R381" i="24"/>
  <c r="S381" i="24"/>
  <c r="T381" i="24"/>
  <c r="U381" i="24"/>
  <c r="V381" i="24"/>
  <c r="W381" i="24"/>
  <c r="X381" i="24"/>
  <c r="Y381" i="24"/>
  <c r="Z381" i="24"/>
  <c r="O383" i="24"/>
  <c r="P383" i="24"/>
  <c r="Q383" i="24"/>
  <c r="R383" i="24"/>
  <c r="S383" i="24"/>
  <c r="T383" i="24"/>
  <c r="U383" i="24"/>
  <c r="V383" i="24"/>
  <c r="W383" i="24"/>
  <c r="X383" i="24"/>
  <c r="Y383" i="24"/>
  <c r="Z383" i="24"/>
  <c r="M384" i="24"/>
  <c r="N384" i="24"/>
  <c r="O384" i="24"/>
  <c r="P384" i="24"/>
  <c r="Q384" i="24"/>
  <c r="R384" i="24"/>
  <c r="S384" i="24"/>
  <c r="T384" i="24"/>
  <c r="U384" i="24"/>
  <c r="V384" i="24"/>
  <c r="W384" i="24"/>
  <c r="X384" i="24"/>
  <c r="Y384" i="24"/>
  <c r="Z384" i="24"/>
  <c r="O385" i="24"/>
  <c r="P385" i="24"/>
  <c r="Q385" i="24"/>
  <c r="R385" i="24"/>
  <c r="S385" i="24"/>
  <c r="T385" i="24"/>
  <c r="U385" i="24"/>
  <c r="V385" i="24"/>
  <c r="W385" i="24"/>
  <c r="X385" i="24"/>
  <c r="Y385" i="24"/>
  <c r="Z385" i="24"/>
  <c r="M388" i="24"/>
  <c r="N388" i="24"/>
  <c r="O388" i="24"/>
  <c r="P388" i="24"/>
  <c r="Q388" i="24"/>
  <c r="R388" i="24"/>
  <c r="S388" i="24"/>
  <c r="T388" i="24"/>
  <c r="U388" i="24"/>
  <c r="V388" i="24"/>
  <c r="W388" i="24"/>
  <c r="X388" i="24"/>
  <c r="Y388" i="24"/>
  <c r="Z388" i="24"/>
  <c r="N389" i="24"/>
  <c r="O389" i="24"/>
  <c r="P389" i="24"/>
  <c r="Q389" i="24"/>
  <c r="R389" i="24"/>
  <c r="S389" i="24"/>
  <c r="T389" i="24"/>
  <c r="U389" i="24"/>
  <c r="V389" i="24"/>
  <c r="W389" i="24"/>
  <c r="X389" i="24"/>
  <c r="Y389" i="24"/>
  <c r="Z389" i="24"/>
  <c r="N391" i="24"/>
  <c r="O391" i="24"/>
  <c r="P391" i="24"/>
  <c r="Q391" i="24"/>
  <c r="R391" i="24"/>
  <c r="S391" i="24"/>
  <c r="T391" i="24"/>
  <c r="U391" i="24"/>
  <c r="V391" i="24"/>
  <c r="W391" i="24"/>
  <c r="X391" i="24"/>
  <c r="Y391" i="24"/>
  <c r="Z391" i="24"/>
  <c r="M392" i="24"/>
  <c r="N392" i="24"/>
  <c r="O392" i="24"/>
  <c r="P392" i="24"/>
  <c r="Q392" i="24"/>
  <c r="R392" i="24"/>
  <c r="S392" i="24"/>
  <c r="T392" i="24"/>
  <c r="U392" i="24"/>
  <c r="V392" i="24"/>
  <c r="W392" i="24"/>
  <c r="X392" i="24"/>
  <c r="Y392" i="24"/>
  <c r="Z392" i="24"/>
  <c r="M394" i="24"/>
  <c r="M395" i="24"/>
  <c r="N395" i="24"/>
  <c r="O395" i="24"/>
  <c r="P395" i="24"/>
  <c r="Q395" i="24"/>
  <c r="R395" i="24"/>
  <c r="S395" i="24"/>
  <c r="T395" i="24"/>
  <c r="U395" i="24"/>
  <c r="V395" i="24"/>
  <c r="W395" i="24"/>
  <c r="X395" i="24"/>
  <c r="Y395" i="24"/>
  <c r="Z395" i="24"/>
  <c r="O398" i="24"/>
  <c r="P398" i="24"/>
  <c r="Q398" i="24"/>
  <c r="R398" i="24"/>
  <c r="S398" i="24"/>
  <c r="T398" i="24"/>
  <c r="U398" i="24"/>
  <c r="V398" i="24"/>
  <c r="W398" i="24"/>
  <c r="X398" i="24"/>
  <c r="Y398" i="24"/>
  <c r="Z398" i="24"/>
  <c r="O399" i="24"/>
  <c r="P399" i="24"/>
  <c r="Q399" i="24"/>
  <c r="R399" i="24"/>
  <c r="S399" i="24"/>
  <c r="T399" i="24"/>
  <c r="U399" i="24"/>
  <c r="V399" i="24"/>
  <c r="W399" i="24"/>
  <c r="X399" i="24"/>
  <c r="Y399" i="24"/>
  <c r="Z399" i="24"/>
  <c r="N400" i="24"/>
  <c r="O400" i="24"/>
  <c r="P400" i="24"/>
  <c r="Q400" i="24"/>
  <c r="R400" i="24"/>
  <c r="S400" i="24"/>
  <c r="T400" i="24"/>
  <c r="U400" i="24"/>
  <c r="V400" i="24"/>
  <c r="W400" i="24"/>
  <c r="X400" i="24"/>
  <c r="Y400" i="24"/>
  <c r="Z400" i="24"/>
  <c r="O401" i="24"/>
  <c r="P401" i="24"/>
  <c r="Q401" i="24"/>
  <c r="R401" i="24"/>
  <c r="S401" i="24"/>
  <c r="T401" i="24"/>
  <c r="U401" i="24"/>
  <c r="V401" i="24"/>
  <c r="W401" i="24"/>
  <c r="X401" i="24"/>
  <c r="Y401" i="24"/>
  <c r="Z401" i="24"/>
  <c r="N402" i="24"/>
  <c r="O402" i="24"/>
  <c r="P402" i="24"/>
  <c r="Q402" i="24"/>
  <c r="R402" i="24"/>
  <c r="S402" i="24"/>
  <c r="T402" i="24"/>
  <c r="U402" i="24"/>
  <c r="V402" i="24"/>
  <c r="W402" i="24"/>
  <c r="X402" i="24"/>
  <c r="Y402" i="24"/>
  <c r="Z402" i="24"/>
  <c r="O405" i="24"/>
  <c r="P405" i="24"/>
  <c r="Q405" i="24"/>
  <c r="R405" i="24"/>
  <c r="S405" i="24"/>
  <c r="T405" i="24"/>
  <c r="U405" i="24"/>
  <c r="V405" i="24"/>
  <c r="W405" i="24"/>
  <c r="X405" i="24"/>
  <c r="Y405" i="24"/>
  <c r="Z405" i="24"/>
  <c r="N407" i="24"/>
  <c r="O407" i="24"/>
  <c r="P407" i="24"/>
  <c r="Q407" i="24"/>
  <c r="R407" i="24"/>
  <c r="S407" i="24"/>
  <c r="T407" i="24"/>
  <c r="U407" i="24"/>
  <c r="V407" i="24"/>
  <c r="W407" i="24"/>
  <c r="X407" i="24"/>
  <c r="Y407" i="24"/>
  <c r="Z407" i="24"/>
  <c r="N408" i="24"/>
  <c r="O408" i="24"/>
  <c r="P408" i="24"/>
  <c r="Q408" i="24"/>
  <c r="R408" i="24"/>
  <c r="S408" i="24"/>
  <c r="T408" i="24"/>
  <c r="U408" i="24"/>
  <c r="V408" i="24"/>
  <c r="W408" i="24"/>
  <c r="X408" i="24"/>
  <c r="Y408" i="24"/>
  <c r="Z408" i="24"/>
  <c r="N409" i="24"/>
  <c r="O409" i="24"/>
  <c r="P409" i="24"/>
  <c r="Q409" i="24"/>
  <c r="R409" i="24"/>
  <c r="S409" i="24"/>
  <c r="T409" i="24"/>
  <c r="U409" i="24"/>
  <c r="V409" i="24"/>
  <c r="W409" i="24"/>
  <c r="X409" i="24"/>
  <c r="Y409" i="24"/>
  <c r="Z409" i="24"/>
  <c r="N411" i="24"/>
  <c r="O411" i="24"/>
  <c r="P411" i="24"/>
  <c r="Q411" i="24"/>
  <c r="R411" i="24"/>
  <c r="S411" i="24"/>
  <c r="T411" i="24"/>
  <c r="U411" i="24"/>
  <c r="V411" i="24"/>
  <c r="W411" i="24"/>
  <c r="X411" i="24"/>
  <c r="Y411" i="24"/>
  <c r="Z411" i="24"/>
  <c r="BB18" i="18"/>
  <c r="BB19" i="18"/>
  <c r="BC19" i="18"/>
  <c r="DX19" i="18"/>
  <c r="DY19" i="18"/>
  <c r="EC19" i="18"/>
  <c r="ED19" i="18"/>
  <c r="BB20" i="18"/>
  <c r="BC20" i="18"/>
  <c r="DX20" i="18"/>
  <c r="DY20" i="18"/>
  <c r="EC20" i="18"/>
  <c r="ED20" i="18"/>
  <c r="BB21" i="18"/>
  <c r="BC21" i="18"/>
  <c r="BL21" i="18"/>
  <c r="BM21" i="18"/>
  <c r="BN21" i="18"/>
  <c r="BO21" i="18"/>
  <c r="DX21" i="18"/>
  <c r="DY21" i="18"/>
  <c r="EC21" i="18"/>
  <c r="ED21" i="18"/>
  <c r="EH21" i="18"/>
  <c r="EI21" i="18"/>
  <c r="EJ21" i="18"/>
  <c r="EK21" i="18"/>
  <c r="BB23" i="18"/>
  <c r="BC23" i="18"/>
  <c r="DX23" i="18"/>
  <c r="DY23" i="18"/>
  <c r="EC23" i="18"/>
  <c r="ED23" i="18"/>
  <c r="BB24" i="18"/>
  <c r="BC24" i="18"/>
  <c r="BL24" i="18"/>
  <c r="BM24" i="18"/>
  <c r="BN24" i="18"/>
  <c r="BO24" i="18"/>
  <c r="DX24" i="18"/>
  <c r="DY24" i="18"/>
  <c r="EC24" i="18"/>
  <c r="ED24" i="18"/>
  <c r="EH24" i="18"/>
  <c r="EI24" i="18"/>
  <c r="EJ24" i="18"/>
  <c r="EK24" i="18"/>
  <c r="BB25" i="18"/>
  <c r="BC25" i="18"/>
  <c r="BM25" i="18"/>
  <c r="BN25" i="18"/>
  <c r="BO25" i="18"/>
  <c r="DX25" i="18"/>
  <c r="DY25" i="18"/>
  <c r="EC25" i="18"/>
  <c r="ED25" i="18"/>
  <c r="EI25" i="18"/>
  <c r="EJ25" i="18"/>
  <c r="EK25" i="18"/>
  <c r="BM26" i="18"/>
  <c r="BN26" i="18"/>
  <c r="BO26" i="18"/>
  <c r="BL29" i="18"/>
  <c r="BM29" i="18"/>
  <c r="BB37" i="18"/>
  <c r="BC37" i="18"/>
  <c r="BD37" i="18"/>
  <c r="BH37" i="18"/>
  <c r="BB38" i="18"/>
  <c r="BC38" i="18"/>
  <c r="BD38" i="18"/>
  <c r="BH38" i="18"/>
  <c r="BB39" i="18"/>
  <c r="BC39" i="18"/>
  <c r="BD39" i="18"/>
  <c r="BH39" i="18"/>
  <c r="BL39" i="18"/>
  <c r="BM39" i="18"/>
  <c r="BN39" i="18"/>
  <c r="BO39" i="18"/>
  <c r="BB40" i="18"/>
  <c r="BC40" i="18"/>
  <c r="BD40" i="18"/>
  <c r="BH40" i="18"/>
  <c r="BB41" i="18"/>
  <c r="BC41" i="18"/>
  <c r="BD41" i="18"/>
  <c r="BH41" i="18"/>
  <c r="BL41" i="18"/>
  <c r="BM41" i="18"/>
  <c r="BN41" i="18"/>
  <c r="BO41" i="18"/>
  <c r="BB44" i="18"/>
  <c r="BC44" i="18"/>
  <c r="BM44" i="18"/>
  <c r="BN44" i="18"/>
  <c r="BO44" i="18"/>
  <c r="BM51" i="18"/>
  <c r="BN51" i="18"/>
  <c r="BO51" i="18"/>
  <c r="EI51" i="18"/>
  <c r="EJ51" i="18"/>
  <c r="EK51" i="18"/>
  <c r="BL62" i="18"/>
  <c r="BM62" i="18"/>
  <c r="BN62" i="18"/>
  <c r="BO62" i="18"/>
  <c r="EH62" i="18"/>
  <c r="EI62" i="18"/>
  <c r="EJ62" i="18"/>
  <c r="EK62" i="18"/>
  <c r="BL63" i="18"/>
  <c r="BM63" i="18"/>
  <c r="BN63" i="18"/>
  <c r="BO63" i="18"/>
  <c r="EH63" i="18"/>
  <c r="EI63" i="18"/>
  <c r="EJ63" i="18"/>
  <c r="EK63" i="18"/>
  <c r="BL65" i="18"/>
  <c r="BM65" i="18"/>
  <c r="BN65" i="18"/>
  <c r="BO65" i="18"/>
  <c r="EH65" i="18"/>
  <c r="EI65" i="18"/>
  <c r="EJ65" i="18"/>
  <c r="EK65" i="18"/>
  <c r="BL66" i="18"/>
  <c r="BM66" i="18"/>
  <c r="BN66" i="18"/>
  <c r="BO66" i="18"/>
  <c r="EH66" i="18"/>
  <c r="EI66" i="18"/>
  <c r="EJ66" i="18"/>
  <c r="EK66" i="18"/>
  <c r="BL72" i="18"/>
  <c r="BM72" i="18"/>
  <c r="BN72" i="18"/>
  <c r="BO72" i="18"/>
  <c r="EH72" i="18"/>
  <c r="EI72" i="18"/>
  <c r="EJ72" i="18"/>
  <c r="EK72" i="18"/>
  <c r="BL73" i="18"/>
  <c r="BM73" i="18"/>
  <c r="BN73" i="18"/>
  <c r="BO73" i="18"/>
  <c r="EH73" i="18"/>
  <c r="EI73" i="18"/>
  <c r="EJ73" i="18"/>
  <c r="EK73" i="18"/>
  <c r="BL74" i="18"/>
  <c r="BM74" i="18"/>
  <c r="BN74" i="18"/>
  <c r="BO74" i="18"/>
  <c r="EH74" i="18"/>
  <c r="EI74" i="18"/>
  <c r="EJ74" i="18"/>
  <c r="EK74" i="18"/>
  <c r="BL76" i="18"/>
  <c r="BM76" i="18"/>
  <c r="BN76" i="18"/>
  <c r="BO76" i="18"/>
  <c r="EH76" i="18"/>
  <c r="EI76" i="18"/>
  <c r="EJ76" i="18"/>
  <c r="EK76" i="18"/>
  <c r="BM77" i="18"/>
  <c r="BN77" i="18"/>
  <c r="BO77" i="18"/>
  <c r="EI77" i="18"/>
  <c r="EJ77" i="18"/>
  <c r="EK77" i="18"/>
  <c r="BM78" i="18"/>
  <c r="BN78" i="18"/>
  <c r="BO78" i="18"/>
  <c r="EI78" i="18"/>
  <c r="EJ78" i="18"/>
  <c r="EK78" i="18"/>
  <c r="BL79" i="18"/>
  <c r="BM79" i="18"/>
  <c r="BN79" i="18"/>
  <c r="BO79" i="18"/>
  <c r="EH79" i="18"/>
  <c r="EI79" i="18"/>
  <c r="EJ79" i="18"/>
  <c r="EK79" i="18"/>
  <c r="BL80" i="18"/>
  <c r="BM80" i="18"/>
  <c r="BN80" i="18"/>
  <c r="BO80" i="18"/>
  <c r="BH82" i="18"/>
  <c r="BL82" i="18"/>
  <c r="BM82" i="18"/>
  <c r="BN82" i="18"/>
  <c r="BO82" i="18"/>
  <c r="ED82" i="18"/>
  <c r="EH82" i="18"/>
  <c r="EI82" i="18"/>
  <c r="EJ82" i="18"/>
  <c r="EK82" i="18"/>
  <c r="BM83" i="18"/>
  <c r="BN83" i="18"/>
  <c r="BO83" i="18"/>
  <c r="EI83" i="18"/>
  <c r="EJ83" i="18"/>
  <c r="EK83" i="18"/>
  <c r="BM84" i="18"/>
  <c r="BN84" i="18"/>
  <c r="BO84" i="18"/>
  <c r="EI84" i="18"/>
  <c r="EJ84" i="18"/>
  <c r="EK84" i="18"/>
  <c r="BH85" i="18"/>
  <c r="BM85" i="18"/>
  <c r="BN85" i="18"/>
  <c r="BO85" i="18"/>
  <c r="ED85" i="18"/>
  <c r="EI85" i="18"/>
  <c r="EJ85" i="18"/>
  <c r="EK85" i="18"/>
  <c r="BH86" i="18"/>
  <c r="BL86" i="18"/>
  <c r="BM86" i="18"/>
  <c r="BN86" i="18"/>
  <c r="BO86" i="18"/>
  <c r="ED86" i="18"/>
  <c r="EH86" i="18"/>
  <c r="EI86" i="18"/>
  <c r="EJ86" i="18"/>
  <c r="EK86" i="18"/>
  <c r="BH87" i="18"/>
  <c r="BM87" i="18"/>
  <c r="BN87" i="18"/>
  <c r="BO87" i="18"/>
  <c r="BM89" i="18"/>
  <c r="BN89" i="18"/>
  <c r="BO89" i="18"/>
  <c r="EI89" i="18"/>
  <c r="EJ89" i="18"/>
  <c r="EK89" i="18"/>
  <c r="BH90" i="18"/>
  <c r="BM90" i="18"/>
  <c r="BN90" i="18"/>
  <c r="BO90" i="18"/>
  <c r="ED90" i="18"/>
  <c r="EI90" i="18"/>
  <c r="EJ90" i="18"/>
  <c r="EK90" i="18"/>
  <c r="BH91" i="18"/>
  <c r="BM91" i="18"/>
  <c r="BN91" i="18"/>
  <c r="BO91" i="18"/>
  <c r="ED91" i="18"/>
  <c r="EI91" i="18"/>
  <c r="EJ91" i="18"/>
  <c r="EK91" i="18"/>
  <c r="BH92" i="18"/>
  <c r="BM92" i="18"/>
  <c r="BN92" i="18"/>
  <c r="BO92" i="18"/>
  <c r="ED92" i="18"/>
  <c r="EI92" i="18"/>
  <c r="EJ92" i="18"/>
  <c r="EK92" i="18"/>
  <c r="AX95" i="18"/>
  <c r="BC95" i="18"/>
  <c r="BH95" i="18"/>
  <c r="BL95" i="18"/>
  <c r="DT95" i="18"/>
  <c r="DY95" i="18"/>
  <c r="ED95" i="18"/>
  <c r="EH95" i="18"/>
  <c r="EI95" i="18"/>
  <c r="AX96" i="18"/>
  <c r="BC96" i="18"/>
  <c r="BL96" i="18"/>
  <c r="BM96" i="18"/>
  <c r="BN96" i="18"/>
  <c r="BO96" i="18"/>
  <c r="DT96" i="18"/>
  <c r="DY96" i="18"/>
  <c r="ED96" i="18"/>
  <c r="EH96" i="18"/>
  <c r="EI96" i="18"/>
  <c r="EJ96" i="18"/>
  <c r="EK96" i="18"/>
  <c r="AX97" i="18"/>
  <c r="BC97" i="18"/>
  <c r="BM97" i="18"/>
  <c r="BN97" i="18"/>
  <c r="BO97" i="18"/>
  <c r="BM105" i="18"/>
  <c r="BN105" i="18"/>
  <c r="EI105" i="18"/>
  <c r="EJ105" i="18"/>
  <c r="EK105" i="18"/>
  <c r="AX106" i="18"/>
  <c r="BC106" i="18"/>
  <c r="BM106" i="18"/>
  <c r="BN106" i="18"/>
  <c r="BO106" i="18"/>
  <c r="DT106" i="18"/>
  <c r="DY106" i="18"/>
  <c r="ED106" i="18"/>
  <c r="EI106" i="18"/>
  <c r="EJ106" i="18"/>
  <c r="EK106" i="18"/>
  <c r="AX107" i="18"/>
  <c r="BC107" i="18"/>
  <c r="BM107" i="18"/>
  <c r="BN107" i="18"/>
  <c r="BO107" i="18"/>
  <c r="BM110" i="18"/>
  <c r="BN110" i="18"/>
  <c r="EI110" i="18"/>
  <c r="EJ110" i="18"/>
  <c r="EK110" i="18"/>
  <c r="BN111" i="18"/>
  <c r="EJ111" i="18"/>
  <c r="EK111" i="18"/>
  <c r="AX113" i="18"/>
  <c r="BC113" i="18"/>
  <c r="BM113" i="18"/>
  <c r="BN113" i="18"/>
  <c r="BO113" i="18"/>
  <c r="DT113" i="18"/>
  <c r="DY113" i="18"/>
  <c r="ED113" i="18"/>
  <c r="EI113" i="18"/>
  <c r="EJ113" i="18"/>
  <c r="EK113" i="18"/>
  <c r="AX114" i="18"/>
  <c r="BC114" i="18"/>
  <c r="BM114" i="18"/>
  <c r="BN114" i="18"/>
  <c r="BO114" i="18"/>
  <c r="BH116" i="18"/>
  <c r="BM116" i="18"/>
  <c r="BN116" i="18"/>
  <c r="ED116" i="18"/>
  <c r="EI116" i="18"/>
  <c r="EJ116" i="18"/>
  <c r="EK116" i="18"/>
  <c r="BC117" i="18"/>
  <c r="BH117" i="18"/>
  <c r="BM117" i="18"/>
  <c r="BN117" i="18"/>
  <c r="BO117" i="18"/>
  <c r="DY117" i="18"/>
  <c r="ED117" i="18"/>
  <c r="EI117" i="18"/>
  <c r="EJ117" i="18"/>
  <c r="EK117" i="18"/>
  <c r="BC118" i="18"/>
  <c r="BH118" i="18"/>
  <c r="BM118" i="18"/>
  <c r="BN118" i="18"/>
  <c r="BO118" i="18"/>
  <c r="BC119" i="18"/>
  <c r="BH119" i="18"/>
  <c r="BM119" i="18"/>
  <c r="BN119" i="18"/>
  <c r="BO119" i="18"/>
  <c r="DY119" i="18"/>
  <c r="ED119" i="18"/>
  <c r="EI119" i="18"/>
  <c r="EJ119" i="18"/>
  <c r="EK119" i="18"/>
  <c r="EH127" i="18"/>
  <c r="EI127" i="18"/>
  <c r="EJ127" i="18"/>
  <c r="EK127" i="18"/>
  <c r="BM128" i="18"/>
  <c r="BN128" i="18"/>
  <c r="BO128" i="18"/>
  <c r="BL131" i="18"/>
  <c r="BM131" i="18"/>
  <c r="BN131" i="18"/>
  <c r="BO131" i="18"/>
  <c r="EH131" i="18"/>
  <c r="EI131" i="18"/>
  <c r="EJ131" i="18"/>
  <c r="EK131" i="18"/>
  <c r="BH134" i="18"/>
  <c r="BL134" i="18"/>
  <c r="BM134" i="18"/>
  <c r="BN134" i="18"/>
  <c r="BO134" i="18"/>
  <c r="ED134" i="18"/>
  <c r="EH134" i="18"/>
  <c r="EI134" i="18"/>
  <c r="EJ134" i="18"/>
  <c r="EK134" i="18"/>
  <c r="BC138" i="18"/>
  <c r="BL138" i="18"/>
  <c r="BM138" i="18"/>
  <c r="BN138" i="18"/>
  <c r="BO138" i="18"/>
  <c r="DY138" i="18"/>
  <c r="ED138" i="18"/>
  <c r="EH138" i="18"/>
  <c r="EI138" i="18"/>
  <c r="EJ138" i="18"/>
  <c r="EK138" i="18"/>
  <c r="BL139" i="18"/>
  <c r="BM139" i="18"/>
  <c r="BN139" i="18"/>
  <c r="BO139" i="18"/>
  <c r="EH139" i="18"/>
  <c r="EI139" i="18"/>
  <c r="EJ139" i="18"/>
  <c r="EK139" i="18"/>
  <c r="BC140" i="18"/>
  <c r="BL140" i="18"/>
  <c r="BM140" i="18"/>
  <c r="BN140" i="18"/>
  <c r="BO140" i="18"/>
  <c r="DY140" i="18"/>
  <c r="ED140" i="18"/>
  <c r="EH140" i="18"/>
  <c r="EI140" i="18"/>
  <c r="EJ140" i="18"/>
  <c r="EK140" i="18"/>
  <c r="BN143" i="18"/>
  <c r="BO143" i="18"/>
  <c r="EJ143" i="18"/>
  <c r="EK143" i="18"/>
  <c r="BC148" i="18"/>
  <c r="BL148" i="18"/>
  <c r="BM148" i="18"/>
  <c r="BN148" i="18"/>
  <c r="BO148" i="18"/>
  <c r="DY148" i="18"/>
  <c r="ED148" i="18"/>
  <c r="EH148" i="18"/>
  <c r="EI148" i="18"/>
  <c r="EJ148" i="18"/>
  <c r="EK148" i="18"/>
  <c r="BC149" i="18"/>
  <c r="BL149" i="18"/>
  <c r="BM149" i="18"/>
  <c r="BN149" i="18"/>
  <c r="BO149" i="18"/>
  <c r="DY149" i="18"/>
  <c r="ED149" i="18"/>
  <c r="EH149" i="18"/>
  <c r="EI149" i="18"/>
  <c r="EJ149" i="18"/>
  <c r="EK149" i="18"/>
  <c r="BM153" i="18"/>
  <c r="BN153" i="18"/>
  <c r="BO153" i="18"/>
  <c r="BL154" i="18"/>
  <c r="BM154" i="18"/>
  <c r="BN154" i="18"/>
  <c r="BL155" i="18"/>
  <c r="BM155" i="18"/>
  <c r="BN155" i="18"/>
  <c r="BO155" i="18"/>
  <c r="BL156" i="18"/>
  <c r="BM156" i="18"/>
  <c r="BN156" i="18"/>
  <c r="BO156" i="18"/>
  <c r="BB168" i="18"/>
  <c r="BD168" i="18"/>
  <c r="BL168" i="18"/>
  <c r="DX168" i="18"/>
  <c r="DZ168" i="18"/>
  <c r="EC168" i="18"/>
  <c r="EE168" i="18"/>
  <c r="EH168" i="18"/>
  <c r="BB169" i="18"/>
  <c r="BD169" i="18"/>
  <c r="BL169" i="18"/>
  <c r="DX169" i="18"/>
  <c r="DZ169" i="18"/>
  <c r="EC169" i="18"/>
  <c r="EE169" i="18"/>
  <c r="EH169" i="18"/>
  <c r="BL170" i="18"/>
  <c r="EH170" i="18"/>
  <c r="BL171" i="18"/>
  <c r="EH171" i="18"/>
  <c r="BM176" i="18"/>
  <c r="BN176" i="18"/>
  <c r="BO176" i="18"/>
  <c r="EI176" i="18"/>
  <c r="EJ176" i="18"/>
  <c r="EK176" i="18"/>
  <c r="N5" i="25"/>
  <c r="O5" i="25"/>
  <c r="P5" i="25"/>
  <c r="Q5" i="25"/>
  <c r="R5" i="25"/>
  <c r="S5" i="25"/>
  <c r="T5" i="25"/>
  <c r="U5" i="25"/>
  <c r="V5" i="25"/>
  <c r="W5" i="25"/>
  <c r="X5" i="25"/>
  <c r="Y5" i="25"/>
  <c r="Z5" i="25"/>
  <c r="N6" i="25"/>
  <c r="O6" i="25"/>
  <c r="P6" i="25"/>
  <c r="Q6" i="25"/>
  <c r="R6" i="25"/>
  <c r="S6" i="25"/>
  <c r="T6" i="25"/>
  <c r="U6" i="25"/>
  <c r="V6" i="25"/>
  <c r="W6" i="25"/>
  <c r="X6" i="25"/>
  <c r="Y6" i="25"/>
  <c r="Z6" i="25"/>
  <c r="N8" i="25"/>
  <c r="O8" i="25"/>
  <c r="P8" i="25"/>
  <c r="Q8" i="25"/>
  <c r="R8" i="25"/>
  <c r="S8" i="25"/>
  <c r="T8" i="25"/>
  <c r="U8" i="25"/>
  <c r="V8" i="25"/>
  <c r="W8" i="25"/>
  <c r="X8" i="25"/>
  <c r="Y8" i="25"/>
  <c r="Z8" i="25"/>
  <c r="N9" i="25"/>
  <c r="O9" i="25"/>
  <c r="P9" i="25"/>
  <c r="Q9" i="25"/>
  <c r="R9" i="25"/>
  <c r="S9" i="25"/>
  <c r="T9" i="25"/>
  <c r="U9" i="25"/>
  <c r="V9" i="25"/>
  <c r="W9" i="25"/>
  <c r="X9" i="25"/>
  <c r="Y9" i="25"/>
  <c r="Z9" i="25"/>
  <c r="N10" i="25"/>
  <c r="O10" i="25"/>
  <c r="P10" i="25"/>
  <c r="Q10" i="25"/>
  <c r="R10" i="25"/>
  <c r="S10" i="25"/>
  <c r="T10" i="25"/>
  <c r="U10" i="25"/>
  <c r="V10" i="25"/>
  <c r="W10" i="25"/>
  <c r="X10" i="25"/>
  <c r="Y10" i="25"/>
  <c r="Z10" i="25"/>
  <c r="M12" i="25"/>
  <c r="N12" i="25"/>
  <c r="O12" i="25"/>
  <c r="P12" i="25"/>
  <c r="Q12" i="25"/>
  <c r="R12" i="25"/>
  <c r="S12" i="25"/>
  <c r="T12" i="25"/>
  <c r="U12" i="25"/>
  <c r="V12" i="25"/>
  <c r="W12" i="25"/>
  <c r="X12" i="25"/>
  <c r="Y12" i="25"/>
  <c r="Z12" i="25"/>
  <c r="M13" i="25"/>
  <c r="N13" i="25"/>
  <c r="O13" i="25"/>
  <c r="P13" i="25"/>
  <c r="Q13" i="25"/>
  <c r="R13" i="25"/>
  <c r="S13" i="25"/>
  <c r="T13" i="25"/>
  <c r="U13" i="25"/>
  <c r="V13" i="25"/>
  <c r="W13" i="25"/>
  <c r="X13" i="25"/>
  <c r="Y13" i="25"/>
  <c r="Z13" i="25"/>
  <c r="M14" i="25"/>
  <c r="N14" i="25"/>
  <c r="O14" i="25"/>
  <c r="P14" i="25"/>
  <c r="Q14" i="25"/>
  <c r="R14" i="25"/>
  <c r="S14" i="25"/>
  <c r="T14" i="25"/>
  <c r="U14" i="25"/>
  <c r="V14" i="25"/>
  <c r="W14" i="25"/>
  <c r="X14" i="25"/>
  <c r="Y14" i="25"/>
  <c r="Z14" i="25"/>
  <c r="K16" i="25"/>
  <c r="L16" i="25"/>
  <c r="M16" i="25"/>
  <c r="K17" i="25"/>
  <c r="L17" i="25"/>
  <c r="N17" i="25"/>
  <c r="O17" i="25"/>
  <c r="P17" i="25"/>
  <c r="Q17" i="25"/>
  <c r="R17" i="25"/>
  <c r="S17" i="25"/>
  <c r="T17" i="25"/>
  <c r="U17" i="25"/>
  <c r="V17" i="25"/>
  <c r="W17" i="25"/>
  <c r="X17" i="25"/>
  <c r="Y17" i="25"/>
  <c r="Z17" i="25"/>
  <c r="K18" i="25"/>
  <c r="L18" i="25"/>
  <c r="M18" i="25"/>
  <c r="N18" i="25"/>
  <c r="O18" i="25"/>
  <c r="P18" i="25"/>
  <c r="Q18" i="25"/>
  <c r="R18" i="25"/>
  <c r="S18" i="25"/>
  <c r="T18" i="25"/>
  <c r="U18" i="25"/>
  <c r="V18" i="25"/>
  <c r="W18" i="25"/>
  <c r="X18" i="25"/>
  <c r="Y18" i="25"/>
  <c r="Z18" i="25"/>
  <c r="N23" i="25"/>
  <c r="O23" i="25"/>
  <c r="P23" i="25"/>
  <c r="Q23" i="25"/>
  <c r="R23" i="25"/>
  <c r="S23" i="25"/>
  <c r="T23" i="25"/>
  <c r="U23" i="25"/>
  <c r="V23" i="25"/>
  <c r="W23" i="25"/>
  <c r="X23" i="25"/>
  <c r="Y23" i="25"/>
  <c r="Z23" i="25"/>
  <c r="N24" i="25"/>
  <c r="O24" i="25"/>
  <c r="P24" i="25"/>
  <c r="Q24" i="25"/>
  <c r="R24" i="25"/>
  <c r="S24" i="25"/>
  <c r="T24" i="25"/>
  <c r="U24" i="25"/>
  <c r="V24" i="25"/>
  <c r="W24" i="25"/>
  <c r="X24" i="25"/>
  <c r="Y24" i="25"/>
  <c r="Z24" i="25"/>
  <c r="N25" i="25"/>
  <c r="O25" i="25"/>
  <c r="P25" i="25"/>
  <c r="Q25" i="25"/>
  <c r="R25" i="25"/>
  <c r="S25" i="25"/>
  <c r="T25" i="25"/>
  <c r="U25" i="25"/>
  <c r="V25" i="25"/>
  <c r="W25" i="25"/>
  <c r="X25" i="25"/>
  <c r="Y25" i="25"/>
  <c r="Z25" i="25"/>
  <c r="M27" i="25"/>
  <c r="N27" i="25"/>
  <c r="O27" i="25"/>
  <c r="P27" i="25"/>
  <c r="Q27" i="25"/>
  <c r="R27" i="25"/>
  <c r="S27" i="25"/>
  <c r="T27" i="25"/>
  <c r="U27" i="25"/>
  <c r="V27" i="25"/>
  <c r="W27" i="25"/>
  <c r="X27" i="25"/>
  <c r="Y27" i="25"/>
  <c r="Z27" i="25"/>
  <c r="M28" i="25"/>
  <c r="N28" i="25"/>
  <c r="O28" i="25"/>
  <c r="P28" i="25"/>
  <c r="Q28" i="25"/>
  <c r="R28" i="25"/>
  <c r="S28" i="25"/>
  <c r="T28" i="25"/>
  <c r="U28" i="25"/>
  <c r="V28" i="25"/>
  <c r="W28" i="25"/>
  <c r="X28" i="25"/>
  <c r="Y28" i="25"/>
  <c r="Z28" i="25"/>
  <c r="M29" i="25"/>
  <c r="N29" i="25"/>
  <c r="O29" i="25"/>
  <c r="P29" i="25"/>
  <c r="Q29" i="25"/>
  <c r="R29" i="25"/>
  <c r="S29" i="25"/>
  <c r="T29" i="25"/>
  <c r="U29" i="25"/>
  <c r="V29" i="25"/>
  <c r="W29" i="25"/>
  <c r="X29" i="25"/>
  <c r="Y29" i="25"/>
  <c r="Z29" i="25"/>
  <c r="N34" i="25"/>
  <c r="O34" i="25"/>
  <c r="P34" i="25"/>
  <c r="Q34" i="25"/>
  <c r="R34" i="25"/>
  <c r="S34" i="25"/>
  <c r="T34" i="25"/>
  <c r="U34" i="25"/>
  <c r="V34" i="25"/>
  <c r="W34" i="25"/>
  <c r="X34" i="25"/>
  <c r="Y34" i="25"/>
  <c r="Z34" i="25"/>
  <c r="N35" i="25"/>
  <c r="O35" i="25"/>
  <c r="P35" i="25"/>
  <c r="Q35" i="25"/>
  <c r="R35" i="25"/>
  <c r="S35" i="25"/>
  <c r="T35" i="25"/>
  <c r="U35" i="25"/>
  <c r="V35" i="25"/>
  <c r="W35" i="25"/>
  <c r="X35" i="25"/>
  <c r="Y35" i="25"/>
  <c r="Z35" i="25"/>
  <c r="N36" i="25"/>
  <c r="O36" i="25"/>
  <c r="P36" i="25"/>
  <c r="Q36" i="25"/>
  <c r="R36" i="25"/>
  <c r="S36" i="25"/>
  <c r="T36" i="25"/>
  <c r="U36" i="25"/>
  <c r="V36" i="25"/>
  <c r="W36" i="25"/>
  <c r="X36" i="25"/>
  <c r="Y36" i="25"/>
  <c r="Z36" i="25"/>
  <c r="N37" i="25"/>
  <c r="O37" i="25"/>
  <c r="P37" i="25"/>
  <c r="Q37" i="25"/>
  <c r="R37" i="25"/>
  <c r="S37" i="25"/>
  <c r="T37" i="25"/>
  <c r="U37" i="25"/>
  <c r="V37" i="25"/>
  <c r="W37" i="25"/>
  <c r="X37" i="25"/>
  <c r="Y37" i="25"/>
  <c r="Z37" i="25"/>
  <c r="N38" i="25"/>
  <c r="O38" i="25"/>
  <c r="P38" i="25"/>
  <c r="Q38" i="25"/>
  <c r="R38" i="25"/>
  <c r="S38" i="25"/>
  <c r="T38" i="25"/>
  <c r="U38" i="25"/>
  <c r="V38" i="25"/>
  <c r="W38" i="25"/>
  <c r="X38" i="25"/>
  <c r="Y38" i="25"/>
  <c r="Z38" i="25"/>
  <c r="N39" i="25"/>
  <c r="O39" i="25"/>
  <c r="P39" i="25"/>
  <c r="Q39" i="25"/>
  <c r="R39" i="25"/>
  <c r="S39" i="25"/>
  <c r="T39" i="25"/>
  <c r="U39" i="25"/>
  <c r="V39" i="25"/>
  <c r="W39" i="25"/>
  <c r="X39" i="25"/>
  <c r="Y39" i="25"/>
  <c r="Z39" i="25"/>
  <c r="N41" i="25"/>
  <c r="O41" i="25"/>
  <c r="P41" i="25"/>
  <c r="Q41" i="25"/>
  <c r="R41" i="25"/>
  <c r="S41" i="25"/>
  <c r="T41" i="25"/>
  <c r="U41" i="25"/>
  <c r="V41" i="25"/>
  <c r="W41" i="25"/>
  <c r="X41" i="25"/>
  <c r="Y41" i="25"/>
  <c r="Z41" i="25"/>
  <c r="N42" i="25"/>
  <c r="O42" i="25"/>
  <c r="P42" i="25"/>
  <c r="Q42" i="25"/>
  <c r="R42" i="25"/>
  <c r="S42" i="25"/>
  <c r="T42" i="25"/>
  <c r="U42" i="25"/>
  <c r="V42" i="25"/>
  <c r="W42" i="25"/>
  <c r="X42" i="25"/>
  <c r="Y42" i="25"/>
  <c r="Z42" i="25"/>
  <c r="N43" i="25"/>
  <c r="O43" i="25"/>
  <c r="P43" i="25"/>
  <c r="Q43" i="25"/>
  <c r="R43" i="25"/>
  <c r="S43" i="25"/>
  <c r="T43" i="25"/>
  <c r="U43" i="25"/>
  <c r="V43" i="25"/>
  <c r="W43" i="25"/>
  <c r="X43" i="25"/>
  <c r="Y43" i="25"/>
  <c r="Z43" i="25"/>
  <c r="N44" i="25"/>
  <c r="O44" i="25"/>
  <c r="P44" i="25"/>
  <c r="Q44" i="25"/>
  <c r="R44" i="25"/>
  <c r="S44" i="25"/>
  <c r="T44" i="25"/>
  <c r="U44" i="25"/>
  <c r="V44" i="25"/>
  <c r="W44" i="25"/>
  <c r="X44" i="25"/>
  <c r="Y44" i="25"/>
  <c r="Z44" i="25"/>
  <c r="N46" i="25"/>
  <c r="O46" i="25"/>
  <c r="P46" i="25"/>
  <c r="Q46" i="25"/>
  <c r="R46" i="25"/>
  <c r="S46" i="25"/>
  <c r="T46" i="25"/>
  <c r="U46" i="25"/>
  <c r="V46" i="25"/>
  <c r="W46" i="25"/>
  <c r="X46" i="25"/>
  <c r="Y46" i="25"/>
  <c r="Z46" i="25"/>
  <c r="N47" i="25"/>
  <c r="O47" i="25"/>
  <c r="P47" i="25"/>
  <c r="Q47" i="25"/>
  <c r="R47" i="25"/>
  <c r="S47" i="25"/>
  <c r="T47" i="25"/>
  <c r="U47" i="25"/>
  <c r="V47" i="25"/>
  <c r="W47" i="25"/>
  <c r="X47" i="25"/>
  <c r="Y47" i="25"/>
  <c r="Z47" i="25"/>
  <c r="N49" i="25"/>
  <c r="O49" i="25"/>
  <c r="P49" i="25"/>
  <c r="Q49" i="25"/>
  <c r="R49" i="25"/>
  <c r="S49" i="25"/>
  <c r="T49" i="25"/>
  <c r="U49" i="25"/>
  <c r="V49" i="25"/>
  <c r="W49" i="25"/>
  <c r="X49" i="25"/>
  <c r="Y49" i="25"/>
  <c r="Z49" i="25"/>
  <c r="N50" i="25"/>
  <c r="O50" i="25"/>
  <c r="P50" i="25"/>
  <c r="Q50" i="25"/>
  <c r="R50" i="25"/>
  <c r="S50" i="25"/>
  <c r="T50" i="25"/>
  <c r="U50" i="25"/>
  <c r="V50" i="25"/>
  <c r="W50" i="25"/>
  <c r="X50" i="25"/>
  <c r="Y50" i="25"/>
  <c r="Z50" i="25"/>
  <c r="N51" i="25"/>
  <c r="O51" i="25"/>
  <c r="P51" i="25"/>
  <c r="Q51" i="25"/>
  <c r="R51" i="25"/>
  <c r="S51" i="25"/>
  <c r="T51" i="25"/>
  <c r="U51" i="25"/>
  <c r="V51" i="25"/>
  <c r="W51" i="25"/>
  <c r="X51" i="25"/>
  <c r="Y51" i="25"/>
  <c r="Z51" i="25"/>
  <c r="N52" i="25"/>
  <c r="O52" i="25"/>
  <c r="P52" i="25"/>
  <c r="Q52" i="25"/>
  <c r="R52" i="25"/>
  <c r="S52" i="25"/>
  <c r="T52" i="25"/>
  <c r="U52" i="25"/>
  <c r="V52" i="25"/>
  <c r="W52" i="25"/>
  <c r="X52" i="25"/>
  <c r="Y52" i="25"/>
  <c r="Z52" i="25"/>
  <c r="M53" i="25"/>
  <c r="N53" i="25"/>
  <c r="O53" i="25"/>
  <c r="P53" i="25"/>
  <c r="Q53" i="25"/>
  <c r="R53" i="25"/>
  <c r="S53" i="25"/>
  <c r="T53" i="25"/>
  <c r="U53" i="25"/>
  <c r="V53" i="25"/>
  <c r="W53" i="25"/>
  <c r="X53" i="25"/>
  <c r="Y53" i="25"/>
  <c r="Z53" i="25"/>
  <c r="M54" i="25"/>
  <c r="N54" i="25"/>
  <c r="O54" i="25"/>
  <c r="P54" i="25"/>
  <c r="Q54" i="25"/>
  <c r="R54" i="25"/>
  <c r="S54" i="25"/>
  <c r="T54" i="25"/>
  <c r="U54" i="25"/>
  <c r="V54" i="25"/>
  <c r="W54" i="25"/>
  <c r="X54" i="25"/>
  <c r="Y54" i="25"/>
  <c r="Z54" i="25"/>
  <c r="M56" i="25"/>
  <c r="N56" i="25"/>
  <c r="O56" i="25"/>
  <c r="P56" i="25"/>
  <c r="Q56" i="25"/>
  <c r="R56" i="25"/>
  <c r="S56" i="25"/>
  <c r="T56" i="25"/>
  <c r="U56" i="25"/>
  <c r="V56" i="25"/>
  <c r="W56" i="25"/>
  <c r="X56" i="25"/>
  <c r="Y56" i="25"/>
  <c r="Z56" i="25"/>
  <c r="M57" i="25"/>
  <c r="N57" i="25"/>
  <c r="O57" i="25"/>
  <c r="P57" i="25"/>
  <c r="Q57" i="25"/>
  <c r="R57" i="25"/>
  <c r="S57" i="25"/>
  <c r="T57" i="25"/>
  <c r="U57" i="25"/>
  <c r="V57" i="25"/>
  <c r="W57" i="25"/>
  <c r="X57" i="25"/>
  <c r="Y57" i="25"/>
  <c r="Z57" i="25"/>
  <c r="K59" i="25"/>
  <c r="L59" i="25"/>
  <c r="K60" i="25"/>
  <c r="L60" i="25"/>
  <c r="M60" i="25"/>
  <c r="N60" i="25"/>
  <c r="O60" i="25"/>
  <c r="P60" i="25"/>
  <c r="Q60" i="25"/>
  <c r="R60" i="25"/>
  <c r="S60" i="25"/>
  <c r="T60" i="25"/>
  <c r="U60" i="25"/>
  <c r="V60" i="25"/>
  <c r="W60" i="25"/>
  <c r="X60" i="25"/>
  <c r="Y60" i="25"/>
  <c r="Z60" i="25"/>
  <c r="K61" i="25"/>
  <c r="L61" i="25"/>
  <c r="M61" i="25"/>
  <c r="N61" i="25"/>
  <c r="O61" i="25"/>
  <c r="P61" i="25"/>
  <c r="Q61" i="25"/>
  <c r="R61" i="25"/>
  <c r="S61" i="25"/>
  <c r="T61" i="25"/>
  <c r="U61" i="25"/>
  <c r="V61" i="25"/>
  <c r="W61" i="25"/>
  <c r="X61" i="25"/>
  <c r="Y61" i="25"/>
  <c r="Z61" i="25"/>
  <c r="N63" i="25"/>
  <c r="O63" i="25"/>
  <c r="K64" i="25"/>
  <c r="L64" i="25"/>
  <c r="M64" i="25"/>
  <c r="N64" i="25"/>
  <c r="O64" i="25"/>
  <c r="P64" i="25"/>
  <c r="Q64" i="25"/>
  <c r="R64" i="25"/>
  <c r="S64" i="25"/>
  <c r="T64" i="25"/>
  <c r="U64" i="25"/>
  <c r="V64" i="25"/>
  <c r="W64" i="25"/>
  <c r="X64" i="25"/>
  <c r="Y64" i="25"/>
  <c r="Z64" i="25"/>
  <c r="K65" i="25"/>
  <c r="L65" i="25"/>
  <c r="M65" i="25"/>
  <c r="N65" i="25"/>
  <c r="O65" i="25"/>
  <c r="P65" i="25"/>
  <c r="Q65" i="25"/>
  <c r="R65" i="25"/>
  <c r="S65" i="25"/>
  <c r="T65" i="25"/>
  <c r="U65" i="25"/>
  <c r="V65" i="25"/>
  <c r="W65" i="25"/>
  <c r="X65" i="25"/>
  <c r="Y65" i="25"/>
  <c r="Z65" i="25"/>
  <c r="N69" i="25"/>
  <c r="O69" i="25"/>
  <c r="O70" i="25"/>
  <c r="K73" i="25"/>
  <c r="L73" i="25"/>
  <c r="M73" i="25"/>
  <c r="N73" i="25"/>
  <c r="O73" i="25"/>
  <c r="P73" i="25"/>
  <c r="Q73" i="25"/>
  <c r="R73" i="25"/>
  <c r="S73" i="25"/>
  <c r="T73" i="25"/>
  <c r="U73" i="25"/>
  <c r="V73" i="25"/>
  <c r="W73" i="25"/>
  <c r="X73" i="25"/>
  <c r="Y73" i="25"/>
  <c r="Z73" i="25"/>
  <c r="K74" i="25"/>
  <c r="L74" i="25"/>
  <c r="M74" i="25"/>
  <c r="N74" i="25"/>
  <c r="O74" i="25"/>
  <c r="P74" i="25"/>
  <c r="Q74" i="25"/>
  <c r="R74" i="25"/>
  <c r="S74" i="25"/>
  <c r="T74" i="25"/>
  <c r="U74" i="25"/>
  <c r="V74" i="25"/>
  <c r="W74" i="25"/>
  <c r="X74" i="25"/>
  <c r="Y74" i="25"/>
  <c r="Z74" i="25"/>
  <c r="M76" i="25"/>
  <c r="N76" i="25"/>
  <c r="O76" i="25"/>
  <c r="P76" i="25"/>
  <c r="Q76" i="25"/>
  <c r="R76" i="25"/>
  <c r="S76" i="25"/>
  <c r="T76" i="25"/>
  <c r="K77" i="25"/>
  <c r="L77" i="25"/>
  <c r="M77" i="25"/>
  <c r="N77" i="25"/>
  <c r="O77" i="25"/>
  <c r="P77" i="25"/>
  <c r="Q77" i="25"/>
  <c r="R77" i="25"/>
  <c r="S77" i="25"/>
  <c r="T77" i="25"/>
  <c r="U77" i="25"/>
  <c r="V77" i="25"/>
  <c r="W77" i="25"/>
  <c r="X77" i="25"/>
  <c r="Y77" i="25"/>
  <c r="Z77" i="25"/>
  <c r="K78" i="25"/>
  <c r="L78" i="25"/>
  <c r="M78" i="25"/>
  <c r="N78" i="25"/>
  <c r="O78" i="25"/>
  <c r="P78" i="25"/>
  <c r="Q78" i="25"/>
  <c r="R78" i="25"/>
  <c r="S78" i="25"/>
  <c r="T78" i="25"/>
  <c r="U78" i="25"/>
  <c r="V78" i="25"/>
  <c r="W78" i="25"/>
  <c r="X78" i="25"/>
  <c r="Y78" i="25"/>
  <c r="Z78" i="25"/>
  <c r="K80" i="25"/>
  <c r="L80" i="25"/>
  <c r="M80" i="25"/>
  <c r="N80" i="25"/>
  <c r="O80" i="25"/>
  <c r="P80" i="25"/>
  <c r="Q80" i="25"/>
  <c r="R80" i="25"/>
  <c r="S80" i="25"/>
  <c r="T80" i="25"/>
  <c r="U80" i="25"/>
  <c r="V80" i="25"/>
  <c r="W80" i="25"/>
  <c r="X80" i="25"/>
  <c r="Y80" i="25"/>
  <c r="Z80" i="25"/>
  <c r="K84" i="25"/>
  <c r="L84" i="25"/>
  <c r="M84" i="25"/>
  <c r="N84" i="25"/>
  <c r="O84" i="25"/>
  <c r="P84" i="25"/>
  <c r="Q84" i="25"/>
  <c r="R84" i="25"/>
  <c r="S84" i="25"/>
  <c r="T84" i="25"/>
  <c r="U84" i="25"/>
  <c r="V84" i="25"/>
  <c r="W84" i="25"/>
  <c r="X84" i="25"/>
  <c r="Y84" i="25"/>
  <c r="Z84" i="25"/>
  <c r="N89" i="25"/>
  <c r="O89" i="25"/>
  <c r="N90" i="25"/>
  <c r="O90" i="25"/>
  <c r="N91" i="25"/>
  <c r="O91" i="25"/>
  <c r="N92" i="25"/>
  <c r="O92" i="25"/>
  <c r="N94" i="25"/>
  <c r="O94" i="25"/>
  <c r="N95" i="25"/>
  <c r="O95" i="25"/>
  <c r="N96" i="25"/>
  <c r="O96" i="25"/>
  <c r="N97" i="25"/>
  <c r="O97" i="25"/>
  <c r="N98" i="25"/>
  <c r="O98" i="25"/>
  <c r="N100" i="25"/>
  <c r="O100" i="25"/>
  <c r="N102" i="25"/>
  <c r="O102" i="25"/>
  <c r="N104" i="25"/>
  <c r="O104" i="25"/>
  <c r="N105" i="25"/>
  <c r="O105" i="25"/>
  <c r="N108" i="25"/>
  <c r="O108" i="25"/>
  <c r="N109" i="25"/>
  <c r="O109" i="25"/>
  <c r="N110" i="25"/>
  <c r="O110" i="25"/>
  <c r="N112" i="25"/>
  <c r="O112" i="25"/>
  <c r="K114" i="25"/>
  <c r="L114" i="25"/>
  <c r="M114" i="25"/>
  <c r="N114" i="25"/>
  <c r="O114" i="25"/>
  <c r="K116" i="25"/>
  <c r="L116" i="25"/>
  <c r="M116" i="25"/>
  <c r="N116" i="25"/>
  <c r="O116" i="25"/>
  <c r="K118" i="25"/>
  <c r="L118" i="25"/>
  <c r="M118" i="25"/>
  <c r="N118" i="25"/>
  <c r="O118" i="25"/>
  <c r="K125" i="25"/>
  <c r="L125" i="25"/>
  <c r="N125" i="25"/>
  <c r="O125" i="25"/>
  <c r="P125" i="25"/>
  <c r="Q125" i="25"/>
  <c r="R125" i="25"/>
  <c r="S125" i="25"/>
  <c r="T125" i="25"/>
  <c r="U125" i="25"/>
  <c r="V125" i="25"/>
  <c r="W125" i="25"/>
  <c r="X125" i="25"/>
  <c r="Y125" i="25"/>
  <c r="Z125" i="25"/>
  <c r="N126" i="25"/>
  <c r="O126" i="25"/>
  <c r="P126" i="25"/>
  <c r="Q126" i="25"/>
  <c r="R126" i="25"/>
  <c r="S126" i="25"/>
  <c r="T126" i="25"/>
  <c r="U126" i="25"/>
  <c r="V126" i="25"/>
  <c r="W126" i="25"/>
  <c r="X126" i="25"/>
  <c r="Y126" i="25"/>
  <c r="Z126" i="25"/>
  <c r="K127" i="25"/>
  <c r="L127" i="25"/>
  <c r="N127" i="25"/>
  <c r="O127" i="25"/>
  <c r="P127" i="25"/>
  <c r="Q127" i="25"/>
  <c r="R127" i="25"/>
  <c r="S127" i="25"/>
  <c r="T127" i="25"/>
  <c r="U127" i="25"/>
  <c r="V127" i="25"/>
  <c r="W127" i="25"/>
  <c r="X127" i="25"/>
  <c r="Y127" i="25"/>
  <c r="Z127" i="25"/>
  <c r="Q129" i="25"/>
  <c r="R129" i="25"/>
  <c r="S129" i="25"/>
  <c r="T129" i="25"/>
  <c r="U129" i="25"/>
  <c r="V129" i="25"/>
  <c r="W129" i="25"/>
  <c r="X129" i="25"/>
  <c r="Y129" i="25"/>
  <c r="Z129" i="25"/>
  <c r="O130" i="25"/>
  <c r="P130" i="25"/>
  <c r="Q130" i="25"/>
  <c r="R130" i="25"/>
  <c r="S130" i="25"/>
  <c r="T130" i="25"/>
  <c r="U130" i="25"/>
  <c r="V130" i="25"/>
  <c r="W130" i="25"/>
  <c r="X130" i="25"/>
  <c r="Y130" i="25"/>
  <c r="Z130" i="25"/>
  <c r="K135" i="25"/>
  <c r="L135" i="25"/>
  <c r="K136" i="25"/>
  <c r="L136" i="25"/>
  <c r="N136" i="25"/>
  <c r="O136" i="25"/>
  <c r="P136" i="25"/>
  <c r="Q136" i="25"/>
  <c r="R136" i="25"/>
  <c r="S136" i="25"/>
  <c r="T136" i="25"/>
  <c r="U136" i="25"/>
  <c r="V136" i="25"/>
  <c r="W136" i="25"/>
  <c r="X136" i="25"/>
  <c r="Y136" i="25"/>
  <c r="Z136" i="25"/>
  <c r="N138" i="25"/>
  <c r="O138" i="25"/>
  <c r="P138" i="25"/>
  <c r="Q138" i="25"/>
  <c r="R138" i="25"/>
  <c r="S138" i="25"/>
  <c r="T138" i="25"/>
  <c r="U138" i="25"/>
  <c r="V138" i="25"/>
  <c r="W138" i="25"/>
  <c r="X138" i="25"/>
  <c r="Y138" i="25"/>
  <c r="Z138" i="25"/>
  <c r="M139" i="25"/>
  <c r="N139" i="25"/>
  <c r="O139" i="25"/>
  <c r="P139" i="25"/>
  <c r="Q139" i="25"/>
  <c r="R139" i="25"/>
  <c r="S139" i="25"/>
  <c r="T139" i="25"/>
  <c r="U139" i="25"/>
  <c r="V139" i="25"/>
  <c r="W139" i="25"/>
  <c r="X139" i="25"/>
  <c r="Y139" i="25"/>
  <c r="Z139" i="25"/>
  <c r="N140" i="25"/>
  <c r="O140" i="25"/>
  <c r="P140" i="25"/>
  <c r="Q140" i="25"/>
  <c r="R140" i="25"/>
  <c r="S140" i="25"/>
  <c r="T140" i="25"/>
  <c r="U140" i="25"/>
  <c r="V140" i="25"/>
  <c r="W140" i="25"/>
  <c r="X140" i="25"/>
  <c r="Y140" i="25"/>
  <c r="Z140" i="25"/>
  <c r="M141" i="25"/>
  <c r="N141" i="25"/>
  <c r="O141" i="25"/>
  <c r="P141" i="25"/>
  <c r="Q141" i="25"/>
  <c r="R141" i="25"/>
  <c r="S141" i="25"/>
  <c r="T141" i="25"/>
  <c r="U141" i="25"/>
  <c r="V141" i="25"/>
  <c r="W141" i="25"/>
  <c r="X141" i="25"/>
  <c r="Y141" i="25"/>
  <c r="Z141" i="25"/>
  <c r="N145" i="25"/>
  <c r="O145" i="25"/>
  <c r="P145" i="25"/>
  <c r="Q145" i="25"/>
  <c r="R145" i="25"/>
  <c r="S145" i="25"/>
  <c r="T145" i="25"/>
  <c r="U145" i="25"/>
  <c r="V145" i="25"/>
  <c r="W145" i="25"/>
  <c r="X145" i="25"/>
  <c r="Y145" i="25"/>
  <c r="Z145" i="25"/>
  <c r="O146" i="25"/>
  <c r="P146" i="25"/>
  <c r="Q146" i="25"/>
  <c r="R146" i="25"/>
  <c r="S146" i="25"/>
  <c r="T146" i="25"/>
  <c r="U146" i="25"/>
  <c r="V146" i="25"/>
  <c r="W146" i="25"/>
  <c r="X146" i="25"/>
  <c r="Y146" i="25"/>
  <c r="Z146" i="25"/>
  <c r="N149" i="25"/>
  <c r="O149" i="25"/>
  <c r="P149" i="25"/>
  <c r="Q149" i="25"/>
  <c r="R149" i="25"/>
  <c r="S149" i="25"/>
  <c r="T149" i="25"/>
  <c r="U149" i="25"/>
  <c r="V149" i="25"/>
  <c r="W149" i="25"/>
  <c r="X149" i="25"/>
  <c r="Y149" i="25"/>
  <c r="Z149" i="25"/>
  <c r="K153" i="25"/>
  <c r="L153" i="25"/>
  <c r="N153" i="25"/>
  <c r="O153" i="25"/>
  <c r="P153" i="25"/>
  <c r="Q153" i="25"/>
  <c r="R153" i="25"/>
  <c r="S153" i="25"/>
  <c r="T153" i="25"/>
  <c r="U153" i="25"/>
  <c r="V153" i="25"/>
  <c r="W153" i="25"/>
  <c r="X153" i="25"/>
  <c r="Y153" i="25"/>
  <c r="Z153" i="25"/>
  <c r="Q154" i="25"/>
  <c r="R154" i="25"/>
  <c r="S154" i="25"/>
  <c r="T154" i="25"/>
  <c r="U154" i="25"/>
  <c r="V154" i="25"/>
  <c r="W154" i="25"/>
  <c r="X154" i="25"/>
  <c r="Y154" i="25"/>
  <c r="Z154" i="25"/>
  <c r="K157" i="25"/>
  <c r="L157" i="25"/>
  <c r="N157" i="25"/>
  <c r="O157" i="25"/>
  <c r="P157" i="25"/>
  <c r="Q157" i="25"/>
  <c r="R157" i="25"/>
  <c r="S157" i="25"/>
  <c r="T157" i="25"/>
  <c r="U157" i="25"/>
  <c r="V157" i="25"/>
  <c r="W157" i="25"/>
  <c r="X157" i="25"/>
  <c r="Y157" i="25"/>
  <c r="Z157" i="25"/>
  <c r="K159" i="25"/>
  <c r="L159" i="25"/>
  <c r="N159" i="25"/>
  <c r="O159" i="25"/>
  <c r="P159" i="25"/>
  <c r="Q159" i="25"/>
  <c r="R159" i="25"/>
  <c r="S159" i="25"/>
  <c r="T159" i="25"/>
  <c r="U159" i="25"/>
  <c r="V159" i="25"/>
  <c r="W159" i="25"/>
  <c r="X159" i="25"/>
  <c r="Y159" i="25"/>
  <c r="Z159" i="25"/>
  <c r="O160" i="25"/>
  <c r="P160" i="25"/>
  <c r="Q160" i="25"/>
  <c r="R160" i="25"/>
  <c r="S160" i="25"/>
  <c r="T160" i="25"/>
  <c r="U160" i="25"/>
  <c r="V160" i="25"/>
  <c r="W160" i="25"/>
  <c r="X160" i="25"/>
  <c r="Y160" i="25"/>
  <c r="Z160" i="25"/>
  <c r="N163" i="25"/>
  <c r="O163" i="25"/>
  <c r="P163" i="25"/>
  <c r="Q163" i="25"/>
  <c r="R163" i="25"/>
  <c r="S163" i="25"/>
  <c r="T163" i="25"/>
  <c r="U163" i="25"/>
  <c r="V163" i="25"/>
  <c r="W163" i="25"/>
  <c r="X163" i="25"/>
  <c r="Y163" i="25"/>
  <c r="Z163" i="25"/>
  <c r="N164" i="25"/>
  <c r="O164" i="25"/>
  <c r="P164" i="25"/>
  <c r="Q164" i="25"/>
  <c r="R164" i="25"/>
  <c r="S164" i="25"/>
  <c r="T164" i="25"/>
  <c r="U164" i="25"/>
  <c r="V164" i="25"/>
  <c r="W164" i="25"/>
  <c r="X164" i="25"/>
  <c r="Y164" i="25"/>
  <c r="Z164" i="25"/>
  <c r="Z165" i="25"/>
  <c r="N171" i="25"/>
  <c r="O171" i="25"/>
  <c r="P171" i="25"/>
  <c r="Q171" i="25"/>
  <c r="R171" i="25"/>
  <c r="P172" i="25"/>
  <c r="Q172" i="25"/>
  <c r="R172" i="25"/>
  <c r="S172" i="25"/>
  <c r="T172" i="25"/>
  <c r="U172" i="25"/>
  <c r="V172" i="25"/>
  <c r="W172" i="25"/>
  <c r="X172" i="25"/>
  <c r="Y172" i="25"/>
  <c r="Z172" i="25"/>
  <c r="N173" i="25"/>
  <c r="O173" i="25"/>
  <c r="P173" i="25"/>
  <c r="Q173" i="25"/>
  <c r="R173" i="25"/>
  <c r="S173" i="25"/>
  <c r="T173" i="25"/>
  <c r="U173" i="25"/>
  <c r="V173" i="25"/>
  <c r="W173" i="25"/>
  <c r="X173" i="25"/>
  <c r="Y173" i="25"/>
  <c r="Z173" i="25"/>
  <c r="N174" i="25"/>
  <c r="O174" i="25"/>
  <c r="N175" i="25"/>
  <c r="O175" i="25"/>
  <c r="P175" i="25"/>
  <c r="Q175" i="25"/>
  <c r="R175" i="25"/>
  <c r="S175" i="25"/>
  <c r="T175" i="25"/>
  <c r="U175" i="25"/>
  <c r="V175" i="25"/>
  <c r="W175" i="25"/>
  <c r="X175" i="25"/>
  <c r="Y175" i="25"/>
  <c r="Z175" i="25"/>
  <c r="Q181" i="25"/>
  <c r="R181" i="25"/>
  <c r="S181" i="25"/>
  <c r="T181" i="25"/>
  <c r="U181" i="25"/>
  <c r="V181" i="25"/>
  <c r="W181" i="25"/>
  <c r="X181" i="25"/>
  <c r="Y181" i="25"/>
  <c r="Z181" i="25"/>
  <c r="Q184" i="25"/>
  <c r="R184" i="25"/>
  <c r="S184" i="25"/>
  <c r="T184" i="25"/>
  <c r="U184" i="25"/>
  <c r="V184" i="25"/>
  <c r="W184" i="25"/>
  <c r="X184" i="25"/>
  <c r="Y184" i="25"/>
  <c r="Z184" i="25"/>
  <c r="N188" i="25"/>
  <c r="O188" i="25"/>
  <c r="N189" i="25"/>
  <c r="O189" i="25"/>
  <c r="N190" i="25"/>
  <c r="O190" i="25"/>
  <c r="N194" i="25"/>
  <c r="O194" i="25"/>
  <c r="N196" i="25"/>
  <c r="O196" i="25"/>
  <c r="O199" i="25"/>
  <c r="O200" i="25"/>
  <c r="N202" i="25"/>
  <c r="O202" i="25"/>
  <c r="N203" i="25"/>
  <c r="O203" i="25"/>
  <c r="O205" i="25"/>
  <c r="O206" i="25"/>
  <c r="N208" i="25"/>
  <c r="O208" i="25"/>
  <c r="N209" i="25"/>
  <c r="O209" i="25"/>
  <c r="N221" i="25"/>
  <c r="O221" i="25"/>
  <c r="N222" i="25"/>
  <c r="O222" i="25"/>
  <c r="N224" i="25"/>
  <c r="O224" i="25"/>
  <c r="N227" i="25"/>
  <c r="O227" i="25"/>
  <c r="M228" i="25"/>
  <c r="N228" i="25"/>
  <c r="O228" i="25"/>
  <c r="O250" i="25"/>
  <c r="O251" i="25"/>
  <c r="O257" i="25"/>
  <c r="N260" i="25"/>
  <c r="O260" i="25"/>
  <c r="N265" i="25"/>
  <c r="O265" i="25"/>
  <c r="N268" i="25"/>
  <c r="O268" i="25"/>
  <c r="N271" i="25"/>
  <c r="O271" i="25"/>
  <c r="N274" i="25"/>
  <c r="O274" i="25"/>
  <c r="N277" i="25"/>
  <c r="O277" i="25"/>
  <c r="N280" i="25"/>
  <c r="O280" i="25"/>
  <c r="N283" i="25"/>
  <c r="O283" i="25"/>
  <c r="N286" i="25"/>
  <c r="O286" i="25"/>
  <c r="N287" i="25"/>
  <c r="O287" i="25"/>
  <c r="K292" i="25"/>
  <c r="L292" i="25"/>
  <c r="M292" i="25"/>
  <c r="N292" i="25"/>
  <c r="O292" i="25"/>
  <c r="P292" i="25"/>
  <c r="Q292" i="25"/>
  <c r="R292" i="25"/>
  <c r="S292" i="25"/>
  <c r="T292" i="25"/>
  <c r="K294" i="25"/>
  <c r="L294" i="25"/>
  <c r="M294" i="25"/>
  <c r="N294" i="25"/>
  <c r="O294" i="25"/>
  <c r="P294" i="25"/>
  <c r="Q294" i="25"/>
  <c r="R294" i="25"/>
  <c r="S294" i="25"/>
  <c r="T294" i="25"/>
  <c r="K298" i="25"/>
  <c r="L298" i="25"/>
  <c r="M298" i="25"/>
  <c r="N298" i="25"/>
  <c r="O298" i="25"/>
  <c r="P298" i="25"/>
  <c r="Q298" i="25"/>
  <c r="R298" i="25"/>
  <c r="S298" i="25"/>
  <c r="T298" i="25"/>
  <c r="K299" i="25"/>
  <c r="L299" i="25"/>
  <c r="M299" i="25"/>
  <c r="N299" i="25"/>
  <c r="O299" i="25"/>
  <c r="P299" i="25"/>
  <c r="Q299" i="25"/>
  <c r="R299" i="25"/>
  <c r="S299" i="25"/>
  <c r="T299" i="25"/>
  <c r="K301" i="25"/>
  <c r="L301" i="25"/>
  <c r="M301" i="25"/>
  <c r="N301" i="25"/>
  <c r="O301" i="25"/>
  <c r="P301" i="25"/>
  <c r="Q301" i="25"/>
  <c r="R301" i="25"/>
  <c r="S301" i="25"/>
  <c r="T301" i="25"/>
  <c r="K304" i="25"/>
  <c r="L304" i="25"/>
  <c r="M304" i="25"/>
  <c r="N304" i="25"/>
  <c r="O304" i="25"/>
  <c r="P304" i="25"/>
  <c r="Q304" i="25"/>
  <c r="R304" i="25"/>
  <c r="S304" i="25"/>
  <c r="T304" i="25"/>
  <c r="C305" i="25"/>
  <c r="D305" i="25"/>
  <c r="E305" i="25"/>
  <c r="F305" i="25"/>
  <c r="G305" i="25"/>
  <c r="H305" i="25"/>
  <c r="I305" i="25"/>
  <c r="J305" i="25"/>
  <c r="K305" i="25"/>
  <c r="L305" i="25"/>
  <c r="M305" i="25"/>
  <c r="N305" i="25"/>
  <c r="O305" i="25"/>
  <c r="P305" i="25"/>
  <c r="Q305" i="25"/>
  <c r="R305" i="25"/>
  <c r="S305" i="25"/>
  <c r="T305" i="25"/>
  <c r="K318" i="25"/>
  <c r="L318" i="25"/>
  <c r="M318" i="25"/>
  <c r="N318" i="25"/>
  <c r="O318" i="25"/>
  <c r="K319" i="25"/>
  <c r="L319" i="25"/>
  <c r="M319" i="25"/>
  <c r="N319" i="25"/>
  <c r="O319" i="25"/>
  <c r="L320" i="25"/>
  <c r="M320" i="25"/>
  <c r="N320" i="25"/>
  <c r="O320" i="25"/>
  <c r="M382" i="25"/>
  <c r="N382" i="25"/>
  <c r="O382" i="25"/>
  <c r="O383" i="25"/>
  <c r="O384" i="25"/>
  <c r="N385" i="25"/>
  <c r="O385" i="25"/>
  <c r="K386" i="25"/>
  <c r="L386" i="25"/>
  <c r="M386" i="25"/>
  <c r="N386" i="25"/>
  <c r="O386" i="25"/>
  <c r="K388" i="25"/>
  <c r="L388" i="25"/>
  <c r="M388" i="25"/>
  <c r="N388" i="25"/>
  <c r="O388" i="25"/>
  <c r="K389" i="25"/>
  <c r="L389" i="25"/>
  <c r="M389" i="25"/>
  <c r="N389" i="25"/>
  <c r="O389" i="25"/>
  <c r="K390" i="25"/>
  <c r="L390" i="25"/>
  <c r="M390" i="25"/>
  <c r="N390" i="25"/>
  <c r="O390" i="25"/>
  <c r="K392" i="25"/>
  <c r="L392" i="25"/>
  <c r="M392" i="25"/>
  <c r="N392" i="25"/>
  <c r="O392" i="25"/>
  <c r="K394" i="25"/>
  <c r="L394" i="25"/>
  <c r="M394" i="25"/>
  <c r="N394" i="25"/>
  <c r="O394" i="25"/>
  <c r="K397" i="25"/>
  <c r="L397" i="25"/>
  <c r="M397" i="25"/>
  <c r="N397" i="25"/>
  <c r="O397" i="25"/>
  <c r="K398" i="25"/>
  <c r="L398" i="25"/>
  <c r="M398" i="25"/>
  <c r="N398" i="25"/>
  <c r="O398" i="25"/>
  <c r="K400" i="25"/>
  <c r="L400" i="25"/>
  <c r="M400" i="25"/>
  <c r="N400" i="25"/>
  <c r="O400" i="25"/>
  <c r="K402" i="25"/>
  <c r="L402" i="25"/>
  <c r="M402" i="25"/>
  <c r="N402" i="25"/>
  <c r="O402" i="25"/>
  <c r="O403" i="25"/>
  <c r="O404" i="25"/>
  <c r="N405" i="25"/>
  <c r="O405" i="25"/>
  <c r="K407" i="25"/>
  <c r="L407" i="25"/>
  <c r="M407" i="25"/>
  <c r="N407" i="25"/>
  <c r="O407" i="25"/>
  <c r="K408" i="25"/>
  <c r="L408" i="25"/>
  <c r="M408" i="25"/>
  <c r="N408" i="25"/>
  <c r="O408" i="25"/>
  <c r="K409" i="25"/>
  <c r="L409" i="25"/>
  <c r="M409" i="25"/>
  <c r="N409" i="25"/>
  <c r="O409" i="25"/>
  <c r="K416" i="25"/>
  <c r="L416" i="25"/>
  <c r="N416" i="25"/>
  <c r="O416" i="25"/>
  <c r="P416" i="25"/>
  <c r="Q416" i="25"/>
  <c r="R416" i="25"/>
  <c r="S416" i="25"/>
  <c r="T416" i="25"/>
  <c r="K418" i="25"/>
  <c r="L418" i="25"/>
  <c r="N418" i="25"/>
  <c r="O418" i="25"/>
  <c r="P418" i="25"/>
  <c r="Q418" i="25"/>
  <c r="R418" i="25"/>
  <c r="S418" i="25"/>
  <c r="T418" i="25"/>
  <c r="A2" i="1"/>
  <c r="AJ2" i="1"/>
  <c r="AK2" i="1"/>
  <c r="AL2" i="1"/>
  <c r="BZ2" i="1"/>
  <c r="CH30" i="1"/>
  <c r="CI30" i="1"/>
  <c r="F542" i="1"/>
  <c r="F543" i="1"/>
  <c r="AI2" i="21"/>
  <c r="AJ2" i="21"/>
  <c r="F830" i="21"/>
  <c r="F831" i="21"/>
  <c r="C102" i="15"/>
  <c r="D102" i="15"/>
  <c r="G102" i="15"/>
  <c r="H102" i="15"/>
  <c r="I102" i="15"/>
  <c r="J102" i="15"/>
  <c r="M102" i="15"/>
  <c r="N102" i="15"/>
  <c r="O102" i="15"/>
  <c r="P102" i="15"/>
  <c r="B125" i="15"/>
  <c r="D125" i="15"/>
  <c r="I32" i="20"/>
  <c r="J32" i="20"/>
  <c r="K32" i="20"/>
  <c r="L32" i="20"/>
  <c r="I33" i="20"/>
  <c r="J33" i="20"/>
  <c r="K33" i="20"/>
  <c r="L33" i="20"/>
  <c r="I34" i="20"/>
  <c r="J34" i="20"/>
  <c r="K34" i="20"/>
  <c r="L34" i="20"/>
  <c r="J4" i="30"/>
  <c r="K28" i="30"/>
  <c r="J29" i="30"/>
  <c r="K29" i="30"/>
  <c r="J30" i="30"/>
  <c r="K30" i="30"/>
  <c r="J31" i="30"/>
  <c r="K31" i="30"/>
  <c r="J32" i="30"/>
  <c r="K32" i="30"/>
  <c r="J36" i="30"/>
  <c r="K36" i="30"/>
  <c r="J38" i="30"/>
  <c r="N38" i="30"/>
  <c r="O242" i="30"/>
  <c r="P242" i="30"/>
  <c r="Q242" i="30"/>
  <c r="E5" i="22"/>
  <c r="F5" i="22"/>
  <c r="G5" i="22"/>
  <c r="H5" i="22"/>
  <c r="J5" i="22"/>
  <c r="M5" i="22"/>
  <c r="F6" i="22"/>
  <c r="H6" i="22"/>
  <c r="M6" i="22"/>
  <c r="F12" i="22"/>
  <c r="M12" i="22"/>
  <c r="F13" i="22"/>
  <c r="M13" i="22"/>
  <c r="F15" i="22"/>
  <c r="M15" i="22"/>
  <c r="F18" i="22"/>
  <c r="M18" i="22"/>
  <c r="F19" i="22"/>
  <c r="N24" i="22"/>
  <c r="O24" i="22"/>
  <c r="N25" i="22"/>
  <c r="O25" i="22"/>
  <c r="M27" i="22"/>
  <c r="N27" i="22"/>
  <c r="O27" i="22"/>
  <c r="M28" i="22"/>
  <c r="N28" i="22"/>
  <c r="O28" i="22"/>
  <c r="M29" i="22"/>
  <c r="N29" i="22"/>
  <c r="O29" i="22"/>
  <c r="N31" i="22"/>
  <c r="O31" i="22"/>
  <c r="N32" i="22"/>
  <c r="O32" i="22"/>
  <c r="N33" i="22"/>
  <c r="O33" i="22"/>
  <c r="M35" i="22"/>
  <c r="N35" i="22"/>
  <c r="O35" i="22"/>
  <c r="M36" i="22"/>
  <c r="N36" i="22"/>
  <c r="O36" i="22"/>
  <c r="M40" i="22"/>
  <c r="N40" i="22"/>
  <c r="O40" i="22"/>
  <c r="M41" i="22"/>
  <c r="N41" i="22"/>
  <c r="O41" i="22"/>
  <c r="D45" i="22"/>
  <c r="D47" i="22"/>
  <c r="D48" i="22"/>
  <c r="D49" i="22"/>
  <c r="D52" i="22"/>
  <c r="D53" i="22"/>
  <c r="G5" i="27"/>
  <c r="H5" i="27"/>
  <c r="I5" i="27"/>
  <c r="J5" i="27"/>
  <c r="K5" i="27"/>
  <c r="L5" i="27"/>
  <c r="M5" i="27"/>
  <c r="G6" i="27"/>
  <c r="H6" i="27"/>
  <c r="I6" i="27"/>
  <c r="J6" i="27"/>
  <c r="K6" i="27"/>
  <c r="L6" i="27"/>
  <c r="M6" i="27"/>
  <c r="F8" i="27"/>
  <c r="G8" i="27"/>
  <c r="H8" i="27"/>
  <c r="I8" i="27"/>
  <c r="J8" i="27"/>
  <c r="K8" i="27"/>
  <c r="L8" i="27"/>
  <c r="M8" i="27"/>
  <c r="F9" i="27"/>
  <c r="G9" i="27"/>
  <c r="H9" i="27"/>
  <c r="I9" i="27"/>
  <c r="J9" i="27"/>
  <c r="K9" i="27"/>
  <c r="L9" i="27"/>
  <c r="M9" i="27"/>
  <c r="G11" i="27"/>
  <c r="H11" i="27"/>
  <c r="I11" i="27"/>
  <c r="J11" i="27"/>
  <c r="K11" i="27"/>
  <c r="L11" i="27"/>
  <c r="M11" i="27"/>
  <c r="G12" i="27"/>
  <c r="H12" i="27"/>
  <c r="I12" i="27"/>
  <c r="J12" i="27"/>
  <c r="K12" i="27"/>
  <c r="L12" i="27"/>
  <c r="M12" i="27"/>
  <c r="F14" i="27"/>
  <c r="G14" i="27"/>
  <c r="H14" i="27"/>
  <c r="I14" i="27"/>
  <c r="J14" i="27"/>
  <c r="K14" i="27"/>
  <c r="L14" i="27"/>
  <c r="M14" i="27"/>
  <c r="F15" i="27"/>
  <c r="G15" i="27"/>
  <c r="H15" i="27"/>
  <c r="I15" i="27"/>
  <c r="J15" i="27"/>
  <c r="K15" i="27"/>
  <c r="L15" i="27"/>
  <c r="M15" i="27"/>
  <c r="F17" i="27"/>
  <c r="G17" i="27"/>
  <c r="H17" i="27"/>
  <c r="I17" i="27"/>
  <c r="J17" i="27"/>
  <c r="K17" i="27"/>
  <c r="L17" i="27"/>
  <c r="M17" i="27"/>
  <c r="J18" i="27"/>
  <c r="K18" i="27"/>
  <c r="L18" i="27"/>
  <c r="M18" i="27"/>
  <c r="H19" i="27"/>
  <c r="I19" i="27"/>
  <c r="J19" i="27"/>
  <c r="K19" i="27"/>
  <c r="L19" i="27"/>
  <c r="M19" i="27"/>
  <c r="F21" i="27"/>
  <c r="G21" i="27"/>
  <c r="H21" i="27"/>
  <c r="I21" i="27"/>
  <c r="J21" i="27"/>
  <c r="K21" i="27"/>
  <c r="L21" i="27"/>
  <c r="M21" i="27"/>
  <c r="D24" i="27"/>
  <c r="E24" i="27"/>
  <c r="D25" i="27"/>
  <c r="E25" i="27"/>
  <c r="G25" i="27"/>
  <c r="H25" i="27"/>
  <c r="I25" i="27"/>
  <c r="J25" i="27"/>
  <c r="K25" i="27"/>
  <c r="L25" i="27"/>
  <c r="M25" i="27"/>
  <c r="G27" i="27"/>
  <c r="H27" i="27"/>
  <c r="I27" i="27"/>
  <c r="J27" i="27"/>
  <c r="K27" i="27"/>
  <c r="L27" i="27"/>
  <c r="M27" i="27"/>
  <c r="F28" i="27"/>
  <c r="G28" i="27"/>
  <c r="H28" i="27"/>
  <c r="I28" i="27"/>
  <c r="J28" i="27"/>
  <c r="K28" i="27"/>
  <c r="L28" i="27"/>
  <c r="M28" i="27"/>
  <c r="G30" i="27"/>
  <c r="H30" i="27"/>
  <c r="I30" i="27"/>
  <c r="J30" i="27"/>
  <c r="K30" i="27"/>
  <c r="L30" i="27"/>
  <c r="M30" i="27"/>
  <c r="D31" i="27"/>
  <c r="E31" i="27"/>
  <c r="G31" i="27"/>
  <c r="H31" i="27"/>
  <c r="I31" i="27"/>
  <c r="J31" i="27"/>
  <c r="K31" i="27"/>
  <c r="L31" i="27"/>
  <c r="M31" i="27"/>
  <c r="D32" i="27"/>
  <c r="E32" i="27"/>
  <c r="G32" i="27"/>
  <c r="H32" i="27"/>
  <c r="I32" i="27"/>
  <c r="J32" i="27"/>
  <c r="K32" i="27"/>
  <c r="L32" i="27"/>
  <c r="M32" i="27"/>
  <c r="M11" i="19"/>
  <c r="N11" i="19"/>
  <c r="M12" i="19"/>
  <c r="N12" i="19"/>
  <c r="N35" i="19"/>
  <c r="N36" i="19"/>
  <c r="N37" i="19"/>
  <c r="N38" i="19"/>
  <c r="N39" i="19"/>
  <c r="N40" i="19"/>
  <c r="N41" i="19"/>
  <c r="N42" i="19"/>
  <c r="C5" i="12"/>
  <c r="C6" i="12"/>
  <c r="M9" i="12"/>
  <c r="N9" i="12"/>
  <c r="O9" i="12"/>
  <c r="N10" i="12"/>
  <c r="O10" i="12"/>
  <c r="M11" i="12"/>
  <c r="N11" i="12"/>
  <c r="O11" i="12"/>
  <c r="M12" i="12"/>
  <c r="N12" i="12"/>
  <c r="O12" i="12"/>
  <c r="C18" i="12"/>
  <c r="D18" i="12"/>
  <c r="E18" i="12"/>
  <c r="F18" i="12"/>
  <c r="G18" i="12"/>
  <c r="H18" i="12"/>
  <c r="I18" i="12"/>
  <c r="J18" i="12"/>
  <c r="K18" i="12"/>
  <c r="L18" i="12"/>
  <c r="M18" i="12"/>
  <c r="N18" i="12"/>
  <c r="O18" i="12"/>
  <c r="C21" i="12"/>
  <c r="D21" i="12"/>
  <c r="E21" i="12"/>
  <c r="F21" i="12"/>
  <c r="G21" i="12"/>
  <c r="H21" i="12"/>
  <c r="I21" i="12"/>
  <c r="J21" i="12"/>
  <c r="K21" i="12"/>
  <c r="L21" i="12"/>
  <c r="M21" i="12"/>
  <c r="N21" i="12"/>
  <c r="O21" i="12"/>
  <c r="C22" i="12"/>
  <c r="D22" i="12"/>
  <c r="E22" i="12"/>
  <c r="F22" i="12"/>
  <c r="G22" i="12"/>
  <c r="H22" i="12"/>
  <c r="I22" i="12"/>
  <c r="J22" i="12"/>
  <c r="K22" i="12"/>
  <c r="L22" i="12"/>
  <c r="M22" i="12"/>
  <c r="N22" i="12"/>
  <c r="O22" i="12"/>
  <c r="C24" i="12"/>
  <c r="D24" i="12"/>
  <c r="E24" i="12"/>
  <c r="F24" i="12"/>
  <c r="G24" i="12"/>
  <c r="H24" i="12"/>
  <c r="I24" i="12"/>
  <c r="J24" i="12"/>
  <c r="K24" i="12"/>
  <c r="L24" i="12"/>
  <c r="M24" i="12"/>
  <c r="N24" i="12"/>
  <c r="O24" i="12"/>
  <c r="C26" i="12"/>
  <c r="D26" i="12"/>
  <c r="E26" i="12"/>
  <c r="F26" i="12"/>
  <c r="G26" i="12"/>
  <c r="H26" i="12"/>
  <c r="I26" i="12"/>
  <c r="J26" i="12"/>
  <c r="K26" i="12"/>
  <c r="L26" i="12"/>
  <c r="M26" i="12"/>
  <c r="N26" i="12"/>
  <c r="O26" i="12"/>
  <c r="L27" i="12"/>
  <c r="M27" i="12"/>
  <c r="N27" i="12"/>
  <c r="O27" i="12"/>
  <c r="N28" i="12"/>
  <c r="O28" i="12"/>
  <c r="C32" i="12"/>
  <c r="D32" i="12"/>
  <c r="E32" i="12"/>
  <c r="F32" i="12"/>
  <c r="G32" i="12"/>
  <c r="H32" i="12"/>
  <c r="I32" i="12"/>
  <c r="J32" i="12"/>
  <c r="K32" i="12"/>
  <c r="L32" i="12"/>
  <c r="M32" i="12"/>
  <c r="N32" i="12"/>
  <c r="O32" i="12"/>
  <c r="C36" i="12"/>
  <c r="D36" i="12"/>
  <c r="E36" i="12"/>
  <c r="F36" i="12"/>
  <c r="G36" i="12"/>
  <c r="H36" i="12"/>
  <c r="I36" i="12"/>
  <c r="J36" i="12"/>
  <c r="K36" i="12"/>
  <c r="L36" i="12"/>
  <c r="M36" i="12"/>
  <c r="N36" i="12"/>
  <c r="O36" i="12"/>
  <c r="C37" i="12"/>
  <c r="D37" i="12"/>
  <c r="E37" i="12"/>
  <c r="F37" i="12"/>
  <c r="G37" i="12"/>
  <c r="H37" i="12"/>
  <c r="I37" i="12"/>
  <c r="J37" i="12"/>
  <c r="K37" i="12"/>
  <c r="L37" i="12"/>
  <c r="M37" i="12"/>
  <c r="N37" i="12"/>
  <c r="O37" i="12"/>
  <c r="C39" i="12"/>
  <c r="D39" i="12"/>
  <c r="E39" i="12"/>
  <c r="F39" i="12"/>
  <c r="G39" i="12"/>
  <c r="H39" i="12"/>
  <c r="I39" i="12"/>
  <c r="J39" i="12"/>
  <c r="K39" i="12"/>
  <c r="L39" i="12"/>
  <c r="M39" i="12"/>
  <c r="N39" i="12"/>
  <c r="O39" i="12"/>
  <c r="D41" i="12"/>
  <c r="E41" i="12"/>
  <c r="F41" i="12"/>
  <c r="G41" i="12"/>
  <c r="H41" i="12"/>
  <c r="I41" i="12"/>
  <c r="J41" i="12"/>
  <c r="K41" i="12"/>
  <c r="L41" i="12"/>
  <c r="M41" i="12"/>
  <c r="N41" i="12"/>
  <c r="O41" i="12"/>
  <c r="C46" i="12"/>
  <c r="D46" i="12"/>
  <c r="E46" i="12"/>
  <c r="F46" i="12"/>
  <c r="G46" i="12"/>
  <c r="H46" i="12"/>
  <c r="I46" i="12"/>
  <c r="J46" i="12"/>
  <c r="K46" i="12"/>
  <c r="L46" i="12"/>
  <c r="M46" i="12"/>
  <c r="N46" i="12"/>
  <c r="O46" i="12"/>
  <c r="C47" i="12"/>
  <c r="D47" i="12"/>
  <c r="E47" i="12"/>
  <c r="F47" i="12"/>
  <c r="G47" i="12"/>
  <c r="H47" i="12"/>
  <c r="I47" i="12"/>
  <c r="J47" i="12"/>
  <c r="K47" i="12"/>
  <c r="L47" i="12"/>
  <c r="M47" i="12"/>
  <c r="N47" i="12"/>
  <c r="O47" i="12"/>
  <c r="C48" i="12"/>
  <c r="D48" i="12"/>
  <c r="E48" i="12"/>
  <c r="F48" i="12"/>
  <c r="G48" i="12"/>
  <c r="H48" i="12"/>
  <c r="I48" i="12"/>
  <c r="J48" i="12"/>
  <c r="K48" i="12"/>
  <c r="L48" i="12"/>
  <c r="M48" i="12"/>
  <c r="N48" i="12"/>
  <c r="O48" i="12"/>
  <c r="K49" i="12"/>
  <c r="L49" i="12"/>
  <c r="M49" i="12"/>
  <c r="N49" i="12"/>
  <c r="O49" i="12"/>
  <c r="K50" i="12"/>
  <c r="L50" i="12"/>
  <c r="M50" i="12"/>
  <c r="N50" i="12"/>
  <c r="O50" i="12"/>
  <c r="K51" i="12"/>
  <c r="L51" i="12"/>
  <c r="M51" i="12"/>
  <c r="N51" i="12"/>
  <c r="O51" i="12"/>
  <c r="C54" i="12"/>
  <c r="D54" i="12"/>
  <c r="E54" i="12"/>
  <c r="F54" i="12"/>
  <c r="G54" i="12"/>
  <c r="H54" i="12"/>
  <c r="I54" i="12"/>
  <c r="J54" i="12"/>
  <c r="K54" i="12"/>
  <c r="L54" i="12"/>
  <c r="M54" i="12"/>
  <c r="N54" i="12"/>
  <c r="O54" i="12"/>
  <c r="C55" i="12"/>
  <c r="D55" i="12"/>
  <c r="E55" i="12"/>
  <c r="F55" i="12"/>
  <c r="G55" i="12"/>
  <c r="H55" i="12"/>
  <c r="I55" i="12"/>
  <c r="J55" i="12"/>
  <c r="K55" i="12"/>
  <c r="L55" i="12"/>
  <c r="M55" i="12"/>
  <c r="N55" i="12"/>
  <c r="O55" i="12"/>
  <c r="C56" i="12"/>
  <c r="D56" i="12"/>
  <c r="E56" i="12"/>
  <c r="F56" i="12"/>
  <c r="G56" i="12"/>
  <c r="H56" i="12"/>
  <c r="I56" i="12"/>
  <c r="J56" i="12"/>
  <c r="K56" i="12"/>
  <c r="L56" i="12"/>
  <c r="M56" i="12"/>
  <c r="N56" i="12"/>
  <c r="O56" i="12"/>
  <c r="C57" i="12"/>
  <c r="D57" i="12"/>
  <c r="E57" i="12"/>
  <c r="F57" i="12"/>
  <c r="G57" i="12"/>
  <c r="H57" i="12"/>
  <c r="I57" i="12"/>
  <c r="J57" i="12"/>
  <c r="K57" i="12"/>
  <c r="L57" i="12"/>
  <c r="M57" i="12"/>
  <c r="N57" i="12"/>
  <c r="O57" i="12"/>
  <c r="C58" i="12"/>
  <c r="D58" i="12"/>
  <c r="E58" i="12"/>
  <c r="F58" i="12"/>
  <c r="G58" i="12"/>
  <c r="H58" i="12"/>
  <c r="I58" i="12"/>
  <c r="J58" i="12"/>
  <c r="K58" i="12"/>
  <c r="L58" i="12"/>
  <c r="M58" i="12"/>
  <c r="N58" i="12"/>
  <c r="O58" i="12"/>
  <c r="C59" i="12"/>
  <c r="D59" i="12"/>
  <c r="E59" i="12"/>
  <c r="F59" i="12"/>
  <c r="G59" i="12"/>
  <c r="H59" i="12"/>
  <c r="I59" i="12"/>
  <c r="J59" i="12"/>
  <c r="K59" i="12"/>
  <c r="L59" i="12"/>
  <c r="M59" i="12"/>
  <c r="N59" i="12"/>
  <c r="O59" i="12"/>
  <c r="C65" i="12"/>
  <c r="D65" i="12"/>
  <c r="E65" i="12"/>
  <c r="F65" i="12"/>
  <c r="G65" i="12"/>
  <c r="H65" i="12"/>
  <c r="I65" i="12"/>
  <c r="J65" i="12"/>
  <c r="K65" i="12"/>
  <c r="L65" i="12"/>
  <c r="M65" i="12"/>
  <c r="N65" i="12"/>
  <c r="O65" i="12"/>
  <c r="C68" i="12"/>
  <c r="D68" i="12"/>
  <c r="E68" i="12"/>
  <c r="F68" i="12"/>
  <c r="G68" i="12"/>
  <c r="H68" i="12"/>
  <c r="I68" i="12"/>
  <c r="J68" i="12"/>
  <c r="K68" i="12"/>
  <c r="L68" i="12"/>
  <c r="M68" i="12"/>
  <c r="N68" i="12"/>
  <c r="O68" i="12"/>
  <c r="N71" i="12"/>
  <c r="O71" i="12"/>
  <c r="C75" i="12"/>
  <c r="D75" i="12"/>
  <c r="E75" i="12"/>
  <c r="F75" i="12"/>
  <c r="G75" i="12"/>
  <c r="H75" i="12"/>
  <c r="I75" i="12"/>
  <c r="J75" i="12"/>
  <c r="K75" i="12"/>
  <c r="L75" i="12"/>
  <c r="M75" i="12"/>
  <c r="N75" i="12"/>
  <c r="O75" i="12"/>
  <c r="L76" i="12"/>
  <c r="M76" i="12"/>
  <c r="N76" i="12"/>
  <c r="O76" i="12"/>
  <c r="C77" i="12"/>
  <c r="D77" i="12"/>
  <c r="E77" i="12"/>
  <c r="F77" i="12"/>
  <c r="G77" i="12"/>
  <c r="H77" i="12"/>
  <c r="I77" i="12"/>
  <c r="J77" i="12"/>
  <c r="K77" i="12"/>
  <c r="L77" i="12"/>
  <c r="M77" i="12"/>
  <c r="N77" i="12"/>
  <c r="O77" i="12"/>
  <c r="C78" i="12"/>
  <c r="D78" i="12"/>
  <c r="E78" i="12"/>
  <c r="F78" i="12"/>
  <c r="G78" i="12"/>
  <c r="H78" i="12"/>
  <c r="I78" i="12"/>
  <c r="J78" i="12"/>
  <c r="K78" i="12"/>
  <c r="L78" i="12"/>
  <c r="M78" i="12"/>
  <c r="N78" i="12"/>
  <c r="O78" i="12"/>
  <c r="M83" i="12"/>
  <c r="N83" i="12"/>
  <c r="O83" i="12"/>
  <c r="M84" i="12"/>
  <c r="N84" i="12"/>
  <c r="O84" i="12"/>
  <c r="M85" i="12"/>
  <c r="N85" i="12"/>
  <c r="O85" i="12"/>
  <c r="K86" i="12"/>
  <c r="L86" i="12"/>
  <c r="M86" i="12"/>
  <c r="N86" i="12"/>
  <c r="O86" i="12"/>
  <c r="K87" i="12"/>
  <c r="L87" i="12"/>
  <c r="M87" i="12"/>
  <c r="N87" i="12"/>
  <c r="O87" i="12"/>
  <c r="K89" i="12"/>
  <c r="L89" i="12"/>
  <c r="M89" i="12"/>
  <c r="N89" i="12"/>
  <c r="O89" i="12"/>
  <c r="L90" i="12"/>
  <c r="M90" i="12"/>
  <c r="N90" i="12"/>
  <c r="O90" i="12"/>
  <c r="K91" i="12"/>
  <c r="L91" i="12"/>
  <c r="M91" i="12"/>
  <c r="N91" i="12"/>
  <c r="O91" i="12"/>
  <c r="M5" i="29"/>
  <c r="N5" i="29"/>
  <c r="O5" i="29"/>
  <c r="P5" i="29"/>
  <c r="Q5" i="29"/>
  <c r="R5" i="29"/>
  <c r="S5" i="29"/>
  <c r="T5" i="29"/>
  <c r="U5" i="29"/>
  <c r="V5" i="29"/>
  <c r="W5" i="29"/>
  <c r="X5" i="29"/>
  <c r="Y5" i="29"/>
  <c r="Z5" i="29"/>
  <c r="N6" i="29"/>
  <c r="O6" i="29"/>
  <c r="P6" i="29"/>
  <c r="Q6" i="29"/>
  <c r="R6" i="29"/>
  <c r="S6" i="29"/>
  <c r="T6" i="29"/>
  <c r="U6" i="29"/>
  <c r="V6" i="29"/>
  <c r="W6" i="29"/>
  <c r="X6" i="29"/>
  <c r="Y6" i="29"/>
  <c r="Z6" i="29"/>
  <c r="L8" i="29"/>
  <c r="M8" i="29"/>
  <c r="L9" i="29"/>
  <c r="M9" i="29"/>
  <c r="N9" i="29"/>
  <c r="O9" i="29"/>
  <c r="P9" i="29"/>
  <c r="Q9" i="29"/>
  <c r="R9" i="29"/>
  <c r="S9" i="29"/>
  <c r="T9" i="29"/>
  <c r="U9" i="29"/>
  <c r="V9" i="29"/>
  <c r="W9" i="29"/>
  <c r="X9" i="29"/>
  <c r="Y9" i="29"/>
  <c r="Z9" i="29"/>
  <c r="AA9" i="29"/>
  <c r="AB9" i="29"/>
  <c r="AC9" i="29"/>
  <c r="AD9" i="29"/>
  <c r="AE9" i="29"/>
  <c r="AF9" i="29"/>
  <c r="AG9" i="29"/>
  <c r="AH9" i="29"/>
  <c r="L11" i="29"/>
  <c r="M11" i="29"/>
  <c r="N11" i="29"/>
  <c r="O11" i="29"/>
  <c r="P11" i="29"/>
  <c r="Q11" i="29"/>
  <c r="R11" i="29"/>
  <c r="S11" i="29"/>
  <c r="T11" i="29"/>
  <c r="U11" i="29"/>
  <c r="V11" i="29"/>
  <c r="W11" i="29"/>
  <c r="X11" i="29"/>
  <c r="Y11" i="29"/>
  <c r="Z11" i="29"/>
  <c r="AA11" i="29"/>
  <c r="AB11" i="29"/>
  <c r="AC11" i="29"/>
  <c r="AD11" i="29"/>
  <c r="AE11" i="29"/>
  <c r="AF11" i="29"/>
  <c r="AG11" i="29"/>
  <c r="AH11" i="29"/>
  <c r="L12" i="29"/>
  <c r="M12" i="29"/>
  <c r="N12" i="29"/>
  <c r="O12" i="29"/>
  <c r="P12" i="29"/>
  <c r="Q12" i="29"/>
  <c r="R12" i="29"/>
  <c r="S12" i="29"/>
  <c r="T12" i="29"/>
  <c r="U12" i="29"/>
  <c r="V12" i="29"/>
  <c r="W12" i="29"/>
  <c r="X12" i="29"/>
  <c r="Y12" i="29"/>
  <c r="Z12" i="29"/>
  <c r="N15" i="29"/>
  <c r="O15" i="29"/>
  <c r="P15" i="29"/>
  <c r="Q15" i="29"/>
  <c r="R15" i="29"/>
  <c r="S15" i="29"/>
  <c r="T15" i="29"/>
  <c r="U15" i="29"/>
  <c r="V15" i="29"/>
  <c r="W15" i="29"/>
  <c r="X15" i="29"/>
  <c r="Y15" i="29"/>
  <c r="Z15" i="29"/>
  <c r="AA15" i="29"/>
  <c r="AB15" i="29"/>
  <c r="AC15" i="29"/>
  <c r="AD15" i="29"/>
  <c r="AE15" i="29"/>
  <c r="AF15" i="29"/>
  <c r="AG15" i="29"/>
  <c r="AH15" i="29"/>
  <c r="N16" i="29"/>
  <c r="O16" i="29"/>
  <c r="P16" i="29"/>
  <c r="Q16" i="29"/>
  <c r="R16" i="29"/>
  <c r="S16" i="29"/>
  <c r="T16" i="29"/>
  <c r="U16" i="29"/>
  <c r="V16" i="29"/>
  <c r="W16" i="29"/>
  <c r="X16" i="29"/>
  <c r="Y16" i="29"/>
  <c r="Z16" i="29"/>
  <c r="AA16" i="29"/>
  <c r="AB16" i="29"/>
  <c r="AC16" i="29"/>
  <c r="AD16" i="29"/>
  <c r="AE16" i="29"/>
  <c r="AF16" i="29"/>
  <c r="AG16" i="29"/>
  <c r="AH16" i="29"/>
  <c r="N18" i="29"/>
  <c r="O18" i="29"/>
  <c r="P18" i="29"/>
  <c r="Q18" i="29"/>
  <c r="R18" i="29"/>
  <c r="S18" i="29"/>
  <c r="T18" i="29"/>
  <c r="U18" i="29"/>
  <c r="V18" i="29"/>
  <c r="W18" i="29"/>
  <c r="X18" i="29"/>
  <c r="Y18" i="29"/>
  <c r="Z18" i="29"/>
  <c r="N19" i="29"/>
  <c r="O19" i="29"/>
  <c r="P19" i="29"/>
  <c r="Q19" i="29"/>
  <c r="R19" i="29"/>
  <c r="S19" i="29"/>
  <c r="T19" i="29"/>
  <c r="U19" i="29"/>
  <c r="V19" i="29"/>
  <c r="W19" i="29"/>
  <c r="X19" i="29"/>
  <c r="Y19" i="29"/>
  <c r="Z19" i="29"/>
  <c r="N21" i="29"/>
  <c r="O21" i="29"/>
  <c r="P21" i="29"/>
  <c r="Q21" i="29"/>
  <c r="R21" i="29"/>
  <c r="S21" i="29"/>
  <c r="T21" i="29"/>
  <c r="U21" i="29"/>
  <c r="V21" i="29"/>
  <c r="W21" i="29"/>
  <c r="X21" i="29"/>
  <c r="Y21" i="29"/>
  <c r="Z21" i="29"/>
  <c r="C27" i="29"/>
  <c r="E27" i="29"/>
  <c r="C28" i="29"/>
  <c r="E28" i="29"/>
  <c r="C29" i="29"/>
  <c r="E29" i="29"/>
  <c r="C30" i="29"/>
  <c r="C31" i="29"/>
  <c r="E31" i="29"/>
  <c r="C32" i="29"/>
  <c r="E32" i="29"/>
  <c r="C34" i="29"/>
  <c r="E34" i="29"/>
  <c r="C35" i="29"/>
  <c r="E35" i="29"/>
  <c r="C36" i="29"/>
  <c r="E36" i="29"/>
  <c r="C37" i="29"/>
  <c r="C40" i="29"/>
  <c r="E40" i="29"/>
  <c r="N48" i="29"/>
  <c r="O48" i="29"/>
  <c r="P48" i="29"/>
  <c r="Q48" i="29"/>
  <c r="R48" i="29"/>
  <c r="S48" i="29"/>
  <c r="T48" i="29"/>
  <c r="U48" i="29"/>
  <c r="V48" i="29"/>
  <c r="W48" i="29"/>
  <c r="X48" i="29"/>
  <c r="Y48" i="29"/>
  <c r="Z48" i="29"/>
  <c r="N49" i="29"/>
  <c r="O49" i="29"/>
  <c r="P49" i="29"/>
  <c r="Q49" i="29"/>
  <c r="R49" i="29"/>
  <c r="S49" i="29"/>
  <c r="T49" i="29"/>
  <c r="U49" i="29"/>
  <c r="V49" i="29"/>
  <c r="W49" i="29"/>
  <c r="X49" i="29"/>
  <c r="Y49" i="29"/>
  <c r="Z49" i="29"/>
  <c r="N52" i="29"/>
  <c r="O52" i="29"/>
  <c r="P52" i="29"/>
  <c r="Q52" i="29"/>
  <c r="R52" i="29"/>
  <c r="S52" i="29"/>
  <c r="T52" i="29"/>
  <c r="U52" i="29"/>
  <c r="V52" i="29"/>
  <c r="W52" i="29"/>
  <c r="X52" i="29"/>
  <c r="Y52" i="29"/>
  <c r="Z52" i="29"/>
  <c r="N54" i="29"/>
  <c r="O54" i="29"/>
  <c r="P54" i="29"/>
  <c r="Q54" i="29"/>
  <c r="R54" i="29"/>
  <c r="S54" i="29"/>
  <c r="T54" i="29"/>
  <c r="U54" i="29"/>
  <c r="V54" i="29"/>
  <c r="W54" i="29"/>
  <c r="X54" i="29"/>
  <c r="Y54" i="29"/>
  <c r="Z54" i="29"/>
  <c r="N55" i="29"/>
  <c r="O55" i="29"/>
  <c r="P55" i="29"/>
  <c r="Q55" i="29"/>
  <c r="R55" i="29"/>
  <c r="S55" i="29"/>
  <c r="T55" i="29"/>
  <c r="U55" i="29"/>
  <c r="V55" i="29"/>
  <c r="W55" i="29"/>
  <c r="X55" i="29"/>
  <c r="Y55" i="29"/>
  <c r="Z55" i="29"/>
  <c r="C63" i="29"/>
  <c r="C64" i="29"/>
  <c r="C65" i="29"/>
  <c r="C66" i="29"/>
  <c r="C67" i="29"/>
  <c r="C68" i="29"/>
  <c r="C69" i="29"/>
  <c r="C70" i="29"/>
  <c r="E492" i="14"/>
  <c r="F492" i="14"/>
  <c r="G492" i="14"/>
  <c r="H492" i="14"/>
  <c r="I492" i="14"/>
  <c r="J492" i="14"/>
  <c r="K492" i="14"/>
  <c r="L492" i="14"/>
  <c r="M492" i="14"/>
  <c r="N492" i="14"/>
  <c r="O492" i="14"/>
  <c r="P492" i="14"/>
  <c r="Q492" i="14"/>
  <c r="T492" i="14"/>
  <c r="E493" i="14"/>
  <c r="F493" i="14"/>
  <c r="G493" i="14"/>
  <c r="H493" i="14"/>
  <c r="I493" i="14"/>
  <c r="J493" i="14"/>
  <c r="K493" i="14"/>
  <c r="L493" i="14"/>
  <c r="M493" i="14"/>
  <c r="N493" i="14"/>
  <c r="O493" i="14"/>
  <c r="P493" i="14"/>
  <c r="Q493" i="14"/>
  <c r="T493" i="14"/>
  <c r="E495" i="14"/>
  <c r="F495" i="14"/>
  <c r="G495" i="14"/>
  <c r="H495" i="14"/>
  <c r="I495" i="14"/>
  <c r="J495" i="14"/>
  <c r="K495" i="14"/>
  <c r="L495" i="14"/>
  <c r="M495" i="14"/>
  <c r="N495" i="14"/>
  <c r="O495" i="14"/>
  <c r="P495" i="14"/>
  <c r="Q495" i="14"/>
  <c r="T495" i="14"/>
  <c r="E496" i="14"/>
  <c r="F496" i="14"/>
  <c r="G496" i="14"/>
  <c r="H496" i="14"/>
  <c r="I496" i="14"/>
  <c r="J496" i="14"/>
  <c r="K496" i="14"/>
  <c r="L496" i="14"/>
  <c r="M496" i="14"/>
  <c r="N496" i="14"/>
  <c r="O496" i="14"/>
  <c r="P496" i="14"/>
  <c r="Q496" i="14"/>
  <c r="T496" i="14"/>
  <c r="D498" i="14"/>
  <c r="E498" i="14"/>
  <c r="F498" i="14"/>
  <c r="G498" i="14"/>
  <c r="H498" i="14"/>
  <c r="I498" i="14"/>
  <c r="J498" i="14"/>
  <c r="K498" i="14"/>
  <c r="L498" i="14"/>
  <c r="M498" i="14"/>
  <c r="N498" i="14"/>
  <c r="O498" i="14"/>
  <c r="P498" i="14"/>
  <c r="Q498" i="14"/>
  <c r="T498" i="14"/>
  <c r="E499" i="14"/>
  <c r="F499" i="14"/>
  <c r="G499" i="14"/>
  <c r="H499" i="14"/>
  <c r="I499" i="14"/>
  <c r="J499" i="14"/>
  <c r="K499" i="14"/>
  <c r="L499" i="14"/>
  <c r="M499" i="14"/>
  <c r="N499" i="14"/>
  <c r="O499" i="14"/>
  <c r="P499" i="14"/>
  <c r="Q499" i="14"/>
  <c r="D501" i="14"/>
  <c r="E501" i="14"/>
  <c r="F501" i="14"/>
  <c r="G501" i="14"/>
  <c r="H501" i="14"/>
  <c r="I501" i="14"/>
  <c r="J501" i="14"/>
  <c r="K501" i="14"/>
  <c r="L501" i="14"/>
  <c r="M501" i="14"/>
  <c r="N501" i="14"/>
  <c r="O501" i="14"/>
  <c r="P501" i="14"/>
  <c r="Q501" i="14"/>
  <c r="C503" i="14"/>
  <c r="D503" i="14"/>
  <c r="V503" i="14"/>
  <c r="W503" i="14"/>
  <c r="H504" i="14"/>
  <c r="I504" i="14"/>
  <c r="J504" i="14"/>
  <c r="K504" i="14"/>
  <c r="L504" i="14"/>
  <c r="M504" i="14"/>
  <c r="N504" i="14"/>
  <c r="O504" i="14"/>
  <c r="P504" i="14"/>
  <c r="Q504" i="14"/>
  <c r="AA504" i="14"/>
  <c r="AB504" i="14"/>
  <c r="C506" i="14"/>
  <c r="D506" i="14"/>
  <c r="E506" i="14"/>
  <c r="F506" i="14"/>
  <c r="G506" i="14"/>
  <c r="H506" i="14"/>
  <c r="I506" i="14"/>
  <c r="J506" i="14"/>
  <c r="K506" i="14"/>
  <c r="L506" i="14"/>
  <c r="M506" i="14"/>
  <c r="N506" i="14"/>
  <c r="O506" i="14"/>
  <c r="P506" i="14"/>
  <c r="Q506" i="14"/>
  <c r="V506" i="14"/>
  <c r="W506" i="14"/>
  <c r="X506" i="14"/>
  <c r="Y506" i="14"/>
  <c r="Z506" i="14"/>
  <c r="AA506" i="14"/>
  <c r="AB506" i="14"/>
  <c r="C507" i="14"/>
  <c r="E507" i="14"/>
  <c r="F507" i="14"/>
  <c r="G507" i="14"/>
  <c r="H507" i="14"/>
  <c r="I507" i="14"/>
  <c r="J507" i="14"/>
  <c r="K507" i="14"/>
  <c r="L507" i="14"/>
  <c r="M507" i="14"/>
  <c r="N507" i="14"/>
  <c r="O507" i="14"/>
  <c r="P507" i="14"/>
  <c r="Q507" i="14"/>
  <c r="V507" i="14"/>
  <c r="W507" i="14"/>
  <c r="X507" i="14"/>
  <c r="Y507" i="14"/>
  <c r="Z507" i="14"/>
  <c r="AA507" i="14"/>
  <c r="AB507" i="14"/>
  <c r="E511" i="14"/>
  <c r="F511" i="14"/>
  <c r="G511" i="14"/>
  <c r="H511" i="14"/>
  <c r="I511" i="14"/>
  <c r="J511" i="14"/>
  <c r="K511" i="14"/>
  <c r="L511" i="14"/>
  <c r="M511" i="14"/>
  <c r="N511" i="14"/>
  <c r="O511" i="14"/>
  <c r="P511" i="14"/>
  <c r="Q511" i="14"/>
  <c r="E512" i="14"/>
  <c r="F512" i="14"/>
  <c r="W512" i="14"/>
  <c r="X512" i="14"/>
  <c r="Y512" i="14"/>
  <c r="Z512" i="14"/>
  <c r="AA512" i="14"/>
  <c r="AB512" i="14"/>
  <c r="E513" i="14"/>
  <c r="F513" i="14"/>
  <c r="G513" i="14"/>
  <c r="H513" i="14"/>
  <c r="I513" i="14"/>
  <c r="J513" i="14"/>
  <c r="K513" i="14"/>
  <c r="L513" i="14"/>
  <c r="M513" i="14"/>
  <c r="N513" i="14"/>
  <c r="O513" i="14"/>
  <c r="P513" i="14"/>
  <c r="Q513" i="14"/>
  <c r="W513" i="14"/>
  <c r="X513" i="14"/>
  <c r="Y513" i="14"/>
  <c r="Z513" i="14"/>
  <c r="AA513" i="14"/>
  <c r="AB513" i="14"/>
  <c r="D514" i="14"/>
  <c r="E514" i="14"/>
  <c r="F514" i="14"/>
  <c r="G514" i="14"/>
  <c r="H514" i="14"/>
  <c r="I514" i="14"/>
  <c r="J514" i="14"/>
  <c r="K514" i="14"/>
  <c r="L514" i="14"/>
  <c r="M514" i="14"/>
  <c r="N514" i="14"/>
  <c r="O514" i="14"/>
  <c r="P514" i="14"/>
  <c r="Q514" i="14"/>
  <c r="E516" i="14"/>
  <c r="F516" i="14"/>
  <c r="G516" i="14"/>
  <c r="H516" i="14"/>
  <c r="I516" i="14"/>
  <c r="J516" i="14"/>
  <c r="K516" i="14"/>
  <c r="L516" i="14"/>
  <c r="M516" i="14"/>
  <c r="N516" i="14"/>
  <c r="O516" i="14"/>
  <c r="P516" i="14"/>
  <c r="Q516" i="14"/>
  <c r="D517" i="14"/>
  <c r="E517" i="14"/>
  <c r="F517" i="14"/>
  <c r="G517" i="14"/>
  <c r="H517" i="14"/>
  <c r="I517" i="14"/>
  <c r="J517" i="14"/>
  <c r="K517" i="14"/>
  <c r="L517" i="14"/>
  <c r="M517" i="14"/>
  <c r="N517" i="14"/>
  <c r="O517" i="14"/>
  <c r="P517" i="14"/>
  <c r="Q517" i="14"/>
  <c r="D521" i="14"/>
  <c r="E521" i="14"/>
  <c r="F521" i="14"/>
  <c r="G521" i="14"/>
  <c r="H521" i="14"/>
  <c r="I521" i="14"/>
  <c r="E527" i="14"/>
  <c r="F527" i="14"/>
  <c r="G527" i="14"/>
  <c r="H527" i="14"/>
  <c r="I527" i="14"/>
  <c r="F534" i="14"/>
  <c r="G534" i="14"/>
  <c r="H534" i="14"/>
  <c r="I534" i="14"/>
  <c r="C536" i="14"/>
  <c r="D536" i="14"/>
  <c r="E536" i="14"/>
  <c r="F536" i="14"/>
  <c r="G536" i="14"/>
  <c r="H536" i="14"/>
  <c r="I536" i="14"/>
  <c r="J536" i="14"/>
  <c r="K536" i="14"/>
  <c r="C538" i="14"/>
  <c r="D538" i="14"/>
  <c r="E538" i="14"/>
  <c r="F538" i="14"/>
  <c r="G538" i="14"/>
  <c r="H538" i="14"/>
  <c r="I538" i="14"/>
  <c r="J538" i="14"/>
  <c r="K538" i="14"/>
  <c r="C543" i="14"/>
  <c r="C546" i="14"/>
  <c r="C555" i="14"/>
  <c r="C556" i="14"/>
  <c r="E556" i="14"/>
  <c r="C561" i="14"/>
  <c r="I580" i="14"/>
  <c r="K580" i="14"/>
  <c r="L580" i="14"/>
  <c r="M580" i="14"/>
  <c r="N580" i="14"/>
  <c r="O580" i="14"/>
  <c r="J581" i="14"/>
  <c r="K581" i="14"/>
  <c r="L581" i="14"/>
  <c r="M581" i="14"/>
  <c r="N581" i="14"/>
  <c r="O581" i="14"/>
  <c r="R581" i="14"/>
  <c r="J582" i="14"/>
  <c r="K582" i="14"/>
  <c r="L582" i="14"/>
  <c r="M582" i="14"/>
  <c r="N582" i="14"/>
  <c r="O582" i="14"/>
  <c r="I588" i="14"/>
  <c r="I589" i="14"/>
  <c r="Q589" i="14"/>
  <c r="R589" i="14"/>
  <c r="I593" i="14"/>
  <c r="I594" i="14"/>
  <c r="J594" i="14"/>
  <c r="K603" i="14"/>
  <c r="L603" i="14"/>
  <c r="M603" i="14"/>
  <c r="N603" i="14"/>
  <c r="O603" i="14"/>
  <c r="K605" i="14"/>
  <c r="L605" i="14"/>
  <c r="M605" i="14"/>
  <c r="N605" i="14"/>
  <c r="O605" i="14"/>
  <c r="H649" i="14"/>
  <c r="I649" i="14"/>
  <c r="J649" i="14"/>
  <c r="H650" i="14"/>
  <c r="I650" i="14"/>
  <c r="J650" i="14"/>
  <c r="H652" i="14"/>
  <c r="I652" i="14"/>
  <c r="J652" i="14"/>
  <c r="H653" i="14"/>
  <c r="I653" i="14"/>
  <c r="J653" i="14"/>
  <c r="E655" i="14"/>
  <c r="F655" i="14"/>
  <c r="H655" i="14"/>
  <c r="I655" i="14"/>
  <c r="J655" i="14"/>
  <c r="E657" i="14"/>
  <c r="F657" i="14"/>
  <c r="H657" i="14"/>
  <c r="I657" i="14"/>
  <c r="J657" i="14"/>
  <c r="H658" i="14"/>
  <c r="E670" i="14"/>
  <c r="G670" i="14"/>
  <c r="H670" i="14"/>
  <c r="I670" i="14"/>
  <c r="J670" i="14"/>
  <c r="K670" i="14"/>
  <c r="E674" i="14"/>
  <c r="G674" i="14"/>
  <c r="H674" i="14"/>
  <c r="I674" i="14"/>
  <c r="J674" i="14"/>
  <c r="K674" i="14"/>
  <c r="G698" i="14"/>
  <c r="H698" i="14"/>
  <c r="I698" i="14"/>
  <c r="J698" i="14"/>
  <c r="K698" i="14"/>
  <c r="L698" i="14"/>
  <c r="M698" i="14"/>
  <c r="G700" i="14"/>
  <c r="H700" i="14"/>
  <c r="I700" i="14"/>
  <c r="J700" i="14"/>
  <c r="K700" i="14"/>
  <c r="F702" i="14"/>
  <c r="G702" i="14"/>
  <c r="H702" i="14"/>
  <c r="I702" i="14"/>
  <c r="J702" i="14"/>
  <c r="K702" i="14"/>
  <c r="L702" i="14"/>
  <c r="M702" i="14"/>
  <c r="G704" i="14"/>
  <c r="H704" i="14"/>
  <c r="I704" i="14"/>
  <c r="J704" i="14"/>
  <c r="K704" i="14"/>
  <c r="G706" i="14"/>
  <c r="H706" i="14"/>
  <c r="I706" i="14"/>
  <c r="J706" i="14"/>
  <c r="K706" i="14"/>
  <c r="L706" i="14"/>
  <c r="M706" i="14"/>
  <c r="G708" i="14"/>
  <c r="H708" i="14"/>
  <c r="I708" i="14"/>
  <c r="J708" i="14"/>
  <c r="K708" i="14"/>
  <c r="G713" i="14"/>
  <c r="H713" i="14"/>
  <c r="I713" i="14"/>
  <c r="J713" i="14"/>
  <c r="K713" i="14"/>
  <c r="L713" i="14"/>
  <c r="M713" i="14"/>
  <c r="G717" i="14"/>
  <c r="H717" i="14"/>
  <c r="I717" i="14"/>
  <c r="J717" i="14"/>
  <c r="K717" i="14"/>
  <c r="L717" i="14"/>
  <c r="M717" i="14"/>
  <c r="G723" i="14"/>
  <c r="H723" i="14"/>
  <c r="I723" i="14"/>
  <c r="J723" i="14"/>
  <c r="K723" i="14"/>
  <c r="L723" i="14"/>
  <c r="M723" i="14"/>
  <c r="G725" i="14"/>
  <c r="H725" i="14"/>
  <c r="I725" i="14"/>
  <c r="J725" i="14"/>
  <c r="K725" i="14"/>
  <c r="L725" i="14"/>
  <c r="M725" i="14"/>
  <c r="G727" i="14"/>
  <c r="H727" i="14"/>
  <c r="G729" i="14"/>
  <c r="H729" i="14"/>
  <c r="G790" i="14"/>
  <c r="H790" i="14"/>
  <c r="D822" i="14"/>
  <c r="E822" i="14"/>
  <c r="F822" i="14"/>
  <c r="G822" i="14"/>
  <c r="H822" i="14"/>
  <c r="I822" i="14"/>
  <c r="J822" i="14"/>
  <c r="K822" i="14"/>
  <c r="L822" i="14"/>
  <c r="M822" i="14"/>
  <c r="N822" i="14"/>
  <c r="O822" i="14"/>
  <c r="P822" i="14"/>
  <c r="Q822" i="14"/>
  <c r="D823" i="14"/>
  <c r="E823" i="14"/>
  <c r="F823" i="14"/>
  <c r="G823" i="14"/>
  <c r="H823" i="14"/>
  <c r="I823" i="14"/>
  <c r="J823" i="14"/>
  <c r="K823" i="14"/>
  <c r="L823" i="14"/>
  <c r="M823" i="14"/>
  <c r="N823" i="14"/>
  <c r="O823" i="14"/>
  <c r="P823" i="14"/>
  <c r="Q823" i="14"/>
  <c r="D824" i="14"/>
  <c r="E824" i="14"/>
  <c r="F824" i="14"/>
  <c r="G824" i="14"/>
  <c r="H824" i="14"/>
  <c r="I824" i="14"/>
  <c r="J824" i="14"/>
  <c r="K824" i="14"/>
  <c r="L824" i="14"/>
  <c r="M824" i="14"/>
  <c r="N824" i="14"/>
  <c r="O824" i="14"/>
  <c r="P824" i="14"/>
  <c r="Q824" i="14"/>
  <c r="D825" i="14"/>
  <c r="E825" i="14"/>
  <c r="F825" i="14"/>
  <c r="G825" i="14"/>
  <c r="H825" i="14"/>
  <c r="I825" i="14"/>
  <c r="J825" i="14"/>
  <c r="K825" i="14"/>
  <c r="L825" i="14"/>
  <c r="M825" i="14"/>
  <c r="N825" i="14"/>
  <c r="O825" i="14"/>
  <c r="P825" i="14"/>
  <c r="Q825" i="14"/>
  <c r="D827" i="14"/>
  <c r="E827" i="14"/>
  <c r="F827" i="14"/>
  <c r="G827" i="14"/>
  <c r="H827" i="14"/>
  <c r="I827" i="14"/>
  <c r="J827" i="14"/>
  <c r="K827" i="14"/>
  <c r="L827" i="14"/>
  <c r="M827" i="14"/>
  <c r="N827" i="14"/>
  <c r="O827" i="14"/>
  <c r="P827" i="14"/>
  <c r="Q827" i="14"/>
  <c r="D828" i="14"/>
  <c r="E828" i="14"/>
  <c r="F828" i="14"/>
  <c r="G828" i="14"/>
  <c r="H828" i="14"/>
  <c r="I828" i="14"/>
  <c r="J828" i="14"/>
  <c r="K828" i="14"/>
  <c r="L828" i="14"/>
  <c r="M828" i="14"/>
  <c r="N828" i="14"/>
  <c r="O828" i="14"/>
  <c r="P828" i="14"/>
  <c r="Q828" i="14"/>
  <c r="D829" i="14"/>
  <c r="E829" i="14"/>
  <c r="F829" i="14"/>
  <c r="G829" i="14"/>
  <c r="H829" i="14"/>
  <c r="I829" i="14"/>
  <c r="J829" i="14"/>
  <c r="K829" i="14"/>
  <c r="L829" i="14"/>
  <c r="M829" i="14"/>
  <c r="N829" i="14"/>
  <c r="O829" i="14"/>
  <c r="P829" i="14"/>
  <c r="Q829" i="14"/>
  <c r="D830" i="14"/>
  <c r="E830" i="14"/>
  <c r="F830" i="14"/>
  <c r="G830" i="14"/>
  <c r="H830" i="14"/>
  <c r="I830" i="14"/>
  <c r="J830" i="14"/>
  <c r="K830" i="14"/>
  <c r="L830" i="14"/>
  <c r="M830" i="14"/>
  <c r="N830" i="14"/>
  <c r="O830" i="14"/>
  <c r="P830" i="14"/>
  <c r="E831" i="14"/>
  <c r="F831" i="14"/>
  <c r="G831" i="14"/>
  <c r="H831" i="14"/>
  <c r="I831" i="14"/>
  <c r="J831" i="14"/>
  <c r="K831" i="14"/>
  <c r="L831" i="14"/>
  <c r="M831" i="14"/>
  <c r="N831" i="14"/>
  <c r="O831" i="14"/>
  <c r="P831" i="14"/>
  <c r="Q831" i="14"/>
  <c r="C834" i="14"/>
  <c r="D837" i="14"/>
  <c r="E837" i="14"/>
  <c r="F837" i="14"/>
  <c r="G837" i="14"/>
  <c r="H837" i="14"/>
  <c r="I837" i="14"/>
  <c r="J837" i="14"/>
  <c r="K837" i="14"/>
  <c r="L837" i="14"/>
  <c r="M837" i="14"/>
  <c r="N837" i="14"/>
  <c r="O837" i="14"/>
  <c r="P837" i="14"/>
  <c r="Q837" i="14"/>
  <c r="C839" i="14"/>
  <c r="C840" i="14"/>
  <c r="D843" i="14"/>
  <c r="E843" i="14"/>
  <c r="F843" i="14"/>
  <c r="G843" i="14"/>
  <c r="H843" i="14"/>
  <c r="I843" i="14"/>
  <c r="J843" i="14"/>
  <c r="K843" i="14"/>
  <c r="L843" i="14"/>
  <c r="M843" i="14"/>
  <c r="N843" i="14"/>
  <c r="O843" i="14"/>
  <c r="P843" i="14"/>
  <c r="D844" i="14"/>
  <c r="E844" i="14"/>
  <c r="F844" i="14"/>
  <c r="G844" i="14"/>
  <c r="H844" i="14"/>
  <c r="I844" i="14"/>
  <c r="J844" i="14"/>
  <c r="K844" i="14"/>
  <c r="L844" i="14"/>
  <c r="M844" i="14"/>
  <c r="N844" i="14"/>
  <c r="O844" i="14"/>
  <c r="P844" i="14"/>
  <c r="D845" i="14"/>
  <c r="E845" i="14"/>
  <c r="F845" i="14"/>
  <c r="G845" i="14"/>
  <c r="H845" i="14"/>
  <c r="I845" i="14"/>
  <c r="J845" i="14"/>
  <c r="K845" i="14"/>
  <c r="L845" i="14"/>
  <c r="M845" i="14"/>
  <c r="N845" i="14"/>
  <c r="O845" i="14"/>
  <c r="P845" i="14"/>
  <c r="E847" i="14"/>
  <c r="F847" i="14"/>
  <c r="G847" i="14"/>
  <c r="H847" i="14"/>
  <c r="I847" i="14"/>
  <c r="J847" i="14"/>
  <c r="K847" i="14"/>
  <c r="L847" i="14"/>
  <c r="M847" i="14"/>
  <c r="N847" i="14"/>
  <c r="O847" i="14"/>
  <c r="P847" i="14"/>
  <c r="Q847" i="14"/>
  <c r="D848" i="14"/>
  <c r="E848" i="14"/>
  <c r="F848" i="14"/>
  <c r="G848" i="14"/>
  <c r="H848" i="14"/>
  <c r="I848" i="14"/>
  <c r="J848" i="14"/>
  <c r="K848" i="14"/>
  <c r="L848" i="14"/>
  <c r="M848" i="14"/>
  <c r="N848" i="14"/>
  <c r="O848" i="14"/>
  <c r="P848" i="14"/>
  <c r="Q848" i="14"/>
  <c r="D849" i="14"/>
  <c r="E849" i="14"/>
  <c r="F849" i="14"/>
  <c r="G849" i="14"/>
  <c r="H849" i="14"/>
  <c r="I849" i="14"/>
  <c r="J849" i="14"/>
  <c r="K849" i="14"/>
  <c r="L849" i="14"/>
  <c r="M849" i="14"/>
  <c r="N849" i="14"/>
  <c r="O849" i="14"/>
  <c r="P849" i="14"/>
  <c r="Q849" i="14"/>
  <c r="D859" i="14"/>
  <c r="E859" i="14"/>
  <c r="F859" i="14"/>
  <c r="G859" i="14"/>
  <c r="H859" i="14"/>
  <c r="I859" i="14"/>
  <c r="J859" i="14"/>
  <c r="K859" i="14"/>
  <c r="L859" i="14"/>
  <c r="M859" i="14"/>
  <c r="N859" i="14"/>
  <c r="O859" i="14"/>
  <c r="P859" i="14"/>
  <c r="Q859" i="14"/>
  <c r="D860" i="14"/>
  <c r="E860" i="14"/>
  <c r="F860" i="14"/>
  <c r="G860" i="14"/>
  <c r="H860" i="14"/>
  <c r="I860" i="14"/>
  <c r="J860" i="14"/>
  <c r="K860" i="14"/>
  <c r="L860" i="14"/>
  <c r="M860" i="14"/>
  <c r="N860" i="14"/>
  <c r="O860" i="14"/>
  <c r="P860" i="14"/>
  <c r="Q860" i="14"/>
  <c r="E866" i="14"/>
  <c r="F866" i="14"/>
  <c r="G866" i="14"/>
  <c r="H866" i="14"/>
  <c r="I866" i="14"/>
  <c r="J866" i="14"/>
  <c r="K866" i="14"/>
  <c r="L866" i="14"/>
  <c r="M866" i="14"/>
  <c r="N866" i="14"/>
  <c r="O866" i="14"/>
  <c r="P866" i="14"/>
  <c r="Q866" i="14"/>
  <c r="E867" i="14"/>
  <c r="F867" i="14"/>
  <c r="G867" i="14"/>
  <c r="H867" i="14"/>
  <c r="I867" i="14"/>
  <c r="J867" i="14"/>
  <c r="K867" i="14"/>
  <c r="L867" i="14"/>
  <c r="M867" i="14"/>
  <c r="N867" i="14"/>
  <c r="O867" i="14"/>
  <c r="P867" i="14"/>
  <c r="Q867" i="14"/>
  <c r="D871" i="14"/>
  <c r="E871" i="14"/>
  <c r="F871" i="14"/>
  <c r="G871" i="14"/>
  <c r="H871" i="14"/>
  <c r="I871" i="14"/>
  <c r="J871" i="14"/>
  <c r="K871" i="14"/>
  <c r="L871" i="14"/>
  <c r="M871" i="14"/>
  <c r="N871" i="14"/>
  <c r="O871" i="14"/>
  <c r="P871" i="14"/>
  <c r="Q871" i="14"/>
  <c r="D873" i="14"/>
  <c r="E873" i="14"/>
  <c r="F873" i="14"/>
  <c r="G873" i="14"/>
  <c r="H873" i="14"/>
  <c r="I873" i="14"/>
  <c r="J873" i="14"/>
  <c r="K873" i="14"/>
  <c r="L873" i="14"/>
  <c r="M873" i="14"/>
  <c r="N873" i="14"/>
  <c r="O873" i="14"/>
  <c r="P873" i="14"/>
  <c r="Q873" i="14"/>
  <c r="D874" i="14"/>
  <c r="E874" i="14"/>
  <c r="F874" i="14"/>
  <c r="G874" i="14"/>
  <c r="H874" i="14"/>
  <c r="I874" i="14"/>
  <c r="J874" i="14"/>
  <c r="K874" i="14"/>
  <c r="L874" i="14"/>
  <c r="M874" i="14"/>
  <c r="N874" i="14"/>
  <c r="O874" i="14"/>
  <c r="P874" i="14"/>
  <c r="Q874" i="14"/>
  <c r="D875" i="14"/>
  <c r="E875" i="14"/>
  <c r="F875" i="14"/>
  <c r="G875" i="14"/>
  <c r="H875" i="14"/>
  <c r="I875" i="14"/>
  <c r="J875" i="14"/>
  <c r="K875" i="14"/>
  <c r="L875" i="14"/>
  <c r="M875" i="14"/>
  <c r="N875" i="14"/>
  <c r="O875" i="14"/>
  <c r="P875" i="14"/>
  <c r="Q875" i="14"/>
  <c r="E877" i="14"/>
  <c r="F877" i="14"/>
  <c r="G877" i="14"/>
  <c r="H877" i="14"/>
  <c r="I877" i="14"/>
  <c r="J877" i="14"/>
  <c r="K877" i="14"/>
  <c r="L877" i="14"/>
  <c r="M877" i="14"/>
  <c r="N877" i="14"/>
  <c r="O877" i="14"/>
  <c r="P877" i="14"/>
  <c r="Q877" i="14"/>
  <c r="E878" i="14"/>
  <c r="F878" i="14"/>
  <c r="G878" i="14"/>
  <c r="H878" i="14"/>
  <c r="I878" i="14"/>
  <c r="J878" i="14"/>
  <c r="K878" i="14"/>
  <c r="L878" i="14"/>
  <c r="M878" i="14"/>
  <c r="N878" i="14"/>
  <c r="O878" i="14"/>
  <c r="P878" i="14"/>
  <c r="Q878" i="14"/>
  <c r="E882" i="14"/>
  <c r="F882" i="14"/>
  <c r="G882" i="14"/>
  <c r="H882" i="14"/>
  <c r="I882" i="14"/>
  <c r="J882" i="14"/>
  <c r="K882" i="14"/>
  <c r="L882" i="14"/>
  <c r="M882" i="14"/>
  <c r="N882" i="14"/>
  <c r="O882" i="14"/>
  <c r="P882" i="14"/>
  <c r="Q882" i="14"/>
  <c r="R882" i="14"/>
  <c r="E883" i="14"/>
  <c r="F883" i="14"/>
  <c r="G883" i="14"/>
  <c r="H883" i="14"/>
  <c r="I883" i="14"/>
  <c r="J883" i="14"/>
  <c r="K883" i="14"/>
  <c r="L883" i="14"/>
  <c r="M883" i="14"/>
  <c r="N883" i="14"/>
  <c r="O883" i="14"/>
  <c r="P883" i="14"/>
  <c r="Q883" i="14"/>
  <c r="D898" i="14"/>
  <c r="E898" i="14"/>
  <c r="F898" i="14"/>
  <c r="G898" i="14"/>
  <c r="H898" i="14"/>
  <c r="I898" i="14"/>
  <c r="J898" i="14"/>
  <c r="K898" i="14"/>
  <c r="L898" i="14"/>
  <c r="M898" i="14"/>
  <c r="N898" i="14"/>
  <c r="O898" i="14"/>
  <c r="P898" i="14"/>
  <c r="Q898" i="14"/>
  <c r="D899" i="14"/>
  <c r="E899" i="14"/>
  <c r="F899" i="14"/>
  <c r="G899" i="14"/>
  <c r="H899" i="14"/>
  <c r="I899" i="14"/>
  <c r="J899" i="14"/>
  <c r="K899" i="14"/>
  <c r="L899" i="14"/>
  <c r="M899" i="14"/>
  <c r="N899" i="14"/>
  <c r="O899" i="14"/>
  <c r="P899" i="14"/>
  <c r="Q899" i="14"/>
  <c r="E900" i="14"/>
  <c r="F900" i="14"/>
  <c r="G900" i="14"/>
  <c r="H900" i="14"/>
  <c r="I900" i="14"/>
  <c r="J900" i="14"/>
  <c r="K900" i="14"/>
  <c r="L900" i="14"/>
  <c r="M900" i="14"/>
  <c r="N900" i="14"/>
  <c r="O900" i="14"/>
  <c r="P900" i="14"/>
  <c r="Q900" i="14"/>
  <c r="E901" i="14"/>
  <c r="F901" i="14"/>
  <c r="G901" i="14"/>
  <c r="H901" i="14"/>
  <c r="I901" i="14"/>
  <c r="J901" i="14"/>
  <c r="K901" i="14"/>
  <c r="L901" i="14"/>
  <c r="M901" i="14"/>
  <c r="N901" i="14"/>
  <c r="O901" i="14"/>
  <c r="P901" i="14"/>
  <c r="Q901" i="14"/>
  <c r="D902" i="14"/>
  <c r="E902" i="14"/>
  <c r="F902" i="14"/>
  <c r="G902" i="14"/>
  <c r="H902" i="14"/>
  <c r="I902" i="14"/>
  <c r="J902" i="14"/>
  <c r="K902" i="14"/>
  <c r="L902" i="14"/>
  <c r="M902" i="14"/>
  <c r="N902" i="14"/>
  <c r="O902" i="14"/>
  <c r="P902" i="14"/>
  <c r="Q902" i="14"/>
  <c r="D903" i="14"/>
  <c r="E903" i="14"/>
  <c r="F903" i="14"/>
  <c r="G903" i="14"/>
  <c r="H903" i="14"/>
  <c r="I903" i="14"/>
  <c r="J903" i="14"/>
  <c r="K903" i="14"/>
  <c r="L903" i="14"/>
  <c r="M903" i="14"/>
  <c r="N903" i="14"/>
  <c r="O903" i="14"/>
  <c r="P903" i="14"/>
  <c r="Q903" i="14"/>
  <c r="D905" i="14"/>
  <c r="E905" i="14"/>
  <c r="F905" i="14"/>
  <c r="G905" i="14"/>
  <c r="H905" i="14"/>
  <c r="I905" i="14"/>
  <c r="J905" i="14"/>
  <c r="K905" i="14"/>
  <c r="L905" i="14"/>
  <c r="M905" i="14"/>
  <c r="N905" i="14"/>
  <c r="O905" i="14"/>
  <c r="P905" i="14"/>
  <c r="Q905" i="14"/>
  <c r="D906" i="14"/>
  <c r="E906" i="14"/>
  <c r="F906" i="14"/>
  <c r="G906" i="14"/>
  <c r="H906" i="14"/>
  <c r="I906" i="14"/>
  <c r="J906" i="14"/>
  <c r="K906" i="14"/>
  <c r="L906" i="14"/>
  <c r="M906" i="14"/>
  <c r="N906" i="14"/>
  <c r="O906" i="14"/>
  <c r="P906" i="14"/>
  <c r="Q906" i="14"/>
  <c r="E907" i="14"/>
  <c r="F907" i="14"/>
  <c r="G907" i="14"/>
  <c r="H907" i="14"/>
  <c r="I907" i="14"/>
  <c r="J907" i="14"/>
  <c r="K907" i="14"/>
  <c r="L907" i="14"/>
  <c r="M907" i="14"/>
  <c r="N907" i="14"/>
  <c r="O907" i="14"/>
  <c r="P907" i="14"/>
  <c r="Q907" i="14"/>
  <c r="E908" i="14"/>
  <c r="F908" i="14"/>
  <c r="G908" i="14"/>
  <c r="H908" i="14"/>
  <c r="I908" i="14"/>
  <c r="J908" i="14"/>
  <c r="K908" i="14"/>
  <c r="L908" i="14"/>
  <c r="M908" i="14"/>
  <c r="N908" i="14"/>
  <c r="O908" i="14"/>
  <c r="P908" i="14"/>
  <c r="Q908" i="14"/>
  <c r="D909" i="14"/>
  <c r="D911" i="14"/>
  <c r="E911" i="14"/>
  <c r="F911" i="14"/>
  <c r="G911" i="14"/>
  <c r="H911" i="14"/>
  <c r="I911" i="14"/>
  <c r="J911" i="14"/>
  <c r="K911" i="14"/>
  <c r="L911" i="14"/>
  <c r="M911" i="14"/>
  <c r="N911" i="14"/>
  <c r="O911" i="14"/>
  <c r="P911" i="14"/>
  <c r="Q911" i="14"/>
  <c r="D912" i="14"/>
  <c r="E912" i="14"/>
  <c r="F912" i="14"/>
  <c r="G912" i="14"/>
  <c r="H912" i="14"/>
  <c r="I912" i="14"/>
  <c r="J912" i="14"/>
  <c r="K912" i="14"/>
  <c r="L912" i="14"/>
  <c r="M912" i="14"/>
  <c r="N912" i="14"/>
  <c r="O912" i="14"/>
  <c r="P912" i="14"/>
  <c r="Q912" i="14"/>
  <c r="D913" i="14"/>
  <c r="E913" i="14"/>
  <c r="F913" i="14"/>
  <c r="G913" i="14"/>
  <c r="H913" i="14"/>
  <c r="I913" i="14"/>
  <c r="J913" i="14"/>
  <c r="K913" i="14"/>
  <c r="L913" i="14"/>
  <c r="M913" i="14"/>
  <c r="N913" i="14"/>
  <c r="O913" i="14"/>
  <c r="P913" i="14"/>
  <c r="Q913" i="14"/>
  <c r="D924" i="14"/>
  <c r="E924" i="14"/>
  <c r="F924" i="14"/>
  <c r="G924" i="14"/>
  <c r="H924" i="14"/>
  <c r="I924" i="14"/>
  <c r="J924" i="14"/>
  <c r="K924" i="14"/>
  <c r="L924" i="14"/>
  <c r="M924" i="14"/>
  <c r="N924" i="14"/>
  <c r="O924" i="14"/>
  <c r="P924" i="14"/>
  <c r="Q924" i="14"/>
  <c r="D926" i="14"/>
  <c r="E926" i="14"/>
  <c r="F926" i="14"/>
  <c r="G926" i="14"/>
  <c r="H926" i="14"/>
  <c r="I926" i="14"/>
  <c r="J926" i="14"/>
  <c r="K926" i="14"/>
  <c r="L926" i="14"/>
  <c r="M926" i="14"/>
  <c r="N926" i="14"/>
  <c r="O926" i="14"/>
  <c r="P926" i="14"/>
  <c r="Q926" i="14"/>
  <c r="E928" i="14"/>
  <c r="F928" i="14"/>
  <c r="G928" i="14"/>
  <c r="H928" i="14"/>
  <c r="I928" i="14"/>
  <c r="J928" i="14"/>
  <c r="K928" i="14"/>
  <c r="L928" i="14"/>
  <c r="M928" i="14"/>
  <c r="N928" i="14"/>
  <c r="O928" i="14"/>
  <c r="P928" i="14"/>
  <c r="Q928" i="14"/>
  <c r="E930" i="14"/>
  <c r="F930" i="14"/>
  <c r="G930" i="14"/>
  <c r="H930" i="14"/>
  <c r="I930" i="14"/>
  <c r="J930" i="14"/>
  <c r="K930" i="14"/>
  <c r="L930" i="14"/>
  <c r="M930" i="14"/>
  <c r="N930" i="14"/>
  <c r="O930" i="14"/>
  <c r="P930" i="14"/>
  <c r="Q930" i="14"/>
  <c r="E934" i="14"/>
  <c r="F934" i="14"/>
  <c r="G934" i="14"/>
  <c r="H934" i="14"/>
  <c r="I934" i="14"/>
  <c r="J934" i="14"/>
  <c r="K934" i="14"/>
  <c r="L934" i="14"/>
  <c r="M934" i="14"/>
  <c r="N934" i="14"/>
  <c r="O934" i="14"/>
  <c r="P934" i="14"/>
  <c r="Q934" i="14"/>
  <c r="D938" i="14"/>
  <c r="E938" i="14"/>
  <c r="F938" i="14"/>
  <c r="G938" i="14"/>
  <c r="H938" i="14"/>
  <c r="I938" i="14"/>
  <c r="J938" i="14"/>
  <c r="K938" i="14"/>
  <c r="L938" i="14"/>
  <c r="M938" i="14"/>
  <c r="N938" i="14"/>
  <c r="O938" i="14"/>
  <c r="P938" i="14"/>
  <c r="Q938" i="14"/>
  <c r="D940" i="14"/>
  <c r="E940" i="14"/>
  <c r="F940" i="14"/>
  <c r="G940" i="14"/>
  <c r="H940" i="14"/>
  <c r="I940" i="14"/>
  <c r="J940" i="14"/>
  <c r="K940" i="14"/>
  <c r="L940" i="14"/>
  <c r="M940" i="14"/>
  <c r="N940" i="14"/>
  <c r="O940" i="14"/>
  <c r="P940" i="14"/>
  <c r="Q940" i="14"/>
  <c r="E941" i="14"/>
  <c r="F941" i="14"/>
  <c r="G941" i="14"/>
  <c r="H941" i="14"/>
  <c r="I941" i="14"/>
  <c r="J941" i="14"/>
  <c r="K941" i="14"/>
  <c r="L941" i="14"/>
  <c r="M941" i="14"/>
  <c r="N941" i="14"/>
  <c r="O941" i="14"/>
  <c r="P941" i="14"/>
  <c r="Q941" i="14"/>
  <c r="D942" i="14"/>
  <c r="E942" i="14"/>
  <c r="F942" i="14"/>
  <c r="G942" i="14"/>
  <c r="H942" i="14"/>
  <c r="I942" i="14"/>
  <c r="J942" i="14"/>
  <c r="K942" i="14"/>
  <c r="L942" i="14"/>
  <c r="M942" i="14"/>
  <c r="N942" i="14"/>
  <c r="O942" i="14"/>
  <c r="P942" i="14"/>
  <c r="Q942" i="14"/>
  <c r="D944" i="14"/>
  <c r="E944" i="14"/>
  <c r="F944" i="14"/>
  <c r="G944" i="14"/>
  <c r="H944" i="14"/>
  <c r="I944" i="14"/>
  <c r="J944" i="14"/>
  <c r="K944" i="14"/>
  <c r="L944" i="14"/>
  <c r="M944" i="14"/>
  <c r="N944" i="14"/>
  <c r="O944" i="14"/>
  <c r="P944" i="14"/>
  <c r="Q944" i="14"/>
  <c r="E947" i="14"/>
  <c r="F947" i="14"/>
  <c r="G947" i="14"/>
  <c r="H947" i="14"/>
  <c r="I947" i="14"/>
  <c r="J947" i="14"/>
  <c r="K947" i="14"/>
  <c r="L947" i="14"/>
  <c r="M947" i="14"/>
  <c r="N947" i="14"/>
  <c r="O947" i="14"/>
  <c r="P947" i="14"/>
  <c r="Q947" i="14"/>
  <c r="D949" i="14"/>
  <c r="D950" i="14"/>
  <c r="E950" i="14"/>
  <c r="F950" i="14"/>
  <c r="G950" i="14"/>
  <c r="H950" i="14"/>
  <c r="I950" i="14"/>
  <c r="J950" i="14"/>
  <c r="K950" i="14"/>
  <c r="L950" i="14"/>
  <c r="M950" i="14"/>
  <c r="N950" i="14"/>
  <c r="O950" i="14"/>
  <c r="P950" i="14"/>
  <c r="Q950" i="14"/>
  <c r="E954" i="14"/>
  <c r="F954" i="14"/>
  <c r="G954" i="14"/>
  <c r="H954" i="14"/>
  <c r="I954" i="14"/>
  <c r="J954" i="14"/>
  <c r="K954" i="14"/>
  <c r="L954" i="14"/>
  <c r="M954" i="14"/>
  <c r="N954" i="14"/>
  <c r="O954" i="14"/>
  <c r="P954" i="14"/>
  <c r="Q954" i="14"/>
  <c r="D957" i="14"/>
  <c r="E957" i="14"/>
  <c r="F957" i="14"/>
  <c r="G957" i="14"/>
  <c r="H957" i="14"/>
  <c r="I957" i="14"/>
  <c r="J957" i="14"/>
  <c r="K957" i="14"/>
  <c r="L957" i="14"/>
  <c r="M957" i="14"/>
  <c r="N957" i="14"/>
  <c r="O957" i="14"/>
  <c r="P957" i="14"/>
  <c r="Q957" i="14"/>
  <c r="D958" i="14"/>
  <c r="E958" i="14"/>
  <c r="F958" i="14"/>
  <c r="G958" i="14"/>
  <c r="H958" i="14"/>
  <c r="I958" i="14"/>
  <c r="J958" i="14"/>
  <c r="K958" i="14"/>
  <c r="L958" i="14"/>
  <c r="M958" i="14"/>
  <c r="N958" i="14"/>
  <c r="O958" i="14"/>
  <c r="P958" i="14"/>
  <c r="Q958" i="14"/>
  <c r="D959" i="14"/>
  <c r="E959" i="14"/>
  <c r="F959" i="14"/>
  <c r="G959" i="14"/>
  <c r="H959" i="14"/>
  <c r="I959" i="14"/>
  <c r="J959" i="14"/>
  <c r="K959" i="14"/>
  <c r="L959" i="14"/>
  <c r="M959" i="14"/>
  <c r="N959" i="14"/>
  <c r="O959" i="14"/>
  <c r="P959" i="14"/>
  <c r="Q959" i="14"/>
  <c r="D960" i="14"/>
  <c r="E960" i="14"/>
  <c r="F960" i="14"/>
  <c r="G960" i="14"/>
  <c r="H960" i="14"/>
  <c r="I960" i="14"/>
  <c r="J960" i="14"/>
  <c r="K960" i="14"/>
  <c r="L960" i="14"/>
  <c r="M960" i="14"/>
  <c r="N960" i="14"/>
  <c r="O960" i="14"/>
  <c r="P960" i="14"/>
  <c r="Q960" i="14"/>
  <c r="D961" i="14"/>
  <c r="E961" i="14"/>
  <c r="F961" i="14"/>
  <c r="G961" i="14"/>
  <c r="H961" i="14"/>
  <c r="I961" i="14"/>
  <c r="J961" i="14"/>
  <c r="K961" i="14"/>
  <c r="L961" i="14"/>
  <c r="M961" i="14"/>
  <c r="N961" i="14"/>
  <c r="O961" i="14"/>
  <c r="P961" i="14"/>
  <c r="Q961" i="14"/>
  <c r="D964" i="14"/>
  <c r="E964" i="14"/>
  <c r="F964" i="14"/>
  <c r="G964" i="14"/>
  <c r="H964" i="14"/>
  <c r="I964" i="14"/>
  <c r="J964" i="14"/>
  <c r="K964" i="14"/>
  <c r="L964" i="14"/>
  <c r="M964" i="14"/>
  <c r="N964" i="14"/>
  <c r="O964" i="14"/>
  <c r="P964" i="14"/>
  <c r="Q964" i="14"/>
  <c r="D965" i="14"/>
  <c r="E965" i="14"/>
  <c r="F965" i="14"/>
  <c r="G965" i="14"/>
  <c r="H965" i="14"/>
  <c r="I965" i="14"/>
  <c r="J965" i="14"/>
  <c r="K965" i="14"/>
  <c r="L965" i="14"/>
  <c r="M965" i="14"/>
  <c r="N965" i="14"/>
  <c r="O965" i="14"/>
  <c r="P965" i="14"/>
  <c r="Q965" i="14"/>
  <c r="D966" i="14"/>
  <c r="E966" i="14"/>
  <c r="F966" i="14"/>
  <c r="G966" i="14"/>
  <c r="H966" i="14"/>
  <c r="I966" i="14"/>
  <c r="J966" i="14"/>
  <c r="K966" i="14"/>
  <c r="L966" i="14"/>
  <c r="M966" i="14"/>
  <c r="N966" i="14"/>
  <c r="O966" i="14"/>
  <c r="P966" i="14"/>
  <c r="Q966" i="14"/>
  <c r="D967" i="14"/>
  <c r="E967" i="14"/>
  <c r="F967" i="14"/>
  <c r="G967" i="14"/>
  <c r="H967" i="14"/>
  <c r="I967" i="14"/>
  <c r="J967" i="14"/>
  <c r="K967" i="14"/>
  <c r="L967" i="14"/>
  <c r="M967" i="14"/>
  <c r="N967" i="14"/>
  <c r="O967" i="14"/>
  <c r="P967" i="14"/>
  <c r="Q967" i="14"/>
  <c r="D968" i="14"/>
  <c r="E968" i="14"/>
  <c r="F968" i="14"/>
  <c r="G968" i="14"/>
  <c r="H968" i="14"/>
  <c r="I968" i="14"/>
  <c r="J968" i="14"/>
  <c r="K968" i="14"/>
  <c r="L968" i="14"/>
  <c r="M968" i="14"/>
  <c r="N968" i="14"/>
  <c r="O968" i="14"/>
  <c r="P968" i="14"/>
  <c r="Q968" i="14"/>
  <c r="D969" i="14"/>
  <c r="E969" i="14"/>
  <c r="F969" i="14"/>
  <c r="G969" i="14"/>
  <c r="H969" i="14"/>
  <c r="I969" i="14"/>
  <c r="J969" i="14"/>
  <c r="K969" i="14"/>
  <c r="L969" i="14"/>
  <c r="M969" i="14"/>
  <c r="N969" i="14"/>
  <c r="O969" i="14"/>
  <c r="P969" i="14"/>
  <c r="Q969" i="14"/>
  <c r="D970" i="14"/>
  <c r="E970" i="14"/>
  <c r="F970" i="14"/>
  <c r="G970" i="14"/>
  <c r="H970" i="14"/>
  <c r="I970" i="14"/>
  <c r="J970" i="14"/>
  <c r="K970" i="14"/>
  <c r="L970" i="14"/>
  <c r="M970" i="14"/>
  <c r="N970" i="14"/>
  <c r="O970" i="14"/>
  <c r="P970" i="14"/>
  <c r="Q970" i="14"/>
  <c r="D972" i="14"/>
  <c r="E972" i="14"/>
  <c r="F972" i="14"/>
  <c r="G972" i="14"/>
  <c r="H972" i="14"/>
  <c r="I972" i="14"/>
  <c r="J972" i="14"/>
  <c r="K972" i="14"/>
  <c r="L972" i="14"/>
  <c r="M972" i="14"/>
  <c r="N972" i="14"/>
  <c r="O972" i="14"/>
  <c r="P972" i="14"/>
  <c r="Q972" i="14"/>
  <c r="D974" i="14"/>
  <c r="E974" i="14"/>
  <c r="F974" i="14"/>
  <c r="G974" i="14"/>
  <c r="H974" i="14"/>
  <c r="I974" i="14"/>
  <c r="J974" i="14"/>
  <c r="K974" i="14"/>
  <c r="L974" i="14"/>
  <c r="M974" i="14"/>
  <c r="N974" i="14"/>
  <c r="O974" i="14"/>
  <c r="P974" i="14"/>
  <c r="Q974" i="14"/>
  <c r="D975" i="14"/>
  <c r="E975" i="14"/>
  <c r="F975" i="14"/>
  <c r="G975" i="14"/>
  <c r="H975" i="14"/>
  <c r="I975" i="14"/>
  <c r="J975" i="14"/>
  <c r="K975" i="14"/>
  <c r="L975" i="14"/>
  <c r="M975" i="14"/>
  <c r="N975" i="14"/>
  <c r="O975" i="14"/>
  <c r="P975" i="14"/>
  <c r="Q975" i="14"/>
  <c r="E977" i="14"/>
  <c r="F977" i="14"/>
  <c r="G977" i="14"/>
  <c r="H977" i="14"/>
  <c r="I977" i="14"/>
  <c r="J977" i="14"/>
  <c r="K977" i="14"/>
  <c r="L977" i="14"/>
  <c r="M977" i="14"/>
  <c r="N977" i="14"/>
  <c r="O977" i="14"/>
  <c r="P977" i="14"/>
  <c r="Q977" i="14"/>
  <c r="D979" i="14"/>
  <c r="D980" i="14"/>
  <c r="E980" i="14"/>
  <c r="F980" i="14"/>
  <c r="G980" i="14"/>
  <c r="H980" i="14"/>
  <c r="I980" i="14"/>
  <c r="J980" i="14"/>
  <c r="K980" i="14"/>
  <c r="L980" i="14"/>
  <c r="M980" i="14"/>
  <c r="N980" i="14"/>
  <c r="O980" i="14"/>
  <c r="P980" i="14"/>
  <c r="Q980" i="14"/>
  <c r="E984" i="14"/>
  <c r="F984" i="14"/>
  <c r="G984" i="14"/>
  <c r="H984" i="14"/>
  <c r="I984" i="14"/>
  <c r="J984" i="14"/>
  <c r="K984" i="14"/>
  <c r="L984" i="14"/>
  <c r="M984" i="14"/>
  <c r="N984" i="14"/>
  <c r="O984" i="14"/>
  <c r="P984" i="14"/>
  <c r="Q984" i="14"/>
  <c r="D986" i="14"/>
  <c r="E986" i="14"/>
  <c r="F986" i="14"/>
  <c r="G986" i="14"/>
  <c r="H986" i="14"/>
  <c r="I986" i="14"/>
  <c r="J986" i="14"/>
  <c r="K986" i="14"/>
  <c r="L986" i="14"/>
  <c r="M986" i="14"/>
  <c r="N986" i="14"/>
  <c r="O986" i="14"/>
  <c r="P986" i="14"/>
  <c r="Q986" i="14"/>
  <c r="E987" i="14"/>
  <c r="F987" i="14"/>
  <c r="G987" i="14"/>
  <c r="H987" i="14"/>
  <c r="I987" i="14"/>
  <c r="J987" i="14"/>
  <c r="K987" i="14"/>
  <c r="L987" i="14"/>
  <c r="M987" i="14"/>
  <c r="N987" i="14"/>
  <c r="O987" i="14"/>
  <c r="P987" i="14"/>
  <c r="Q987" i="14"/>
  <c r="C988" i="14"/>
  <c r="D988" i="14"/>
  <c r="C990" i="14"/>
  <c r="D990" i="14"/>
  <c r="E990" i="14"/>
  <c r="F990" i="14"/>
  <c r="G990" i="14"/>
  <c r="H990" i="14"/>
  <c r="I990" i="14"/>
  <c r="J990" i="14"/>
  <c r="K990" i="14"/>
  <c r="L990" i="14"/>
  <c r="M990" i="14"/>
  <c r="N990" i="14"/>
  <c r="O990" i="14"/>
  <c r="P990" i="14"/>
  <c r="Q990" i="14"/>
  <c r="H991" i="14"/>
  <c r="I991" i="14"/>
  <c r="J991" i="14"/>
  <c r="K991" i="14"/>
  <c r="L991" i="14"/>
  <c r="M991" i="14"/>
  <c r="N991" i="14"/>
  <c r="O991" i="14"/>
  <c r="P991" i="14"/>
  <c r="Q991" i="14"/>
  <c r="F992" i="14"/>
  <c r="G992" i="14"/>
  <c r="H992" i="14"/>
  <c r="I992" i="14"/>
  <c r="J992" i="14"/>
  <c r="K992" i="14"/>
  <c r="L992" i="14"/>
  <c r="M992" i="14"/>
  <c r="N992" i="14"/>
  <c r="O992" i="14"/>
  <c r="P992" i="14"/>
  <c r="Q992" i="14"/>
  <c r="C996" i="14"/>
  <c r="C997" i="14"/>
  <c r="D997" i="14"/>
  <c r="E997" i="14"/>
  <c r="F997" i="14"/>
  <c r="G997" i="14"/>
  <c r="H997" i="14"/>
  <c r="I997" i="14"/>
  <c r="J997" i="14"/>
  <c r="K997" i="14"/>
  <c r="L997" i="14"/>
  <c r="M997" i="14"/>
  <c r="N997" i="14"/>
  <c r="O997" i="14"/>
  <c r="P997" i="14"/>
  <c r="Q997" i="14"/>
  <c r="E999" i="14"/>
  <c r="F999" i="14"/>
  <c r="G999" i="14"/>
  <c r="H999" i="14"/>
  <c r="I999" i="14"/>
  <c r="J999" i="14"/>
  <c r="K999" i="14"/>
  <c r="L999" i="14"/>
  <c r="M999" i="14"/>
  <c r="N999" i="14"/>
  <c r="O999" i="14"/>
  <c r="P999" i="14"/>
  <c r="Q999" i="14"/>
  <c r="E1001" i="14"/>
  <c r="F1001" i="14"/>
  <c r="G1001" i="14"/>
  <c r="H1001" i="14"/>
  <c r="I1001" i="14"/>
  <c r="J1001" i="14"/>
  <c r="K1001" i="14"/>
  <c r="L1001" i="14"/>
  <c r="M1001" i="14"/>
  <c r="N1001" i="14"/>
  <c r="O1001" i="14"/>
  <c r="P1001" i="14"/>
  <c r="Q1001" i="14"/>
  <c r="D1002" i="14"/>
  <c r="E1002" i="14"/>
  <c r="F1002" i="14"/>
  <c r="G1002" i="14"/>
  <c r="H1002" i="14"/>
  <c r="I1002" i="14"/>
  <c r="J1002" i="14"/>
  <c r="K1002" i="14"/>
  <c r="L1002" i="14"/>
  <c r="M1002" i="14"/>
  <c r="N1002" i="14"/>
  <c r="O1002" i="14"/>
  <c r="P1002" i="14"/>
  <c r="Q1002" i="14"/>
  <c r="E1004" i="14"/>
  <c r="F1004" i="14"/>
  <c r="G1004" i="14"/>
  <c r="H1004" i="14"/>
  <c r="I1004" i="14"/>
  <c r="J1004" i="14"/>
  <c r="K1004" i="14"/>
  <c r="L1004" i="14"/>
  <c r="M1004" i="14"/>
  <c r="N1004" i="14"/>
  <c r="O1004" i="14"/>
  <c r="P1004" i="14"/>
  <c r="Q1004" i="14"/>
  <c r="E1005" i="14"/>
  <c r="F1005" i="14"/>
  <c r="G1005" i="14"/>
  <c r="H1005" i="14"/>
  <c r="I1005" i="14"/>
  <c r="E1006" i="14"/>
  <c r="F1006" i="14"/>
  <c r="E1007" i="14"/>
  <c r="F1007" i="14"/>
  <c r="G1007" i="14"/>
  <c r="H1007" i="14"/>
  <c r="I1007" i="14"/>
  <c r="J1007" i="14"/>
  <c r="K1007" i="14"/>
  <c r="L1007" i="14"/>
  <c r="M1007" i="14"/>
  <c r="N1007" i="14"/>
  <c r="O1007" i="14"/>
  <c r="P1007" i="14"/>
  <c r="Q1007" i="14"/>
  <c r="E1009" i="14"/>
  <c r="F1009" i="14"/>
  <c r="G1009" i="14"/>
  <c r="H1009" i="14"/>
  <c r="I1009" i="14"/>
  <c r="J1009" i="14"/>
  <c r="K1009" i="14"/>
  <c r="L1009" i="14"/>
  <c r="M1009" i="14"/>
  <c r="N1009" i="14"/>
  <c r="O1009" i="14"/>
  <c r="P1009" i="14"/>
  <c r="Q1009" i="14"/>
  <c r="G1012" i="14"/>
  <c r="H1012" i="14"/>
  <c r="I1012" i="14"/>
  <c r="J1012" i="14"/>
  <c r="K1012" i="14"/>
  <c r="L1012" i="14"/>
  <c r="M1012" i="14"/>
  <c r="N1012" i="14"/>
  <c r="O1012" i="14"/>
  <c r="P1012" i="14"/>
  <c r="Q1012" i="14"/>
  <c r="G1013" i="14"/>
  <c r="H1013" i="14"/>
  <c r="I1013" i="14"/>
  <c r="J1013" i="14"/>
  <c r="K1013" i="14"/>
  <c r="L1013" i="14"/>
  <c r="M1013" i="14"/>
  <c r="N1013" i="14"/>
  <c r="O1013" i="14"/>
  <c r="P1013" i="14"/>
  <c r="Q1013" i="14"/>
  <c r="G1014" i="14"/>
  <c r="H1014" i="14"/>
  <c r="I1014" i="14"/>
  <c r="J1014" i="14"/>
  <c r="K1014" i="14"/>
  <c r="L1014" i="14"/>
  <c r="M1014" i="14"/>
  <c r="N1014" i="14"/>
  <c r="O1014" i="14"/>
  <c r="P1014" i="14"/>
  <c r="Q1014" i="14"/>
  <c r="C1019" i="14"/>
  <c r="C1020" i="14"/>
  <c r="C1021" i="14"/>
  <c r="C1022" i="14"/>
  <c r="C1023" i="14"/>
  <c r="S1023" i="14"/>
  <c r="C1024" i="14"/>
  <c r="C1025" i="14"/>
  <c r="C1026" i="14"/>
  <c r="C1028" i="14"/>
  <c r="C1029" i="14"/>
  <c r="F1031" i="14"/>
  <c r="K1031" i="14"/>
  <c r="E1033" i="14"/>
  <c r="F1033" i="14"/>
  <c r="G1033" i="14"/>
  <c r="H1033" i="14"/>
  <c r="I1033" i="14"/>
  <c r="J1033" i="14"/>
  <c r="K1033" i="14"/>
  <c r="L1033" i="14"/>
  <c r="M1033" i="14"/>
  <c r="N1033" i="14"/>
  <c r="O1033" i="14"/>
  <c r="P1033" i="14"/>
  <c r="Q1033" i="14"/>
  <c r="E1034" i="14"/>
  <c r="F1034" i="14"/>
  <c r="G1034" i="14"/>
  <c r="H1034" i="14"/>
  <c r="I1034" i="14"/>
  <c r="J1034" i="14"/>
  <c r="K1034" i="14"/>
  <c r="L1034" i="14"/>
  <c r="M1034" i="14"/>
  <c r="N1034" i="14"/>
  <c r="O1034" i="14"/>
  <c r="P1034" i="14"/>
  <c r="Q1034" i="14"/>
  <c r="E1037" i="14"/>
  <c r="F1037" i="14"/>
  <c r="G1037" i="14"/>
  <c r="H1037" i="14"/>
  <c r="I1037" i="14"/>
  <c r="J1037" i="14"/>
  <c r="K1037" i="14"/>
  <c r="L1037" i="14"/>
  <c r="M1037" i="14"/>
  <c r="N1037" i="14"/>
  <c r="O1037" i="14"/>
  <c r="P1037" i="14"/>
  <c r="Q1037" i="14"/>
  <c r="F1040" i="14"/>
  <c r="G1040" i="14"/>
  <c r="H1040" i="14"/>
  <c r="I1040" i="14"/>
  <c r="J1040" i="14"/>
  <c r="K1040" i="14"/>
  <c r="L1040" i="14"/>
  <c r="M1040" i="14"/>
  <c r="N1040" i="14"/>
  <c r="O1040" i="14"/>
  <c r="P1040" i="14"/>
  <c r="Q1040" i="14"/>
  <c r="F1041" i="14"/>
  <c r="G1041" i="14"/>
  <c r="H1041" i="14"/>
  <c r="I1041" i="14"/>
  <c r="J1041" i="14"/>
  <c r="K1041" i="14"/>
  <c r="L1041" i="14"/>
  <c r="M1041" i="14"/>
  <c r="N1041" i="14"/>
  <c r="O1041" i="14"/>
  <c r="P1041" i="14"/>
  <c r="Q1041" i="14"/>
  <c r="E1042" i="14"/>
  <c r="F1042" i="14"/>
  <c r="G1042" i="14"/>
  <c r="H1042" i="14"/>
  <c r="I1042" i="14"/>
  <c r="J1042" i="14"/>
  <c r="K1042" i="14"/>
  <c r="L1042" i="14"/>
  <c r="M1042" i="14"/>
  <c r="N1042" i="14"/>
  <c r="O1042" i="14"/>
  <c r="P1042" i="14"/>
  <c r="Q1042" i="14"/>
  <c r="F1043" i="14"/>
  <c r="G1043" i="14"/>
  <c r="H1043" i="14"/>
  <c r="I1043" i="14"/>
  <c r="J1043" i="14"/>
  <c r="K1043" i="14"/>
  <c r="L1043" i="14"/>
  <c r="M1043" i="14"/>
  <c r="N1043" i="14"/>
  <c r="O1043" i="14"/>
  <c r="P1043" i="14"/>
  <c r="Q1043" i="14"/>
  <c r="E1044" i="14"/>
  <c r="F1044" i="14"/>
  <c r="G1044" i="14"/>
  <c r="H1044" i="14"/>
  <c r="I1044" i="14"/>
  <c r="J1044" i="14"/>
  <c r="K1044" i="14"/>
  <c r="L1044" i="14"/>
  <c r="M1044" i="14"/>
  <c r="N1044" i="14"/>
  <c r="O1044" i="14"/>
  <c r="P1044" i="14"/>
  <c r="Q1044" i="14"/>
  <c r="C1049" i="14"/>
  <c r="C1050" i="14"/>
  <c r="C1051" i="14"/>
  <c r="C1052" i="14"/>
  <c r="C1053" i="14"/>
  <c r="C1054" i="14"/>
  <c r="C1055" i="14"/>
  <c r="C1056" i="14"/>
  <c r="C1059" i="14"/>
  <c r="D1059" i="14"/>
  <c r="E1059" i="14"/>
  <c r="F1059" i="14"/>
  <c r="G1059" i="14"/>
  <c r="H1059" i="14"/>
  <c r="I1059" i="14"/>
  <c r="J1059" i="14"/>
  <c r="K1059" i="14"/>
  <c r="L1059" i="14"/>
  <c r="M1059" i="14"/>
  <c r="N1059" i="14"/>
  <c r="O1059" i="14"/>
  <c r="C1060" i="14"/>
  <c r="D1060" i="14"/>
  <c r="E1060" i="14"/>
  <c r="F1060" i="14"/>
  <c r="G1060" i="14"/>
  <c r="H1060" i="14"/>
  <c r="I1060" i="14"/>
  <c r="J1060" i="14"/>
  <c r="K1060" i="14"/>
  <c r="L1060" i="14"/>
  <c r="M1060" i="14"/>
  <c r="N1060" i="14"/>
  <c r="O1060" i="14"/>
  <c r="C1063" i="14"/>
  <c r="D1063" i="14"/>
  <c r="E1063" i="14"/>
  <c r="F1063" i="14"/>
  <c r="G1063" i="14"/>
  <c r="H1063" i="14"/>
  <c r="I1063" i="14"/>
  <c r="J1063" i="14"/>
  <c r="K1063" i="14"/>
  <c r="L1063" i="14"/>
  <c r="M1063" i="14"/>
  <c r="N1063" i="14"/>
  <c r="O1063" i="14"/>
  <c r="D1066" i="14"/>
  <c r="E1066" i="14"/>
  <c r="F1066" i="14"/>
  <c r="G1066" i="14"/>
  <c r="H1066" i="14"/>
  <c r="I1066" i="14"/>
  <c r="J1066" i="14"/>
  <c r="K1066" i="14"/>
  <c r="L1066" i="14"/>
  <c r="M1066" i="14"/>
  <c r="N1066" i="14"/>
  <c r="O1066" i="14"/>
  <c r="C1068" i="14"/>
  <c r="D1068" i="14"/>
  <c r="E1068" i="14"/>
  <c r="F1068" i="14"/>
  <c r="G1068" i="14"/>
  <c r="H1068" i="14"/>
  <c r="I1068" i="14"/>
  <c r="J1068" i="14"/>
  <c r="K1068" i="14"/>
  <c r="L1068" i="14"/>
  <c r="M1068" i="14"/>
  <c r="N1068" i="14"/>
  <c r="O1068" i="14"/>
  <c r="C1069" i="14"/>
  <c r="D1069" i="14"/>
  <c r="E1069" i="14"/>
  <c r="F1069" i="14"/>
  <c r="G1069" i="14"/>
  <c r="H1069" i="14"/>
  <c r="I1069" i="14"/>
  <c r="J1069" i="14"/>
  <c r="K1069" i="14"/>
  <c r="L1069" i="14"/>
  <c r="M1069" i="14"/>
  <c r="N1069" i="14"/>
  <c r="O1069" i="14"/>
  <c r="C1070" i="14"/>
  <c r="D1070" i="14"/>
  <c r="E1070" i="14"/>
  <c r="F1070" i="14"/>
  <c r="G1070" i="14"/>
  <c r="H1070" i="14"/>
  <c r="I1070" i="14"/>
  <c r="J1070" i="14"/>
  <c r="K1070" i="14"/>
  <c r="L1070" i="14"/>
  <c r="M1070" i="14"/>
  <c r="N1070" i="14"/>
  <c r="O1070" i="14"/>
  <c r="D1074" i="14"/>
  <c r="D1076" i="14"/>
  <c r="D1077" i="14"/>
  <c r="D1078" i="14"/>
  <c r="D1080" i="14"/>
  <c r="D1082" i="14"/>
  <c r="D1084" i="14"/>
  <c r="D1085" i="14"/>
  <c r="D1086" i="14"/>
  <c r="D1087" i="14"/>
  <c r="C1089" i="14"/>
  <c r="C1091" i="14"/>
  <c r="C1094" i="14"/>
  <c r="C1095" i="14"/>
  <c r="C1118" i="14"/>
  <c r="D1118" i="14"/>
  <c r="E1118" i="14"/>
  <c r="F1118" i="14"/>
  <c r="G1118" i="14"/>
  <c r="H1118" i="14"/>
  <c r="I1118" i="14"/>
  <c r="J1118" i="14"/>
  <c r="K1118" i="14"/>
  <c r="L1118" i="14"/>
  <c r="M1118" i="14"/>
  <c r="N1118" i="14"/>
  <c r="O1118" i="14"/>
  <c r="C1119" i="14"/>
  <c r="D1119" i="14"/>
  <c r="E1119" i="14"/>
  <c r="F1119" i="14"/>
  <c r="G1119" i="14"/>
  <c r="H1119" i="14"/>
  <c r="I1119" i="14"/>
  <c r="J1119" i="14"/>
  <c r="K1119" i="14"/>
  <c r="L1119" i="14"/>
  <c r="M1119" i="14"/>
  <c r="N1119" i="14"/>
  <c r="O1119" i="14"/>
  <c r="C1122" i="14"/>
  <c r="D1122" i="14"/>
  <c r="E1122" i="14"/>
  <c r="F1122" i="14"/>
  <c r="G1122" i="14"/>
  <c r="H1122" i="14"/>
  <c r="I1122" i="14"/>
  <c r="J1122" i="14"/>
  <c r="K1122" i="14"/>
  <c r="L1122" i="14"/>
  <c r="M1122" i="14"/>
  <c r="N1122" i="14"/>
  <c r="O1122" i="14"/>
  <c r="C1123" i="14"/>
  <c r="D1123" i="14"/>
  <c r="E1123" i="14"/>
  <c r="F1123" i="14"/>
  <c r="G1123" i="14"/>
  <c r="H1123" i="14"/>
  <c r="I1123" i="14"/>
  <c r="J1123" i="14"/>
  <c r="K1123" i="14"/>
  <c r="L1123" i="14"/>
  <c r="M1123" i="14"/>
  <c r="N1123" i="14"/>
  <c r="O1123" i="14"/>
  <c r="C1126" i="14"/>
  <c r="D1126" i="14"/>
  <c r="E1126" i="14"/>
  <c r="F1126" i="14"/>
  <c r="G1126" i="14"/>
  <c r="H1126" i="14"/>
  <c r="I1126" i="14"/>
  <c r="J1126" i="14"/>
  <c r="K1126" i="14"/>
  <c r="L1126" i="14"/>
  <c r="M1126" i="14"/>
  <c r="N1126" i="14"/>
  <c r="O1126" i="14"/>
  <c r="C1127" i="14"/>
  <c r="D1127" i="14"/>
  <c r="E1127" i="14"/>
  <c r="F1127" i="14"/>
  <c r="G1127" i="14"/>
  <c r="H1127" i="14"/>
  <c r="I1127" i="14"/>
  <c r="J1127" i="14"/>
  <c r="K1127" i="14"/>
  <c r="L1127" i="14"/>
  <c r="M1127" i="14"/>
  <c r="N1127" i="14"/>
  <c r="O1127" i="14"/>
  <c r="C1130" i="14"/>
  <c r="D1130" i="14"/>
  <c r="E1130" i="14"/>
  <c r="F1130" i="14"/>
  <c r="G1130" i="14"/>
  <c r="H1130" i="14"/>
  <c r="I1130" i="14"/>
  <c r="J1130" i="14"/>
  <c r="K1130" i="14"/>
  <c r="L1130" i="14"/>
  <c r="M1130" i="14"/>
  <c r="N1130" i="14"/>
  <c r="O1130" i="14"/>
  <c r="C1131" i="14"/>
  <c r="D1131" i="14"/>
  <c r="E1131" i="14"/>
  <c r="F1131" i="14"/>
  <c r="G1131" i="14"/>
  <c r="H1131" i="14"/>
  <c r="I1131" i="14"/>
  <c r="J1131" i="14"/>
  <c r="K1131" i="14"/>
  <c r="L1131" i="14"/>
  <c r="M1131" i="14"/>
  <c r="N1131" i="14"/>
  <c r="O1131" i="14"/>
  <c r="C1134" i="14"/>
  <c r="D1134" i="14"/>
  <c r="E1134" i="14"/>
  <c r="F1134" i="14"/>
  <c r="G1134" i="14"/>
  <c r="H1134" i="14"/>
  <c r="I1134" i="14"/>
  <c r="J1134" i="14"/>
  <c r="K1134" i="14"/>
  <c r="L1134" i="14"/>
  <c r="M1134" i="14"/>
  <c r="N1134" i="14"/>
  <c r="O1134" i="14"/>
  <c r="C1135" i="14"/>
  <c r="D1135" i="14"/>
  <c r="E1135" i="14"/>
  <c r="F1135" i="14"/>
  <c r="G1135" i="14"/>
  <c r="H1135" i="14"/>
  <c r="I1135" i="14"/>
  <c r="J1135" i="14"/>
  <c r="K1135" i="14"/>
  <c r="L1135" i="14"/>
  <c r="M1135" i="14"/>
  <c r="N1135" i="14"/>
  <c r="O1135" i="14"/>
  <c r="C1138" i="14"/>
  <c r="D1138" i="14"/>
  <c r="E1138" i="14"/>
  <c r="F1138" i="14"/>
  <c r="G1138" i="14"/>
  <c r="H1138" i="14"/>
  <c r="I1138" i="14"/>
  <c r="J1138" i="14"/>
  <c r="K1138" i="14"/>
  <c r="L1138" i="14"/>
  <c r="M1138" i="14"/>
  <c r="N1138" i="14"/>
  <c r="O1138" i="14"/>
  <c r="C1139" i="14"/>
  <c r="D1139" i="14"/>
  <c r="E1139" i="14"/>
  <c r="F1139" i="14"/>
  <c r="G1139" i="14"/>
  <c r="H1139" i="14"/>
  <c r="I1139" i="14"/>
  <c r="J1139" i="14"/>
  <c r="K1139" i="14"/>
  <c r="L1139" i="14"/>
  <c r="M1139" i="14"/>
  <c r="N1139" i="14"/>
  <c r="O1139" i="14"/>
  <c r="C1142" i="14"/>
  <c r="D1142" i="14"/>
  <c r="E1142" i="14"/>
  <c r="F1142" i="14"/>
  <c r="G1142" i="14"/>
  <c r="H1142" i="14"/>
  <c r="I1142" i="14"/>
  <c r="J1142" i="14"/>
  <c r="K1142" i="14"/>
  <c r="L1142" i="14"/>
  <c r="M1142" i="14"/>
  <c r="N1142" i="14"/>
  <c r="O1142" i="14"/>
  <c r="C1143" i="14"/>
  <c r="D1143" i="14"/>
  <c r="E1143" i="14"/>
  <c r="F1143" i="14"/>
  <c r="G1143" i="14"/>
  <c r="H1143" i="14"/>
  <c r="I1143" i="14"/>
  <c r="J1143" i="14"/>
  <c r="K1143" i="14"/>
  <c r="L1143" i="14"/>
  <c r="M1143" i="14"/>
  <c r="N1143" i="14"/>
  <c r="O1143" i="14"/>
  <c r="K1151" i="14"/>
  <c r="O1151" i="14"/>
  <c r="K1153" i="14"/>
  <c r="O1153" i="14"/>
  <c r="K1154" i="14"/>
  <c r="O1154" i="14"/>
  <c r="K1157" i="14"/>
  <c r="O1157" i="14"/>
  <c r="K1159" i="14"/>
  <c r="O1159" i="14"/>
  <c r="K1160" i="14"/>
  <c r="O1160" i="14"/>
  <c r="C1163" i="14"/>
  <c r="C1166" i="14"/>
  <c r="C1167" i="14"/>
  <c r="C1179" i="14"/>
  <c r="C1181" i="14"/>
  <c r="C1183" i="14"/>
  <c r="C1186" i="14"/>
  <c r="D1186" i="14"/>
  <c r="E1186" i="14"/>
  <c r="C1187" i="14"/>
  <c r="D1187" i="14"/>
  <c r="E1187" i="14"/>
  <c r="C1188" i="14"/>
  <c r="D1188" i="14"/>
  <c r="E1188" i="14"/>
  <c r="C1190" i="14"/>
  <c r="D1190" i="14"/>
  <c r="E1190" i="14"/>
  <c r="C1191" i="14"/>
  <c r="D1191" i="14"/>
  <c r="E1191" i="14"/>
  <c r="C1192" i="14"/>
  <c r="D1192" i="14"/>
  <c r="E1192" i="14"/>
  <c r="C1194" i="14"/>
  <c r="D1194" i="14"/>
  <c r="E1194" i="14"/>
  <c r="C1195" i="14"/>
  <c r="D1195" i="14"/>
  <c r="E1195" i="14"/>
  <c r="C1198" i="14"/>
  <c r="C1200" i="14"/>
  <c r="C1203" i="14"/>
  <c r="D1203" i="14"/>
  <c r="E1203" i="14"/>
  <c r="F1203" i="14"/>
  <c r="G1203" i="14"/>
  <c r="H1203" i="14"/>
  <c r="I1203" i="14"/>
  <c r="J1203" i="14"/>
  <c r="K1203" i="14"/>
  <c r="L1203" i="14"/>
  <c r="M1203" i="14"/>
  <c r="N1203" i="14"/>
  <c r="C1204" i="14"/>
  <c r="D1204" i="14"/>
  <c r="E1204" i="14"/>
  <c r="F1204" i="14"/>
  <c r="G1204" i="14"/>
  <c r="H1204" i="14"/>
  <c r="I1204" i="14"/>
  <c r="J1204" i="14"/>
  <c r="K1204" i="14"/>
  <c r="L1204" i="14"/>
  <c r="M1204" i="14"/>
  <c r="N1204" i="14"/>
  <c r="C1207" i="14"/>
  <c r="D1207" i="14"/>
  <c r="E1207" i="14"/>
  <c r="F1207" i="14"/>
  <c r="G1207" i="14"/>
  <c r="H1207" i="14"/>
  <c r="I1207" i="14"/>
  <c r="J1207" i="14"/>
  <c r="K1207" i="14"/>
  <c r="L1207" i="14"/>
  <c r="M1207" i="14"/>
  <c r="N1207" i="14"/>
  <c r="D1210" i="14"/>
  <c r="E1210" i="14"/>
  <c r="F1210" i="14"/>
  <c r="G1210" i="14"/>
  <c r="H1210" i="14"/>
  <c r="I1210" i="14"/>
  <c r="J1210" i="14"/>
  <c r="K1210" i="14"/>
  <c r="L1210" i="14"/>
  <c r="M1210" i="14"/>
  <c r="N1210" i="14"/>
  <c r="T1211" i="14"/>
  <c r="D1212" i="14"/>
  <c r="E1212" i="14"/>
  <c r="F1212" i="14"/>
  <c r="G1212" i="14"/>
  <c r="H1212" i="14"/>
  <c r="I1212" i="14"/>
  <c r="J1212" i="14"/>
  <c r="K1212" i="14"/>
  <c r="L1212" i="14"/>
  <c r="M1212" i="14"/>
  <c r="N1212" i="14"/>
  <c r="T1212" i="14"/>
  <c r="T1215" i="14"/>
  <c r="C1217" i="14"/>
  <c r="D1217" i="14"/>
  <c r="E1217" i="14"/>
  <c r="F1217" i="14"/>
  <c r="G1217" i="14"/>
  <c r="H1217" i="14"/>
  <c r="I1217" i="14"/>
  <c r="J1217" i="14"/>
  <c r="K1217" i="14"/>
  <c r="L1217" i="14"/>
  <c r="M1217" i="14"/>
  <c r="N1217" i="14"/>
  <c r="T1217" i="14"/>
  <c r="C1218" i="14"/>
  <c r="D1218" i="14"/>
  <c r="E1218" i="14"/>
  <c r="F1218" i="14"/>
  <c r="G1218" i="14"/>
  <c r="H1218" i="14"/>
  <c r="I1218" i="14"/>
  <c r="J1218" i="14"/>
  <c r="K1218" i="14"/>
  <c r="L1218" i="14"/>
  <c r="M1218" i="14"/>
  <c r="N1218" i="14"/>
  <c r="C1219" i="14"/>
  <c r="D1219" i="14"/>
  <c r="E1219" i="14"/>
  <c r="F1219" i="14"/>
  <c r="G1219" i="14"/>
  <c r="H1219" i="14"/>
  <c r="I1219" i="14"/>
  <c r="J1219" i="14"/>
  <c r="K1219" i="14"/>
  <c r="L1219" i="14"/>
  <c r="M1219" i="14"/>
  <c r="N1219" i="14"/>
  <c r="T1219" i="14"/>
  <c r="C1220" i="14"/>
  <c r="D1220" i="14"/>
  <c r="E1220" i="14"/>
  <c r="F1220" i="14"/>
  <c r="G1220" i="14"/>
  <c r="H1220" i="14"/>
  <c r="I1220" i="14"/>
  <c r="J1220" i="14"/>
  <c r="K1220" i="14"/>
  <c r="L1220" i="14"/>
  <c r="M1220" i="14"/>
  <c r="N1220" i="14"/>
  <c r="D1231" i="14"/>
  <c r="E1231" i="14"/>
  <c r="F1231" i="14"/>
  <c r="G1231" i="14"/>
  <c r="H1231" i="14"/>
  <c r="I1231" i="14"/>
  <c r="J1231" i="14"/>
  <c r="K1231" i="14"/>
  <c r="L1231" i="14"/>
  <c r="M1231" i="14"/>
  <c r="N1231" i="14"/>
  <c r="O1231" i="14"/>
  <c r="P1231" i="14"/>
  <c r="Q1231" i="14"/>
  <c r="R1231" i="14"/>
  <c r="S1231" i="14"/>
  <c r="T1231" i="14"/>
  <c r="U1231" i="14"/>
  <c r="V1231" i="14"/>
  <c r="W1231" i="14"/>
  <c r="X1231" i="14"/>
  <c r="Y1231" i="14"/>
  <c r="Z1231" i="14"/>
  <c r="AA1231" i="14"/>
  <c r="D1233" i="14"/>
  <c r="E1233" i="14"/>
  <c r="F1233" i="14"/>
  <c r="G1233" i="14"/>
  <c r="H1233" i="14"/>
  <c r="I1233" i="14"/>
  <c r="J1233" i="14"/>
  <c r="K1233" i="14"/>
  <c r="L1233" i="14"/>
  <c r="M1233" i="14"/>
  <c r="N1233" i="14"/>
  <c r="O1233" i="14"/>
  <c r="P1233" i="14"/>
  <c r="Q1233" i="14"/>
  <c r="R1233" i="14"/>
  <c r="S1233" i="14"/>
  <c r="T1233" i="14"/>
  <c r="U1233" i="14"/>
  <c r="V1233" i="14"/>
  <c r="W1233" i="14"/>
  <c r="X1233" i="14"/>
  <c r="Y1233" i="14"/>
  <c r="Z1233" i="14"/>
  <c r="AA1233" i="14"/>
  <c r="D1234" i="14"/>
  <c r="E1234" i="14"/>
  <c r="F1234" i="14"/>
  <c r="G1234" i="14"/>
  <c r="H1234" i="14"/>
  <c r="I1234" i="14"/>
  <c r="J1234" i="14"/>
  <c r="K1234" i="14"/>
  <c r="L1234" i="14"/>
  <c r="M1234" i="14"/>
  <c r="N1234" i="14"/>
  <c r="C1237" i="14"/>
  <c r="D1237" i="14"/>
  <c r="E1237" i="14"/>
  <c r="F1237" i="14"/>
  <c r="G1237" i="14"/>
  <c r="H1237" i="14"/>
  <c r="I1237" i="14"/>
  <c r="J1237" i="14"/>
  <c r="K1237" i="14"/>
  <c r="L1237" i="14"/>
  <c r="M1237" i="14"/>
  <c r="N1237" i="14"/>
  <c r="O1237" i="14"/>
  <c r="P1237" i="14"/>
  <c r="Q1237" i="14"/>
  <c r="R1237" i="14"/>
  <c r="S1237" i="14"/>
  <c r="T1237" i="14"/>
  <c r="U1237" i="14"/>
  <c r="V1237" i="14"/>
  <c r="W1237" i="14"/>
  <c r="X1237" i="14"/>
  <c r="Y1237" i="14"/>
  <c r="Z1237" i="14"/>
  <c r="AA1237" i="14"/>
  <c r="D1238" i="14"/>
  <c r="E1238" i="14"/>
  <c r="F1238" i="14"/>
  <c r="G1238" i="14"/>
  <c r="H1238" i="14"/>
  <c r="I1238" i="14"/>
  <c r="J1238" i="14"/>
  <c r="K1238" i="14"/>
  <c r="L1238" i="14"/>
  <c r="M1238" i="14"/>
  <c r="N1238" i="14"/>
  <c r="O1238" i="14"/>
  <c r="P1238" i="14"/>
  <c r="Q1238" i="14"/>
  <c r="R1238" i="14"/>
  <c r="S1238" i="14"/>
  <c r="T1238" i="14"/>
  <c r="U1238" i="14"/>
  <c r="V1238" i="14"/>
  <c r="W1238" i="14"/>
  <c r="X1238" i="14"/>
  <c r="Y1238" i="14"/>
  <c r="Z1238" i="14"/>
  <c r="AA1238" i="14"/>
  <c r="C1240" i="14"/>
  <c r="C1241" i="14"/>
  <c r="C1242" i="14"/>
  <c r="C1243" i="14"/>
  <c r="C1244" i="14"/>
  <c r="C1245" i="14"/>
  <c r="C1246" i="14"/>
  <c r="C1247" i="14"/>
  <c r="C1249" i="14"/>
  <c r="C1251" i="14"/>
  <c r="D1251" i="14"/>
  <c r="E1251" i="14"/>
  <c r="F1251" i="14"/>
  <c r="G1251" i="14"/>
  <c r="H1251" i="14"/>
  <c r="I1251" i="14"/>
  <c r="J1251" i="14"/>
  <c r="K1251" i="14"/>
  <c r="L1251" i="14"/>
  <c r="M1251" i="14"/>
  <c r="C1255" i="14"/>
  <c r="D1255" i="14"/>
  <c r="E1255" i="14"/>
  <c r="F1255" i="14"/>
  <c r="G1255" i="14"/>
  <c r="H1255" i="14"/>
  <c r="I1255" i="14"/>
  <c r="J1255" i="14"/>
  <c r="K1255" i="14"/>
  <c r="L1255" i="14"/>
  <c r="M1255" i="14"/>
  <c r="N1255" i="14"/>
  <c r="C1256" i="14"/>
  <c r="D1256" i="14"/>
  <c r="E1256" i="14"/>
  <c r="F1256" i="14"/>
  <c r="G1256" i="14"/>
  <c r="H1256" i="14"/>
  <c r="I1256" i="14"/>
  <c r="J1256" i="14"/>
  <c r="K1256" i="14"/>
  <c r="L1256" i="14"/>
  <c r="M1256" i="14"/>
  <c r="N1256" i="14"/>
  <c r="C1257" i="14"/>
  <c r="D1257" i="14"/>
  <c r="E1257" i="14"/>
  <c r="F1257" i="14"/>
  <c r="G1257" i="14"/>
  <c r="H1257" i="14"/>
  <c r="I1257" i="14"/>
  <c r="J1257" i="14"/>
  <c r="K1257" i="14"/>
  <c r="L1257" i="14"/>
  <c r="M1257" i="14"/>
  <c r="N1257" i="14"/>
  <c r="C1258" i="14"/>
  <c r="D1258" i="14"/>
  <c r="E1258" i="14"/>
  <c r="F1258" i="14"/>
  <c r="G1258" i="14"/>
  <c r="H1258" i="14"/>
  <c r="I1258" i="14"/>
  <c r="J1258" i="14"/>
  <c r="K1258" i="14"/>
  <c r="L1258" i="14"/>
  <c r="M1258" i="14"/>
  <c r="N1258" i="14"/>
  <c r="C1263" i="14"/>
  <c r="D1263" i="14"/>
  <c r="E1263" i="14"/>
  <c r="F1263" i="14"/>
  <c r="G1263" i="14"/>
  <c r="H1263" i="14"/>
  <c r="I1263" i="14"/>
  <c r="J1263" i="14"/>
  <c r="K1263" i="14"/>
  <c r="L1263" i="14"/>
  <c r="M1263" i="14"/>
  <c r="N1263" i="14"/>
  <c r="C1265" i="14"/>
  <c r="D1265" i="14"/>
  <c r="E1265" i="14"/>
  <c r="F1265" i="14"/>
  <c r="G1265" i="14"/>
  <c r="H1265" i="14"/>
  <c r="I1265" i="14"/>
  <c r="J1265" i="14"/>
  <c r="K1265" i="14"/>
  <c r="L1265" i="14"/>
  <c r="M1265" i="14"/>
  <c r="N1265" i="14"/>
  <c r="C1267" i="14"/>
  <c r="D1267" i="14"/>
  <c r="E1267" i="14"/>
  <c r="F1267" i="14"/>
  <c r="G1267" i="14"/>
  <c r="H1267" i="14"/>
  <c r="I1267" i="14"/>
  <c r="J1267" i="14"/>
  <c r="K1267" i="14"/>
  <c r="L1267" i="14"/>
  <c r="M1267" i="14"/>
  <c r="N1267" i="14"/>
  <c r="C1271" i="14"/>
  <c r="D1271" i="14"/>
  <c r="E1271" i="14"/>
  <c r="F1271" i="14"/>
  <c r="G1271" i="14"/>
  <c r="H1271" i="14"/>
  <c r="I1271" i="14"/>
  <c r="J1271" i="14"/>
  <c r="K1271" i="14"/>
  <c r="L1271" i="14"/>
  <c r="M1271" i="14"/>
  <c r="N1271" i="14"/>
  <c r="D1274" i="14"/>
  <c r="E1274" i="14"/>
  <c r="F1274" i="14"/>
  <c r="G1274" i="14"/>
  <c r="H1274" i="14"/>
  <c r="I1274" i="14"/>
  <c r="J1274" i="14"/>
  <c r="K1274" i="14"/>
  <c r="L1274" i="14"/>
  <c r="M1274" i="14"/>
  <c r="N1274" i="14"/>
  <c r="D1276" i="14"/>
  <c r="E1276" i="14"/>
  <c r="F1276" i="14"/>
  <c r="G1276" i="14"/>
  <c r="H1276" i="14"/>
  <c r="I1276" i="14"/>
  <c r="J1276" i="14"/>
  <c r="K1276" i="14"/>
  <c r="L1276" i="14"/>
  <c r="M1276" i="14"/>
  <c r="N1276" i="14"/>
  <c r="C1278" i="14"/>
  <c r="C1280" i="14"/>
  <c r="C1281" i="14"/>
  <c r="C1284" i="14"/>
  <c r="C1289" i="14"/>
  <c r="D1289" i="14"/>
  <c r="E1289" i="14"/>
  <c r="F1289" i="14"/>
  <c r="G1289" i="14"/>
  <c r="H1289" i="14"/>
  <c r="I1289" i="14"/>
  <c r="J1289" i="14"/>
  <c r="K1289" i="14"/>
  <c r="L1289" i="14"/>
  <c r="M1289" i="14"/>
  <c r="N1289" i="14"/>
  <c r="C1290" i="14"/>
  <c r="D1290" i="14"/>
  <c r="E1290" i="14"/>
  <c r="F1290" i="14"/>
  <c r="G1290" i="14"/>
  <c r="H1290" i="14"/>
  <c r="I1290" i="14"/>
  <c r="J1290" i="14"/>
  <c r="K1290" i="14"/>
  <c r="L1290" i="14"/>
  <c r="M1290" i="14"/>
  <c r="N1290" i="14"/>
  <c r="C1291" i="14"/>
  <c r="D1291" i="14"/>
  <c r="E1291" i="14"/>
  <c r="F1291" i="14"/>
  <c r="G1291" i="14"/>
  <c r="H1291" i="14"/>
  <c r="I1291" i="14"/>
  <c r="J1291" i="14"/>
  <c r="K1291" i="14"/>
  <c r="L1291" i="14"/>
  <c r="M1291" i="14"/>
  <c r="N1291" i="14"/>
  <c r="C1292" i="14"/>
  <c r="D1292" i="14"/>
  <c r="E1292" i="14"/>
  <c r="F1292" i="14"/>
  <c r="G1292" i="14"/>
  <c r="H1292" i="14"/>
  <c r="I1292" i="14"/>
  <c r="J1292" i="14"/>
  <c r="K1292" i="14"/>
  <c r="L1292" i="14"/>
  <c r="M1292" i="14"/>
  <c r="N1292" i="14"/>
  <c r="D1295" i="14"/>
  <c r="E1295" i="14"/>
  <c r="F1295" i="14"/>
  <c r="G1295" i="14"/>
  <c r="H1295" i="14"/>
  <c r="I1295" i="14"/>
  <c r="J1295" i="14"/>
  <c r="K1295" i="14"/>
  <c r="L1295" i="14"/>
  <c r="M1295" i="14"/>
  <c r="N1295" i="14"/>
  <c r="O1295" i="14"/>
  <c r="P1295" i="14"/>
  <c r="Q1295" i="14"/>
  <c r="R1295" i="14"/>
  <c r="S1295" i="14"/>
  <c r="T1295" i="14"/>
  <c r="U1295" i="14"/>
  <c r="V1295" i="14"/>
  <c r="W1295" i="14"/>
  <c r="X1295" i="14"/>
  <c r="Y1295" i="14"/>
  <c r="Z1295" i="14"/>
  <c r="AA1295" i="14"/>
  <c r="D1297" i="14"/>
  <c r="E1297" i="14"/>
  <c r="F1297" i="14"/>
  <c r="G1297" i="14"/>
  <c r="H1297" i="14"/>
  <c r="I1297" i="14"/>
  <c r="J1297" i="14"/>
  <c r="K1297" i="14"/>
  <c r="L1297" i="14"/>
  <c r="M1297" i="14"/>
  <c r="N1297" i="14"/>
  <c r="O1297" i="14"/>
  <c r="P1297" i="14"/>
  <c r="Q1297" i="14"/>
  <c r="R1297" i="14"/>
  <c r="S1297" i="14"/>
  <c r="T1297" i="14"/>
  <c r="U1297" i="14"/>
  <c r="V1297" i="14"/>
  <c r="W1297" i="14"/>
  <c r="X1297" i="14"/>
  <c r="Y1297" i="14"/>
  <c r="Z1297" i="14"/>
  <c r="AA1297" i="14"/>
  <c r="D1298" i="14"/>
  <c r="E1298" i="14"/>
  <c r="F1298" i="14"/>
  <c r="G1298" i="14"/>
  <c r="H1298" i="14"/>
  <c r="I1298" i="14"/>
  <c r="J1298" i="14"/>
  <c r="K1298" i="14"/>
  <c r="L1298" i="14"/>
  <c r="M1298" i="14"/>
  <c r="N1298" i="14"/>
  <c r="C1301" i="14"/>
  <c r="D1301" i="14"/>
  <c r="E1301" i="14"/>
  <c r="F1301" i="14"/>
  <c r="G1301" i="14"/>
  <c r="H1301" i="14"/>
  <c r="I1301" i="14"/>
  <c r="J1301" i="14"/>
  <c r="K1301" i="14"/>
  <c r="L1301" i="14"/>
  <c r="M1301" i="14"/>
  <c r="N1301" i="14"/>
  <c r="O1301" i="14"/>
  <c r="P1301" i="14"/>
  <c r="Q1301" i="14"/>
  <c r="R1301" i="14"/>
  <c r="S1301" i="14"/>
  <c r="T1301" i="14"/>
  <c r="U1301" i="14"/>
  <c r="V1301" i="14"/>
  <c r="W1301" i="14"/>
  <c r="X1301" i="14"/>
  <c r="Y1301" i="14"/>
  <c r="Z1301" i="14"/>
  <c r="AA1301" i="14"/>
  <c r="D1302" i="14"/>
  <c r="E1302" i="14"/>
  <c r="F1302" i="14"/>
  <c r="G1302" i="14"/>
  <c r="H1302" i="14"/>
  <c r="I1302" i="14"/>
  <c r="J1302" i="14"/>
  <c r="K1302" i="14"/>
  <c r="L1302" i="14"/>
  <c r="M1302" i="14"/>
  <c r="N1302" i="14"/>
  <c r="O1302" i="14"/>
  <c r="P1302" i="14"/>
  <c r="Q1302" i="14"/>
  <c r="R1302" i="14"/>
  <c r="S1302" i="14"/>
  <c r="T1302" i="14"/>
  <c r="U1302" i="14"/>
  <c r="V1302" i="14"/>
  <c r="W1302" i="14"/>
  <c r="X1302" i="14"/>
  <c r="Y1302" i="14"/>
  <c r="Z1302" i="14"/>
  <c r="AA1302" i="14"/>
  <c r="C1304" i="14"/>
  <c r="C1305" i="14"/>
  <c r="C1306" i="14"/>
  <c r="C1307" i="14"/>
  <c r="C1308" i="14"/>
  <c r="C1309" i="14"/>
  <c r="D1315" i="14"/>
  <c r="E1315" i="14"/>
  <c r="F1315" i="14"/>
  <c r="G1315" i="14"/>
  <c r="H1315" i="14"/>
  <c r="I1315" i="14"/>
  <c r="J1315" i="14"/>
  <c r="K1315" i="14"/>
  <c r="L1315" i="14"/>
  <c r="M1315" i="14"/>
  <c r="N1315" i="14"/>
  <c r="D1317" i="14"/>
  <c r="E1317" i="14"/>
  <c r="F1317" i="14"/>
  <c r="G1317" i="14"/>
  <c r="H1317" i="14"/>
  <c r="I1317" i="14"/>
  <c r="J1317" i="14"/>
  <c r="K1317" i="14"/>
  <c r="L1317" i="14"/>
  <c r="M1317" i="14"/>
  <c r="N1317" i="14"/>
  <c r="D1318" i="14"/>
  <c r="E1318" i="14"/>
  <c r="F1318" i="14"/>
  <c r="G1318" i="14"/>
  <c r="H1318" i="14"/>
  <c r="I1318" i="14"/>
  <c r="J1318" i="14"/>
  <c r="K1318" i="14"/>
  <c r="L1318" i="14"/>
  <c r="M1318" i="14"/>
  <c r="N1318" i="14"/>
  <c r="C1321" i="14"/>
  <c r="C1322" i="14"/>
  <c r="C1323" i="14"/>
  <c r="C1324" i="14"/>
  <c r="C1326" i="14"/>
  <c r="D1326" i="14"/>
  <c r="C1328" i="14"/>
  <c r="D1328" i="14"/>
  <c r="C1329" i="14"/>
  <c r="D1329" i="14"/>
  <c r="C1330" i="14"/>
  <c r="D1330" i="14"/>
  <c r="C1331" i="14"/>
  <c r="D1331" i="14"/>
  <c r="C1332" i="14"/>
  <c r="D133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Ben Rickett</author>
    <author>Russell Waller</author>
    <author>James Ratzer</author>
    <author>brickett</author>
    <author>Max Hallam</author>
  </authors>
  <commentList>
    <comment ref="B103" authorId="0" shapeId="0" xr:uid="{2F7E7E68-A464-4DAC-9236-6FF31C5DBEF4}">
      <text>
        <r>
          <rPr>
            <b/>
            <sz val="9"/>
            <color indexed="81"/>
            <rFont val="Tahoma"/>
            <family val="2"/>
          </rPr>
          <t>Ben Rickett:</t>
        </r>
        <r>
          <rPr>
            <sz val="9"/>
            <color indexed="81"/>
            <rFont val="Tahoma"/>
            <family val="2"/>
          </rPr>
          <t xml:space="preserve">
Pre-2018 labelled 'Payables' field. Incl. lease liability.</t>
        </r>
      </text>
    </comment>
    <comment ref="K135" authorId="1" shapeId="0" xr:uid="{3EE45DE6-EC22-4C71-9A4F-86065F57A6E3}">
      <text>
        <r>
          <rPr>
            <b/>
            <sz val="9"/>
            <color indexed="81"/>
            <rFont val="Tahoma"/>
            <family val="2"/>
          </rPr>
          <t>Russell Waller:</t>
        </r>
        <r>
          <rPr>
            <sz val="9"/>
            <color indexed="81"/>
            <rFont val="Tahoma"/>
            <family val="2"/>
          </rPr>
          <t xml:space="preserve">
Rights issue</t>
        </r>
      </text>
    </comment>
    <comment ref="S135" authorId="2" shapeId="0" xr:uid="{9E51FC05-4698-42FF-91DD-952839693A53}">
      <text>
        <r>
          <rPr>
            <b/>
            <sz val="9"/>
            <color indexed="81"/>
            <rFont val="Tahoma"/>
            <family val="2"/>
          </rPr>
          <t>James Ratzer:</t>
        </r>
        <r>
          <rPr>
            <sz val="9"/>
            <color indexed="81"/>
            <rFont val="Tahoma"/>
            <family val="2"/>
          </rPr>
          <t xml:space="preserve">
Removal of IFRS16 adjustment</t>
        </r>
      </text>
    </comment>
    <comment ref="L138" authorId="2" shapeId="0" xr:uid="{5B809383-5403-400D-A9BD-D66D9D72AECF}">
      <text>
        <r>
          <rPr>
            <b/>
            <sz val="9"/>
            <color indexed="81"/>
            <rFont val="Tahoma"/>
            <family val="2"/>
          </rPr>
          <t>James Ratzer:</t>
        </r>
        <r>
          <rPr>
            <sz val="9"/>
            <color indexed="81"/>
            <rFont val="Tahoma"/>
            <family val="2"/>
          </rPr>
          <t xml:space="preserve">
Adjusted for historic accrued interest</t>
        </r>
      </text>
    </comment>
    <comment ref="M138" authorId="2" shapeId="0" xr:uid="{35DC5B22-5430-40E0-AF7C-E5A3E4B9BC52}">
      <text>
        <r>
          <rPr>
            <b/>
            <sz val="9"/>
            <color indexed="81"/>
            <rFont val="Tahoma"/>
            <family val="2"/>
          </rPr>
          <t>James Ratzer:</t>
        </r>
        <r>
          <rPr>
            <sz val="9"/>
            <color indexed="81"/>
            <rFont val="Tahoma"/>
            <family val="2"/>
          </rPr>
          <t xml:space="preserve">
Adjusted for historic accrued interest</t>
        </r>
      </text>
    </comment>
    <comment ref="Z165" authorId="2" shapeId="0" xr:uid="{166E690D-EFCB-4B70-94AB-C6E543814FF2}">
      <text>
        <r>
          <rPr>
            <b/>
            <sz val="9"/>
            <color indexed="81"/>
            <rFont val="Tahoma"/>
            <family val="2"/>
          </rPr>
          <t>James Ratzer:</t>
        </r>
        <r>
          <rPr>
            <sz val="9"/>
            <color indexed="81"/>
            <rFont val="Tahoma"/>
            <family val="2"/>
          </rPr>
          <t xml:space="preserve">
Assume 5x leverage at 5% rate</t>
        </r>
      </text>
    </comment>
    <comment ref="L173" authorId="2" shapeId="0" xr:uid="{45ED08D0-7A0C-4CF2-A39A-983568E37005}">
      <text>
        <r>
          <rPr>
            <b/>
            <sz val="9"/>
            <color indexed="81"/>
            <rFont val="Tahoma"/>
            <family val="2"/>
          </rPr>
          <t>James Ratzer:</t>
        </r>
        <r>
          <rPr>
            <sz val="9"/>
            <color indexed="81"/>
            <rFont val="Tahoma"/>
            <family val="2"/>
          </rPr>
          <t xml:space="preserve">
Adjusted for historic accrued interest</t>
        </r>
      </text>
    </comment>
    <comment ref="M173" authorId="2" shapeId="0" xr:uid="{EA145F77-E1B9-4A6E-AE01-5A56EEC011AA}">
      <text>
        <r>
          <rPr>
            <b/>
            <sz val="9"/>
            <color indexed="81"/>
            <rFont val="Tahoma"/>
            <family val="2"/>
          </rPr>
          <t>James Ratzer:</t>
        </r>
        <r>
          <rPr>
            <sz val="9"/>
            <color indexed="81"/>
            <rFont val="Tahoma"/>
            <family val="2"/>
          </rPr>
          <t xml:space="preserve">
Adjusted for historic accrued interest</t>
        </r>
      </text>
    </comment>
    <comment ref="N174" authorId="3" shapeId="0" xr:uid="{786BD8D2-5C25-4E3A-BEFE-C2EE7974E8C5}">
      <text>
        <r>
          <rPr>
            <b/>
            <sz val="9"/>
            <color indexed="81"/>
            <rFont val="Tahoma"/>
            <family val="2"/>
          </rPr>
          <t>brickett:</t>
        </r>
        <r>
          <rPr>
            <sz val="9"/>
            <color indexed="81"/>
            <rFont val="Tahoma"/>
            <family val="2"/>
          </rPr>
          <t xml:space="preserve">
EUR60-70m</t>
        </r>
      </text>
    </comment>
    <comment ref="H195" authorId="0" shapeId="0" xr:uid="{7D02F259-E323-4126-9FFB-03C0DEA6DB62}">
      <text>
        <r>
          <rPr>
            <b/>
            <sz val="9"/>
            <color indexed="81"/>
            <rFont val="Tahoma"/>
            <family val="2"/>
          </rPr>
          <t>Ben Rickett:</t>
        </r>
        <r>
          <rPr>
            <sz val="9"/>
            <color indexed="81"/>
            <rFont val="Tahoma"/>
            <family val="2"/>
          </rPr>
          <t xml:space="preserve">
Impairement loss on Goodwill</t>
        </r>
      </text>
    </comment>
    <comment ref="B231" authorId="0" shapeId="0" xr:uid="{87C71A64-FBEC-4267-9045-F400F8832470}">
      <text>
        <r>
          <rPr>
            <b/>
            <sz val="9"/>
            <color indexed="81"/>
            <rFont val="Tahoma"/>
            <family val="2"/>
          </rPr>
          <t>Ben Rickett:</t>
        </r>
        <r>
          <rPr>
            <sz val="9"/>
            <color indexed="81"/>
            <rFont val="Tahoma"/>
            <family val="2"/>
          </rPr>
          <t xml:space="preserve">
€50m @ EURIBOR + 3.75%
Jan 2021</t>
        </r>
      </text>
    </comment>
    <comment ref="B232" authorId="0" shapeId="0" xr:uid="{A6542F17-6A06-4CA3-86D7-F54F64C0610F}">
      <text>
        <r>
          <rPr>
            <b/>
            <sz val="9"/>
            <color indexed="81"/>
            <rFont val="Tahoma"/>
            <family val="2"/>
          </rPr>
          <t>Ben Rickett:</t>
        </r>
        <r>
          <rPr>
            <sz val="9"/>
            <color indexed="81"/>
            <rFont val="Tahoma"/>
            <family val="2"/>
          </rPr>
          <t xml:space="preserve">
€75m @ EURIBOR + 4.25%
Oct 2023</t>
        </r>
      </text>
    </comment>
    <comment ref="B233" authorId="0" shapeId="0" xr:uid="{B1CF8C69-33B1-4F75-81E1-C7D32AE219F8}">
      <text>
        <r>
          <rPr>
            <b/>
            <sz val="9"/>
            <color indexed="81"/>
            <rFont val="Tahoma"/>
            <family val="2"/>
          </rPr>
          <t>Ben Rickett:</t>
        </r>
        <r>
          <rPr>
            <sz val="9"/>
            <color indexed="81"/>
            <rFont val="Tahoma"/>
            <family val="2"/>
          </rPr>
          <t xml:space="preserve">
€707m @ EURIBOR + 3.00%
Oct 2024</t>
        </r>
      </text>
    </comment>
    <comment ref="B234" authorId="0" shapeId="0" xr:uid="{CBDEF15A-5FA5-4910-B14C-EF19D7A61360}">
      <text>
        <r>
          <rPr>
            <b/>
            <sz val="9"/>
            <color indexed="81"/>
            <rFont val="Tahoma"/>
            <family val="2"/>
          </rPr>
          <t>Ben Rickett:</t>
        </r>
        <r>
          <rPr>
            <sz val="9"/>
            <color indexed="81"/>
            <rFont val="Tahoma"/>
            <family val="2"/>
          </rPr>
          <t xml:space="preserve">
EUR650m @ 3.875%
May 2025</t>
        </r>
      </text>
    </comment>
    <comment ref="B235" authorId="0" shapeId="0" xr:uid="{408AA512-0936-4332-897B-75406D4D54D3}">
      <text>
        <r>
          <rPr>
            <b/>
            <sz val="9"/>
            <color indexed="81"/>
            <rFont val="Tahoma"/>
            <family val="2"/>
          </rPr>
          <t>Ben Rickett:</t>
        </r>
        <r>
          <rPr>
            <sz val="9"/>
            <color indexed="81"/>
            <rFont val="Tahoma"/>
            <family val="2"/>
          </rPr>
          <t xml:space="preserve">
€50m @ EURIBOR + 5.00%
Jan 2023</t>
        </r>
      </text>
    </comment>
    <comment ref="G310" authorId="4" shapeId="0" xr:uid="{00000000-0006-0000-0200-000009000000}">
      <text>
        <r>
          <rPr>
            <b/>
            <sz val="9"/>
            <color indexed="81"/>
            <rFont val="Tahoma"/>
            <family val="2"/>
          </rPr>
          <t>Max Hallam:</t>
        </r>
        <r>
          <rPr>
            <sz val="9"/>
            <color indexed="81"/>
            <rFont val="Tahoma"/>
            <family val="2"/>
          </rPr>
          <t xml:space="preserve">
“The purchase price amounts to EUR 40 million upon closure of the contract and an additional EUR 12 million over the course of the first quarter of 2018. With 5.22x the acquisition multiple (ie FY2016 Normalised EBITDA in relation to the purchase price) was highly value attractive and further underlines the rationale for this transaction.”</t>
        </r>
      </text>
    </comment>
    <comment ref="I311" authorId="0" shapeId="0" xr:uid="{19D73C0F-A6BC-4571-8990-297BA7B3897D}">
      <text>
        <r>
          <rPr>
            <b/>
            <sz val="9"/>
            <color indexed="81"/>
            <rFont val="Tahoma"/>
            <family val="2"/>
          </rPr>
          <t>Ben Rickett:</t>
        </r>
        <r>
          <rPr>
            <sz val="9"/>
            <color indexed="81"/>
            <rFont val="Tahoma"/>
            <family val="2"/>
          </rPr>
          <t xml:space="preserve">
Acquisition of 76% of ANTEX Servicepool for EUR7.4m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Max Hallam</author>
    <author>Frank Knowles</author>
    <author>David-Mickael Lopes</author>
  </authors>
  <commentList>
    <comment ref="Q107" authorId="0" shapeId="0" xr:uid="{00000000-0006-0000-0300-000001000000}">
      <text>
        <r>
          <rPr>
            <b/>
            <sz val="9"/>
            <color indexed="81"/>
            <rFont val="Tahoma"/>
            <family val="2"/>
          </rPr>
          <t>Max Hallam:</t>
        </r>
        <r>
          <rPr>
            <sz val="9"/>
            <color indexed="81"/>
            <rFont val="Tahoma"/>
            <family val="2"/>
          </rPr>
          <t xml:space="preserve">
Formula amended such that cost efficiencies continue to be realised once full annual synergy benefit is achieved, such that overall EBITDA margin is maintained </t>
        </r>
      </text>
    </comment>
    <comment ref="Q109" authorId="0" shapeId="0" xr:uid="{00000000-0006-0000-0300-000002000000}">
      <text>
        <r>
          <rPr>
            <b/>
            <sz val="9"/>
            <color indexed="81"/>
            <rFont val="Tahoma"/>
            <family val="2"/>
          </rPr>
          <t>Max Hallam:</t>
        </r>
        <r>
          <rPr>
            <sz val="9"/>
            <color indexed="81"/>
            <rFont val="Tahoma"/>
            <family val="2"/>
          </rPr>
          <t xml:space="preserve">
Formula amended such that cost efficiencies continue to be realised once full annual synergy benefit is achieved, such that overall EBITDA margin is maintained </t>
        </r>
      </text>
    </comment>
    <comment ref="L117" authorId="1" shapeId="0" xr:uid="{00000000-0006-0000-0300-000003000000}">
      <text>
        <r>
          <rPr>
            <b/>
            <sz val="9"/>
            <color indexed="81"/>
            <rFont val="Tahoma"/>
            <family val="2"/>
          </rPr>
          <t>Frank Knowles:</t>
        </r>
        <r>
          <rPr>
            <sz val="9"/>
            <color indexed="81"/>
            <rFont val="Tahoma"/>
            <family val="2"/>
          </rPr>
          <t xml:space="preserve">
IPO 11.9
Deals and fees 16.6
Rights issue 3.7
Integration 6.9
Restructuring cost for social plan 24
Tax accrual for ongoing audit 5.8
Non-recurrings from pro-forma 13/4</t>
        </r>
      </text>
    </comment>
    <comment ref="N117" authorId="0" shapeId="0" xr:uid="{00000000-0006-0000-0300-000004000000}">
      <text>
        <r>
          <rPr>
            <b/>
            <sz val="9"/>
            <color indexed="81"/>
            <rFont val="Tahoma"/>
            <family val="2"/>
          </rPr>
          <t>Max Hallam:</t>
        </r>
        <r>
          <rPr>
            <sz val="9"/>
            <color indexed="81"/>
            <rFont val="Tahoma"/>
            <family val="2"/>
          </rPr>
          <t xml:space="preserve">
Total integration cost of 1.0x run-rate synergies (€40m), of which c.€7m1 incurred in FY2015 and
the remainder expected to be approximately equally distributed over FY2016 and FY2017</t>
        </r>
      </text>
    </comment>
    <comment ref="P121" authorId="0" shapeId="0" xr:uid="{00000000-0006-0000-0300-000005000000}">
      <text>
        <r>
          <rPr>
            <b/>
            <sz val="9"/>
            <color indexed="81"/>
            <rFont val="Tahoma"/>
            <family val="2"/>
          </rPr>
          <t>Max Hallam:</t>
        </r>
        <r>
          <rPr>
            <sz val="9"/>
            <color indexed="81"/>
            <rFont val="Tahoma"/>
            <family val="2"/>
          </rPr>
          <t xml:space="preserve">
primacom and pepcom integration in full execution mode and well on track
Synergies largely driven by focus on operational excellence (~50%) in addition to de-duplication and scale effects
</t>
        </r>
        <r>
          <rPr>
            <b/>
            <u/>
            <sz val="9"/>
            <color indexed="81"/>
            <rFont val="Tahoma"/>
            <family val="2"/>
          </rPr>
          <t>Minimum</t>
        </r>
        <r>
          <rPr>
            <sz val="9"/>
            <color indexed="81"/>
            <rFont val="Tahoma"/>
            <family val="2"/>
          </rPr>
          <t xml:space="preserve"> €40m run-rate synergies from FY2018 onwards 
(including 6m capex, </t>
        </r>
        <r>
          <rPr>
            <b/>
            <sz val="9"/>
            <color indexed="81"/>
            <rFont val="Tahoma"/>
            <family val="2"/>
          </rPr>
          <t>i.e. 34m + of Opex</t>
        </r>
        <r>
          <rPr>
            <sz val="9"/>
            <color indexed="81"/>
            <rFont val="Tahoma"/>
            <family val="2"/>
          </rPr>
          <t>)</t>
        </r>
        <r>
          <rPr>
            <b/>
            <sz val="9"/>
            <color indexed="81"/>
            <rFont val="Tahoma"/>
            <family val="2"/>
          </rPr>
          <t xml:space="preserve"> 
Revised value </t>
        </r>
        <r>
          <rPr>
            <sz val="9"/>
            <color indexed="81"/>
            <rFont val="Tahoma"/>
            <family val="2"/>
          </rPr>
          <t xml:space="preserve">(Pres 09/16) from 30m opex and 5m capex
</t>
        </r>
        <r>
          <rPr>
            <b/>
            <sz val="9"/>
            <color indexed="81"/>
            <rFont val="Tahoma"/>
            <family val="2"/>
          </rPr>
          <t xml:space="preserve">Additional €1m savings is worth c+€0.1/share. </t>
        </r>
      </text>
    </comment>
    <comment ref="N131" authorId="0" shapeId="0" xr:uid="{00000000-0006-0000-0300-000006000000}">
      <text>
        <r>
          <rPr>
            <b/>
            <sz val="9"/>
            <color indexed="81"/>
            <rFont val="Tahoma"/>
            <family val="2"/>
          </rPr>
          <t>Max Hallam:</t>
        </r>
        <r>
          <rPr>
            <sz val="9"/>
            <color indexed="81"/>
            <rFont val="Tahoma"/>
            <family val="2"/>
          </rPr>
          <t xml:space="preserve">
Based on income received in Q3 16 from revaluation of derivatives</t>
        </r>
      </text>
    </comment>
    <comment ref="N155" authorId="0" shapeId="0" xr:uid="{00000000-0006-0000-0300-000007000000}">
      <text>
        <r>
          <rPr>
            <b/>
            <sz val="9"/>
            <color indexed="81"/>
            <rFont val="Tahoma"/>
            <family val="2"/>
          </rPr>
          <t>Max Hallam:</t>
        </r>
        <r>
          <rPr>
            <sz val="9"/>
            <color indexed="81"/>
            <rFont val="Tahoma"/>
            <family val="2"/>
          </rPr>
          <t xml:space="preserve">
Adjusted to include derivative revaluation</t>
        </r>
      </text>
    </comment>
    <comment ref="N168" authorId="0" shapeId="0" xr:uid="{00000000-0006-0000-0300-000008000000}">
      <text>
        <r>
          <rPr>
            <b/>
            <sz val="9"/>
            <color indexed="81"/>
            <rFont val="Tahoma"/>
            <family val="2"/>
          </rPr>
          <t>Max Hallam:</t>
        </r>
        <r>
          <rPr>
            <sz val="9"/>
            <color indexed="81"/>
            <rFont val="Tahoma"/>
            <family val="2"/>
          </rPr>
          <t xml:space="preserve">
Incorporates difference between P&amp;L tax and cash tax</t>
        </r>
      </text>
    </comment>
    <comment ref="N188" authorId="0" shapeId="0" xr:uid="{00000000-0006-0000-0300-000009000000}">
      <text>
        <r>
          <rPr>
            <b/>
            <sz val="9"/>
            <color indexed="81"/>
            <rFont val="Tahoma"/>
            <family val="2"/>
          </rPr>
          <t>Max Hallam:</t>
        </r>
        <r>
          <rPr>
            <sz val="9"/>
            <color indexed="81"/>
            <rFont val="Tahoma"/>
            <family val="2"/>
          </rPr>
          <t xml:space="preserve">
adjusted for derivative reval and difference between P&amp;L and cash tax captured already in BS</t>
        </r>
      </text>
    </comment>
    <comment ref="O199" authorId="0" shapeId="0" xr:uid="{00000000-0006-0000-0300-00000A000000}">
      <text>
        <r>
          <rPr>
            <b/>
            <sz val="9"/>
            <color indexed="81"/>
            <rFont val="Tahoma"/>
            <family val="2"/>
          </rPr>
          <t>Max Hallam:</t>
        </r>
        <r>
          <rPr>
            <sz val="9"/>
            <color indexed="81"/>
            <rFont val="Tahoma"/>
            <family val="2"/>
          </rPr>
          <t xml:space="preserve">
“The purchase price amounts to EUR 40 million upon closure of the contract and an additional EUR 12 million over the course of the first quarter of 2018. With 5.22x the acquisition multiple (ie FY2016 Normalised EBITDA in relation to the purchase price) was highly value attractive and further underlines the rationale for this transaction.”</t>
        </r>
      </text>
    </comment>
    <comment ref="E219" authorId="1" shapeId="0" xr:uid="{00000000-0006-0000-0300-00000B000000}">
      <text>
        <r>
          <rPr>
            <b/>
            <sz val="9"/>
            <color indexed="81"/>
            <rFont val="Tahoma"/>
            <family val="2"/>
          </rPr>
          <t>Frank Knowles:</t>
        </r>
        <r>
          <rPr>
            <sz val="9"/>
            <color indexed="81"/>
            <rFont val="Tahoma"/>
            <family val="2"/>
          </rPr>
          <t xml:space="preserve">
BIG 11 mn, BMB minority 20 mn</t>
        </r>
      </text>
    </comment>
    <comment ref="N309" authorId="0" shapeId="0" xr:uid="{00000000-0006-0000-0300-00000C000000}">
      <text>
        <r>
          <rPr>
            <b/>
            <sz val="9"/>
            <color indexed="81"/>
            <rFont val="Tahoma"/>
            <family val="2"/>
          </rPr>
          <t>Max Hallam:</t>
        </r>
        <r>
          <rPr>
            <sz val="9"/>
            <color indexed="81"/>
            <rFont val="Tahoma"/>
            <family val="2"/>
          </rPr>
          <t xml:space="preserve">
Based on interst charged YTD at Q3 16. Review at year end</t>
        </r>
      </text>
    </comment>
    <comment ref="N346" authorId="2" shapeId="0" xr:uid="{00000000-0006-0000-0300-00000D000000}">
      <text>
        <r>
          <rPr>
            <b/>
            <sz val="9"/>
            <color indexed="81"/>
            <rFont val="Tahoma"/>
            <family val="2"/>
          </rPr>
          <t>David-Mickael Lopes:</t>
        </r>
        <r>
          <rPr>
            <sz val="9"/>
            <color indexed="81"/>
            <rFont val="Tahoma"/>
            <family val="2"/>
          </rPr>
          <t xml:space="preserve">
Temporary: adjustement for capital increase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James Ratzer</author>
    <author>Ben Rickett</author>
    <author>Max Hallam</author>
  </authors>
  <commentList>
    <comment ref="B52" authorId="0" shapeId="0" xr:uid="{C2F0A886-DFF8-40F2-B951-F04177A9682D}">
      <text>
        <r>
          <rPr>
            <b/>
            <sz val="9"/>
            <color indexed="81"/>
            <rFont val="Tahoma"/>
            <family val="2"/>
          </rPr>
          <t>James Ratzer:</t>
        </r>
        <r>
          <rPr>
            <sz val="9"/>
            <color indexed="81"/>
            <rFont val="Tahoma"/>
            <family val="2"/>
          </rPr>
          <t xml:space="preserve">
Used to match their definition of penetration</t>
        </r>
      </text>
    </comment>
    <comment ref="I82" authorId="1" shapeId="0" xr:uid="{A56D786F-FE4F-4ECD-BAEA-C9D839CD230C}">
      <text>
        <r>
          <rPr>
            <b/>
            <sz val="9"/>
            <color indexed="81"/>
            <rFont val="Tahoma"/>
            <family val="2"/>
          </rPr>
          <t>Ben Rickett:</t>
        </r>
        <r>
          <rPr>
            <sz val="9"/>
            <color indexed="81"/>
            <rFont val="Tahoma"/>
            <family val="2"/>
          </rPr>
          <t xml:space="preserve">
Impacted by acquisition (-91k on organic basis)</t>
        </r>
      </text>
    </comment>
    <comment ref="G83" authorId="2" shapeId="0" xr:uid="{00000000-0006-0000-0600-000007000000}">
      <text>
        <r>
          <rPr>
            <b/>
            <sz val="9"/>
            <color indexed="81"/>
            <rFont val="Tahoma"/>
            <family val="2"/>
          </rPr>
          <t>Max Hallam:</t>
        </r>
        <r>
          <rPr>
            <sz val="9"/>
            <color indexed="81"/>
            <rFont val="Tahoma"/>
            <family val="2"/>
          </rPr>
          <t xml:space="preserve">
Per IR TV subs base to be kapt flat</t>
        </r>
      </text>
    </comment>
    <comment ref="N85" authorId="0" shapeId="0" xr:uid="{83D7BE98-006B-4E29-938E-2EBB52CF859F}">
      <text>
        <r>
          <rPr>
            <b/>
            <sz val="9"/>
            <color indexed="81"/>
            <rFont val="Tahoma"/>
            <family val="2"/>
          </rPr>
          <t>James Ratzer:</t>
        </r>
        <r>
          <rPr>
            <sz val="9"/>
            <color indexed="81"/>
            <rFont val="Tahoma"/>
            <family val="2"/>
          </rPr>
          <t xml:space="preserve">
Adjusted for bulk Internet subs lost</t>
        </r>
      </text>
    </comment>
    <comment ref="N97" authorId="0" shapeId="0" xr:uid="{15614296-D0D5-40C2-A23A-9ECC1D9AF327}">
      <text>
        <r>
          <rPr>
            <b/>
            <sz val="9"/>
            <color indexed="81"/>
            <rFont val="Tahoma"/>
            <family val="2"/>
          </rPr>
          <t>James Ratzer:</t>
        </r>
        <r>
          <rPr>
            <sz val="9"/>
            <color indexed="81"/>
            <rFont val="Tahoma"/>
            <family val="2"/>
          </rPr>
          <t xml:space="preserve">
Loss of 100k disposed homes, then 50k churn. That leaves 1.05m. Think 250k will move to bulk landloards, so then lose c.50% of what is left = 425k</t>
        </r>
      </text>
    </comment>
    <comment ref="N121" authorId="0" shapeId="0" xr:uid="{F7F9F271-2C9B-47B3-A969-DA2ECC669580}">
      <text>
        <r>
          <rPr>
            <b/>
            <sz val="9"/>
            <color indexed="81"/>
            <rFont val="Tahoma"/>
            <family val="2"/>
          </rPr>
          <t>James Ratzer:</t>
        </r>
        <r>
          <rPr>
            <sz val="9"/>
            <color indexed="81"/>
            <rFont val="Tahoma"/>
            <family val="2"/>
          </rPr>
          <t xml:space="preserve">
Due to loss of 46k bulk Internet subs</t>
        </r>
      </text>
    </comment>
    <comment ref="H147" authorId="2" shapeId="0" xr:uid="{00000000-0006-0000-0600-00000A000000}">
      <text>
        <r>
          <rPr>
            <b/>
            <sz val="9"/>
            <color indexed="81"/>
            <rFont val="Tahoma"/>
            <family val="2"/>
          </rPr>
          <t>Max Hallam:</t>
        </r>
        <r>
          <rPr>
            <sz val="9"/>
            <color indexed="81"/>
            <rFont val="Tahoma"/>
            <family val="2"/>
          </rPr>
          <t xml:space="preserve">
Per IR TV ARPU to remain around €9</t>
        </r>
      </text>
    </comment>
    <comment ref="C153" authorId="2" shapeId="0" xr:uid="{00000000-0006-0000-0600-00000B000000}">
      <text>
        <r>
          <rPr>
            <b/>
            <sz val="9"/>
            <color indexed="81"/>
            <rFont val="Tahoma"/>
            <family val="2"/>
          </rPr>
          <t>Max Hallam:</t>
        </r>
        <r>
          <rPr>
            <sz val="9"/>
            <color indexed="81"/>
            <rFont val="Tahoma"/>
            <family val="2"/>
          </rPr>
          <t xml:space="preserve">
NSR estimate</t>
        </r>
      </text>
    </comment>
    <comment ref="G166" authorId="2" shapeId="0" xr:uid="{00000000-0006-0000-0600-00000C000000}">
      <text>
        <r>
          <rPr>
            <b/>
            <sz val="9"/>
            <color indexed="81"/>
            <rFont val="Tahoma"/>
            <family val="2"/>
          </rPr>
          <t>Max Hallam:</t>
        </r>
        <r>
          <rPr>
            <sz val="9"/>
            <color indexed="81"/>
            <rFont val="Tahoma"/>
            <family val="2"/>
          </rPr>
          <t xml:space="preserve">
Per IR blended ARPU growth driven by internet cross and upselling (awaiting rebranding in Q3 17 for further detail on ARPU evolution)</t>
        </r>
      </text>
    </comment>
    <comment ref="K179" authorId="0" shapeId="0" xr:uid="{1DA79423-95F1-4877-ABD6-3086F4F03429}">
      <text>
        <r>
          <rPr>
            <b/>
            <sz val="9"/>
            <color indexed="81"/>
            <rFont val="Tahoma"/>
            <family val="2"/>
          </rPr>
          <t>James Ratzer:</t>
        </r>
        <r>
          <rPr>
            <sz val="9"/>
            <color indexed="81"/>
            <rFont val="Tahoma"/>
            <family val="2"/>
          </rPr>
          <t xml:space="preserve">
restatement</t>
        </r>
      </text>
    </comment>
    <comment ref="O179" authorId="0" shapeId="0" xr:uid="{32620C9B-B761-405C-B0E8-3820A752BBD4}">
      <text>
        <r>
          <rPr>
            <b/>
            <sz val="9"/>
            <color indexed="81"/>
            <rFont val="Tahoma"/>
            <family val="2"/>
          </rPr>
          <t>James Ratzer:</t>
        </r>
        <r>
          <rPr>
            <sz val="9"/>
            <color indexed="81"/>
            <rFont val="Tahoma"/>
            <family val="2"/>
          </rPr>
          <t xml:space="preserve">
Annualised impaxt of €24m from buk TV losses
Also further loss of c.150k subs = €12m impact
So total impact of c.€36m</t>
        </r>
      </text>
    </comment>
    <comment ref="N244" authorId="0" shapeId="0" xr:uid="{0DD2334B-82CC-4D9E-B8B8-7E0FE5E9CB8B}">
      <text>
        <r>
          <rPr>
            <b/>
            <sz val="9"/>
            <color indexed="81"/>
            <rFont val="Tahoma"/>
            <family val="2"/>
          </rPr>
          <t>James Ratzer:</t>
        </r>
        <r>
          <rPr>
            <sz val="9"/>
            <color indexed="81"/>
            <rFont val="Tahoma"/>
            <family val="2"/>
          </rPr>
          <t xml:space="preserve">
€5m one-off</t>
        </r>
      </text>
    </comment>
    <comment ref="M279" authorId="0" shapeId="0" xr:uid="{6AF22DCB-1FCA-4F59-A185-3A57E5D894B1}">
      <text>
        <r>
          <rPr>
            <b/>
            <sz val="9"/>
            <color indexed="81"/>
            <rFont val="Tahoma"/>
            <charset val="1"/>
          </rPr>
          <t>James Ratzer:</t>
        </r>
        <r>
          <rPr>
            <sz val="9"/>
            <color indexed="81"/>
            <rFont val="Tahoma"/>
            <charset val="1"/>
          </rPr>
          <t xml:space="preserve">
Based off €800m capex in original plan with higher FTTH build of €475m
</t>
        </r>
      </text>
    </comment>
    <comment ref="N292" authorId="0" shapeId="0" xr:uid="{BFDC1AC0-4CCD-4581-A897-781A5C1799C0}">
      <text>
        <r>
          <rPr>
            <b/>
            <sz val="9"/>
            <color indexed="81"/>
            <rFont val="Tahoma"/>
            <family val="2"/>
          </rPr>
          <t>James Ratzer:</t>
        </r>
        <r>
          <rPr>
            <sz val="9"/>
            <color indexed="81"/>
            <rFont val="Tahoma"/>
            <family val="2"/>
          </rPr>
          <t xml:space="preserve">
Adjusts back for bulk disconnects</t>
        </r>
      </text>
    </comment>
    <comment ref="M361" authorId="0" shapeId="0" xr:uid="{EB066613-872B-4B3D-BE8B-A53DC66A1777}">
      <text>
        <r>
          <rPr>
            <b/>
            <sz val="9"/>
            <color indexed="81"/>
            <rFont val="Tahoma"/>
            <charset val="1"/>
          </rPr>
          <t>James Ratzer:</t>
        </r>
        <r>
          <rPr>
            <sz val="9"/>
            <color indexed="81"/>
            <rFont val="Tahoma"/>
            <charset val="1"/>
          </rPr>
          <t xml:space="preserve">
Includes 10% of SAC - B2B estimate</t>
        </r>
      </text>
    </comment>
    <comment ref="N361" authorId="0" shapeId="0" xr:uid="{3CB4F932-FF2F-4FAE-B64D-9AD8FE2CDDBC}">
      <text>
        <r>
          <rPr>
            <b/>
            <sz val="9"/>
            <color indexed="81"/>
            <rFont val="Tahoma"/>
            <charset val="1"/>
          </rPr>
          <t>James Ratzer:</t>
        </r>
        <r>
          <rPr>
            <sz val="9"/>
            <color indexed="81"/>
            <rFont val="Tahoma"/>
            <charset val="1"/>
          </rPr>
          <t xml:space="preserve">
Includes 10% of SAC - B2B estimate</t>
        </r>
      </text>
    </comment>
    <comment ref="O361" authorId="0" shapeId="0" xr:uid="{40240614-113E-4376-8B76-C96100D890D9}">
      <text>
        <r>
          <rPr>
            <b/>
            <sz val="9"/>
            <color indexed="81"/>
            <rFont val="Tahoma"/>
            <charset val="1"/>
          </rPr>
          <t>James Ratzer:</t>
        </r>
        <r>
          <rPr>
            <sz val="9"/>
            <color indexed="81"/>
            <rFont val="Tahoma"/>
            <charset val="1"/>
          </rPr>
          <t xml:space="preserve">
Includes 10% of SAC - B2B estimate</t>
        </r>
      </text>
    </comment>
    <comment ref="P361" authorId="0" shapeId="0" xr:uid="{D82D3B95-43AA-445D-86AF-7DF0F2C3708F}">
      <text>
        <r>
          <rPr>
            <b/>
            <sz val="9"/>
            <color indexed="81"/>
            <rFont val="Tahoma"/>
            <charset val="1"/>
          </rPr>
          <t>James Ratzer:</t>
        </r>
        <r>
          <rPr>
            <sz val="9"/>
            <color indexed="81"/>
            <rFont val="Tahoma"/>
            <charset val="1"/>
          </rPr>
          <t xml:space="preserve">
Includes 10% of SAC - B2B estimate</t>
        </r>
      </text>
    </comment>
    <comment ref="Q361" authorId="0" shapeId="0" xr:uid="{EAC00DA2-DDD8-416E-8298-0897FE56D69B}">
      <text>
        <r>
          <rPr>
            <b/>
            <sz val="9"/>
            <color indexed="81"/>
            <rFont val="Tahoma"/>
            <charset val="1"/>
          </rPr>
          <t>James Ratzer:</t>
        </r>
        <r>
          <rPr>
            <sz val="9"/>
            <color indexed="81"/>
            <rFont val="Tahoma"/>
            <charset val="1"/>
          </rPr>
          <t xml:space="preserve">
Includes 10% of SAC - B2B estimate</t>
        </r>
      </text>
    </comment>
    <comment ref="R361" authorId="0" shapeId="0" xr:uid="{AF427C3E-4CCE-40F1-AC13-677B562BFD27}">
      <text>
        <r>
          <rPr>
            <b/>
            <sz val="9"/>
            <color indexed="81"/>
            <rFont val="Tahoma"/>
            <charset val="1"/>
          </rPr>
          <t>James Ratzer:</t>
        </r>
        <r>
          <rPr>
            <sz val="9"/>
            <color indexed="81"/>
            <rFont val="Tahoma"/>
            <charset val="1"/>
          </rPr>
          <t xml:space="preserve">
Includes 10% of SAC - B2B estimate</t>
        </r>
      </text>
    </comment>
    <comment ref="S361" authorId="0" shapeId="0" xr:uid="{4C2F8445-2910-4165-9E51-C8BAD5287994}">
      <text>
        <r>
          <rPr>
            <b/>
            <sz val="9"/>
            <color indexed="81"/>
            <rFont val="Tahoma"/>
            <charset val="1"/>
          </rPr>
          <t>James Ratzer:</t>
        </r>
        <r>
          <rPr>
            <sz val="9"/>
            <color indexed="81"/>
            <rFont val="Tahoma"/>
            <charset val="1"/>
          </rPr>
          <t xml:space="preserve">
Includes 10% of SAC - B2B estimate</t>
        </r>
      </text>
    </comment>
    <comment ref="T361" authorId="0" shapeId="0" xr:uid="{736780CD-F3CF-4D3C-8FE3-0AFFB09FD389}">
      <text>
        <r>
          <rPr>
            <b/>
            <sz val="9"/>
            <color indexed="81"/>
            <rFont val="Tahoma"/>
            <charset val="1"/>
          </rPr>
          <t>James Ratzer:</t>
        </r>
        <r>
          <rPr>
            <sz val="9"/>
            <color indexed="81"/>
            <rFont val="Tahoma"/>
            <charset val="1"/>
          </rPr>
          <t xml:space="preserve">
Includes 10% of SAC - B2B estimate</t>
        </r>
      </text>
    </comment>
    <comment ref="U361" authorId="0" shapeId="0" xr:uid="{F55C610D-9993-4F3D-93B1-39098216CC41}">
      <text>
        <r>
          <rPr>
            <b/>
            <sz val="9"/>
            <color indexed="81"/>
            <rFont val="Tahoma"/>
            <charset val="1"/>
          </rPr>
          <t>James Ratzer:</t>
        </r>
        <r>
          <rPr>
            <sz val="9"/>
            <color indexed="81"/>
            <rFont val="Tahoma"/>
            <charset val="1"/>
          </rPr>
          <t xml:space="preserve">
Includes 10% of SAC - B2B estimate</t>
        </r>
      </text>
    </comment>
    <comment ref="V361" authorId="0" shapeId="0" xr:uid="{27F35F7A-957E-4EAA-9A5B-A2A16DF9CFA5}">
      <text>
        <r>
          <rPr>
            <b/>
            <sz val="9"/>
            <color indexed="81"/>
            <rFont val="Tahoma"/>
            <charset val="1"/>
          </rPr>
          <t>James Ratzer:</t>
        </r>
        <r>
          <rPr>
            <sz val="9"/>
            <color indexed="81"/>
            <rFont val="Tahoma"/>
            <charset val="1"/>
          </rPr>
          <t xml:space="preserve">
Includes 10% of SAC - B2B estimate</t>
        </r>
      </text>
    </comment>
    <comment ref="W361" authorId="0" shapeId="0" xr:uid="{F1249EA4-2F92-4D3E-A3F9-5A193A3FA8D6}">
      <text>
        <r>
          <rPr>
            <b/>
            <sz val="9"/>
            <color indexed="81"/>
            <rFont val="Tahoma"/>
            <charset val="1"/>
          </rPr>
          <t>James Ratzer:</t>
        </r>
        <r>
          <rPr>
            <sz val="9"/>
            <color indexed="81"/>
            <rFont val="Tahoma"/>
            <charset val="1"/>
          </rPr>
          <t xml:space="preserve">
Includes 10% of SAC - B2B estimate</t>
        </r>
      </text>
    </comment>
    <comment ref="X361" authorId="0" shapeId="0" xr:uid="{57120CA5-4FB0-4A88-8B0E-9EB771A9F444}">
      <text>
        <r>
          <rPr>
            <b/>
            <sz val="9"/>
            <color indexed="81"/>
            <rFont val="Tahoma"/>
            <charset val="1"/>
          </rPr>
          <t>James Ratzer:</t>
        </r>
        <r>
          <rPr>
            <sz val="9"/>
            <color indexed="81"/>
            <rFont val="Tahoma"/>
            <charset val="1"/>
          </rPr>
          <t xml:space="preserve">
Includes 10% of SAC - B2B estimate</t>
        </r>
      </text>
    </comment>
    <comment ref="Y361" authorId="0" shapeId="0" xr:uid="{7F360EEA-F52B-4871-9213-0002E7B046D8}">
      <text>
        <r>
          <rPr>
            <b/>
            <sz val="9"/>
            <color indexed="81"/>
            <rFont val="Tahoma"/>
            <charset val="1"/>
          </rPr>
          <t>James Ratzer:</t>
        </r>
        <r>
          <rPr>
            <sz val="9"/>
            <color indexed="81"/>
            <rFont val="Tahoma"/>
            <charset val="1"/>
          </rPr>
          <t xml:space="preserve">
Includes 10% of SAC - B2B estimate</t>
        </r>
      </text>
    </comment>
    <comment ref="Z361" authorId="0" shapeId="0" xr:uid="{B9C19CD2-CDFC-4369-98F3-46B4074B5D1B}">
      <text>
        <r>
          <rPr>
            <b/>
            <sz val="9"/>
            <color indexed="81"/>
            <rFont val="Tahoma"/>
            <charset val="1"/>
          </rPr>
          <t>James Ratzer:</t>
        </r>
        <r>
          <rPr>
            <sz val="9"/>
            <color indexed="81"/>
            <rFont val="Tahoma"/>
            <charset val="1"/>
          </rPr>
          <t xml:space="preserve">
Includes 10% of SAC - B2B estimate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Ben Rickett</author>
    <author>Shavar Halberstadt</author>
    <author>Max Hallam</author>
    <author>brickett</author>
    <author>Russell Waller</author>
    <author>James Ratzer</author>
  </authors>
  <commentList>
    <comment ref="AJ37" authorId="0" shapeId="0" xr:uid="{4E38BBE7-14A0-4755-A3B5-BA8A96713C2A}">
      <text>
        <r>
          <rPr>
            <b/>
            <sz val="9"/>
            <color indexed="81"/>
            <rFont val="Tahoma"/>
            <family val="2"/>
          </rPr>
          <t>Ben Rickett:</t>
        </r>
        <r>
          <rPr>
            <sz val="9"/>
            <color indexed="81"/>
            <rFont val="Tahoma"/>
            <family val="2"/>
          </rPr>
          <t xml:space="preserve">
Impacted by acquisition (-40k on organic basis)</t>
        </r>
      </text>
    </comment>
    <comment ref="AN44" authorId="0" shapeId="0" xr:uid="{29A487C3-C0D1-4DF0-B77A-074D6AC64940}">
      <text>
        <r>
          <rPr>
            <b/>
            <sz val="9"/>
            <color indexed="81"/>
            <rFont val="Tahoma"/>
            <family val="2"/>
          </rPr>
          <t>Ben Rickett:</t>
        </r>
        <r>
          <rPr>
            <sz val="9"/>
            <color indexed="81"/>
            <rFont val="Tahoma"/>
            <family val="2"/>
          </rPr>
          <t xml:space="preserve">
+169k foreign</t>
        </r>
      </text>
    </comment>
    <comment ref="AS44" authorId="0" shapeId="0" xr:uid="{D5ED5C8E-40AE-4F2F-8E41-A4B9DD8160DF}">
      <text>
        <r>
          <rPr>
            <b/>
            <sz val="9"/>
            <color indexed="81"/>
            <rFont val="Tahoma"/>
            <family val="2"/>
          </rPr>
          <t>Ben Rickett:</t>
        </r>
        <r>
          <rPr>
            <sz val="9"/>
            <color indexed="81"/>
            <rFont val="Tahoma"/>
            <family val="2"/>
          </rPr>
          <t xml:space="preserve">
+135k foreign</t>
        </r>
      </text>
    </comment>
    <comment ref="AH61" authorId="1" shapeId="0" xr:uid="{50CB5E47-362C-4636-97FE-F00C2E0F227E}">
      <text>
        <r>
          <rPr>
            <b/>
            <sz val="9"/>
            <color indexed="81"/>
            <rFont val="Tahoma"/>
            <family val="2"/>
          </rPr>
          <t>Shavar Halberstadt:</t>
        </r>
        <r>
          <rPr>
            <sz val="9"/>
            <color indexed="81"/>
            <rFont val="Tahoma"/>
            <family val="2"/>
          </rPr>
          <t xml:space="preserve">
FY18 guidance = stable revs yoy</t>
        </r>
      </text>
    </comment>
    <comment ref="AH66" authorId="1" shapeId="0" xr:uid="{00000000-0006-0000-0500-000005000000}">
      <text>
        <r>
          <rPr>
            <b/>
            <sz val="9"/>
            <color indexed="81"/>
            <rFont val="Tahoma"/>
            <family val="2"/>
          </rPr>
          <t>Shavar Halberstadt:</t>
        </r>
        <r>
          <rPr>
            <sz val="9"/>
            <color indexed="81"/>
            <rFont val="Tahoma"/>
            <family val="2"/>
          </rPr>
          <t xml:space="preserve">
FY18 guidance = stable revs yoy</t>
        </r>
      </text>
    </comment>
    <comment ref="AE86" authorId="2" shapeId="0" xr:uid="{00000000-0006-0000-0500-000007000000}">
      <text>
        <r>
          <rPr>
            <sz val="9"/>
            <color indexed="81"/>
            <rFont val="Tahoma"/>
            <family val="2"/>
          </rPr>
          <t xml:space="preserve">Per the Q1 18 conference call, if one were to remove the impact of the positive one-offs then the Normalised EBITDA growth would fall from the reported +7.1% y/y to “low single digit growth”. If one were to assume “low single digit” translates to +2.0% y/y then the magnitude of the one-offs is c-€3.0m. </t>
        </r>
      </text>
    </comment>
    <comment ref="BF95" authorId="3" shapeId="0" xr:uid="{59372DEF-964E-4EF7-8F23-793354050724}">
      <text>
        <r>
          <rPr>
            <b/>
            <sz val="9"/>
            <color indexed="81"/>
            <rFont val="Tahoma"/>
            <family val="2"/>
          </rPr>
          <t>brickett:</t>
        </r>
        <r>
          <rPr>
            <sz val="9"/>
            <color indexed="81"/>
            <rFont val="Tahoma"/>
            <family val="2"/>
          </rPr>
          <t xml:space="preserve">
Increased consulting expenses</t>
        </r>
      </text>
    </comment>
    <comment ref="BG95" authorId="3" shapeId="0" xr:uid="{DF094136-DDDA-4F86-87A1-1C79B0037089}">
      <text>
        <r>
          <rPr>
            <b/>
            <sz val="9"/>
            <color indexed="81"/>
            <rFont val="Tahoma"/>
            <family val="2"/>
          </rPr>
          <t>brickett:</t>
        </r>
        <r>
          <rPr>
            <sz val="9"/>
            <color indexed="81"/>
            <rFont val="Tahoma"/>
            <family val="2"/>
          </rPr>
          <t xml:space="preserve">
Increased consulting expenses</t>
        </r>
      </text>
    </comment>
    <comment ref="AU148" authorId="4" shapeId="0" xr:uid="{AEAA826D-B082-4528-A16B-75150474D85A}">
      <text>
        <r>
          <rPr>
            <b/>
            <sz val="9"/>
            <color indexed="81"/>
            <rFont val="Tahoma"/>
            <family val="2"/>
          </rPr>
          <t>Russell Waller:</t>
        </r>
        <r>
          <rPr>
            <sz val="9"/>
            <color indexed="81"/>
            <rFont val="Tahoma"/>
            <family val="2"/>
          </rPr>
          <t xml:space="preserve">
Rights issue</t>
        </r>
      </text>
    </comment>
    <comment ref="AV153" authorId="4" shapeId="0" xr:uid="{A11FF8B1-3446-4623-A5C1-F55C602C13BB}">
      <text>
        <r>
          <rPr>
            <b/>
            <sz val="9"/>
            <color indexed="81"/>
            <rFont val="Tahoma"/>
            <family val="2"/>
          </rPr>
          <t>Russell Waller:</t>
        </r>
        <r>
          <rPr>
            <sz val="9"/>
            <color indexed="81"/>
            <rFont val="Tahoma"/>
            <family val="2"/>
          </rPr>
          <t xml:space="preserve">
From page 36 odf report (different to number in front of report)</t>
        </r>
      </text>
    </comment>
    <comment ref="AW153" authorId="4" shapeId="0" xr:uid="{2D99D9CF-7572-44D7-9D4A-6A875374E536}">
      <text>
        <r>
          <rPr>
            <b/>
            <sz val="9"/>
            <color indexed="81"/>
            <rFont val="Tahoma"/>
            <family val="2"/>
          </rPr>
          <t>Russell Waller:</t>
        </r>
        <r>
          <rPr>
            <sz val="9"/>
            <color indexed="81"/>
            <rFont val="Tahoma"/>
            <family val="2"/>
          </rPr>
          <t xml:space="preserve">
From page 36 odf report (different to number in front of report)</t>
        </r>
      </text>
    </comment>
    <comment ref="AX153" authorId="4" shapeId="0" xr:uid="{B276E667-C183-4B4A-A29B-BEA847BBDF7A}">
      <text>
        <r>
          <rPr>
            <b/>
            <sz val="9"/>
            <color indexed="81"/>
            <rFont val="Tahoma"/>
            <family val="2"/>
          </rPr>
          <t>Russell Waller:</t>
        </r>
        <r>
          <rPr>
            <sz val="9"/>
            <color indexed="81"/>
            <rFont val="Tahoma"/>
            <family val="2"/>
          </rPr>
          <t xml:space="preserve">
From page 36 odf report (different to number in front of report)</t>
        </r>
      </text>
    </comment>
    <comment ref="AY153" authorId="4" shapeId="0" xr:uid="{C761B0D7-D870-4E08-9927-2286712ACF3D}">
      <text>
        <r>
          <rPr>
            <b/>
            <sz val="9"/>
            <color indexed="81"/>
            <rFont val="Tahoma"/>
            <family val="2"/>
          </rPr>
          <t>Russell Waller:</t>
        </r>
        <r>
          <rPr>
            <sz val="9"/>
            <color indexed="81"/>
            <rFont val="Tahoma"/>
            <family val="2"/>
          </rPr>
          <t xml:space="preserve">
From page 36 odf report (different to number in front of report)</t>
        </r>
      </text>
    </comment>
    <comment ref="AZ153" authorId="4" shapeId="0" xr:uid="{AF6C2130-EEA0-456D-80DA-4D9DF7BB553F}">
      <text>
        <r>
          <rPr>
            <b/>
            <sz val="9"/>
            <color indexed="81"/>
            <rFont val="Tahoma"/>
            <family val="2"/>
          </rPr>
          <t>Russell Waller:</t>
        </r>
        <r>
          <rPr>
            <sz val="9"/>
            <color indexed="81"/>
            <rFont val="Tahoma"/>
            <family val="2"/>
          </rPr>
          <t xml:space="preserve">
From page 36 odf report (different to number in front of report)</t>
        </r>
      </text>
    </comment>
    <comment ref="BA153" authorId="4" shapeId="0" xr:uid="{A8D7502D-69D4-4C41-BEE5-DD5583382BC2}">
      <text>
        <r>
          <rPr>
            <b/>
            <sz val="9"/>
            <color indexed="81"/>
            <rFont val="Tahoma"/>
            <family val="2"/>
          </rPr>
          <t>Russell Waller:</t>
        </r>
        <r>
          <rPr>
            <sz val="9"/>
            <color indexed="81"/>
            <rFont val="Tahoma"/>
            <family val="2"/>
          </rPr>
          <t xml:space="preserve">
From page 36 odf report (different to number in front of report)</t>
        </r>
      </text>
    </comment>
    <comment ref="BL153" authorId="5" shapeId="0" xr:uid="{5FC1914A-09A3-47B5-9338-B4F7D2FCE787}">
      <text>
        <r>
          <rPr>
            <b/>
            <sz val="9"/>
            <color indexed="81"/>
            <rFont val="Tahoma"/>
            <family val="2"/>
          </rPr>
          <t>James Ratzer:</t>
        </r>
        <r>
          <rPr>
            <sz val="9"/>
            <color indexed="81"/>
            <rFont val="Tahoma"/>
            <family val="2"/>
          </rPr>
          <t xml:space="preserve">
Removal of shareholder loan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Ben Rickett</author>
  </authors>
  <commentList>
    <comment ref="C26" authorId="0" shapeId="0" xr:uid="{8B654F89-297C-4512-8A22-E38C5193C08C}">
      <text>
        <r>
          <rPr>
            <b/>
            <sz val="9"/>
            <color indexed="81"/>
            <rFont val="Tahoma"/>
            <family val="2"/>
          </rPr>
          <t>Ben Rickett:</t>
        </r>
        <r>
          <rPr>
            <sz val="9"/>
            <color indexed="81"/>
            <rFont val="Tahoma"/>
            <family val="2"/>
          </rPr>
          <t xml:space="preserve">
Primacom, Pepcom acquisition</t>
        </r>
      </text>
    </comment>
    <comment ref="D26" authorId="0" shapeId="0" xr:uid="{4D564474-5226-494D-96EE-1E3EAACD67E9}">
      <text>
        <r>
          <rPr>
            <b/>
            <sz val="9"/>
            <color indexed="81"/>
            <rFont val="Tahoma"/>
            <family val="2"/>
          </rPr>
          <t>Ben Rickett:</t>
        </r>
        <r>
          <rPr>
            <sz val="9"/>
            <color indexed="81"/>
            <rFont val="Tahoma"/>
            <family val="2"/>
          </rPr>
          <t xml:space="preserve">
Primacom, Pepcom acquisition</t>
        </r>
      </text>
    </comment>
    <comment ref="E26" authorId="0" shapeId="0" xr:uid="{0ED92D75-4DD3-4C93-AF72-4FB48231407A}">
      <text>
        <r>
          <rPr>
            <b/>
            <sz val="9"/>
            <color indexed="81"/>
            <rFont val="Tahoma"/>
            <family val="2"/>
          </rPr>
          <t>Ben Rickett:</t>
        </r>
        <r>
          <rPr>
            <sz val="9"/>
            <color indexed="81"/>
            <rFont val="Tahoma"/>
            <family val="2"/>
          </rPr>
          <t xml:space="preserve">
Primacom, Pepcom acquisition</t>
        </r>
      </text>
    </comment>
    <comment ref="F26" authorId="0" shapeId="0" xr:uid="{4472FAD5-F5B8-4C10-8868-B879E547E743}">
      <text>
        <r>
          <rPr>
            <b/>
            <sz val="9"/>
            <color indexed="81"/>
            <rFont val="Tahoma"/>
            <family val="2"/>
          </rPr>
          <t>Ben Rickett:</t>
        </r>
        <r>
          <rPr>
            <sz val="9"/>
            <color indexed="81"/>
            <rFont val="Tahoma"/>
            <family val="2"/>
          </rPr>
          <t xml:space="preserve">
Primacom, Pepcom acquisition</t>
        </r>
      </text>
    </comment>
    <comment ref="G26" authorId="0" shapeId="0" xr:uid="{119FEB9B-157F-4208-AD2F-16EFB9D46F33}">
      <text>
        <r>
          <rPr>
            <b/>
            <sz val="9"/>
            <color indexed="81"/>
            <rFont val="Tahoma"/>
            <family val="2"/>
          </rPr>
          <t>Ben Rickett:</t>
        </r>
        <r>
          <rPr>
            <sz val="9"/>
            <color indexed="81"/>
            <rFont val="Tahoma"/>
            <family val="2"/>
          </rPr>
          <t xml:space="preserve">
Primacom, Pepcom acquisition</t>
        </r>
      </text>
    </comment>
    <comment ref="C38" authorId="0" shapeId="0" xr:uid="{545BA5E1-9BE6-4F7D-BB86-C9B3FAC6530D}">
      <text>
        <r>
          <rPr>
            <b/>
            <sz val="9"/>
            <color indexed="81"/>
            <rFont val="Tahoma"/>
            <family val="2"/>
          </rPr>
          <t>Ben Rickett:</t>
        </r>
        <r>
          <rPr>
            <sz val="9"/>
            <color indexed="81"/>
            <rFont val="Tahoma"/>
            <family val="2"/>
          </rPr>
          <t xml:space="preserve">
Primacom, Pepcom acquisition</t>
        </r>
      </text>
    </comment>
    <comment ref="D38" authorId="0" shapeId="0" xr:uid="{B3AC13C4-F764-483C-995D-ACF9009C0138}">
      <text>
        <r>
          <rPr>
            <b/>
            <sz val="9"/>
            <color indexed="81"/>
            <rFont val="Tahoma"/>
            <family val="2"/>
          </rPr>
          <t>Ben Rickett:</t>
        </r>
        <r>
          <rPr>
            <sz val="9"/>
            <color indexed="81"/>
            <rFont val="Tahoma"/>
            <family val="2"/>
          </rPr>
          <t xml:space="preserve">
Primacom, Pepcom acquisition</t>
        </r>
      </text>
    </comment>
    <comment ref="E38" authorId="0" shapeId="0" xr:uid="{5E268E82-45C4-46B7-91EB-1439D2CA6BE5}">
      <text>
        <r>
          <rPr>
            <b/>
            <sz val="9"/>
            <color indexed="81"/>
            <rFont val="Tahoma"/>
            <family val="2"/>
          </rPr>
          <t>Ben Rickett:</t>
        </r>
        <r>
          <rPr>
            <sz val="9"/>
            <color indexed="81"/>
            <rFont val="Tahoma"/>
            <family val="2"/>
          </rPr>
          <t xml:space="preserve">
Primacom, Pepcom acquisition</t>
        </r>
      </text>
    </comment>
    <comment ref="F38" authorId="0" shapeId="0" xr:uid="{BDB45562-BAC2-4935-B9A3-0B6D79D09F4C}">
      <text>
        <r>
          <rPr>
            <b/>
            <sz val="9"/>
            <color indexed="81"/>
            <rFont val="Tahoma"/>
            <family val="2"/>
          </rPr>
          <t>Ben Rickett:</t>
        </r>
        <r>
          <rPr>
            <sz val="9"/>
            <color indexed="81"/>
            <rFont val="Tahoma"/>
            <family val="2"/>
          </rPr>
          <t xml:space="preserve">
Primacom, Pepcom acquisition</t>
        </r>
      </text>
    </comment>
    <comment ref="G38" authorId="0" shapeId="0" xr:uid="{DBBD2128-6FB8-4DB0-B929-5368AF0116B8}">
      <text>
        <r>
          <rPr>
            <b/>
            <sz val="9"/>
            <color indexed="81"/>
            <rFont val="Tahoma"/>
            <family val="2"/>
          </rPr>
          <t>Ben Rickett:</t>
        </r>
        <r>
          <rPr>
            <sz val="9"/>
            <color indexed="81"/>
            <rFont val="Tahoma"/>
            <family val="2"/>
          </rPr>
          <t xml:space="preserve">
Primacom, Pepcom acquisition</t>
        </r>
      </text>
    </comment>
    <comment ref="E39" authorId="0" shapeId="0" xr:uid="{4B8C5E0C-ACE2-4BDB-B1FD-63A98F647F80}">
      <text>
        <r>
          <rPr>
            <b/>
            <sz val="9"/>
            <color indexed="81"/>
            <rFont val="Tahoma"/>
            <family val="2"/>
          </rPr>
          <t>Ben Rickett:</t>
        </r>
        <r>
          <rPr>
            <sz val="9"/>
            <color indexed="81"/>
            <rFont val="Tahoma"/>
            <family val="2"/>
          </rPr>
          <t xml:space="preserve">
Primacom, Pepcom acquisition</t>
        </r>
      </text>
    </comment>
    <comment ref="F39" authorId="0" shapeId="0" xr:uid="{EC55D46F-8E58-4AB8-B9E8-B8B7CE1B9805}">
      <text>
        <r>
          <rPr>
            <b/>
            <sz val="9"/>
            <color indexed="81"/>
            <rFont val="Tahoma"/>
            <family val="2"/>
          </rPr>
          <t>Ben Rickett:</t>
        </r>
        <r>
          <rPr>
            <sz val="9"/>
            <color indexed="81"/>
            <rFont val="Tahoma"/>
            <family val="2"/>
          </rPr>
          <t xml:space="preserve">
Primacom, Pepcom acquisition</t>
        </r>
      </text>
    </comment>
    <comment ref="E40" authorId="0" shapeId="0" xr:uid="{397B7A3C-4F4B-4B1A-96A6-8C57692D4DC0}">
      <text>
        <r>
          <rPr>
            <b/>
            <sz val="9"/>
            <color indexed="81"/>
            <rFont val="Tahoma"/>
            <family val="2"/>
          </rPr>
          <t>Ben Rickett:</t>
        </r>
        <r>
          <rPr>
            <sz val="9"/>
            <color indexed="81"/>
            <rFont val="Tahoma"/>
            <family val="2"/>
          </rPr>
          <t xml:space="preserve">
Primacom, Pepcom acquisition</t>
        </r>
      </text>
    </comment>
    <comment ref="F40" authorId="0" shapeId="0" xr:uid="{60E78C11-B169-42F6-92E7-A588BB8DA371}">
      <text>
        <r>
          <rPr>
            <b/>
            <sz val="9"/>
            <color indexed="81"/>
            <rFont val="Tahoma"/>
            <family val="2"/>
          </rPr>
          <t>Ben Rickett:</t>
        </r>
        <r>
          <rPr>
            <sz val="9"/>
            <color indexed="81"/>
            <rFont val="Tahoma"/>
            <family val="2"/>
          </rPr>
          <t xml:space="preserve">
Primacom, Pepcom acquisition</t>
        </r>
      </text>
    </comment>
    <comment ref="E41" authorId="0" shapeId="0" xr:uid="{F7DA461B-83F1-4D4A-B232-C18AA1F01CCC}">
      <text>
        <r>
          <rPr>
            <b/>
            <sz val="9"/>
            <color indexed="81"/>
            <rFont val="Tahoma"/>
            <family val="2"/>
          </rPr>
          <t>Ben Rickett:</t>
        </r>
        <r>
          <rPr>
            <sz val="9"/>
            <color indexed="81"/>
            <rFont val="Tahoma"/>
            <family val="2"/>
          </rPr>
          <t xml:space="preserve">
Primacom, Pepcom acquisition</t>
        </r>
      </text>
    </comment>
    <comment ref="F41" authorId="0" shapeId="0" xr:uid="{4EFC7AB9-4D30-45D8-9611-367458AA803B}">
      <text>
        <r>
          <rPr>
            <b/>
            <sz val="9"/>
            <color indexed="81"/>
            <rFont val="Tahoma"/>
            <family val="2"/>
          </rPr>
          <t>Ben Rickett:</t>
        </r>
        <r>
          <rPr>
            <sz val="9"/>
            <color indexed="81"/>
            <rFont val="Tahoma"/>
            <family val="2"/>
          </rPr>
          <t xml:space="preserve">
Primacom, Pepcom acquisition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Ben Rickett</author>
  </authors>
  <commentList>
    <comment ref="F11" authorId="0" shapeId="0" xr:uid="{1F9A21E6-A612-4776-B638-FD96F58C037D}">
      <text>
        <r>
          <rPr>
            <b/>
            <sz val="9"/>
            <color indexed="81"/>
            <rFont val="Tahoma"/>
            <family val="2"/>
          </rPr>
          <t>Ben Rickett:</t>
        </r>
        <r>
          <rPr>
            <sz val="9"/>
            <color indexed="81"/>
            <rFont val="Tahoma"/>
            <family val="2"/>
          </rPr>
          <t xml:space="preserve">
As per FY19 Balance Sheet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Frank Knowles</author>
    <author>David-Mickael Lopes</author>
  </authors>
  <commentList>
    <comment ref="E204" authorId="0" shapeId="0" xr:uid="{00000000-0006-0000-0F00-000001000000}">
      <text>
        <r>
          <rPr>
            <b/>
            <sz val="9"/>
            <color indexed="81"/>
            <rFont val="Tahoma"/>
            <family val="2"/>
          </rPr>
          <t>Frank Knowles:</t>
        </r>
        <r>
          <rPr>
            <sz val="9"/>
            <color indexed="81"/>
            <rFont val="Tahoma"/>
            <family val="2"/>
          </rPr>
          <t xml:space="preserve">
BIG 11 mn, BMB minority 20 mn</t>
        </r>
      </text>
    </comment>
    <comment ref="N498" authorId="1" shapeId="0" xr:uid="{00000000-0006-0000-0F00-000002000000}">
      <text>
        <r>
          <rPr>
            <b/>
            <sz val="9"/>
            <color indexed="81"/>
            <rFont val="Tahoma"/>
            <family val="2"/>
          </rPr>
          <t>David-Mickael Lopes:</t>
        </r>
        <r>
          <rPr>
            <sz val="9"/>
            <color indexed="81"/>
            <rFont val="Tahoma"/>
            <family val="2"/>
          </rPr>
          <t xml:space="preserve">
Temporary: adjustement for capital increase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<sst xmlns="http://schemas.openxmlformats.org/spreadsheetml/2006/main" count="4755" uniqueCount="2218">
  <si>
    <t>Revenue</t>
  </si>
  <si>
    <t>Q1 '13</t>
  </si>
  <si>
    <t>Q2 '13</t>
  </si>
  <si>
    <t>Q3 '13</t>
  </si>
  <si>
    <t>Q4 '13</t>
  </si>
  <si>
    <t>Q1 '14</t>
  </si>
  <si>
    <t>H1 '14</t>
  </si>
  <si>
    <t>Total revenue</t>
  </si>
  <si>
    <t>Non-current assets</t>
  </si>
  <si>
    <t>Total non-current assets</t>
  </si>
  <si>
    <t>Current assets</t>
  </si>
  <si>
    <t>Total current assets</t>
  </si>
  <si>
    <t>Total assets</t>
  </si>
  <si>
    <t>Non-current liabilities</t>
  </si>
  <si>
    <t>Total non-current liabilities</t>
  </si>
  <si>
    <t>Total current liabilities</t>
  </si>
  <si>
    <t>Current liabilities</t>
  </si>
  <si>
    <t>Total equity</t>
  </si>
  <si>
    <t>Total equity and liabilities</t>
  </si>
  <si>
    <t>Cash flow from operating activities</t>
  </si>
  <si>
    <t>Net cash from operating activities</t>
  </si>
  <si>
    <t>Cash flow from investing activities</t>
  </si>
  <si>
    <t>Acquisition of intangible assets</t>
  </si>
  <si>
    <t>Net cash used in investing activities</t>
  </si>
  <si>
    <t>Cash flow from financing activities</t>
  </si>
  <si>
    <t>Cash flow from (used in) financing activities</t>
  </si>
  <si>
    <t>% margin</t>
  </si>
  <si>
    <t>Reported EBITDA</t>
  </si>
  <si>
    <t>Normalised EBITDA</t>
  </si>
  <si>
    <t>Depreciation and Amortization</t>
  </si>
  <si>
    <t>Operating Profit (EBIT)</t>
  </si>
  <si>
    <t>Capital expenditures</t>
  </si>
  <si>
    <t>Total capital expenditures</t>
  </si>
  <si>
    <t>RGUs</t>
  </si>
  <si>
    <t>Unique subscribers</t>
  </si>
  <si>
    <t>RGU / Unique subscriber</t>
  </si>
  <si>
    <t>Operating Data</t>
  </si>
  <si>
    <t>Consolidated Balance Sheet</t>
  </si>
  <si>
    <t>Property, plant and equipment</t>
  </si>
  <si>
    <t>Intangible assets and goodwill</t>
  </si>
  <si>
    <t>Investments in non-consolidated subsidiaries</t>
  </si>
  <si>
    <t>Investments in associates</t>
  </si>
  <si>
    <t>Inventories</t>
  </si>
  <si>
    <t>Trade receivables</t>
  </si>
  <si>
    <t>Receivables from related parties</t>
  </si>
  <si>
    <t>Other financial receivables</t>
  </si>
  <si>
    <t>Other receivables</t>
  </si>
  <si>
    <t>Income tax rebate claims</t>
  </si>
  <si>
    <t>Cash and cash equivalents</t>
  </si>
  <si>
    <t>Equity</t>
  </si>
  <si>
    <t>Net assets attributable to shareholders of Tele Columbus Group</t>
  </si>
  <si>
    <t>Non-controlling interests</t>
  </si>
  <si>
    <t>Pensions and other long-term employee benefits</t>
  </si>
  <si>
    <t>Other provisions</t>
  </si>
  <si>
    <t>Interest-bearing liabilities</t>
  </si>
  <si>
    <t>Liabilities to related parties</t>
  </si>
  <si>
    <t>Trade payables</t>
  </si>
  <si>
    <t>Deferred income</t>
  </si>
  <si>
    <t>Other financial liabilities</t>
  </si>
  <si>
    <t>Homes connected - own network - two-way upgraded / Homes connected</t>
  </si>
  <si>
    <t>Homes connected - foreign network - two-way upgraded / Homes connected</t>
  </si>
  <si>
    <t>Homes connected - own network - not upgraded / Homes connected</t>
  </si>
  <si>
    <t>Homes connected - foreign network - not upgraded / Homes connected</t>
  </si>
  <si>
    <t>Two-way upgraded homes (as % of homes connected)</t>
  </si>
  <si>
    <t>Two-way upgraded homes - own network (as % of homes connected - own network)</t>
  </si>
  <si>
    <t>Internet (RGUs as % of two-way upgraded homes connected)</t>
  </si>
  <si>
    <t>Internet (RGUs on own network as % of two-way upgraded homes connected - own network)</t>
  </si>
  <si>
    <t>Penetration</t>
  </si>
  <si>
    <t>Customer Projects</t>
  </si>
  <si>
    <t>Network Architecture</t>
  </si>
  <si>
    <t>IT Capex</t>
  </si>
  <si>
    <t>Other Capex</t>
  </si>
  <si>
    <t>Definitions</t>
  </si>
  <si>
    <t>Blended Internet &amp; telephony ARPU per subscriber</t>
  </si>
  <si>
    <t>Blended TV ARPU per subscriber</t>
  </si>
  <si>
    <t>Other operating income and expenses</t>
  </si>
  <si>
    <t>Q2 '14</t>
  </si>
  <si>
    <t>Contribution margin</t>
  </si>
  <si>
    <t>H1 '13</t>
  </si>
  <si>
    <t>Normalised other income</t>
  </si>
  <si>
    <t>Other revenue</t>
  </si>
  <si>
    <t>Basic CaTV signal fee</t>
  </si>
  <si>
    <t>Other direct costs</t>
  </si>
  <si>
    <t>Employee benefits</t>
  </si>
  <si>
    <t>Advertising</t>
  </si>
  <si>
    <t>Non-recurring items</t>
  </si>
  <si>
    <t>Income tax expenses</t>
  </si>
  <si>
    <t>Interest and similar income</t>
  </si>
  <si>
    <t>Interest and similar expenses</t>
  </si>
  <si>
    <t>Profit/loss attributable to owners of Tele Columbus Group</t>
  </si>
  <si>
    <t>Profit/loss attributable to non-controlling interests</t>
  </si>
  <si>
    <t>Internet &amp; Telephony</t>
  </si>
  <si>
    <t>Deferred expenses</t>
  </si>
  <si>
    <t>TV</t>
  </si>
  <si>
    <t>Other payables</t>
  </si>
  <si>
    <t>Income tax liabilities</t>
  </si>
  <si>
    <t>Losses/(gain) on sale of property, plant and equipment</t>
  </si>
  <si>
    <t>(Increase)/decrease in inventories, trade receivables and other assets not classified as investing or financing activities</t>
  </si>
  <si>
    <t>Income tax paid</t>
  </si>
  <si>
    <t>Proceeds from sale of property, plant and equipment</t>
  </si>
  <si>
    <t>Acquisition of property, plant and equipment</t>
  </si>
  <si>
    <t>Interest received</t>
  </si>
  <si>
    <t>Withdrawals/deposits</t>
  </si>
  <si>
    <t>Payment of financial lease liabilities</t>
  </si>
  <si>
    <t>Distributions of dividends</t>
  </si>
  <si>
    <t>Proceeds from loans, bonds or short-term or long-term borrowings from banks</t>
  </si>
  <si>
    <t>Repayment of borrowings and short-term or long-term borrowings</t>
  </si>
  <si>
    <t>Interest paid</t>
  </si>
  <si>
    <t>Acquisition of investment property</t>
  </si>
  <si>
    <t>Homes connected ('000)</t>
  </si>
  <si>
    <t>Homes connected - own network ('000)</t>
  </si>
  <si>
    <t>Homes connected - foreign network ('000)</t>
  </si>
  <si>
    <t>Homes connected - two-way upgraded ('000)</t>
  </si>
  <si>
    <t>Homes connected - own network - two-way upgraded ('000)</t>
  </si>
  <si>
    <t>Homes connected - foreign network - two-way upgraded ('000)</t>
  </si>
  <si>
    <t>CATV ('000)</t>
  </si>
  <si>
    <t>CATV - own infrastructure ('000)</t>
  </si>
  <si>
    <t>Internet ('000)</t>
  </si>
  <si>
    <t>Premium TV ('000)</t>
  </si>
  <si>
    <t>Total RGUs ('000)</t>
  </si>
  <si>
    <t>ARPU (€/month)</t>
  </si>
  <si>
    <t>% of revenue</t>
  </si>
  <si>
    <t>Own work capitalised</t>
  </si>
  <si>
    <t>Normalised total operating performance</t>
  </si>
  <si>
    <t xml:space="preserve">Normalised total operating performance </t>
  </si>
  <si>
    <t>Non-recurring revenue and other income</t>
  </si>
  <si>
    <t xml:space="preserve">Reported total operating performance </t>
  </si>
  <si>
    <t>Adjustments for non-recurring:</t>
  </si>
  <si>
    <t>Other income¹</t>
  </si>
  <si>
    <t>Costs of materials²</t>
  </si>
  <si>
    <t>Personnel expenses³</t>
  </si>
  <si>
    <t xml:space="preserve">1) Other income includes income in connection with the non-recurring items KD/Brenda Award, gains from asset sales, Eutelsat contract provisions, other provisions, financial restructuring (pass-through of costs / release of provisions);  </t>
  </si>
  <si>
    <t xml:space="preserve">2) Costs of materials include costs in connection with the non-recurring items Eutelsat contract provisions, parts of Empire I and Empire II and parts of other non-recurring items;  </t>
  </si>
  <si>
    <t xml:space="preserve">3) Personnel expenses include expenses in connection with the non-recurring items redundancy payments;  </t>
  </si>
  <si>
    <t xml:space="preserve">4) Other expenses include expenses in connection with the non-recurring items KD/Brenda Award, parts of Empire I and Empire II, financial restructuring costs, other net legal and consultancy fees and parts of other non-recurring items </t>
  </si>
  <si>
    <t>KD/Brenda Award</t>
  </si>
  <si>
    <t>Gains/losses from asset sales</t>
  </si>
  <si>
    <t>Eutelsat contract provisions</t>
  </si>
  <si>
    <t xml:space="preserve">Empire I and Empire II </t>
  </si>
  <si>
    <t xml:space="preserve">Redundancy payments </t>
  </si>
  <si>
    <t>Financial restructuring costs</t>
  </si>
  <si>
    <t xml:space="preserve">Financial restructuring (pass-through of costs / release of provisions) </t>
  </si>
  <si>
    <t xml:space="preserve">Other net-legal and consultancy fees </t>
  </si>
  <si>
    <t>Revenues</t>
  </si>
  <si>
    <t>Subscription fees, the one-time installation and connection charges for basic analog cable television as well as ancillary digital services. It also comprises fees for accessing high-speed Internet and telephony charges. They also comprise fees for accessing high-speed Internet and telephony charges. Other proceeds comprise other transmission fees and feed-in charges for Sky as well as for various shopping channels payable to us in exchange for feeding in their programs.</t>
  </si>
  <si>
    <t>Own Work Capitalized</t>
  </si>
  <si>
    <t>Expenses for work performed by our own employees in connection with expanding our own cable network</t>
  </si>
  <si>
    <t>Other Income</t>
  </si>
  <si>
    <t>Income from derecognized liabilities and/or reversed provisions. It also comprises income from dunning fees, subsidies, asset proposals, services and miscellaneous other income</t>
  </si>
  <si>
    <t>Wages and salaries and social security, pension and other benefits as well as other personnel expenses. Pension contributions refer to old pension commitments made by companies which were acquired</t>
  </si>
  <si>
    <t>DRAFT TBU</t>
  </si>
  <si>
    <t>Profit from investments in associates</t>
  </si>
  <si>
    <t>Other finance income/costs</t>
  </si>
  <si>
    <t>Telephony ('000)</t>
  </si>
  <si>
    <t xml:space="preserve">Total blended ARPU </t>
  </si>
  <si>
    <t>Premium TV Services (as % of CATV - own infrastructure)</t>
  </si>
  <si>
    <t>Net debt calculation</t>
  </si>
  <si>
    <t>Short term debt</t>
  </si>
  <si>
    <t>Long term debt</t>
  </si>
  <si>
    <t>Cash</t>
  </si>
  <si>
    <t>Net debt</t>
  </si>
  <si>
    <t>Capex</t>
  </si>
  <si>
    <t>Customer projects</t>
  </si>
  <si>
    <t>Obligations to rebuild or upgrade the housing associations’ networks related to technical devices leased to our end customers such as modems and receivers under existing contracts.</t>
  </si>
  <si>
    <t>Network architecture</t>
  </si>
  <si>
    <t>Migration of our customers from 3rd party L3 networks to our “own” L3 networks (Project Empire), as well as the expenses related to enhancements of the IP readiness of our “own” networks (Project HFC).</t>
  </si>
  <si>
    <t>IT</t>
  </si>
  <si>
    <t>Expenditures on IT infrastructure, for example, acquisitions of servers</t>
  </si>
  <si>
    <t>Income Statement</t>
  </si>
  <si>
    <t>Other</t>
  </si>
  <si>
    <t>KPIs</t>
  </si>
  <si>
    <t>Homes connected</t>
  </si>
  <si>
    <t xml:space="preserve">Number of all housing units with a valid contract (core business). </t>
  </si>
  <si>
    <t>Homes connected - own network</t>
  </si>
  <si>
    <t>Number of all housing units with a valid contract (see Homes connected), which are supplied by the signal provider TeleColumbus.</t>
  </si>
  <si>
    <t>Homes connected - two-way upgraded</t>
  </si>
  <si>
    <t xml:space="preserve">Number of all housing units with a valid contract (see Homes connected), for which IP products are potentially commercially marketable. </t>
  </si>
  <si>
    <t>Includes Legal- and advisory fees, office space costs, provisions for bad debts, communication costs, IT expenses, vehicle expenses, ancillary costs for money transfer, losses from non-current asset disposals, income from cancellations (prior year), travel expenses, miscellaneous other expenses.</t>
  </si>
  <si>
    <t>Cars, factory and office equipment. Investments of our minorities for their netweork which is not is core business related.</t>
  </si>
  <si>
    <t>Mainly signal delivery KDG, Unity, other third parties and fiber lease.</t>
  </si>
  <si>
    <t>Cost of signal fees (Premium, Internet, Phone) and content agreements. Materials, Maintanance, Energy, Outsourcing services and others.</t>
  </si>
  <si>
    <t>Normalised contribution margin</t>
  </si>
  <si>
    <t>Reported Operating Profit (EBIT)</t>
  </si>
  <si>
    <t>Reported Profit before tax</t>
  </si>
  <si>
    <t>Reported Profit/loss for the period</t>
  </si>
  <si>
    <t>1) Includes SEPA, NetCom Kassel, Project Harmony, Project Sunrise, Relocation ERP, Set-up costs Customer Management, Dt. Annington, provision for contingent losses ERP</t>
  </si>
  <si>
    <t>Net increase/decrease in cash and cash equivalents</t>
  </si>
  <si>
    <t>Segment reporting</t>
  </si>
  <si>
    <t>ARPU</t>
  </si>
  <si>
    <t>Less/plus release of restricted cash and cash equivalents in the financial year</t>
  </si>
  <si>
    <t>Net Debt</t>
  </si>
  <si>
    <t xml:space="preserve">1) The P&amp;L revenue split does not agree with the numbers communicated in the segment reporting due to a change in the product portfolio structure.  In order to be consistent within the P&amp;L the initial structure has been followed for FY’13 as well as H1’13 and H1’14. </t>
  </si>
  <si>
    <t>€m</t>
  </si>
  <si>
    <t xml:space="preserve">1) Based on subscribers segmented by bundles, only Internet and only Telephony </t>
  </si>
  <si>
    <t>% of bundles¹</t>
  </si>
  <si>
    <t>Note: Totals may not be equal to sum of the patrts due to rounding</t>
  </si>
  <si>
    <r>
      <t>Other expenses</t>
    </r>
    <r>
      <rPr>
        <vertAlign val="superscript"/>
        <sz val="10"/>
        <color theme="1"/>
        <rFont val="Trebuchet MS"/>
        <family val="2"/>
      </rPr>
      <t>4</t>
    </r>
  </si>
  <si>
    <t>2011A</t>
  </si>
  <si>
    <t>2012A</t>
  </si>
  <si>
    <t>2013A</t>
  </si>
  <si>
    <t>2014E</t>
  </si>
  <si>
    <t>2015E</t>
  </si>
  <si>
    <t>2016E</t>
  </si>
  <si>
    <t>2017E</t>
  </si>
  <si>
    <t>2018E</t>
  </si>
  <si>
    <t>2019E</t>
  </si>
  <si>
    <t>2020E</t>
  </si>
  <si>
    <t>2021E</t>
  </si>
  <si>
    <t>2022E</t>
  </si>
  <si>
    <t>2023E</t>
  </si>
  <si>
    <t>2024E</t>
  </si>
  <si>
    <r>
      <t>Other non-recurring items</t>
    </r>
    <r>
      <rPr>
        <vertAlign val="superscript"/>
        <sz val="10"/>
        <color theme="1"/>
        <rFont val="Trebuchet MS"/>
        <family val="2"/>
      </rPr>
      <t xml:space="preserve">1 </t>
    </r>
  </si>
  <si>
    <t>Capital Expenditures € millions</t>
  </si>
  <si>
    <t>Normalisation bridges € millions</t>
  </si>
  <si>
    <t>TV ARPU</t>
  </si>
  <si>
    <t>Average TV subs</t>
  </si>
  <si>
    <t>Calculated revenues</t>
  </si>
  <si>
    <t>Reported revenues</t>
  </si>
  <si>
    <t>2-P ARPU</t>
  </si>
  <si>
    <t>Implied average subs</t>
  </si>
  <si>
    <t>RGU per 2-P sub</t>
  </si>
  <si>
    <t>Average RGUs</t>
  </si>
  <si>
    <t>Change</t>
  </si>
  <si>
    <t>Net adds</t>
  </si>
  <si>
    <t>Homes connected - own network %</t>
  </si>
  <si>
    <t>Homes connected - foreign network %</t>
  </si>
  <si>
    <t>Upgrade % - own network</t>
  </si>
  <si>
    <t>upgrade % - foreign network</t>
  </si>
  <si>
    <t>% HC</t>
  </si>
  <si>
    <t>NSR RGUs</t>
  </si>
  <si>
    <t>NSR RGU / sub</t>
  </si>
  <si>
    <t>Total RGUs NSR</t>
  </si>
  <si>
    <t>CATV - own infrastructure % total</t>
  </si>
  <si>
    <t>Calculated service revenues</t>
  </si>
  <si>
    <t>Assumed "other" (equipment, install etc?)</t>
  </si>
  <si>
    <t>Average subscribers</t>
  </si>
  <si>
    <t>Calculated blended ARPU</t>
  </si>
  <si>
    <t>Model workings: revenues</t>
  </si>
  <si>
    <t>Model workings: costs</t>
  </si>
  <si>
    <t>CATV fee per foreign home per month</t>
  </si>
  <si>
    <t>Other direct costs % revenues</t>
  </si>
  <si>
    <t>Employee costs % revenues</t>
  </si>
  <si>
    <t>Advertising % revenues</t>
  </si>
  <si>
    <t>Guidance</t>
  </si>
  <si>
    <t>80-100 mn</t>
  </si>
  <si>
    <t>plus 20</t>
  </si>
  <si>
    <t>Then trend to cable average</t>
  </si>
  <si>
    <t>% revenues</t>
  </si>
  <si>
    <t>Model workings: Assets</t>
  </si>
  <si>
    <t>Balance sheet</t>
  </si>
  <si>
    <t>Income statement</t>
  </si>
  <si>
    <t>Cash flow statement</t>
  </si>
  <si>
    <t>Reported capex</t>
  </si>
  <si>
    <t>% PP&amp;E</t>
  </si>
  <si>
    <t>PP&amp;E depreciation</t>
  </si>
  <si>
    <t>Years PP&amp;E</t>
  </si>
  <si>
    <t>Intangible amortisation</t>
  </si>
  <si>
    <t>Increase/(decrease)in provisions, trade and other payables not classified as investing or financing activities</t>
  </si>
  <si>
    <t>Telecolumbus</t>
  </si>
  <si>
    <t>Model workings: Working capital</t>
  </si>
  <si>
    <t>Expenses</t>
  </si>
  <si>
    <t>Capex + expenses</t>
  </si>
  <si>
    <t>Inventories days COGS</t>
  </si>
  <si>
    <t>COGS</t>
  </si>
  <si>
    <t>Trade receivables days revenues</t>
  </si>
  <si>
    <t>Other receivables days revenues</t>
  </si>
  <si>
    <t>Deferred expenses days expenses</t>
  </si>
  <si>
    <t>Trade payables days capex + expenses</t>
  </si>
  <si>
    <t>Other payables days expenses</t>
  </si>
  <si>
    <t>Income tax liabilities days revenues</t>
  </si>
  <si>
    <t>Deferred income days revenues</t>
  </si>
  <si>
    <t>Consolidated income statement €m</t>
  </si>
  <si>
    <t>Model workings: Debt</t>
  </si>
  <si>
    <t>TRCF C (€50 mn)</t>
  </si>
  <si>
    <t>T B (Capex) €75 mn</t>
  </si>
  <si>
    <t>Spare 2</t>
  </si>
  <si>
    <t>Spare 3</t>
  </si>
  <si>
    <t>Spare 4</t>
  </si>
  <si>
    <t>Refinancing dummy</t>
  </si>
  <si>
    <t>Total</t>
  </si>
  <si>
    <t>TL A (€375 mn)</t>
  </si>
  <si>
    <t>EBITDA</t>
  </si>
  <si>
    <t>ND/EBITDA</t>
  </si>
  <si>
    <t>Outstanding</t>
  </si>
  <si>
    <t>New borrowing</t>
  </si>
  <si>
    <t>Repayments</t>
  </si>
  <si>
    <t>Interest rate</t>
  </si>
  <si>
    <t>Interest expense</t>
  </si>
  <si>
    <t>Model workings: Tax</t>
  </si>
  <si>
    <t>P&amp;L tax reported</t>
  </si>
  <si>
    <t>Cash tax reported</t>
  </si>
  <si>
    <t>P&amp;L pre-tax profit</t>
  </si>
  <si>
    <t>Company: assume minimal cash tax 2014, from 2015 should be ~15% prior year pre-tax income</t>
  </si>
  <si>
    <t>Cash flow statement €m</t>
  </si>
  <si>
    <t>Proceeds of share issuance</t>
  </si>
  <si>
    <t>Balance</t>
  </si>
  <si>
    <t>Total debt</t>
  </si>
  <si>
    <t>EFCF and Clean net income</t>
  </si>
  <si>
    <t>Less: Depreciation</t>
  </si>
  <si>
    <t>Less: Interest</t>
  </si>
  <si>
    <t>Less: Associates</t>
  </si>
  <si>
    <t>Less: Clean tax</t>
  </si>
  <si>
    <t>Less: Minority interests</t>
  </si>
  <si>
    <t>Clean earnings</t>
  </si>
  <si>
    <t>Cleap eps</t>
  </si>
  <si>
    <t>Add: Depreciation</t>
  </si>
  <si>
    <t>Less: Capex</t>
  </si>
  <si>
    <t>Clean EFCF</t>
  </si>
  <si>
    <t>Average shares</t>
  </si>
  <si>
    <t>Dividends</t>
  </si>
  <si>
    <t>dps</t>
  </si>
  <si>
    <t>dps growth</t>
  </si>
  <si>
    <t>dps / eps</t>
  </si>
  <si>
    <t>Multiples</t>
  </si>
  <si>
    <t>Market price</t>
  </si>
  <si>
    <t>Equity value</t>
  </si>
  <si>
    <t>Upside</t>
  </si>
  <si>
    <t>EV</t>
  </si>
  <si>
    <t>EV/EBITDA</t>
  </si>
  <si>
    <t>DCF</t>
  </si>
  <si>
    <t>FCF</t>
  </si>
  <si>
    <t>WACC</t>
  </si>
  <si>
    <t>Years to terminal</t>
  </si>
  <si>
    <t>NPV FCF</t>
  </si>
  <si>
    <t>Terminal Multiple of FCF</t>
  </si>
  <si>
    <t>Implied FCF CAGR</t>
  </si>
  <si>
    <t>PV TV</t>
  </si>
  <si>
    <t>NPV of tax losses</t>
  </si>
  <si>
    <t>Plus cumulative dividends</t>
  </si>
  <si>
    <t xml:space="preserve">Shares outstanding EOP </t>
  </si>
  <si>
    <t>Average shares outstandng</t>
  </si>
  <si>
    <t>DCF value per share</t>
  </si>
  <si>
    <t>Target price</t>
  </si>
  <si>
    <t>Current price</t>
  </si>
  <si>
    <t>Upside/ downside</t>
  </si>
  <si>
    <t>Target mid-year</t>
  </si>
  <si>
    <t>At market share price</t>
  </si>
  <si>
    <t>EV/OpFCF</t>
  </si>
  <si>
    <t>EV/FCF (norm. tax)</t>
  </si>
  <si>
    <t>Clean PE</t>
  </si>
  <si>
    <t>EFCF Yield</t>
  </si>
  <si>
    <t>Dividend Yield</t>
  </si>
  <si>
    <t>At target share price</t>
  </si>
  <si>
    <t>EFCF mkt cap.</t>
  </si>
  <si>
    <t>Market cap at market</t>
  </si>
  <si>
    <t>Market cap at target</t>
  </si>
  <si>
    <t>EV calculation</t>
  </si>
  <si>
    <t>EV at market</t>
  </si>
  <si>
    <t>Operating summary</t>
  </si>
  <si>
    <t>Total shares (mn)</t>
  </si>
  <si>
    <t>EBITDA (€ mn)</t>
  </si>
  <si>
    <t>OpFCF</t>
  </si>
  <si>
    <t>FCF (norm. tax)</t>
  </si>
  <si>
    <t>Clean EPS</t>
  </si>
  <si>
    <t>DPS</t>
  </si>
  <si>
    <t>Tax rate</t>
  </si>
  <si>
    <t>Dividends paid</t>
  </si>
  <si>
    <t>Target</t>
  </si>
  <si>
    <t>TCOL: Valuation and multiples</t>
  </si>
  <si>
    <t>Clean tax</t>
  </si>
  <si>
    <t>Cash tax</t>
  </si>
  <si>
    <t>Tax saved</t>
  </si>
  <si>
    <t>NPV</t>
  </si>
  <si>
    <t>Payout ratio</t>
  </si>
  <si>
    <t>Shares outstanding</t>
  </si>
  <si>
    <t>YoY growth</t>
  </si>
  <si>
    <t>NSR (E)</t>
  </si>
  <si>
    <t>Revenue growth medium term</t>
  </si>
  <si>
    <t>FY 14</t>
  </si>
  <si>
    <t>Trending to high single digit</t>
  </si>
  <si>
    <t>EBITDA margin medium term</t>
  </si>
  <si>
    <t>High forties, low fifties</t>
  </si>
  <si>
    <t>FY 18E</t>
  </si>
  <si>
    <t>FY15E-18E CAGR</t>
  </si>
  <si>
    <t>Capex FY 2015</t>
  </si>
  <si>
    <t>Consistent with industry levels</t>
  </si>
  <si>
    <t>Capex in medium term</t>
  </si>
  <si>
    <t>of FY 18E revenues</t>
  </si>
  <si>
    <t>FY 15E</t>
  </si>
  <si>
    <t>FY 13</t>
  </si>
  <si>
    <t>Q4 '14</t>
  </si>
  <si>
    <t>H1 adds</t>
  </si>
  <si>
    <t>H2 adds</t>
  </si>
  <si>
    <t>Financial</t>
  </si>
  <si>
    <t>Operational</t>
  </si>
  <si>
    <t>Time frame</t>
  </si>
  <si>
    <t>Own L3 upgraded % homes connected</t>
  </si>
  <si>
    <t>70% by 2017</t>
  </si>
  <si>
    <t>FY 17E</t>
  </si>
  <si>
    <t>Blended customer ARPU</t>
  </si>
  <si>
    <t>€17 by 2017</t>
  </si>
  <si>
    <t>RGU per subscriber</t>
  </si>
  <si>
    <t>1.7X by 2017</t>
  </si>
  <si>
    <t>Guidance / target</t>
  </si>
  <si>
    <t>Premium penetration</t>
  </si>
  <si>
    <t>NSR(E) assumed premium ARPU</t>
  </si>
  <si>
    <t>Basic ARPU calc</t>
  </si>
  <si>
    <t>2-P RGUs</t>
  </si>
  <si>
    <t>CAGR   13A-16E</t>
  </si>
  <si>
    <t>Price</t>
  </si>
  <si>
    <t>Rating</t>
  </si>
  <si>
    <t>Belgacom</t>
  </si>
  <si>
    <t>E 24.62</t>
  </si>
  <si>
    <t>Neutral</t>
  </si>
  <si>
    <t>British Telecom</t>
  </si>
  <si>
    <t>£ 3.90</t>
  </si>
  <si>
    <t>Deutsche Telekom</t>
  </si>
  <si>
    <t>E 12.80</t>
  </si>
  <si>
    <t>Reduce</t>
  </si>
  <si>
    <t>Orange</t>
  </si>
  <si>
    <t>E 12.01</t>
  </si>
  <si>
    <t>KPN</t>
  </si>
  <si>
    <t>E 2.73</t>
  </si>
  <si>
    <t>OTE</t>
  </si>
  <si>
    <t>E 12.03</t>
  </si>
  <si>
    <t>Portugal Telecom</t>
  </si>
  <si>
    <t>E 2.92</t>
  </si>
  <si>
    <t>Swisscom</t>
  </si>
  <si>
    <t>CHF 535</t>
  </si>
  <si>
    <t>TDC</t>
  </si>
  <si>
    <t>DKK 55.5</t>
  </si>
  <si>
    <t>Telecom Italia</t>
  </si>
  <si>
    <t>E 0.92</t>
  </si>
  <si>
    <t>Telefonica</t>
  </si>
  <si>
    <t>E 12.78</t>
  </si>
  <si>
    <t>Telekom Austria</t>
  </si>
  <si>
    <t>E 7.11</t>
  </si>
  <si>
    <t>Telenor (Prop.)</t>
  </si>
  <si>
    <t>NOK144.1</t>
  </si>
  <si>
    <t>TeliaSonera (Prop.)</t>
  </si>
  <si>
    <t>SEK49.1</t>
  </si>
  <si>
    <t>Agg. W.Europe Incumbent</t>
  </si>
  <si>
    <t xml:space="preserve">AT&amp;T </t>
  </si>
  <si>
    <t>US$ 35.4</t>
  </si>
  <si>
    <t>AT&amp;T</t>
  </si>
  <si>
    <t>Century Link</t>
  </si>
  <si>
    <t>US$ 37.3</t>
  </si>
  <si>
    <t>-</t>
  </si>
  <si>
    <t>na</t>
  </si>
  <si>
    <t>Frontier</t>
  </si>
  <si>
    <t>US$ 5.8</t>
  </si>
  <si>
    <t>Sprint</t>
  </si>
  <si>
    <t>US$ 8.5</t>
  </si>
  <si>
    <t>TMUS</t>
  </si>
  <si>
    <t>US$ 33.0</t>
  </si>
  <si>
    <t>Verizon</t>
  </si>
  <si>
    <t>US$ 49.5</t>
  </si>
  <si>
    <t>Agg. US Telecoms</t>
  </si>
  <si>
    <t>HKT</t>
  </si>
  <si>
    <t>HK$ 8.36</t>
  </si>
  <si>
    <t>NTT</t>
  </si>
  <si>
    <t>¥6,359</t>
  </si>
  <si>
    <t>PCCW</t>
  </si>
  <si>
    <t>HK$ 4.34</t>
  </si>
  <si>
    <t>Buy</t>
  </si>
  <si>
    <t>SingTel (prop.)</t>
  </si>
  <si>
    <t>S$ 3.79</t>
  </si>
  <si>
    <t>Telstra (consensus)</t>
  </si>
  <si>
    <t>AU$5.17</t>
  </si>
  <si>
    <t>No Rating</t>
  </si>
  <si>
    <t>Agg. Developed Asia Incumbent (ex-consensus)</t>
  </si>
  <si>
    <t>Elisa</t>
  </si>
  <si>
    <t>E 22.42</t>
  </si>
  <si>
    <t>Mobistar</t>
  </si>
  <si>
    <t>E 14.26</t>
  </si>
  <si>
    <t>Tele2</t>
  </si>
  <si>
    <t>SEK 78.6</t>
  </si>
  <si>
    <t>Telefonica Deutschland</t>
  </si>
  <si>
    <t>E 6.09</t>
  </si>
  <si>
    <t>Vivendi</t>
  </si>
  <si>
    <t>E 19.2</t>
  </si>
  <si>
    <t>Vodafone (Prop.)</t>
  </si>
  <si>
    <t>£ 1.94</t>
  </si>
  <si>
    <t>Agg. W. Europe Cellular</t>
  </si>
  <si>
    <t>Docomo</t>
  </si>
  <si>
    <t>¥1,759</t>
  </si>
  <si>
    <t>Hutchison Telecom HK</t>
  </si>
  <si>
    <t>HK$ 2.9</t>
  </si>
  <si>
    <t>KDDI</t>
  </si>
  <si>
    <t>¥6,089</t>
  </si>
  <si>
    <t>MobileOne</t>
  </si>
  <si>
    <t>S$ 3.51</t>
  </si>
  <si>
    <t>Smartone Telecom</t>
  </si>
  <si>
    <t>HK$ 8.6</t>
  </si>
  <si>
    <t>Softbank</t>
  </si>
  <si>
    <t>¥7,783</t>
  </si>
  <si>
    <t>StarHub</t>
  </si>
  <si>
    <t>S$ 4.26</t>
  </si>
  <si>
    <t>Agg. Developed Asia Cellular</t>
  </si>
  <si>
    <t>Iliad</t>
  </si>
  <si>
    <t>E 232.70</t>
  </si>
  <si>
    <t>Jazztel</t>
  </si>
  <si>
    <t>E 10.81</t>
  </si>
  <si>
    <t>Talk Talk</t>
  </si>
  <si>
    <t>£ 3.21</t>
  </si>
  <si>
    <t>Agg. W.Europe Altnet</t>
  </si>
  <si>
    <t>KDG</t>
  </si>
  <si>
    <t>E 109.45</t>
  </si>
  <si>
    <t>Liberty Global</t>
  </si>
  <si>
    <t>US$ 42.80</t>
  </si>
  <si>
    <t>Numericable</t>
  </si>
  <si>
    <t>E 46.63</t>
  </si>
  <si>
    <t>Telenet</t>
  </si>
  <si>
    <t>E 42.79</t>
  </si>
  <si>
    <t>Ziggo</t>
  </si>
  <si>
    <t>E 33.15</t>
  </si>
  <si>
    <t>Zon Optimus</t>
  </si>
  <si>
    <t>E 4.88</t>
  </si>
  <si>
    <t>Agg. W. Europe CATV</t>
  </si>
  <si>
    <t>Cablevision</t>
  </si>
  <si>
    <t>US$ 17.4</t>
  </si>
  <si>
    <t>US$ 15.0</t>
  </si>
  <si>
    <t>Charter</t>
  </si>
  <si>
    <t>US$ 148.3</t>
  </si>
  <si>
    <t>Comcast</t>
  </si>
  <si>
    <t>US$ 52.9</t>
  </si>
  <si>
    <t>TW Cable</t>
  </si>
  <si>
    <t>US$ 143.7</t>
  </si>
  <si>
    <t>Agg. US CATV</t>
  </si>
  <si>
    <t>BSkyB</t>
  </si>
  <si>
    <t>£ 8.94</t>
  </si>
  <si>
    <t>Inmarsat</t>
  </si>
  <si>
    <t>£ 7.41</t>
  </si>
  <si>
    <t>Agg. W.Europe Satellite</t>
  </si>
  <si>
    <t>DirecTV</t>
  </si>
  <si>
    <t>US$ 85.03</t>
  </si>
  <si>
    <t>DISH</t>
  </si>
  <si>
    <t>US$ 59.81</t>
  </si>
  <si>
    <t>Agg. US Satellite</t>
  </si>
  <si>
    <t>American Tower</t>
  </si>
  <si>
    <t>US$ 88.8</t>
  </si>
  <si>
    <t>Crown Castle</t>
  </si>
  <si>
    <t>US$ 74.0</t>
  </si>
  <si>
    <t>SBA Comms.</t>
  </si>
  <si>
    <t>US$ 98.5</t>
  </si>
  <si>
    <t>Agg. US Towers</t>
  </si>
  <si>
    <t>Agg. W Europe</t>
  </si>
  <si>
    <t>Agg. US sector</t>
  </si>
  <si>
    <t>Agg. Developed Asia sector</t>
  </si>
  <si>
    <t>Agg. Global Developed sector</t>
  </si>
  <si>
    <t>LBTY</t>
  </si>
  <si>
    <t>NUM</t>
  </si>
  <si>
    <t>TNET</t>
  </si>
  <si>
    <t>ZIGGO</t>
  </si>
  <si>
    <t>W Eur Incum.</t>
  </si>
  <si>
    <t>US CATV</t>
  </si>
  <si>
    <t>HK$ 6.70</t>
  </si>
  <si>
    <t>Comhem</t>
  </si>
  <si>
    <t>E 39.0</t>
  </si>
  <si>
    <t>Nos</t>
  </si>
  <si>
    <t>US$ 66.0</t>
  </si>
  <si>
    <t>US$ 189.0</t>
  </si>
  <si>
    <t>US$ 110.0</t>
  </si>
  <si>
    <t>US$ 125.0</t>
  </si>
  <si>
    <t>TCOL</t>
  </si>
  <si>
    <t>DT</t>
  </si>
  <si>
    <t>TEFD</t>
  </si>
  <si>
    <t>ComH</t>
  </si>
  <si>
    <t>NOS</t>
  </si>
  <si>
    <t>TCOL MID</t>
  </si>
  <si>
    <t>Erosion</t>
  </si>
  <si>
    <t>Cable</t>
  </si>
  <si>
    <t>Satellite</t>
  </si>
  <si>
    <t>Terrestrial</t>
  </si>
  <si>
    <t>IPTV</t>
  </si>
  <si>
    <t>CAGR</t>
  </si>
  <si>
    <t xml:space="preserve">Source: SES Astra </t>
  </si>
  <si>
    <t>German TV households</t>
  </si>
  <si>
    <t>Homes passed</t>
  </si>
  <si>
    <t>Unity</t>
  </si>
  <si>
    <t>Customers</t>
  </si>
  <si>
    <t>Cable Stats - LBTY Germany</t>
  </si>
  <si>
    <t>Homes upgraded</t>
  </si>
  <si>
    <t>Video subs</t>
  </si>
  <si>
    <t>Analogue video subs</t>
  </si>
  <si>
    <t>Digital video subs</t>
  </si>
  <si>
    <t>Telephony subs</t>
  </si>
  <si>
    <t>Internet subs</t>
  </si>
  <si>
    <t xml:space="preserve">RGUs </t>
  </si>
  <si>
    <t>Residential cable revenues</t>
  </si>
  <si>
    <t>Business cable revenues</t>
  </si>
  <si>
    <t>Non-cable revenues</t>
  </si>
  <si>
    <t>Cable EBITDA</t>
  </si>
  <si>
    <t>Non-cable  EBITDA</t>
  </si>
  <si>
    <t>Cable capex</t>
  </si>
  <si>
    <t>Non-cable capex</t>
  </si>
  <si>
    <t>EFCF</t>
  </si>
  <si>
    <t>Mobile subs</t>
  </si>
  <si>
    <t>Cable Stats</t>
  </si>
  <si>
    <t>HP change</t>
  </si>
  <si>
    <t>Customer change</t>
  </si>
  <si>
    <t>HU % HC</t>
  </si>
  <si>
    <t>Video RGU loss</t>
  </si>
  <si>
    <t>Tel % customers</t>
  </si>
  <si>
    <t>BB % customers</t>
  </si>
  <si>
    <t>Revenues YoY</t>
  </si>
  <si>
    <t>EBITDA margin</t>
  </si>
  <si>
    <t>Capex / revenues</t>
  </si>
  <si>
    <t>Capex / customer €/yr</t>
  </si>
  <si>
    <t>Capex / RGU € / yr</t>
  </si>
  <si>
    <t>RGU / customer</t>
  </si>
  <si>
    <t>Q2 14</t>
  </si>
  <si>
    <t>Own network</t>
  </si>
  <si>
    <t>Non-upgraded</t>
  </si>
  <si>
    <t>Own</t>
  </si>
  <si>
    <t>3rd party</t>
  </si>
  <si>
    <t>Upgraded</t>
  </si>
  <si>
    <t>Internet % customers</t>
  </si>
  <si>
    <t>Telephony % customers</t>
  </si>
  <si>
    <t>Summary €m</t>
  </si>
  <si>
    <t>YoY</t>
  </si>
  <si>
    <t>Margin</t>
  </si>
  <si>
    <t>Net income</t>
  </si>
  <si>
    <t>Broadband</t>
  </si>
  <si>
    <t>Premium video</t>
  </si>
  <si>
    <t>Blended video</t>
  </si>
  <si>
    <t>Blended bb/tel</t>
  </si>
  <si>
    <t>Blended customer</t>
  </si>
  <si>
    <t>EBITDA adjusted</t>
  </si>
  <si>
    <t>Basic video</t>
  </si>
  <si>
    <t>Telephony</t>
  </si>
  <si>
    <t>KPIs 000s</t>
  </si>
  <si>
    <t>ARPU € per month</t>
  </si>
  <si>
    <t>EBITDA Adj.</t>
  </si>
  <si>
    <t>H1 14</t>
  </si>
  <si>
    <t>Homes connected - 3rd party</t>
  </si>
  <si>
    <t>CATV RGUs</t>
  </si>
  <si>
    <t>Premium TV</t>
  </si>
  <si>
    <t>Internet</t>
  </si>
  <si>
    <t>CATV 3rd party</t>
  </si>
  <si>
    <t>CATV own network</t>
  </si>
  <si>
    <t>RGUs 000s</t>
  </si>
  <si>
    <t>Net adds 000s</t>
  </si>
  <si>
    <t>000s</t>
  </si>
  <si>
    <t>Q2 09</t>
  </si>
  <si>
    <t>Q2 10</t>
  </si>
  <si>
    <t>Q2 11</t>
  </si>
  <si>
    <t>Q2 12</t>
  </si>
  <si>
    <t>Q2 13</t>
  </si>
  <si>
    <t>% direct</t>
  </si>
  <si>
    <t>TCOL % HC on own network</t>
  </si>
  <si>
    <t>KDG direct % subscribers</t>
  </si>
  <si>
    <t>Contracts</t>
  </si>
  <si>
    <t>&gt;20,000</t>
  </si>
  <si>
    <t>&gt;1,000</t>
  </si>
  <si>
    <t>&gt;100</t>
  </si>
  <si>
    <t>&lt;100</t>
  </si>
  <si>
    <t>Contract size, homes</t>
  </si>
  <si>
    <t>% homes</t>
  </si>
  <si>
    <t>Video RGU adds</t>
  </si>
  <si>
    <t>Premium TV % cable subscribers</t>
  </si>
  <si>
    <t>Broadband % customers</t>
  </si>
  <si>
    <t>Pre migration</t>
  </si>
  <si>
    <t>% TV only</t>
  </si>
  <si>
    <t>%  TV and IP</t>
  </si>
  <si>
    <t>TV / IP ARPU</t>
  </si>
  <si>
    <t>IP solo ARPU</t>
  </si>
  <si>
    <t>% IP only</t>
  </si>
  <si>
    <t>Blended ARPU</t>
  </si>
  <si>
    <t>Notes:</t>
  </si>
  <si>
    <t>Just under 50% do not take IP  . . .</t>
  </si>
  <si>
    <t>. . . but additional TV revenues boost ARPU</t>
  </si>
  <si>
    <t>Over a quarter of expanded customers taking IP and TV . . .</t>
  </si>
  <si>
    <t xml:space="preserve"> . . . At higher blended ARPU</t>
  </si>
  <si>
    <t>Additional customers taking IP but not CATV . . .</t>
  </si>
  <si>
    <t xml:space="preserve"> . . . at market ARPU</t>
  </si>
  <si>
    <t>Inserts for notes</t>
  </si>
  <si>
    <t>Balance sheet €m</t>
  </si>
  <si>
    <t>Asst changes</t>
  </si>
  <si>
    <t>Liability changes</t>
  </si>
  <si>
    <t>EBITDA growth</t>
  </si>
  <si>
    <t>EBITDA CAGR 2009-14E</t>
  </si>
  <si>
    <t>SENS</t>
  </si>
  <si>
    <t>Are sensitivities off?</t>
  </si>
  <si>
    <t>Sensitivity</t>
  </si>
  <si>
    <t>Base</t>
  </si>
  <si>
    <t>Model:</t>
  </si>
  <si>
    <t>RGU adds</t>
  </si>
  <si>
    <t>Basic TV</t>
  </si>
  <si>
    <t>BB/Tel</t>
  </si>
  <si>
    <t>Driver</t>
  </si>
  <si>
    <t>Capex % revenues 2017 onwards</t>
  </si>
  <si>
    <t>RGU adds per year</t>
  </si>
  <si>
    <t>ARPU % change per year</t>
  </si>
  <si>
    <t>1 pp</t>
  </si>
  <si>
    <t>10k</t>
  </si>
  <si>
    <t>2 pp</t>
  </si>
  <si>
    <t>3 pp</t>
  </si>
  <si>
    <t>Change in EV</t>
  </si>
  <si>
    <t>Change in Equity value</t>
  </si>
  <si>
    <t>Total consumer spend on video entertainment in Germany will increase by 2% in 2014 to over €6.9 billion </t>
  </si>
  <si>
    <t>On-demand video services</t>
  </si>
  <si>
    <t>Packaged video</t>
  </si>
  <si>
    <t>Total video spend</t>
  </si>
  <si>
    <t>DTT</t>
  </si>
  <si>
    <t>Analogue only</t>
  </si>
  <si>
    <t>Analogue and digital</t>
  </si>
  <si>
    <t>Digital only</t>
  </si>
  <si>
    <t>Quelle: TNS Infratest; Basis 2014: 38.557 million TV households in Germany (Basis 2013: 38.157 million and 2012: 37.977 million)</t>
  </si>
  <si>
    <t xml:space="preserve">From: Digitalisierungsbericht 2014, die medienanstalten - ALM GbR, published September 2014 </t>
  </si>
  <si>
    <t>Household market share</t>
  </si>
  <si>
    <t>Digitalisation</t>
  </si>
  <si>
    <t>Capex per TWHU</t>
  </si>
  <si>
    <t>TCOL: €50-120</t>
  </si>
  <si>
    <t>TWHU</t>
  </si>
  <si>
    <t>US$ 47.0</t>
  </si>
  <si>
    <t>E 13.00</t>
  </si>
  <si>
    <t>¥10,500</t>
  </si>
  <si>
    <t>Blended unique subscriber ARPU</t>
  </si>
  <si>
    <t>2014(E) data</t>
  </si>
  <si>
    <t>% upgraded</t>
  </si>
  <si>
    <t>T Col</t>
  </si>
  <si>
    <t>Include finance lease and "unsustainable " debt</t>
  </si>
  <si>
    <t>H2 13</t>
  </si>
  <si>
    <t>H2 14 E</t>
  </si>
  <si>
    <t>9M 13</t>
  </si>
  <si>
    <t>9M 14</t>
  </si>
  <si>
    <t>Q3 14</t>
  </si>
  <si>
    <t>Q4 14</t>
  </si>
  <si>
    <t>Old</t>
  </si>
  <si>
    <t xml:space="preserve">Capex </t>
  </si>
  <si>
    <t>HC</t>
  </si>
  <si>
    <t>Video ARPU</t>
  </si>
  <si>
    <t>Broadband / Tel ARPU</t>
  </si>
  <si>
    <t>Customer ARPU</t>
  </si>
  <si>
    <t>Q3 13</t>
  </si>
  <si>
    <t>Note inserts - quarters</t>
  </si>
  <si>
    <t>Q1 13</t>
  </si>
  <si>
    <t>Q4 13</t>
  </si>
  <si>
    <t>Q1 14</t>
  </si>
  <si>
    <t>Purchase of minorities</t>
  </si>
  <si>
    <t>H1 13</t>
  </si>
  <si>
    <t>Segment data (€ mn)</t>
  </si>
  <si>
    <t>Other expenses4</t>
  </si>
  <si>
    <t xml:space="preserve">ND/EBITDA </t>
  </si>
  <si>
    <t>~3.0X - 4.0X</t>
  </si>
  <si>
    <t>E 20.3</t>
  </si>
  <si>
    <t>E 2.80</t>
  </si>
  <si>
    <t>E 12.00</t>
  </si>
  <si>
    <t>E 1.66</t>
  </si>
  <si>
    <t>E 0.90</t>
  </si>
  <si>
    <t>E 4.80</t>
  </si>
  <si>
    <t>SEK 108.0</t>
  </si>
  <si>
    <t>E 205</t>
  </si>
  <si>
    <t>Altice</t>
  </si>
  <si>
    <t>Numericable-SFR</t>
  </si>
  <si>
    <t>Sky Deutschland</t>
  </si>
  <si>
    <t>E 7.30</t>
  </si>
  <si>
    <t>US$ 86.0</t>
  </si>
  <si>
    <t>US$ 100.6</t>
  </si>
  <si>
    <t>US$ 79.1</t>
  </si>
  <si>
    <t>US$ 112.4</t>
  </si>
  <si>
    <t>Minorities</t>
  </si>
  <si>
    <t>MDCC</t>
  </si>
  <si>
    <t>BBCOM</t>
  </si>
  <si>
    <t>ND</t>
  </si>
  <si>
    <t>Consolidated</t>
  </si>
  <si>
    <t>Minority</t>
  </si>
  <si>
    <t>% equity value</t>
  </si>
  <si>
    <t>Pension</t>
  </si>
  <si>
    <t>4Q12</t>
  </si>
  <si>
    <t>1Q13</t>
  </si>
  <si>
    <t>2Q13</t>
  </si>
  <si>
    <t>3Q13</t>
  </si>
  <si>
    <t>4Q13</t>
  </si>
  <si>
    <t>1Q14</t>
  </si>
  <si>
    <t>2Q14</t>
  </si>
  <si>
    <t>3Q14</t>
  </si>
  <si>
    <t>Miniroties</t>
  </si>
  <si>
    <t>MDCC (51%)</t>
  </si>
  <si>
    <t>EBITDA mult</t>
  </si>
  <si>
    <t>Minority for valuation</t>
  </si>
  <si>
    <t>bbcom (51%)</t>
  </si>
  <si>
    <t>Valuation</t>
  </si>
  <si>
    <t>Number of shares, ords</t>
  </si>
  <si>
    <t>Average number of shares, ords</t>
  </si>
  <si>
    <t>Number of shares, Savs</t>
  </si>
  <si>
    <t>Average number of shares, Savs</t>
  </si>
  <si>
    <t>Associates</t>
  </si>
  <si>
    <t>Dividend payments</t>
  </si>
  <si>
    <t>Tax credit</t>
  </si>
  <si>
    <t>Reported EPS</t>
  </si>
  <si>
    <t>Group forecasts</t>
  </si>
  <si>
    <t>Depreciation</t>
  </si>
  <si>
    <t>Amortisation</t>
  </si>
  <si>
    <t>Minority interests</t>
  </si>
  <si>
    <t>Book equity</t>
  </si>
  <si>
    <t>Net interest</t>
  </si>
  <si>
    <t>Reported earnings</t>
  </si>
  <si>
    <t>Equity free cash flow</t>
  </si>
  <si>
    <t>Employees</t>
  </si>
  <si>
    <t>Net fixed assets</t>
  </si>
  <si>
    <t>Revenue breakdown</t>
  </si>
  <si>
    <t>Operational data</t>
  </si>
  <si>
    <t>Reported monthly ARPU, €</t>
  </si>
  <si>
    <t>TV subscribers</t>
  </si>
  <si>
    <t>Broadband subscribers</t>
  </si>
  <si>
    <t>Telephony subscribers</t>
  </si>
  <si>
    <t>Mobile SIMs</t>
  </si>
  <si>
    <t>Debt analysis</t>
  </si>
  <si>
    <t>Bank debt</t>
  </si>
  <si>
    <t>Other debt</t>
  </si>
  <si>
    <t>Bonds</t>
  </si>
  <si>
    <t>Total gross debt</t>
  </si>
  <si>
    <t>Cash &amp; equivalents</t>
  </si>
  <si>
    <t>Interest income</t>
  </si>
  <si>
    <t>Net interest expense</t>
  </si>
  <si>
    <t>Principal repayments</t>
  </si>
  <si>
    <t>Bank debt / EBITDA</t>
  </si>
  <si>
    <t>Gross debt / EBITDA</t>
  </si>
  <si>
    <t>Net debt / EBITDA</t>
  </si>
  <si>
    <t>EBITDA / interest</t>
  </si>
  <si>
    <t>EBITDA - Capex / interest</t>
  </si>
  <si>
    <t>EBITDA - Capex / interest + principal</t>
  </si>
  <si>
    <t>Bank debt paydown</t>
  </si>
  <si>
    <t>Total debt paydown</t>
  </si>
  <si>
    <t>Net debt reduction</t>
  </si>
  <si>
    <t>Cash flow</t>
  </si>
  <si>
    <t>Less: cash Interest payments</t>
  </si>
  <si>
    <t>Less: Tax paid</t>
  </si>
  <si>
    <t>Less: Change in WC</t>
  </si>
  <si>
    <t>Less: Other</t>
  </si>
  <si>
    <t>Less: Dividends paid</t>
  </si>
  <si>
    <t>Less: Acquisitions/Disposals</t>
  </si>
  <si>
    <t>Plus: Gain of early extinguishment of debt</t>
  </si>
  <si>
    <t>Change in net debt</t>
  </si>
  <si>
    <t>EFCF adjustments</t>
  </si>
  <si>
    <t>Less: NPV Tax credit</t>
  </si>
  <si>
    <t>Plus other financial liabilities</t>
  </si>
  <si>
    <t>Divisional</t>
  </si>
  <si>
    <t>NSR DCF valuation</t>
  </si>
  <si>
    <t>NPV TV</t>
  </si>
  <si>
    <t>NPV tax losses</t>
  </si>
  <si>
    <t>Enterprise value</t>
  </si>
  <si>
    <t>NSR EV/Revenues</t>
  </si>
  <si>
    <t>NSR EV / EBITDA</t>
  </si>
  <si>
    <t>NSR EV/OFCF</t>
  </si>
  <si>
    <t>NSR EV/FCF (taxed OpFCF)</t>
  </si>
  <si>
    <t>P/Adj E</t>
  </si>
  <si>
    <t>NSR EV / NTFA</t>
  </si>
  <si>
    <t>EFCF yield</t>
  </si>
  <si>
    <t>NSR EV/sub €</t>
  </si>
  <si>
    <t>WACC Calculation</t>
  </si>
  <si>
    <t>Risk free rate</t>
  </si>
  <si>
    <t>Equity risk premium</t>
  </si>
  <si>
    <t>BETA</t>
  </si>
  <si>
    <t>Cost of equity (post tax)</t>
  </si>
  <si>
    <t>Debt premium</t>
  </si>
  <si>
    <t>Cost of debt (post tax)</t>
  </si>
  <si>
    <t>Debt/Equity</t>
  </si>
  <si>
    <t>WACC (post tax)</t>
  </si>
  <si>
    <t>Terminal growth rate</t>
  </si>
  <si>
    <t>Terminal exit multiple</t>
  </si>
  <si>
    <t>Reported eps</t>
  </si>
  <si>
    <t>Premium TV subscribers</t>
  </si>
  <si>
    <t>2014A</t>
  </si>
  <si>
    <t>Purchase of minority interest</t>
  </si>
  <si>
    <t>Capex includes acquisitions</t>
  </si>
  <si>
    <t>PF</t>
  </si>
  <si>
    <t>Capex / sales</t>
  </si>
  <si>
    <t>FY '11</t>
  </si>
  <si>
    <t>FY '12</t>
  </si>
  <si>
    <t>FY '13</t>
  </si>
  <si>
    <t>FY '14</t>
  </si>
  <si>
    <t>Basic CATV signal fee</t>
  </si>
  <si>
    <t>% of revenues</t>
  </si>
  <si>
    <t>HC on-net upgraded %</t>
  </si>
  <si>
    <t>% of bundles</t>
  </si>
  <si>
    <t>NSR(E)</t>
  </si>
  <si>
    <t xml:space="preserve">CATV </t>
  </si>
  <si>
    <t xml:space="preserve">Total RGUs </t>
  </si>
  <si>
    <t>Profit/loss attributable to shareholders</t>
  </si>
  <si>
    <t>Profit/loss attributable to minorities</t>
  </si>
  <si>
    <t>TP</t>
  </si>
  <si>
    <t>E 33.5</t>
  </si>
  <si>
    <t>E 22.0</t>
  </si>
  <si>
    <t>£ 4.54</t>
  </si>
  <si>
    <t>£ 4.80</t>
  </si>
  <si>
    <t>E 16.54</t>
  </si>
  <si>
    <t>E 16.16</t>
  </si>
  <si>
    <t>E 14.00</t>
  </si>
  <si>
    <t>E 3.04</t>
  </si>
  <si>
    <t>E 8.90</t>
  </si>
  <si>
    <t>E 0.69</t>
  </si>
  <si>
    <t>CHF 547</t>
  </si>
  <si>
    <t>CHF 504</t>
  </si>
  <si>
    <t>DKK 52.8</t>
  </si>
  <si>
    <t>DKK 49.0</t>
  </si>
  <si>
    <t>E 1.07</t>
  </si>
  <si>
    <t>E 13.81</t>
  </si>
  <si>
    <t>E 8.00</t>
  </si>
  <si>
    <t>E 6.26</t>
  </si>
  <si>
    <t>NOK 154</t>
  </si>
  <si>
    <t>NOK 165</t>
  </si>
  <si>
    <t>SEK52.8</t>
  </si>
  <si>
    <t>SEK51.0</t>
  </si>
  <si>
    <t>US$ 34.5</t>
  </si>
  <si>
    <t>US$ 32.0</t>
  </si>
  <si>
    <t>US$ 5.0</t>
  </si>
  <si>
    <t>US$ 32.9</t>
  </si>
  <si>
    <t>HK$ 10.3</t>
  </si>
  <si>
    <t>HK$ 12.0</t>
  </si>
  <si>
    <t>¥7,420</t>
  </si>
  <si>
    <t>¥5,200</t>
  </si>
  <si>
    <t>HK$ 4.95</t>
  </si>
  <si>
    <t>S$ 4.22</t>
  </si>
  <si>
    <t>S$ 4.60</t>
  </si>
  <si>
    <t>AU$6.37</t>
  </si>
  <si>
    <t>E 24.2</t>
  </si>
  <si>
    <t>E 21.0</t>
  </si>
  <si>
    <t>E 12.0</t>
  </si>
  <si>
    <t>Sunrise</t>
  </si>
  <si>
    <t>CHF 74.5</t>
  </si>
  <si>
    <t>CHF 71.0</t>
  </si>
  <si>
    <t>SEK 97.5</t>
  </si>
  <si>
    <t>E 4.92</t>
  </si>
  <si>
    <t>E 4.20</t>
  </si>
  <si>
    <t>£ 2.24</t>
  </si>
  <si>
    <t>£ 2.05</t>
  </si>
  <si>
    <t>¥2,125</t>
  </si>
  <si>
    <t>¥1,500</t>
  </si>
  <si>
    <t>HK$ 3.9</t>
  </si>
  <si>
    <t>HK$ 3.7</t>
  </si>
  <si>
    <t>¥8,290</t>
  </si>
  <si>
    <t>¥8,200</t>
  </si>
  <si>
    <t>S$ 3.96</t>
  </si>
  <si>
    <t>S$ 3.77</t>
  </si>
  <si>
    <t>HK$ 15.5</t>
  </si>
  <si>
    <t>HK$ 14.5</t>
  </si>
  <si>
    <t>¥7,367</t>
  </si>
  <si>
    <t>S$ 4.29</t>
  </si>
  <si>
    <t>S$ 4.45</t>
  </si>
  <si>
    <t>E 232</t>
  </si>
  <si>
    <t>E 12.49</t>
  </si>
  <si>
    <t>£ 3.38</t>
  </si>
  <si>
    <t>£ 3.52</t>
  </si>
  <si>
    <t>SEK71.8</t>
  </si>
  <si>
    <t>SEK74.0</t>
  </si>
  <si>
    <t>E 88.7</t>
  </si>
  <si>
    <t>E 56.9</t>
  </si>
  <si>
    <t>US$ 54.0</t>
  </si>
  <si>
    <t>US$ 56.2</t>
  </si>
  <si>
    <t>E 55.1</t>
  </si>
  <si>
    <t>E 5.92</t>
  </si>
  <si>
    <t>E 6.40</t>
  </si>
  <si>
    <t>E 51.0</t>
  </si>
  <si>
    <t>E 44.0</t>
  </si>
  <si>
    <t>US$ 18.6</t>
  </si>
  <si>
    <t>US$ 180.3</t>
  </si>
  <si>
    <t>US$ 185.0</t>
  </si>
  <si>
    <t>US$ 59.2</t>
  </si>
  <si>
    <t>US$ 152.5</t>
  </si>
  <si>
    <t>£ 10.03</t>
  </si>
  <si>
    <t>£ 8.75</t>
  </si>
  <si>
    <t>£ 9.50</t>
  </si>
  <si>
    <t>E 6.85</t>
  </si>
  <si>
    <t>US$ 88.1</t>
  </si>
  <si>
    <t>US$ 90.0</t>
  </si>
  <si>
    <t>US$ 76.0</t>
  </si>
  <si>
    <t>US$ 127.0</t>
  </si>
  <si>
    <t xml:space="preserve">Agg. Developed Asia </t>
  </si>
  <si>
    <t>Agg. Global Developed</t>
  </si>
  <si>
    <t>Signal fees</t>
  </si>
  <si>
    <t>Signal fees mn</t>
  </si>
  <si>
    <t>~€115 million (including acquisitions)</t>
  </si>
  <si>
    <t>FY 14 actual</t>
  </si>
  <si>
    <t>FY 15 guidance</t>
  </si>
  <si>
    <t>Homes connected k</t>
  </si>
  <si>
    <t>Stable</t>
  </si>
  <si>
    <t>Revenue growth</t>
  </si>
  <si>
    <t>Between 4% and 6%</t>
  </si>
  <si>
    <t>Normalized EBITDA margin</t>
  </si>
  <si>
    <t>Above 47.5%</t>
  </si>
  <si>
    <t>Capex mn</t>
  </si>
  <si>
    <t>€110-120mn</t>
  </si>
  <si>
    <t>% HC on-net/upgraded</t>
  </si>
  <si>
    <t>&gt;60%</t>
  </si>
  <si>
    <t>4Q14</t>
  </si>
  <si>
    <t>New April 15</t>
  </si>
  <si>
    <t>OLD Mar 15</t>
  </si>
  <si>
    <t xml:space="preserve">TP </t>
  </si>
  <si>
    <t>TP Old</t>
  </si>
  <si>
    <t>Multiples at market share price</t>
  </si>
  <si>
    <t>Blended Internet &amp; telephony ARPU (per internet RGU)</t>
  </si>
  <si>
    <t>Consensus</t>
  </si>
  <si>
    <t>NSR</t>
  </si>
  <si>
    <t>KPIs (k)</t>
  </si>
  <si>
    <t>Net adds (k):</t>
  </si>
  <si>
    <t>RGUs (k):</t>
  </si>
  <si>
    <t>Penetration:</t>
  </si>
  <si>
    <t>ARPU (€/month):</t>
  </si>
  <si>
    <t>Leverage</t>
  </si>
  <si>
    <t>1Q15</t>
  </si>
  <si>
    <t>Synergies for acquisitions</t>
  </si>
  <si>
    <t>KDG / TCOM</t>
  </si>
  <si>
    <t>Unity / KBW</t>
  </si>
  <si>
    <t>8.1% of KBW costs</t>
  </si>
  <si>
    <t>Primacom</t>
  </si>
  <si>
    <t>Pepcom</t>
  </si>
  <si>
    <t>CATV</t>
  </si>
  <si>
    <t>~1.0X</t>
  </si>
  <si>
    <t>TCOL (2015E)</t>
  </si>
  <si>
    <t>Costs</t>
  </si>
  <si>
    <t>Cost savings:</t>
  </si>
  <si>
    <t>8% costs</t>
  </si>
  <si>
    <t>Mult</t>
  </si>
  <si>
    <t>Value</t>
  </si>
  <si>
    <t>Less costs</t>
  </si>
  <si>
    <t>NPV 4 years</t>
  </si>
  <si>
    <t>Tax</t>
  </si>
  <si>
    <t>TCOL shares</t>
  </si>
  <si>
    <t>TCOL share</t>
  </si>
  <si>
    <t>Probability</t>
  </si>
  <si>
    <t>Mobile</t>
  </si>
  <si>
    <t>Mobile business</t>
  </si>
  <si>
    <t>SIMs</t>
  </si>
  <si>
    <t>Contribution</t>
  </si>
  <si>
    <t>SAC</t>
  </si>
  <si>
    <t>One-offs</t>
  </si>
  <si>
    <t>Taxed</t>
  </si>
  <si>
    <t>Opex synergies</t>
  </si>
  <si>
    <t>Capex synergies</t>
  </si>
  <si>
    <t>Synergy costs</t>
  </si>
  <si>
    <t>BB</t>
  </si>
  <si>
    <t>Post tax</t>
  </si>
  <si>
    <t>Per share</t>
  </si>
  <si>
    <t>Synergies NPV</t>
  </si>
  <si>
    <t>Overpayment</t>
  </si>
  <si>
    <t>Mult paid</t>
  </si>
  <si>
    <t>Market mult</t>
  </si>
  <si>
    <t>Overpaid</t>
  </si>
  <si>
    <t>Net benefit</t>
  </si>
  <si>
    <t>SIM % broadband</t>
  </si>
  <si>
    <t>Uplift € per share</t>
  </si>
  <si>
    <t>2Q15</t>
  </si>
  <si>
    <t>pepcom</t>
  </si>
  <si>
    <t>Unitymedia</t>
  </si>
  <si>
    <t>PrimaCom</t>
  </si>
  <si>
    <t>TCOL PF</t>
  </si>
  <si>
    <t>Tel</t>
  </si>
  <si>
    <t>TCOL PF after synergies</t>
  </si>
  <si>
    <t>Upgrade %</t>
  </si>
  <si>
    <t>Customers / HP</t>
  </si>
  <si>
    <t>2014 data, € mn, KPI 000s</t>
  </si>
  <si>
    <t>3Q15</t>
  </si>
  <si>
    <t>Broadband % customers (4Q14)</t>
  </si>
  <si>
    <t>Broadband % customers (2Q15)</t>
  </si>
  <si>
    <t>Cable Stats - KDG</t>
  </si>
  <si>
    <t>Cable Stats - Tele Columbus</t>
  </si>
  <si>
    <t>Adj.</t>
  </si>
  <si>
    <t>PF 2015E</t>
  </si>
  <si>
    <t>Prima 14A</t>
  </si>
  <si>
    <t>Prima 15E</t>
  </si>
  <si>
    <t>pep 14A</t>
  </si>
  <si>
    <t>pep 15E</t>
  </si>
  <si>
    <t>Synergy targets:</t>
  </si>
  <si>
    <t>From rights issue roadshow</t>
  </si>
  <si>
    <t>Run rate by 2017E</t>
  </si>
  <si>
    <t>total</t>
  </si>
  <si>
    <t>Cost</t>
  </si>
  <si>
    <t>One year cost+ capex as cost of synergies, spread over two years.</t>
  </si>
  <si>
    <t>2015E revenues</t>
  </si>
  <si>
    <t>Prima</t>
  </si>
  <si>
    <t>pep</t>
  </si>
  <si>
    <t>Two-way, on-net homes connected</t>
  </si>
  <si>
    <t>% homes connected two-way, on-net</t>
  </si>
  <si>
    <t>KPI drivers</t>
  </si>
  <si>
    <t>Homes connected net adds</t>
  </si>
  <si>
    <t>Homes upgraded net adds</t>
  </si>
  <si>
    <t>Homes upgraded %</t>
  </si>
  <si>
    <t>Customers % HC</t>
  </si>
  <si>
    <t>Video % customers</t>
  </si>
  <si>
    <t>Premium % video</t>
  </si>
  <si>
    <t>Customer net adds</t>
  </si>
  <si>
    <t>Video net adds</t>
  </si>
  <si>
    <t>Premium video net adds</t>
  </si>
  <si>
    <t>Broadband net adds</t>
  </si>
  <si>
    <t>Telephony net adds</t>
  </si>
  <si>
    <t>Video ARPU change</t>
  </si>
  <si>
    <t>BB/Tel ARPU change</t>
  </si>
  <si>
    <t>ARPU calculation</t>
  </si>
  <si>
    <t>NSR(E) premium TV guess</t>
  </si>
  <si>
    <t>pepcom B2B:</t>
  </si>
  <si>
    <t>Purchased Hlkomm, Leipzig, in 2012.B2B provider, still not very integrated</t>
  </si>
  <si>
    <t>pepcom ARPU * customers</t>
  </si>
  <si>
    <t>pepcom revenues</t>
  </si>
  <si>
    <t>Homes on own network</t>
  </si>
  <si>
    <t>%</t>
  </si>
  <si>
    <t>Off-net homes</t>
  </si>
  <si>
    <t>Working capital change</t>
  </si>
  <si>
    <t>Own work capitalised / other income</t>
  </si>
  <si>
    <t>Signal fee per off-net sub</t>
  </si>
  <si>
    <t>Synergy benefits</t>
  </si>
  <si>
    <t>Mobile costs</t>
  </si>
  <si>
    <t>Debt capacity per share</t>
  </si>
  <si>
    <t>Forecast ND/EBITDA</t>
  </si>
  <si>
    <t>Max leverage</t>
  </si>
  <si>
    <t>Capacity</t>
  </si>
  <si>
    <t>Amount</t>
  </si>
  <si>
    <t>Cume</t>
  </si>
  <si>
    <t>Market share price</t>
  </si>
  <si>
    <t>Sim % customers</t>
  </si>
  <si>
    <t>Synergies</t>
  </si>
  <si>
    <t>Off-net Sub fall</t>
  </si>
  <si>
    <t>* fee</t>
  </si>
  <si>
    <t>Margin increase</t>
  </si>
  <si>
    <t>KMS (pepcom), VOD has 30%)</t>
  </si>
  <si>
    <t>IR: KMS is around 50% of pepcom EBITDA</t>
  </si>
  <si>
    <t>pepcom EBITDA</t>
  </si>
  <si>
    <t>KMS EBITDA</t>
  </si>
  <si>
    <t>VOD interest</t>
  </si>
  <si>
    <t>2025E</t>
  </si>
  <si>
    <t>Broadband % two-way HC</t>
  </si>
  <si>
    <t>16-20 CAGR</t>
  </si>
  <si>
    <t>15-20 CAGR</t>
  </si>
  <si>
    <t>4Q15</t>
  </si>
  <si>
    <t>2015 PF</t>
  </si>
  <si>
    <t>Mid single digit growth</t>
  </si>
  <si>
    <t>High single digit growth</t>
  </si>
  <si>
    <t>NSR 2016E</t>
  </si>
  <si>
    <t>1.8X</t>
  </si>
  <si>
    <t>1Q16</t>
  </si>
  <si>
    <t>BBG Consensus</t>
  </si>
  <si>
    <t>Guidance (CMD April 2016)</t>
  </si>
  <si>
    <t xml:space="preserve">35-38% </t>
  </si>
  <si>
    <t>Medium term targets</t>
  </si>
  <si>
    <t>Mid-high SD</t>
  </si>
  <si>
    <t>High SD</t>
  </si>
  <si>
    <t>"Towards peers"</t>
  </si>
  <si>
    <t>3-4X</t>
  </si>
  <si>
    <t>2016E targets</t>
  </si>
  <si>
    <t>RGU/sub</t>
  </si>
  <si>
    <t>ARPU €</t>
  </si>
  <si>
    <t>Stable vs 2015 (3.6 mn)</t>
  </si>
  <si>
    <t>Mid single digit vs 2015 (€461 mn)</t>
  </si>
  <si>
    <t>High single digit vs 2015 (€234 mn)</t>
  </si>
  <si>
    <t>Stable (3.6 mn)</t>
  </si>
  <si>
    <t>mn</t>
  </si>
  <si>
    <t>NSR 2019E</t>
  </si>
  <si>
    <t>Q1 15</t>
  </si>
  <si>
    <t>Q1 16</t>
  </si>
  <si>
    <t>2015A</t>
  </si>
  <si>
    <t>2Q16</t>
  </si>
  <si>
    <t>Q2 16</t>
  </si>
  <si>
    <t>3Q16</t>
  </si>
  <si>
    <t>Q3 16</t>
  </si>
  <si>
    <t>OLD Oct 16</t>
  </si>
  <si>
    <t>New Nov 16</t>
  </si>
  <si>
    <t>Capex / D&amp;A</t>
  </si>
  <si>
    <t>2nd Loan</t>
  </si>
  <si>
    <t>Senior Loan</t>
  </si>
  <si>
    <t>UEL (assumes 50% amortised)</t>
  </si>
  <si>
    <t>UEL (assumes 50% depreciated)</t>
  </si>
  <si>
    <t>Non-Current Assets:</t>
  </si>
  <si>
    <t>PPE</t>
  </si>
  <si>
    <t>Intangibles</t>
  </si>
  <si>
    <t>Other Non-Current Assets</t>
  </si>
  <si>
    <t>Current Assets</t>
  </si>
  <si>
    <t>Trade Receivables</t>
  </si>
  <si>
    <t>Inventory</t>
  </si>
  <si>
    <t>Other Current Assets</t>
  </si>
  <si>
    <t>Non-Current Liabilities</t>
  </si>
  <si>
    <t>Debt</t>
  </si>
  <si>
    <t>Payables</t>
  </si>
  <si>
    <t>Other Non-Current Liabilities</t>
  </si>
  <si>
    <t>Current Liabilities</t>
  </si>
  <si>
    <t>Other Current Liabilities</t>
  </si>
  <si>
    <t>Share Capital</t>
  </si>
  <si>
    <t>Reserves</t>
  </si>
  <si>
    <t>Non-Controlling Interests</t>
  </si>
  <si>
    <t>Total Assets</t>
  </si>
  <si>
    <t>Total Liabilities</t>
  </si>
  <si>
    <t>Check</t>
  </si>
  <si>
    <t>Goodwill</t>
  </si>
  <si>
    <t>Difference between P&amp;L tax and Cash tax</t>
  </si>
  <si>
    <t>Interest paid / Received</t>
  </si>
  <si>
    <t>Lower end of 35% to 38%</t>
  </si>
  <si>
    <t>Trend down to cable average</t>
  </si>
  <si>
    <t>Total Synergies</t>
  </si>
  <si>
    <t>Integration Costs</t>
  </si>
  <si>
    <t>% yoy</t>
  </si>
  <si>
    <t>Detailed Breakdown:</t>
  </si>
  <si>
    <t>Margin %</t>
  </si>
  <si>
    <t>Cons</t>
  </si>
  <si>
    <t>Q4 16</t>
  </si>
  <si>
    <t>y/y</t>
  </si>
  <si>
    <t>Multiple</t>
  </si>
  <si>
    <t>Stake</t>
  </si>
  <si>
    <t>Less: Minorities</t>
  </si>
  <si>
    <t>Equity Value</t>
  </si>
  <si>
    <t>SHOUT</t>
  </si>
  <si>
    <t>Per Share</t>
  </si>
  <si>
    <t>Add Dividend</t>
  </si>
  <si>
    <t>Target Price</t>
  </si>
  <si>
    <t>% Upside/Downside</t>
  </si>
  <si>
    <t>German Fixed</t>
  </si>
  <si>
    <t>% change</t>
  </si>
  <si>
    <t>Implied FCF growth</t>
  </si>
  <si>
    <t>EV/ EBITDA</t>
  </si>
  <si>
    <t>EV/ FCF</t>
  </si>
  <si>
    <t>Effective cash tax %</t>
  </si>
  <si>
    <t>German CT rate %</t>
  </si>
  <si>
    <t>Population</t>
  </si>
  <si>
    <t>Households</t>
  </si>
  <si>
    <t>People per Household</t>
  </si>
  <si>
    <t>TCOL Homes Connected:</t>
  </si>
  <si>
    <t>Homes Connected % of Total German HH</t>
  </si>
  <si>
    <t>TCOL RGUs:</t>
  </si>
  <si>
    <t>German Market</t>
  </si>
  <si>
    <t>Subs % of HH covered</t>
  </si>
  <si>
    <t>RGU per Sub</t>
  </si>
  <si>
    <t>Penetration of Households</t>
  </si>
  <si>
    <t>Net Adds</t>
  </si>
  <si>
    <t>Premium TV % of CATV</t>
  </si>
  <si>
    <t>Penetration of Unique Subscribers</t>
  </si>
  <si>
    <t>TCOL ARPUs:</t>
  </si>
  <si>
    <t>Blended TV ARPU (per subscriber)</t>
  </si>
  <si>
    <t>Blended Internet &amp; Telephony ARPU (per internet RGU)</t>
  </si>
  <si>
    <t>Basic TV ARPU</t>
  </si>
  <si>
    <t>Premium TV ARPU</t>
  </si>
  <si>
    <t>Blended TV ARPU</t>
  </si>
  <si>
    <t>TCOL Revenue by Product:</t>
  </si>
  <si>
    <t>Total TV Revenue</t>
  </si>
  <si>
    <t>TCOL EBITDA:</t>
  </si>
  <si>
    <t>% Revenue</t>
  </si>
  <si>
    <t>TCOL Capex:</t>
  </si>
  <si>
    <t>Fixed</t>
  </si>
  <si>
    <t>Total Revenue</t>
  </si>
  <si>
    <t>P&amp;L</t>
  </si>
  <si>
    <t>Balance Sheet</t>
  </si>
  <si>
    <t>Cash Flow</t>
  </si>
  <si>
    <t>Working Capital</t>
  </si>
  <si>
    <t>Net Debt / Normalised EBITDA</t>
  </si>
  <si>
    <t>PPE &amp; Intangibles</t>
  </si>
  <si>
    <t>D&amp;A</t>
  </si>
  <si>
    <t>One Offs</t>
  </si>
  <si>
    <t>Clean D&amp;A</t>
  </si>
  <si>
    <t>Debt and Interest</t>
  </si>
  <si>
    <t>Net Debt/EBITDA</t>
  </si>
  <si>
    <t>Tax Rate</t>
  </si>
  <si>
    <t>EBT</t>
  </si>
  <si>
    <t>Reported P&amp;L Tax</t>
  </si>
  <si>
    <t>Effective Tax Rate</t>
  </si>
  <si>
    <t>Cash Tax Paid</t>
  </si>
  <si>
    <t>Difference between cash tax and P&amp;L tax</t>
  </si>
  <si>
    <t>Exceptional Items</t>
  </si>
  <si>
    <t>XXX</t>
  </si>
  <si>
    <t xml:space="preserve">Total </t>
  </si>
  <si>
    <t>Net Income</t>
  </si>
  <si>
    <t>EFCF and DPS</t>
  </si>
  <si>
    <t>Change in shares in issue</t>
  </si>
  <si>
    <t>as % of clean EPS</t>
  </si>
  <si>
    <t>as % of reported EPS</t>
  </si>
  <si>
    <t>as % of EFCF</t>
  </si>
  <si>
    <t>Add: P&amp;L minority interest</t>
  </si>
  <si>
    <t>Clean EFCF/ share</t>
  </si>
  <si>
    <t>EPS</t>
  </si>
  <si>
    <t>FY13</t>
  </si>
  <si>
    <t>FY14</t>
  </si>
  <si>
    <t>FY15</t>
  </si>
  <si>
    <t>FY16</t>
  </si>
  <si>
    <t>FY12</t>
  </si>
  <si>
    <t>Bbcom</t>
  </si>
  <si>
    <t>Kabelfernsehen</t>
  </si>
  <si>
    <t>Kabelfernsehen BM</t>
  </si>
  <si>
    <t>KSP</t>
  </si>
  <si>
    <t>Kabelcom</t>
  </si>
  <si>
    <t>Netzpool</t>
  </si>
  <si>
    <t>EV/EBITDA multiple</t>
  </si>
  <si>
    <t>Non Controlling Interest EV</t>
  </si>
  <si>
    <t xml:space="preserve">NPV </t>
  </si>
  <si>
    <t>% revenue</t>
  </si>
  <si>
    <t>TCOL Val.</t>
  </si>
  <si>
    <t>Q2 17</t>
  </si>
  <si>
    <t>Q1 17</t>
  </si>
  <si>
    <t>FY 16</t>
  </si>
  <si>
    <t>Internet &amp; Telephony ARPU</t>
  </si>
  <si>
    <t>Calculated</t>
  </si>
  <si>
    <t>Reported</t>
  </si>
  <si>
    <t>Total ARPU</t>
  </si>
  <si>
    <t>Total ARPU (ex Other)</t>
  </si>
  <si>
    <t>Normalised EBITDA margin %</t>
  </si>
  <si>
    <t>Capex % Revenue</t>
  </si>
  <si>
    <t>OpFCF margin %</t>
  </si>
  <si>
    <t>H1 16</t>
  </si>
  <si>
    <t>H2 16</t>
  </si>
  <si>
    <t>H1 17</t>
  </si>
  <si>
    <t>FY17 Guidance</t>
  </si>
  <si>
    <t>Mid-single digit growth %</t>
  </si>
  <si>
    <t>Implied FY17</t>
  </si>
  <si>
    <t>c10% growth YoY</t>
  </si>
  <si>
    <t>33% to 35% of Revenue</t>
  </si>
  <si>
    <t>H2 17 E</t>
  </si>
  <si>
    <t>150 FTE</t>
  </si>
  <si>
    <t>Av Salary</t>
  </si>
  <si>
    <t>Annual expense</t>
  </si>
  <si>
    <t>6m</t>
  </si>
  <si>
    <t>Tailwind</t>
  </si>
  <si>
    <t>Q3 17</t>
  </si>
  <si>
    <t>Q4 17</t>
  </si>
  <si>
    <t>Q1 18</t>
  </si>
  <si>
    <t>Q2 18</t>
  </si>
  <si>
    <t>Q3 18</t>
  </si>
  <si>
    <t>Q4 18</t>
  </si>
  <si>
    <t xml:space="preserve">
FY '20E</t>
  </si>
  <si>
    <t>17-20 CAGR</t>
  </si>
  <si>
    <t>4Q16</t>
  </si>
  <si>
    <t>1Q17</t>
  </si>
  <si>
    <t>2Q17</t>
  </si>
  <si>
    <t>3Q17</t>
  </si>
  <si>
    <t>4Q17</t>
  </si>
  <si>
    <t>1Q18</t>
  </si>
  <si>
    <t>Homes connected - own network - two-way upgraded</t>
  </si>
  <si>
    <t>Total blended ARPU</t>
  </si>
  <si>
    <t>Please refer to definitions in footnotes 2 and 3 on 'Operating Data' sheet</t>
  </si>
  <si>
    <t>Please refer to calculation and footnotes on 'Balance Sheet' sheet</t>
  </si>
  <si>
    <t>CATV RGU</t>
  </si>
  <si>
    <t>Revenue generating unit that has purchased at least one basic cable TV product.</t>
  </si>
  <si>
    <t>Premium TV RGU</t>
  </si>
  <si>
    <t>Revenue generating unit that has purchased besides one basic cable TV product also one other TV product such as pureTV HD, International etc. Split into individual and bulk contracts.</t>
  </si>
  <si>
    <t>Internet RGU</t>
  </si>
  <si>
    <t>Revenue generating unit that has purchased at least one broadband internet product.</t>
  </si>
  <si>
    <t>Telephony RGU</t>
  </si>
  <si>
    <t>Revenue generating unit that has purchased at least one fixed-line telephony product.</t>
  </si>
  <si>
    <t>2Q18</t>
  </si>
  <si>
    <t>3Q18</t>
  </si>
  <si>
    <t>4Q18</t>
  </si>
  <si>
    <t>Q1 19</t>
  </si>
  <si>
    <t>Q2 19</t>
  </si>
  <si>
    <t>Q3 19</t>
  </si>
  <si>
    <t>Q4 19</t>
  </si>
  <si>
    <t>EQR</t>
  </si>
  <si>
    <t xml:space="preserve">
FY '21E</t>
  </si>
  <si>
    <t>Senior Secured Notes</t>
  </si>
  <si>
    <t>% growth</t>
  </si>
  <si>
    <t>qoq ('000)</t>
  </si>
  <si>
    <r>
      <t>Internet ('000)</t>
    </r>
    <r>
      <rPr>
        <vertAlign val="superscript"/>
        <sz val="10"/>
        <color theme="1"/>
        <rFont val="Arial"/>
        <family val="2"/>
      </rPr>
      <t>1</t>
    </r>
  </si>
  <si>
    <r>
      <t>Telephony ('000)</t>
    </r>
    <r>
      <rPr>
        <vertAlign val="superscript"/>
        <sz val="10"/>
        <color theme="1"/>
        <rFont val="Arial"/>
        <family val="2"/>
      </rPr>
      <t>2</t>
    </r>
  </si>
  <si>
    <t>Q1 '19</t>
  </si>
  <si>
    <t>NSR target</t>
  </si>
  <si>
    <t>20 EBITDA</t>
  </si>
  <si>
    <t>1Q19</t>
  </si>
  <si>
    <t>2Q19</t>
  </si>
  <si>
    <t>3Q19</t>
  </si>
  <si>
    <t>Equipment &amp; other revenue</t>
  </si>
  <si>
    <t>Service revenue (incl. wholesale)</t>
  </si>
  <si>
    <t>Retail service revenue</t>
  </si>
  <si>
    <t>Wholesale service revenue</t>
  </si>
  <si>
    <t>EBITDAaL</t>
  </si>
  <si>
    <t>CAPEX</t>
  </si>
  <si>
    <t>Mobile service revenue (incl. wholesal)</t>
  </si>
  <si>
    <t>Mobile subs (excl. M2M, incl. wholesale)</t>
  </si>
  <si>
    <t>Postpaid subs (excl. M2M, incl. wholesale)</t>
  </si>
  <si>
    <t>Fixed revenue (incl. wholesale)</t>
  </si>
  <si>
    <t>Broadband subs (incl. wholesale)</t>
  </si>
  <si>
    <t>Voice subs (incl. wholesale)</t>
  </si>
  <si>
    <t>TV subs (incl. wholesale)</t>
  </si>
  <si>
    <t>FTTC/FTTH subs (incl. wholesale)</t>
  </si>
  <si>
    <t>Rebased prior year</t>
  </si>
  <si>
    <t>Mobile service revenue (incl. wholesale)</t>
  </si>
  <si>
    <t>Organic growth %</t>
  </si>
  <si>
    <t>DE (EUR)</t>
  </si>
  <si>
    <r>
      <t>Revenue</t>
    </r>
    <r>
      <rPr>
        <b/>
        <vertAlign val="superscript"/>
        <sz val="10"/>
        <rFont val="Arial"/>
        <family val="2"/>
      </rPr>
      <t>1</t>
    </r>
  </si>
  <si>
    <t>Increase/ (decrease) in net WC</t>
  </si>
  <si>
    <t>Net WC</t>
  </si>
  <si>
    <t>Equity, EoY</t>
  </si>
  <si>
    <t>EV multiple</t>
  </si>
  <si>
    <t>Sales (€m)</t>
  </si>
  <si>
    <t>PP&amp;E (€m)</t>
  </si>
  <si>
    <t>DG financials (2020 E)</t>
  </si>
  <si>
    <t>Homes passed (k)</t>
  </si>
  <si>
    <t>DG EV (€m)</t>
  </si>
  <si>
    <t>TC1 financials (2020 E)</t>
  </si>
  <si>
    <t>Implied TC1 EV</t>
  </si>
  <si>
    <t>Implied TC1 share price</t>
  </si>
  <si>
    <t>Q4 20</t>
  </si>
  <si>
    <t>4Q19</t>
  </si>
  <si>
    <t>Cons.</t>
  </si>
  <si>
    <t>Adj. EBITDA</t>
  </si>
  <si>
    <t>Revenue %</t>
  </si>
  <si>
    <t>IFRS15&gt;</t>
  </si>
  <si>
    <t>IFRS16&gt;</t>
  </si>
  <si>
    <t>Growth %</t>
  </si>
  <si>
    <t>Increase/ (decrease) in Net Debt</t>
  </si>
  <si>
    <t>(Increase)/ decrease in Net Debt</t>
  </si>
  <si>
    <t>Model, €m</t>
  </si>
  <si>
    <t>Fixed, €m</t>
  </si>
  <si>
    <t>Total RGUs</t>
  </si>
  <si>
    <t>Working capital</t>
  </si>
  <si>
    <t>Other current assets</t>
  </si>
  <si>
    <t>PPE, BoY</t>
  </si>
  <si>
    <t>PPE, EoY</t>
  </si>
  <si>
    <t>Add: Additions</t>
  </si>
  <si>
    <t>Average asset life</t>
  </si>
  <si>
    <t>RoU, BoY</t>
  </si>
  <si>
    <t>RoU, EoY</t>
  </si>
  <si>
    <t>Intangibles, BoY</t>
  </si>
  <si>
    <t>Intangibles, EoY</t>
  </si>
  <si>
    <t>Less: Amortisation</t>
  </si>
  <si>
    <t>Of which PPE additions</t>
  </si>
  <si>
    <t>Of which intangibles additions</t>
  </si>
  <si>
    <t>Capex/D&amp;A (ex. leases)</t>
  </si>
  <si>
    <t>Rate on cash %</t>
  </si>
  <si>
    <t>Term loan 75m</t>
  </si>
  <si>
    <t>Term loan A2</t>
  </si>
  <si>
    <t>EURIBOR 6m, EoY</t>
  </si>
  <si>
    <t>Other interest expense</t>
  </si>
  <si>
    <t>Calculated P&amp;L tax</t>
  </si>
  <si>
    <t>Tax rate %</t>
  </si>
  <si>
    <t>Difference</t>
  </si>
  <si>
    <t>Extraordinary DPS</t>
  </si>
  <si>
    <t>Total DPS (declared)</t>
  </si>
  <si>
    <t>Total dividend (declared)</t>
  </si>
  <si>
    <t>Add: Amortisation (ex. license amort.)</t>
  </si>
  <si>
    <t>Interest payment</t>
  </si>
  <si>
    <t>Tax payment</t>
  </si>
  <si>
    <t>Leases payment</t>
  </si>
  <si>
    <t>Dividend payment</t>
  </si>
  <si>
    <t>Minority revenue</t>
  </si>
  <si>
    <t>Minority EBITDA</t>
  </si>
  <si>
    <t>ANTEC Servicepool</t>
  </si>
  <si>
    <t>Kabelfernsehen (minority purchase)</t>
  </si>
  <si>
    <t>BBcom</t>
  </si>
  <si>
    <t>Non-controlling interest</t>
  </si>
  <si>
    <t>EBITDA attributed to non-controlling interest</t>
  </si>
  <si>
    <t>Other non-current assets</t>
  </si>
  <si>
    <t>Other current liabilities</t>
  </si>
  <si>
    <t>Other non-current liabilities</t>
  </si>
  <si>
    <t>Shares in issue, EoY</t>
  </si>
  <si>
    <t>Shares in issue, AoY</t>
  </si>
  <si>
    <t>Of which leases</t>
  </si>
  <si>
    <t>Method</t>
  </si>
  <si>
    <t>Homes connected - own network - two-way upgraded %</t>
  </si>
  <si>
    <t>Homes connected - foreign network - two-way upgraded %</t>
  </si>
  <si>
    <t>Of which lease liabilities</t>
  </si>
  <si>
    <t>Lease adjustment</t>
  </si>
  <si>
    <t>Lease payments</t>
  </si>
  <si>
    <t>Add: Tax benefit</t>
  </si>
  <si>
    <t>Years to terminal year</t>
  </si>
  <si>
    <t>NPV of leases</t>
  </si>
  <si>
    <t>Short-term debt</t>
  </si>
  <si>
    <t>Long-term debt</t>
  </si>
  <si>
    <t>Effective rate %</t>
  </si>
  <si>
    <t>Gross debt, EoY</t>
  </si>
  <si>
    <t>Cash, EoY</t>
  </si>
  <si>
    <t>Net Debt, EoY</t>
  </si>
  <si>
    <t>Lease liabilities</t>
  </si>
  <si>
    <t>Add: Minorities</t>
  </si>
  <si>
    <t>Add: Net debt</t>
  </si>
  <si>
    <t>Add: Lease liabilities</t>
  </si>
  <si>
    <t>Add: Contingent liability</t>
  </si>
  <si>
    <t>Add: Pension liabilty</t>
  </si>
  <si>
    <t>Less: Tax credits</t>
  </si>
  <si>
    <t>Less: Cumulative dividends</t>
  </si>
  <si>
    <t>EV at target</t>
  </si>
  <si>
    <t>Plus: Tax savings</t>
  </si>
  <si>
    <t>Less: Pension obligation</t>
  </si>
  <si>
    <t>Net Debt (incl. leases)</t>
  </si>
  <si>
    <t>Q1 20</t>
  </si>
  <si>
    <t>Q2 20</t>
  </si>
  <si>
    <t>Q3 20</t>
  </si>
  <si>
    <t xml:space="preserve">
FY '22E</t>
  </si>
  <si>
    <t>Q2 '19</t>
  </si>
  <si>
    <t>Q3 '19</t>
  </si>
  <si>
    <t>Q4 '19</t>
  </si>
  <si>
    <t xml:space="preserve">
FY '19</t>
  </si>
  <si>
    <t>Q1 '20E</t>
  </si>
  <si>
    <t>Q2 '20E</t>
  </si>
  <si>
    <t>Q3 '20E</t>
  </si>
  <si>
    <t>Q4 '20E</t>
  </si>
  <si>
    <t>Total internet &amp; telephony revenue</t>
  </si>
  <si>
    <t>Retail</t>
  </si>
  <si>
    <t>Wholesale</t>
  </si>
  <si>
    <t>Wholesale subscribers</t>
  </si>
  <si>
    <t>Blended TV ARPU (per CATV sub)</t>
  </si>
  <si>
    <t>Modelled revenue</t>
  </si>
  <si>
    <t>Wholesale ARPU</t>
  </si>
  <si>
    <t>Share %</t>
  </si>
  <si>
    <t>O2D broadband subscribers, EoY</t>
  </si>
  <si>
    <t>O2D broadband subscribers on TCOL, EoY</t>
  </si>
  <si>
    <t>1Q20</t>
  </si>
  <si>
    <t>Tax paid</t>
  </si>
  <si>
    <t>Leases paid (ex. interest)</t>
  </si>
  <si>
    <t>Contruction revenue</t>
  </si>
  <si>
    <t>Other revenue ex. construction</t>
  </si>
  <si>
    <t>RCF</t>
  </si>
  <si>
    <t>RCF/ Term loan</t>
  </si>
  <si>
    <t>Total revenue ex. construction</t>
  </si>
  <si>
    <t>Terminal multiple</t>
  </si>
  <si>
    <t>Less: Net debt, 2021</t>
  </si>
  <si>
    <t>Less: Lease liability, 2021</t>
  </si>
  <si>
    <t>3Q20</t>
  </si>
  <si>
    <t>TCOL, €m</t>
  </si>
  <si>
    <t>Internet adds</t>
  </si>
  <si>
    <t>TV adds</t>
  </si>
  <si>
    <t>2Q20</t>
  </si>
  <si>
    <t>Trends, YoY</t>
  </si>
  <si>
    <t>EBITDA ex. strategic review costs</t>
  </si>
  <si>
    <t>Strategic review costs</t>
  </si>
  <si>
    <t>Tele Columbus Oct20.xlsx</t>
  </si>
  <si>
    <t>Last updated: 2 Dec 2020</t>
  </si>
  <si>
    <t>4Q20</t>
  </si>
  <si>
    <t>Q1 21</t>
  </si>
  <si>
    <t>Q2 21</t>
  </si>
  <si>
    <t>Q3 21</t>
  </si>
  <si>
    <t>Q4 21</t>
  </si>
  <si>
    <t>Q1 22</t>
  </si>
  <si>
    <t>Q2 22</t>
  </si>
  <si>
    <t>Q3 22</t>
  </si>
  <si>
    <t>Q4 22</t>
  </si>
  <si>
    <t>Q1 23</t>
  </si>
  <si>
    <t>Q2 23</t>
  </si>
  <si>
    <t>Two-way upgraded homes - own network (as % of homes connected)</t>
  </si>
  <si>
    <t>B2B</t>
  </si>
  <si>
    <t>Network Infrastruture</t>
  </si>
  <si>
    <t>End customer-related capex (incl B2B)</t>
  </si>
  <si>
    <t>IT &amp; Operations</t>
  </si>
  <si>
    <t>Own-work capitalised</t>
  </si>
  <si>
    <t>Current interest-bearing liabilities</t>
  </si>
  <si>
    <t>Non-current interest-bearing liabilities</t>
  </si>
  <si>
    <t>Cash &amp; cash equivalents</t>
  </si>
  <si>
    <t>Leverage¹</t>
  </si>
  <si>
    <t>Finance leases</t>
  </si>
  <si>
    <t>Net debt (incl. finance leases)</t>
  </si>
  <si>
    <t>Unsustainable debt</t>
  </si>
  <si>
    <t>Net debt (incl. finance leases and unsustainable debt)</t>
  </si>
  <si>
    <t xml:space="preserve">1) Leverage is calculated on LTM Normalized EBITDA                                                                                                                                                                                              </t>
  </si>
  <si>
    <t>Reported Net income</t>
  </si>
  <si>
    <t>Leases</t>
  </si>
  <si>
    <t>Less: lease dpereciation</t>
  </si>
  <si>
    <t>Less: Spectrum</t>
  </si>
  <si>
    <t>PBT</t>
  </si>
  <si>
    <t xml:space="preserve">Tax </t>
  </si>
  <si>
    <t>Gross debt</t>
  </si>
  <si>
    <t>Less: Tax</t>
  </si>
  <si>
    <t>Less: NWC</t>
  </si>
  <si>
    <t>OCF</t>
  </si>
  <si>
    <t>Less: Cash distribution to shareholders</t>
  </si>
  <si>
    <t>old</t>
  </si>
  <si>
    <t>Indirect opex</t>
  </si>
  <si>
    <t>Cash capex</t>
  </si>
  <si>
    <t xml:space="preserve"> of which: Bulk RGUs</t>
  </si>
  <si>
    <t>Cash OpFCF</t>
  </si>
  <si>
    <t>Cash capex from 20</t>
  </si>
  <si>
    <t>Indirect OpEx</t>
  </si>
  <si>
    <t>Gross Margin</t>
  </si>
  <si>
    <t>Gross Profit</t>
  </si>
  <si>
    <t>As % of Revs</t>
  </si>
  <si>
    <t>Cost of materials</t>
  </si>
  <si>
    <t>Years</t>
  </si>
  <si>
    <t>Equity headroom</t>
  </si>
  <si>
    <t>Adj EBITDA</t>
  </si>
  <si>
    <t>Cash interest</t>
  </si>
  <si>
    <t>NWC</t>
  </si>
  <si>
    <t>1Q21</t>
  </si>
  <si>
    <t>2Q21</t>
  </si>
  <si>
    <t>3Q21</t>
  </si>
  <si>
    <t>4Q21</t>
  </si>
  <si>
    <t>1Q22</t>
  </si>
  <si>
    <t>2Q22</t>
  </si>
  <si>
    <t>3Q22</t>
  </si>
  <si>
    <t>4Q22</t>
  </si>
  <si>
    <t>Less: Repayment of lease liablliites</t>
  </si>
  <si>
    <t>Internet RGU % of TV RGU</t>
  </si>
  <si>
    <t>capex/sales</t>
  </si>
  <si>
    <t>from presentation</t>
  </si>
  <si>
    <t>with win backs added</t>
  </si>
  <si>
    <t>Base case capex</t>
  </si>
  <si>
    <t>Alternative capex</t>
  </si>
  <si>
    <t>New FCF</t>
  </si>
  <si>
    <t>Net financial debt</t>
  </si>
  <si>
    <t>Net Debt / Normalised EBITDAaL</t>
  </si>
  <si>
    <t>Base case</t>
  </si>
  <si>
    <t>Net finanical debt</t>
  </si>
  <si>
    <t>Clean EBITDAal</t>
  </si>
  <si>
    <t>ND/Clean EBITDAal</t>
  </si>
  <si>
    <t>Perpetual FCF g</t>
  </si>
  <si>
    <t>Implied exit FCF multiple</t>
  </si>
  <si>
    <t>As % of EV</t>
  </si>
  <si>
    <t>Asset pre debt</t>
  </si>
  <si>
    <t>Beauty parade - PJT, Moelis, Houlihan</t>
  </si>
  <si>
    <t>IBR - to determine appropriate cap structure</t>
  </si>
  <si>
    <t>4-4.5x leverage 1st lien</t>
  </si>
  <si>
    <t>€300-500m equity, €100m paydown, €100-200m committed equity</t>
  </si>
  <si>
    <t>UI less keen to put in new equity</t>
  </si>
  <si>
    <t>MS looking to shop equity around</t>
  </si>
  <si>
    <t>Lower capex scenario</t>
  </si>
  <si>
    <t>No longer reported</t>
  </si>
  <si>
    <t>Loss since 2021:</t>
  </si>
  <si>
    <t>Tele Columbus, €m</t>
  </si>
  <si>
    <t>FTTB</t>
  </si>
  <si>
    <t>FTTH</t>
  </si>
  <si>
    <t>DOCSIS3.1</t>
  </si>
  <si>
    <t>DOCSIS3.0</t>
  </si>
  <si>
    <t>Homes connected - foreign network</t>
  </si>
  <si>
    <t>Accrued PIK interest</t>
  </si>
  <si>
    <t>Q3 23</t>
  </si>
  <si>
    <t>Term Loan A3</t>
  </si>
  <si>
    <t>Equity contribution</t>
  </si>
  <si>
    <t>Reduction in Net Debt AL</t>
  </si>
  <si>
    <t>Less: Cash</t>
  </si>
  <si>
    <t>Lease expense</t>
  </si>
  <si>
    <t>Adj. OpFCF AL</t>
  </si>
  <si>
    <t>Net Debt / Adj. EBITDA AL</t>
  </si>
  <si>
    <t>2022-28</t>
  </si>
  <si>
    <t>Equity contributions</t>
  </si>
  <si>
    <t>Company plan</t>
  </si>
  <si>
    <t>Broadband subs</t>
  </si>
  <si>
    <t>Interest payments*</t>
  </si>
  <si>
    <t xml:space="preserve">Retail </t>
  </si>
  <si>
    <t>Upgraded homes passed</t>
  </si>
  <si>
    <t>Internet &amp; Telephony ARPU (Retail)</t>
  </si>
  <si>
    <t>2018-22</t>
  </si>
  <si>
    <t>* Excludes PIK interest.</t>
  </si>
  <si>
    <t>Company targets</t>
  </si>
  <si>
    <t>OpFCF AL</t>
  </si>
  <si>
    <t>Tax %</t>
  </si>
  <si>
    <t>FCF AL</t>
  </si>
  <si>
    <t>TGR</t>
  </si>
  <si>
    <t>EV AL</t>
  </si>
  <si>
    <t>Asset value</t>
  </si>
  <si>
    <t>Committed equity in 2024</t>
  </si>
  <si>
    <t>Value available to bondholders.</t>
  </si>
  <si>
    <t>Term Loan facility</t>
  </si>
  <si>
    <t>Assume 100% of face value as senior to the Notes</t>
  </si>
  <si>
    <t>Network capex</t>
  </si>
  <si>
    <t>Other capex</t>
  </si>
  <si>
    <t>% diff from</t>
  </si>
  <si>
    <t>plan</t>
  </si>
  <si>
    <t>2021-2023E</t>
  </si>
  <si>
    <t>Implied opex</t>
  </si>
  <si>
    <t>Total revenues</t>
  </si>
  <si>
    <t>2023E-2028E</t>
  </si>
  <si>
    <t>2028E</t>
  </si>
  <si>
    <t>2023-2028E</t>
  </si>
  <si>
    <t>NPV of FCF from 2024 onwards + terminal tax credit</t>
  </si>
  <si>
    <t>Homes deployed with FTTB/ FTTH from 2023-28</t>
  </si>
  <si>
    <t>FTTH/ FTTB capex at €650 per home passed</t>
  </si>
  <si>
    <t>Average over 5 years</t>
  </si>
  <si>
    <t>HA volumes</t>
  </si>
  <si>
    <t>Loss from 2023 as % of Has</t>
  </si>
  <si>
    <t>1Q23</t>
  </si>
  <si>
    <t>2Q23</t>
  </si>
  <si>
    <t>3Q23</t>
  </si>
  <si>
    <t>Low capex scenario</t>
  </si>
  <si>
    <t>2026E</t>
  </si>
  <si>
    <t>2027E</t>
  </si>
  <si>
    <t>Asset value*</t>
  </si>
  <si>
    <t>€650m face value, trading at 63c.</t>
  </si>
  <si>
    <t>Asset coverage %</t>
  </si>
  <si>
    <t>Face value of debt</t>
  </si>
  <si>
    <t>Low capex scenario + VOD synergies</t>
  </si>
  <si>
    <t>EV/ EBITDAaL</t>
  </si>
  <si>
    <t xml:space="preserve"> - of which FTTH</t>
  </si>
  <si>
    <t xml:space="preserve"> - of which FTTB</t>
  </si>
  <si>
    <t xml:space="preserve"> - of which HFC</t>
  </si>
  <si>
    <t xml:space="preserve"> - of which DOCSIS3.1</t>
  </si>
  <si>
    <t>Q4 23</t>
  </si>
  <si>
    <t>Accrued capex</t>
  </si>
  <si>
    <t xml:space="preserve"> - of which FTTH capex</t>
  </si>
  <si>
    <t>TV losses</t>
  </si>
  <si>
    <t>Internet subs target</t>
  </si>
  <si>
    <t>NSR 2028</t>
  </si>
  <si>
    <t>Per annum</t>
  </si>
  <si>
    <t>Annual net adds</t>
  </si>
  <si>
    <t xml:space="preserve"> - of which CPE/ SAC (incl. company target)</t>
  </si>
  <si>
    <t xml:space="preserve"> - of which other</t>
  </si>
  <si>
    <t>Company target</t>
  </si>
  <si>
    <t>Cash capex in cashflow statement</t>
  </si>
  <si>
    <t>Total, 2020-23</t>
  </si>
  <si>
    <t>€ m</t>
  </si>
  <si>
    <t>Other/ working capital</t>
  </si>
  <si>
    <t>Other debt/ accrued interest</t>
  </si>
  <si>
    <t>Shareholder loan</t>
  </si>
  <si>
    <t>Net Debt AL (excl. accrued interest)</t>
  </si>
  <si>
    <t>Gross third-party debt (face value)</t>
  </si>
  <si>
    <t>Accrued interest</t>
  </si>
  <si>
    <t>Net debt incl. accrued interest</t>
  </si>
  <si>
    <t>Net Debt (ex accrued interest) / Adj. EBITDA AL</t>
  </si>
  <si>
    <t>Face value of third-party debt</t>
  </si>
  <si>
    <t>Broadband subsribers</t>
  </si>
  <si>
    <t>New forecast</t>
  </si>
  <si>
    <t>Broadband penetration %</t>
  </si>
  <si>
    <t>Prior forecast</t>
  </si>
  <si>
    <t>Cash and equivalents</t>
  </si>
  <si>
    <t>2-way homes on own network</t>
  </si>
  <si>
    <t xml:space="preserve"> - of which FTTH capable</t>
  </si>
  <si>
    <t>Left to address</t>
  </si>
  <si>
    <t>Homes (000s)</t>
  </si>
  <si>
    <t>Management plan</t>
  </si>
  <si>
    <t>* Including €300m of equity contribution offset by €65 shareholder loan repayment</t>
  </si>
  <si>
    <t>4Q23</t>
  </si>
  <si>
    <t>Homes connected - two-way upgraded (incl. foreign network)</t>
  </si>
  <si>
    <t>Q1 24</t>
  </si>
  <si>
    <t>Q2 24</t>
  </si>
  <si>
    <t>Q3 24</t>
  </si>
  <si>
    <t>Q4 24</t>
  </si>
  <si>
    <t>1Q24</t>
  </si>
  <si>
    <t>Germany (EURm)</t>
  </si>
  <si>
    <t>Fixed revenue</t>
  </si>
  <si>
    <t>Fixed EBITDA</t>
  </si>
  <si>
    <t>Fixed capex</t>
  </si>
  <si>
    <t>Beatrice v2 Working</t>
  </si>
  <si>
    <t>Lease Payments</t>
  </si>
  <si>
    <t>Mobile service revenue</t>
  </si>
  <si>
    <t>Mobile EBITDA</t>
  </si>
  <si>
    <t>Mobile capex</t>
  </si>
  <si>
    <t>EBITDAal</t>
  </si>
  <si>
    <t>Cash net interest</t>
  </si>
  <si>
    <t>OCF (OpFCF less NWC less interest less tax)</t>
  </si>
  <si>
    <t>CF spectrum payment</t>
  </si>
  <si>
    <t>CF buyback</t>
  </si>
  <si>
    <t>CF dividends (inc special)</t>
  </si>
  <si>
    <t>CF other leases</t>
  </si>
  <si>
    <t>CF M&amp;A</t>
  </si>
  <si>
    <t>CF Other (to plug to change in ND)</t>
  </si>
  <si>
    <t>FCF - Change in net debt</t>
  </si>
  <si>
    <t>Net debt (inc leases)</t>
  </si>
  <si>
    <t>Net debt ex leases</t>
  </si>
  <si>
    <t>Adjustment to mkt cap for EFCF</t>
  </si>
  <si>
    <t>Spectrum for ROIC calc (domestic)</t>
  </si>
  <si>
    <t>Net interest rate</t>
  </si>
  <si>
    <t>Domestic</t>
  </si>
  <si>
    <t>B2C SR</t>
  </si>
  <si>
    <t>B2C revs</t>
  </si>
  <si>
    <t>B2B SR</t>
  </si>
  <si>
    <t>B2B revs</t>
  </si>
  <si>
    <t>Wholesale revs</t>
  </si>
  <si>
    <t>SR inc wholesale</t>
  </si>
  <si>
    <t>SR ex wholesale</t>
  </si>
  <si>
    <t>FCF (EBITDA-capex-tax)</t>
  </si>
  <si>
    <t>Licence NAV for ROIC calc</t>
  </si>
  <si>
    <t>F-M split</t>
  </si>
  <si>
    <t>Mobile SR</t>
  </si>
  <si>
    <t>Fixed SR</t>
  </si>
  <si>
    <t>Postpaid SIMs</t>
  </si>
  <si>
    <t>Prepaid SIMs</t>
  </si>
  <si>
    <t>Fixed broadband subs</t>
  </si>
  <si>
    <t>Fibre subs</t>
  </si>
  <si>
    <t>No of Households for fibre roll analysis (i.e might include some B2B/2nd homes)</t>
  </si>
  <si>
    <t>FTTx Homes passed</t>
  </si>
  <si>
    <t>FTTx Homes passed, %</t>
  </si>
  <si>
    <t>Fibre capex (HP, connection)</t>
  </si>
  <si>
    <t>Cost to pass</t>
  </si>
  <si>
    <t>Cost to connect</t>
  </si>
  <si>
    <t>Cost per home connected</t>
  </si>
  <si>
    <t>Total country fibre HP (incumbent + other)</t>
  </si>
  <si>
    <t>mobile capex</t>
  </si>
  <si>
    <t>Implied foreign network (2-way upgraded)</t>
  </si>
  <si>
    <t>Homes connected (own network)</t>
  </si>
  <si>
    <t>Own-network two way upgraded + total foreign network</t>
  </si>
  <si>
    <t>Implied other</t>
  </si>
  <si>
    <t>Bulk RGUs</t>
  </si>
  <si>
    <t>Individual contracts</t>
  </si>
  <si>
    <t>Premium TV as % of TV subs</t>
  </si>
  <si>
    <t>Net change since 2023</t>
  </si>
  <si>
    <t>FTTH homes passed</t>
  </si>
  <si>
    <t>Aggregate FTTH capex per home passed</t>
  </si>
  <si>
    <t xml:space="preserve"> - base line network capex</t>
  </si>
  <si>
    <t>FTTH capex per home passed</t>
  </si>
  <si>
    <t>Follow up questions</t>
  </si>
  <si>
    <t>Cash capex vs. accrued capex</t>
  </si>
  <si>
    <t>Churn estimate</t>
  </si>
  <si>
    <t>Gross internet adds</t>
  </si>
  <si>
    <t>Internet SAC per gross add</t>
  </si>
  <si>
    <t>Internet SACs (€m)</t>
  </si>
  <si>
    <t>Retail internet</t>
  </si>
  <si>
    <t>Wholesale internet</t>
  </si>
  <si>
    <t>Other SACs</t>
  </si>
  <si>
    <t>Total SACs (€m)</t>
  </si>
  <si>
    <t>CPE</t>
  </si>
  <si>
    <t>Definition of IP penetration?</t>
  </si>
  <si>
    <t>Retail penetration of two-way homes</t>
  </si>
  <si>
    <t>Wholesale penetration of two way homes</t>
  </si>
  <si>
    <t>Change in retail penetration</t>
  </si>
  <si>
    <t>Change in wholesale penetration</t>
  </si>
  <si>
    <t>How much wholesale business expected in non-FTTH homes?</t>
  </si>
  <si>
    <t>Less: leases</t>
  </si>
  <si>
    <t>Less: capex</t>
  </si>
  <si>
    <t>Less: one-offs</t>
  </si>
  <si>
    <t>Reported net debt</t>
  </si>
  <si>
    <t>Net Debt (ex-accrued interest)</t>
  </si>
  <si>
    <t>Movement in net debt in Q1</t>
  </si>
  <si>
    <t>Interest in Q1</t>
  </si>
  <si>
    <t>Interest on new loans</t>
  </si>
  <si>
    <t>Total cash interest payments</t>
  </si>
  <si>
    <t>PIK accrual (non--cash)</t>
  </si>
  <si>
    <t>Cash payment on PIK settlement</t>
  </si>
  <si>
    <t>Tax rate - never to pay tax under current structure</t>
  </si>
  <si>
    <t>Less: cash capex</t>
  </si>
  <si>
    <t>Movement in net debt</t>
  </si>
  <si>
    <t>Increase in net debt</t>
  </si>
  <si>
    <t>NetCo, €m</t>
  </si>
  <si>
    <t>Retail broadband customers</t>
  </si>
  <si>
    <t>Wholesale broadband customers</t>
  </si>
  <si>
    <t>TV customers</t>
  </si>
  <si>
    <t>Internet by non-TV subs</t>
  </si>
  <si>
    <t>Internet as % of unique subs base</t>
  </si>
  <si>
    <t>TV only customers</t>
  </si>
  <si>
    <t>Implied TV customers not taking internet</t>
  </si>
  <si>
    <t>Wholesale rates</t>
  </si>
  <si>
    <t>TV customer</t>
  </si>
  <si>
    <t>Wholesale broadband customer (Level 4)</t>
  </si>
  <si>
    <t>Retail internet net adds</t>
  </si>
  <si>
    <t>Retail broadband customer DOCSIS/ FTTB</t>
  </si>
  <si>
    <t>Retail FTTH subscribers</t>
  </si>
  <si>
    <t>As % of network</t>
  </si>
  <si>
    <t>As % of retail subs</t>
  </si>
  <si>
    <t>Gap</t>
  </si>
  <si>
    <t>DOCSIS/ FTTB revenues</t>
  </si>
  <si>
    <t>Retail FTTH revenues (Level 3/ 4)</t>
  </si>
  <si>
    <t>TV revenues</t>
  </si>
  <si>
    <t>Wholesale FTTH (Level 4) revenues</t>
  </si>
  <si>
    <t>NetCo revenues</t>
  </si>
  <si>
    <t>Implied OpCo EBITDA</t>
  </si>
  <si>
    <t>Implied OpCo capex</t>
  </si>
  <si>
    <t>Implied OpCo OpFCF</t>
  </si>
  <si>
    <t>Implied OpCo revenues</t>
  </si>
  <si>
    <t>Capex/ sales</t>
  </si>
  <si>
    <t>NetCo opex</t>
  </si>
  <si>
    <t>Debt allocated to NetCo</t>
  </si>
  <si>
    <t>Net debt/ EBITDA</t>
  </si>
  <si>
    <t>Less: one-offs (50% to NetCo)</t>
  </si>
  <si>
    <t>NetCo EBITDA</t>
  </si>
  <si>
    <t>NetCo OpFCF</t>
  </si>
  <si>
    <t>Net debt/ EBITDAaL</t>
  </si>
  <si>
    <t>DCF, €m</t>
  </si>
  <si>
    <t>NetCo DCF, €m</t>
  </si>
  <si>
    <t>NetCo interest costs</t>
  </si>
  <si>
    <t>Less: tax</t>
  </si>
  <si>
    <t>OpCo interest costs</t>
  </si>
  <si>
    <t>Debt allocated to OpCo</t>
  </si>
  <si>
    <t>NetCo interest rate</t>
  </si>
  <si>
    <t>OpCo interest rate</t>
  </si>
  <si>
    <t>Homes connected (2-way own network)</t>
  </si>
  <si>
    <t>Retail Internet subscribers</t>
  </si>
  <si>
    <t>Wholesale Internet subscribers</t>
  </si>
  <si>
    <t>Wholesale penetration of 2-way homes</t>
  </si>
  <si>
    <t xml:space="preserve"> - of which FTTH upgraded</t>
  </si>
  <si>
    <t>Total Level 4 penetration</t>
  </si>
  <si>
    <t>Premium as % of total</t>
  </si>
  <si>
    <t>Core KPIs, 000s</t>
  </si>
  <si>
    <t>Total Internet subscribers</t>
  </si>
  <si>
    <t>Key revenue drivers</t>
  </si>
  <si>
    <t>TV revenues (€m)</t>
  </si>
  <si>
    <t>TV ARPU (€)</t>
  </si>
  <si>
    <t>Retail Internet ARPU (€)</t>
  </si>
  <si>
    <t>Wholesale Internet ARPU (€)</t>
  </si>
  <si>
    <t>B2B/ Other revenues</t>
  </si>
  <si>
    <t>Total revenues (€m)</t>
  </si>
  <si>
    <t>Wholesale ARPUs, €</t>
  </si>
  <si>
    <t>HFC retail broadband customers (000s)</t>
  </si>
  <si>
    <t>Total unique customers (000s)</t>
  </si>
  <si>
    <t>NetCo revenues (€)</t>
  </si>
  <si>
    <t>Internet SAC per gross add (€)</t>
  </si>
  <si>
    <t>CPE (€m)</t>
  </si>
  <si>
    <t>FTTH Level 4 homes</t>
  </si>
  <si>
    <t>Homes passed in year</t>
  </si>
  <si>
    <t>FTTH capex/ home passed</t>
  </si>
  <si>
    <t>FTTH Level 4 capex</t>
  </si>
  <si>
    <t>Gross internet adds (000s)</t>
  </si>
  <si>
    <t>Other network capex</t>
  </si>
  <si>
    <t>Total capex (€m)</t>
  </si>
  <si>
    <t>NetCo EBITDA margin</t>
  </si>
  <si>
    <t>NetCo capex</t>
  </si>
  <si>
    <t>Cashflow split</t>
  </si>
  <si>
    <t>Group revenues</t>
  </si>
  <si>
    <t>NetCo</t>
  </si>
  <si>
    <t>OpCo EBITDA</t>
  </si>
  <si>
    <t>Less: OpCo capex</t>
  </si>
  <si>
    <t>OpCo OpFCF</t>
  </si>
  <si>
    <t>One offs</t>
  </si>
  <si>
    <t>Equity injection</t>
  </si>
  <si>
    <t>Accrued interest not yet paid</t>
  </si>
  <si>
    <t>Reported net debt (€m)</t>
  </si>
  <si>
    <t>Gross debt face value</t>
  </si>
  <si>
    <t>Tax losses</t>
  </si>
  <si>
    <t>Cumulative tax losses</t>
  </si>
  <si>
    <t>Terminal PBT assumption</t>
  </si>
  <si>
    <t>Terminal tax</t>
  </si>
  <si>
    <t>OpFCFaL</t>
  </si>
  <si>
    <t>FCFaL</t>
  </si>
  <si>
    <t>Tax loss carryforwards</t>
  </si>
  <si>
    <t>FTTH customers</t>
  </si>
  <si>
    <t>FTTH penetration</t>
  </si>
  <si>
    <t>% upgraded to FTTH Level 4</t>
  </si>
  <si>
    <t>Homes for DT Level 4 FTTH</t>
  </si>
  <si>
    <t>TCOL retail customers in DT areas</t>
  </si>
  <si>
    <t>% migrated to DT FTTH</t>
  </si>
  <si>
    <t>Migrated customers to DT wholesale</t>
  </si>
  <si>
    <t>Wholesale fees to DT (€m)</t>
  </si>
  <si>
    <t>Wholesale broadband customer (Level 3)</t>
  </si>
  <si>
    <t>- of which on DT FTTH</t>
  </si>
  <si>
    <t xml:space="preserve"> - of which own HFC</t>
  </si>
  <si>
    <t>- of which own FTTH</t>
  </si>
  <si>
    <t>Retail FTTH revenues (Level 3 only)</t>
  </si>
  <si>
    <t>Wholesale Level 4 FTTH fees to DT</t>
  </si>
  <si>
    <t>FTTH retail broadband customers (Level 3 only)</t>
  </si>
  <si>
    <t>Less: external wholesale revenues</t>
  </si>
  <si>
    <t xml:space="preserve"> - of which retail</t>
  </si>
  <si>
    <t xml:space="preserve"> - of which wholesale</t>
  </si>
  <si>
    <t>Retail Internet revenues (€m)</t>
  </si>
  <si>
    <t>Wholesale internet revenues (€m)</t>
  </si>
  <si>
    <t>Residual base</t>
  </si>
  <si>
    <t>Will stay as bulk contracts</t>
  </si>
  <si>
    <t>Remaining bulk contracts to migrate</t>
  </si>
  <si>
    <t>Retention rate</t>
  </si>
  <si>
    <t>Annualised revenue impact (€m)</t>
  </si>
  <si>
    <t>ARPU of lost TV customers (€)</t>
  </si>
  <si>
    <t>Total TV customer base decline in 2024</t>
  </si>
  <si>
    <t>Wholesale fees back to NetCo</t>
  </si>
  <si>
    <t>Gross profit for OpCo</t>
  </si>
  <si>
    <t>Implied other OpCo costs</t>
  </si>
  <si>
    <t>Less: NetCo capex</t>
  </si>
  <si>
    <t>Less: NetCo leases</t>
  </si>
  <si>
    <t>Less: OpCo leases</t>
  </si>
  <si>
    <t>Less; OpCo one-offs</t>
  </si>
  <si>
    <t>Lease savings</t>
  </si>
  <si>
    <t>Core NetCo capex saving</t>
  </si>
  <si>
    <t>OpCo SG&amp;A saving</t>
  </si>
  <si>
    <t>Netco opex savings</t>
  </si>
  <si>
    <t>OpFCF multiple</t>
  </si>
  <si>
    <t>Total pre-tax savings</t>
  </si>
  <si>
    <t>Synergies (€m)</t>
  </si>
  <si>
    <t>Paid to Telecolumbus</t>
  </si>
  <si>
    <t>Value upside for TeleColumbus</t>
  </si>
  <si>
    <t>Core EV</t>
  </si>
  <si>
    <t>Add: synergies</t>
  </si>
  <si>
    <t>Less: face value debt</t>
  </si>
  <si>
    <t>% saving</t>
  </si>
  <si>
    <t>Clean EBITDA</t>
  </si>
  <si>
    <t>Bond price</t>
  </si>
  <si>
    <t>Implied EV/ EBITDAaL</t>
  </si>
  <si>
    <t>EBITDAaL (€m)</t>
  </si>
  <si>
    <t>Implied market value of debt (€m)</t>
  </si>
  <si>
    <t>Debt price</t>
  </si>
  <si>
    <t>Asset cover on market price</t>
  </si>
  <si>
    <t>2Q24</t>
  </si>
  <si>
    <t>SAC (commissions and marketing)</t>
  </si>
  <si>
    <t>Direct costs</t>
  </si>
  <si>
    <t>Indirect costs</t>
  </si>
  <si>
    <t>Other income</t>
  </si>
  <si>
    <t>Internet Bulk</t>
  </si>
  <si>
    <t>Internet individual</t>
  </si>
  <si>
    <t>Internet bulk</t>
  </si>
  <si>
    <t>TV subs</t>
  </si>
  <si>
    <t>FY23</t>
  </si>
  <si>
    <t>H1 24</t>
  </si>
  <si>
    <t>Bulk</t>
  </si>
  <si>
    <t>Individual/ PYUR</t>
  </si>
  <si>
    <t xml:space="preserve"> - of which sale of subs</t>
  </si>
  <si>
    <t>Underlying decline</t>
  </si>
  <si>
    <t>Likely to remain as bulk</t>
  </si>
  <si>
    <t>Overall change</t>
  </si>
  <si>
    <t>Core to be migrated</t>
  </si>
  <si>
    <t>TV customers sold</t>
  </si>
  <si>
    <t>Starting bulk customers</t>
  </si>
  <si>
    <t>Decline as % of base to be migrated</t>
  </si>
  <si>
    <t>"Target" decline of base to be migrated</t>
  </si>
  <si>
    <t>Potential add-back to come</t>
  </si>
  <si>
    <t>Change YoY €m)</t>
  </si>
  <si>
    <t>implied individual retail ARPU</t>
  </si>
  <si>
    <t>Cash normalised OpFCF</t>
  </si>
  <si>
    <t>Estimate of increase in accrual</t>
  </si>
  <si>
    <t xml:space="preserve"> - of which DT</t>
  </si>
  <si>
    <t>DT share of wholesale customers</t>
  </si>
  <si>
    <t>Broadband customer FTTH (Level 3 and 4)</t>
  </si>
  <si>
    <t>FTTH revenues (Level 3/ 4)</t>
  </si>
  <si>
    <t>External wholesale revenues non-DT</t>
  </si>
  <si>
    <t>External wholesale revenues from DT</t>
  </si>
  <si>
    <t>Total external wholesale revenues</t>
  </si>
  <si>
    <t>Implied blended wholesale ARPU</t>
  </si>
  <si>
    <t xml:space="preserve"> - of which leases</t>
  </si>
  <si>
    <t>Capex (ex-leases)</t>
  </si>
  <si>
    <t>OpFCF (pre-leases)</t>
  </si>
  <si>
    <t>Refinancing IFRS change</t>
  </si>
  <si>
    <t>Q2 24 gross debt</t>
  </si>
  <si>
    <t>Term loan face value</t>
  </si>
  <si>
    <t>SSN face value</t>
  </si>
  <si>
    <t>Shareholder loans</t>
  </si>
  <si>
    <t>Accrued interest on PIK</t>
  </si>
  <si>
    <t>Accounting</t>
  </si>
  <si>
    <t>Valuation purposes</t>
  </si>
  <si>
    <t>Q2 gross debt (valuation)</t>
  </si>
  <si>
    <t>Less: second tranche of equity</t>
  </si>
  <si>
    <t>Less: conversion of existing shareholder loans</t>
  </si>
  <si>
    <t>Pro-forma Q2 net debt</t>
  </si>
  <si>
    <t>Less: Q2 cash</t>
  </si>
  <si>
    <t>Note: remaining shareholder loans</t>
  </si>
  <si>
    <t>IFRS non-cash adjustment</t>
  </si>
  <si>
    <t>Penetration of Households (Two-way own network)</t>
  </si>
  <si>
    <t>Internet as % of own two-way homes</t>
  </si>
  <si>
    <t>Assumption for O2D</t>
  </si>
  <si>
    <t>Implied wholesale penetration of FTTH homes by other ISPs</t>
  </si>
  <si>
    <t>Retail Internet</t>
  </si>
  <si>
    <t>Wholesale Internet</t>
  </si>
  <si>
    <t>O2D share</t>
  </si>
  <si>
    <t>Retail penetration of two-way homes (individual)</t>
  </si>
  <si>
    <t>Individual penetration added</t>
  </si>
  <si>
    <t>% on FTTH</t>
  </si>
  <si>
    <t xml:space="preserve"> - of which non-DT FTTH</t>
  </si>
  <si>
    <t xml:space="preserve"> - of which TEF HFC</t>
  </si>
  <si>
    <t>Leases (assume 80% NetCo)</t>
  </si>
  <si>
    <t>Retail individual penetration of 2-way homes</t>
  </si>
  <si>
    <t>Transferred back to Vodafone</t>
  </si>
  <si>
    <t>Reported in H1</t>
  </si>
  <si>
    <t>Re-contracting to come in H2</t>
  </si>
  <si>
    <t>Q4 23 bulk TV customers (000s)</t>
  </si>
  <si>
    <t>Implied bulk TV customers lost</t>
  </si>
  <si>
    <t>End-2024 TV customers</t>
  </si>
  <si>
    <t>Total 2023 TV customers</t>
  </si>
  <si>
    <t xml:space="preserve"> - of which Individual retail subscribers</t>
  </si>
  <si>
    <t>Individual retail penetration of 2-way homes</t>
  </si>
  <si>
    <t>Wholesale peneration by TEF (HFC/ FTTH)</t>
  </si>
  <si>
    <t>Wholesale penetration of FTTH homes by other ISPs</t>
  </si>
  <si>
    <t>TV KPIs, 000s</t>
  </si>
  <si>
    <t>TV subs only</t>
  </si>
  <si>
    <t>Other ISP subscribers - Level 3/ Level 4 FTTH</t>
  </si>
  <si>
    <t>DT Level 4 FTTH</t>
  </si>
  <si>
    <t>Total wholesale subscribers</t>
  </si>
  <si>
    <t>Retail broadband customer DOCSIS</t>
  </si>
  <si>
    <t>TEF DOCSIS fee</t>
  </si>
  <si>
    <t>Blended wholesale ARPU</t>
  </si>
  <si>
    <t>Wholesale revenues (€m)</t>
  </si>
  <si>
    <t>Telefonica wholesale subscribers (000s)</t>
  </si>
  <si>
    <t>Level3/ Level 4 FTTH fee for other ISPs</t>
  </si>
  <si>
    <t>Level 3/ Level 4 customer FTTH</t>
  </si>
  <si>
    <t>DT broadband customer (Level 4 only)</t>
  </si>
  <si>
    <t>Less: leases (assume 80% at NetCo)</t>
  </si>
  <si>
    <t>NetCo OpFCFaL</t>
  </si>
  <si>
    <t>Movement in cash</t>
  </si>
  <si>
    <t>Net debt (excluding accrued interest)</t>
  </si>
  <si>
    <t>Aggregate cashflow, €m</t>
  </si>
  <si>
    <t>Less: IFRS debt adjustment</t>
  </si>
  <si>
    <t>"Valuation" net debt</t>
  </si>
  <si>
    <t>Market value of net debt</t>
  </si>
  <si>
    <t>Asset cover vs. market value of debt</t>
  </si>
  <si>
    <t>Individual retail Internet subs</t>
  </si>
  <si>
    <t>Retail Internet ARPU</t>
  </si>
  <si>
    <t>Level 3/ Level 4 FTTH broadband customers</t>
  </si>
  <si>
    <t>DT FTTH broadband customers (Level 4 only)</t>
  </si>
  <si>
    <t>Level 4 only FTTH fee (ie for DT)</t>
  </si>
  <si>
    <t>DOCSIS revenues</t>
  </si>
  <si>
    <t>NetCo cost/ broadband line</t>
  </si>
  <si>
    <t xml:space="preserve"> - of which external</t>
  </si>
  <si>
    <t xml:space="preserve"> - of which internal</t>
  </si>
  <si>
    <t>% difference in YoY growth</t>
  </si>
  <si>
    <t>% difference (absolute)</t>
  </si>
  <si>
    <t>Asset cover</t>
  </si>
  <si>
    <t>Spectrum renewal</t>
  </si>
  <si>
    <t>Implied FCF multiple</t>
  </si>
  <si>
    <t>Terminal value</t>
  </si>
  <si>
    <t>PV of TV</t>
  </si>
  <si>
    <t>Tax asset</t>
  </si>
  <si>
    <t>NPV of FCF</t>
  </si>
  <si>
    <t>HY Quarterly</t>
  </si>
  <si>
    <t>Debt refi</t>
  </si>
  <si>
    <t>3Q24</t>
  </si>
  <si>
    <t>Internet bulk RGUs</t>
  </si>
  <si>
    <t>"Active" pipeline (A+B+C)</t>
  </si>
  <si>
    <t>Open to build (A)</t>
  </si>
  <si>
    <t xml:space="preserve">Waiting for customer approval (B) </t>
  </si>
  <si>
    <t>Internal planning and approval processes ©</t>
  </si>
  <si>
    <t>FTTH ARPU</t>
  </si>
  <si>
    <t>Blended Internet/ telephony ARPU</t>
  </si>
  <si>
    <t>FTTH homes upgraded (Level 4)</t>
  </si>
  <si>
    <t>FTTH take-up</t>
  </si>
  <si>
    <t xml:space="preserve"> - of which Greenfield</t>
  </si>
  <si>
    <t xml:space="preserve"> - of which new build</t>
  </si>
  <si>
    <t>- of which housing upgrade</t>
  </si>
  <si>
    <t>Internet individual YoY</t>
  </si>
  <si>
    <t>Wholesale revenues</t>
  </si>
  <si>
    <t>Estimated wholesale ARPU</t>
  </si>
  <si>
    <t>Implied wholesale subscribers (k)</t>
  </si>
  <si>
    <t>Individual Internet subs</t>
  </si>
  <si>
    <t>Less: one-off items</t>
  </si>
  <si>
    <t>ND /LTM EBITDAaL</t>
  </si>
  <si>
    <t>ND/ LTM EBITDAaL (IFRS/ equity adjusted)</t>
  </si>
  <si>
    <t>Internet &amp; Telephony - retail</t>
  </si>
  <si>
    <t>Other revenue - incl. wholesale</t>
  </si>
  <si>
    <t>Interest lease payments</t>
  </si>
  <si>
    <t>Retail + wholesale Internet revenues (€m)</t>
  </si>
  <si>
    <t>Old TV revenues</t>
  </si>
  <si>
    <t>New TV revenues</t>
  </si>
  <si>
    <t>Old revenues</t>
  </si>
  <si>
    <t>New revenues</t>
  </si>
  <si>
    <t>New Internet revenues</t>
  </si>
  <si>
    <t>Old EBITDA</t>
  </si>
  <si>
    <t>New EBITDA</t>
  </si>
  <si>
    <t>Old capex (ex-leases)</t>
  </si>
  <si>
    <t>New capex (ex-leases)</t>
  </si>
  <si>
    <t>Old OpFCF</t>
  </si>
  <si>
    <t>New OpFCF</t>
  </si>
  <si>
    <t>Old Internet revs. (incl. w'sale)</t>
  </si>
  <si>
    <t>Old opex</t>
  </si>
  <si>
    <t>New opex</t>
  </si>
  <si>
    <t>Bulk TV</t>
  </si>
  <si>
    <t>Individual TV</t>
  </si>
  <si>
    <t>Bulk revenues</t>
  </si>
  <si>
    <t>Individual</t>
  </si>
  <si>
    <t>Bulk ARPU (assumed)</t>
  </si>
  <si>
    <t>TV ARPU (given by company)</t>
  </si>
  <si>
    <t>% YoY</t>
  </si>
  <si>
    <t>TV customers (000s)</t>
  </si>
  <si>
    <t>Individual ARPU (implied), €</t>
  </si>
  <si>
    <t>Net change in individual revenues from Q4 23</t>
  </si>
  <si>
    <t>Change from Q4 23</t>
  </si>
  <si>
    <t>Updated: 26 Nov 2024</t>
  </si>
  <si>
    <t>Average phasing in Q</t>
  </si>
  <si>
    <t>Q4 24E</t>
  </si>
  <si>
    <t>Q1 25E</t>
  </si>
  <si>
    <t>Q2 25E</t>
  </si>
  <si>
    <t>Q3 25E</t>
  </si>
  <si>
    <t>Q4 25E</t>
  </si>
  <si>
    <t>Q4 cashflow</t>
  </si>
  <si>
    <t>Increase in interest accrual</t>
  </si>
  <si>
    <t>Equity injection by MSIP</t>
  </si>
  <si>
    <t>Q4 net debt (reported)</t>
  </si>
  <si>
    <t>Q3 23 net debt (reported)</t>
  </si>
  <si>
    <t>Term Loan</t>
  </si>
  <si>
    <t>SSN</t>
  </si>
  <si>
    <t>Add: accrued interest</t>
  </si>
  <si>
    <t>Q4 gross debt</t>
  </si>
  <si>
    <t>Total gross debt Q3</t>
  </si>
  <si>
    <t>Less: shareholder loan cancellation</t>
  </si>
  <si>
    <t>2025 cashflow</t>
  </si>
  <si>
    <t>New financing in 2025</t>
  </si>
  <si>
    <t>Implied Q4 24 cash</t>
  </si>
  <si>
    <t>Implied end 2025 cash</t>
  </si>
  <si>
    <t>(incl. cash interest expense, but not accrued interest)</t>
  </si>
  <si>
    <t xml:space="preserve"> - Retail</t>
  </si>
  <si>
    <t>- Wholesale</t>
  </si>
  <si>
    <t>Sell: ServCo</t>
  </si>
  <si>
    <t>Settle PIK interest</t>
  </si>
  <si>
    <t>EOP gross debt</t>
  </si>
  <si>
    <t>EOP cash</t>
  </si>
  <si>
    <t>Interest rate on re-fi NetCo debt</t>
  </si>
  <si>
    <t>Interest costs</t>
  </si>
  <si>
    <t>Cash (base case)</t>
  </si>
  <si>
    <t>Incremental equity injection</t>
  </si>
  <si>
    <t>Incremental debt raise</t>
  </si>
  <si>
    <t>ServCo 2025 EBITDAaL</t>
  </si>
  <si>
    <t>ServCo EV</t>
  </si>
  <si>
    <t>€ m - Base case</t>
  </si>
  <si>
    <t>€ m - lower FTTH rollout</t>
  </si>
  <si>
    <t>Scale back of FTTH build</t>
  </si>
  <si>
    <t>Lower 3rd-party wholesale</t>
  </si>
  <si>
    <t>Lower NetCo EBITDA</t>
  </si>
  <si>
    <t>Base case NetCo capex</t>
  </si>
  <si>
    <t>Reduced FTTH spend</t>
  </si>
  <si>
    <t>Revised NetCo revenues</t>
  </si>
  <si>
    <t>Base case EBITDA margin</t>
  </si>
  <si>
    <t>Less opex saving lower margin</t>
  </si>
  <si>
    <t>Less: net debt</t>
  </si>
  <si>
    <t>B2B revenues</t>
  </si>
  <si>
    <t>Gross margin</t>
  </si>
  <si>
    <t>Less: B2B</t>
  </si>
  <si>
    <t>Net debt, 2025 + accrued</t>
  </si>
  <si>
    <t>Repay bondholders</t>
  </si>
  <si>
    <t>Gross debt (ex-accrued PIK interest, IFRS adj.)</t>
  </si>
  <si>
    <t>ServCo</t>
  </si>
  <si>
    <t>ServCo wholesale costs</t>
  </si>
  <si>
    <t>ServCo gross profit</t>
  </si>
  <si>
    <t>Less: other ServCo costs</t>
  </si>
  <si>
    <t>ServCo EBITDA</t>
  </si>
  <si>
    <t>Less ServCo leases</t>
  </si>
  <si>
    <t>Less: one-offs (50% to ServCo)</t>
  </si>
  <si>
    <t>ServCo revenues</t>
  </si>
  <si>
    <t>ServCo EBITDA margin</t>
  </si>
  <si>
    <t>ServCo DCF, €m</t>
  </si>
  <si>
    <t>(+) ServCo proceeds</t>
  </si>
  <si>
    <t>(−) Repay bondholders €200m</t>
  </si>
  <si>
    <t>Cash pro forma</t>
  </si>
  <si>
    <t>Gross debt (base case)</t>
  </si>
  <si>
    <t>Gross debt pro forma</t>
  </si>
  <si>
    <t>Less: NetCo one-offs</t>
  </si>
  <si>
    <t>Gross debt, EoP</t>
  </si>
  <si>
    <t>Cash, EoP</t>
  </si>
  <si>
    <t>(−) Settle PIK interest to 2025</t>
  </si>
  <si>
    <t>Required financing</t>
  </si>
  <si>
    <t>Retail broadband customer (Level 3 only, as in DT FTTH MDU)</t>
  </si>
  <si>
    <t>Retail FTTH revenues (Level 3 only in DT FTTH MDU)</t>
  </si>
  <si>
    <t>Wholesale FTTH (Level 4) revenues (ie from DT retail)</t>
  </si>
  <si>
    <t>ServCo gross margin</t>
  </si>
  <si>
    <t>ServCo OpFCFaL</t>
  </si>
  <si>
    <t>OpCo ARPU</t>
  </si>
  <si>
    <t>Unique retail subscribers</t>
  </si>
  <si>
    <t xml:space="preserve"> - from TV</t>
  </si>
  <si>
    <t>- from broadband</t>
  </si>
  <si>
    <t>Gross profit per sub</t>
  </si>
  <si>
    <t>Gross profit per broadband sub</t>
  </si>
  <si>
    <t>Broadband gross profit / sub</t>
  </si>
  <si>
    <t xml:space="preserve"> - gross profit from TV</t>
  </si>
  <si>
    <t xml:space="preserve"> - gross profit from broadband</t>
  </si>
  <si>
    <t xml:space="preserve"> - of which TV/ other</t>
  </si>
  <si>
    <t xml:space="preserve"> - of which broadband</t>
  </si>
  <si>
    <t>Broadband ARPU</t>
  </si>
  <si>
    <t>Broadband wholesale cost/ sub</t>
  </si>
  <si>
    <t>Wholesale cost per sub (incl. TV)</t>
  </si>
  <si>
    <t>Broadband only cost per sub</t>
  </si>
  <si>
    <t>Less: ServCo capex (95% SAC/ CPE)</t>
  </si>
  <si>
    <t>Less: base case net debt + accrued interest</t>
  </si>
  <si>
    <t>Less: adjusted net debt</t>
  </si>
  <si>
    <t>NetCo valuation - lower FTTH build rate</t>
  </si>
  <si>
    <t>EV/ OpFCFaL</t>
  </si>
  <si>
    <t>Post-synergy</t>
  </si>
  <si>
    <t>€12m on bulk TV for 200k subs</t>
  </si>
  <si>
    <t>Bulk TV revenues</t>
  </si>
  <si>
    <t>Less: bulk TV revenues (pro-forma)</t>
  </si>
  <si>
    <t>% saved with overlapping retail business</t>
  </si>
  <si>
    <t>NPV of synergies at 12x post-tax FCF (€m)</t>
  </si>
  <si>
    <t>Servco SG&amp;A opex (€m)</t>
  </si>
  <si>
    <t>50% paid away to TeleColumbus (€m)</t>
  </si>
  <si>
    <t>Potential ServCo value</t>
  </si>
  <si>
    <t>Adjusted net debt/ normalised EBITDAaL</t>
  </si>
  <si>
    <t>Add: ServCo proceeds at 7x EBITDAaL</t>
  </si>
  <si>
    <t>Lower ServCo ARPU</t>
  </si>
  <si>
    <t>Lower ARPU scenario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</si>
</sst>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0">
    <numFmt numFmtId="41" formatCode="_-* #,##0_-;\-* #,##0_-;_-* &quot;-&quot;_-;_-@_-"/>
    <numFmt numFmtId="43" formatCode="_-* #,##0.00_-;\-* #,##0.00_-;_-* &quot;-&quot;??_-;_-@_-"/>
    <numFmt numFmtId="164" formatCode="&quot;$&quot;#,##0.00_);\(&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0_);\(#,##0\);#,##0_);@_)"/>
    <numFmt numFmtId="170" formatCode="0.0%_);\(0.0%\);0.0%_);@_)"/>
    <numFmt numFmtId="171" formatCode="0.00\x_);&quot;NM&quot;_);0.00\x_);@_)"/>
    <numFmt numFmtId="172" formatCode="#,##0.0_);\(#,##0.0\);#,##0.0_);@_)"/>
    <numFmt numFmtId="173" formatCode="0.0"/>
    <numFmt numFmtId="174" formatCode="0%_);\(0%\);0%_);@_)"/>
    <numFmt numFmtId="175" formatCode="#,##0.0"/>
    <numFmt numFmtId="176" formatCode="0.0%"/>
    <numFmt numFmtId="177" formatCode="0.0000000"/>
    <numFmt numFmtId="178" formatCode="#,##0.0;\(#,##0.0\)"/>
    <numFmt numFmtId="179" formatCode="#,##0;\(#,##0\)"/>
    <numFmt numFmtId="180" formatCode="0.0\x"/>
    <numFmt numFmtId="181" formatCode="\€#,##0.00;\(\€#,##0.00\)"/>
    <numFmt numFmtId="182" formatCode="#,##0.0%;\(#,##0.0%\)"/>
    <numFmt numFmtId="183" formatCode="_-* #,##0.00\ _€_-;\-* #,##0.00\ _€_-;_-* &quot;-&quot;??\ _€_-;_-@_-"/>
    <numFmt numFmtId="184" formatCode="0.0\X"/>
    <numFmt numFmtId="185" formatCode="#,##0%;\(#,##0%\)"/>
    <numFmt numFmtId="186" formatCode="_-* #,##0.0_-;\-* #,##0.0_-;_-* &quot;-&quot;??_-;_-@_-"/>
    <numFmt numFmtId="187" formatCode="#,##0_ ;\-#,##0\ "/>
    <numFmt numFmtId="188" formatCode="[$SEK]\ #,##0.0"/>
    <numFmt numFmtId="189" formatCode="_ * #,##0.000_ ;_ * \-#,##0.000_ ;_ * &quot;-&quot;??_ ;_ @_ "/>
    <numFmt numFmtId="190" formatCode="#,##0.0_);\(#,##0.0\)"/>
    <numFmt numFmtId="191" formatCode="_ * #,##0.000_ ;_ * \-#,##0.000_ ;_ * \-??_ ;_ @_ "/>
    <numFmt numFmtId="192" formatCode="_ * #,##0.0000_ ;_ * \-#,##0.0000_ ;_ * &quot;-&quot;??_ ;_ @_ "/>
    <numFmt numFmtId="193" formatCode="_ * #,##0.0000_ ;_ * \-#,##0.0000_ ;_ * \-??_ ;_ @_ "/>
    <numFmt numFmtId="194" formatCode="&quot;USD&quot;\ #,##0.00;[Red]&quot;USD&quot;\ \-#,##0.00"/>
    <numFmt numFmtId="195" formatCode="&quot;USD &quot;#,##0.00;[Red]&quot;USD -&quot;#,##0.00"/>
    <numFmt numFmtId="196" formatCode="#,##0.0;\-#,##0.0"/>
    <numFmt numFmtId="197" formatCode="&quot;£&quot;_(#,##0.00_);&quot;£&quot;\(#,##0.00\)"/>
    <numFmt numFmtId="198" formatCode="_ * #,##0_ ;_ * \-#,##0_ ;_ * &quot;-&quot;_ ;_ @_ "/>
    <numFmt numFmtId="199" formatCode="_ &quot;USD&quot;\ * #,##0_ ;_ &quot;USD&quot;\ * \-#,##0_ ;_ &quot;USD&quot;\ * &quot;-&quot;_ ;_ @_ "/>
    <numFmt numFmtId="200" formatCode="_ * #,##0_ ;_ * \-#,##0_ ;_ * \-_ ;_ @_ "/>
    <numFmt numFmtId="201" formatCode="_-* #,##0\ _P_t_s_-;[Red]\-* #,##0\ _P_t_s_-;_-* &quot;-&quot;\ _P_t_s_-;_-@_-"/>
    <numFmt numFmtId="202" formatCode="_ * #,##0.0_ ;_ * \-#,##0.0_ ;_ * &quot;-&quot;??_ ;_ @_ "/>
    <numFmt numFmtId="203" formatCode="_ * #,##0.0_ ;_ * \-#,##0.0_ ;_ * \-??_ ;_ @_ "/>
    <numFmt numFmtId="204" formatCode="_ * #,##0_ ;_ * \-#,##0_ ;_ * &quot;-&quot;??_ ;_ @_ "/>
    <numFmt numFmtId="205" formatCode="_ * #,##0.00_ ;_ * \-#,##0.00_ ;_ * &quot;-&quot;??_ ;_ @_ "/>
    <numFmt numFmtId="206" formatCode="_ * #,##0.00_ ;_ * \-#,##0.00_ ;_ * \-??_ ;_ @_ "/>
    <numFmt numFmtId="207" formatCode="_ * #,##0_ ;_ * \-#,##0_ ;_ * \-??_ ;_ @_ "/>
    <numFmt numFmtId="208" formatCode="#,##0.0_)\x;\(#,##0.0\)\x"/>
    <numFmt numFmtId="209" formatCode="&quot;USD&quot;\ #,##0.00;&quot;USD&quot;\ \-#,##0.00"/>
    <numFmt numFmtId="210" formatCode="&quot;USD &quot;#,##0.00;&quot;USD -&quot;#,##0.00"/>
    <numFmt numFmtId="211" formatCode="_ * #,##0.00000_ ;_ * \-#,##0.00000_ ;_ * &quot;-&quot;??_ ;_ @_ "/>
    <numFmt numFmtId="212" formatCode="#,##0.0_)_x;\(#,##0.0\)_x"/>
    <numFmt numFmtId="213" formatCode="#,##0.0000"/>
    <numFmt numFmtId="214" formatCode="_ * #,##0.00000_ ;_ * \-#,##0.00000_ ;_ * \-??_ ;_ @_ "/>
    <numFmt numFmtId="215" formatCode="0.0_)\%;\(0.0\)\%"/>
    <numFmt numFmtId="216" formatCode="#,##0.000000"/>
    <numFmt numFmtId="217" formatCode="#,##0.0_)_%;\(#,##0.0\)_%"/>
    <numFmt numFmtId="218" formatCode="#,##0.0000000"/>
    <numFmt numFmtId="219" formatCode="&quot;USD&quot;\ #,##0;[Red]&quot;USD&quot;\ \-#,##0"/>
    <numFmt numFmtId="220" formatCode="_(* #,##0_);_(* \(#,##0\);_(* &quot;-&quot;??_);_(@_)"/>
    <numFmt numFmtId="221" formatCode="_ &quot;\&quot;* #,##0_ ;_ &quot;\&quot;* \-#,##0_ ;_ &quot;\&quot;* &quot;-&quot;_ ;_ @_ "/>
    <numFmt numFmtId="222" formatCode="_ &quot;\&quot;* #,##0.00_ ;_ &quot;\&quot;* \-#,##0.00_ ;_ &quot;\&quot;* &quot;-&quot;??_ ;_ @_ "/>
    <numFmt numFmtId="223" formatCode=";;"/>
    <numFmt numFmtId="224" formatCode="#,##0.00_);[Red]\-#,##0.00_);0.00_);@_)"/>
    <numFmt numFmtId="225" formatCode="#,##0_%_);\(#,##0\)_%;#,##0_%_);@_%_)"/>
    <numFmt numFmtId="226" formatCode="\C\om\p\u\t"/>
    <numFmt numFmtId="227" formatCode="#,##0.000000000_);\(#,##0.000000000\)"/>
    <numFmt numFmtId="228" formatCode="#,##0.000\p_);\(#,##0.000\)"/>
    <numFmt numFmtId="229" formatCode="0.00_);\(0.00\);0.00"/>
    <numFmt numFmtId="230" formatCode="_-\€* #,##0.00_-;\-\€* #,##0.00_-;_-\€* &quot;-&quot;??_-;_-@_-"/>
    <numFmt numFmtId="231" formatCode="* _(#,##0.00_);[Red]* \(#,##0.00\);* _(&quot;-&quot;?_);@_)"/>
    <numFmt numFmtId="232" formatCode="_-\€* #,##0_-;\-\€* #,##0_-;_-\€* &quot;-&quot;_-;_-@_-"/>
    <numFmt numFmtId="233" formatCode="\$\ * _(#,##0_);[Red]\$\ * \(#,##0\);\$\ * _(&quot;-&quot;?_);@_)"/>
    <numFmt numFmtId="234" formatCode="\$\ * _(#,##0.00_);[Red]\$\ * \(#,##0.00\);\$\ * _(&quot;-&quot;?_);@_)"/>
    <numFmt numFmtId="235" formatCode="[$EUR]\ * _(#,##0_);[Red][$EUR]\ * \(#,##0\);[$EUR]\ * _(&quot;-&quot;?_);@_)"/>
    <numFmt numFmtId="236" formatCode="[$EUR]\ * _(#,##0.00_);[Red][$EUR]\ * \(#,##0.00\);[$EUR]\ * _(&quot;-&quot;?_);@_)"/>
    <numFmt numFmtId="237" formatCode="\€\ * _(#,##0_);[Red]\€\ * \(#,##0\);\€\ * _(&quot;-&quot;?_);@_)"/>
    <numFmt numFmtId="238" formatCode="\€\ * _(#,##0.00_);[Red]\€\ * \(#,##0.00\);\€\ * _(&quot;-&quot;?_);@_)"/>
    <numFmt numFmtId="239" formatCode="[$GBP]\ * _(#,##0_);[Red][$GBP]\ * \(#,##0\);[$GBP]\ * _(&quot;-&quot;?_);@_)"/>
    <numFmt numFmtId="240" formatCode="[$GBP]\ * _(#,##0.00_);[Red][$GBP]\ * \(#,##0.00\);[$GBP]\ * _(&quot;-&quot;?_);@_)"/>
    <numFmt numFmtId="241" formatCode="\£\ * _(#,##0_);[Red]\£\ * \(#,##0\);\£\ * _(&quot;-&quot;?_);@_)"/>
    <numFmt numFmtId="242" formatCode="\£\ * _(#,##0.00_);[Red]\£\ * \(#,##0.00\);\£\ * _(&quot;-&quot;?_);@_)"/>
    <numFmt numFmtId="243" formatCode="[$USD]\ * _(#,##0_);[Red][$USD]\ * \(#,##0\);[$USD]\ * _(&quot;-&quot;?_);@_)"/>
    <numFmt numFmtId="244" formatCode="[$USD]\ * _(#,##0.00_);[Red][$USD]\ * \(#,##0.00\);[$USD]\ * _(&quot;-&quot;?_);@_)"/>
    <numFmt numFmtId="245" formatCode="&quot;$&quot;#,##0.0_);\(&quot;$&quot;#,##0.0\)"/>
    <numFmt numFmtId="246" formatCode="mmm\ yy_)"/>
    <numFmt numFmtId="247" formatCode="yyyy_)"/>
    <numFmt numFmtId="248" formatCode="_-* #,##0.00\ [$€-1]_-;\-* #,##0.00\ [$€-1]_-;_-* &quot;-&quot;??\ [$€-1]_-"/>
    <numFmt numFmtId="249" formatCode="_(* #,##0.0_%_);_(* \(#,##0.0_%\);_(* &quot; - &quot;_%_);_(@_)"/>
    <numFmt numFmtId="250" formatCode="_(* #,##0.0%_);_(* \(#,##0.0%\);_(* &quot; - &quot;\%_);_(@_)"/>
    <numFmt numFmtId="251" formatCode="_(* #,##0_);_(* \(#,##0\);_(* &quot; - &quot;_);_(@_)"/>
    <numFmt numFmtId="252" formatCode="_(* #,##0.0_);_(* \(#,##0.0\);_(* &quot; - &quot;_);_(@_)"/>
    <numFmt numFmtId="253" formatCode="_(* #,##0.00_);_(* \(#,##0.00\);_(* &quot; - &quot;_);_(@_)"/>
    <numFmt numFmtId="254" formatCode="_(* #,##0.000_);_(* \(#,##0.000\);_(* &quot; - &quot;_);_(@_)"/>
    <numFmt numFmtId="255" formatCode="#,##0;\(#,##0\);&quot;-&quot;"/>
    <numFmt numFmtId="256" formatCode="General_)"/>
    <numFmt numFmtId="257" formatCode=";;;"/>
    <numFmt numFmtId="258" formatCode="#,##0\ ;\-#,##0\ "/>
    <numFmt numFmtId="259" formatCode="#,##0.0\ ;\-#,##0.0\ "/>
    <numFmt numFmtId="260" formatCode="#,##0_);[Red]\-#,##0_);0_);@_)"/>
    <numFmt numFmtId="261" formatCode="_-* #,##0_-;\-* #,##0_-;_-* &quot;-&quot;??_-;_-@_-"/>
    <numFmt numFmtId="262" formatCode="_-* #,##0\ _F_-;\-* #,##0\ _F_-;_-* &quot;-&quot;\ _F_-;_-@_-"/>
    <numFmt numFmtId="263" formatCode="0.00_);\(0.00\);0.00_)"/>
    <numFmt numFmtId="264" formatCode="0.00;[Red]0.00"/>
    <numFmt numFmtId="265" formatCode="_-* #,##0\ _P_t_a_-;\-* #,##0\ _P_t_a_-;_-* &quot;-&quot;\ _P_t_a_-;_-@_-"/>
    <numFmt numFmtId="266" formatCode="_-* #,##0.00\ _P_t_a_-;\-* #,##0.00\ _P_t_a_-;_-* &quot;-&quot;??\ _P_t_a_-;_-@_-"/>
    <numFmt numFmtId="267" formatCode="&quot;USD&quot;\ #,##0;&quot;USD&quot;\ \-#,##0"/>
    <numFmt numFmtId="268" formatCode="_-* #,##0\ &quot;Pta&quot;_-;\-* #,##0\ &quot;Pta&quot;_-;_-* &quot;-&quot;\ &quot;Pta&quot;_-;_-@_-"/>
    <numFmt numFmtId="269" formatCode="_-* #,##0.00\ &quot;Pta&quot;_-;\-* #,##0.00\ &quot;Pta&quot;_-;_-* &quot;-&quot;??\ &quot;Pta&quot;_-;_-@_-"/>
    <numFmt numFmtId="270" formatCode="#,##0.0_)\x;\(#,##0.0\)\x;#,##0.0_)\x;@_)_x"/>
    <numFmt numFmtId="271" formatCode="[$-40C]mmm\-yy;@"/>
    <numFmt numFmtId="272" formatCode="_ * #,##0.00_)_F_ ;_ * \(#,##0.00\)_F_ ;_ * &quot;-&quot;??_)_F_ ;_ @_ "/>
    <numFmt numFmtId="273" formatCode="#,##0;[Red]\(#,##0\)"/>
    <numFmt numFmtId="274" formatCode="#,##0.0\%_);\(#,##0.0\%\);#,##0.0\%_);@_%_)"/>
    <numFmt numFmtId="275" formatCode="0.00%_);\(0.00%\);\ \-\-\-_)"/>
    <numFmt numFmtId="276" formatCode="0.00%_);\-\-\-\ _);\ \-\-\-_)"/>
    <numFmt numFmtId="277" formatCode="#,##0.00%;[Red]\-#,##0.00%;0.00%;@_)"/>
    <numFmt numFmtId="278" formatCode="#,##0.0000000000000000000000000000000000000000_);\(#,##0.0000000000000000000000000000000000000000\);&quot;- &quot;"/>
    <numFmt numFmtId="279" formatCode="0.00\%;\-0.00\%;0.00\%"/>
    <numFmt numFmtId="280" formatCode="#,###,##?&quot; m2&quot;"/>
    <numFmt numFmtId="281" formatCode="#,###,##?&quot; m&quot;"/>
    <numFmt numFmtId="282" formatCode="\£#,##0_);\(\£#,##0\);\ \-\-\-_)"/>
    <numFmt numFmtId="283" formatCode="#,##0_);\(#,##0\);\ \-\-\-_)"/>
    <numFmt numFmtId="284" formatCode="#,##0.00_);\(#,##0.00\);\ \-\-\-_)"/>
    <numFmt numFmtId="285" formatCode="0.00\x;\-0.00\x;0.00\x"/>
    <numFmt numFmtId="286" formatCode="\£#,##0.00_);\(\£#,##0.00\);\ \-\-\-_)"/>
    <numFmt numFmtId="287" formatCode="#,##0_);\(#,##0\);&quot;- &quot;"/>
    <numFmt numFmtId="288" formatCode="[$€-2]\ #,##0.00"/>
    <numFmt numFmtId="289" formatCode="[$€-83C]#,##0.00"/>
    <numFmt numFmtId="290" formatCode="[$€-83C]#,##0.0"/>
    <numFmt numFmtId="291" formatCode="#,##0.0\X;\-#,##0.0\X"/>
    <numFmt numFmtId="292" formatCode="[$€-83C]#,##0"/>
    <numFmt numFmtId="293" formatCode="[$€-413]\ #,##0.00"/>
    <numFmt numFmtId="294" formatCode="#,##0.0_)\x;\(#,##0.0\)\x;0.0_)\x;@_)_x"/>
    <numFmt numFmtId="295" formatCode="\+0.0%;\-0.0%"/>
    <numFmt numFmtId="296" formatCode="#,##0.00000000"/>
    <numFmt numFmtId="297" formatCode="#,##0.0000000000000"/>
    <numFmt numFmtId="298" formatCode="#,##0.000"/>
    <numFmt numFmtId="299" formatCode="0.0\X;\(0.0\X\)"/>
    <numFmt numFmtId="300" formatCode="0\X;\(0\X\)"/>
    <numFmt numFmtId="301" formatCode="\€#,##0;\(\€#,##0\)"/>
    <numFmt numFmtId="302" formatCode="#,##0.00_);\(#,##0.00\);#,##0.00_);@_)"/>
    <numFmt numFmtId="303" formatCode="[$€-2]\ #,##0.0"/>
    <numFmt numFmtId="304" formatCode="0.00\X"/>
    <numFmt numFmtId="305" formatCode="#,##0.0\X;\(#,##0.0\X\)"/>
    <numFmt numFmtId="306" formatCode="0.00%_);\(0.00%\);0.00%_);@_)"/>
    <numFmt numFmtId="307" formatCode="\€#,##0.0;\(\€#,##0.0\)"/>
    <numFmt numFmtId="308" formatCode="_-* #,##0.00\ [$€]_-;\-* #,##0.00\ [$€]_-;_-* &quot;-&quot;??\ [$€]_-;_-@_-"/>
    <numFmt numFmtId="309" formatCode="#,##0.00\X;\(#,##0.00\X\)"/>
    <numFmt numFmtId="310" formatCode="#,##0;\(#,##0\);\-"/>
    <numFmt numFmtId="311" formatCode="#,##0.0%;\(#,##0.0%\);\-"/>
    <numFmt numFmtId="312" formatCode="0.0%;\(0.0%\);\-"/>
    <numFmt numFmtId="313" formatCode="#,##0.0;\(#,##0.0\);\-"/>
    <numFmt numFmtId="314" formatCode="#,##0.00;\(#,##0.00\);\-"/>
    <numFmt numFmtId="315" formatCode="#,##0%;\(#,##0%\);\-"/>
    <numFmt numFmtId="316" formatCode="0&quot;A&quot;"/>
    <numFmt numFmtId="317" formatCode="#,##0.0\x;\(#,##0.0\x\);\-"/>
    <numFmt numFmtId="318" formatCode="0%;\(0%\);\-"/>
    <numFmt numFmtId="319" formatCode="0&quot;E&quot;"/>
    <numFmt numFmtId="320" formatCode="\€#,##0.0"/>
    <numFmt numFmtId="321" formatCode="\€#,##0"/>
  </numFmts>
  <fonts count="275">
    <font>
      <sz val="10"/>
      <color theme="1"/>
      <name val="Arial"/>
      <family val="2"/>
    </font>
    <font>
      <sz val="12"/>
      <color theme="1"/>
      <name val="Trebuchet MS"/>
      <family val="2"/>
    </font>
    <font>
      <sz val="12"/>
      <color theme="1"/>
      <name val="Trebuchet MS"/>
      <family val="2"/>
    </font>
    <font>
      <sz val="10"/>
      <color theme="1"/>
      <name val="Trebuchet MS"/>
      <family val="2"/>
    </font>
    <font>
      <b/>
      <sz val="10"/>
      <color theme="0"/>
      <name val="Arial"/>
      <family val="2"/>
    </font>
    <font>
      <b/>
      <sz val="10"/>
      <color theme="1"/>
      <name val="Arial"/>
      <family val="2"/>
    </font>
    <font>
      <sz val="8"/>
      <name val="Arial"/>
      <family val="2"/>
    </font>
    <font>
      <b/>
      <sz val="10"/>
      <name val="Arial"/>
      <family val="2"/>
    </font>
    <font>
      <sz val="10"/>
      <name val="Arial"/>
      <family val="2"/>
    </font>
    <font>
      <sz val="10"/>
      <color theme="1"/>
      <name val="Arial"/>
      <family val="2"/>
    </font>
    <font>
      <sz val="10"/>
      <color theme="1"/>
      <name val="Trebuchet MS"/>
      <family val="2"/>
    </font>
    <font>
      <b/>
      <sz val="10"/>
      <color theme="1"/>
      <name val="Trebuchet MS"/>
      <family val="2"/>
    </font>
    <font>
      <i/>
      <sz val="10"/>
      <color theme="1"/>
      <name val="Trebuchet MS"/>
      <family val="2"/>
    </font>
    <font>
      <b/>
      <i/>
      <sz val="10"/>
      <color theme="1"/>
      <name val="Trebuchet MS"/>
      <family val="2"/>
    </font>
    <font>
      <vertAlign val="superscript"/>
      <sz val="10"/>
      <color theme="1"/>
      <name val="Trebuchet MS"/>
      <family val="2"/>
    </font>
    <font>
      <sz val="7"/>
      <color theme="1"/>
      <name val="Trebuchet MS"/>
      <family val="2"/>
    </font>
    <font>
      <b/>
      <sz val="18"/>
      <color theme="3"/>
      <name val="Euclid Circular A SemiBold"/>
      <family val="2"/>
      <scheme val="major"/>
    </font>
    <font>
      <b/>
      <sz val="12"/>
      <color theme="1"/>
      <name val="Trebuchet MS"/>
      <family val="2"/>
    </font>
    <font>
      <i/>
      <sz val="10"/>
      <color theme="9" tint="-0.249977111117893"/>
      <name val="Trebuchet MS"/>
      <family val="2"/>
    </font>
    <font>
      <sz val="10"/>
      <name val="Trebuchet MS"/>
      <family val="2"/>
    </font>
    <font>
      <b/>
      <sz val="10"/>
      <name val="Trebuchet MS"/>
      <family val="2"/>
    </font>
    <font>
      <sz val="10"/>
      <name val="MS Sans Serif"/>
      <family val="2"/>
    </font>
    <font>
      <sz val="8"/>
      <name val="Trebuchet MS"/>
      <family val="2"/>
    </font>
    <font>
      <b/>
      <sz val="8"/>
      <name val="Trebuchet MS"/>
      <family val="2"/>
    </font>
    <font>
      <sz val="12"/>
      <color indexed="12"/>
      <name val="Times New Roman"/>
      <family val="1"/>
    </font>
    <font>
      <sz val="10"/>
      <color indexed="8"/>
      <name val="Arial"/>
      <family val="2"/>
    </font>
    <font>
      <sz val="12"/>
      <name val="Times New Roman"/>
      <family val="1"/>
    </font>
    <font>
      <sz val="9"/>
      <name val="Arial"/>
      <family val="2"/>
    </font>
    <font>
      <b/>
      <sz val="22"/>
      <color indexed="18"/>
      <name val="Arial"/>
      <family val="2"/>
    </font>
    <font>
      <sz val="10"/>
      <name val="Helv"/>
      <charset val="204"/>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b/>
      <u/>
      <sz val="10"/>
      <color indexed="18"/>
      <name val="Arial"/>
      <family val="2"/>
    </font>
    <font>
      <b/>
      <sz val="11"/>
      <name val="Book Antiqua"/>
      <family val="1"/>
    </font>
    <font>
      <sz val="8"/>
      <name val="Tms Rmn"/>
    </font>
    <font>
      <sz val="11"/>
      <color indexed="8"/>
      <name val="Calibri"/>
      <family val="2"/>
    </font>
    <font>
      <sz val="11"/>
      <color theme="1"/>
      <name val="Roboto"/>
      <family val="2"/>
      <scheme val="minor"/>
    </font>
    <font>
      <sz val="11"/>
      <color theme="0"/>
      <name val="Roboto"/>
      <family val="2"/>
      <scheme val="minor"/>
    </font>
    <font>
      <sz val="11"/>
      <color indexed="9"/>
      <name val="Calibri"/>
      <family val="2"/>
    </font>
    <font>
      <sz val="11"/>
      <name val="µ¸¿ò"/>
      <family val="3"/>
    </font>
    <font>
      <sz val="8"/>
      <name val="Times"/>
    </font>
    <font>
      <sz val="12"/>
      <name val="Arial"/>
      <family val="2"/>
    </font>
    <font>
      <sz val="10"/>
      <color indexed="10"/>
      <name val="Times New Roman"/>
      <family val="1"/>
    </font>
    <font>
      <b/>
      <sz val="12"/>
      <name val="Times New Roman"/>
      <family val="1"/>
    </font>
    <font>
      <b/>
      <sz val="11"/>
      <color indexed="63"/>
      <name val="Calibri"/>
      <family val="2"/>
    </font>
    <font>
      <sz val="11"/>
      <color rgb="FFFF0000"/>
      <name val="Roboto"/>
      <family val="2"/>
      <scheme val="minor"/>
    </font>
    <font>
      <sz val="12"/>
      <color indexed="8"/>
      <name val="Times New Roman"/>
      <family val="1"/>
    </font>
    <font>
      <b/>
      <sz val="11"/>
      <color indexed="52"/>
      <name val="Calibri"/>
      <family val="2"/>
    </font>
    <font>
      <sz val="10"/>
      <color indexed="8"/>
      <name val="Book Antiqua"/>
      <family val="1"/>
    </font>
    <font>
      <b/>
      <sz val="10"/>
      <name val="Times New Roman"/>
      <family val="1"/>
    </font>
    <font>
      <sz val="10"/>
      <color indexed="12"/>
      <name val="Book Antiqua"/>
      <family val="1"/>
    </font>
    <font>
      <sz val="12"/>
      <name val="Tms Rmn"/>
      <family val="1"/>
    </font>
    <font>
      <b/>
      <sz val="12"/>
      <name val="Palatino"/>
    </font>
    <font>
      <sz val="8"/>
      <name val="Times New Roman"/>
      <family val="1"/>
    </font>
    <font>
      <sz val="11"/>
      <name val="SWISS"/>
    </font>
    <font>
      <b/>
      <sz val="10"/>
      <color indexed="8"/>
      <name val="Times New Roman"/>
      <family val="1"/>
    </font>
    <font>
      <sz val="12"/>
      <name val="¹ÙÅÁÃ¼"/>
      <family val="1"/>
    </font>
    <font>
      <b/>
      <sz val="11"/>
      <color rgb="FFFA7D00"/>
      <name val="Roboto"/>
      <family val="2"/>
      <scheme val="minor"/>
    </font>
    <font>
      <b/>
      <sz val="8"/>
      <color indexed="32"/>
      <name val="Arial"/>
      <family val="2"/>
    </font>
    <font>
      <sz val="11"/>
      <color rgb="FFFA7D00"/>
      <name val="Roboto"/>
      <family val="2"/>
      <scheme val="minor"/>
    </font>
    <font>
      <i/>
      <sz val="9"/>
      <color indexed="55"/>
      <name val="Arial"/>
      <family val="2"/>
    </font>
    <font>
      <u/>
      <sz val="7.5"/>
      <color indexed="36"/>
      <name val="Arial"/>
      <family val="2"/>
    </font>
    <font>
      <u/>
      <sz val="7.5"/>
      <color indexed="12"/>
      <name val="Arial"/>
      <family val="2"/>
    </font>
    <font>
      <b/>
      <sz val="9"/>
      <name val="Arial"/>
      <family val="2"/>
    </font>
    <font>
      <sz val="10"/>
      <name val="Times New Roman"/>
      <family val="1"/>
    </font>
    <font>
      <sz val="12"/>
      <name val="Helv"/>
    </font>
    <font>
      <sz val="8"/>
      <name val="Helvetica"/>
      <family val="2"/>
    </font>
    <font>
      <sz val="11"/>
      <name val="Book Antiqua"/>
      <family val="1"/>
    </font>
    <font>
      <sz val="8"/>
      <name val="Palatino"/>
      <family val="1"/>
    </font>
    <font>
      <sz val="10"/>
      <name val="Arial Narrow"/>
      <family val="2"/>
    </font>
    <font>
      <sz val="24"/>
      <name val="MS Sans Serif"/>
      <family val="2"/>
    </font>
    <font>
      <sz val="10"/>
      <color indexed="8"/>
      <name val="Times New Roman"/>
      <family val="1"/>
    </font>
    <font>
      <sz val="9"/>
      <color indexed="8"/>
      <name val="Times New Roman"/>
      <family val="1"/>
    </font>
    <font>
      <sz val="9"/>
      <name val="Helv"/>
    </font>
    <font>
      <sz val="14"/>
      <name val="Palatino"/>
      <family val="1"/>
    </font>
    <font>
      <sz val="16"/>
      <name val="Palatino"/>
      <family val="1"/>
    </font>
    <font>
      <sz val="32"/>
      <name val="Helvetica-Black"/>
    </font>
    <font>
      <sz val="12"/>
      <color indexed="8"/>
      <name val="Book Antiqua"/>
      <family val="1"/>
    </font>
    <font>
      <sz val="10"/>
      <name val="Geneva"/>
    </font>
    <font>
      <sz val="9"/>
      <color indexed="18"/>
      <name val="Arial"/>
      <family val="2"/>
    </font>
    <font>
      <sz val="10"/>
      <name val="Univers"/>
      <family val="2"/>
    </font>
    <font>
      <sz val="11"/>
      <color rgb="FF3F3F76"/>
      <name val="Roboto"/>
      <family val="2"/>
      <scheme val="minor"/>
    </font>
    <font>
      <b/>
      <sz val="11"/>
      <color indexed="8"/>
      <name val="Calibri"/>
      <family val="2"/>
    </font>
    <font>
      <i/>
      <sz val="11"/>
      <color indexed="23"/>
      <name val="Calibri"/>
      <family val="2"/>
    </font>
    <font>
      <i/>
      <sz val="10"/>
      <color indexed="10"/>
      <name val="Times New Roman"/>
      <family val="1"/>
    </font>
    <font>
      <i/>
      <sz val="8"/>
      <name val="Times New Roman"/>
      <family val="1"/>
    </font>
    <font>
      <sz val="9"/>
      <name val="Times New Roman"/>
      <family val="1"/>
    </font>
    <font>
      <b/>
      <u val="singleAccounting"/>
      <sz val="9"/>
      <name val="Times New Roman"/>
      <family val="1"/>
    </font>
    <font>
      <b/>
      <sz val="11"/>
      <name val="Times New Roman"/>
      <family val="1"/>
    </font>
    <font>
      <b/>
      <i/>
      <sz val="9.5"/>
      <name val="Times New Roman"/>
      <family val="1"/>
    </font>
    <font>
      <b/>
      <sz val="16"/>
      <name val="Arial"/>
      <family val="2"/>
    </font>
    <font>
      <u/>
      <sz val="10"/>
      <color indexed="14"/>
      <name val="MS Sans Serif"/>
      <family val="2"/>
    </font>
    <font>
      <sz val="6"/>
      <color indexed="23"/>
      <name val="Helvetica-Black"/>
    </font>
    <font>
      <sz val="9.5"/>
      <color indexed="23"/>
      <name val="Helvetica-Black"/>
    </font>
    <font>
      <sz val="7"/>
      <name val="Palatino"/>
      <family val="1"/>
    </font>
    <font>
      <sz val="10"/>
      <color indexed="17"/>
      <name val="Times New Roman"/>
      <family val="1"/>
    </font>
    <font>
      <sz val="11"/>
      <color indexed="17"/>
      <name val="Calibri"/>
      <family val="2"/>
    </font>
    <font>
      <sz val="12"/>
      <color indexed="9"/>
      <name val="Times New Roman"/>
      <family val="1"/>
    </font>
    <font>
      <b/>
      <sz val="22"/>
      <name val="Arial"/>
      <family val="2"/>
    </font>
    <font>
      <b/>
      <sz val="18"/>
      <name val="Arial"/>
      <family val="2"/>
    </font>
    <font>
      <b/>
      <sz val="14"/>
      <name val="Arial"/>
      <family val="2"/>
    </font>
    <font>
      <b/>
      <sz val="12"/>
      <name val="Arial"/>
      <family val="2"/>
    </font>
    <font>
      <sz val="10"/>
      <color indexed="12"/>
      <name val="Times New Roman"/>
      <family val="1"/>
    </font>
    <font>
      <b/>
      <sz val="16"/>
      <color indexed="10"/>
      <name val="FrankfurtGothicHeavy"/>
    </font>
    <font>
      <sz val="6"/>
      <name val="Palatino"/>
      <family val="1"/>
    </font>
    <font>
      <b/>
      <u/>
      <sz val="18"/>
      <name val="Geneva"/>
    </font>
    <font>
      <sz val="10"/>
      <name val="Helvetica-Black"/>
    </font>
    <font>
      <sz val="28"/>
      <name val="Helvetica-Black"/>
    </font>
    <font>
      <sz val="10"/>
      <name val="Palatino"/>
    </font>
    <font>
      <sz val="18"/>
      <name val="Palatino"/>
      <family val="1"/>
    </font>
    <font>
      <i/>
      <sz val="14"/>
      <name val="Palatino"/>
      <family val="1"/>
    </font>
    <font>
      <b/>
      <sz val="10"/>
      <name val="Univers"/>
      <family val="2"/>
    </font>
    <font>
      <b/>
      <sz val="16"/>
      <name val="Times New Roman"/>
      <family val="1"/>
    </font>
    <font>
      <b/>
      <sz val="10"/>
      <color indexed="8"/>
      <name val="Arial"/>
      <family val="2"/>
    </font>
    <font>
      <b/>
      <sz val="9"/>
      <name val="Helv"/>
    </font>
    <font>
      <sz val="10"/>
      <color indexed="9"/>
      <name val="Arial"/>
      <family val="2"/>
    </font>
    <font>
      <sz val="7"/>
      <color indexed="12"/>
      <name val="Helv"/>
    </font>
    <font>
      <u/>
      <sz val="10"/>
      <color indexed="12"/>
      <name val="MS Sans Serif"/>
      <family val="2"/>
    </font>
    <font>
      <sz val="9"/>
      <color indexed="12"/>
      <name val="Times New Roman"/>
      <family val="1"/>
    </font>
    <font>
      <sz val="10"/>
      <name val="Frutiger 45 Light"/>
      <family val="2"/>
    </font>
    <font>
      <sz val="9"/>
      <color indexed="17"/>
      <name val="Helv"/>
    </font>
    <font>
      <sz val="10"/>
      <color indexed="50"/>
      <name val="Times New Roman"/>
      <family val="1"/>
    </font>
    <font>
      <sz val="9"/>
      <color indexed="10"/>
      <name val="Times New Roman"/>
      <family val="1"/>
    </font>
    <font>
      <sz val="10"/>
      <color indexed="12"/>
      <name val="Arial"/>
      <family val="2"/>
    </font>
    <font>
      <sz val="11"/>
      <color rgb="FF9C0006"/>
      <name val="Roboto"/>
      <family val="2"/>
      <scheme val="minor"/>
    </font>
    <font>
      <b/>
      <sz val="10"/>
      <name val="MS Sans Serif"/>
      <family val="2"/>
    </font>
    <font>
      <sz val="10"/>
      <name val="Tms Rmn"/>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8"/>
      <name val="Times New Roman"/>
      <family val="1"/>
    </font>
    <font>
      <sz val="8"/>
      <name val="Comic Sans MS"/>
      <family val="4"/>
    </font>
    <font>
      <sz val="8"/>
      <color indexed="10"/>
      <name val="Comic Sans MS"/>
      <family val="4"/>
    </font>
    <font>
      <sz val="10"/>
      <name val="Comic Sans MS"/>
      <family val="4"/>
    </font>
    <font>
      <sz val="10"/>
      <name val="Tahoma"/>
      <family val="2"/>
    </font>
    <font>
      <i/>
      <sz val="10"/>
      <color indexed="16"/>
      <name val="Times New Roman"/>
      <family val="1"/>
    </font>
    <font>
      <sz val="11"/>
      <color rgb="FF9C6500"/>
      <name val="Roboto"/>
      <family val="2"/>
      <scheme val="minor"/>
    </font>
    <font>
      <sz val="7"/>
      <name val="Small Fonts"/>
      <family val="2"/>
    </font>
    <font>
      <i/>
      <sz val="10"/>
      <color indexed="20"/>
      <name val="Arial"/>
      <family val="2"/>
    </font>
    <font>
      <sz val="10"/>
      <name val="Courier"/>
      <family val="3"/>
    </font>
    <font>
      <sz val="10"/>
      <name val="Arial CE"/>
      <charset val="238"/>
    </font>
    <font>
      <sz val="10"/>
      <name val="Palatino"/>
      <family val="1"/>
    </font>
    <font>
      <sz val="10"/>
      <color indexed="8"/>
      <name val="MS Sans Serif"/>
      <family val="2"/>
    </font>
    <font>
      <i/>
      <sz val="10"/>
      <name val="Helv"/>
    </font>
    <font>
      <sz val="8"/>
      <color indexed="12"/>
      <name val="Helv"/>
    </font>
    <font>
      <sz val="10"/>
      <color indexed="8"/>
      <name val="Tahoma"/>
      <family val="2"/>
    </font>
    <font>
      <b/>
      <sz val="10"/>
      <color indexed="8"/>
      <name val="Tahoma"/>
      <family val="2"/>
    </font>
    <font>
      <b/>
      <sz val="10"/>
      <color indexed="9"/>
      <name val="Tahoma"/>
      <family val="2"/>
    </font>
    <font>
      <b/>
      <sz val="10"/>
      <name val="Tahoma"/>
      <family val="2"/>
    </font>
    <font>
      <b/>
      <sz val="14"/>
      <color indexed="9"/>
      <name val="Tahoma"/>
      <family val="2"/>
    </font>
    <font>
      <b/>
      <sz val="9"/>
      <color indexed="8"/>
      <name val="Times New Roman"/>
      <family val="1"/>
    </font>
    <font>
      <b/>
      <sz val="26"/>
      <name val="Times New Roman"/>
      <family val="1"/>
    </font>
    <font>
      <sz val="10"/>
      <color indexed="16"/>
      <name val="Helvetica-Black"/>
    </font>
    <font>
      <sz val="22"/>
      <name val="UBSHeadline"/>
      <family val="1"/>
    </font>
    <font>
      <i/>
      <sz val="12"/>
      <color indexed="8"/>
      <name val="Times New Roman"/>
      <family val="1"/>
    </font>
    <font>
      <i/>
      <sz val="9"/>
      <name val="Book Antiqua"/>
      <family val="1"/>
    </font>
    <font>
      <sz val="12"/>
      <name val="Book Antiqua"/>
      <family val="1"/>
    </font>
    <font>
      <sz val="10"/>
      <name val="Calibri"/>
      <family val="2"/>
    </font>
    <font>
      <sz val="9"/>
      <color indexed="8"/>
      <name val="Helv"/>
    </font>
    <font>
      <b/>
      <sz val="12"/>
      <color indexed="8"/>
      <name val="Times New Roman"/>
      <family val="1"/>
    </font>
    <font>
      <sz val="8"/>
      <color indexed="20"/>
      <name val="Arial"/>
      <family val="2"/>
    </font>
    <font>
      <sz val="8"/>
      <color indexed="10"/>
      <name val="Arial"/>
      <family val="2"/>
    </font>
    <font>
      <sz val="9"/>
      <color indexed="20"/>
      <name val="Helv"/>
    </font>
    <font>
      <sz val="11"/>
      <color rgb="FF006100"/>
      <name val="Roboto"/>
      <family val="2"/>
      <scheme val="minor"/>
    </font>
    <font>
      <sz val="11"/>
      <color indexed="20"/>
      <name val="Calibri"/>
      <family val="2"/>
    </font>
    <font>
      <sz val="10"/>
      <color indexed="23"/>
      <name val="MS Sans Serif"/>
      <family val="2"/>
    </font>
    <font>
      <b/>
      <sz val="12"/>
      <color indexed="12"/>
      <name val="Arial Narrow"/>
      <family val="2"/>
    </font>
    <font>
      <b/>
      <sz val="14"/>
      <name val="Times New Roman"/>
      <family val="1"/>
    </font>
    <font>
      <b/>
      <sz val="12"/>
      <name val="MS Sans Serif"/>
      <family val="2"/>
    </font>
    <font>
      <i/>
      <sz val="9"/>
      <color indexed="25"/>
      <name val="Times New Roman"/>
      <family val="1"/>
    </font>
    <font>
      <b/>
      <sz val="11"/>
      <color rgb="FF3F3F3F"/>
      <name val="Roboto"/>
      <family val="2"/>
      <scheme val="minor"/>
    </font>
    <font>
      <b/>
      <sz val="9"/>
      <name val="Palatino"/>
      <family val="1"/>
    </font>
    <font>
      <sz val="9"/>
      <color indexed="21"/>
      <name val="Helvetica-Black"/>
    </font>
    <font>
      <b/>
      <sz val="10"/>
      <name val="Palatino"/>
      <family val="1"/>
    </font>
    <font>
      <b/>
      <sz val="8"/>
      <name val="Arial"/>
      <family val="2"/>
    </font>
    <font>
      <sz val="7"/>
      <name val="Times New Roman"/>
      <family val="1"/>
    </font>
    <font>
      <sz val="12"/>
      <color indexed="8"/>
      <name val="Palatino"/>
      <family val="1"/>
    </font>
    <font>
      <sz val="12"/>
      <name val="Palatino"/>
      <family val="1"/>
    </font>
    <font>
      <sz val="11"/>
      <color indexed="8"/>
      <name val="Helvetica-Black"/>
    </font>
    <font>
      <sz val="11"/>
      <name val="Helvetica-Black"/>
    </font>
    <font>
      <i/>
      <sz val="11"/>
      <color rgb="FF7F7F7F"/>
      <name val="Roboto"/>
      <family val="2"/>
      <scheme val="minor"/>
    </font>
    <font>
      <b/>
      <sz val="10"/>
      <color indexed="9"/>
      <name val="Arial"/>
      <family val="2"/>
    </font>
    <font>
      <b/>
      <sz val="12"/>
      <name val="Avant Garde"/>
    </font>
    <font>
      <b/>
      <sz val="15"/>
      <color theme="3"/>
      <name val="Roboto"/>
      <family val="2"/>
      <scheme val="minor"/>
    </font>
    <font>
      <b/>
      <sz val="13"/>
      <color theme="3"/>
      <name val="Roboto"/>
      <family val="2"/>
      <scheme val="minor"/>
    </font>
    <font>
      <b/>
      <sz val="11"/>
      <color theme="3"/>
      <name val="Roboto"/>
      <family val="2"/>
      <scheme val="minor"/>
    </font>
    <font>
      <b/>
      <sz val="11"/>
      <color theme="1"/>
      <name val="Roboto"/>
      <family val="2"/>
      <scheme val="minor"/>
    </font>
    <font>
      <b/>
      <sz val="18"/>
      <color indexed="49"/>
      <name val="Cambria"/>
      <family val="2"/>
    </font>
    <font>
      <b/>
      <sz val="15"/>
      <color indexed="49"/>
      <name val="Calibri"/>
      <family val="2"/>
    </font>
    <font>
      <b/>
      <sz val="13"/>
      <color indexed="49"/>
      <name val="Calibri"/>
      <family val="2"/>
    </font>
    <font>
      <b/>
      <sz val="11"/>
      <color indexed="49"/>
      <name val="Calibri"/>
      <family val="2"/>
    </font>
    <font>
      <u/>
      <sz val="8"/>
      <color indexed="8"/>
      <name val="Arial"/>
      <family val="2"/>
    </font>
    <font>
      <b/>
      <sz val="11"/>
      <color theme="0"/>
      <name val="Roboto"/>
      <family val="2"/>
      <scheme val="minor"/>
    </font>
    <font>
      <sz val="11"/>
      <color indexed="52"/>
      <name val="Calibri"/>
      <family val="2"/>
    </font>
    <font>
      <i/>
      <sz val="10"/>
      <name val="Times New Roman"/>
      <family val="1"/>
    </font>
    <font>
      <sz val="11"/>
      <color indexed="10"/>
      <name val="Calibri"/>
      <family val="2"/>
    </font>
    <font>
      <b/>
      <sz val="10"/>
      <color indexed="10"/>
      <name val="Arial"/>
      <family val="2"/>
    </font>
    <font>
      <b/>
      <sz val="10"/>
      <color indexed="12"/>
      <name val="Book Antiqua"/>
      <family val="1"/>
    </font>
    <font>
      <b/>
      <sz val="11"/>
      <color indexed="9"/>
      <name val="Calibri"/>
      <family val="2"/>
    </font>
    <font>
      <sz val="12"/>
      <name val="宋体"/>
      <charset val="134"/>
    </font>
    <font>
      <b/>
      <sz val="10"/>
      <color indexed="44"/>
      <name val="Trebuchet MS"/>
      <family val="2"/>
    </font>
    <font>
      <sz val="10"/>
      <color indexed="9"/>
      <name val="Trebuchet MS"/>
      <family val="2"/>
    </font>
    <font>
      <b/>
      <sz val="10"/>
      <color indexed="9"/>
      <name val="Trebuchet MS"/>
      <family val="2"/>
    </font>
    <font>
      <sz val="10"/>
      <color rgb="FFFF0000"/>
      <name val="Trebuchet MS"/>
      <family val="2"/>
    </font>
    <font>
      <sz val="12"/>
      <color theme="1"/>
      <name val="Arial"/>
      <family val="2"/>
    </font>
    <font>
      <sz val="12"/>
      <name val="Trebuchet MS"/>
      <family val="2"/>
    </font>
    <font>
      <b/>
      <sz val="12"/>
      <color indexed="44"/>
      <name val="Trebuchet MS"/>
      <family val="2"/>
    </font>
    <font>
      <sz val="12"/>
      <color indexed="9"/>
      <name val="Trebuchet MS"/>
      <family val="2"/>
    </font>
    <font>
      <b/>
      <sz val="12"/>
      <color indexed="9"/>
      <name val="Trebuchet MS"/>
      <family val="2"/>
    </font>
    <font>
      <b/>
      <sz val="12"/>
      <name val="Trebuchet MS"/>
      <family val="2"/>
    </font>
    <font>
      <sz val="10"/>
      <color rgb="FF0000FF"/>
      <name val="Trebuchet MS"/>
      <family val="2"/>
    </font>
    <font>
      <sz val="9"/>
      <color indexed="81"/>
      <name val="Tahoma"/>
      <family val="2"/>
    </font>
    <font>
      <b/>
      <sz val="9"/>
      <color indexed="81"/>
      <name val="Tahoma"/>
      <family val="2"/>
    </font>
    <font>
      <i/>
      <sz val="10"/>
      <name val="Trebuchet MS"/>
      <family val="2"/>
    </font>
    <font>
      <sz val="10"/>
      <color rgb="FF00B050"/>
      <name val="Trebuchet MS"/>
      <family val="2"/>
    </font>
    <font>
      <b/>
      <u/>
      <sz val="9"/>
      <color indexed="81"/>
      <name val="Tahoma"/>
      <family val="2"/>
    </font>
    <font>
      <b/>
      <u/>
      <sz val="10"/>
      <color theme="1"/>
      <name val="Trebuchet MS"/>
      <family val="2"/>
    </font>
    <font>
      <b/>
      <sz val="12"/>
      <color theme="0"/>
      <name val="Trebuchet MS"/>
      <family val="2"/>
    </font>
    <font>
      <i/>
      <sz val="12"/>
      <color theme="1"/>
      <name val="Trebuchet MS"/>
      <family val="2"/>
    </font>
    <font>
      <b/>
      <sz val="10"/>
      <color rgb="FF00B050"/>
      <name val="Trebuchet MS"/>
      <family val="2"/>
    </font>
    <font>
      <b/>
      <sz val="10"/>
      <color rgb="FF0000FF"/>
      <name val="Trebuchet MS"/>
      <family val="2"/>
    </font>
    <font>
      <b/>
      <u/>
      <sz val="10"/>
      <name val="Trebuchet MS"/>
      <family val="2"/>
    </font>
    <font>
      <sz val="12"/>
      <color theme="4"/>
      <name val="Trebuchet MS"/>
      <family val="2"/>
    </font>
    <font>
      <sz val="10"/>
      <color theme="1"/>
      <name val="Robto"/>
    </font>
    <font>
      <b/>
      <sz val="10"/>
      <color theme="0"/>
      <name val="Robto"/>
    </font>
    <font>
      <b/>
      <sz val="10"/>
      <color theme="1"/>
      <name val="Robto"/>
    </font>
    <font>
      <i/>
      <sz val="10"/>
      <color theme="1"/>
      <name val="Robto"/>
    </font>
    <font>
      <b/>
      <sz val="10"/>
      <name val="Robto"/>
    </font>
    <font>
      <vertAlign val="superscript"/>
      <sz val="10"/>
      <color theme="1"/>
      <name val="Arial"/>
      <family val="2"/>
    </font>
    <font>
      <b/>
      <i/>
      <sz val="10"/>
      <color theme="1"/>
      <name val="Robto"/>
    </font>
    <font>
      <sz val="10"/>
      <color rgb="FF4D4F53"/>
      <name val="Arial"/>
      <family val="2"/>
    </font>
    <font>
      <sz val="10"/>
      <name val="Robto"/>
    </font>
    <font>
      <b/>
      <vertAlign val="superscript"/>
      <sz val="10"/>
      <name val="Arial"/>
      <family val="2"/>
    </font>
    <font>
      <i/>
      <sz val="10"/>
      <name val="Robto"/>
    </font>
    <font>
      <i/>
      <sz val="10"/>
      <name val="Arial"/>
      <family val="2"/>
    </font>
    <font>
      <b/>
      <i/>
      <sz val="8"/>
      <name val="Trebuchet MS"/>
      <family val="2"/>
    </font>
    <font>
      <i/>
      <sz val="12"/>
      <name val="Trebuchet MS"/>
      <family val="2"/>
    </font>
    <font>
      <b/>
      <i/>
      <sz val="10"/>
      <name val="Trebuchet MS"/>
      <family val="2"/>
    </font>
    <font>
      <b/>
      <i/>
      <u/>
      <sz val="10"/>
      <color theme="1"/>
      <name val="Trebuchet MS"/>
      <family val="2"/>
    </font>
    <font>
      <i/>
      <sz val="10"/>
      <color rgb="FF00B050"/>
      <name val="Trebuchet MS"/>
      <family val="2"/>
    </font>
    <font>
      <b/>
      <i/>
      <sz val="12"/>
      <color theme="1"/>
      <name val="Trebuchet MS"/>
      <family val="2"/>
    </font>
    <font>
      <sz val="11"/>
      <name val="Trebuchet MS"/>
      <family val="2"/>
    </font>
    <font>
      <sz val="11"/>
      <color rgb="FFFFFFFF"/>
      <name val="Trebuchet MS"/>
      <family val="2"/>
    </font>
    <font>
      <sz val="10"/>
      <color theme="1"/>
      <name val="Roboto"/>
    </font>
    <font>
      <b/>
      <sz val="10"/>
      <color theme="1"/>
      <name val="Roboto"/>
    </font>
    <font>
      <sz val="10"/>
      <name val="Roboto"/>
    </font>
    <font>
      <b/>
      <sz val="10"/>
      <name val="Roboto"/>
    </font>
    <font>
      <sz val="10"/>
      <color theme="1"/>
      <name val="Roboto"/>
      <scheme val="minor"/>
    </font>
    <font>
      <b/>
      <sz val="10"/>
      <name val="Roboto"/>
      <scheme val="minor"/>
    </font>
    <font>
      <sz val="10"/>
      <name val="Roboto"/>
      <scheme val="minor"/>
    </font>
    <font>
      <b/>
      <sz val="10"/>
      <color theme="1"/>
      <name val="Roboto"/>
      <scheme val="minor"/>
    </font>
    <font>
      <sz val="10"/>
      <color rgb="FF0000FF"/>
      <name val="Roboto"/>
      <scheme val="minor"/>
    </font>
    <font>
      <b/>
      <u/>
      <sz val="10"/>
      <color theme="1"/>
      <name val="Roboto"/>
      <scheme val="minor"/>
    </font>
    <font>
      <sz val="10"/>
      <color rgb="FFFF0000"/>
      <name val="Roboto"/>
      <scheme val="minor"/>
    </font>
    <font>
      <i/>
      <sz val="10"/>
      <color theme="1"/>
      <name val="Roboto"/>
      <scheme val="minor"/>
    </font>
    <font>
      <b/>
      <sz val="10"/>
      <color rgb="FF0070C0"/>
      <name val="Roboto"/>
      <scheme val="minor"/>
    </font>
    <font>
      <sz val="10"/>
      <color rgb="FF0070C0"/>
      <name val="Roboto"/>
      <scheme val="minor"/>
    </font>
    <font>
      <b/>
      <i/>
      <sz val="10"/>
      <color theme="1"/>
      <name val="Roboto"/>
      <scheme val="minor"/>
    </font>
    <font>
      <i/>
      <u/>
      <sz val="10"/>
      <color theme="1"/>
      <name val="Roboto"/>
      <scheme val="minor"/>
    </font>
    <font>
      <u/>
      <sz val="10"/>
      <color theme="1"/>
      <name val="Roboto"/>
      <scheme val="minor"/>
    </font>
    <font>
      <i/>
      <sz val="10"/>
      <color rgb="FFFF0000"/>
      <name val="Roboto"/>
      <scheme val="minor"/>
    </font>
    <font>
      <sz val="10"/>
      <color theme="1"/>
      <name val="Calibri"/>
      <family val="2"/>
    </font>
    <font>
      <b/>
      <sz val="10"/>
      <color rgb="FFFF0000"/>
      <name val="Roboto"/>
      <scheme val="minor"/>
    </font>
    <font>
      <i/>
      <sz val="10"/>
      <name val="Roboto"/>
      <scheme val="minor"/>
    </font>
    <font>
      <i/>
      <sz val="10"/>
      <color theme="1"/>
      <name val="Arial"/>
      <family val="2"/>
    </font>
    <font>
      <b/>
      <sz val="11"/>
      <color theme="1"/>
      <name val="Roboto"/>
      <scheme val="minor"/>
    </font>
    <font>
      <sz val="11"/>
      <color theme="1"/>
      <name val="Roboto"/>
      <scheme val="minor"/>
    </font>
    <font>
      <sz val="11"/>
      <name val="Roboto"/>
      <scheme val="minor"/>
    </font>
    <font>
      <b/>
      <sz val="11"/>
      <name val="Roboto"/>
      <scheme val="minor"/>
    </font>
    <font>
      <sz val="9"/>
      <color indexed="81"/>
      <name val="Tahoma"/>
      <charset val="1"/>
    </font>
    <font>
      <b/>
      <sz val="9"/>
      <color indexed="81"/>
      <name val="Tahoma"/>
      <charset val="1"/>
    </font>
  </fonts>
  <fills count="95">
    <fill>
      <patternFill patternType="none"/>
    </fill>
    <fill>
      <patternFill patternType="gray125"/>
    </fill>
    <fill>
      <patternFill patternType="solid">
        <fgColor rgb="FFE95E13"/>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CC"/>
        <bgColor indexed="64"/>
      </patternFill>
    </fill>
    <fill>
      <patternFill patternType="solid">
        <fgColor indexed="43"/>
        <bgColor indexed="64"/>
      </patternFill>
    </fill>
    <fill>
      <patternFill patternType="solid">
        <fgColor rgb="FFFFFF99"/>
        <bgColor indexed="64"/>
      </patternFill>
    </fill>
    <fill>
      <patternFill patternType="solid">
        <fgColor theme="8" tint="0.79998168889431442"/>
        <bgColor indexed="64"/>
      </patternFill>
    </fill>
    <fill>
      <patternFill patternType="solid">
        <fgColor indexed="43"/>
      </patternFill>
    </fill>
    <fill>
      <patternFill patternType="solid">
        <fgColor indexed="43"/>
        <bgColor indexed="26"/>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62"/>
      </patternFill>
    </fill>
    <fill>
      <patternFill patternType="solid">
        <fgColor indexed="26"/>
      </patternFill>
    </fill>
    <fill>
      <patternFill patternType="solid">
        <fgColor indexed="29"/>
      </patternFill>
    </fill>
    <fill>
      <patternFill patternType="solid">
        <fgColor indexed="22"/>
      </patternFill>
    </fill>
    <fill>
      <patternFill patternType="solid">
        <fgColor indexed="10"/>
      </patternFill>
    </fill>
    <fill>
      <patternFill patternType="solid">
        <fgColor indexed="57"/>
      </patternFill>
    </fill>
    <fill>
      <patternFill patternType="solid">
        <fgColor indexed="54"/>
      </patternFill>
    </fill>
    <fill>
      <patternFill patternType="solid">
        <fgColor indexed="49"/>
      </patternFill>
    </fill>
    <fill>
      <patternFill patternType="solid">
        <fgColor indexed="53"/>
      </patternFill>
    </fill>
    <fill>
      <patternFill patternType="gray0625"/>
    </fill>
    <fill>
      <patternFill patternType="gray0625">
        <fgColor indexed="15"/>
      </patternFill>
    </fill>
    <fill>
      <patternFill patternType="solid">
        <fgColor indexed="41"/>
        <bgColor indexed="64"/>
      </patternFill>
    </fill>
    <fill>
      <patternFill patternType="solid">
        <fgColor indexed="42"/>
        <bgColor indexed="64"/>
      </patternFill>
    </fill>
    <fill>
      <patternFill patternType="lightGray">
        <fgColor indexed="12"/>
      </patternFill>
    </fill>
    <fill>
      <patternFill patternType="solid">
        <fgColor indexed="26"/>
        <bgColor indexed="26"/>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42"/>
        <bgColor indexed="43"/>
      </patternFill>
    </fill>
    <fill>
      <patternFill patternType="gray0625">
        <fgColor indexed="22"/>
      </patternFill>
    </fill>
    <fill>
      <patternFill patternType="solid">
        <fgColor indexed="13"/>
      </patternFill>
    </fill>
    <fill>
      <patternFill patternType="solid">
        <fgColor indexed="31"/>
        <bgColor indexed="24"/>
      </patternFill>
    </fill>
    <fill>
      <patternFill patternType="solid">
        <fgColor indexed="62"/>
        <bgColor indexed="64"/>
      </patternFill>
    </fill>
    <fill>
      <patternFill patternType="solid">
        <fgColor indexed="44"/>
        <bgColor indexed="64"/>
      </patternFill>
    </fill>
    <fill>
      <patternFill patternType="solid">
        <fgColor indexed="40"/>
        <bgColor indexed="64"/>
      </patternFill>
    </fill>
    <fill>
      <patternFill patternType="solid">
        <fgColor indexed="63"/>
        <bgColor indexed="64"/>
      </patternFill>
    </fill>
    <fill>
      <patternFill patternType="solid">
        <fgColor indexed="16"/>
        <bgColor indexed="64"/>
      </patternFill>
    </fill>
    <fill>
      <patternFill patternType="solid">
        <fgColor indexed="8"/>
        <bgColor indexed="64"/>
      </patternFill>
    </fill>
    <fill>
      <patternFill patternType="solid">
        <fgColor indexed="9"/>
      </patternFill>
    </fill>
    <fill>
      <patternFill patternType="solid">
        <fgColor indexed="55"/>
      </patternFill>
    </fill>
    <fill>
      <patternFill patternType="solid">
        <fgColor theme="3" tint="0.39997558519241921"/>
        <bgColor indexed="64"/>
      </patternFill>
    </fill>
    <fill>
      <patternFill patternType="solid">
        <fgColor indexed="54"/>
        <bgColor indexed="64"/>
      </patternFill>
    </fill>
    <fill>
      <patternFill patternType="solid">
        <fgColor rgb="FF99CCFF"/>
        <bgColor indexed="64"/>
      </patternFill>
    </fill>
    <fill>
      <patternFill patternType="solid">
        <fgColor rgb="FF00B0F0"/>
        <bgColor indexed="64"/>
      </patternFill>
    </fill>
    <fill>
      <patternFill patternType="solid">
        <fgColor theme="7" tint="0.39997558519241921"/>
        <bgColor indexed="64"/>
      </patternFill>
    </fill>
    <fill>
      <patternFill patternType="solid">
        <fgColor rgb="FFFFFF00"/>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rgb="FF16365C"/>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243166"/>
        <bgColor indexed="64"/>
      </patternFill>
    </fill>
    <fill>
      <patternFill patternType="solid">
        <fgColor rgb="FF002060"/>
        <bgColor indexed="64"/>
      </patternFill>
    </fill>
    <fill>
      <patternFill patternType="solid">
        <fgColor rgb="FF002060"/>
        <bgColor rgb="FF000000"/>
      </patternFill>
    </fill>
    <fill>
      <patternFill patternType="solid">
        <fgColor theme="2" tint="0.89999084444715716"/>
        <bgColor indexed="64"/>
      </patternFill>
    </fill>
  </fills>
  <borders count="88">
    <border>
      <left/>
      <right/>
      <top/>
      <bottom/>
      <diagonal/>
    </border>
    <border>
      <left/>
      <right/>
      <top/>
      <bottom style="thin">
        <color indexed="64"/>
      </bottom>
      <diagonal/>
    </border>
    <border>
      <left/>
      <right/>
      <top style="thin">
        <color indexed="64"/>
      </top>
      <bottom style="thin">
        <color indexed="64"/>
      </bottom>
      <diagonal/>
    </border>
    <border>
      <left/>
      <right style="dashed">
        <color indexed="64"/>
      </right>
      <top/>
      <bottom style="thin">
        <color indexed="64"/>
      </bottom>
      <diagonal/>
    </border>
    <border>
      <left/>
      <right style="dashed">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medium">
        <color indexed="12"/>
      </left>
      <right style="medium">
        <color indexed="12"/>
      </right>
      <top style="medium">
        <color indexed="12"/>
      </top>
      <bottom style="medium">
        <color indexed="1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right/>
      <top/>
      <bottom style="medium">
        <color indexed="64"/>
      </bottom>
      <diagonal/>
    </border>
    <border>
      <left/>
      <right/>
      <top/>
      <bottom style="thin">
        <color indexed="44"/>
      </bottom>
      <diagonal/>
    </border>
    <border>
      <left style="thin">
        <color indexed="64"/>
      </left>
      <right style="thin">
        <color indexed="64"/>
      </right>
      <top style="thin">
        <color indexed="64"/>
      </top>
      <bottom style="thin">
        <color indexed="64"/>
      </bottom>
      <diagonal/>
    </border>
    <border>
      <left/>
      <right/>
      <top style="medium">
        <color indexed="32"/>
      </top>
      <bottom style="medium">
        <color indexed="32"/>
      </bottom>
      <diagonal/>
    </border>
    <border>
      <left style="double">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top style="hair">
        <color indexed="64"/>
      </top>
      <bottom/>
      <diagonal/>
    </border>
    <border>
      <left/>
      <right/>
      <top/>
      <bottom style="dotted">
        <color indexed="64"/>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auto="1"/>
      </top>
      <bottom style="thin">
        <color auto="1"/>
      </bottom>
      <diagonal/>
    </border>
    <border>
      <left/>
      <right/>
      <top/>
      <bottom style="thick">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dotted">
        <color indexed="64"/>
      </left>
      <right style="dotted">
        <color indexed="64"/>
      </right>
      <top style="dotted">
        <color indexed="64"/>
      </top>
      <bottom style="dotted">
        <color indexed="64"/>
      </bottom>
      <diagonal/>
    </border>
    <border>
      <left style="thin">
        <color indexed="12"/>
      </left>
      <right style="thin">
        <color indexed="12"/>
      </right>
      <top style="thin">
        <color indexed="12"/>
      </top>
      <bottom style="thin">
        <color indexed="12"/>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top style="medium">
        <color indexed="24"/>
      </top>
      <bottom style="medium">
        <color indexed="2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right style="thin">
        <color indexed="8"/>
      </right>
      <top/>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double">
        <color indexed="64"/>
      </left>
      <right/>
      <top style="double">
        <color indexed="64"/>
      </top>
      <bottom/>
      <diagonal/>
    </border>
    <border>
      <left/>
      <right/>
      <top style="double">
        <color indexed="64"/>
      </top>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style="medium">
        <color indexed="64"/>
      </top>
      <bottom style="thin">
        <color indexed="64"/>
      </bottom>
      <diagonal/>
    </border>
    <border>
      <left/>
      <right/>
      <top style="medium">
        <color indexed="41"/>
      </top>
      <bottom style="medium">
        <color indexed="41"/>
      </bottom>
      <diagonal/>
    </border>
    <border>
      <left/>
      <right/>
      <top style="medium">
        <color indexed="41"/>
      </top>
      <bottom/>
      <diagonal/>
    </border>
    <border>
      <left/>
      <right/>
      <top/>
      <bottom style="thin">
        <color indexed="23"/>
      </bottom>
      <diagonal/>
    </border>
    <border>
      <left/>
      <right/>
      <top style="thin">
        <color indexed="64"/>
      </top>
      <bottom style="double">
        <color indexed="64"/>
      </bottom>
      <diagonal/>
    </border>
    <border>
      <left/>
      <right/>
      <top/>
      <bottom style="thick">
        <color indexed="62"/>
      </bottom>
      <diagonal/>
    </border>
    <border>
      <left/>
      <right/>
      <top/>
      <bottom style="medium">
        <color indexed="6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bottom style="thin">
        <color theme="0"/>
      </bottom>
      <diagonal/>
    </border>
    <border>
      <left/>
      <right style="thin">
        <color theme="0"/>
      </right>
      <top/>
      <bottom style="thin">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theme="0"/>
      </left>
      <right style="thin">
        <color theme="0"/>
      </right>
      <top/>
      <bottom/>
      <diagonal/>
    </border>
    <border>
      <left style="thin">
        <color theme="0"/>
      </left>
      <right/>
      <top style="thin">
        <color theme="0"/>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auto="1"/>
      </bottom>
      <diagonal/>
    </border>
    <border>
      <left/>
      <right style="thin">
        <color indexed="64"/>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rgb="FFC00000"/>
      </left>
      <right style="thin">
        <color rgb="FFC00000"/>
      </right>
      <top style="thin">
        <color rgb="FFC00000"/>
      </top>
      <bottom style="thin">
        <color rgb="FFC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2391">
    <xf numFmtId="0" fontId="0" fillId="0" borderId="0"/>
    <xf numFmtId="0" fontId="6" fillId="0" borderId="0"/>
    <xf numFmtId="0" fontId="6" fillId="0" borderId="0"/>
    <xf numFmtId="0" fontId="8" fillId="0" borderId="0"/>
    <xf numFmtId="9" fontId="9" fillId="0" borderId="0" applyFont="0" applyFill="0" applyBorder="0" applyAlignment="0" applyProtection="0"/>
    <xf numFmtId="0" fontId="21" fillId="0" borderId="0"/>
    <xf numFmtId="183" fontId="8" fillId="0" borderId="0" applyFont="0" applyFill="0" applyBorder="0" applyAlignment="0" applyProtection="0"/>
    <xf numFmtId="0" fontId="8" fillId="0" borderId="0"/>
    <xf numFmtId="0" fontId="8" fillId="0" borderId="0"/>
    <xf numFmtId="0" fontId="8" fillId="0" borderId="0"/>
    <xf numFmtId="10" fontId="24" fillId="0" borderId="0"/>
    <xf numFmtId="1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alignment vertical="top"/>
    </xf>
    <xf numFmtId="0" fontId="8" fillId="0" borderId="0"/>
    <xf numFmtId="0" fontId="8" fillId="0" borderId="0"/>
    <xf numFmtId="0" fontId="8" fillId="0" borderId="0"/>
    <xf numFmtId="0" fontId="8" fillId="0" borderId="0"/>
    <xf numFmtId="10" fontId="24" fillId="0" borderId="0"/>
    <xf numFmtId="9" fontId="26" fillId="0" borderId="0"/>
    <xf numFmtId="0" fontId="26" fillId="0" borderId="0"/>
    <xf numFmtId="10" fontId="26" fillId="0" borderId="0"/>
    <xf numFmtId="0" fontId="27" fillId="0" borderId="0">
      <alignment vertical="top"/>
    </xf>
    <xf numFmtId="189" fontId="8" fillId="0" borderId="0" applyFont="0" applyFill="0" applyBorder="0" applyAlignment="0" applyProtection="0"/>
    <xf numFmtId="0" fontId="8" fillId="0" borderId="0" applyFont="0" applyFill="0" applyBorder="0" applyAlignment="0" applyProtection="0"/>
    <xf numFmtId="189" fontId="8" fillId="0" borderId="0" applyFont="0" applyFill="0" applyBorder="0" applyAlignment="0" applyProtection="0"/>
    <xf numFmtId="0"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0" fontId="8" fillId="0" borderId="0" applyFont="0" applyFill="0" applyBorder="0" applyAlignment="0" applyProtection="0"/>
    <xf numFmtId="189" fontId="8" fillId="0" borderId="0" applyFont="0" applyFill="0" applyBorder="0" applyAlignment="0" applyProtection="0"/>
    <xf numFmtId="190" fontId="8" fillId="0" borderId="0" applyFont="0" applyFill="0" applyBorder="0" applyAlignment="0" applyProtection="0"/>
    <xf numFmtId="0" fontId="8" fillId="0" borderId="0" applyFont="0" applyFill="0" applyBorder="0" applyAlignment="0" applyProtection="0"/>
    <xf numFmtId="190" fontId="8" fillId="0" borderId="0" applyFont="0" applyFill="0" applyBorder="0" applyAlignment="0" applyProtection="0"/>
    <xf numFmtId="190" fontId="8" fillId="0" borderId="0" applyFill="0" applyBorder="0" applyAlignment="0" applyProtection="0"/>
    <xf numFmtId="0" fontId="8" fillId="0" borderId="0" applyFont="0" applyFill="0" applyBorder="0" applyAlignment="0" applyProtection="0"/>
    <xf numFmtId="189" fontId="8" fillId="0" borderId="0" applyFont="0" applyFill="0" applyBorder="0" applyAlignment="0" applyProtection="0"/>
    <xf numFmtId="0" fontId="8" fillId="0" borderId="0" applyFont="0" applyFill="0" applyBorder="0" applyAlignment="0" applyProtection="0"/>
    <xf numFmtId="189" fontId="8" fillId="0" borderId="0" applyFont="0" applyFill="0" applyBorder="0" applyAlignment="0" applyProtection="0"/>
    <xf numFmtId="191" fontId="8" fillId="0" borderId="0" applyFill="0" applyBorder="0" applyAlignment="0" applyProtection="0"/>
    <xf numFmtId="189" fontId="8" fillId="0" borderId="0" applyFont="0" applyFill="0" applyBorder="0" applyAlignment="0" applyProtection="0"/>
    <xf numFmtId="0" fontId="8" fillId="0" borderId="0" applyFont="0" applyFill="0" applyBorder="0" applyAlignment="0" applyProtection="0"/>
    <xf numFmtId="189"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2" fontId="8" fillId="0" borderId="0" applyFont="0" applyFill="0" applyBorder="0" applyAlignment="0" applyProtection="0"/>
    <xf numFmtId="0"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0"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0"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0" fontId="8" fillId="0" borderId="0" applyFont="0" applyFill="0" applyBorder="0" applyAlignment="0" applyProtection="0"/>
    <xf numFmtId="192"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76" fontId="8" fillId="0" borderId="0" applyFont="0" applyFill="0" applyBorder="0" applyAlignment="0" applyProtection="0"/>
    <xf numFmtId="0" fontId="8" fillId="0" borderId="0" applyFont="0" applyFill="0" applyBorder="0" applyAlignment="0" applyProtection="0"/>
    <xf numFmtId="176" fontId="8" fillId="0" borderId="0" applyFont="0" applyFill="0" applyBorder="0" applyAlignment="0" applyProtection="0"/>
    <xf numFmtId="0"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8" fillId="0" borderId="0" applyFont="0" applyFill="0" applyBorder="0" applyAlignment="0" applyProtection="0"/>
    <xf numFmtId="176" fontId="8" fillId="0" borderId="0" applyFont="0" applyFill="0" applyBorder="0" applyAlignment="0" applyProtection="0"/>
    <xf numFmtId="0" fontId="8" fillId="0" borderId="0" applyFont="0" applyFill="0" applyBorder="0" applyAlignment="0" applyProtection="0"/>
    <xf numFmtId="176" fontId="8" fillId="0" borderId="0" applyFont="0" applyFill="0" applyBorder="0" applyAlignment="0" applyProtection="0"/>
    <xf numFmtId="176" fontId="8" fillId="0" borderId="0" applyFill="0" applyBorder="0" applyAlignment="0" applyProtection="0"/>
    <xf numFmtId="176" fontId="8" fillId="0" borderId="0" applyFont="0" applyFill="0" applyBorder="0" applyAlignment="0" applyProtection="0"/>
    <xf numFmtId="0" fontId="8" fillId="0" borderId="0" applyFont="0" applyFill="0" applyBorder="0" applyAlignment="0" applyProtection="0"/>
    <xf numFmtId="17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0"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0" fontId="8" fillId="0" borderId="0" applyFont="0" applyFill="0" applyBorder="0" applyAlignment="0" applyProtection="0"/>
    <xf numFmtId="192"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2" fontId="8" fillId="0" borderId="0" applyFont="0" applyFill="0" applyBorder="0" applyAlignment="0" applyProtection="0"/>
    <xf numFmtId="193" fontId="8" fillId="0" borderId="0" applyFill="0" applyBorder="0" applyAlignment="0" applyProtection="0"/>
    <xf numFmtId="0" fontId="8" fillId="0" borderId="0" applyFont="0" applyFill="0" applyBorder="0" applyAlignment="0" applyProtection="0"/>
    <xf numFmtId="192" fontId="8" fillId="0" borderId="0" applyFont="0" applyFill="0" applyBorder="0" applyAlignment="0" applyProtection="0"/>
    <xf numFmtId="0" fontId="8" fillId="0" borderId="0" applyFont="0" applyFill="0" applyBorder="0" applyAlignment="0" applyProtection="0"/>
    <xf numFmtId="192"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175" fontId="8" fillId="0" borderId="0" applyFont="0" applyFill="0" applyBorder="0" applyAlignment="0" applyProtection="0"/>
    <xf numFmtId="19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4" fontId="8" fillId="0" borderId="0" applyFont="0" applyFill="0" applyBorder="0" applyAlignment="0" applyProtection="0"/>
    <xf numFmtId="0"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0" fontId="8" fillId="0" borderId="0" applyFont="0" applyFill="0" applyBorder="0" applyAlignment="0" applyProtection="0"/>
    <xf numFmtId="194"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4" fontId="8" fillId="0" borderId="0" applyFont="0" applyFill="0" applyBorder="0" applyAlignment="0" applyProtection="0"/>
    <xf numFmtId="195" fontId="8" fillId="0" borderId="0" applyFill="0" applyBorder="0" applyAlignment="0" applyProtection="0"/>
    <xf numFmtId="0" fontId="8" fillId="0" borderId="0" applyFont="0" applyFill="0" applyBorder="0" applyAlignment="0" applyProtection="0"/>
    <xf numFmtId="194" fontId="8" fillId="0" borderId="0" applyFont="0" applyFill="0" applyBorder="0" applyAlignment="0" applyProtection="0"/>
    <xf numFmtId="0" fontId="8" fillId="0" borderId="0" applyFont="0" applyFill="0" applyBorder="0" applyAlignment="0" applyProtection="0"/>
    <xf numFmtId="194"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75" fontId="8" fillId="0" borderId="0" applyFont="0" applyFill="0" applyBorder="0" applyAlignment="0" applyProtection="0"/>
    <xf numFmtId="175"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9" fontId="8" fillId="0" borderId="0" applyFont="0" applyFill="0" applyBorder="0" applyAlignment="0" applyProtection="0"/>
    <xf numFmtId="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8" fillId="0" borderId="0" applyFont="0" applyFill="0" applyBorder="0" applyAlignment="0" applyProtection="0"/>
    <xf numFmtId="199"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9" fontId="8" fillId="0" borderId="0" applyFont="0" applyFill="0" applyBorder="0" applyAlignment="0" applyProtection="0"/>
    <xf numFmtId="0" fontId="8" fillId="0" borderId="0" applyFont="0" applyFill="0" applyBorder="0" applyAlignment="0" applyProtection="0"/>
    <xf numFmtId="199"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200" fontId="8" fillId="0" borderId="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0"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0" fontId="8" fillId="0" borderId="0" applyFont="0" applyFill="0" applyBorder="0" applyAlignment="0" applyProtection="0"/>
    <xf numFmtId="201"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202" fontId="8" fillId="0" borderId="0" applyFont="0" applyFill="0" applyBorder="0" applyAlignment="0" applyProtection="0"/>
    <xf numFmtId="190" fontId="8" fillId="0" borderId="0" applyFont="0" applyFill="0" applyBorder="0" applyAlignment="0" applyProtection="0"/>
    <xf numFmtId="0" fontId="8" fillId="0" borderId="0" applyFont="0" applyFill="0" applyBorder="0" applyAlignment="0" applyProtection="0"/>
    <xf numFmtId="39"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200" fontId="8" fillId="0" borderId="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2" fontId="8" fillId="0" borderId="0" applyFont="0" applyFill="0" applyBorder="0" applyAlignment="0" applyProtection="0"/>
    <xf numFmtId="203" fontId="8" fillId="0" borderId="0" applyFill="0" applyBorder="0" applyAlignment="0" applyProtection="0"/>
    <xf numFmtId="0"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204" fontId="8" fillId="0" borderId="0" applyFont="0" applyFill="0" applyBorder="0" applyAlignment="0" applyProtection="0"/>
    <xf numFmtId="0"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6" fontId="8" fillId="0" borderId="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4" fontId="8" fillId="0" borderId="0" applyFont="0" applyFill="0" applyBorder="0" applyAlignment="0" applyProtection="0"/>
    <xf numFmtId="207" fontId="8" fillId="0" borderId="0" applyFill="0" applyBorder="0" applyAlignment="0" applyProtection="0"/>
    <xf numFmtId="0"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25" fillId="0" borderId="0">
      <alignment vertical="top"/>
    </xf>
    <xf numFmtId="0" fontId="25" fillId="0" borderId="0">
      <alignment vertical="top"/>
    </xf>
    <xf numFmtId="0" fontId="2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39" borderId="0" applyNumberFormat="0" applyFont="0" applyAlignment="0" applyProtection="0"/>
    <xf numFmtId="0" fontId="8" fillId="39" borderId="0" applyNumberFormat="0" applyFont="0" applyAlignment="0" applyProtection="0"/>
    <xf numFmtId="0" fontId="8" fillId="40" borderId="0" applyNumberFormat="0" applyAlignment="0" applyProtection="0"/>
    <xf numFmtId="173"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8" fillId="0" borderId="0" applyFont="0" applyFill="0" applyBorder="0" applyAlignment="0" applyProtection="0"/>
    <xf numFmtId="208" fontId="8" fillId="0" borderId="0" applyFont="0" applyFill="0" applyBorder="0" applyAlignment="0" applyProtection="0"/>
    <xf numFmtId="0" fontId="8" fillId="0" borderId="0" applyFont="0" applyFill="0" applyBorder="0" applyAlignment="0" applyProtection="0"/>
    <xf numFmtId="20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9" fontId="8" fillId="0" borderId="0" applyFont="0" applyFill="0" applyBorder="0" applyAlignment="0" applyProtection="0"/>
    <xf numFmtId="0" fontId="8" fillId="0" borderId="0" applyFont="0" applyFill="0" applyBorder="0" applyAlignment="0" applyProtection="0"/>
    <xf numFmtId="209" fontId="8" fillId="0" borderId="0" applyFont="0" applyFill="0" applyBorder="0" applyAlignment="0" applyProtection="0"/>
    <xf numFmtId="209"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9" fontId="8" fillId="0" borderId="0" applyFont="0" applyFill="0" applyBorder="0" applyAlignment="0" applyProtection="0"/>
    <xf numFmtId="209"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9" fontId="8" fillId="0" borderId="0" applyFont="0" applyFill="0" applyBorder="0" applyAlignment="0" applyProtection="0"/>
    <xf numFmtId="210" fontId="8" fillId="0" borderId="0" applyFill="0" applyBorder="0" applyAlignment="0" applyProtection="0"/>
    <xf numFmtId="209" fontId="8" fillId="0" borderId="0" applyFont="0" applyFill="0" applyBorder="0" applyAlignment="0" applyProtection="0"/>
    <xf numFmtId="0" fontId="8" fillId="0" borderId="0" applyFont="0" applyFill="0" applyBorder="0" applyAlignment="0" applyProtection="0"/>
    <xf numFmtId="209"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0"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0" fontId="8" fillId="0" borderId="0" applyFont="0" applyFill="0" applyBorder="0" applyAlignment="0" applyProtection="0"/>
    <xf numFmtId="177" fontId="8" fillId="0" borderId="0" applyFont="0" applyFill="0" applyBorder="0" applyAlignment="0" applyProtection="0"/>
    <xf numFmtId="0" fontId="8" fillId="0" borderId="0" applyFont="0" applyFill="0" applyBorder="0" applyAlignment="0" applyProtection="0"/>
    <xf numFmtId="177"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173" fontId="8" fillId="0" borderId="0" applyFill="0" applyBorder="0" applyAlignment="0" applyProtection="0"/>
    <xf numFmtId="211" fontId="8" fillId="0" borderId="0" applyFont="0" applyFill="0" applyBorder="0" applyProtection="0">
      <alignment horizontal="right"/>
    </xf>
    <xf numFmtId="0" fontId="8" fillId="0" borderId="0" applyFont="0" applyFill="0" applyBorder="0" applyProtection="0">
      <alignment horizontal="right"/>
    </xf>
    <xf numFmtId="211" fontId="8" fillId="0" borderId="0" applyFont="0" applyFill="0" applyBorder="0" applyProtection="0">
      <alignment horizontal="right"/>
    </xf>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1" fontId="8" fillId="0" borderId="0" applyFont="0" applyFill="0" applyBorder="0" applyProtection="0">
      <alignment horizontal="right"/>
    </xf>
    <xf numFmtId="0" fontId="8" fillId="0" borderId="0" applyFont="0" applyFill="0" applyBorder="0" applyProtection="0">
      <alignment horizontal="right"/>
    </xf>
    <xf numFmtId="211" fontId="8" fillId="0" borderId="0" applyFont="0" applyFill="0" applyBorder="0" applyProtection="0">
      <alignment horizontal="right"/>
    </xf>
    <xf numFmtId="211" fontId="8" fillId="0" borderId="0" applyFont="0" applyFill="0" applyBorder="0" applyProtection="0">
      <alignment horizontal="right"/>
    </xf>
    <xf numFmtId="211" fontId="8" fillId="0" borderId="0" applyFont="0" applyFill="0" applyBorder="0" applyProtection="0">
      <alignment horizontal="right"/>
    </xf>
    <xf numFmtId="0" fontId="8" fillId="0" borderId="0" applyFont="0" applyFill="0" applyBorder="0" applyProtection="0">
      <alignment horizontal="right"/>
    </xf>
    <xf numFmtId="211" fontId="8" fillId="0" borderId="0" applyFont="0" applyFill="0" applyBorder="0" applyProtection="0">
      <alignment horizontal="right"/>
    </xf>
    <xf numFmtId="211" fontId="8" fillId="0" borderId="0" applyFont="0" applyFill="0" applyBorder="0" applyProtection="0">
      <alignment horizontal="right"/>
    </xf>
    <xf numFmtId="211" fontId="8" fillId="0" borderId="0" applyFont="0" applyFill="0" applyBorder="0" applyProtection="0">
      <alignment horizontal="right"/>
    </xf>
    <xf numFmtId="211" fontId="8" fillId="0" borderId="0" applyFont="0" applyFill="0" applyBorder="0" applyProtection="0">
      <alignment horizontal="right"/>
    </xf>
    <xf numFmtId="0" fontId="8" fillId="0" borderId="0" applyFont="0" applyFill="0" applyBorder="0" applyProtection="0">
      <alignment horizontal="right"/>
    </xf>
    <xf numFmtId="21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173" fontId="8" fillId="0" borderId="0" applyFont="0" applyFill="0" applyBorder="0" applyProtection="0">
      <alignment horizontal="right"/>
    </xf>
    <xf numFmtId="0" fontId="8" fillId="0" borderId="0" applyFont="0" applyFill="0" applyBorder="0" applyProtection="0">
      <alignment horizontal="right"/>
    </xf>
    <xf numFmtId="173" fontId="8" fillId="0" borderId="0" applyFont="0" applyFill="0" applyBorder="0" applyProtection="0">
      <alignment horizontal="right"/>
    </xf>
    <xf numFmtId="173" fontId="8" fillId="0" borderId="0" applyFill="0" applyBorder="0" applyProtection="0">
      <alignment horizontal="right"/>
    </xf>
    <xf numFmtId="213"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1" fontId="8" fillId="0" borderId="0" applyFont="0" applyFill="0" applyBorder="0" applyProtection="0">
      <alignment horizontal="right"/>
    </xf>
    <xf numFmtId="211" fontId="8" fillId="0" borderId="0" applyFont="0" applyFill="0" applyBorder="0" applyProtection="0">
      <alignment horizontal="right"/>
    </xf>
    <xf numFmtId="0" fontId="8" fillId="0" borderId="0" applyFont="0" applyFill="0" applyBorder="0" applyProtection="0">
      <alignment horizontal="right"/>
    </xf>
    <xf numFmtId="211" fontId="8" fillId="0" borderId="0" applyFont="0" applyFill="0" applyBorder="0" applyProtection="0">
      <alignment horizontal="right"/>
    </xf>
    <xf numFmtId="211" fontId="8" fillId="0" borderId="0" applyFont="0" applyFill="0" applyBorder="0" applyProtection="0">
      <alignment horizontal="right"/>
    </xf>
    <xf numFmtId="211" fontId="8" fillId="0" borderId="0" applyFont="0" applyFill="0" applyBorder="0" applyProtection="0">
      <alignment horizontal="right"/>
    </xf>
    <xf numFmtId="0" fontId="8" fillId="0" borderId="0" applyFont="0" applyFill="0" applyBorder="0" applyProtection="0">
      <alignment horizontal="right"/>
    </xf>
    <xf numFmtId="21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211" fontId="8" fillId="0" borderId="0" applyFont="0" applyFill="0" applyBorder="0" applyProtection="0">
      <alignment horizontal="right"/>
    </xf>
    <xf numFmtId="214" fontId="8" fillId="0" borderId="0" applyFill="0" applyBorder="0" applyProtection="0">
      <alignment horizontal="right"/>
    </xf>
    <xf numFmtId="0" fontId="8" fillId="0" borderId="0" applyFont="0" applyFill="0" applyBorder="0" applyProtection="0">
      <alignment horizontal="right"/>
    </xf>
    <xf numFmtId="211" fontId="8" fillId="0" borderId="0" applyFont="0" applyFill="0" applyBorder="0" applyProtection="0">
      <alignment horizontal="right"/>
    </xf>
    <xf numFmtId="0" fontId="8" fillId="0" borderId="0" applyFont="0" applyFill="0" applyBorder="0" applyProtection="0">
      <alignment horizontal="right"/>
    </xf>
    <xf numFmtId="21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Alignment="0" applyProtection="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9" fillId="0" borderId="0"/>
    <xf numFmtId="0" fontId="29" fillId="0" borderId="0"/>
    <xf numFmtId="215" fontId="8" fillId="0" borderId="0" applyFont="0" applyFill="0" applyBorder="0" applyAlignment="0" applyProtection="0"/>
    <xf numFmtId="215" fontId="8" fillId="0" borderId="0" applyFont="0" applyFill="0" applyBorder="0" applyAlignment="0" applyProtection="0"/>
    <xf numFmtId="0"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8" fillId="0" borderId="0" applyFont="0" applyFill="0" applyBorder="0" applyAlignment="0" applyProtection="0"/>
    <xf numFmtId="215" fontId="8" fillId="0" borderId="0" applyFont="0" applyFill="0" applyBorder="0" applyAlignment="0" applyProtection="0"/>
    <xf numFmtId="0" fontId="8" fillId="0" borderId="0" applyFont="0" applyFill="0" applyBorder="0" applyAlignment="0" applyProtection="0"/>
    <xf numFmtId="216" fontId="8" fillId="0" borderId="0" applyFont="0" applyFill="0" applyBorder="0" applyAlignment="0" applyProtection="0"/>
    <xf numFmtId="216" fontId="8" fillId="0" borderId="0" applyFont="0" applyFill="0" applyBorder="0" applyAlignment="0" applyProtection="0"/>
    <xf numFmtId="0" fontId="8" fillId="0" borderId="0" applyFont="0" applyFill="0" applyBorder="0" applyAlignment="0" applyProtection="0"/>
    <xf numFmtId="216" fontId="8" fillId="0" borderId="0" applyFont="0" applyFill="0" applyBorder="0" applyAlignment="0" applyProtection="0"/>
    <xf numFmtId="216" fontId="8" fillId="0" borderId="0" applyFont="0" applyFill="0" applyBorder="0" applyAlignment="0" applyProtection="0"/>
    <xf numFmtId="0" fontId="8" fillId="0" borderId="0" applyFont="0" applyFill="0" applyBorder="0" applyAlignment="0" applyProtection="0"/>
    <xf numFmtId="21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7" fontId="8" fillId="0" borderId="0" applyFont="0" applyFill="0" applyBorder="0" applyAlignment="0" applyProtection="0"/>
    <xf numFmtId="0" fontId="8" fillId="0" borderId="0" applyFont="0" applyFill="0" applyBorder="0" applyAlignment="0" applyProtection="0"/>
    <xf numFmtId="218"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218"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25" fillId="0" borderId="0">
      <alignment vertical="top"/>
    </xf>
    <xf numFmtId="0" fontId="8" fillId="0" borderId="0"/>
    <xf numFmtId="0" fontId="8" fillId="0" borderId="0"/>
    <xf numFmtId="0" fontId="26" fillId="0" borderId="0"/>
    <xf numFmtId="0" fontId="26" fillId="0" borderId="0"/>
    <xf numFmtId="0" fontId="30"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30" fillId="0" borderId="0" applyNumberFormat="0" applyFill="0" applyBorder="0" applyAlignment="0" applyProtection="0"/>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30"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xf numFmtId="0" fontId="8" fillId="0" borderId="0"/>
    <xf numFmtId="0" fontId="31" fillId="0" borderId="19" applyNumberFormat="0" applyFill="0" applyAlignment="0" applyProtection="0"/>
    <xf numFmtId="0" fontId="31" fillId="0" borderId="0" applyNumberFormat="0" applyFill="0" applyBorder="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2" fillId="0" borderId="20" applyNumberFormat="0" applyFill="0" applyProtection="0">
      <alignment horizontal="center"/>
    </xf>
    <xf numFmtId="0" fontId="32" fillId="0" borderId="20" applyNumberFormat="0" applyFill="0" applyProtection="0">
      <alignment horizontal="center"/>
    </xf>
    <xf numFmtId="0" fontId="32" fillId="0" borderId="20" applyNumberFormat="0" applyFill="0" applyProtection="0">
      <alignment horizontal="center"/>
    </xf>
    <xf numFmtId="0" fontId="32" fillId="0" borderId="20" applyNumberFormat="0" applyFill="0" applyProtection="0">
      <alignment horizontal="center"/>
    </xf>
    <xf numFmtId="0" fontId="32" fillId="0" borderId="20" applyNumberFormat="0" applyFill="0" applyProtection="0">
      <alignment horizontal="center"/>
    </xf>
    <xf numFmtId="0" fontId="8" fillId="0" borderId="21" applyNumberFormat="0" applyFont="0" applyFill="0" applyAlignment="0" applyProtection="0"/>
    <xf numFmtId="0" fontId="8" fillId="0" borderId="21" applyNumberFormat="0" applyFont="0" applyFill="0" applyAlignment="0" applyProtection="0"/>
    <xf numFmtId="0" fontId="8" fillId="0" borderId="21" applyNumberFormat="0" applyFont="0" applyFill="0" applyAlignment="0" applyProtection="0"/>
    <xf numFmtId="0" fontId="8" fillId="0" borderId="21" applyNumberFormat="0" applyFont="0" applyFill="0" applyAlignment="0" applyProtection="0"/>
    <xf numFmtId="0" fontId="8" fillId="0" borderId="21" applyNumberFormat="0" applyFont="0" applyFill="0" applyAlignment="0" applyProtection="0"/>
    <xf numFmtId="0" fontId="32" fillId="0" borderId="0" applyNumberFormat="0" applyFill="0" applyBorder="0" applyProtection="0">
      <alignment horizontal="left"/>
    </xf>
    <xf numFmtId="0" fontId="33"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33"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33" fillId="0" borderId="0" applyNumberFormat="0" applyFill="0" applyBorder="0" applyProtection="0">
      <alignment horizontal="centerContinuous"/>
    </xf>
    <xf numFmtId="0" fontId="34" fillId="0" borderId="0" applyNumberFormat="0" applyFill="0" applyBorder="0" applyProtection="0">
      <alignment horizontal="center"/>
    </xf>
    <xf numFmtId="0" fontId="25" fillId="0" borderId="0">
      <alignment vertical="top"/>
    </xf>
    <xf numFmtId="0" fontId="8" fillId="0" borderId="0"/>
    <xf numFmtId="0" fontId="8" fillId="0" borderId="0"/>
    <xf numFmtId="0" fontId="8" fillId="0" borderId="0"/>
    <xf numFmtId="0" fontId="8" fillId="0" borderId="0"/>
    <xf numFmtId="0" fontId="26" fillId="0" borderId="0" applyFont="0" applyFill="0" applyBorder="0" applyAlignment="0" applyProtection="0"/>
    <xf numFmtId="0" fontId="26" fillId="0" borderId="0" applyFont="0" applyFill="0" applyBorder="0" applyAlignment="0" applyProtection="0"/>
    <xf numFmtId="0" fontId="8" fillId="0" borderId="0"/>
    <xf numFmtId="0" fontId="8" fillId="0" borderId="0"/>
    <xf numFmtId="0" fontId="8" fillId="0" borderId="0"/>
    <xf numFmtId="0" fontId="8" fillId="0" borderId="0"/>
    <xf numFmtId="179" fontId="26" fillId="0" borderId="0"/>
    <xf numFmtId="0" fontId="8" fillId="0" borderId="0"/>
    <xf numFmtId="0" fontId="35" fillId="0" borderId="21" applyFont="0" applyFill="0" applyBorder="0" applyAlignment="0" applyProtection="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 fontId="3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219" fontId="8" fillId="0" borderId="0" applyFont="0" applyFill="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8" fillId="12"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8" fillId="16"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8" fillId="20"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8" fillId="2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8" fillId="28"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8" fillId="32" borderId="0" applyNumberFormat="0" applyBorder="0" applyAlignment="0" applyProtection="0"/>
    <xf numFmtId="0" fontId="37" fillId="47" borderId="0" applyNumberFormat="0" applyBorder="0" applyAlignment="0" applyProtection="0"/>
    <xf numFmtId="0" fontId="37" fillId="46" borderId="0" applyNumberFormat="0" applyBorder="0" applyAlignment="0" applyProtection="0"/>
    <xf numFmtId="0" fontId="37" fillId="48" borderId="0" applyNumberFormat="0" applyBorder="0" applyAlignment="0" applyProtection="0"/>
    <xf numFmtId="0" fontId="37" fillId="42"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8" fillId="13" borderId="0" applyNumberFormat="0" applyBorder="0" applyAlignment="0" applyProtection="0"/>
    <xf numFmtId="0" fontId="38" fillId="17" borderId="0" applyNumberFormat="0" applyBorder="0" applyAlignment="0" applyProtection="0"/>
    <xf numFmtId="0" fontId="38" fillId="21" borderId="0" applyNumberFormat="0" applyBorder="0" applyAlignment="0" applyProtection="0"/>
    <xf numFmtId="0" fontId="38" fillId="25" borderId="0" applyNumberFormat="0" applyBorder="0" applyAlignment="0" applyProtection="0"/>
    <xf numFmtId="0" fontId="38" fillId="29" borderId="0" applyNumberFormat="0" applyBorder="0" applyAlignment="0" applyProtection="0"/>
    <xf numFmtId="0" fontId="38" fillId="33" borderId="0" applyNumberFormat="0" applyBorder="0" applyAlignment="0" applyProtection="0"/>
    <xf numFmtId="0" fontId="37" fillId="47" borderId="0" applyNumberFormat="0" applyBorder="0" applyAlignment="0" applyProtection="0"/>
    <xf numFmtId="0" fontId="37" fillId="49" borderId="0" applyNumberFormat="0" applyBorder="0" applyAlignment="0" applyProtection="0"/>
    <xf numFmtId="0" fontId="37" fillId="39" borderId="0" applyNumberFormat="0" applyBorder="0" applyAlignment="0" applyProtection="0"/>
    <xf numFmtId="0" fontId="37" fillId="50" borderId="0" applyNumberFormat="0" applyBorder="0" applyAlignment="0" applyProtection="0"/>
    <xf numFmtId="0" fontId="37" fillId="47" borderId="0" applyNumberFormat="0" applyBorder="0" applyAlignment="0" applyProtection="0"/>
    <xf numFmtId="0" fontId="37" fillId="46" borderId="0" applyNumberFormat="0" applyBorder="0" applyAlignment="0" applyProtection="0"/>
    <xf numFmtId="0" fontId="39" fillId="14" borderId="0" applyNumberFormat="0" applyBorder="0" applyAlignment="0" applyProtection="0"/>
    <xf numFmtId="0" fontId="39" fillId="18" borderId="0" applyNumberFormat="0" applyBorder="0" applyAlignment="0" applyProtection="0"/>
    <xf numFmtId="0" fontId="39" fillId="22" borderId="0" applyNumberFormat="0" applyBorder="0" applyAlignment="0" applyProtection="0"/>
    <xf numFmtId="0" fontId="39" fillId="26" borderId="0" applyNumberFormat="0" applyBorder="0" applyAlignment="0" applyProtection="0"/>
    <xf numFmtId="0" fontId="39" fillId="30" borderId="0" applyNumberFormat="0" applyBorder="0" applyAlignment="0" applyProtection="0"/>
    <xf numFmtId="0" fontId="39" fillId="34" borderId="0" applyNumberFormat="0" applyBorder="0" applyAlignment="0" applyProtection="0"/>
    <xf numFmtId="0" fontId="40" fillId="47" borderId="0" applyNumberFormat="0" applyBorder="0" applyAlignment="0" applyProtection="0"/>
    <xf numFmtId="0" fontId="40" fillId="49" borderId="0" applyNumberFormat="0" applyBorder="0" applyAlignment="0" applyProtection="0"/>
    <xf numFmtId="0" fontId="40" fillId="39" borderId="0" applyNumberFormat="0" applyBorder="0" applyAlignment="0" applyProtection="0"/>
    <xf numFmtId="0" fontId="40" fillId="50" borderId="0" applyNumberFormat="0" applyBorder="0" applyAlignment="0" applyProtection="0"/>
    <xf numFmtId="0" fontId="40" fillId="47" borderId="0" applyNumberFormat="0" applyBorder="0" applyAlignment="0" applyProtection="0"/>
    <xf numFmtId="0" fontId="40" fillId="46" borderId="0" applyNumberFormat="0" applyBorder="0" applyAlignment="0" applyProtection="0"/>
    <xf numFmtId="0" fontId="21" fillId="0" borderId="0"/>
    <xf numFmtId="0" fontId="39" fillId="11" borderId="0" applyNumberFormat="0" applyBorder="0" applyAlignment="0" applyProtection="0"/>
    <xf numFmtId="0" fontId="39" fillId="15" borderId="0" applyNumberFormat="0" applyBorder="0" applyAlignment="0" applyProtection="0"/>
    <xf numFmtId="0" fontId="39" fillId="19" borderId="0" applyNumberFormat="0" applyBorder="0" applyAlignment="0" applyProtection="0"/>
    <xf numFmtId="0" fontId="39" fillId="23" borderId="0" applyNumberFormat="0" applyBorder="0" applyAlignment="0" applyProtection="0"/>
    <xf numFmtId="0" fontId="39" fillId="27" borderId="0" applyNumberFormat="0" applyBorder="0" applyAlignment="0" applyProtection="0"/>
    <xf numFmtId="0" fontId="39" fillId="31" borderId="0" applyNumberFormat="0" applyBorder="0" applyAlignment="0" applyProtection="0"/>
    <xf numFmtId="220" fontId="8" fillId="0" borderId="0" applyFont="0" applyFill="0" applyBorder="0" applyProtection="0"/>
    <xf numFmtId="221" fontId="41" fillId="0" borderId="0" applyFont="0" applyFill="0" applyBorder="0" applyAlignment="0" applyProtection="0"/>
    <xf numFmtId="222" fontId="41" fillId="0" borderId="0" applyFont="0" applyFill="0" applyBorder="0" applyAlignment="0" applyProtection="0"/>
    <xf numFmtId="0" fontId="42" fillId="0" borderId="0"/>
    <xf numFmtId="0" fontId="40" fillId="47"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55" borderId="0" applyNumberFormat="0" applyBorder="0" applyAlignment="0" applyProtection="0"/>
    <xf numFmtId="0" fontId="8" fillId="0" borderId="0" applyNumberFormat="0" applyFill="0" applyBorder="0" applyAlignment="0" applyProtection="0"/>
    <xf numFmtId="0" fontId="43" fillId="0" borderId="0" applyNumberFormat="0" applyFill="0" applyBorder="0" applyAlignment="0" applyProtection="0"/>
    <xf numFmtId="0" fontId="44" fillId="0" borderId="22" applyNumberFormat="0" applyFill="0" applyAlignment="0" applyProtection="0"/>
    <xf numFmtId="0" fontId="45" fillId="0" borderId="1" applyFont="0">
      <alignment horizontal="centerContinuous"/>
    </xf>
    <xf numFmtId="198" fontId="41" fillId="0" borderId="0" applyFont="0" applyFill="0" applyBorder="0" applyAlignment="0" applyProtection="0"/>
    <xf numFmtId="205" fontId="41" fillId="0" borderId="0" applyFont="0" applyFill="0" applyBorder="0" applyAlignment="0" applyProtection="0"/>
    <xf numFmtId="0" fontId="46" fillId="42" borderId="23" applyNumberFormat="0" applyAlignment="0" applyProtection="0"/>
    <xf numFmtId="0" fontId="8" fillId="0" borderId="0"/>
    <xf numFmtId="0" fontId="47" fillId="0" borderId="0" applyNumberFormat="0" applyFill="0" applyBorder="0" applyAlignment="0" applyProtection="0"/>
    <xf numFmtId="0" fontId="48" fillId="0" borderId="0"/>
    <xf numFmtId="9" fontId="24" fillId="0" borderId="0"/>
    <xf numFmtId="0" fontId="24" fillId="0" borderId="0"/>
    <xf numFmtId="0" fontId="2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4" fillId="0" borderId="0"/>
    <xf numFmtId="0" fontId="24" fillId="0" borderId="0"/>
    <xf numFmtId="0" fontId="8" fillId="0" borderId="0"/>
    <xf numFmtId="0" fontId="26" fillId="0" borderId="0"/>
    <xf numFmtId="0" fontId="49" fillId="42" borderId="24" applyNumberFormat="0" applyAlignment="0" applyProtection="0"/>
    <xf numFmtId="38" fontId="50" fillId="0" borderId="0" applyNumberFormat="0" applyFill="0" applyBorder="0" applyAlignment="0" applyProtection="0"/>
    <xf numFmtId="0" fontId="51" fillId="56" borderId="25" applyFill="0" applyBorder="0" applyProtection="0">
      <alignment horizontal="left"/>
    </xf>
    <xf numFmtId="0" fontId="52" fillId="0" borderId="0" applyNumberFormat="0" applyFill="0" applyBorder="0" applyAlignment="0" applyProtection="0"/>
    <xf numFmtId="0" fontId="26" fillId="0" borderId="0"/>
    <xf numFmtId="0" fontId="53" fillId="0" borderId="0" applyNumberFormat="0" applyFill="0" applyBorder="0" applyAlignment="0" applyProtection="0"/>
    <xf numFmtId="0" fontId="54" fillId="0" borderId="0" applyNumberFormat="0"/>
    <xf numFmtId="0" fontId="45" fillId="0" borderId="1" applyNumberFormat="0" applyFill="0" applyAlignment="0" applyProtection="0"/>
    <xf numFmtId="9" fontId="8" fillId="0" borderId="2" applyNumberFormat="0" applyFont="0" applyFill="0" applyAlignment="0" applyProtection="0"/>
    <xf numFmtId="0" fontId="55" fillId="0" borderId="26" applyNumberFormat="0" applyFont="0" applyFill="0" applyAlignment="0" applyProtection="0"/>
    <xf numFmtId="0" fontId="55" fillId="0" borderId="27" applyNumberFormat="0" applyFont="0" applyFill="0" applyAlignment="0" applyProtection="0"/>
    <xf numFmtId="0" fontId="8" fillId="0" borderId="28" applyNumberFormat="0" applyFont="0" applyFill="0" applyAlignment="0" applyProtection="0"/>
    <xf numFmtId="0" fontId="50" fillId="0" borderId="1" applyNumberFormat="0" applyFont="0" applyFill="0" applyAlignment="0" applyProtection="0"/>
    <xf numFmtId="0" fontId="48" fillId="0" borderId="14"/>
    <xf numFmtId="223" fontId="56" fillId="0" borderId="0" applyFont="0" applyFill="0" applyBorder="0" applyAlignment="0" applyProtection="0"/>
    <xf numFmtId="0" fontId="26" fillId="0" borderId="1">
      <alignment horizontal="centerContinuous"/>
    </xf>
    <xf numFmtId="0" fontId="8" fillId="0" borderId="26" applyBorder="0">
      <alignment horizontal="centerContinuous"/>
    </xf>
    <xf numFmtId="0" fontId="26" fillId="0" borderId="0" applyFont="0" applyFill="0" applyBorder="0" applyAlignment="0" applyProtection="0"/>
    <xf numFmtId="0" fontId="57" fillId="0" borderId="0"/>
    <xf numFmtId="0" fontId="57" fillId="0" borderId="0"/>
    <xf numFmtId="0" fontId="57" fillId="0" borderId="0"/>
    <xf numFmtId="0" fontId="57" fillId="0" borderId="0"/>
    <xf numFmtId="0" fontId="24" fillId="0" borderId="0"/>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37" fontId="26" fillId="0" borderId="0">
      <alignment horizontal="center"/>
    </xf>
    <xf numFmtId="0" fontId="45" fillId="0" borderId="0"/>
    <xf numFmtId="0" fontId="59" fillId="8" borderId="8" applyNumberFormat="0" applyAlignment="0" applyProtection="0"/>
    <xf numFmtId="201" fontId="60" fillId="0" borderId="29"/>
    <xf numFmtId="0" fontId="61" fillId="0" borderId="10" applyNumberFormat="0" applyFill="0" applyAlignment="0" applyProtection="0"/>
    <xf numFmtId="224" fontId="62" fillId="0" borderId="0" applyNumberFormat="0" applyAlignment="0">
      <alignment vertical="center"/>
    </xf>
    <xf numFmtId="0" fontId="26" fillId="0" borderId="0"/>
    <xf numFmtId="0" fontId="21" fillId="0" borderId="0">
      <alignment horizontal="center" wrapText="1"/>
      <protection hidden="1"/>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51" fillId="57" borderId="26" applyNumberFormat="0" applyProtection="0">
      <alignment horizontal="center" vertical="center" wrapText="1"/>
    </xf>
    <xf numFmtId="0" fontId="51" fillId="57" borderId="0" applyNumberFormat="0" applyBorder="0" applyProtection="0">
      <alignment horizontal="centerContinuous" vertical="center"/>
    </xf>
    <xf numFmtId="0" fontId="51" fillId="57" borderId="28" applyNumberFormat="0" applyBorder="0" applyProtection="0">
      <alignment horizontal="center" vertical="center" wrapText="1"/>
    </xf>
    <xf numFmtId="0" fontId="65" fillId="58" borderId="0" applyNumberFormat="0">
      <alignment horizontal="center" vertical="top" wrapText="1"/>
    </xf>
    <xf numFmtId="0" fontId="65" fillId="58" borderId="0" applyNumberFormat="0">
      <alignment horizontal="left" vertical="top" wrapText="1"/>
    </xf>
    <xf numFmtId="0" fontId="65" fillId="58" borderId="0" applyNumberFormat="0">
      <alignment horizontal="centerContinuous" vertical="top"/>
    </xf>
    <xf numFmtId="0" fontId="27" fillId="58" borderId="0" applyNumberFormat="0">
      <alignment horizontal="center" vertical="top" wrapText="1"/>
    </xf>
    <xf numFmtId="0" fontId="65" fillId="59" borderId="0" applyNumberFormat="0">
      <alignment horizontal="center" vertical="top" wrapText="1"/>
    </xf>
    <xf numFmtId="0" fontId="66" fillId="0" borderId="30" applyNumberFormat="0" applyFont="0" applyFill="0" applyAlignment="0" applyProtection="0">
      <alignment horizontal="left"/>
    </xf>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175" fontId="68" fillId="0" borderId="0" applyFont="0" applyFill="0" applyBorder="0" applyAlignment="0" applyProtection="0"/>
    <xf numFmtId="0" fontId="69" fillId="0" borderId="0" applyFont="0" applyFill="0" applyBorder="0" applyAlignment="0" applyProtection="0"/>
    <xf numFmtId="40" fontId="69" fillId="0" borderId="0" applyFont="0" applyFill="0" applyBorder="0" applyAlignment="0" applyProtection="0"/>
    <xf numFmtId="0" fontId="70" fillId="0" borderId="0" applyFont="0" applyFill="0" applyBorder="0" applyAlignment="0" applyProtection="0">
      <alignment horizontal="right"/>
    </xf>
    <xf numFmtId="0" fontId="70" fillId="0" borderId="0" applyFont="0" applyFill="0" applyBorder="0" applyAlignment="0" applyProtection="0"/>
    <xf numFmtId="225" fontId="70" fillId="0" borderId="0" applyFont="0" applyFill="0" applyBorder="0" applyAlignment="0" applyProtection="0">
      <alignment horizontal="right"/>
    </xf>
    <xf numFmtId="0" fontId="70" fillId="0" borderId="0" applyFont="0" applyFill="0" applyBorder="0" applyAlignment="0" applyProtection="0">
      <alignment horizontal="right"/>
    </xf>
    <xf numFmtId="43" fontId="19" fillId="0" borderId="0" applyFont="0" applyFill="0" applyBorder="0" applyAlignment="0" applyProtection="0"/>
    <xf numFmtId="190" fontId="71" fillId="0" borderId="0" applyFont="0" applyFill="0" applyBorder="0" applyAlignment="0" applyProtection="0"/>
    <xf numFmtId="39" fontId="71" fillId="0" borderId="0" applyFont="0" applyFill="0" applyBorder="0" applyAlignment="0" applyProtection="0"/>
    <xf numFmtId="0" fontId="38" fillId="10" borderId="12" applyNumberFormat="0" applyFont="0" applyAlignment="0" applyProtection="0"/>
    <xf numFmtId="0" fontId="72" fillId="60" borderId="0">
      <alignment horizontal="center" vertical="center" wrapText="1"/>
    </xf>
    <xf numFmtId="226" fontId="73" fillId="61" borderId="31" applyFill="0" applyProtection="0">
      <alignment horizontal="right" vertical="center"/>
    </xf>
    <xf numFmtId="0" fontId="74" fillId="62" borderId="0" applyFill="0" applyBorder="0" applyProtection="0">
      <alignment horizontal="right" vertical="center"/>
    </xf>
    <xf numFmtId="3" fontId="8" fillId="63" borderId="0">
      <protection hidden="1"/>
    </xf>
    <xf numFmtId="0" fontId="8" fillId="63" borderId="0">
      <protection hidden="1"/>
    </xf>
    <xf numFmtId="3" fontId="8" fillId="63" borderId="0">
      <protection hidden="1"/>
    </xf>
    <xf numFmtId="0" fontId="75" fillId="63" borderId="0">
      <protection hidden="1"/>
    </xf>
    <xf numFmtId="0" fontId="75" fillId="63" borderId="0">
      <protection hidden="1"/>
    </xf>
    <xf numFmtId="227" fontId="56" fillId="63" borderId="0">
      <protection hidden="1"/>
    </xf>
    <xf numFmtId="228" fontId="8" fillId="0" borderId="32" applyFont="0" applyFill="0" applyBorder="0" applyAlignment="0" applyProtection="0"/>
    <xf numFmtId="0" fontId="76" fillId="0" borderId="0">
      <alignment horizontal="left"/>
    </xf>
    <xf numFmtId="0" fontId="77" fillId="0" borderId="0"/>
    <xf numFmtId="0" fontId="78" fillId="0" borderId="0">
      <alignment horizontal="left"/>
    </xf>
    <xf numFmtId="229" fontId="21" fillId="0" borderId="0" applyFill="0" applyBorder="0">
      <alignment horizontal="right"/>
      <protection locked="0"/>
    </xf>
    <xf numFmtId="230" fontId="26" fillId="0" borderId="0" applyFont="0"/>
    <xf numFmtId="231" fontId="27" fillId="0" borderId="0" applyFont="0" applyFill="0" applyBorder="0" applyAlignment="0" applyProtection="0">
      <alignment vertical="center"/>
    </xf>
    <xf numFmtId="232" fontId="26" fillId="0" borderId="0" applyFont="0"/>
    <xf numFmtId="232" fontId="26" fillId="0" borderId="0" applyFont="0"/>
    <xf numFmtId="0" fontId="79" fillId="0" borderId="0" applyFont="0" applyFill="0" applyBorder="0" applyAlignment="0" applyProtection="0"/>
    <xf numFmtId="0" fontId="79" fillId="0" borderId="0" applyFont="0" applyFill="0" applyBorder="0" applyAlignment="0" applyProtection="0"/>
    <xf numFmtId="0" fontId="70" fillId="0" borderId="0" applyFont="0" applyFill="0" applyBorder="0" applyAlignment="0" applyProtection="0">
      <alignment horizontal="right"/>
    </xf>
    <xf numFmtId="0" fontId="70" fillId="0" borderId="0" applyFont="0" applyFill="0" applyBorder="0" applyAlignment="0" applyProtection="0">
      <alignment horizontal="right"/>
    </xf>
    <xf numFmtId="233" fontId="27" fillId="0" borderId="0" applyFont="0" applyFill="0" applyBorder="0" applyAlignment="0" applyProtection="0">
      <alignment vertical="center"/>
    </xf>
    <xf numFmtId="234" fontId="27" fillId="0" borderId="0" applyFont="0" applyFill="0" applyBorder="0" applyAlignment="0" applyProtection="0">
      <alignment vertical="center"/>
    </xf>
    <xf numFmtId="0" fontId="27" fillId="0" borderId="0" applyFont="0" applyFill="0" applyBorder="0" applyAlignment="0" applyProtection="0">
      <alignment vertical="center"/>
    </xf>
    <xf numFmtId="235" fontId="27" fillId="0" borderId="0" applyFont="0" applyFill="0" applyBorder="0" applyAlignment="0" applyProtection="0">
      <alignment vertical="center"/>
    </xf>
    <xf numFmtId="236" fontId="27" fillId="0" borderId="0" applyFont="0" applyFill="0" applyBorder="0" applyAlignment="0" applyProtection="0">
      <alignment vertical="center"/>
    </xf>
    <xf numFmtId="0" fontId="27" fillId="0" borderId="0" applyFont="0" applyFill="0" applyBorder="0" applyAlignment="0" applyProtection="0">
      <alignment vertical="center"/>
    </xf>
    <xf numFmtId="237" fontId="27" fillId="0" borderId="0" applyFont="0" applyFill="0" applyBorder="0" applyAlignment="0" applyProtection="0">
      <alignment vertical="center"/>
    </xf>
    <xf numFmtId="238" fontId="27" fillId="0" borderId="0" applyFont="0" applyFill="0" applyBorder="0" applyAlignment="0" applyProtection="0">
      <alignment vertical="center"/>
    </xf>
    <xf numFmtId="0" fontId="27" fillId="0" borderId="0" applyFont="0" applyFill="0" applyBorder="0" applyAlignment="0" applyProtection="0">
      <alignment vertical="center"/>
    </xf>
    <xf numFmtId="239" fontId="27" fillId="0" borderId="0" applyFont="0" applyFill="0" applyBorder="0" applyAlignment="0" applyProtection="0">
      <alignment vertical="center"/>
    </xf>
    <xf numFmtId="240" fontId="27" fillId="0" borderId="0" applyFont="0" applyFill="0" applyBorder="0" applyAlignment="0" applyProtection="0">
      <alignment vertical="center"/>
    </xf>
    <xf numFmtId="0" fontId="27" fillId="0" borderId="0" applyFont="0" applyFill="0" applyBorder="0" applyAlignment="0" applyProtection="0">
      <alignment vertical="center"/>
    </xf>
    <xf numFmtId="241" fontId="27" fillId="0" borderId="0" applyFont="0" applyFill="0" applyBorder="0" applyAlignment="0" applyProtection="0">
      <alignment vertical="center"/>
    </xf>
    <xf numFmtId="242" fontId="27" fillId="0" borderId="0" applyFont="0" applyFill="0" applyBorder="0" applyAlignment="0" applyProtection="0">
      <alignment vertical="center"/>
    </xf>
    <xf numFmtId="0" fontId="27" fillId="0" borderId="0" applyFont="0" applyFill="0" applyBorder="0" applyAlignment="0" applyProtection="0">
      <alignment vertical="center"/>
    </xf>
    <xf numFmtId="243" fontId="27" fillId="0" borderId="0" applyFont="0" applyFill="0" applyBorder="0" applyAlignment="0" applyProtection="0">
      <alignment vertical="center"/>
    </xf>
    <xf numFmtId="244" fontId="27" fillId="0" borderId="0" applyFont="0" applyFill="0" applyBorder="0" applyAlignment="0" applyProtection="0">
      <alignment vertical="center"/>
    </xf>
    <xf numFmtId="0" fontId="27" fillId="0" borderId="0" applyFont="0" applyFill="0" applyBorder="0" applyAlignment="0" applyProtection="0">
      <alignment vertical="center"/>
    </xf>
    <xf numFmtId="245" fontId="71" fillId="0" borderId="0" applyFont="0" applyFill="0" applyBorder="0" applyAlignment="0" applyProtection="0"/>
    <xf numFmtId="164" fontId="71" fillId="0" borderId="0" applyFont="0" applyFill="0" applyBorder="0" applyAlignment="0" applyProtection="0"/>
    <xf numFmtId="0" fontId="26" fillId="0" borderId="0" applyFont="0" applyFill="0" applyBorder="0" applyAlignment="0" applyProtection="0"/>
    <xf numFmtId="0" fontId="66" fillId="0" borderId="0" applyFont="0" applyFill="0" applyBorder="0" applyAlignment="0" applyProtection="0"/>
    <xf numFmtId="246" fontId="27" fillId="0" borderId="0" applyFont="0" applyFill="0" applyBorder="0" applyAlignment="0" applyProtection="0">
      <alignment vertical="center"/>
    </xf>
    <xf numFmtId="247" fontId="27" fillId="0" borderId="0" applyFont="0" applyFill="0" applyBorder="0" applyAlignment="0" applyProtection="0">
      <alignment vertical="center"/>
    </xf>
    <xf numFmtId="0" fontId="70" fillId="0" borderId="0" applyFont="0" applyFill="0" applyBorder="0" applyAlignment="0" applyProtection="0"/>
    <xf numFmtId="0" fontId="8" fillId="0" borderId="0" applyFont="0" applyFill="0" applyBorder="0" applyAlignment="0" applyProtection="0"/>
    <xf numFmtId="0" fontId="66" fillId="62" borderId="14" applyFont="0" applyFill="0" applyBorder="0" applyAlignment="0" applyProtection="0">
      <alignment horizontal="center"/>
    </xf>
    <xf numFmtId="0" fontId="75" fillId="0" borderId="0">
      <protection hidden="1"/>
    </xf>
    <xf numFmtId="0" fontId="8" fillId="0" borderId="0">
      <protection hidden="1"/>
    </xf>
    <xf numFmtId="0" fontId="80" fillId="0" borderId="0">
      <protection hidden="1"/>
    </xf>
    <xf numFmtId="0" fontId="81" fillId="0" borderId="0">
      <protection locked="0"/>
    </xf>
    <xf numFmtId="3" fontId="75" fillId="0" borderId="33"/>
    <xf numFmtId="38" fontId="80" fillId="0" borderId="0" applyFont="0" applyFill="0" applyBorder="0" applyAlignment="0" applyProtection="0"/>
    <xf numFmtId="40" fontId="80" fillId="0" borderId="0" applyFont="0" applyFill="0" applyBorder="0" applyAlignment="0" applyProtection="0"/>
    <xf numFmtId="0" fontId="70" fillId="0" borderId="34" applyNumberFormat="0" applyFont="0" applyFill="0" applyAlignment="0" applyProtection="0"/>
    <xf numFmtId="165" fontId="8" fillId="0" borderId="0" applyFill="0" applyBorder="0" applyAlignment="0" applyProtection="0"/>
    <xf numFmtId="3" fontId="82" fillId="36" borderId="0" applyNumberFormat="0">
      <protection locked="0"/>
    </xf>
    <xf numFmtId="0" fontId="83" fillId="7" borderId="8" applyNumberFormat="0" applyAlignment="0" applyProtection="0"/>
    <xf numFmtId="0" fontId="6" fillId="64" borderId="28"/>
    <xf numFmtId="0" fontId="84" fillId="0" borderId="35" applyNumberFormat="0" applyFill="0" applyAlignment="0" applyProtection="0"/>
    <xf numFmtId="179" fontId="27" fillId="0" borderId="0"/>
    <xf numFmtId="0" fontId="85" fillId="0" borderId="0" applyNumberFormat="0" applyFill="0" applyBorder="0" applyAlignment="0" applyProtection="0"/>
    <xf numFmtId="2" fontId="86" fillId="0" borderId="0"/>
    <xf numFmtId="24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49" fontId="87" fillId="0" borderId="0">
      <alignment horizontal="right" vertical="top"/>
    </xf>
    <xf numFmtId="250" fontId="88" fillId="0" borderId="0">
      <alignment horizontal="right" vertical="top"/>
    </xf>
    <xf numFmtId="250" fontId="87" fillId="0" borderId="0">
      <alignment horizontal="right" vertical="top"/>
    </xf>
    <xf numFmtId="251" fontId="88" fillId="0" borderId="0" applyFill="0" applyBorder="0">
      <alignment horizontal="right" vertical="top"/>
    </xf>
    <xf numFmtId="252" fontId="88" fillId="0" borderId="0" applyFill="0" applyBorder="0">
      <alignment horizontal="right" vertical="top"/>
    </xf>
    <xf numFmtId="253" fontId="88" fillId="0" borderId="0" applyFill="0" applyBorder="0">
      <alignment horizontal="right" vertical="top"/>
    </xf>
    <xf numFmtId="254" fontId="88" fillId="0" borderId="0" applyFill="0" applyBorder="0">
      <alignment horizontal="right" vertical="top"/>
    </xf>
    <xf numFmtId="0" fontId="89" fillId="0" borderId="0">
      <alignment horizontal="center" wrapText="1"/>
    </xf>
    <xf numFmtId="255" fontId="90" fillId="0" borderId="0" applyFill="0" applyBorder="0">
      <alignment vertical="top"/>
    </xf>
    <xf numFmtId="255" fontId="51" fillId="0" borderId="0" applyFill="0" applyBorder="0" applyProtection="0">
      <alignment vertical="top"/>
    </xf>
    <xf numFmtId="255" fontId="91" fillId="0" borderId="0">
      <alignment vertical="top"/>
    </xf>
    <xf numFmtId="41" fontId="88" fillId="0" borderId="0" applyFill="0" applyBorder="0" applyAlignment="0" applyProtection="0">
      <alignment horizontal="right" vertical="top"/>
    </xf>
    <xf numFmtId="255" fontId="92" fillId="0" borderId="0"/>
    <xf numFmtId="0" fontId="88" fillId="0" borderId="0" applyFill="0" applyBorder="0">
      <alignment horizontal="left" vertical="top"/>
    </xf>
    <xf numFmtId="0" fontId="8" fillId="0" borderId="0" applyFont="0" applyFill="0" applyBorder="0" applyAlignment="0" applyProtection="0"/>
    <xf numFmtId="0" fontId="8" fillId="0" borderId="0" applyFont="0" applyFill="0" applyBorder="0" applyAlignment="0" applyProtection="0"/>
    <xf numFmtId="3" fontId="8" fillId="0" borderId="0" applyNumberFormat="0" applyFont="0" applyFill="0" applyBorder="0" applyAlignment="0" applyProtection="0">
      <alignment horizontal="left"/>
    </xf>
    <xf numFmtId="0" fontId="93" fillId="0" borderId="0" applyNumberFormat="0" applyFill="0" applyBorder="0" applyAlignment="0" applyProtection="0"/>
    <xf numFmtId="0" fontId="94" fillId="0" borderId="0">
      <alignment horizontal="left"/>
    </xf>
    <xf numFmtId="0" fontId="95" fillId="0" borderId="0">
      <alignment horizontal="left"/>
    </xf>
    <xf numFmtId="0" fontId="96" fillId="0" borderId="0" applyFill="0" applyBorder="0" applyProtection="0">
      <alignment horizontal="left"/>
    </xf>
    <xf numFmtId="0" fontId="96" fillId="0" borderId="0" applyNumberFormat="0" applyFill="0" applyBorder="0" applyProtection="0">
      <alignment horizontal="left"/>
    </xf>
    <xf numFmtId="256" fontId="8" fillId="0" borderId="0">
      <alignment horizontal="left"/>
    </xf>
    <xf numFmtId="0" fontId="6" fillId="0" borderId="0">
      <protection hidden="1"/>
    </xf>
    <xf numFmtId="0" fontId="75" fillId="0" borderId="0"/>
    <xf numFmtId="9" fontId="97" fillId="0" borderId="0" applyNumberFormat="0" applyFill="0" applyBorder="0" applyAlignment="0" applyProtection="0"/>
    <xf numFmtId="38" fontId="6" fillId="63" borderId="0" applyNumberFormat="0" applyBorder="0" applyAlignment="0" applyProtection="0"/>
    <xf numFmtId="0" fontId="66" fillId="0" borderId="18" applyFill="0" applyBorder="0" applyProtection="0">
      <alignment horizontal="left"/>
    </xf>
    <xf numFmtId="0" fontId="98" fillId="43"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99" fillId="0" borderId="0" applyNumberFormat="0" applyFill="0" applyProtection="0">
      <alignment horizontal="left"/>
    </xf>
    <xf numFmtId="0" fontId="27" fillId="0" borderId="0">
      <alignment vertical="center"/>
    </xf>
    <xf numFmtId="0" fontId="100" fillId="58" borderId="0" applyNumberFormat="0">
      <alignment vertical="center"/>
    </xf>
    <xf numFmtId="0" fontId="101"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3" fillId="0" borderId="0" applyNumberFormat="0" applyFill="0" applyBorder="0" applyAlignment="0" applyProtection="0">
      <alignment horizontal="left" vertical="center"/>
    </xf>
    <xf numFmtId="0" fontId="65" fillId="0" borderId="0" applyNumberFormat="0" applyFill="0" applyBorder="0" applyAlignment="0" applyProtection="0">
      <alignment vertical="center"/>
    </xf>
    <xf numFmtId="2" fontId="104" fillId="56" borderId="0"/>
    <xf numFmtId="0" fontId="70" fillId="0" borderId="0" applyFont="0" applyFill="0" applyBorder="0" applyAlignment="0" applyProtection="0">
      <alignment horizontal="right"/>
    </xf>
    <xf numFmtId="0" fontId="105" fillId="0" borderId="0"/>
    <xf numFmtId="0" fontId="106" fillId="0" borderId="0">
      <alignment horizontal="left"/>
    </xf>
    <xf numFmtId="0" fontId="106" fillId="0" borderId="0">
      <alignment horizontal="left"/>
    </xf>
    <xf numFmtId="0" fontId="103" fillId="0" borderId="36" applyNumberFormat="0" applyAlignment="0" applyProtection="0">
      <alignment horizontal="left" vertical="center"/>
    </xf>
    <xf numFmtId="0" fontId="103" fillId="0" borderId="37">
      <alignment horizontal="left" vertical="center"/>
    </xf>
    <xf numFmtId="0" fontId="107" fillId="36" borderId="0" applyNumberFormat="0" applyBorder="0" applyAlignment="0" applyProtection="0"/>
    <xf numFmtId="0" fontId="108" fillId="0" borderId="0">
      <alignment horizontal="left"/>
    </xf>
    <xf numFmtId="0" fontId="109" fillId="0" borderId="18">
      <alignment horizontal="left" vertical="top"/>
    </xf>
    <xf numFmtId="0" fontId="110" fillId="0" borderId="0">
      <alignment horizontal="left"/>
    </xf>
    <xf numFmtId="0" fontId="111" fillId="0" borderId="18">
      <alignment horizontal="left" vertical="top"/>
    </xf>
    <xf numFmtId="0" fontId="112" fillId="0" borderId="0">
      <alignment horizontal="left"/>
    </xf>
    <xf numFmtId="9" fontId="113" fillId="0" borderId="0" applyNumberFormat="0">
      <protection locked="0"/>
    </xf>
    <xf numFmtId="37" fontId="114" fillId="0" borderId="0">
      <alignment horizontal="left"/>
    </xf>
    <xf numFmtId="0" fontId="115" fillId="0" borderId="0"/>
    <xf numFmtId="37" fontId="45" fillId="0" borderId="0">
      <alignment horizontal="left"/>
    </xf>
    <xf numFmtId="0" fontId="102" fillId="0" borderId="0">
      <alignment horizontal="left"/>
    </xf>
    <xf numFmtId="0" fontId="8" fillId="0" borderId="38" applyNumberFormat="0" applyFill="0" applyBorder="0" applyAlignment="0" applyProtection="0">
      <alignment horizontal="left"/>
    </xf>
    <xf numFmtId="0" fontId="116" fillId="0" borderId="0">
      <alignment vertical="center"/>
    </xf>
    <xf numFmtId="0" fontId="116" fillId="0" borderId="0"/>
    <xf numFmtId="0" fontId="75" fillId="0" borderId="0"/>
    <xf numFmtId="3" fontId="117" fillId="0" borderId="0">
      <protection hidden="1"/>
    </xf>
    <xf numFmtId="257" fontId="118" fillId="0" borderId="0">
      <protection locked="0"/>
    </xf>
    <xf numFmtId="0" fontId="44" fillId="0" borderId="0" applyNumberFormat="0" applyFill="0" applyBorder="0" applyAlignment="0" applyProtection="0"/>
    <xf numFmtId="0" fontId="119" fillId="0" borderId="0" applyNumberFormat="0" applyFill="0" applyBorder="0" applyAlignment="0" applyProtection="0"/>
    <xf numFmtId="258" fontId="104" fillId="61" borderId="0" applyBorder="0" applyProtection="0">
      <alignment horizontal="center" vertical="center"/>
    </xf>
    <xf numFmtId="0" fontId="104" fillId="62" borderId="0" applyFill="0" applyBorder="0" applyProtection="0">
      <alignment horizontal="left" vertical="center"/>
    </xf>
    <xf numFmtId="258" fontId="120" fillId="62" borderId="0" applyFill="0" applyBorder="0" applyProtection="0">
      <alignment horizontal="right" vertical="center"/>
    </xf>
    <xf numFmtId="228" fontId="8" fillId="63" borderId="0" applyNumberFormat="0" applyFill="0" applyBorder="0" applyProtection="0">
      <alignment horizontal="left" vertical="center"/>
    </xf>
    <xf numFmtId="0" fontId="121" fillId="0" borderId="0" applyNumberFormat="0" applyFill="0" applyBorder="0" applyAlignment="0" applyProtection="0"/>
    <xf numFmtId="9" fontId="86" fillId="0" borderId="0" applyAlignment="0">
      <alignment horizontal="center"/>
    </xf>
    <xf numFmtId="9" fontId="122" fillId="0" borderId="28"/>
    <xf numFmtId="0" fontId="122" fillId="0" borderId="28"/>
    <xf numFmtId="10" fontId="122" fillId="0" borderId="28"/>
    <xf numFmtId="0" fontId="122" fillId="0" borderId="28"/>
    <xf numFmtId="4" fontId="122" fillId="0" borderId="28"/>
    <xf numFmtId="10" fontId="6" fillId="65" borderId="28" applyNumberFormat="0" applyBorder="0" applyAlignment="0" applyProtection="0"/>
    <xf numFmtId="0" fontId="27" fillId="0" borderId="39" applyNumberFormat="0" applyAlignment="0">
      <alignment vertical="center"/>
    </xf>
    <xf numFmtId="0" fontId="27" fillId="0" borderId="40" applyNumberFormat="0" applyAlignment="0">
      <alignment vertical="center"/>
      <protection locked="0"/>
    </xf>
    <xf numFmtId="259" fontId="97" fillId="61" borderId="0" applyFill="0" applyProtection="0">
      <alignment horizontal="right" vertical="center"/>
    </xf>
    <xf numFmtId="258" fontId="44" fillId="61" borderId="0" applyFill="0" applyProtection="0">
      <alignment horizontal="right" vertical="center"/>
    </xf>
    <xf numFmtId="0" fontId="27" fillId="0" borderId="40" applyNumberFormat="0" applyAlignment="0">
      <alignment vertical="center"/>
      <protection locked="0"/>
    </xf>
    <xf numFmtId="3" fontId="8" fillId="36" borderId="0">
      <protection locked="0"/>
    </xf>
    <xf numFmtId="3" fontId="75" fillId="36" borderId="0"/>
    <xf numFmtId="3" fontId="8" fillId="36" borderId="0">
      <protection locked="0"/>
    </xf>
    <xf numFmtId="260" fontId="27" fillId="66" borderId="40" applyNumberFormat="0" applyAlignment="0">
      <alignment vertical="center"/>
      <protection locked="0"/>
    </xf>
    <xf numFmtId="261" fontId="123" fillId="0" borderId="0" applyNumberFormat="0" applyBorder="0" applyProtection="0"/>
    <xf numFmtId="261" fontId="104" fillId="0" borderId="0"/>
    <xf numFmtId="0" fontId="104" fillId="0" borderId="0" applyNumberFormat="0" applyFill="0" applyBorder="0" applyAlignment="0" applyProtection="0"/>
    <xf numFmtId="0" fontId="27" fillId="67" borderId="0" applyNumberFormat="0" applyAlignment="0">
      <alignment vertical="center"/>
    </xf>
    <xf numFmtId="0" fontId="104" fillId="68" borderId="0" applyNumberFormat="0" applyBorder="0" applyProtection="0">
      <alignment horizontal="center" vertical="center"/>
    </xf>
    <xf numFmtId="0" fontId="8" fillId="0" borderId="41"/>
    <xf numFmtId="0" fontId="27" fillId="0" borderId="42" applyNumberFormat="0" applyAlignment="0">
      <alignment vertical="center"/>
      <protection locked="0"/>
    </xf>
    <xf numFmtId="9" fontId="8" fillId="0" borderId="41" applyFill="0" applyAlignment="0" applyProtection="0"/>
    <xf numFmtId="3" fontId="75" fillId="36" borderId="0"/>
    <xf numFmtId="3" fontId="75" fillId="36" borderId="0">
      <protection locked="0"/>
    </xf>
    <xf numFmtId="3" fontId="75" fillId="36" borderId="0"/>
    <xf numFmtId="9" fontId="8" fillId="0" borderId="41" applyFill="0" applyAlignment="0" applyProtection="0"/>
    <xf numFmtId="258" fontId="44" fillId="61" borderId="18" applyProtection="0">
      <alignment horizontal="left" vertical="center"/>
    </xf>
    <xf numFmtId="0" fontId="44" fillId="0" borderId="0" applyFill="0" applyProtection="0">
      <alignment horizontal="left" vertical="center"/>
    </xf>
    <xf numFmtId="258" fontId="124" fillId="62" borderId="0" applyFill="0" applyBorder="0" applyProtection="0">
      <alignment horizontal="right" vertical="center"/>
    </xf>
    <xf numFmtId="0" fontId="8" fillId="0" borderId="41"/>
    <xf numFmtId="10" fontId="8" fillId="0" borderId="0">
      <protection locked="0"/>
    </xf>
    <xf numFmtId="0" fontId="24" fillId="0" borderId="0" applyNumberFormat="0" applyFill="0" applyBorder="0" applyAlignment="0">
      <protection locked="0"/>
    </xf>
    <xf numFmtId="0" fontId="125" fillId="0" borderId="0" applyNumberFormat="0" applyFill="0" applyBorder="0" applyAlignment="0"/>
    <xf numFmtId="262" fontId="56" fillId="0" borderId="0"/>
    <xf numFmtId="15" fontId="8" fillId="0" borderId="0">
      <protection locked="0"/>
    </xf>
    <xf numFmtId="2" fontId="8" fillId="0" borderId="43">
      <protection locked="0"/>
    </xf>
    <xf numFmtId="0" fontId="56" fillId="0" borderId="0"/>
    <xf numFmtId="0" fontId="8" fillId="0" borderId="0">
      <protection locked="0"/>
    </xf>
    <xf numFmtId="0" fontId="126" fillId="5" borderId="0" applyNumberFormat="0" applyBorder="0" applyAlignment="0" applyProtection="0"/>
    <xf numFmtId="0" fontId="21" fillId="0" borderId="0" applyFill="0" applyBorder="0">
      <alignment horizontal="right"/>
      <protection locked="0"/>
    </xf>
    <xf numFmtId="263" fontId="21" fillId="0" borderId="0" applyFill="0" applyBorder="0">
      <alignment horizontal="right"/>
      <protection locked="0"/>
    </xf>
    <xf numFmtId="0" fontId="121" fillId="69" borderId="0" applyBorder="0"/>
    <xf numFmtId="0" fontId="127" fillId="70" borderId="44">
      <alignment horizontal="left" vertical="center" wrapText="1"/>
    </xf>
    <xf numFmtId="4" fontId="104" fillId="56" borderId="0"/>
    <xf numFmtId="0" fontId="128" fillId="0" borderId="0" applyNumberFormat="0" applyFill="0" applyBorder="0" applyAlignment="0"/>
    <xf numFmtId="1" fontId="8" fillId="1" borderId="45">
      <protection locked="0"/>
    </xf>
    <xf numFmtId="38" fontId="129" fillId="0" borderId="0"/>
    <xf numFmtId="38" fontId="130" fillId="0" borderId="0"/>
    <xf numFmtId="38" fontId="131" fillId="0" borderId="0"/>
    <xf numFmtId="38" fontId="132" fillId="0" borderId="0"/>
    <xf numFmtId="0" fontId="133" fillId="0" borderId="0"/>
    <xf numFmtId="0" fontId="133" fillId="0" borderId="0"/>
    <xf numFmtId="37" fontId="8" fillId="0" borderId="0" applyNumberFormat="0" applyFill="0" applyBorder="0" applyAlignment="0" applyProtection="0">
      <alignment horizontal="right"/>
    </xf>
    <xf numFmtId="0" fontId="134" fillId="0" borderId="0" applyNumberFormat="0" applyFill="0" applyBorder="0" applyProtection="0">
      <alignment horizontal="left" vertical="center"/>
    </xf>
    <xf numFmtId="0" fontId="121" fillId="69" borderId="0" applyBorder="0" applyAlignment="0">
      <alignment horizontal="right"/>
    </xf>
    <xf numFmtId="264" fontId="135" fillId="0" borderId="0" applyAlignment="0" applyProtection="0">
      <alignment horizontal="center" vertical="center"/>
    </xf>
    <xf numFmtId="10" fontId="136" fillId="71" borderId="46" applyFill="0" applyBorder="0" applyAlignment="0" applyProtection="0">
      <alignment horizontal="center" vertical="center" wrapText="1"/>
    </xf>
    <xf numFmtId="264" fontId="135" fillId="71" borderId="46" applyFill="0" applyBorder="0" applyAlignment="0">
      <alignment horizontal="center" vertical="center" wrapText="1"/>
    </xf>
    <xf numFmtId="10" fontId="136" fillId="71" borderId="46" applyFill="0" applyBorder="0" applyAlignment="0">
      <alignment horizontal="center" vertical="center" wrapText="1"/>
    </xf>
    <xf numFmtId="10" fontId="136" fillId="71" borderId="46" applyFill="0" applyBorder="0" applyAlignment="0">
      <alignment horizontal="center" vertical="center" wrapText="1"/>
    </xf>
    <xf numFmtId="0" fontId="135" fillId="0" borderId="0" applyAlignment="0" applyProtection="0">
      <alignment horizontal="center" vertical="center"/>
    </xf>
    <xf numFmtId="166" fontId="110" fillId="0" borderId="0" applyFont="0" applyFill="0" applyBorder="0" applyAlignment="0" applyProtection="0"/>
    <xf numFmtId="168" fontId="110" fillId="0" borderId="0" applyFont="0" applyFill="0" applyBorder="0" applyAlignment="0" applyProtection="0"/>
    <xf numFmtId="265" fontId="137" fillId="0" borderId="0" applyFont="0" applyFill="0" applyBorder="0" applyAlignment="0" applyProtection="0"/>
    <xf numFmtId="266" fontId="137"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0" fontId="66" fillId="62" borderId="0" applyFont="0" applyFill="0" applyBorder="0" applyAlignment="0" applyProtection="0"/>
    <xf numFmtId="176" fontId="8" fillId="0" borderId="0"/>
    <xf numFmtId="267" fontId="8" fillId="0" borderId="0" applyFont="0" applyFill="0" applyBorder="0" applyAlignment="0" applyProtection="0"/>
    <xf numFmtId="165" fontId="8" fillId="0" borderId="0" applyFont="0" applyFill="0" applyBorder="0" applyAlignment="0" applyProtection="0"/>
    <xf numFmtId="167" fontId="8" fillId="0" borderId="0" applyFont="0" applyFill="0" applyBorder="0" applyAlignment="0" applyProtection="0"/>
    <xf numFmtId="268" fontId="137" fillId="0" borderId="0" applyFont="0" applyFill="0" applyBorder="0" applyAlignment="0" applyProtection="0"/>
    <xf numFmtId="269" fontId="137" fillId="0" borderId="0" applyFont="0" applyFill="0" applyBorder="0" applyAlignment="0" applyProtection="0"/>
    <xf numFmtId="0" fontId="138" fillId="0" borderId="0" applyFont="0" applyFill="0" applyBorder="0" applyAlignment="0" applyProtection="0"/>
    <xf numFmtId="3" fontId="21" fillId="0" borderId="14" applyNumberFormat="0">
      <alignment horizontal="left"/>
    </xf>
    <xf numFmtId="270" fontId="8" fillId="0" borderId="0" applyFont="0" applyFill="0" applyBorder="0" applyAlignment="0" applyProtection="0"/>
    <xf numFmtId="0" fontId="139" fillId="0" borderId="0" applyNumberFormat="0" applyFill="0" applyBorder="0" applyProtection="0">
      <alignment horizontal="left"/>
    </xf>
    <xf numFmtId="0" fontId="8" fillId="0" borderId="47" applyBorder="0" applyAlignment="0" applyProtection="0">
      <alignment horizontal="center"/>
    </xf>
    <xf numFmtId="0" fontId="140" fillId="6" borderId="0" applyNumberFormat="0" applyBorder="0" applyAlignment="0" applyProtection="0"/>
    <xf numFmtId="0" fontId="48" fillId="0" borderId="0">
      <alignment horizontal="left"/>
    </xf>
    <xf numFmtId="37" fontId="141" fillId="0" borderId="0"/>
    <xf numFmtId="0" fontId="48" fillId="0" borderId="0">
      <alignment horizontal="left"/>
    </xf>
    <xf numFmtId="0" fontId="142" fillId="0" borderId="0">
      <alignment horizontal="right"/>
    </xf>
    <xf numFmtId="0" fontId="143" fillId="0" borderId="0"/>
    <xf numFmtId="0" fontId="8" fillId="0" borderId="0"/>
    <xf numFmtId="0" fontId="8" fillId="0" borderId="0"/>
    <xf numFmtId="244" fontId="8" fillId="0" borderId="0"/>
    <xf numFmtId="0" fontId="38" fillId="0" borderId="0"/>
    <xf numFmtId="0" fontId="38" fillId="0" borderId="0"/>
    <xf numFmtId="0" fontId="38" fillId="0" borderId="0"/>
    <xf numFmtId="244" fontId="38" fillId="0" borderId="0"/>
    <xf numFmtId="0" fontId="19" fillId="0" borderId="0"/>
    <xf numFmtId="0" fontId="38" fillId="0" borderId="0"/>
    <xf numFmtId="0" fontId="138" fillId="0" borderId="0"/>
    <xf numFmtId="0" fontId="138" fillId="0" borderId="0"/>
    <xf numFmtId="0" fontId="38" fillId="0" borderId="0"/>
    <xf numFmtId="0" fontId="38" fillId="0" borderId="0"/>
    <xf numFmtId="271" fontId="8" fillId="0" borderId="0"/>
    <xf numFmtId="0" fontId="38" fillId="0" borderId="0"/>
    <xf numFmtId="0" fontId="38" fillId="0" borderId="0"/>
    <xf numFmtId="0" fontId="38" fillId="0" borderId="0"/>
    <xf numFmtId="0" fontId="144" fillId="0" borderId="0"/>
    <xf numFmtId="0" fontId="8" fillId="0" borderId="0"/>
    <xf numFmtId="0" fontId="110" fillId="0" borderId="0"/>
    <xf numFmtId="0" fontId="145" fillId="0" borderId="0"/>
    <xf numFmtId="0" fontId="146" fillId="0" borderId="0"/>
    <xf numFmtId="37" fontId="8" fillId="0" borderId="0" applyNumberFormat="0" applyFont="0" applyFill="0" applyBorder="0" applyAlignment="0" applyProtection="0"/>
    <xf numFmtId="0" fontId="147" fillId="0" borderId="43"/>
    <xf numFmtId="0" fontId="8" fillId="48" borderId="48" applyNumberFormat="0" applyFont="0" applyAlignment="0" applyProtection="0"/>
    <xf numFmtId="38" fontId="66" fillId="0" borderId="31" applyFont="0" applyFill="0" applyBorder="0" applyAlignment="0" applyProtection="0"/>
    <xf numFmtId="224" fontId="27" fillId="0" borderId="0" applyFont="0" applyFill="0" applyBorder="0" applyAlignment="0" applyProtection="0">
      <alignment vertical="center"/>
    </xf>
    <xf numFmtId="260" fontId="27" fillId="0" borderId="0" applyFont="0" applyFill="0" applyBorder="0" applyAlignment="0" applyProtection="0">
      <alignment vertical="center"/>
    </xf>
    <xf numFmtId="173" fontId="148" fillId="0" borderId="0"/>
    <xf numFmtId="0" fontId="101" fillId="0" borderId="0"/>
    <xf numFmtId="272" fontId="8" fillId="0" borderId="0"/>
    <xf numFmtId="273" fontId="149" fillId="62" borderId="0">
      <alignment horizontal="right"/>
    </xf>
    <xf numFmtId="0" fontId="150" fillId="65" borderId="0">
      <alignment horizontal="center"/>
    </xf>
    <xf numFmtId="0" fontId="151" fillId="72" borderId="31"/>
    <xf numFmtId="0" fontId="152" fillId="0" borderId="0" applyBorder="0">
      <alignment horizontal="centerContinuous"/>
    </xf>
    <xf numFmtId="0" fontId="153" fillId="72" borderId="0" applyBorder="0">
      <alignment horizontal="centerContinuous"/>
    </xf>
    <xf numFmtId="258" fontId="57" fillId="61" borderId="31" applyProtection="0">
      <alignment horizontal="right" vertical="center"/>
    </xf>
    <xf numFmtId="0" fontId="154" fillId="62" borderId="0" applyFill="0" applyBorder="0" applyProtection="0">
      <alignment horizontal="right" vertical="center"/>
    </xf>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49"/>
    <xf numFmtId="10" fontId="26" fillId="0" borderId="49"/>
    <xf numFmtId="10" fontId="26" fillId="0" borderId="31"/>
    <xf numFmtId="10" fontId="26" fillId="0" borderId="31"/>
    <xf numFmtId="10" fontId="26" fillId="0" borderId="31"/>
    <xf numFmtId="10" fontId="26" fillId="0" borderId="31"/>
    <xf numFmtId="0" fontId="155" fillId="0" borderId="0" applyFill="0" applyBorder="0" applyProtection="0">
      <alignment horizontal="left"/>
    </xf>
    <xf numFmtId="0" fontId="134" fillId="0" borderId="0" applyFill="0" applyBorder="0" applyProtection="0">
      <alignment horizontal="left"/>
    </xf>
    <xf numFmtId="1" fontId="156" fillId="0" borderId="0" applyProtection="0">
      <alignment horizontal="right" vertical="center"/>
    </xf>
    <xf numFmtId="0" fontId="51" fillId="0" borderId="50" applyNumberFormat="0" applyAlignment="0" applyProtection="0"/>
    <xf numFmtId="0" fontId="66" fillId="59" borderId="0" applyNumberFormat="0" applyFont="0" applyBorder="0" applyAlignment="0" applyProtection="0"/>
    <xf numFmtId="0" fontId="6" fillId="58" borderId="43" applyNumberFormat="0" applyFont="0" applyBorder="0" applyAlignment="0" applyProtection="0">
      <alignment horizontal="center"/>
    </xf>
    <xf numFmtId="0" fontId="6" fillId="73" borderId="43" applyNumberFormat="0" applyFont="0" applyBorder="0" applyAlignment="0" applyProtection="0">
      <alignment horizontal="center"/>
    </xf>
    <xf numFmtId="0" fontId="66" fillId="0" borderId="51" applyNumberFormat="0" applyAlignment="0" applyProtection="0"/>
    <xf numFmtId="0" fontId="66" fillId="0" borderId="52" applyNumberFormat="0" applyAlignment="0" applyProtection="0"/>
    <xf numFmtId="0" fontId="51" fillId="0" borderId="53" applyNumberFormat="0" applyAlignment="0" applyProtection="0"/>
    <xf numFmtId="49" fontId="157" fillId="0" borderId="1" applyFill="0" applyProtection="0">
      <alignment vertical="center"/>
    </xf>
    <xf numFmtId="0" fontId="48" fillId="0" borderId="0"/>
    <xf numFmtId="0" fontId="8" fillId="0" borderId="0" applyFont="0" applyFill="0" applyBorder="0" applyAlignment="0" applyProtection="0"/>
    <xf numFmtId="0" fontId="8" fillId="0" borderId="0" applyFont="0" applyFill="0" applyBorder="0" applyAlignment="0" applyProtection="0"/>
    <xf numFmtId="0" fontId="158" fillId="0" borderId="0"/>
    <xf numFmtId="0" fontId="21" fillId="0" borderId="0" applyFont="0" applyFill="0" applyBorder="0" applyAlignment="0" applyProtection="0"/>
    <xf numFmtId="9" fontId="50" fillId="0" borderId="0" applyFont="0" applyFill="0" applyBorder="0" applyAlignment="0" applyProtection="0"/>
    <xf numFmtId="0" fontId="159" fillId="0" borderId="0" applyFont="0" applyFill="0" applyBorder="0" applyAlignment="0" applyProtection="0"/>
    <xf numFmtId="10" fontId="8" fillId="0" borderId="0" applyFont="0" applyFill="0" applyBorder="0" applyAlignment="0" applyProtection="0"/>
    <xf numFmtId="3" fontId="75" fillId="0" borderId="0"/>
    <xf numFmtId="14" fontId="75" fillId="0" borderId="0">
      <protection hidden="1"/>
    </xf>
    <xf numFmtId="3" fontId="75" fillId="0" borderId="0"/>
    <xf numFmtId="9" fontId="19" fillId="0" borderId="0" applyFont="0" applyFill="0" applyBorder="0" applyAlignment="0" applyProtection="0"/>
    <xf numFmtId="274" fontId="55" fillId="0" borderId="0" applyFont="0" applyFill="0" applyBorder="0" applyProtection="0">
      <alignment horizontal="right"/>
    </xf>
    <xf numFmtId="176" fontId="80" fillId="0" borderId="0" applyFont="0" applyFill="0" applyBorder="0" applyAlignment="0" applyProtection="0"/>
    <xf numFmtId="10" fontId="80" fillId="0" borderId="0" applyFont="0" applyFill="0" applyBorder="0" applyAlignment="0" applyProtection="0"/>
    <xf numFmtId="9" fontId="66" fillId="0" borderId="0" applyFill="0" applyBorder="0" applyAlignment="0" applyProtection="0"/>
    <xf numFmtId="275" fontId="6" fillId="0" borderId="0"/>
    <xf numFmtId="276" fontId="6" fillId="0" borderId="0"/>
    <xf numFmtId="0" fontId="66" fillId="0" borderId="0" applyFont="0" applyFill="0" applyBorder="0" applyAlignment="0" applyProtection="0"/>
    <xf numFmtId="277" fontId="27" fillId="0" borderId="0" applyFont="0" applyFill="0" applyBorder="0" applyAlignment="0" applyProtection="0">
      <alignment vertical="center"/>
    </xf>
    <xf numFmtId="278" fontId="8" fillId="0" borderId="0" applyFont="0" applyFill="0" applyBorder="0" applyAlignment="0" applyProtection="0"/>
    <xf numFmtId="279" fontId="21" fillId="0" borderId="0" applyFill="0" applyBorder="0">
      <alignment horizontal="right"/>
      <protection locked="0"/>
    </xf>
    <xf numFmtId="9" fontId="8" fillId="0" borderId="0" applyFont="0" applyFill="0" applyBorder="0" applyAlignment="0" applyProtection="0"/>
    <xf numFmtId="280" fontId="8" fillId="0" borderId="0"/>
    <xf numFmtId="281" fontId="8" fillId="0" borderId="0" applyFill="0" applyBorder="0"/>
    <xf numFmtId="0" fontId="160" fillId="0" borderId="0" applyFont="0" applyFill="0" applyBorder="0" applyAlignment="0" applyProtection="0">
      <alignment horizontal="center"/>
    </xf>
    <xf numFmtId="0" fontId="160" fillId="0" borderId="0" applyFont="0" applyFill="0" applyBorder="0" applyAlignment="0" applyProtection="0">
      <alignment horizontal="center"/>
    </xf>
    <xf numFmtId="0" fontId="160" fillId="0" borderId="0" applyFont="0" applyFill="0" applyBorder="0" applyAlignment="0" applyProtection="0">
      <alignment horizontal="center"/>
    </xf>
    <xf numFmtId="0" fontId="160" fillId="0" borderId="0" applyFont="0" applyFill="0" applyBorder="0" applyAlignment="0" applyProtection="0">
      <alignment horizontal="center"/>
    </xf>
    <xf numFmtId="282" fontId="6" fillId="0" borderId="0"/>
    <xf numFmtId="283" fontId="6" fillId="0" borderId="0"/>
    <xf numFmtId="284" fontId="6" fillId="0" borderId="0"/>
    <xf numFmtId="9" fontId="161" fillId="0" borderId="0" applyFont="0" applyFill="0" applyBorder="0" applyAlignment="0" applyProtection="0"/>
    <xf numFmtId="9" fontId="138" fillId="0" borderId="0" applyFont="0" applyFill="0" applyBorder="0" applyAlignment="0" applyProtection="0"/>
    <xf numFmtId="9" fontId="138" fillId="0" borderId="0" applyFont="0" applyFill="0" applyBorder="0" applyAlignment="0" applyProtection="0"/>
    <xf numFmtId="9" fontId="8" fillId="0" borderId="0" applyFont="0" applyFill="0" applyBorder="0" applyAlignment="0" applyProtection="0"/>
    <xf numFmtId="9" fontId="138" fillId="0" borderId="0" applyFont="0" applyFill="0" applyBorder="0" applyAlignment="0" applyProtection="0"/>
    <xf numFmtId="0" fontId="6" fillId="63" borderId="28"/>
    <xf numFmtId="9" fontId="162" fillId="0" borderId="33"/>
    <xf numFmtId="9" fontId="162" fillId="0" borderId="33"/>
    <xf numFmtId="3" fontId="82" fillId="0" borderId="0">
      <protection locked="0"/>
    </xf>
    <xf numFmtId="0" fontId="163" fillId="0" borderId="1"/>
    <xf numFmtId="0" fontId="8" fillId="0" borderId="0">
      <alignment horizontal="right"/>
    </xf>
    <xf numFmtId="283" fontId="164" fillId="0" borderId="0" applyNumberFormat="0" applyFill="0" applyBorder="0" applyAlignment="0" applyProtection="0"/>
    <xf numFmtId="10" fontId="48" fillId="0" borderId="28"/>
    <xf numFmtId="10" fontId="8" fillId="0" borderId="0"/>
    <xf numFmtId="2" fontId="26" fillId="0" borderId="0">
      <alignment horizontal="right"/>
    </xf>
    <xf numFmtId="285" fontId="21" fillId="0" borderId="0">
      <alignment horizontal="right"/>
      <protection locked="0"/>
    </xf>
    <xf numFmtId="286" fontId="165" fillId="0" borderId="0" applyNumberFormat="0" applyFill="0" applyBorder="0" applyAlignment="0" applyProtection="0"/>
    <xf numFmtId="3" fontId="166" fillId="63" borderId="0"/>
    <xf numFmtId="0" fontId="162" fillId="63" borderId="0"/>
    <xf numFmtId="4" fontId="166" fillId="63" borderId="0"/>
    <xf numFmtId="3" fontId="166" fillId="63" borderId="0"/>
    <xf numFmtId="0" fontId="8" fillId="0" borderId="0">
      <alignment horizontal="right"/>
    </xf>
    <xf numFmtId="0" fontId="8" fillId="0" borderId="0">
      <alignment horizontal="right"/>
    </xf>
    <xf numFmtId="0" fontId="8" fillId="0" borderId="0" applyFill="0" applyBorder="0" applyProtection="0">
      <alignment horizontal="right"/>
    </xf>
    <xf numFmtId="0" fontId="8" fillId="0" borderId="0">
      <alignment horizontal="right"/>
    </xf>
    <xf numFmtId="0" fontId="66" fillId="0" borderId="54" applyNumberFormat="0" applyFont="0" applyFill="0" applyAlignment="0" applyProtection="0"/>
    <xf numFmtId="0" fontId="51" fillId="57" borderId="15" applyNumberFormat="0" applyBorder="0" applyProtection="0">
      <alignment horizontal="left" wrapText="1"/>
    </xf>
    <xf numFmtId="0" fontId="51" fillId="57" borderId="0" applyNumberFormat="0" applyBorder="0" applyProtection="0">
      <alignment horizontal="left"/>
    </xf>
    <xf numFmtId="0" fontId="51" fillId="57" borderId="15" applyNumberFormat="0" applyBorder="0" applyProtection="0">
      <alignment horizontal="left" wrapText="1"/>
    </xf>
    <xf numFmtId="0" fontId="65" fillId="0" borderId="0" applyNumberFormat="0" applyFill="0" applyBorder="0">
      <alignment horizontal="left" vertical="center" wrapText="1"/>
    </xf>
    <xf numFmtId="0" fontId="27" fillId="0" borderId="0" applyNumberFormat="0" applyFill="0" applyBorder="0">
      <alignment horizontal="left" vertical="center" wrapText="1" indent="1"/>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0" borderId="55" applyNumberFormat="0" applyFont="0" applyFill="0" applyAlignment="0" applyProtection="0"/>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0"/>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95" fillId="0" borderId="56">
      <alignment vertical="center"/>
    </xf>
    <xf numFmtId="0" fontId="7" fillId="74" borderId="57" applyNumberFormat="0" applyProtection="0">
      <alignment horizontal="left" vertical="center" indent="1"/>
    </xf>
    <xf numFmtId="264" fontId="25" fillId="58" borderId="57" applyProtection="0">
      <alignment horizontal="right" vertical="center"/>
    </xf>
    <xf numFmtId="0" fontId="167" fillId="4" borderId="0" applyNumberFormat="0" applyBorder="0" applyAlignment="0" applyProtection="0"/>
    <xf numFmtId="0" fontId="168" fillId="44" borderId="0" applyNumberFormat="0" applyBorder="0" applyAlignment="0" applyProtection="0"/>
    <xf numFmtId="0" fontId="128" fillId="0" borderId="58"/>
    <xf numFmtId="0" fontId="169" fillId="0" borderId="0" applyFill="0" applyBorder="0">
      <alignment horizontal="right"/>
      <protection hidden="1"/>
    </xf>
    <xf numFmtId="0" fontId="170" fillId="0" borderId="28">
      <alignment horizontal="center" vertical="center"/>
    </xf>
    <xf numFmtId="0" fontId="171" fillId="0" borderId="0" applyNumberFormat="0" applyFill="0" applyBorder="0" applyProtection="0">
      <alignment horizontal="left" vertical="center"/>
    </xf>
    <xf numFmtId="0" fontId="172" fillId="60" borderId="28">
      <alignment horizontal="center" vertical="center" wrapText="1"/>
      <protection hidden="1"/>
    </xf>
    <xf numFmtId="258" fontId="173" fillId="0" borderId="0" applyFill="0" applyBorder="0" applyProtection="0">
      <alignment horizontal="left" vertical="center"/>
    </xf>
    <xf numFmtId="258" fontId="173" fillId="0" borderId="0" applyFill="0" applyBorder="0" applyProtection="0">
      <alignment horizontal="left" vertical="center"/>
    </xf>
    <xf numFmtId="0" fontId="66" fillId="75" borderId="0" applyNumberFormat="0" applyFont="0" applyBorder="0" applyAlignment="0" applyProtection="0"/>
    <xf numFmtId="0" fontId="104" fillId="56" borderId="0" applyNumberFormat="0" applyFont="0" applyBorder="0" applyAlignment="0" applyProtection="0"/>
    <xf numFmtId="0" fontId="114" fillId="0" borderId="0"/>
    <xf numFmtId="165" fontId="8" fillId="0" borderId="0" applyFill="0" applyBorder="0" applyAlignment="0" applyProtection="0"/>
    <xf numFmtId="287" fontId="8" fillId="0" borderId="17" applyFont="0" applyFill="0" applyBorder="0" applyAlignment="0" applyProtection="0"/>
    <xf numFmtId="0" fontId="8" fillId="56" borderId="0" applyFill="0" applyBorder="0">
      <alignment horizontal="center"/>
    </xf>
    <xf numFmtId="40" fontId="66" fillId="0" borderId="0" applyFont="0" applyFill="0" applyBorder="0" applyAlignment="0" applyProtection="0"/>
    <xf numFmtId="0" fontId="66" fillId="0" borderId="0" applyFont="0" applyFill="0" applyBorder="0" applyAlignment="0" applyProtection="0"/>
    <xf numFmtId="0" fontId="174" fillId="8" borderId="9" applyNumberFormat="0" applyAlignment="0" applyProtection="0"/>
    <xf numFmtId="0" fontId="8" fillId="0" borderId="0"/>
    <xf numFmtId="3" fontId="82" fillId="0" borderId="0">
      <protection locked="0"/>
    </xf>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8" fillId="0" borderId="0" applyFont="0" applyFill="0" applyBorder="0" applyAlignment="0" applyProtection="0"/>
    <xf numFmtId="0" fontId="27" fillId="0" borderId="0">
      <alignment vertical="top"/>
    </xf>
    <xf numFmtId="0" fontId="27" fillId="0" borderId="0">
      <alignment vertical="top"/>
    </xf>
    <xf numFmtId="0" fontId="27" fillId="0" borderId="0">
      <alignment vertical="top"/>
    </xf>
    <xf numFmtId="0" fontId="8" fillId="0" borderId="0"/>
    <xf numFmtId="0" fontId="27" fillId="0" borderId="0">
      <alignment vertical="top"/>
    </xf>
    <xf numFmtId="0" fontId="8" fillId="0" borderId="0"/>
    <xf numFmtId="0" fontId="8" fillId="0" borderId="0"/>
    <xf numFmtId="0" fontId="8" fillId="0" borderId="0"/>
    <xf numFmtId="0" fontId="8"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8" fillId="0" borderId="0"/>
    <xf numFmtId="0" fontId="8" fillId="0" borderId="0"/>
    <xf numFmtId="0" fontId="134" fillId="0" borderId="0"/>
    <xf numFmtId="0" fontId="75" fillId="0" borderId="0"/>
    <xf numFmtId="260" fontId="65" fillId="0" borderId="59" applyNumberFormat="0" applyFill="0" applyAlignment="0" applyProtection="0">
      <alignment vertical="center"/>
    </xf>
    <xf numFmtId="0" fontId="75" fillId="0" borderId="0"/>
    <xf numFmtId="0" fontId="8" fillId="0" borderId="18"/>
    <xf numFmtId="0" fontId="116" fillId="0" borderId="0"/>
    <xf numFmtId="0" fontId="66" fillId="0" borderId="0" applyFont="0" applyFill="0" applyBorder="0" applyAlignment="0" applyProtection="0"/>
    <xf numFmtId="0" fontId="45" fillId="0" borderId="1">
      <alignment horizontal="center"/>
    </xf>
    <xf numFmtId="0" fontId="45" fillId="0" borderId="1">
      <alignment horizontal="center"/>
    </xf>
    <xf numFmtId="0" fontId="45" fillId="0" borderId="1">
      <alignment horizontal="center"/>
    </xf>
    <xf numFmtId="0" fontId="45" fillId="0" borderId="1">
      <alignment horizontal="center"/>
    </xf>
    <xf numFmtId="0" fontId="45" fillId="0" borderId="1">
      <alignment horizontal="centerContinuous"/>
    </xf>
    <xf numFmtId="0" fontId="45" fillId="0" borderId="1">
      <alignment horizontal="centerContinuous"/>
    </xf>
    <xf numFmtId="0" fontId="45" fillId="0" borderId="1">
      <alignment horizontal="centerContinuous"/>
    </xf>
    <xf numFmtId="0" fontId="45" fillId="0" borderId="1">
      <alignment horizontal="centerContinuous"/>
    </xf>
    <xf numFmtId="0" fontId="45" fillId="0" borderId="1">
      <alignment horizontal="centerContinuous"/>
    </xf>
    <xf numFmtId="0" fontId="45" fillId="0" borderId="1">
      <alignment horizontal="centerContinuous"/>
    </xf>
    <xf numFmtId="0" fontId="45" fillId="0" borderId="21">
      <alignment horizontal="center"/>
    </xf>
    <xf numFmtId="0" fontId="45" fillId="0" borderId="21">
      <alignment horizontal="center"/>
    </xf>
    <xf numFmtId="0" fontId="45" fillId="0" borderId="1">
      <alignment horizontal="centerContinuous"/>
    </xf>
    <xf numFmtId="0" fontId="45" fillId="0" borderId="1">
      <alignment horizontal="centerContinuous"/>
    </xf>
    <xf numFmtId="0" fontId="45" fillId="0" borderId="1">
      <alignment horizontal="centerContinuous"/>
    </xf>
    <xf numFmtId="0" fontId="45" fillId="0" borderId="1">
      <alignment horizontal="centerContinuous"/>
    </xf>
    <xf numFmtId="0" fontId="45" fillId="0" borderId="1">
      <alignment horizontal="center"/>
    </xf>
    <xf numFmtId="0" fontId="45" fillId="0" borderId="1">
      <alignment horizontal="center"/>
    </xf>
    <xf numFmtId="0" fontId="45" fillId="0" borderId="21">
      <alignment horizontal="center"/>
    </xf>
    <xf numFmtId="0" fontId="45" fillId="0" borderId="21">
      <alignment horizontal="center"/>
    </xf>
    <xf numFmtId="0" fontId="45" fillId="0" borderId="1">
      <alignment horizontal="center"/>
    </xf>
    <xf numFmtId="0" fontId="45" fillId="0" borderId="1">
      <alignment horizontal="center"/>
    </xf>
    <xf numFmtId="0" fontId="45" fillId="0" borderId="1">
      <alignment horizontal="center"/>
    </xf>
    <xf numFmtId="0" fontId="45" fillId="0" borderId="1">
      <alignment horizontal="center"/>
    </xf>
    <xf numFmtId="0" fontId="27" fillId="0" borderId="16"/>
    <xf numFmtId="0" fontId="65" fillId="0" borderId="0" applyFill="0" applyBorder="0" applyProtection="0">
      <alignment horizontal="center" vertical="center"/>
    </xf>
    <xf numFmtId="260" fontId="27" fillId="0" borderId="60" applyNumberFormat="0" applyFont="0" applyFill="0" applyAlignment="0" applyProtection="0">
      <alignment vertical="center"/>
    </xf>
    <xf numFmtId="0" fontId="175" fillId="0" borderId="0" applyBorder="0" applyProtection="0">
      <alignment vertical="center"/>
    </xf>
    <xf numFmtId="0" fontId="175" fillId="0" borderId="1" applyBorder="0" applyProtection="0">
      <alignment horizontal="right" vertical="center"/>
    </xf>
    <xf numFmtId="0" fontId="176" fillId="76" borderId="0" applyBorder="0" applyProtection="0">
      <alignment horizontal="centerContinuous" vertical="center"/>
    </xf>
    <xf numFmtId="0" fontId="176" fillId="77" borderId="1" applyBorder="0" applyProtection="0">
      <alignment horizontal="centerContinuous" vertical="center"/>
    </xf>
    <xf numFmtId="0" fontId="177" fillId="0" borderId="0" applyNumberFormat="0" applyFill="0" applyBorder="0" applyProtection="0">
      <alignment horizontal="left"/>
    </xf>
    <xf numFmtId="0" fontId="178" fillId="0" borderId="0" applyBorder="0" applyProtection="0">
      <alignment horizontal="left"/>
    </xf>
    <xf numFmtId="0" fontId="27" fillId="63" borderId="0" applyNumberFormat="0" applyFont="0" applyBorder="0" applyAlignment="0" applyProtection="0">
      <alignment vertical="center"/>
    </xf>
    <xf numFmtId="0" fontId="96" fillId="0" borderId="0" applyNumberFormat="0" applyFill="0" applyBorder="0" applyProtection="0">
      <alignment horizontal="left"/>
    </xf>
    <xf numFmtId="0" fontId="65" fillId="0" borderId="0" applyFill="0" applyBorder="0" applyProtection="0"/>
    <xf numFmtId="0" fontId="145" fillId="0" borderId="0"/>
    <xf numFmtId="0" fontId="7" fillId="0" borderId="0" applyFill="0" applyBorder="0" applyProtection="0">
      <alignment horizontal="left"/>
    </xf>
    <xf numFmtId="0" fontId="27" fillId="0" borderId="0" applyNumberFormat="0" applyFont="0" applyFill="0" applyAlignment="0" applyProtection="0">
      <alignment vertical="center"/>
    </xf>
    <xf numFmtId="0" fontId="179" fillId="0" borderId="0" applyFill="0" applyBorder="0" applyProtection="0">
      <alignment horizontal="left" vertical="top"/>
    </xf>
    <xf numFmtId="260" fontId="27" fillId="0" borderId="0" applyNumberFormat="0" applyFont="0" applyBorder="0" applyAlignment="0" applyProtection="0">
      <alignment vertical="center"/>
    </xf>
    <xf numFmtId="0" fontId="51" fillId="0" borderId="0">
      <alignment horizontal="centerContinuous"/>
    </xf>
    <xf numFmtId="0" fontId="8" fillId="78" borderId="61" applyNumberFormat="0" applyAlignment="0" applyProtection="0">
      <alignment vertical="center"/>
    </xf>
    <xf numFmtId="2" fontId="75" fillId="0" borderId="0"/>
    <xf numFmtId="49" fontId="121" fillId="0" borderId="1">
      <alignment vertical="center"/>
    </xf>
    <xf numFmtId="0" fontId="80" fillId="0" borderId="0" applyNumberFormat="0" applyFont="0" applyFill="0" applyBorder="0" applyProtection="0">
      <alignment wrapText="1"/>
    </xf>
    <xf numFmtId="0" fontId="180" fillId="0" borderId="0"/>
    <xf numFmtId="0" fontId="181" fillId="0" borderId="0" applyNumberFormat="0" applyFill="0" applyBorder="0" applyProtection="0"/>
    <xf numFmtId="0" fontId="182" fillId="0" borderId="0"/>
    <xf numFmtId="0" fontId="183" fillId="0" borderId="0" applyNumberFormat="0" applyFill="0" applyBorder="0" applyProtection="0"/>
    <xf numFmtId="0" fontId="181" fillId="0" borderId="0" applyNumberFormat="0" applyFill="0" applyBorder="0" applyProtection="0"/>
    <xf numFmtId="0" fontId="181" fillId="0" borderId="0"/>
    <xf numFmtId="49" fontId="27" fillId="0" borderId="0" applyFont="0" applyFill="0" applyBorder="0" applyAlignment="0" applyProtection="0">
      <alignment horizontal="center" vertical="center"/>
    </xf>
    <xf numFmtId="0" fontId="184" fillId="0" borderId="0" applyNumberFormat="0" applyFill="0" applyBorder="0" applyAlignment="0" applyProtection="0"/>
    <xf numFmtId="0" fontId="185" fillId="77" borderId="0">
      <alignment horizontal="center"/>
    </xf>
    <xf numFmtId="0" fontId="66" fillId="0" borderId="0" applyNumberFormat="0" applyFill="0" applyBorder="0" applyAlignment="0" applyProtection="0"/>
    <xf numFmtId="0" fontId="26" fillId="0" borderId="0" applyNumberFormat="0" applyFill="0" applyBorder="0" applyAlignment="0" applyProtection="0"/>
    <xf numFmtId="0" fontId="51" fillId="57" borderId="26" applyNumberFormat="0" applyProtection="0">
      <alignment horizontal="left" vertical="center"/>
    </xf>
    <xf numFmtId="0" fontId="186" fillId="0" borderId="25" applyNumberFormat="0" applyFill="0" applyBorder="0" applyAlignment="0" applyProtection="0">
      <alignment horizontal="left"/>
    </xf>
    <xf numFmtId="0" fontId="16" fillId="0" borderId="0" applyNumberFormat="0" applyFill="0" applyBorder="0" applyAlignment="0" applyProtection="0"/>
    <xf numFmtId="0" fontId="187" fillId="0" borderId="5" applyNumberFormat="0" applyFill="0" applyAlignment="0" applyProtection="0"/>
    <xf numFmtId="0" fontId="188" fillId="0" borderId="6" applyNumberFormat="0" applyFill="0" applyAlignment="0" applyProtection="0"/>
    <xf numFmtId="0" fontId="189" fillId="0" borderId="7" applyNumberFormat="0" applyFill="0" applyAlignment="0" applyProtection="0"/>
    <xf numFmtId="0" fontId="189" fillId="0" borderId="0" applyNumberFormat="0" applyFill="0" applyBorder="0" applyAlignment="0" applyProtection="0"/>
    <xf numFmtId="0" fontId="183" fillId="0" borderId="0"/>
    <xf numFmtId="0" fontId="181" fillId="0" borderId="0"/>
    <xf numFmtId="0" fontId="50" fillId="0" borderId="62" applyNumberFormat="0" applyFont="0" applyFill="0" applyAlignment="0" applyProtection="0"/>
    <xf numFmtId="0" fontId="190" fillId="0" borderId="13" applyNumberFormat="0" applyFill="0" applyAlignment="0" applyProtection="0"/>
    <xf numFmtId="260" fontId="65" fillId="58" borderId="0" applyNumberFormat="0" applyAlignment="0" applyProtection="0">
      <alignment vertical="center"/>
    </xf>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0" fontId="191" fillId="0" borderId="0" applyNumberFormat="0" applyFill="0" applyBorder="0" applyAlignment="0" applyProtection="0"/>
    <xf numFmtId="0" fontId="192" fillId="0" borderId="63" applyNumberFormat="0" applyFill="0" applyAlignment="0" applyProtection="0"/>
    <xf numFmtId="0" fontId="193" fillId="0" borderId="63" applyNumberFormat="0" applyFill="0" applyAlignment="0" applyProtection="0"/>
    <xf numFmtId="0" fontId="194" fillId="0" borderId="64" applyNumberFormat="0" applyFill="0" applyAlignment="0" applyProtection="0"/>
    <xf numFmtId="0" fontId="194" fillId="0" borderId="0" applyNumberFormat="0" applyFill="0" applyBorder="0" applyAlignment="0" applyProtection="0"/>
    <xf numFmtId="0" fontId="195" fillId="0" borderId="0">
      <alignment horizontal="fill"/>
    </xf>
    <xf numFmtId="0" fontId="27" fillId="0" borderId="0" applyNumberFormat="0" applyFont="0" applyBorder="0" applyAlignment="0" applyProtection="0">
      <alignment vertical="center"/>
    </xf>
    <xf numFmtId="0" fontId="27" fillId="0" borderId="0" applyNumberFormat="0" applyFont="0" applyAlignment="0" applyProtection="0">
      <alignment vertical="center"/>
    </xf>
    <xf numFmtId="165" fontId="110" fillId="0" borderId="0" applyFont="0" applyFill="0" applyBorder="0" applyAlignment="0" applyProtection="0"/>
    <xf numFmtId="167" fontId="110" fillId="0" borderId="0" applyFont="0" applyFill="0" applyBorder="0" applyAlignment="0" applyProtection="0"/>
    <xf numFmtId="0" fontId="196" fillId="9" borderId="11" applyNumberFormat="0" applyAlignment="0" applyProtection="0"/>
    <xf numFmtId="0" fontId="197" fillId="0" borderId="65" applyNumberFormat="0" applyFill="0" applyAlignment="0" applyProtection="0"/>
    <xf numFmtId="0" fontId="198" fillId="0" borderId="0" applyFill="0" applyBorder="0" applyProtection="0">
      <alignment horizontal="right"/>
    </xf>
    <xf numFmtId="0" fontId="75" fillId="0" borderId="0" applyFont="0" applyFill="0" applyBorder="0" applyAlignment="0" applyProtection="0"/>
    <xf numFmtId="0" fontId="75" fillId="0" borderId="0" applyFont="0" applyFill="0" applyBorder="0" applyAlignment="0" applyProtection="0"/>
    <xf numFmtId="0" fontId="199" fillId="0" borderId="0" applyNumberFormat="0" applyFill="0" applyBorder="0" applyAlignment="0" applyProtection="0"/>
    <xf numFmtId="0" fontId="200" fillId="0" borderId="0">
      <protection hidden="1"/>
    </xf>
    <xf numFmtId="0" fontId="6" fillId="0" borderId="0" applyNumberFormat="0" applyBorder="0" applyAlignment="0"/>
    <xf numFmtId="0" fontId="66" fillId="57" borderId="0" applyNumberFormat="0" applyBorder="0" applyProtection="0">
      <alignment horizontal="left"/>
    </xf>
    <xf numFmtId="1" fontId="201" fillId="0" borderId="1">
      <alignment horizontal="center"/>
    </xf>
    <xf numFmtId="1" fontId="66" fillId="0" borderId="0" applyFill="0" applyBorder="0" applyProtection="0">
      <alignment horizontal="center"/>
    </xf>
    <xf numFmtId="176" fontId="56" fillId="0" borderId="0" applyFont="0" applyFill="0" applyBorder="0" applyAlignment="0" applyProtection="0"/>
    <xf numFmtId="0" fontId="202" fillId="79" borderId="66" applyNumberFormat="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41" fontId="26" fillId="0" borderId="0" applyFont="0" applyFill="0" applyBorder="0" applyAlignment="0" applyProtection="0"/>
    <xf numFmtId="43"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03" fillId="0" borderId="0"/>
    <xf numFmtId="0" fontId="203" fillId="0" borderId="0"/>
    <xf numFmtId="0" fontId="19" fillId="0" borderId="0"/>
    <xf numFmtId="0" fontId="8" fillId="0" borderId="0"/>
    <xf numFmtId="0" fontId="6" fillId="0" borderId="0"/>
    <xf numFmtId="294" fontId="9" fillId="0" borderId="0" applyFont="0" applyFill="0" applyBorder="0" applyAlignment="0" applyProtection="0"/>
    <xf numFmtId="0" fontId="19" fillId="0" borderId="0"/>
    <xf numFmtId="0" fontId="22" fillId="0" borderId="0"/>
    <xf numFmtId="43" fontId="19" fillId="0" borderId="0" applyFont="0" applyFill="0" applyBorder="0" applyAlignment="0" applyProtection="0"/>
    <xf numFmtId="0" fontId="22" fillId="0" borderId="0"/>
    <xf numFmtId="0" fontId="8" fillId="0" borderId="0"/>
    <xf numFmtId="43" fontId="19" fillId="0" borderId="0" applyFont="0" applyFill="0" applyBorder="0" applyAlignment="0" applyProtection="0"/>
    <xf numFmtId="9" fontId="22" fillId="0" borderId="0" applyFont="0" applyFill="0" applyBorder="0" applyAlignment="0" applyProtection="0"/>
    <xf numFmtId="43" fontId="9" fillId="0" borderId="0" applyFont="0" applyFill="0" applyBorder="0" applyAlignment="0" applyProtection="0"/>
    <xf numFmtId="0" fontId="8" fillId="0" borderId="0"/>
    <xf numFmtId="308" fontId="8" fillId="0" borderId="0"/>
    <xf numFmtId="0" fontId="38" fillId="0" borderId="0"/>
    <xf numFmtId="0" fontId="9" fillId="0" borderId="0"/>
    <xf numFmtId="9" fontId="9" fillId="0" borderId="0" applyFont="0" applyFill="0" applyBorder="0" applyAlignment="0" applyProtection="0"/>
    <xf numFmtId="9" fontId="3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19" fillId="0" borderId="0"/>
    <xf numFmtId="43" fontId="9" fillId="0" borderId="0" applyFont="0" applyFill="0" applyBorder="0" applyAlignment="0" applyProtection="0"/>
    <xf numFmtId="0" fontId="265" fillId="0" borderId="0"/>
  </cellStyleXfs>
  <cellXfs count="1400">
    <xf numFmtId="0" fontId="0" fillId="0" borderId="0" xfId="0"/>
    <xf numFmtId="0" fontId="0" fillId="0" borderId="0" xfId="0" applyAlignment="1">
      <alignment wrapText="1"/>
    </xf>
    <xf numFmtId="169" fontId="0" fillId="0" borderId="0" xfId="0" applyNumberFormat="1"/>
    <xf numFmtId="173" fontId="0" fillId="0" borderId="0" xfId="0" applyNumberFormat="1"/>
    <xf numFmtId="0" fontId="10" fillId="0" borderId="0" xfId="0" applyFont="1"/>
    <xf numFmtId="172" fontId="10" fillId="0" borderId="0" xfId="0" applyNumberFormat="1" applyFont="1"/>
    <xf numFmtId="0" fontId="12" fillId="0" borderId="0" xfId="0" applyFont="1"/>
    <xf numFmtId="0" fontId="11" fillId="0" borderId="0" xfId="0" applyFont="1"/>
    <xf numFmtId="0" fontId="11" fillId="0" borderId="0" xfId="0" applyFont="1" applyAlignment="1">
      <alignment horizontal="right"/>
    </xf>
    <xf numFmtId="172" fontId="11" fillId="0" borderId="0" xfId="0" applyNumberFormat="1" applyFont="1"/>
    <xf numFmtId="172" fontId="11" fillId="0" borderId="2" xfId="0" applyNumberFormat="1" applyFont="1" applyBorder="1"/>
    <xf numFmtId="169" fontId="10" fillId="0" borderId="0" xfId="0" applyNumberFormat="1" applyFont="1"/>
    <xf numFmtId="171" fontId="11" fillId="0" borderId="0" xfId="0" applyNumberFormat="1" applyFont="1"/>
    <xf numFmtId="0" fontId="11" fillId="0" borderId="1" xfId="0" applyFont="1" applyBorder="1"/>
    <xf numFmtId="0" fontId="12" fillId="0" borderId="0" xfId="0" applyFont="1" applyAlignment="1">
      <alignment horizontal="left" indent="1"/>
    </xf>
    <xf numFmtId="170" fontId="12" fillId="0" borderId="0" xfId="0" applyNumberFormat="1" applyFont="1"/>
    <xf numFmtId="0" fontId="15" fillId="0" borderId="0" xfId="0" applyFont="1" applyAlignment="1">
      <alignment horizontal="left" wrapText="1" readingOrder="1"/>
    </xf>
    <xf numFmtId="0" fontId="15" fillId="0" borderId="0" xfId="0" applyFont="1" applyAlignment="1">
      <alignment horizontal="left" readingOrder="1"/>
    </xf>
    <xf numFmtId="0" fontId="11" fillId="0" borderId="2" xfId="0" applyFont="1" applyBorder="1"/>
    <xf numFmtId="0" fontId="13" fillId="0" borderId="0" xfId="0" applyFont="1"/>
    <xf numFmtId="0" fontId="13" fillId="0" borderId="2" xfId="0" applyFont="1" applyBorder="1"/>
    <xf numFmtId="172" fontId="13" fillId="0" borderId="2" xfId="0" applyNumberFormat="1" applyFont="1" applyBorder="1"/>
    <xf numFmtId="172" fontId="13" fillId="0" borderId="0" xfId="0" applyNumberFormat="1" applyFont="1"/>
    <xf numFmtId="172" fontId="10" fillId="0" borderId="4" xfId="0" applyNumberFormat="1" applyFont="1" applyBorder="1"/>
    <xf numFmtId="172" fontId="11" fillId="0" borderId="1" xfId="0" applyNumberFormat="1" applyFont="1" applyBorder="1"/>
    <xf numFmtId="172" fontId="11" fillId="0" borderId="3" xfId="0" applyNumberFormat="1" applyFont="1" applyBorder="1"/>
    <xf numFmtId="0" fontId="10" fillId="0" borderId="0" xfId="0" applyFont="1" applyAlignment="1">
      <alignment wrapText="1"/>
    </xf>
    <xf numFmtId="169" fontId="11" fillId="0" borderId="0" xfId="0" applyNumberFormat="1" applyFont="1"/>
    <xf numFmtId="172" fontId="11" fillId="0" borderId="0" xfId="0" applyNumberFormat="1" applyFont="1" applyAlignment="1">
      <alignment horizontal="right"/>
    </xf>
    <xf numFmtId="172" fontId="10" fillId="0" borderId="0" xfId="0" applyNumberFormat="1" applyFont="1" applyAlignment="1">
      <alignment horizontal="centerContinuous"/>
    </xf>
    <xf numFmtId="172" fontId="10" fillId="0" borderId="0" xfId="0" applyNumberFormat="1" applyFont="1" applyAlignment="1">
      <alignment horizontal="right"/>
    </xf>
    <xf numFmtId="0" fontId="10" fillId="0" borderId="0" xfId="0" applyFont="1" applyAlignment="1">
      <alignment horizontal="left" vertical="center" wrapText="1" readingOrder="1"/>
    </xf>
    <xf numFmtId="173" fontId="10" fillId="0" borderId="0" xfId="0" applyNumberFormat="1" applyFont="1"/>
    <xf numFmtId="174" fontId="10" fillId="0" borderId="0" xfId="0" applyNumberFormat="1" applyFont="1"/>
    <xf numFmtId="169" fontId="12" fillId="0" borderId="0" xfId="0" applyNumberFormat="1" applyFont="1"/>
    <xf numFmtId="170" fontId="10" fillId="0" borderId="0" xfId="0" applyNumberFormat="1" applyFont="1"/>
    <xf numFmtId="175" fontId="10" fillId="0" borderId="0" xfId="0" applyNumberFormat="1" applyFont="1"/>
    <xf numFmtId="175" fontId="11" fillId="0" borderId="0" xfId="0" applyNumberFormat="1" applyFont="1"/>
    <xf numFmtId="176" fontId="10" fillId="0" borderId="0" xfId="4" applyNumberFormat="1" applyFont="1"/>
    <xf numFmtId="2" fontId="10" fillId="0" borderId="0" xfId="0" applyNumberFormat="1" applyFont="1"/>
    <xf numFmtId="9" fontId="10" fillId="0" borderId="0" xfId="4" applyFont="1"/>
    <xf numFmtId="9" fontId="10" fillId="35" borderId="0" xfId="0" applyNumberFormat="1" applyFont="1" applyFill="1"/>
    <xf numFmtId="0" fontId="10" fillId="0" borderId="1" xfId="0" applyFont="1" applyBorder="1"/>
    <xf numFmtId="0" fontId="11" fillId="0" borderId="2" xfId="0" applyFont="1" applyBorder="1" applyAlignment="1">
      <alignment horizontal="right"/>
    </xf>
    <xf numFmtId="0" fontId="10" fillId="0" borderId="2" xfId="0" applyFont="1" applyBorder="1"/>
    <xf numFmtId="169" fontId="10" fillId="35" borderId="0" xfId="0" applyNumberFormat="1" applyFont="1" applyFill="1"/>
    <xf numFmtId="174" fontId="10" fillId="35" borderId="0" xfId="0" applyNumberFormat="1" applyFont="1" applyFill="1"/>
    <xf numFmtId="176" fontId="10" fillId="35" borderId="0" xfId="0" applyNumberFormat="1" applyFont="1" applyFill="1"/>
    <xf numFmtId="171" fontId="10" fillId="0" borderId="0" xfId="0" applyNumberFormat="1" applyFont="1"/>
    <xf numFmtId="9" fontId="10" fillId="35" borderId="0" xfId="4" applyFont="1" applyFill="1"/>
    <xf numFmtId="3" fontId="10" fillId="0" borderId="0" xfId="0" applyNumberFormat="1" applyFont="1"/>
    <xf numFmtId="172" fontId="10" fillId="35" borderId="0" xfId="0" applyNumberFormat="1" applyFont="1" applyFill="1"/>
    <xf numFmtId="173" fontId="10" fillId="35" borderId="0" xfId="0" applyNumberFormat="1" applyFont="1" applyFill="1"/>
    <xf numFmtId="176" fontId="10" fillId="35" borderId="0" xfId="4" applyNumberFormat="1" applyFont="1" applyFill="1"/>
    <xf numFmtId="172" fontId="11" fillId="35" borderId="0" xfId="0" applyNumberFormat="1" applyFont="1" applyFill="1"/>
    <xf numFmtId="172" fontId="11" fillId="0" borderId="0" xfId="0" quotePrefix="1" applyNumberFormat="1" applyFont="1"/>
    <xf numFmtId="172" fontId="10" fillId="0" borderId="14" xfId="0" applyNumberFormat="1" applyFont="1" applyBorder="1"/>
    <xf numFmtId="0" fontId="10" fillId="35" borderId="0" xfId="0" applyFont="1" applyFill="1"/>
    <xf numFmtId="0" fontId="17" fillId="0" borderId="0" xfId="0" applyFont="1"/>
    <xf numFmtId="172" fontId="11" fillId="0" borderId="14" xfId="0" applyNumberFormat="1" applyFont="1" applyBorder="1"/>
    <xf numFmtId="0" fontId="10" fillId="0" borderId="14" xfId="0" applyFont="1" applyBorder="1"/>
    <xf numFmtId="0" fontId="10" fillId="0" borderId="1" xfId="0" applyFont="1" applyBorder="1" applyAlignment="1">
      <alignment horizontal="right"/>
    </xf>
    <xf numFmtId="9" fontId="10" fillId="0" borderId="14" xfId="4" applyFont="1" applyBorder="1"/>
    <xf numFmtId="172" fontId="12" fillId="0" borderId="0" xfId="0" applyNumberFormat="1" applyFont="1"/>
    <xf numFmtId="0" fontId="18" fillId="0" borderId="0" xfId="0" applyFont="1"/>
    <xf numFmtId="172" fontId="18" fillId="0" borderId="0" xfId="0" applyNumberFormat="1" applyFont="1"/>
    <xf numFmtId="0" fontId="19" fillId="0" borderId="0" xfId="0" applyFont="1"/>
    <xf numFmtId="178" fontId="10" fillId="0" borderId="0" xfId="0" applyNumberFormat="1" applyFont="1"/>
    <xf numFmtId="179" fontId="19" fillId="0" borderId="0" xfId="0" applyNumberFormat="1" applyFont="1"/>
    <xf numFmtId="0" fontId="20" fillId="0" borderId="0" xfId="0" applyFont="1"/>
    <xf numFmtId="179" fontId="20" fillId="0" borderId="2" xfId="0" applyNumberFormat="1" applyFont="1" applyBorder="1"/>
    <xf numFmtId="2" fontId="19" fillId="0" borderId="0" xfId="0" applyNumberFormat="1" applyFont="1"/>
    <xf numFmtId="3" fontId="10" fillId="35" borderId="0" xfId="0" applyNumberFormat="1" applyFont="1" applyFill="1"/>
    <xf numFmtId="0" fontId="20" fillId="0" borderId="0" xfId="5" applyFont="1"/>
    <xf numFmtId="179" fontId="10" fillId="0" borderId="0" xfId="0" applyNumberFormat="1" applyFont="1"/>
    <xf numFmtId="0" fontId="10" fillId="0" borderId="0" xfId="0" applyFont="1" applyAlignment="1">
      <alignment horizontal="center"/>
    </xf>
    <xf numFmtId="9" fontId="10" fillId="38" borderId="0" xfId="4" applyFont="1" applyFill="1" applyAlignment="1">
      <alignment horizontal="center"/>
    </xf>
    <xf numFmtId="4" fontId="10" fillId="0" borderId="0" xfId="0" applyNumberFormat="1" applyFont="1"/>
    <xf numFmtId="176" fontId="12" fillId="0" borderId="0" xfId="4" applyNumberFormat="1" applyFont="1"/>
    <xf numFmtId="176" fontId="11" fillId="0" borderId="0" xfId="4" applyNumberFormat="1" applyFont="1"/>
    <xf numFmtId="0" fontId="11" fillId="0" borderId="2" xfId="0" applyFont="1" applyBorder="1" applyAlignment="1">
      <alignment horizontal="center"/>
    </xf>
    <xf numFmtId="0" fontId="10" fillId="38" borderId="0" xfId="0" applyFont="1" applyFill="1"/>
    <xf numFmtId="176" fontId="10" fillId="38" borderId="0" xfId="4" applyNumberFormat="1" applyFont="1" applyFill="1" applyAlignment="1">
      <alignment horizontal="center"/>
    </xf>
    <xf numFmtId="0" fontId="10" fillId="38" borderId="0" xfId="0" applyFont="1" applyFill="1" applyAlignment="1">
      <alignment horizontal="center"/>
    </xf>
    <xf numFmtId="176" fontId="10" fillId="0" borderId="0" xfId="4" applyNumberFormat="1" applyFont="1" applyAlignment="1">
      <alignment horizontal="center"/>
    </xf>
    <xf numFmtId="173" fontId="10" fillId="38" borderId="0" xfId="0" applyNumberFormat="1" applyFont="1" applyFill="1" applyAlignment="1">
      <alignment horizontal="center"/>
    </xf>
    <xf numFmtId="290" fontId="10" fillId="0" borderId="0" xfId="0" applyNumberFormat="1" applyFont="1" applyAlignment="1">
      <alignment horizontal="right"/>
    </xf>
    <xf numFmtId="290" fontId="10" fillId="35" borderId="0" xfId="0" applyNumberFormat="1" applyFont="1" applyFill="1" applyAlignment="1">
      <alignment horizontal="right"/>
    </xf>
    <xf numFmtId="10" fontId="10" fillId="35" borderId="0" xfId="0" applyNumberFormat="1" applyFont="1" applyFill="1"/>
    <xf numFmtId="289" fontId="10" fillId="0" borderId="0" xfId="0" applyNumberFormat="1" applyFont="1" applyAlignment="1">
      <alignment horizontal="right"/>
    </xf>
    <xf numFmtId="291" fontId="10" fillId="38" borderId="0" xfId="0" applyNumberFormat="1" applyFont="1" applyFill="1" applyAlignment="1">
      <alignment horizontal="center"/>
    </xf>
    <xf numFmtId="0" fontId="10" fillId="80" borderId="0" xfId="0" applyFont="1" applyFill="1"/>
    <xf numFmtId="172" fontId="10" fillId="80" borderId="0" xfId="0" applyNumberFormat="1" applyFont="1" applyFill="1"/>
    <xf numFmtId="172" fontId="11" fillId="80" borderId="0" xfId="0" applyNumberFormat="1" applyFont="1" applyFill="1"/>
    <xf numFmtId="172" fontId="12" fillId="80" borderId="0" xfId="0" applyNumberFormat="1" applyFont="1" applyFill="1"/>
    <xf numFmtId="0" fontId="12" fillId="80" borderId="0" xfId="0" applyFont="1" applyFill="1"/>
    <xf numFmtId="170" fontId="12" fillId="80" borderId="0" xfId="0" applyNumberFormat="1" applyFont="1" applyFill="1"/>
    <xf numFmtId="169" fontId="10" fillId="80" borderId="0" xfId="0" applyNumberFormat="1" applyFont="1" applyFill="1"/>
    <xf numFmtId="0" fontId="11" fillId="80" borderId="0" xfId="0" applyFont="1" applyFill="1"/>
    <xf numFmtId="0" fontId="11" fillId="80" borderId="1" xfId="0" applyFont="1" applyFill="1" applyBorder="1"/>
    <xf numFmtId="172" fontId="13" fillId="80" borderId="0" xfId="0" applyNumberFormat="1" applyFont="1" applyFill="1"/>
    <xf numFmtId="172" fontId="18" fillId="80" borderId="0" xfId="0" applyNumberFormat="1" applyFont="1" applyFill="1"/>
    <xf numFmtId="0" fontId="18" fillId="80" borderId="0" xfId="0" applyFont="1" applyFill="1"/>
    <xf numFmtId="173" fontId="10" fillId="80" borderId="0" xfId="0" applyNumberFormat="1" applyFont="1" applyFill="1"/>
    <xf numFmtId="174" fontId="10" fillId="80" borderId="0" xfId="0" applyNumberFormat="1" applyFont="1" applyFill="1"/>
    <xf numFmtId="169" fontId="11" fillId="80" borderId="0" xfId="0" applyNumberFormat="1" applyFont="1" applyFill="1"/>
    <xf numFmtId="169" fontId="12" fillId="80" borderId="0" xfId="0" applyNumberFormat="1" applyFont="1" applyFill="1"/>
    <xf numFmtId="171" fontId="11" fillId="80" borderId="0" xfId="0" applyNumberFormat="1" applyFont="1" applyFill="1"/>
    <xf numFmtId="170" fontId="10" fillId="80" borderId="0" xfId="0" applyNumberFormat="1" applyFont="1" applyFill="1"/>
    <xf numFmtId="175" fontId="10" fillId="80" borderId="0" xfId="0" applyNumberFormat="1" applyFont="1" applyFill="1"/>
    <xf numFmtId="175" fontId="11" fillId="80" borderId="0" xfId="0" applyNumberFormat="1" applyFont="1" applyFill="1"/>
    <xf numFmtId="0" fontId="204" fillId="81" borderId="0" xfId="1689" applyFont="1" applyFill="1" applyAlignment="1">
      <alignment vertical="top"/>
    </xf>
    <xf numFmtId="0" fontId="19" fillId="81" borderId="0" xfId="2368" applyFill="1"/>
    <xf numFmtId="0" fontId="205" fillId="81" borderId="0" xfId="2368" applyFont="1" applyFill="1"/>
    <xf numFmtId="0" fontId="206" fillId="81" borderId="0" xfId="2368" applyFont="1" applyFill="1" applyAlignment="1">
      <alignment horizontal="right"/>
    </xf>
    <xf numFmtId="0" fontId="206" fillId="81" borderId="0" xfId="2368" applyFont="1" applyFill="1" applyAlignment="1">
      <alignment horizontal="right" wrapText="1"/>
    </xf>
    <xf numFmtId="0" fontId="0" fillId="81" borderId="0" xfId="2368" applyFont="1" applyFill="1"/>
    <xf numFmtId="0" fontId="20" fillId="73" borderId="0" xfId="2368" applyFont="1" applyFill="1" applyAlignment="1">
      <alignment horizontal="left" vertical="center"/>
    </xf>
    <xf numFmtId="0" fontId="19" fillId="73" borderId="0" xfId="2368" applyFill="1" applyAlignment="1">
      <alignment horizontal="right" vertical="center"/>
    </xf>
    <xf numFmtId="176" fontId="19" fillId="73" borderId="0" xfId="1762" applyNumberFormat="1" applyFill="1" applyAlignment="1">
      <alignment horizontal="right" vertical="center"/>
    </xf>
    <xf numFmtId="0" fontId="19" fillId="62" borderId="0" xfId="2368" applyFill="1" applyAlignment="1">
      <alignment vertical="center"/>
    </xf>
    <xf numFmtId="173" fontId="19" fillId="73" borderId="0" xfId="1438" applyNumberFormat="1" applyFill="1" applyAlignment="1">
      <alignment horizontal="right" vertical="center"/>
    </xf>
    <xf numFmtId="0" fontId="20" fillId="0" borderId="0" xfId="2368" applyFont="1" applyAlignment="1">
      <alignment horizontal="left" vertical="center"/>
    </xf>
    <xf numFmtId="0" fontId="19" fillId="0" borderId="0" xfId="2368" applyAlignment="1">
      <alignment horizontal="right" vertical="center"/>
    </xf>
    <xf numFmtId="176" fontId="19" fillId="0" borderId="0" xfId="1762" applyNumberFormat="1" applyAlignment="1">
      <alignment horizontal="right" vertical="center"/>
    </xf>
    <xf numFmtId="173" fontId="19" fillId="0" borderId="0" xfId="1438" applyNumberFormat="1" applyAlignment="1">
      <alignment horizontal="right" vertical="center"/>
    </xf>
    <xf numFmtId="0" fontId="20" fillId="73" borderId="2" xfId="2368" applyFont="1" applyFill="1" applyBorder="1" applyAlignment="1">
      <alignment horizontal="left" vertical="center"/>
    </xf>
    <xf numFmtId="0" fontId="19" fillId="73" borderId="2" xfId="2368" applyFill="1" applyBorder="1" applyAlignment="1">
      <alignment horizontal="right" vertical="center"/>
    </xf>
    <xf numFmtId="176" fontId="19" fillId="73" borderId="2" xfId="1762" applyNumberFormat="1" applyFill="1" applyBorder="1" applyAlignment="1">
      <alignment horizontal="right" vertical="center"/>
    </xf>
    <xf numFmtId="173" fontId="20" fillId="73" borderId="2" xfId="1438" applyNumberFormat="1" applyFont="1" applyFill="1" applyBorder="1" applyAlignment="1">
      <alignment horizontal="right" vertical="center"/>
    </xf>
    <xf numFmtId="176" fontId="20" fillId="73" borderId="2" xfId="1762" applyNumberFormat="1" applyFont="1" applyFill="1" applyBorder="1" applyAlignment="1">
      <alignment horizontal="right" vertical="center"/>
    </xf>
    <xf numFmtId="0" fontId="20" fillId="62" borderId="0" xfId="2368" applyFont="1" applyFill="1" applyAlignment="1">
      <alignment vertical="center"/>
    </xf>
    <xf numFmtId="0" fontId="20" fillId="62" borderId="0" xfId="2368" applyFont="1" applyFill="1" applyAlignment="1">
      <alignment horizontal="left" vertical="center"/>
    </xf>
    <xf numFmtId="0" fontId="19" fillId="62" borderId="0" xfId="2368" applyFill="1" applyAlignment="1">
      <alignment horizontal="right" vertical="center"/>
    </xf>
    <xf numFmtId="176" fontId="19" fillId="62" borderId="0" xfId="1762" applyNumberFormat="1" applyFill="1" applyAlignment="1">
      <alignment horizontal="right" vertical="center"/>
    </xf>
    <xf numFmtId="173" fontId="19" fillId="62" borderId="0" xfId="1438" applyNumberFormat="1" applyFill="1" applyAlignment="1">
      <alignment horizontal="right" vertical="center"/>
    </xf>
    <xf numFmtId="0" fontId="19" fillId="0" borderId="0" xfId="2368" applyAlignment="1">
      <alignment vertical="center"/>
    </xf>
    <xf numFmtId="0" fontId="20" fillId="0" borderId="0" xfId="2368" applyFont="1" applyAlignment="1">
      <alignment horizontal="right" vertical="center"/>
    </xf>
    <xf numFmtId="176" fontId="20" fillId="0" borderId="0" xfId="1762" applyNumberFormat="1" applyFont="1" applyAlignment="1">
      <alignment horizontal="right" vertical="center"/>
    </xf>
    <xf numFmtId="173" fontId="20" fillId="0" borderId="0" xfId="1438" applyNumberFormat="1" applyFont="1" applyAlignment="1">
      <alignment horizontal="right" vertical="center"/>
    </xf>
    <xf numFmtId="0" fontId="20" fillId="0" borderId="2" xfId="2368" applyFont="1" applyBorder="1" applyAlignment="1">
      <alignment horizontal="left" vertical="center"/>
    </xf>
    <xf numFmtId="0" fontId="20" fillId="0" borderId="2" xfId="2368" applyFont="1" applyBorder="1" applyAlignment="1">
      <alignment horizontal="right" vertical="center"/>
    </xf>
    <xf numFmtId="176" fontId="20" fillId="0" borderId="2" xfId="1762" applyNumberFormat="1" applyFont="1" applyBorder="1" applyAlignment="1">
      <alignment horizontal="right" vertical="center"/>
    </xf>
    <xf numFmtId="0" fontId="20" fillId="0" borderId="0" xfId="2368" applyFont="1" applyAlignment="1">
      <alignment vertical="center"/>
    </xf>
    <xf numFmtId="173" fontId="20" fillId="0" borderId="2" xfId="1438" applyNumberFormat="1" applyFont="1" applyBorder="1" applyAlignment="1">
      <alignment horizontal="right" vertical="center"/>
    </xf>
    <xf numFmtId="0" fontId="20" fillId="0" borderId="0" xfId="2368" applyFont="1"/>
    <xf numFmtId="0" fontId="19" fillId="0" borderId="2" xfId="2368" applyBorder="1" applyAlignment="1">
      <alignment horizontal="right" vertical="center"/>
    </xf>
    <xf numFmtId="176" fontId="19" fillId="0" borderId="2" xfId="1762" applyNumberFormat="1" applyBorder="1" applyAlignment="1">
      <alignment horizontal="right" vertical="center"/>
    </xf>
    <xf numFmtId="173" fontId="20" fillId="62" borderId="0" xfId="1438" applyNumberFormat="1" applyFont="1" applyFill="1" applyAlignment="1">
      <alignment horizontal="right" vertical="center"/>
    </xf>
    <xf numFmtId="173" fontId="20" fillId="82" borderId="2" xfId="1438" applyNumberFormat="1" applyFont="1" applyFill="1" applyBorder="1" applyAlignment="1">
      <alignment horizontal="right" vertical="center"/>
    </xf>
    <xf numFmtId="176" fontId="20" fillId="82" borderId="2" xfId="1762" applyNumberFormat="1" applyFont="1" applyFill="1" applyBorder="1" applyAlignment="1">
      <alignment horizontal="right" vertical="center"/>
    </xf>
    <xf numFmtId="0" fontId="20" fillId="62" borderId="0" xfId="2368" applyFont="1" applyFill="1"/>
    <xf numFmtId="176" fontId="20" fillId="62" borderId="0" xfId="1762" applyNumberFormat="1" applyFont="1" applyFill="1" applyAlignment="1">
      <alignment horizontal="right" vertical="center"/>
    </xf>
    <xf numFmtId="0" fontId="20" fillId="73" borderId="2" xfId="2368" applyFont="1" applyFill="1" applyBorder="1"/>
    <xf numFmtId="188" fontId="0" fillId="0" borderId="0" xfId="0" applyNumberFormat="1"/>
    <xf numFmtId="1" fontId="0" fillId="0" borderId="0" xfId="0" applyNumberFormat="1"/>
    <xf numFmtId="9" fontId="0" fillId="0" borderId="0" xfId="0" applyNumberFormat="1"/>
    <xf numFmtId="9" fontId="11" fillId="0" borderId="0" xfId="4" applyFont="1"/>
    <xf numFmtId="1" fontId="10" fillId="0" borderId="0" xfId="0" applyNumberFormat="1" applyFont="1"/>
    <xf numFmtId="176" fontId="10" fillId="0" borderId="0" xfId="0" applyNumberFormat="1" applyFont="1"/>
    <xf numFmtId="292" fontId="10" fillId="0" borderId="0" xfId="0" applyNumberFormat="1" applyFont="1" applyAlignment="1">
      <alignment horizontal="center"/>
    </xf>
    <xf numFmtId="172" fontId="10" fillId="38" borderId="0" xfId="0" applyNumberFormat="1" applyFont="1" applyFill="1"/>
    <xf numFmtId="9" fontId="10" fillId="38" borderId="0" xfId="4" applyFont="1" applyFill="1"/>
    <xf numFmtId="169" fontId="10" fillId="38" borderId="0" xfId="0" applyNumberFormat="1" applyFont="1" applyFill="1"/>
    <xf numFmtId="175" fontId="10" fillId="38" borderId="0" xfId="0" applyNumberFormat="1" applyFont="1" applyFill="1"/>
    <xf numFmtId="9" fontId="10" fillId="0" borderId="0" xfId="0" applyNumberFormat="1" applyFont="1"/>
    <xf numFmtId="0" fontId="19" fillId="83" borderId="0" xfId="0" applyFont="1" applyFill="1"/>
    <xf numFmtId="169" fontId="207" fillId="0" borderId="0" xfId="0" applyNumberFormat="1" applyFont="1"/>
    <xf numFmtId="0" fontId="208" fillId="0" borderId="0" xfId="0" applyFont="1"/>
    <xf numFmtId="0" fontId="210" fillId="81" borderId="0" xfId="1689" applyFont="1" applyFill="1" applyAlignment="1">
      <alignment vertical="top"/>
    </xf>
    <xf numFmtId="0" fontId="209" fillId="81" borderId="0" xfId="2368" applyFont="1" applyFill="1"/>
    <xf numFmtId="0" fontId="211" fillId="81" borderId="0" xfId="2368" applyFont="1" applyFill="1"/>
    <xf numFmtId="0" fontId="212" fillId="81" borderId="0" xfId="2368" applyFont="1" applyFill="1" applyAlignment="1">
      <alignment horizontal="right"/>
    </xf>
    <xf numFmtId="0" fontId="212" fillId="81" borderId="0" xfId="2368" applyFont="1" applyFill="1" applyAlignment="1">
      <alignment horizontal="right" wrapText="1"/>
    </xf>
    <xf numFmtId="0" fontId="208" fillId="81" borderId="0" xfId="2368" applyFont="1" applyFill="1"/>
    <xf numFmtId="0" fontId="213" fillId="73" borderId="0" xfId="2368" applyFont="1" applyFill="1" applyAlignment="1">
      <alignment horizontal="left" vertical="center"/>
    </xf>
    <xf numFmtId="188" fontId="209" fillId="73" borderId="0" xfId="2368" applyNumberFormat="1" applyFont="1" applyFill="1" applyAlignment="1">
      <alignment horizontal="right" vertical="center"/>
    </xf>
    <xf numFmtId="176" fontId="209" fillId="73" borderId="0" xfId="1762" applyNumberFormat="1" applyFont="1" applyFill="1" applyAlignment="1">
      <alignment horizontal="right" vertical="center"/>
    </xf>
    <xf numFmtId="0" fontId="209" fillId="73" borderId="0" xfId="2368" applyFont="1" applyFill="1" applyAlignment="1">
      <alignment horizontal="right" vertical="center"/>
    </xf>
    <xf numFmtId="0" fontId="209" fillId="62" borderId="0" xfId="2368" applyFont="1" applyFill="1" applyAlignment="1">
      <alignment vertical="center"/>
    </xf>
    <xf numFmtId="173" fontId="209" fillId="73" borderId="0" xfId="1438" applyNumberFormat="1" applyFont="1" applyFill="1" applyAlignment="1">
      <alignment horizontal="right" vertical="center"/>
    </xf>
    <xf numFmtId="0" fontId="213" fillId="0" borderId="0" xfId="2368" applyFont="1" applyAlignment="1">
      <alignment horizontal="left" vertical="center"/>
    </xf>
    <xf numFmtId="0" fontId="209" fillId="0" borderId="0" xfId="2368" applyFont="1" applyAlignment="1">
      <alignment horizontal="right" vertical="center"/>
    </xf>
    <xf numFmtId="176" fontId="209" fillId="0" borderId="0" xfId="1762" applyNumberFormat="1" applyFont="1" applyAlignment="1">
      <alignment horizontal="right" vertical="center"/>
    </xf>
    <xf numFmtId="173" fontId="209" fillId="0" borderId="0" xfId="1438" applyNumberFormat="1" applyFont="1" applyAlignment="1">
      <alignment horizontal="right" vertical="center"/>
    </xf>
    <xf numFmtId="173" fontId="213" fillId="73" borderId="0" xfId="1438" applyNumberFormat="1" applyFont="1" applyFill="1" applyAlignment="1">
      <alignment horizontal="right" vertical="center"/>
    </xf>
    <xf numFmtId="176" fontId="213" fillId="73" borderId="0" xfId="1762" applyNumberFormat="1" applyFont="1" applyFill="1" applyAlignment="1">
      <alignment horizontal="right" vertical="center"/>
    </xf>
    <xf numFmtId="0" fontId="213" fillId="62" borderId="0" xfId="2368" applyFont="1" applyFill="1" applyAlignment="1">
      <alignment vertical="center"/>
    </xf>
    <xf numFmtId="0" fontId="209" fillId="0" borderId="0" xfId="2368" applyFont="1" applyAlignment="1">
      <alignment vertical="center"/>
    </xf>
    <xf numFmtId="173" fontId="213" fillId="0" borderId="0" xfId="1438" applyNumberFormat="1" applyFont="1" applyAlignment="1">
      <alignment horizontal="right" vertical="center"/>
    </xf>
    <xf numFmtId="176" fontId="213" fillId="0" borderId="0" xfId="1762" applyNumberFormat="1" applyFont="1" applyAlignment="1">
      <alignment horizontal="right" vertical="center"/>
    </xf>
    <xf numFmtId="173" fontId="213" fillId="62" borderId="0" xfId="1438" applyNumberFormat="1" applyFont="1" applyFill="1" applyAlignment="1">
      <alignment horizontal="right" vertical="center"/>
    </xf>
    <xf numFmtId="171" fontId="11" fillId="84" borderId="0" xfId="0" applyNumberFormat="1" applyFont="1" applyFill="1"/>
    <xf numFmtId="169" fontId="10" fillId="84" borderId="0" xfId="0" applyNumberFormat="1" applyFont="1" applyFill="1"/>
    <xf numFmtId="0" fontId="10" fillId="84" borderId="0" xfId="0" applyFont="1" applyFill="1"/>
    <xf numFmtId="9" fontId="10" fillId="84" borderId="0" xfId="0" applyNumberFormat="1" applyFont="1" applyFill="1"/>
    <xf numFmtId="172" fontId="11" fillId="84" borderId="0" xfId="0" applyNumberFormat="1" applyFont="1" applyFill="1"/>
    <xf numFmtId="9" fontId="10" fillId="84" borderId="0" xfId="4" applyFont="1" applyFill="1"/>
    <xf numFmtId="170" fontId="12" fillId="84" borderId="0" xfId="0" applyNumberFormat="1" applyFont="1" applyFill="1"/>
    <xf numFmtId="1" fontId="10" fillId="80" borderId="0" xfId="0" applyNumberFormat="1" applyFont="1" applyFill="1"/>
    <xf numFmtId="9" fontId="10" fillId="80" borderId="0" xfId="0" applyNumberFormat="1" applyFont="1" applyFill="1"/>
    <xf numFmtId="0" fontId="11" fillId="0" borderId="14" xfId="0" applyFont="1" applyBorder="1"/>
    <xf numFmtId="0" fontId="11" fillId="0" borderId="14" xfId="0" applyFont="1" applyBorder="1" applyAlignment="1">
      <alignment horizontal="center"/>
    </xf>
    <xf numFmtId="0" fontId="10" fillId="38" borderId="14" xfId="0" applyFont="1" applyFill="1" applyBorder="1"/>
    <xf numFmtId="0" fontId="10" fillId="38" borderId="14" xfId="0" applyFont="1" applyFill="1" applyBorder="1" applyAlignment="1">
      <alignment horizontal="center"/>
    </xf>
    <xf numFmtId="176" fontId="10" fillId="38" borderId="14" xfId="4" applyNumberFormat="1" applyFont="1" applyFill="1" applyBorder="1" applyAlignment="1">
      <alignment horizontal="center"/>
    </xf>
    <xf numFmtId="4" fontId="4" fillId="2" borderId="0" xfId="0" applyNumberFormat="1" applyFont="1" applyFill="1"/>
    <xf numFmtId="4" fontId="0" fillId="3" borderId="0" xfId="0" applyNumberFormat="1" applyFill="1"/>
    <xf numFmtId="0" fontId="11" fillId="0" borderId="67" xfId="0" applyFont="1" applyBorder="1"/>
    <xf numFmtId="0" fontId="11" fillId="0" borderId="67" xfId="0" applyFont="1" applyBorder="1" applyAlignment="1">
      <alignment horizontal="right"/>
    </xf>
    <xf numFmtId="0" fontId="3" fillId="38" borderId="0" xfId="0" applyFont="1" applyFill="1"/>
    <xf numFmtId="172" fontId="3" fillId="38" borderId="0" xfId="0" applyNumberFormat="1" applyFont="1" applyFill="1"/>
    <xf numFmtId="0" fontId="3" fillId="0" borderId="0" xfId="0" applyFont="1"/>
    <xf numFmtId="176" fontId="3" fillId="0" borderId="0" xfId="4" applyNumberFormat="1" applyFont="1"/>
    <xf numFmtId="9" fontId="3" fillId="38" borderId="0" xfId="4" applyFont="1" applyFill="1"/>
    <xf numFmtId="172" fontId="3" fillId="0" borderId="0" xfId="0" applyNumberFormat="1" applyFont="1"/>
    <xf numFmtId="175" fontId="3" fillId="0" borderId="0" xfId="0" applyNumberFormat="1" applyFont="1"/>
    <xf numFmtId="169" fontId="3" fillId="38" borderId="0" xfId="0" applyNumberFormat="1" applyFont="1" applyFill="1"/>
    <xf numFmtId="169" fontId="3" fillId="0" borderId="0" xfId="0" applyNumberFormat="1" applyFont="1"/>
    <xf numFmtId="175" fontId="3" fillId="38" borderId="0" xfId="0" applyNumberFormat="1" applyFont="1" applyFill="1"/>
    <xf numFmtId="176" fontId="10" fillId="38" borderId="0" xfId="4" applyNumberFormat="1" applyFont="1" applyFill="1"/>
    <xf numFmtId="0" fontId="0" fillId="83" borderId="0" xfId="0" applyFill="1"/>
    <xf numFmtId="9" fontId="3" fillId="0" borderId="0" xfId="4" applyFont="1"/>
    <xf numFmtId="173" fontId="3" fillId="0" borderId="0" xfId="0" applyNumberFormat="1" applyFont="1"/>
    <xf numFmtId="2" fontId="3" fillId="0" borderId="0" xfId="0" applyNumberFormat="1" applyFont="1"/>
    <xf numFmtId="175" fontId="10" fillId="0" borderId="14" xfId="0" applyNumberFormat="1" applyFont="1" applyBorder="1"/>
    <xf numFmtId="9" fontId="12" fillId="0" borderId="0" xfId="4" applyFont="1"/>
    <xf numFmtId="0" fontId="13" fillId="0" borderId="67" xfId="0" applyFont="1" applyBorder="1" applyAlignment="1">
      <alignment horizontal="right"/>
    </xf>
    <xf numFmtId="295" fontId="12" fillId="0" borderId="0" xfId="4" applyNumberFormat="1" applyFont="1"/>
    <xf numFmtId="172" fontId="11" fillId="0" borderId="14" xfId="0" applyNumberFormat="1" applyFont="1" applyBorder="1" applyAlignment="1">
      <alignment horizontal="right"/>
    </xf>
    <xf numFmtId="173" fontId="10" fillId="0" borderId="14" xfId="0" applyNumberFormat="1" applyFont="1" applyBorder="1"/>
    <xf numFmtId="218" fontId="10" fillId="0" borderId="0" xfId="0" applyNumberFormat="1" applyFont="1"/>
    <xf numFmtId="296" fontId="10" fillId="0" borderId="0" xfId="0" applyNumberFormat="1" applyFont="1"/>
    <xf numFmtId="297" fontId="10" fillId="0" borderId="0" xfId="0" applyNumberFormat="1" applyFont="1"/>
    <xf numFmtId="298" fontId="10" fillId="0" borderId="0" xfId="0" applyNumberFormat="1" applyFont="1"/>
    <xf numFmtId="9" fontId="10" fillId="80" borderId="0" xfId="4" applyFont="1" applyFill="1"/>
    <xf numFmtId="174" fontId="12" fillId="0" borderId="0" xfId="0" applyNumberFormat="1" applyFont="1"/>
    <xf numFmtId="0" fontId="23" fillId="0" borderId="0" xfId="2372" applyFont="1"/>
    <xf numFmtId="0" fontId="22" fillId="0" borderId="0" xfId="2372" applyFont="1"/>
    <xf numFmtId="0" fontId="22" fillId="0" borderId="0" xfId="2373"/>
    <xf numFmtId="0" fontId="23" fillId="0" borderId="67" xfId="2372" applyFont="1" applyBorder="1"/>
    <xf numFmtId="261" fontId="22" fillId="73" borderId="0" xfId="2374" applyNumberFormat="1" applyFont="1" applyFill="1"/>
    <xf numFmtId="43" fontId="22" fillId="73" borderId="0" xfId="2374" applyFont="1" applyFill="1"/>
    <xf numFmtId="0" fontId="22" fillId="73" borderId="0" xfId="2372" applyFont="1" applyFill="1"/>
    <xf numFmtId="179" fontId="22" fillId="73" borderId="0" xfId="2374" applyNumberFormat="1" applyFont="1" applyFill="1"/>
    <xf numFmtId="186" fontId="22" fillId="73" borderId="0" xfId="2374" applyNumberFormat="1" applyFont="1" applyFill="1"/>
    <xf numFmtId="181" fontId="22" fillId="73" borderId="0" xfId="2374" applyNumberFormat="1" applyFont="1" applyFill="1"/>
    <xf numFmtId="0" fontId="22" fillId="0" borderId="0" xfId="2375"/>
    <xf numFmtId="0" fontId="6" fillId="0" borderId="0" xfId="2373" applyFont="1"/>
    <xf numFmtId="0" fontId="6" fillId="0" borderId="0" xfId="2373" quotePrefix="1" applyFont="1"/>
    <xf numFmtId="43" fontId="22" fillId="73" borderId="0" xfId="2374" applyFont="1" applyFill="1" applyAlignment="1">
      <alignment horizontal="right"/>
    </xf>
    <xf numFmtId="178" fontId="22" fillId="73" borderId="0" xfId="2374" applyNumberFormat="1" applyFont="1" applyFill="1" applyAlignment="1">
      <alignment horizontal="right"/>
    </xf>
    <xf numFmtId="261" fontId="22" fillId="73" borderId="0" xfId="2374" applyNumberFormat="1" applyFont="1" applyFill="1" applyAlignment="1">
      <alignment horizontal="right"/>
    </xf>
    <xf numFmtId="179" fontId="22" fillId="73" borderId="0" xfId="2374" applyNumberFormat="1" applyFont="1" applyFill="1" applyAlignment="1">
      <alignment horizontal="right"/>
    </xf>
    <xf numFmtId="261" fontId="22" fillId="73" borderId="0" xfId="2372" applyNumberFormat="1" applyFont="1" applyFill="1"/>
    <xf numFmtId="0" fontId="22" fillId="0" borderId="0" xfId="2376" applyFont="1"/>
    <xf numFmtId="179" fontId="22" fillId="73" borderId="0" xfId="2377" applyNumberFormat="1" applyFont="1" applyFill="1"/>
    <xf numFmtId="299" fontId="22" fillId="73" borderId="0" xfId="2377" applyNumberFormat="1" applyFont="1" applyFill="1"/>
    <xf numFmtId="9" fontId="22" fillId="73" borderId="0" xfId="2378" applyFill="1"/>
    <xf numFmtId="0" fontId="23" fillId="0" borderId="0" xfId="2376" applyFont="1" applyAlignment="1">
      <alignment horizontal="left"/>
    </xf>
    <xf numFmtId="261" fontId="22" fillId="0" borderId="0" xfId="2372" applyNumberFormat="1" applyFont="1"/>
    <xf numFmtId="179" fontId="22" fillId="73" borderId="0" xfId="2372" applyNumberFormat="1" applyFont="1" applyFill="1"/>
    <xf numFmtId="176" fontId="22" fillId="73" borderId="0" xfId="2372" applyNumberFormat="1" applyFont="1" applyFill="1"/>
    <xf numFmtId="261" fontId="22" fillId="73" borderId="1" xfId="2374" applyNumberFormat="1" applyFont="1" applyFill="1" applyBorder="1"/>
    <xf numFmtId="0" fontId="23" fillId="0" borderId="0" xfId="2373" applyFont="1"/>
    <xf numFmtId="261" fontId="22" fillId="73" borderId="0" xfId="2377" applyNumberFormat="1" applyFont="1" applyFill="1"/>
    <xf numFmtId="300" fontId="22" fillId="73" borderId="0" xfId="2377" applyNumberFormat="1" applyFont="1" applyFill="1"/>
    <xf numFmtId="176" fontId="22" fillId="73" borderId="0" xfId="2378" applyNumberFormat="1" applyFill="1"/>
    <xf numFmtId="301" fontId="22" fillId="73" borderId="0" xfId="2377" applyNumberFormat="1" applyFont="1" applyFill="1"/>
    <xf numFmtId="0" fontId="23" fillId="0" borderId="67" xfId="2373" applyFont="1" applyBorder="1"/>
    <xf numFmtId="0" fontId="23" fillId="0" borderId="67" xfId="2370" applyFont="1" applyBorder="1"/>
    <xf numFmtId="10" fontId="6" fillId="73" borderId="0" xfId="2373" applyNumberFormat="1" applyFont="1" applyFill="1"/>
    <xf numFmtId="9" fontId="6" fillId="73" borderId="0" xfId="2373" applyNumberFormat="1" applyFont="1" applyFill="1"/>
    <xf numFmtId="0" fontId="6" fillId="73" borderId="0" xfId="2373" applyFont="1" applyFill="1"/>
    <xf numFmtId="9" fontId="6" fillId="73" borderId="0" xfId="2378" applyFont="1" applyFill="1"/>
    <xf numFmtId="0" fontId="22" fillId="0" borderId="0" xfId="2369" applyFont="1"/>
    <xf numFmtId="179" fontId="22" fillId="73" borderId="0" xfId="2369" applyNumberFormat="1" applyFont="1" applyFill="1"/>
    <xf numFmtId="302" fontId="10" fillId="0" borderId="0" xfId="0" applyNumberFormat="1" applyFont="1"/>
    <xf numFmtId="173" fontId="17" fillId="0" borderId="0" xfId="0" applyNumberFormat="1" applyFont="1"/>
    <xf numFmtId="0" fontId="10" fillId="85" borderId="0" xfId="0" applyFont="1" applyFill="1"/>
    <xf numFmtId="172" fontId="10" fillId="85" borderId="0" xfId="0" applyNumberFormat="1" applyFont="1" applyFill="1"/>
    <xf numFmtId="0" fontId="11" fillId="0" borderId="14" xfId="0" applyFont="1" applyBorder="1" applyAlignment="1">
      <alignment horizontal="right"/>
    </xf>
    <xf numFmtId="0" fontId="10" fillId="80" borderId="0" xfId="0" applyFont="1" applyFill="1" applyAlignment="1">
      <alignment horizontal="right"/>
    </xf>
    <xf numFmtId="1" fontId="10" fillId="38" borderId="0" xfId="0" applyNumberFormat="1" applyFont="1" applyFill="1" applyAlignment="1">
      <alignment horizontal="center"/>
    </xf>
    <xf numFmtId="302" fontId="3" fillId="0" borderId="0" xfId="0" applyNumberFormat="1" applyFont="1"/>
    <xf numFmtId="0" fontId="20" fillId="0" borderId="2" xfId="5" applyFont="1" applyBorder="1"/>
    <xf numFmtId="0" fontId="19" fillId="0" borderId="0" xfId="5" applyFont="1"/>
    <xf numFmtId="180" fontId="19" fillId="0" borderId="0" xfId="5" applyNumberFormat="1" applyFont="1"/>
    <xf numFmtId="186" fontId="19" fillId="0" borderId="0" xfId="6" applyNumberFormat="1" applyFont="1"/>
    <xf numFmtId="176" fontId="19" fillId="0" borderId="0" xfId="5" applyNumberFormat="1" applyFont="1"/>
    <xf numFmtId="0" fontId="19" fillId="38" borderId="0" xfId="5" applyFont="1" applyFill="1"/>
    <xf numFmtId="179" fontId="19" fillId="0" borderId="0" xfId="5" applyNumberFormat="1" applyFont="1"/>
    <xf numFmtId="9" fontId="19" fillId="0" borderId="0" xfId="4" applyFont="1"/>
    <xf numFmtId="179" fontId="19" fillId="0" borderId="1" xfId="5" applyNumberFormat="1" applyFont="1" applyBorder="1"/>
    <xf numFmtId="9" fontId="19" fillId="0" borderId="0" xfId="5" applyNumberFormat="1" applyFont="1"/>
    <xf numFmtId="176" fontId="19" fillId="0" borderId="0" xfId="4" applyNumberFormat="1" applyFont="1"/>
    <xf numFmtId="179" fontId="19" fillId="0" borderId="0" xfId="6" applyNumberFormat="1" applyFont="1"/>
    <xf numFmtId="3" fontId="19" fillId="0" borderId="0" xfId="5" applyNumberFormat="1" applyFont="1"/>
    <xf numFmtId="184" fontId="19" fillId="0" borderId="0" xfId="5" applyNumberFormat="1" applyFont="1"/>
    <xf numFmtId="176" fontId="20" fillId="0" borderId="0" xfId="4" applyNumberFormat="1" applyFont="1"/>
    <xf numFmtId="3" fontId="20" fillId="0" borderId="0" xfId="5" applyNumberFormat="1" applyFont="1"/>
    <xf numFmtId="0" fontId="19" fillId="0" borderId="14" xfId="5" applyFont="1" applyBorder="1"/>
    <xf numFmtId="1" fontId="19" fillId="0" borderId="0" xfId="5" applyNumberFormat="1" applyFont="1"/>
    <xf numFmtId="175" fontId="19" fillId="0" borderId="0" xfId="5" applyNumberFormat="1" applyFont="1"/>
    <xf numFmtId="185" fontId="19" fillId="0" borderId="0" xfId="5" applyNumberFormat="1" applyFont="1"/>
    <xf numFmtId="0" fontId="217" fillId="0" borderId="0" xfId="5" applyFont="1"/>
    <xf numFmtId="187" fontId="217" fillId="0" borderId="0" xfId="5" applyNumberFormat="1" applyFont="1"/>
    <xf numFmtId="187" fontId="19" fillId="0" borderId="0" xfId="5" applyNumberFormat="1" applyFont="1"/>
    <xf numFmtId="4" fontId="19" fillId="0" borderId="0" xfId="5" applyNumberFormat="1" applyFont="1"/>
    <xf numFmtId="182" fontId="19" fillId="35" borderId="0" xfId="5" applyNumberFormat="1" applyFont="1" applyFill="1"/>
    <xf numFmtId="0" fontId="11" fillId="0" borderId="1" xfId="0" applyFont="1" applyBorder="1" applyAlignment="1">
      <alignment horizontal="center"/>
    </xf>
    <xf numFmtId="0" fontId="3" fillId="0" borderId="0" xfId="0" applyFont="1" applyAlignment="1">
      <alignment horizontal="center"/>
    </xf>
    <xf numFmtId="175" fontId="19" fillId="0" borderId="45" xfId="5" applyNumberFormat="1" applyFont="1" applyBorder="1"/>
    <xf numFmtId="176" fontId="3" fillId="0" borderId="0" xfId="4" applyNumberFormat="1" applyFont="1" applyAlignment="1">
      <alignment horizontal="right"/>
    </xf>
    <xf numFmtId="169" fontId="214" fillId="0" borderId="0" xfId="0" applyNumberFormat="1" applyFont="1"/>
    <xf numFmtId="169" fontId="3" fillId="0" borderId="1" xfId="0" applyNumberFormat="1" applyFont="1" applyBorder="1"/>
    <xf numFmtId="0" fontId="11" fillId="0" borderId="67" xfId="0" applyFont="1" applyBorder="1" applyAlignment="1">
      <alignment horizontal="center"/>
    </xf>
    <xf numFmtId="169" fontId="3" fillId="0" borderId="0" xfId="0" applyNumberFormat="1" applyFont="1" applyAlignment="1">
      <alignment horizontal="center"/>
    </xf>
    <xf numFmtId="9" fontId="3" fillId="0" borderId="0" xfId="4" applyFont="1" applyAlignment="1">
      <alignment horizontal="center"/>
    </xf>
    <xf numFmtId="176" fontId="3" fillId="0" borderId="0" xfId="4" applyNumberFormat="1" applyFont="1" applyAlignment="1">
      <alignment horizontal="center"/>
    </xf>
    <xf numFmtId="2" fontId="3" fillId="0" borderId="0" xfId="0" applyNumberFormat="1" applyFont="1" applyAlignment="1">
      <alignment horizontal="center"/>
    </xf>
    <xf numFmtId="172" fontId="3" fillId="0" borderId="0" xfId="0" applyNumberFormat="1" applyFont="1" applyAlignment="1">
      <alignment horizontal="center"/>
    </xf>
    <xf numFmtId="172" fontId="3" fillId="0" borderId="14" xfId="0" applyNumberFormat="1" applyFont="1" applyBorder="1" applyAlignment="1">
      <alignment horizontal="center"/>
    </xf>
    <xf numFmtId="289" fontId="3" fillId="0" borderId="0" xfId="0" applyNumberFormat="1" applyFont="1" applyAlignment="1">
      <alignment horizontal="center"/>
    </xf>
    <xf numFmtId="2" fontId="214" fillId="0" borderId="0" xfId="0" applyNumberFormat="1" applyFont="1"/>
    <xf numFmtId="172" fontId="10" fillId="38" borderId="0" xfId="0" applyNumberFormat="1" applyFont="1" applyFill="1" applyAlignment="1">
      <alignment horizontal="center"/>
    </xf>
    <xf numFmtId="172" fontId="10" fillId="0" borderId="0" xfId="0" applyNumberFormat="1" applyFont="1" applyAlignment="1">
      <alignment horizontal="center"/>
    </xf>
    <xf numFmtId="175" fontId="10" fillId="0" borderId="0" xfId="0" applyNumberFormat="1" applyFont="1" applyAlignment="1">
      <alignment horizontal="center"/>
    </xf>
    <xf numFmtId="169" fontId="10" fillId="38" borderId="0" xfId="0" applyNumberFormat="1" applyFont="1" applyFill="1" applyAlignment="1">
      <alignment horizontal="center"/>
    </xf>
    <xf numFmtId="169" fontId="10" fillId="0" borderId="0" xfId="0" applyNumberFormat="1" applyFont="1" applyAlignment="1">
      <alignment horizontal="center"/>
    </xf>
    <xf numFmtId="175" fontId="10" fillId="38" borderId="0" xfId="0" applyNumberFormat="1" applyFont="1" applyFill="1" applyAlignment="1">
      <alignment horizontal="center"/>
    </xf>
    <xf numFmtId="0" fontId="20" fillId="0" borderId="2" xfId="5" applyFont="1" applyBorder="1" applyAlignment="1">
      <alignment horizontal="center"/>
    </xf>
    <xf numFmtId="180" fontId="19" fillId="38" borderId="0" xfId="5" applyNumberFormat="1" applyFont="1" applyFill="1" applyAlignment="1">
      <alignment horizontal="center"/>
    </xf>
    <xf numFmtId="0" fontId="3" fillId="38" borderId="0" xfId="0" applyFont="1" applyFill="1" applyAlignment="1">
      <alignment horizontal="center"/>
    </xf>
    <xf numFmtId="180" fontId="19" fillId="0" borderId="0" xfId="5" applyNumberFormat="1" applyFont="1" applyAlignment="1">
      <alignment horizontal="center"/>
    </xf>
    <xf numFmtId="186" fontId="19" fillId="0" borderId="0" xfId="6" applyNumberFormat="1" applyFont="1" applyAlignment="1">
      <alignment horizontal="center"/>
    </xf>
    <xf numFmtId="176" fontId="19" fillId="38" borderId="0" xfId="5" applyNumberFormat="1" applyFont="1" applyFill="1" applyAlignment="1">
      <alignment horizontal="center"/>
    </xf>
    <xf numFmtId="176" fontId="19" fillId="0" borderId="0" xfId="5" applyNumberFormat="1" applyFont="1" applyAlignment="1">
      <alignment horizontal="center"/>
    </xf>
    <xf numFmtId="0" fontId="3" fillId="80" borderId="0" xfId="0" applyFont="1" applyFill="1"/>
    <xf numFmtId="290" fontId="214" fillId="0" borderId="0" xfId="0" applyNumberFormat="1" applyFont="1" applyAlignment="1">
      <alignment horizontal="right"/>
    </xf>
    <xf numFmtId="303" fontId="19" fillId="0" borderId="0" xfId="5" applyNumberFormat="1" applyFont="1"/>
    <xf numFmtId="169" fontId="10" fillId="0" borderId="14" xfId="0" applyNumberFormat="1" applyFont="1" applyBorder="1"/>
    <xf numFmtId="0" fontId="20" fillId="0" borderId="0" xfId="5" applyFont="1" applyAlignment="1">
      <alignment horizontal="right"/>
    </xf>
    <xf numFmtId="169" fontId="10" fillId="38" borderId="14" xfId="0" applyNumberFormat="1" applyFont="1" applyFill="1" applyBorder="1"/>
    <xf numFmtId="1" fontId="10" fillId="38" borderId="0" xfId="0" applyNumberFormat="1" applyFont="1" applyFill="1"/>
    <xf numFmtId="0" fontId="10" fillId="38" borderId="0" xfId="0" applyFont="1" applyFill="1" applyAlignment="1">
      <alignment horizontal="right"/>
    </xf>
    <xf numFmtId="1" fontId="10" fillId="38" borderId="0" xfId="0" applyNumberFormat="1" applyFont="1" applyFill="1" applyAlignment="1">
      <alignment horizontal="right"/>
    </xf>
    <xf numFmtId="169" fontId="10" fillId="85" borderId="0" xfId="0" applyNumberFormat="1" applyFont="1" applyFill="1"/>
    <xf numFmtId="0" fontId="11" fillId="0" borderId="67" xfId="0" applyFont="1" applyBorder="1" applyAlignment="1">
      <alignment horizontal="center" wrapText="1"/>
    </xf>
    <xf numFmtId="9" fontId="10" fillId="0" borderId="0" xfId="4" applyFont="1" applyAlignment="1">
      <alignment horizontal="center"/>
    </xf>
    <xf numFmtId="3" fontId="10" fillId="86" borderId="0" xfId="0" applyNumberFormat="1" applyFont="1" applyFill="1"/>
    <xf numFmtId="172" fontId="13" fillId="0" borderId="67" xfId="0" applyNumberFormat="1" applyFont="1" applyBorder="1"/>
    <xf numFmtId="179" fontId="20" fillId="0" borderId="67" xfId="0" applyNumberFormat="1" applyFont="1" applyBorder="1"/>
    <xf numFmtId="173" fontId="17" fillId="0" borderId="0" xfId="0" applyNumberFormat="1" applyFont="1" applyAlignment="1">
      <alignment horizontal="left"/>
    </xf>
    <xf numFmtId="0" fontId="11" fillId="0" borderId="0" xfId="0" applyFont="1" applyAlignment="1">
      <alignment horizontal="center" wrapText="1"/>
    </xf>
    <xf numFmtId="43" fontId="12" fillId="80" borderId="0" xfId="2379" applyFont="1" applyFill="1"/>
    <xf numFmtId="176" fontId="10" fillId="80" borderId="0" xfId="0" applyNumberFormat="1" applyFont="1" applyFill="1"/>
    <xf numFmtId="176" fontId="12" fillId="80" borderId="0" xfId="4" applyNumberFormat="1" applyFont="1" applyFill="1"/>
    <xf numFmtId="176" fontId="10" fillId="80" borderId="0" xfId="4" applyNumberFormat="1" applyFont="1" applyFill="1"/>
    <xf numFmtId="9" fontId="10" fillId="0" borderId="0" xfId="0" applyNumberFormat="1" applyFont="1" applyAlignment="1">
      <alignment horizontal="center"/>
    </xf>
    <xf numFmtId="169" fontId="10" fillId="35" borderId="0" xfId="0" applyNumberFormat="1" applyFont="1" applyFill="1" applyAlignment="1">
      <alignment horizontal="center"/>
    </xf>
    <xf numFmtId="176" fontId="10" fillId="35" borderId="0" xfId="0" applyNumberFormat="1" applyFont="1" applyFill="1" applyAlignment="1">
      <alignment horizontal="center"/>
    </xf>
    <xf numFmtId="174" fontId="10" fillId="35" borderId="0" xfId="0" applyNumberFormat="1" applyFont="1" applyFill="1" applyAlignment="1">
      <alignment horizontal="center"/>
    </xf>
    <xf numFmtId="306" fontId="10" fillId="0" borderId="0" xfId="0" applyNumberFormat="1" applyFont="1" applyAlignment="1">
      <alignment horizontal="center"/>
    </xf>
    <xf numFmtId="170" fontId="10" fillId="0" borderId="0" xfId="0" applyNumberFormat="1" applyFont="1" applyAlignment="1">
      <alignment horizontal="center"/>
    </xf>
    <xf numFmtId="290" fontId="10" fillId="0" borderId="0" xfId="0" applyNumberFormat="1" applyFont="1" applyAlignment="1">
      <alignment horizontal="center"/>
    </xf>
    <xf numFmtId="289" fontId="10" fillId="0" borderId="0" xfId="0" applyNumberFormat="1" applyFont="1" applyAlignment="1">
      <alignment horizontal="center"/>
    </xf>
    <xf numFmtId="10" fontId="10" fillId="35" borderId="0" xfId="0" applyNumberFormat="1" applyFont="1" applyFill="1" applyAlignment="1">
      <alignment horizontal="center"/>
    </xf>
    <xf numFmtId="173" fontId="10" fillId="0" borderId="0" xfId="0" applyNumberFormat="1" applyFont="1" applyAlignment="1">
      <alignment horizontal="center"/>
    </xf>
    <xf numFmtId="2" fontId="10" fillId="0" borderId="0" xfId="0" applyNumberFormat="1" applyFont="1" applyAlignment="1">
      <alignment horizontal="center"/>
    </xf>
    <xf numFmtId="2" fontId="19" fillId="35" borderId="0" xfId="0" applyNumberFormat="1" applyFont="1" applyFill="1" applyAlignment="1">
      <alignment horizontal="center"/>
    </xf>
    <xf numFmtId="2" fontId="10" fillId="35" borderId="0" xfId="0" applyNumberFormat="1" applyFont="1" applyFill="1" applyAlignment="1">
      <alignment horizontal="center"/>
    </xf>
    <xf numFmtId="3" fontId="10" fillId="0" borderId="0" xfId="0" applyNumberFormat="1" applyFont="1" applyAlignment="1">
      <alignment horizontal="center"/>
    </xf>
    <xf numFmtId="172" fontId="10" fillId="35" borderId="0" xfId="0" applyNumberFormat="1" applyFont="1" applyFill="1" applyAlignment="1">
      <alignment horizontal="center"/>
    </xf>
    <xf numFmtId="172" fontId="11" fillId="0" borderId="0" xfId="0" applyNumberFormat="1" applyFont="1" applyAlignment="1">
      <alignment horizontal="center"/>
    </xf>
    <xf numFmtId="172" fontId="12" fillId="0" borderId="0" xfId="0" applyNumberFormat="1" applyFont="1" applyAlignment="1">
      <alignment horizontal="center"/>
    </xf>
    <xf numFmtId="176" fontId="12" fillId="0" borderId="0" xfId="4" applyNumberFormat="1" applyFont="1" applyAlignment="1">
      <alignment horizontal="center"/>
    </xf>
    <xf numFmtId="172" fontId="19" fillId="2" borderId="0" xfId="0" applyNumberFormat="1" applyFont="1" applyFill="1" applyAlignment="1">
      <alignment horizontal="center"/>
    </xf>
    <xf numFmtId="170" fontId="12" fillId="0" borderId="0" xfId="0" applyNumberFormat="1" applyFont="1" applyAlignment="1">
      <alignment horizontal="center"/>
    </xf>
    <xf numFmtId="172" fontId="10" fillId="2" borderId="0" xfId="0" applyNumberFormat="1" applyFont="1" applyFill="1" applyAlignment="1">
      <alignment horizontal="center"/>
    </xf>
    <xf numFmtId="172" fontId="11" fillId="0" borderId="14" xfId="0" applyNumberFormat="1" applyFont="1" applyBorder="1" applyAlignment="1">
      <alignment horizontal="center"/>
    </xf>
    <xf numFmtId="302" fontId="10" fillId="0" borderId="0" xfId="0" applyNumberFormat="1" applyFont="1" applyAlignment="1">
      <alignment horizontal="center"/>
    </xf>
    <xf numFmtId="172" fontId="3" fillId="35" borderId="0" xfId="0" applyNumberFormat="1" applyFont="1" applyFill="1" applyAlignment="1">
      <alignment horizontal="center"/>
    </xf>
    <xf numFmtId="172" fontId="11" fillId="35" borderId="0" xfId="0" applyNumberFormat="1" applyFont="1" applyFill="1" applyAlignment="1">
      <alignment horizontal="center"/>
    </xf>
    <xf numFmtId="9" fontId="10" fillId="35" borderId="0" xfId="4" applyFont="1" applyFill="1" applyAlignment="1">
      <alignment horizontal="center"/>
    </xf>
    <xf numFmtId="172" fontId="10" fillId="0" borderId="14" xfId="0" applyNumberFormat="1" applyFont="1" applyBorder="1" applyAlignment="1">
      <alignment horizontal="center"/>
    </xf>
    <xf numFmtId="9" fontId="10" fillId="35" borderId="0" xfId="0" applyNumberFormat="1" applyFont="1" applyFill="1" applyAlignment="1">
      <alignment horizontal="center"/>
    </xf>
    <xf numFmtId="172" fontId="11" fillId="0" borderId="1" xfId="0" applyNumberFormat="1" applyFont="1" applyBorder="1" applyAlignment="1">
      <alignment horizontal="center"/>
    </xf>
    <xf numFmtId="172" fontId="11" fillId="0" borderId="3" xfId="0" applyNumberFormat="1" applyFont="1" applyBorder="1" applyAlignment="1">
      <alignment horizontal="center"/>
    </xf>
    <xf numFmtId="172" fontId="10" fillId="0" borderId="4" xfId="0" applyNumberFormat="1" applyFont="1" applyBorder="1" applyAlignment="1">
      <alignment horizontal="center"/>
    </xf>
    <xf numFmtId="172" fontId="13" fillId="0" borderId="2" xfId="0" applyNumberFormat="1" applyFont="1" applyBorder="1" applyAlignment="1">
      <alignment horizontal="center"/>
    </xf>
    <xf numFmtId="172" fontId="13" fillId="0" borderId="0" xfId="0" applyNumberFormat="1" applyFont="1" applyAlignment="1">
      <alignment horizontal="center"/>
    </xf>
    <xf numFmtId="0" fontId="10" fillId="0" borderId="1" xfId="0" applyFont="1" applyBorder="1" applyAlignment="1">
      <alignment horizontal="center"/>
    </xf>
    <xf numFmtId="0" fontId="10" fillId="85" borderId="0" xfId="0" applyFont="1" applyFill="1" applyAlignment="1">
      <alignment horizontal="center"/>
    </xf>
    <xf numFmtId="0" fontId="10" fillId="0" borderId="14" xfId="0" applyFont="1" applyBorder="1" applyAlignment="1">
      <alignment horizontal="center"/>
    </xf>
    <xf numFmtId="0" fontId="10" fillId="35" borderId="0" xfId="0" applyFont="1" applyFill="1" applyAlignment="1">
      <alignment horizontal="center"/>
    </xf>
    <xf numFmtId="9" fontId="10" fillId="0" borderId="14" xfId="4" applyFont="1" applyBorder="1" applyAlignment="1">
      <alignment horizontal="center"/>
    </xf>
    <xf numFmtId="0" fontId="19" fillId="0" borderId="0" xfId="0" applyFont="1" applyAlignment="1">
      <alignment horizontal="center"/>
    </xf>
    <xf numFmtId="179" fontId="19" fillId="0" borderId="0" xfId="0" applyNumberFormat="1" applyFont="1" applyAlignment="1">
      <alignment horizontal="center"/>
    </xf>
    <xf numFmtId="179" fontId="20" fillId="0" borderId="2" xfId="0" applyNumberFormat="1" applyFont="1" applyBorder="1" applyAlignment="1">
      <alignment horizontal="center"/>
    </xf>
    <xf numFmtId="179" fontId="20" fillId="0" borderId="67" xfId="0" applyNumberFormat="1" applyFont="1" applyBorder="1" applyAlignment="1">
      <alignment horizontal="center"/>
    </xf>
    <xf numFmtId="2" fontId="19" fillId="0" borderId="0" xfId="0" applyNumberFormat="1" applyFont="1" applyAlignment="1">
      <alignment horizontal="center"/>
    </xf>
    <xf numFmtId="3" fontId="10" fillId="35" borderId="0" xfId="0" applyNumberFormat="1" applyFont="1" applyFill="1" applyAlignment="1">
      <alignment horizontal="center"/>
    </xf>
    <xf numFmtId="3" fontId="10" fillId="86" borderId="0" xfId="0" applyNumberFormat="1" applyFont="1" applyFill="1" applyAlignment="1">
      <alignment horizontal="center"/>
    </xf>
    <xf numFmtId="4" fontId="10" fillId="0" borderId="0" xfId="0" applyNumberFormat="1" applyFont="1" applyAlignment="1">
      <alignment horizontal="center"/>
    </xf>
    <xf numFmtId="179" fontId="10" fillId="0" borderId="0" xfId="0" applyNumberFormat="1" applyFont="1" applyAlignment="1">
      <alignment horizontal="center"/>
    </xf>
    <xf numFmtId="0" fontId="19" fillId="83" borderId="0" xfId="0" applyFont="1" applyFill="1" applyAlignment="1">
      <alignment horizontal="center"/>
    </xf>
    <xf numFmtId="169" fontId="10" fillId="0" borderId="14" xfId="0" applyNumberFormat="1" applyFont="1" applyBorder="1" applyAlignment="1">
      <alignment horizontal="center"/>
    </xf>
    <xf numFmtId="1" fontId="10" fillId="0" borderId="0" xfId="0" applyNumberFormat="1" applyFont="1" applyAlignment="1">
      <alignment horizontal="center"/>
    </xf>
    <xf numFmtId="169" fontId="10" fillId="38" borderId="14" xfId="0" applyNumberFormat="1" applyFont="1" applyFill="1" applyBorder="1" applyAlignment="1">
      <alignment horizontal="center"/>
    </xf>
    <xf numFmtId="169" fontId="10" fillId="85" borderId="0" xfId="0" applyNumberFormat="1" applyFont="1" applyFill="1" applyAlignment="1">
      <alignment horizontal="center"/>
    </xf>
    <xf numFmtId="0" fontId="10" fillId="3" borderId="0" xfId="0" applyFont="1" applyFill="1" applyAlignment="1">
      <alignment horizontal="center"/>
    </xf>
    <xf numFmtId="9" fontId="10" fillId="3" borderId="0" xfId="0" applyNumberFormat="1" applyFont="1" applyFill="1" applyAlignment="1">
      <alignment horizontal="center"/>
    </xf>
    <xf numFmtId="172" fontId="10" fillId="3" borderId="0" xfId="0" applyNumberFormat="1" applyFont="1" applyFill="1" applyAlignment="1">
      <alignment horizontal="center"/>
    </xf>
    <xf numFmtId="169" fontId="10" fillId="3" borderId="0" xfId="0" applyNumberFormat="1" applyFont="1" applyFill="1" applyAlignment="1">
      <alignment horizontal="center"/>
    </xf>
    <xf numFmtId="0" fontId="11" fillId="0" borderId="0" xfId="0" applyFont="1" applyAlignment="1">
      <alignment horizontal="center"/>
    </xf>
    <xf numFmtId="178" fontId="10" fillId="0" borderId="0" xfId="0" applyNumberFormat="1" applyFont="1" applyAlignment="1">
      <alignment horizontal="center"/>
    </xf>
    <xf numFmtId="172" fontId="10" fillId="0" borderId="1" xfId="0" applyNumberFormat="1" applyFont="1" applyBorder="1" applyAlignment="1">
      <alignment horizontal="center"/>
    </xf>
    <xf numFmtId="172" fontId="10" fillId="35" borderId="1" xfId="0" applyNumberFormat="1" applyFont="1" applyFill="1" applyBorder="1" applyAlignment="1">
      <alignment horizontal="center"/>
    </xf>
    <xf numFmtId="179" fontId="19" fillId="35" borderId="0" xfId="0" applyNumberFormat="1" applyFont="1" applyFill="1" applyAlignment="1">
      <alignment horizontal="center"/>
    </xf>
    <xf numFmtId="179" fontId="20" fillId="0" borderId="0" xfId="0" applyNumberFormat="1" applyFont="1" applyAlignment="1">
      <alignment horizontal="center"/>
    </xf>
    <xf numFmtId="0" fontId="22" fillId="73" borderId="1" xfId="2372" applyFont="1" applyFill="1" applyBorder="1"/>
    <xf numFmtId="169" fontId="10" fillId="0" borderId="0" xfId="0" applyNumberFormat="1" applyFont="1" applyAlignment="1">
      <alignment horizontal="right"/>
    </xf>
    <xf numFmtId="176" fontId="10" fillId="0" borderId="0" xfId="0" applyNumberFormat="1" applyFont="1" applyAlignment="1">
      <alignment horizontal="center"/>
    </xf>
    <xf numFmtId="305" fontId="10" fillId="0" borderId="0" xfId="0" applyNumberFormat="1" applyFont="1" applyAlignment="1">
      <alignment horizontal="center"/>
    </xf>
    <xf numFmtId="0" fontId="11" fillId="0" borderId="16" xfId="0" applyFont="1" applyBorder="1" applyAlignment="1">
      <alignment horizontal="center"/>
    </xf>
    <xf numFmtId="172" fontId="10" fillId="38" borderId="18" xfId="0" applyNumberFormat="1" applyFont="1" applyFill="1" applyBorder="1" applyAlignment="1">
      <alignment horizontal="center"/>
    </xf>
    <xf numFmtId="176" fontId="10" fillId="0" borderId="18" xfId="4" applyNumberFormat="1" applyFont="1" applyBorder="1" applyAlignment="1">
      <alignment horizontal="center"/>
    </xf>
    <xf numFmtId="9" fontId="10" fillId="38" borderId="18" xfId="4" applyFont="1" applyFill="1" applyBorder="1" applyAlignment="1">
      <alignment horizontal="center"/>
    </xf>
    <xf numFmtId="172" fontId="10" fillId="0" borderId="18" xfId="0" applyNumberFormat="1" applyFont="1" applyBorder="1" applyAlignment="1">
      <alignment horizontal="center"/>
    </xf>
    <xf numFmtId="175" fontId="10" fillId="0" borderId="18" xfId="0" applyNumberFormat="1" applyFont="1" applyBorder="1" applyAlignment="1">
      <alignment horizontal="center"/>
    </xf>
    <xf numFmtId="169" fontId="10" fillId="38" borderId="18" xfId="0" applyNumberFormat="1" applyFont="1" applyFill="1" applyBorder="1" applyAlignment="1">
      <alignment horizontal="center"/>
    </xf>
    <xf numFmtId="0" fontId="10" fillId="38" borderId="18" xfId="0" applyFont="1" applyFill="1" applyBorder="1" applyAlignment="1">
      <alignment horizontal="center"/>
    </xf>
    <xf numFmtId="169" fontId="10" fillId="0" borderId="18" xfId="0" applyNumberFormat="1" applyFont="1" applyBorder="1" applyAlignment="1">
      <alignment horizontal="center"/>
    </xf>
    <xf numFmtId="0" fontId="10" fillId="0" borderId="18" xfId="0" applyFont="1" applyBorder="1" applyAlignment="1">
      <alignment horizontal="center"/>
    </xf>
    <xf numFmtId="175" fontId="10" fillId="38" borderId="18" xfId="0" applyNumberFormat="1" applyFont="1" applyFill="1" applyBorder="1" applyAlignment="1">
      <alignment horizontal="center"/>
    </xf>
    <xf numFmtId="43" fontId="22" fillId="0" borderId="0" xfId="2372" applyNumberFormat="1" applyFont="1"/>
    <xf numFmtId="179" fontId="20" fillId="0" borderId="0" xfId="5" applyNumberFormat="1" applyFont="1"/>
    <xf numFmtId="182" fontId="19" fillId="0" borderId="0" xfId="5" applyNumberFormat="1" applyFont="1"/>
    <xf numFmtId="176" fontId="19" fillId="37" borderId="0" xfId="5" applyNumberFormat="1" applyFont="1" applyFill="1"/>
    <xf numFmtId="176" fontId="19" fillId="37" borderId="0" xfId="4" applyNumberFormat="1" applyFont="1" applyFill="1"/>
    <xf numFmtId="179" fontId="19" fillId="37" borderId="0" xfId="6" applyNumberFormat="1" applyFont="1" applyFill="1"/>
    <xf numFmtId="175" fontId="19" fillId="37" borderId="0" xfId="5" applyNumberFormat="1" applyFont="1" applyFill="1"/>
    <xf numFmtId="307" fontId="19" fillId="0" borderId="0" xfId="5" applyNumberFormat="1" applyFont="1"/>
    <xf numFmtId="0" fontId="11" fillId="0" borderId="0" xfId="0" quotePrefix="1" applyFont="1"/>
    <xf numFmtId="173" fontId="10" fillId="0" borderId="14" xfId="0" applyNumberFormat="1" applyFont="1" applyBorder="1" applyAlignment="1">
      <alignment horizontal="center"/>
    </xf>
    <xf numFmtId="172" fontId="3" fillId="80" borderId="0" xfId="0" applyNumberFormat="1" applyFont="1" applyFill="1"/>
    <xf numFmtId="0" fontId="10" fillId="87" borderId="0" xfId="0" applyFont="1" applyFill="1"/>
    <xf numFmtId="0" fontId="10" fillId="87" borderId="0" xfId="0" applyFont="1" applyFill="1" applyAlignment="1">
      <alignment horizontal="center"/>
    </xf>
    <xf numFmtId="0" fontId="12" fillId="0" borderId="0" xfId="0" applyFont="1" applyAlignment="1">
      <alignment horizontal="center"/>
    </xf>
    <xf numFmtId="173" fontId="12" fillId="0" borderId="0" xfId="0" applyNumberFormat="1" applyFont="1" applyAlignment="1">
      <alignment horizontal="center"/>
    </xf>
    <xf numFmtId="175" fontId="10" fillId="87" borderId="0" xfId="0" applyNumberFormat="1" applyFont="1" applyFill="1" applyAlignment="1">
      <alignment horizontal="center"/>
    </xf>
    <xf numFmtId="173" fontId="11" fillId="35" borderId="0" xfId="0" applyNumberFormat="1" applyFont="1" applyFill="1" applyAlignment="1">
      <alignment horizontal="center"/>
    </xf>
    <xf numFmtId="173" fontId="12" fillId="35" borderId="0" xfId="0" applyNumberFormat="1" applyFont="1" applyFill="1" applyAlignment="1">
      <alignment horizontal="center"/>
    </xf>
    <xf numFmtId="173" fontId="10" fillId="35" borderId="0" xfId="0" applyNumberFormat="1" applyFont="1" applyFill="1" applyAlignment="1">
      <alignment horizontal="center"/>
    </xf>
    <xf numFmtId="1" fontId="10" fillId="35" borderId="0" xfId="0" applyNumberFormat="1" applyFont="1" applyFill="1" applyAlignment="1">
      <alignment horizontal="center"/>
    </xf>
    <xf numFmtId="175" fontId="12" fillId="0" borderId="0" xfId="0" applyNumberFormat="1" applyFont="1" applyAlignment="1">
      <alignment horizontal="center"/>
    </xf>
    <xf numFmtId="173" fontId="10" fillId="2" borderId="0" xfId="0" applyNumberFormat="1" applyFont="1" applyFill="1" applyAlignment="1">
      <alignment horizontal="center"/>
    </xf>
    <xf numFmtId="0" fontId="11" fillId="87" borderId="0" xfId="0" applyFont="1" applyFill="1"/>
    <xf numFmtId="172" fontId="11" fillId="87" borderId="0" xfId="0" applyNumberFormat="1" applyFont="1" applyFill="1" applyAlignment="1">
      <alignment horizontal="center"/>
    </xf>
    <xf numFmtId="172" fontId="11" fillId="87" borderId="0" xfId="0" quotePrefix="1" applyNumberFormat="1" applyFont="1" applyFill="1" applyAlignment="1">
      <alignment horizontal="center"/>
    </xf>
    <xf numFmtId="0" fontId="12" fillId="87" borderId="0" xfId="0" applyFont="1" applyFill="1" applyAlignment="1">
      <alignment horizontal="left" indent="1"/>
    </xf>
    <xf numFmtId="170" fontId="12" fillId="87" borderId="0" xfId="0" applyNumberFormat="1" applyFont="1" applyFill="1" applyAlignment="1">
      <alignment horizontal="center"/>
    </xf>
    <xf numFmtId="1" fontId="12" fillId="87" borderId="0" xfId="0" applyNumberFormat="1" applyFont="1" applyFill="1" applyAlignment="1">
      <alignment horizontal="center"/>
    </xf>
    <xf numFmtId="172" fontId="11" fillId="87" borderId="0" xfId="0" applyNumberFormat="1" applyFont="1" applyFill="1"/>
    <xf numFmtId="0" fontId="220" fillId="0" borderId="0" xfId="0" applyFont="1"/>
    <xf numFmtId="0" fontId="17" fillId="0" borderId="16" xfId="0" applyFont="1" applyBorder="1"/>
    <xf numFmtId="0" fontId="17" fillId="0" borderId="37" xfId="0" applyFont="1" applyBorder="1" applyAlignment="1">
      <alignment horizontal="center"/>
    </xf>
    <xf numFmtId="0" fontId="17" fillId="0" borderId="75" xfId="0" applyFont="1" applyBorder="1" applyAlignment="1">
      <alignment horizontal="center"/>
    </xf>
    <xf numFmtId="0" fontId="2" fillId="0" borderId="18" xfId="0" applyFont="1" applyBorder="1"/>
    <xf numFmtId="0" fontId="2" fillId="0" borderId="0" xfId="0" applyFont="1" applyAlignment="1">
      <alignment horizontal="center"/>
    </xf>
    <xf numFmtId="0" fontId="2" fillId="0" borderId="31" xfId="0" applyFont="1" applyBorder="1" applyAlignment="1">
      <alignment horizontal="center"/>
    </xf>
    <xf numFmtId="3" fontId="2" fillId="0" borderId="0" xfId="0" applyNumberFormat="1" applyFont="1" applyAlignment="1">
      <alignment horizontal="center"/>
    </xf>
    <xf numFmtId="173" fontId="2" fillId="0" borderId="0" xfId="0" applyNumberFormat="1" applyFont="1" applyAlignment="1">
      <alignment horizontal="center"/>
    </xf>
    <xf numFmtId="9" fontId="2" fillId="85" borderId="0" xfId="0" applyNumberFormat="1" applyFont="1" applyFill="1" applyAlignment="1">
      <alignment horizontal="center"/>
    </xf>
    <xf numFmtId="9" fontId="2" fillId="0" borderId="31" xfId="4" applyFont="1" applyBorder="1" applyAlignment="1">
      <alignment horizontal="center"/>
    </xf>
    <xf numFmtId="0" fontId="17" fillId="0" borderId="18" xfId="0" applyFont="1" applyBorder="1"/>
    <xf numFmtId="0" fontId="17" fillId="0" borderId="0" xfId="0" applyFont="1" applyAlignment="1">
      <alignment horizontal="center"/>
    </xf>
    <xf numFmtId="0" fontId="17" fillId="0" borderId="31" xfId="0" applyFont="1" applyBorder="1" applyAlignment="1">
      <alignment horizontal="center"/>
    </xf>
    <xf numFmtId="176" fontId="2" fillId="0" borderId="0" xfId="4" applyNumberFormat="1" applyFont="1" applyAlignment="1">
      <alignment horizontal="center"/>
    </xf>
    <xf numFmtId="0" fontId="2" fillId="0" borderId="17" xfId="0" applyFont="1" applyBorder="1"/>
    <xf numFmtId="0" fontId="2" fillId="0" borderId="77" xfId="0" applyFont="1" applyBorder="1" applyAlignment="1">
      <alignment horizontal="center"/>
    </xf>
    <xf numFmtId="0" fontId="2" fillId="0" borderId="78" xfId="0" applyFont="1" applyBorder="1"/>
    <xf numFmtId="0" fontId="221" fillId="88" borderId="16" xfId="2380" applyFont="1" applyFill="1" applyBorder="1"/>
    <xf numFmtId="0" fontId="221" fillId="88" borderId="75" xfId="2380" applyFont="1" applyFill="1" applyBorder="1"/>
    <xf numFmtId="0" fontId="209" fillId="0" borderId="18" xfId="2380" applyFont="1" applyBorder="1"/>
    <xf numFmtId="3" fontId="2" fillId="0" borderId="0" xfId="0" applyNumberFormat="1" applyFont="1"/>
    <xf numFmtId="3" fontId="2" fillId="0" borderId="31" xfId="0" applyNumberFormat="1" applyFont="1" applyBorder="1"/>
    <xf numFmtId="176" fontId="209" fillId="0" borderId="0" xfId="1762" applyNumberFormat="1" applyFont="1"/>
    <xf numFmtId="0" fontId="2" fillId="0" borderId="0" xfId="0" applyFont="1"/>
    <xf numFmtId="176" fontId="2" fillId="0" borderId="0" xfId="4" applyNumberFormat="1" applyFont="1"/>
    <xf numFmtId="0" fontId="209" fillId="0" borderId="0" xfId="0" applyFont="1"/>
    <xf numFmtId="0" fontId="2" fillId="0" borderId="31" xfId="0" applyFont="1" applyBorder="1"/>
    <xf numFmtId="0" fontId="213" fillId="0" borderId="79" xfId="2380" applyFont="1" applyBorder="1"/>
    <xf numFmtId="3" fontId="17" fillId="0" borderId="76" xfId="0" applyNumberFormat="1" applyFont="1" applyBorder="1"/>
    <xf numFmtId="3" fontId="17" fillId="0" borderId="80" xfId="0" applyNumberFormat="1" applyFont="1" applyBorder="1"/>
    <xf numFmtId="0" fontId="2" fillId="0" borderId="77" xfId="0" applyFont="1" applyBorder="1"/>
    <xf numFmtId="0" fontId="213" fillId="0" borderId="79" xfId="0" applyFont="1" applyBorder="1"/>
    <xf numFmtId="0" fontId="2" fillId="0" borderId="76" xfId="0" applyFont="1" applyBorder="1"/>
    <xf numFmtId="176" fontId="213" fillId="64" borderId="80" xfId="2380" applyNumberFormat="1" applyFont="1" applyFill="1" applyBorder="1"/>
    <xf numFmtId="308" fontId="209" fillId="0" borderId="18" xfId="2381" applyFont="1" applyBorder="1"/>
    <xf numFmtId="261" fontId="209" fillId="0" borderId="31" xfId="1438" applyNumberFormat="1" applyFont="1" applyBorder="1"/>
    <xf numFmtId="0" fontId="209" fillId="0" borderId="18" xfId="0" applyFont="1" applyBorder="1"/>
    <xf numFmtId="0" fontId="213" fillId="0" borderId="16" xfId="2380" applyFont="1" applyBorder="1"/>
    <xf numFmtId="0" fontId="2" fillId="0" borderId="37" xfId="0" applyFont="1" applyBorder="1"/>
    <xf numFmtId="261" fontId="213" fillId="0" borderId="75" xfId="2380" applyNumberFormat="1" applyFont="1" applyBorder="1"/>
    <xf numFmtId="176" fontId="209" fillId="0" borderId="31" xfId="1438" applyNumberFormat="1" applyFont="1" applyBorder="1"/>
    <xf numFmtId="0" fontId="209" fillId="0" borderId="31" xfId="0" applyFont="1" applyBorder="1"/>
    <xf numFmtId="180" fontId="209" fillId="0" borderId="31" xfId="2381" applyNumberFormat="1" applyFont="1" applyBorder="1"/>
    <xf numFmtId="308" fontId="209" fillId="0" borderId="17" xfId="2381" applyFont="1" applyBorder="1"/>
    <xf numFmtId="180" fontId="209" fillId="0" borderId="78" xfId="2381" applyNumberFormat="1" applyFont="1" applyBorder="1"/>
    <xf numFmtId="0" fontId="209" fillId="0" borderId="0" xfId="2380" applyFont="1"/>
    <xf numFmtId="0" fontId="3" fillId="0" borderId="37" xfId="0" applyFont="1" applyBorder="1"/>
    <xf numFmtId="0" fontId="17" fillId="0" borderId="37" xfId="0" applyFont="1" applyBorder="1"/>
    <xf numFmtId="9" fontId="2" fillId="0" borderId="0" xfId="4" applyFont="1"/>
    <xf numFmtId="176" fontId="2" fillId="85" borderId="0" xfId="4" applyNumberFormat="1" applyFont="1" applyFill="1"/>
    <xf numFmtId="3" fontId="17" fillId="0" borderId="0" xfId="0" applyNumberFormat="1" applyFont="1"/>
    <xf numFmtId="175" fontId="17" fillId="0" borderId="0" xfId="0" applyNumberFormat="1" applyFont="1"/>
    <xf numFmtId="176" fontId="2" fillId="0" borderId="0" xfId="4" applyNumberFormat="1" applyFont="1" applyAlignment="1">
      <alignment horizontal="right"/>
    </xf>
    <xf numFmtId="173" fontId="2" fillId="0" borderId="76" xfId="0" applyNumberFormat="1" applyFont="1" applyBorder="1"/>
    <xf numFmtId="3" fontId="17" fillId="0" borderId="77" xfId="0" applyNumberFormat="1" applyFont="1" applyBorder="1"/>
    <xf numFmtId="3" fontId="2" fillId="0" borderId="77" xfId="0" applyNumberFormat="1" applyFont="1" applyBorder="1"/>
    <xf numFmtId="0" fontId="17" fillId="0" borderId="77" xfId="0" applyFont="1" applyBorder="1"/>
    <xf numFmtId="9" fontId="2" fillId="85" borderId="0" xfId="4" applyFont="1" applyFill="1"/>
    <xf numFmtId="3" fontId="2" fillId="85" borderId="0" xfId="0" applyNumberFormat="1" applyFont="1" applyFill="1"/>
    <xf numFmtId="309" fontId="2" fillId="0" borderId="0" xfId="4" applyNumberFormat="1" applyFont="1"/>
    <xf numFmtId="176" fontId="17" fillId="0" borderId="76" xfId="4" applyNumberFormat="1" applyFont="1" applyBorder="1"/>
    <xf numFmtId="9" fontId="17" fillId="0" borderId="76" xfId="4" applyFont="1" applyBorder="1"/>
    <xf numFmtId="176" fontId="2" fillId="0" borderId="0" xfId="0" applyNumberFormat="1" applyFont="1"/>
    <xf numFmtId="173" fontId="2" fillId="0" borderId="0" xfId="0" applyNumberFormat="1" applyFont="1"/>
    <xf numFmtId="176" fontId="2" fillId="85" borderId="0" xfId="0" applyNumberFormat="1" applyFont="1" applyFill="1"/>
    <xf numFmtId="1" fontId="2" fillId="0" borderId="0" xfId="0" applyNumberFormat="1" applyFont="1"/>
    <xf numFmtId="1" fontId="17" fillId="0" borderId="0" xfId="0" applyNumberFormat="1" applyFont="1"/>
    <xf numFmtId="0" fontId="17" fillId="0" borderId="76" xfId="0" applyFont="1" applyBorder="1"/>
    <xf numFmtId="1" fontId="17" fillId="0" borderId="76" xfId="0" applyNumberFormat="1" applyFont="1" applyBorder="1"/>
    <xf numFmtId="173" fontId="2" fillId="85" borderId="0" xfId="0" applyNumberFormat="1" applyFont="1" applyFill="1"/>
    <xf numFmtId="0" fontId="222" fillId="0" borderId="0" xfId="0" applyFont="1"/>
    <xf numFmtId="176" fontId="222" fillId="0" borderId="0" xfId="4" applyNumberFormat="1" applyFont="1"/>
    <xf numFmtId="176" fontId="222" fillId="85" borderId="0" xfId="0" applyNumberFormat="1" applyFont="1" applyFill="1"/>
    <xf numFmtId="0" fontId="10" fillId="0" borderId="0" xfId="0" applyFont="1" applyAlignment="1">
      <alignment horizontal="right"/>
    </xf>
    <xf numFmtId="176" fontId="10" fillId="0" borderId="14" xfId="4" applyNumberFormat="1" applyFont="1" applyBorder="1" applyAlignment="1">
      <alignment horizontal="center"/>
    </xf>
    <xf numFmtId="0" fontId="20" fillId="0" borderId="67" xfId="0" applyFont="1" applyBorder="1"/>
    <xf numFmtId="0" fontId="20" fillId="0" borderId="67" xfId="0" applyFont="1" applyBorder="1" applyAlignment="1">
      <alignment horizontal="right"/>
    </xf>
    <xf numFmtId="169" fontId="19" fillId="0" borderId="0" xfId="0" applyNumberFormat="1" applyFont="1"/>
    <xf numFmtId="9" fontId="10" fillId="0" borderId="0" xfId="0" applyNumberFormat="1" applyFont="1" applyAlignment="1">
      <alignment horizontal="left"/>
    </xf>
    <xf numFmtId="307" fontId="10" fillId="0" borderId="0" xfId="0" applyNumberFormat="1" applyFont="1" applyAlignment="1">
      <alignment horizontal="left"/>
    </xf>
    <xf numFmtId="307" fontId="10" fillId="0" borderId="0" xfId="0" applyNumberFormat="1" applyFont="1" applyAlignment="1">
      <alignment horizontal="center"/>
    </xf>
    <xf numFmtId="305" fontId="2" fillId="0" borderId="0" xfId="0" applyNumberFormat="1" applyFont="1"/>
    <xf numFmtId="184" fontId="2" fillId="0" borderId="0" xfId="0" applyNumberFormat="1" applyFont="1"/>
    <xf numFmtId="3" fontId="2" fillId="0" borderId="80" xfId="0" applyNumberFormat="1" applyFont="1" applyBorder="1"/>
    <xf numFmtId="0" fontId="11" fillId="0" borderId="37" xfId="0" applyFont="1" applyBorder="1" applyAlignment="1">
      <alignment horizontal="right"/>
    </xf>
    <xf numFmtId="0" fontId="3" fillId="89" borderId="0" xfId="0" applyFont="1" applyFill="1"/>
    <xf numFmtId="0" fontId="11" fillId="89" borderId="37" xfId="0" applyFont="1" applyFill="1" applyBorder="1" applyAlignment="1">
      <alignment horizontal="right"/>
    </xf>
    <xf numFmtId="176" fontId="12" fillId="89" borderId="0" xfId="4" applyNumberFormat="1" applyFont="1" applyFill="1"/>
    <xf numFmtId="169" fontId="3" fillId="89" borderId="0" xfId="0" applyNumberFormat="1" applyFont="1" applyFill="1"/>
    <xf numFmtId="2" fontId="3" fillId="89" borderId="0" xfId="0" applyNumberFormat="1" applyFont="1" applyFill="1"/>
    <xf numFmtId="169" fontId="3" fillId="89" borderId="77" xfId="0" applyNumberFormat="1" applyFont="1" applyFill="1" applyBorder="1"/>
    <xf numFmtId="9" fontId="3" fillId="89" borderId="0" xfId="4" applyFont="1" applyFill="1"/>
    <xf numFmtId="290" fontId="214" fillId="89" borderId="0" xfId="0" applyNumberFormat="1" applyFont="1" applyFill="1" applyAlignment="1">
      <alignment horizontal="right"/>
    </xf>
    <xf numFmtId="172" fontId="214" fillId="89" borderId="0" xfId="0" applyNumberFormat="1" applyFont="1" applyFill="1"/>
    <xf numFmtId="176" fontId="3" fillId="89" borderId="0" xfId="4" applyNumberFormat="1" applyFont="1" applyFill="1"/>
    <xf numFmtId="172" fontId="3" fillId="89" borderId="0" xfId="0" applyNumberFormat="1" applyFont="1" applyFill="1"/>
    <xf numFmtId="0" fontId="11" fillId="89" borderId="0" xfId="0" applyFont="1" applyFill="1" applyAlignment="1">
      <alignment horizontal="center" wrapText="1"/>
    </xf>
    <xf numFmtId="176" fontId="3" fillId="87" borderId="0" xfId="4" applyNumberFormat="1" applyFont="1" applyFill="1"/>
    <xf numFmtId="0" fontId="3" fillId="87" borderId="0" xfId="0" applyFont="1" applyFill="1"/>
    <xf numFmtId="0" fontId="11" fillId="87" borderId="0" xfId="0" applyFont="1" applyFill="1" applyAlignment="1">
      <alignment horizontal="center" wrapText="1"/>
    </xf>
    <xf numFmtId="0" fontId="11" fillId="87" borderId="67" xfId="0" applyFont="1" applyFill="1" applyBorder="1" applyAlignment="1">
      <alignment horizontal="right"/>
    </xf>
    <xf numFmtId="176" fontId="12" fillId="87" borderId="0" xfId="4" applyNumberFormat="1" applyFont="1" applyFill="1"/>
    <xf numFmtId="169" fontId="3" fillId="87" borderId="0" xfId="0" applyNumberFormat="1" applyFont="1" applyFill="1"/>
    <xf numFmtId="2" fontId="214" fillId="87" borderId="0" xfId="0" applyNumberFormat="1" applyFont="1" applyFill="1"/>
    <xf numFmtId="2" fontId="3" fillId="87" borderId="0" xfId="0" applyNumberFormat="1" applyFont="1" applyFill="1"/>
    <xf numFmtId="9" fontId="3" fillId="87" borderId="0" xfId="4" applyFont="1" applyFill="1"/>
    <xf numFmtId="290" fontId="214" fillId="87" borderId="0" xfId="0" applyNumberFormat="1" applyFont="1" applyFill="1" applyAlignment="1">
      <alignment horizontal="right"/>
    </xf>
    <xf numFmtId="172" fontId="3" fillId="87" borderId="0" xfId="0" applyNumberFormat="1" applyFont="1" applyFill="1"/>
    <xf numFmtId="0" fontId="11" fillId="89" borderId="67" xfId="0" applyFont="1" applyFill="1" applyBorder="1" applyAlignment="1">
      <alignment horizontal="right"/>
    </xf>
    <xf numFmtId="176" fontId="3" fillId="89" borderId="0" xfId="4" applyNumberFormat="1" applyFont="1" applyFill="1" applyAlignment="1">
      <alignment horizontal="right"/>
    </xf>
    <xf numFmtId="0" fontId="3" fillId="0" borderId="0" xfId="0" applyFont="1" applyAlignment="1">
      <alignment vertical="top"/>
    </xf>
    <xf numFmtId="0" fontId="11" fillId="89" borderId="0" xfId="0" applyFont="1" applyFill="1"/>
    <xf numFmtId="172" fontId="19" fillId="89" borderId="0" xfId="0" applyNumberFormat="1" applyFont="1" applyFill="1"/>
    <xf numFmtId="0" fontId="11" fillId="0" borderId="37" xfId="0" applyFont="1" applyBorder="1"/>
    <xf numFmtId="0" fontId="11" fillId="87" borderId="37" xfId="0" applyFont="1" applyFill="1" applyBorder="1" applyAlignment="1">
      <alignment horizontal="right"/>
    </xf>
    <xf numFmtId="0" fontId="3" fillId="89" borderId="37" xfId="0" applyFont="1" applyFill="1" applyBorder="1"/>
    <xf numFmtId="172" fontId="11" fillId="89" borderId="0" xfId="0" applyNumberFormat="1" applyFont="1" applyFill="1"/>
    <xf numFmtId="169" fontId="11" fillId="89" borderId="0" xfId="0" applyNumberFormat="1" applyFont="1" applyFill="1"/>
    <xf numFmtId="169" fontId="11" fillId="87" borderId="0" xfId="0" applyNumberFormat="1" applyFont="1" applyFill="1"/>
    <xf numFmtId="172" fontId="11" fillId="89" borderId="76" xfId="0" applyNumberFormat="1" applyFont="1" applyFill="1" applyBorder="1"/>
    <xf numFmtId="172" fontId="13" fillId="0" borderId="14" xfId="0" applyNumberFormat="1" applyFont="1" applyBorder="1"/>
    <xf numFmtId="172" fontId="11" fillId="87" borderId="14" xfId="0" applyNumberFormat="1" applyFont="1" applyFill="1" applyBorder="1"/>
    <xf numFmtId="176" fontId="11" fillId="0" borderId="0" xfId="4" applyNumberFormat="1" applyFont="1" applyAlignment="1">
      <alignment horizontal="right"/>
    </xf>
    <xf numFmtId="176" fontId="11" fillId="89" borderId="0" xfId="4" applyNumberFormat="1" applyFont="1" applyFill="1" applyAlignment="1">
      <alignment horizontal="right"/>
    </xf>
    <xf numFmtId="172" fontId="224" fillId="0" borderId="0" xfId="0" applyNumberFormat="1" applyFont="1"/>
    <xf numFmtId="172" fontId="224" fillId="89" borderId="0" xfId="0" applyNumberFormat="1" applyFont="1" applyFill="1"/>
    <xf numFmtId="173" fontId="3" fillId="87" borderId="0" xfId="0" applyNumberFormat="1" applyFont="1" applyFill="1"/>
    <xf numFmtId="43" fontId="22" fillId="37" borderId="0" xfId="2374" applyFont="1" applyFill="1"/>
    <xf numFmtId="179" fontId="22" fillId="37" borderId="0" xfId="2374" applyNumberFormat="1" applyFont="1" applyFill="1"/>
    <xf numFmtId="261" fontId="22" fillId="37" borderId="0" xfId="2374" applyNumberFormat="1" applyFont="1" applyFill="1"/>
    <xf numFmtId="181" fontId="22" fillId="37" borderId="0" xfId="2374" applyNumberFormat="1" applyFont="1" applyFill="1"/>
    <xf numFmtId="178" fontId="22" fillId="37" borderId="0" xfId="2374" applyNumberFormat="1" applyFont="1" applyFill="1" applyAlignment="1">
      <alignment horizontal="right"/>
    </xf>
    <xf numFmtId="179" fontId="22" fillId="37" borderId="0" xfId="2374" applyNumberFormat="1" applyFont="1" applyFill="1" applyAlignment="1">
      <alignment horizontal="right"/>
    </xf>
    <xf numFmtId="179" fontId="22" fillId="37" borderId="0" xfId="2377" applyNumberFormat="1" applyFont="1" applyFill="1"/>
    <xf numFmtId="299" fontId="22" fillId="37" borderId="0" xfId="2377" applyNumberFormat="1" applyFont="1" applyFill="1"/>
    <xf numFmtId="179" fontId="22" fillId="37" borderId="0" xfId="2369" applyNumberFormat="1" applyFont="1" applyFill="1"/>
    <xf numFmtId="173" fontId="11" fillId="87" borderId="0" xfId="0" applyNumberFormat="1" applyFont="1" applyFill="1"/>
    <xf numFmtId="179" fontId="22" fillId="90" borderId="0" xfId="2374" applyNumberFormat="1" applyFont="1" applyFill="1"/>
    <xf numFmtId="290" fontId="3" fillId="0" borderId="0" xfId="0" applyNumberFormat="1" applyFont="1"/>
    <xf numFmtId="290" fontId="11" fillId="0" borderId="0" xfId="0" applyNumberFormat="1" applyFont="1"/>
    <xf numFmtId="176" fontId="19" fillId="89" borderId="0" xfId="4" applyNumberFormat="1" applyFont="1" applyFill="1"/>
    <xf numFmtId="176" fontId="19" fillId="87" borderId="0" xfId="4" applyNumberFormat="1" applyFont="1" applyFill="1"/>
    <xf numFmtId="290" fontId="3" fillId="89" borderId="0" xfId="0" applyNumberFormat="1" applyFont="1" applyFill="1"/>
    <xf numFmtId="290" fontId="11" fillId="89" borderId="0" xfId="0" applyNumberFormat="1" applyFont="1" applyFill="1"/>
    <xf numFmtId="173" fontId="3" fillId="89" borderId="0" xfId="0" applyNumberFormat="1" applyFont="1" applyFill="1"/>
    <xf numFmtId="173" fontId="11" fillId="89" borderId="0" xfId="0" applyNumberFormat="1" applyFont="1" applyFill="1"/>
    <xf numFmtId="9" fontId="20" fillId="0" borderId="0" xfId="4" applyFont="1" applyAlignment="1">
      <alignment horizontal="right"/>
    </xf>
    <xf numFmtId="180" fontId="19" fillId="0" borderId="70" xfId="5" applyNumberFormat="1" applyFont="1" applyBorder="1"/>
    <xf numFmtId="180" fontId="19" fillId="0" borderId="71" xfId="5" applyNumberFormat="1" applyFont="1" applyBorder="1"/>
    <xf numFmtId="186" fontId="19" fillId="0" borderId="71" xfId="6" applyNumberFormat="1" applyFont="1" applyBorder="1"/>
    <xf numFmtId="176" fontId="19" fillId="0" borderId="71" xfId="5" applyNumberFormat="1" applyFont="1" applyBorder="1"/>
    <xf numFmtId="176" fontId="19" fillId="0" borderId="72" xfId="5" applyNumberFormat="1" applyFont="1" applyBorder="1"/>
    <xf numFmtId="0" fontId="1" fillId="0" borderId="0" xfId="0" applyFont="1"/>
    <xf numFmtId="304" fontId="19" fillId="0" borderId="0" xfId="0" applyNumberFormat="1" applyFont="1"/>
    <xf numFmtId="304" fontId="19" fillId="89" borderId="0" xfId="0" applyNumberFormat="1" applyFont="1" applyFill="1"/>
    <xf numFmtId="0" fontId="7" fillId="0" borderId="77" xfId="0" applyFont="1" applyBorder="1"/>
    <xf numFmtId="0" fontId="7" fillId="0" borderId="77" xfId="0" applyFont="1" applyBorder="1" applyAlignment="1">
      <alignment wrapText="1"/>
    </xf>
    <xf numFmtId="0" fontId="7" fillId="0" borderId="0" xfId="0" applyFont="1"/>
    <xf numFmtId="0" fontId="7" fillId="0" borderId="0" xfId="0" applyFont="1" applyAlignment="1">
      <alignment wrapText="1"/>
    </xf>
    <xf numFmtId="0" fontId="4" fillId="0" borderId="0" xfId="0" applyFont="1" applyAlignment="1">
      <alignment horizontal="center"/>
    </xf>
    <xf numFmtId="0" fontId="5" fillId="3" borderId="0" xfId="0" applyFont="1" applyFill="1" applyAlignment="1">
      <alignment horizontal="left" vertical="center"/>
    </xf>
    <xf numFmtId="0" fontId="0" fillId="3" borderId="0" xfId="0" applyFill="1" applyAlignment="1">
      <alignment wrapText="1"/>
    </xf>
    <xf numFmtId="0" fontId="4" fillId="91" borderId="0" xfId="0" applyFont="1" applyFill="1"/>
    <xf numFmtId="261" fontId="2" fillId="0" borderId="0" xfId="2379" applyNumberFormat="1" applyFont="1"/>
    <xf numFmtId="261" fontId="17" fillId="0" borderId="0" xfId="2379" applyNumberFormat="1" applyFont="1"/>
    <xf numFmtId="0" fontId="1" fillId="0" borderId="0" xfId="0" applyFont="1" applyAlignment="1">
      <alignment horizontal="center"/>
    </xf>
    <xf numFmtId="0" fontId="1" fillId="0" borderId="18" xfId="0" applyFont="1" applyBorder="1"/>
    <xf numFmtId="176" fontId="12" fillId="0" borderId="0" xfId="4" applyNumberFormat="1" applyFont="1" applyFill="1"/>
    <xf numFmtId="176" fontId="3" fillId="0" borderId="0" xfId="4" applyNumberFormat="1" applyFont="1" applyFill="1"/>
    <xf numFmtId="176" fontId="3" fillId="0" borderId="0" xfId="0" applyNumberFormat="1" applyFont="1"/>
    <xf numFmtId="172" fontId="19" fillId="0" borderId="0" xfId="0" applyNumberFormat="1" applyFont="1"/>
    <xf numFmtId="3" fontId="3" fillId="0" borderId="0" xfId="0" applyNumberFormat="1" applyFont="1"/>
    <xf numFmtId="3" fontId="11" fillId="0" borderId="0" xfId="0" applyNumberFormat="1" applyFont="1"/>
    <xf numFmtId="176" fontId="19" fillId="0" borderId="0" xfId="4" applyNumberFormat="1" applyFont="1" applyFill="1"/>
    <xf numFmtId="0" fontId="3" fillId="0" borderId="0" xfId="0" applyFont="1" applyAlignment="1">
      <alignment wrapText="1"/>
    </xf>
    <xf numFmtId="0" fontId="226" fillId="0" borderId="0" xfId="0" applyFont="1"/>
    <xf numFmtId="288" fontId="20" fillId="0" borderId="0" xfId="5" applyNumberFormat="1" applyFont="1"/>
    <xf numFmtId="288" fontId="20" fillId="36" borderId="0" xfId="5" applyNumberFormat="1" applyFont="1" applyFill="1"/>
    <xf numFmtId="0" fontId="228" fillId="92" borderId="0" xfId="2383" applyFont="1" applyFill="1"/>
    <xf numFmtId="0" fontId="229" fillId="0" borderId="0" xfId="2383" applyFont="1"/>
    <xf numFmtId="0" fontId="230" fillId="0" borderId="0" xfId="2383" applyFont="1" applyAlignment="1">
      <alignment horizontal="left" indent="1"/>
    </xf>
    <xf numFmtId="0" fontId="227" fillId="0" borderId="0" xfId="2383" applyFont="1"/>
    <xf numFmtId="0" fontId="4" fillId="91" borderId="0" xfId="2383" applyFont="1" applyFill="1"/>
    <xf numFmtId="0" fontId="231" fillId="0" borderId="0" xfId="2383" applyFont="1"/>
    <xf numFmtId="0" fontId="228" fillId="92" borderId="81" xfId="2383" applyFont="1" applyFill="1" applyBorder="1" applyAlignment="1">
      <alignment horizontal="center"/>
    </xf>
    <xf numFmtId="0" fontId="228" fillId="92" borderId="74" xfId="2383" applyFont="1" applyFill="1" applyBorder="1" applyAlignment="1">
      <alignment horizontal="right" wrapText="1"/>
    </xf>
    <xf numFmtId="0" fontId="228" fillId="92" borderId="73" xfId="2383" applyFont="1" applyFill="1" applyBorder="1" applyAlignment="1">
      <alignment horizontal="right" wrapText="1"/>
    </xf>
    <xf numFmtId="0" fontId="228" fillId="92" borderId="82" xfId="2383" applyFont="1" applyFill="1" applyBorder="1" applyAlignment="1">
      <alignment horizontal="right" wrapText="1"/>
    </xf>
    <xf numFmtId="169" fontId="231" fillId="0" borderId="0" xfId="2383" applyNumberFormat="1" applyFont="1"/>
    <xf numFmtId="169" fontId="230" fillId="0" borderId="0" xfId="2383" applyNumberFormat="1" applyFont="1"/>
    <xf numFmtId="0" fontId="233" fillId="0" borderId="0" xfId="2383" applyFont="1"/>
    <xf numFmtId="310" fontId="3" fillId="87" borderId="0" xfId="0" applyNumberFormat="1" applyFont="1" applyFill="1"/>
    <xf numFmtId="310" fontId="3" fillId="87" borderId="0" xfId="4" applyNumberFormat="1" applyFont="1" applyFill="1"/>
    <xf numFmtId="311" fontId="3" fillId="87" borderId="0" xfId="0" applyNumberFormat="1" applyFont="1" applyFill="1"/>
    <xf numFmtId="172" fontId="11" fillId="87" borderId="76" xfId="0" applyNumberFormat="1" applyFont="1" applyFill="1" applyBorder="1"/>
    <xf numFmtId="311" fontId="11" fillId="87" borderId="76" xfId="0" applyNumberFormat="1" applyFont="1" applyFill="1" applyBorder="1"/>
    <xf numFmtId="311" fontId="11" fillId="87" borderId="0" xfId="0" applyNumberFormat="1" applyFont="1" applyFill="1"/>
    <xf numFmtId="0" fontId="213" fillId="0" borderId="0" xfId="0" applyFont="1"/>
    <xf numFmtId="310" fontId="213" fillId="0" borderId="0" xfId="0" applyNumberFormat="1" applyFont="1"/>
    <xf numFmtId="310" fontId="19" fillId="0" borderId="0" xfId="0" applyNumberFormat="1" applyFont="1"/>
    <xf numFmtId="310" fontId="19" fillId="90" borderId="0" xfId="0" applyNumberFormat="1" applyFont="1" applyFill="1"/>
    <xf numFmtId="0" fontId="19" fillId="0" borderId="0" xfId="0" applyFont="1" applyAlignment="1">
      <alignment horizontal="left" indent="1"/>
    </xf>
    <xf numFmtId="312" fontId="19" fillId="90" borderId="0" xfId="0" applyNumberFormat="1" applyFont="1" applyFill="1"/>
    <xf numFmtId="312" fontId="19" fillId="0" borderId="0" xfId="0" applyNumberFormat="1" applyFont="1"/>
    <xf numFmtId="0" fontId="225" fillId="0" borderId="0" xfId="0" applyFont="1"/>
    <xf numFmtId="310" fontId="19" fillId="87" borderId="0" xfId="0" applyNumberFormat="1" applyFont="1" applyFill="1"/>
    <xf numFmtId="310" fontId="19" fillId="85" borderId="0" xfId="0" applyNumberFormat="1" applyFont="1" applyFill="1"/>
    <xf numFmtId="288" fontId="19" fillId="0" borderId="0" xfId="5" applyNumberFormat="1" applyFont="1"/>
    <xf numFmtId="0" fontId="234" fillId="0" borderId="0" xfId="0" applyFont="1" applyAlignment="1">
      <alignment horizontal="left" wrapText="1" readingOrder="1"/>
    </xf>
    <xf numFmtId="0" fontId="228" fillId="92" borderId="68" xfId="2383" applyFont="1" applyFill="1" applyBorder="1" applyAlignment="1">
      <alignment horizontal="centerContinuous"/>
    </xf>
    <xf numFmtId="0" fontId="228" fillId="92" borderId="69" xfId="2383" applyFont="1" applyFill="1" applyBorder="1" applyAlignment="1">
      <alignment horizontal="centerContinuous"/>
    </xf>
    <xf numFmtId="0" fontId="235" fillId="0" borderId="0" xfId="2383" applyFont="1"/>
    <xf numFmtId="172" fontId="231" fillId="0" borderId="0" xfId="2383" applyNumberFormat="1" applyFont="1"/>
    <xf numFmtId="0" fontId="237" fillId="0" borderId="0" xfId="2383" applyFont="1" applyAlignment="1">
      <alignment horizontal="left" indent="1"/>
    </xf>
    <xf numFmtId="170" fontId="237" fillId="0" borderId="0" xfId="2383" applyNumberFormat="1" applyFont="1"/>
    <xf numFmtId="172" fontId="235" fillId="0" borderId="0" xfId="2383" applyNumberFormat="1" applyFont="1"/>
    <xf numFmtId="176" fontId="237" fillId="0" borderId="0" xfId="2384" applyNumberFormat="1" applyFont="1" applyFill="1"/>
    <xf numFmtId="0" fontId="7" fillId="0" borderId="0" xfId="2383" applyFont="1"/>
    <xf numFmtId="0" fontId="8" fillId="0" borderId="0" xfId="2383" applyFont="1"/>
    <xf numFmtId="176" fontId="238" fillId="0" borderId="0" xfId="4" applyNumberFormat="1" applyFont="1" applyFill="1" applyBorder="1"/>
    <xf numFmtId="172" fontId="8" fillId="0" borderId="0" xfId="0" applyNumberFormat="1" applyFont="1"/>
    <xf numFmtId="172" fontId="7" fillId="0" borderId="0" xfId="0" applyNumberFormat="1" applyFont="1"/>
    <xf numFmtId="313" fontId="214" fillId="89" borderId="0" xfId="0" applyNumberFormat="1" applyFont="1" applyFill="1"/>
    <xf numFmtId="0" fontId="12" fillId="89" borderId="0" xfId="0" applyFont="1" applyFill="1"/>
    <xf numFmtId="313" fontId="3" fillId="89" borderId="0" xfId="0" applyNumberFormat="1" applyFont="1" applyFill="1"/>
    <xf numFmtId="313" fontId="3" fillId="0" borderId="0" xfId="0" applyNumberFormat="1" applyFont="1"/>
    <xf numFmtId="313" fontId="3" fillId="87" borderId="0" xfId="0" applyNumberFormat="1" applyFont="1" applyFill="1"/>
    <xf numFmtId="313" fontId="11" fillId="89" borderId="0" xfId="0" applyNumberFormat="1" applyFont="1" applyFill="1"/>
    <xf numFmtId="313" fontId="11" fillId="0" borderId="0" xfId="0" applyNumberFormat="1" applyFont="1"/>
    <xf numFmtId="313" fontId="11" fillId="87" borderId="0" xfId="0" applyNumberFormat="1" applyFont="1" applyFill="1"/>
    <xf numFmtId="313" fontId="218" fillId="0" borderId="0" xfId="0" applyNumberFormat="1" applyFont="1"/>
    <xf numFmtId="310" fontId="11" fillId="89" borderId="0" xfId="0" applyNumberFormat="1" applyFont="1" applyFill="1"/>
    <xf numFmtId="310" fontId="3" fillId="89" borderId="0" xfId="0" applyNumberFormat="1" applyFont="1" applyFill="1"/>
    <xf numFmtId="310" fontId="11" fillId="0" borderId="0" xfId="0" applyNumberFormat="1" applyFont="1"/>
    <xf numFmtId="310" fontId="11" fillId="87" borderId="0" xfId="0" applyNumberFormat="1" applyFont="1" applyFill="1"/>
    <xf numFmtId="310" fontId="11" fillId="89" borderId="76" xfId="0" applyNumberFormat="1" applyFont="1" applyFill="1" applyBorder="1"/>
    <xf numFmtId="310" fontId="11" fillId="0" borderId="76" xfId="0" applyNumberFormat="1" applyFont="1" applyBorder="1"/>
    <xf numFmtId="310" fontId="11" fillId="87" borderId="76" xfId="0" applyNumberFormat="1" applyFont="1" applyFill="1" applyBorder="1"/>
    <xf numFmtId="311" fontId="3" fillId="0" borderId="0" xfId="4" applyNumberFormat="1" applyFont="1" applyAlignment="1">
      <alignment horizontal="right"/>
    </xf>
    <xf numFmtId="311" fontId="3" fillId="89" borderId="0" xfId="4" applyNumberFormat="1" applyFont="1" applyFill="1" applyAlignment="1">
      <alignment horizontal="right"/>
    </xf>
    <xf numFmtId="311" fontId="11" fillId="0" borderId="0" xfId="4" applyNumberFormat="1" applyFont="1" applyAlignment="1">
      <alignment horizontal="right"/>
    </xf>
    <xf numFmtId="311" fontId="11" fillId="89" borderId="0" xfId="4" applyNumberFormat="1" applyFont="1" applyFill="1" applyAlignment="1">
      <alignment horizontal="right"/>
    </xf>
    <xf numFmtId="311" fontId="3" fillId="0" borderId="0" xfId="0" applyNumberFormat="1" applyFont="1"/>
    <xf numFmtId="311" fontId="3" fillId="89" borderId="0" xfId="0" applyNumberFormat="1" applyFont="1" applyFill="1"/>
    <xf numFmtId="311" fontId="12" fillId="0" borderId="0" xfId="0" applyNumberFormat="1" applyFont="1"/>
    <xf numFmtId="311" fontId="12" fillId="89" borderId="0" xfId="0" applyNumberFormat="1" applyFont="1" applyFill="1"/>
    <xf numFmtId="311" fontId="11" fillId="0" borderId="0" xfId="0" applyNumberFormat="1" applyFont="1"/>
    <xf numFmtId="311" fontId="11" fillId="89" borderId="0" xfId="0" applyNumberFormat="1" applyFont="1" applyFill="1"/>
    <xf numFmtId="311" fontId="3" fillId="0" borderId="37" xfId="0" applyNumberFormat="1" applyFont="1" applyBorder="1"/>
    <xf numFmtId="311" fontId="3" fillId="89" borderId="37" xfId="0" applyNumberFormat="1" applyFont="1" applyFill="1" applyBorder="1"/>
    <xf numFmtId="311" fontId="11" fillId="0" borderId="76" xfId="4" applyNumberFormat="1" applyFont="1" applyBorder="1" applyAlignment="1">
      <alignment horizontal="right"/>
    </xf>
    <xf numFmtId="311" fontId="11" fillId="89" borderId="76" xfId="4" applyNumberFormat="1" applyFont="1" applyFill="1" applyBorder="1" applyAlignment="1">
      <alignment horizontal="right"/>
    </xf>
    <xf numFmtId="313" fontId="11" fillId="89" borderId="76" xfId="0" applyNumberFormat="1" applyFont="1" applyFill="1" applyBorder="1"/>
    <xf numFmtId="313" fontId="11" fillId="0" borderId="14" xfId="0" applyNumberFormat="1" applyFont="1" applyBorder="1"/>
    <xf numFmtId="312" fontId="12" fillId="89" borderId="0" xfId="4" applyNumberFormat="1" applyFont="1" applyFill="1"/>
    <xf numFmtId="312" fontId="12" fillId="0" borderId="0" xfId="4" applyNumberFormat="1" applyFont="1"/>
    <xf numFmtId="0" fontId="17" fillId="0" borderId="67" xfId="0" applyFont="1" applyBorder="1"/>
    <xf numFmtId="312" fontId="2" fillId="0" borderId="0" xfId="4" applyNumberFormat="1" applyFont="1"/>
    <xf numFmtId="0" fontId="222" fillId="0" borderId="0" xfId="0" applyFont="1" applyAlignment="1">
      <alignment horizontal="right"/>
    </xf>
    <xf numFmtId="310" fontId="2" fillId="0" borderId="0" xfId="0" applyNumberFormat="1" applyFont="1"/>
    <xf numFmtId="310" fontId="2" fillId="85" borderId="0" xfId="0" applyNumberFormat="1" applyFont="1" applyFill="1"/>
    <xf numFmtId="310" fontId="17" fillId="0" borderId="0" xfId="0" applyNumberFormat="1" applyFont="1"/>
    <xf numFmtId="310" fontId="17" fillId="0" borderId="76" xfId="0" applyNumberFormat="1" applyFont="1" applyBorder="1"/>
    <xf numFmtId="310" fontId="2" fillId="0" borderId="0" xfId="0" applyNumberFormat="1" applyFont="1" applyAlignment="1">
      <alignment horizontal="center"/>
    </xf>
    <xf numFmtId="310" fontId="222" fillId="0" borderId="0" xfId="0" applyNumberFormat="1" applyFont="1"/>
    <xf numFmtId="310" fontId="2" fillId="0" borderId="0" xfId="4" applyNumberFormat="1" applyFont="1"/>
    <xf numFmtId="0" fontId="3" fillId="3" borderId="0" xfId="0" applyFont="1" applyFill="1"/>
    <xf numFmtId="0" fontId="11" fillId="3" borderId="0" xfId="0" applyFont="1" applyFill="1"/>
    <xf numFmtId="175" fontId="11" fillId="3" borderId="0" xfId="0" applyNumberFormat="1" applyFont="1" applyFill="1"/>
    <xf numFmtId="0" fontId="11" fillId="87" borderId="0" xfId="0" applyFont="1" applyFill="1" applyAlignment="1">
      <alignment horizontal="centerContinuous" vertical="top"/>
    </xf>
    <xf numFmtId="0" fontId="3" fillId="87" borderId="0" xfId="0" applyFont="1" applyFill="1" applyAlignment="1">
      <alignment horizontal="centerContinuous"/>
    </xf>
    <xf numFmtId="0" fontId="239" fillId="0" borderId="0" xfId="2372" applyFont="1"/>
    <xf numFmtId="3" fontId="2" fillId="87" borderId="0" xfId="0" applyNumberFormat="1" applyFont="1" applyFill="1"/>
    <xf numFmtId="310" fontId="2" fillId="87" borderId="0" xfId="0" applyNumberFormat="1" applyFont="1" applyFill="1"/>
    <xf numFmtId="310" fontId="17" fillId="87" borderId="76" xfId="0" applyNumberFormat="1" applyFont="1" applyFill="1" applyBorder="1"/>
    <xf numFmtId="310" fontId="17" fillId="87" borderId="0" xfId="0" applyNumberFormat="1" applyFont="1" applyFill="1"/>
    <xf numFmtId="3" fontId="17" fillId="87" borderId="0" xfId="0" applyNumberFormat="1" applyFont="1" applyFill="1"/>
    <xf numFmtId="173" fontId="2" fillId="87" borderId="0" xfId="0" applyNumberFormat="1" applyFont="1" applyFill="1"/>
    <xf numFmtId="173" fontId="17" fillId="87" borderId="76" xfId="0" applyNumberFormat="1" applyFont="1" applyFill="1" applyBorder="1"/>
    <xf numFmtId="173" fontId="2" fillId="87" borderId="76" xfId="0" applyNumberFormat="1" applyFont="1" applyFill="1" applyBorder="1"/>
    <xf numFmtId="1" fontId="2" fillId="87" borderId="0" xfId="0" applyNumberFormat="1" applyFont="1" applyFill="1"/>
    <xf numFmtId="312" fontId="2" fillId="85" borderId="0" xfId="0" applyNumberFormat="1" applyFont="1" applyFill="1"/>
    <xf numFmtId="9" fontId="222" fillId="0" borderId="0" xfId="4" applyFont="1"/>
    <xf numFmtId="0" fontId="2" fillId="0" borderId="0" xfId="0" applyFont="1" applyAlignment="1">
      <alignment horizontal="left" indent="1"/>
    </xf>
    <xf numFmtId="310" fontId="2" fillId="0" borderId="76" xfId="0" applyNumberFormat="1" applyFont="1" applyBorder="1"/>
    <xf numFmtId="313" fontId="2" fillId="0" borderId="0" xfId="0" applyNumberFormat="1" applyFont="1"/>
    <xf numFmtId="310" fontId="2" fillId="87" borderId="76" xfId="0" applyNumberFormat="1" applyFont="1" applyFill="1" applyBorder="1"/>
    <xf numFmtId="176" fontId="2" fillId="87" borderId="0" xfId="0" applyNumberFormat="1" applyFont="1" applyFill="1"/>
    <xf numFmtId="176" fontId="2" fillId="87" borderId="0" xfId="4" applyNumberFormat="1" applyFont="1" applyFill="1"/>
    <xf numFmtId="314" fontId="2" fillId="0" borderId="0" xfId="0" applyNumberFormat="1" applyFont="1"/>
    <xf numFmtId="312" fontId="222" fillId="0" borderId="0" xfId="4" applyNumberFormat="1" applyFont="1"/>
    <xf numFmtId="9" fontId="2" fillId="87" borderId="0" xfId="4" applyFont="1" applyFill="1"/>
    <xf numFmtId="305" fontId="2" fillId="85" borderId="0" xfId="0" applyNumberFormat="1" applyFont="1" applyFill="1"/>
    <xf numFmtId="313" fontId="2" fillId="87" borderId="0" xfId="2379" applyNumberFormat="1" applyFont="1" applyFill="1"/>
    <xf numFmtId="313" fontId="2" fillId="0" borderId="0" xfId="2379" applyNumberFormat="1" applyFont="1"/>
    <xf numFmtId="313" fontId="2" fillId="85" borderId="0" xfId="2379" applyNumberFormat="1" applyFont="1" applyFill="1"/>
    <xf numFmtId="313" fontId="2" fillId="0" borderId="76" xfId="2379" applyNumberFormat="1" applyFont="1" applyBorder="1"/>
    <xf numFmtId="315" fontId="2" fillId="0" borderId="0" xfId="0" applyNumberFormat="1" applyFont="1"/>
    <xf numFmtId="315" fontId="2" fillId="85" borderId="0" xfId="0" applyNumberFormat="1" applyFont="1" applyFill="1"/>
    <xf numFmtId="315" fontId="2" fillId="0" borderId="0" xfId="4" applyNumberFormat="1" applyFont="1"/>
    <xf numFmtId="310" fontId="222" fillId="85" borderId="0" xfId="0" applyNumberFormat="1" applyFont="1" applyFill="1"/>
    <xf numFmtId="313" fontId="2" fillId="85" borderId="0" xfId="0" applyNumberFormat="1" applyFont="1" applyFill="1"/>
    <xf numFmtId="3" fontId="17" fillId="0" borderId="76" xfId="0" applyNumberFormat="1" applyFont="1" applyBorder="1" applyAlignment="1">
      <alignment horizontal="center"/>
    </xf>
    <xf numFmtId="314" fontId="2" fillId="0" borderId="45" xfId="0" applyNumberFormat="1" applyFont="1" applyBorder="1" applyAlignment="1">
      <alignment horizontal="center"/>
    </xf>
    <xf numFmtId="314" fontId="2" fillId="0" borderId="76" xfId="0" applyNumberFormat="1" applyFont="1" applyBorder="1" applyAlignment="1">
      <alignment horizontal="center"/>
    </xf>
    <xf numFmtId="0" fontId="240" fillId="0" borderId="18" xfId="2380" applyFont="1" applyBorder="1"/>
    <xf numFmtId="176" fontId="222" fillId="0" borderId="31" xfId="4" applyNumberFormat="1" applyFont="1" applyBorder="1"/>
    <xf numFmtId="0" fontId="221" fillId="88" borderId="67" xfId="2380" applyFont="1" applyFill="1" applyBorder="1"/>
    <xf numFmtId="176" fontId="222" fillId="0" borderId="0" xfId="4" applyNumberFormat="1" applyFont="1" applyBorder="1"/>
    <xf numFmtId="0" fontId="240" fillId="0" borderId="17" xfId="2380" applyFont="1" applyBorder="1"/>
    <xf numFmtId="312" fontId="222" fillId="0" borderId="0" xfId="0" applyNumberFormat="1" applyFont="1"/>
    <xf numFmtId="312" fontId="222" fillId="0" borderId="0" xfId="4" applyNumberFormat="1" applyFont="1" applyBorder="1"/>
    <xf numFmtId="312" fontId="222" fillId="0" borderId="31" xfId="4" applyNumberFormat="1" applyFont="1" applyBorder="1"/>
    <xf numFmtId="312" fontId="222" fillId="0" borderId="77" xfId="0" applyNumberFormat="1" applyFont="1" applyBorder="1"/>
    <xf numFmtId="312" fontId="222" fillId="0" borderId="77" xfId="4" applyNumberFormat="1" applyFont="1" applyBorder="1"/>
    <xf numFmtId="312" fontId="222" fillId="0" borderId="78" xfId="4" applyNumberFormat="1" applyFont="1" applyBorder="1"/>
    <xf numFmtId="0" fontId="17" fillId="0" borderId="76" xfId="0" applyFont="1" applyBorder="1" applyAlignment="1">
      <alignment horizontal="center"/>
    </xf>
    <xf numFmtId="186" fontId="209" fillId="0" borderId="31" xfId="1438" applyNumberFormat="1" applyFont="1" applyFill="1" applyBorder="1"/>
    <xf numFmtId="311" fontId="222" fillId="0" borderId="0" xfId="0" applyNumberFormat="1" applyFont="1"/>
    <xf numFmtId="310" fontId="222" fillId="87" borderId="0" xfId="0" applyNumberFormat="1" applyFont="1" applyFill="1"/>
    <xf numFmtId="310" fontId="1" fillId="87" borderId="0" xfId="0" applyNumberFormat="1" applyFont="1" applyFill="1"/>
    <xf numFmtId="310" fontId="1" fillId="0" borderId="76" xfId="0" applyNumberFormat="1" applyFont="1" applyBorder="1"/>
    <xf numFmtId="310" fontId="2" fillId="0" borderId="76" xfId="0" applyNumberFormat="1" applyFont="1" applyBorder="1" applyAlignment="1">
      <alignment horizontal="center"/>
    </xf>
    <xf numFmtId="310" fontId="2" fillId="85" borderId="0" xfId="0" applyNumberFormat="1" applyFont="1" applyFill="1" applyAlignment="1">
      <alignment horizontal="center"/>
    </xf>
    <xf numFmtId="310" fontId="20" fillId="0" borderId="0" xfId="5" applyNumberFormat="1" applyFont="1"/>
    <xf numFmtId="310" fontId="19" fillId="0" borderId="0" xfId="5" applyNumberFormat="1" applyFont="1"/>
    <xf numFmtId="310" fontId="19" fillId="37" borderId="0" xfId="5" applyNumberFormat="1" applyFont="1" applyFill="1"/>
    <xf numFmtId="310" fontId="20" fillId="0" borderId="14" xfId="5" applyNumberFormat="1" applyFont="1" applyBorder="1"/>
    <xf numFmtId="310" fontId="19" fillId="37" borderId="1" xfId="5" applyNumberFormat="1" applyFont="1" applyFill="1" applyBorder="1"/>
    <xf numFmtId="310" fontId="19" fillId="0" borderId="1" xfId="5" applyNumberFormat="1" applyFont="1" applyBorder="1"/>
    <xf numFmtId="310" fontId="3" fillId="0" borderId="0" xfId="0" applyNumberFormat="1" applyFont="1"/>
    <xf numFmtId="304" fontId="19" fillId="87" borderId="0" xfId="0" applyNumberFormat="1" applyFont="1" applyFill="1"/>
    <xf numFmtId="176" fontId="19" fillId="89" borderId="0" xfId="0" applyNumberFormat="1" applyFont="1" applyFill="1"/>
    <xf numFmtId="290" fontId="19" fillId="0" borderId="0" xfId="0" applyNumberFormat="1" applyFont="1" applyAlignment="1">
      <alignment horizontal="right"/>
    </xf>
    <xf numFmtId="290" fontId="19" fillId="89" borderId="0" xfId="0" applyNumberFormat="1" applyFont="1" applyFill="1" applyAlignment="1">
      <alignment horizontal="right"/>
    </xf>
    <xf numFmtId="290" fontId="19" fillId="87" borderId="0" xfId="0" applyNumberFormat="1" applyFont="1" applyFill="1" applyAlignment="1">
      <alignment horizontal="right"/>
    </xf>
    <xf numFmtId="313" fontId="19" fillId="87" borderId="0" xfId="0" applyNumberFormat="1" applyFont="1" applyFill="1"/>
    <xf numFmtId="313" fontId="19" fillId="89" borderId="0" xfId="0" applyNumberFormat="1" applyFont="1" applyFill="1"/>
    <xf numFmtId="313" fontId="19" fillId="87" borderId="0" xfId="0" applyNumberFormat="1" applyFont="1" applyFill="1" applyAlignment="1">
      <alignment vertical="center"/>
    </xf>
    <xf numFmtId="313" fontId="19" fillId="89" borderId="0" xfId="0" applyNumberFormat="1" applyFont="1" applyFill="1" applyAlignment="1">
      <alignment vertical="center"/>
    </xf>
    <xf numFmtId="313" fontId="13" fillId="0" borderId="14" xfId="0" applyNumberFormat="1" applyFont="1" applyBorder="1" applyAlignment="1">
      <alignment vertical="center"/>
    </xf>
    <xf numFmtId="313" fontId="11" fillId="0" borderId="14" xfId="0" applyNumberFormat="1" applyFont="1" applyBorder="1" applyAlignment="1">
      <alignment vertical="center"/>
    </xf>
    <xf numFmtId="313" fontId="11" fillId="89" borderId="76" xfId="0" applyNumberFormat="1" applyFont="1" applyFill="1" applyBorder="1" applyAlignment="1">
      <alignment vertical="center"/>
    </xf>
    <xf numFmtId="313" fontId="11" fillId="87" borderId="14" xfId="0" applyNumberFormat="1" applyFont="1" applyFill="1" applyBorder="1" applyAlignment="1">
      <alignment vertical="center"/>
    </xf>
    <xf numFmtId="313" fontId="11" fillId="89" borderId="14" xfId="0" applyNumberFormat="1" applyFont="1" applyFill="1" applyBorder="1" applyAlignment="1">
      <alignment vertical="center"/>
    </xf>
    <xf numFmtId="313" fontId="13" fillId="0" borderId="0" xfId="0" applyNumberFormat="1" applyFont="1" applyAlignment="1">
      <alignment vertical="center"/>
    </xf>
    <xf numFmtId="313" fontId="11" fillId="0" borderId="0" xfId="0" applyNumberFormat="1" applyFont="1" applyAlignment="1">
      <alignment vertical="center"/>
    </xf>
    <xf numFmtId="313" fontId="11" fillId="89" borderId="0" xfId="0" applyNumberFormat="1" applyFont="1" applyFill="1" applyAlignment="1">
      <alignment vertical="center"/>
    </xf>
    <xf numFmtId="313" fontId="11" fillId="87" borderId="0" xfId="0" applyNumberFormat="1" applyFont="1" applyFill="1" applyAlignment="1">
      <alignment vertical="center"/>
    </xf>
    <xf numFmtId="313" fontId="223" fillId="0" borderId="0" xfId="0" applyNumberFormat="1" applyFont="1" applyAlignment="1">
      <alignment vertical="center"/>
    </xf>
    <xf numFmtId="313" fontId="12" fillId="0" borderId="0" xfId="0" applyNumberFormat="1" applyFont="1" applyAlignment="1">
      <alignment vertical="center"/>
    </xf>
    <xf numFmtId="313" fontId="3" fillId="0" borderId="0" xfId="0" applyNumberFormat="1" applyFont="1" applyAlignment="1">
      <alignment vertical="center"/>
    </xf>
    <xf numFmtId="313" fontId="3" fillId="89" borderId="0" xfId="0" applyNumberFormat="1" applyFont="1" applyFill="1" applyAlignment="1">
      <alignment vertical="center"/>
    </xf>
    <xf numFmtId="313" fontId="12" fillId="87" borderId="0" xfId="0" applyNumberFormat="1" applyFont="1" applyFill="1" applyAlignment="1">
      <alignment vertical="center"/>
    </xf>
    <xf numFmtId="313" fontId="11" fillId="0" borderId="76" xfId="0" applyNumberFormat="1" applyFont="1" applyBorder="1" applyAlignment="1">
      <alignment vertical="center"/>
    </xf>
    <xf numFmtId="313" fontId="11" fillId="87" borderId="76" xfId="0" applyNumberFormat="1" applyFont="1" applyFill="1" applyBorder="1" applyAlignment="1">
      <alignment vertical="center"/>
    </xf>
    <xf numFmtId="313" fontId="13" fillId="0" borderId="14" xfId="0" applyNumberFormat="1" applyFont="1" applyBorder="1"/>
    <xf numFmtId="313" fontId="11" fillId="87" borderId="14" xfId="0" applyNumberFormat="1" applyFont="1" applyFill="1" applyBorder="1"/>
    <xf numFmtId="313" fontId="20" fillId="0" borderId="14" xfId="0" applyNumberFormat="1" applyFont="1" applyBorder="1"/>
    <xf numFmtId="312" fontId="12" fillId="87" borderId="0" xfId="4" applyNumberFormat="1" applyFont="1" applyFill="1"/>
    <xf numFmtId="312" fontId="217" fillId="0" borderId="0" xfId="4" applyNumberFormat="1" applyFont="1"/>
    <xf numFmtId="310" fontId="3" fillId="0" borderId="1" xfId="0" applyNumberFormat="1" applyFont="1" applyBorder="1"/>
    <xf numFmtId="310" fontId="3" fillId="89" borderId="77" xfId="0" applyNumberFormat="1" applyFont="1" applyFill="1" applyBorder="1"/>
    <xf numFmtId="310" fontId="3" fillId="87" borderId="1" xfId="0" applyNumberFormat="1" applyFont="1" applyFill="1" applyBorder="1"/>
    <xf numFmtId="310" fontId="19" fillId="89" borderId="0" xfId="0" applyNumberFormat="1" applyFont="1" applyFill="1"/>
    <xf numFmtId="310" fontId="11" fillId="0" borderId="14" xfId="0" applyNumberFormat="1" applyFont="1" applyBorder="1"/>
    <xf numFmtId="313" fontId="217" fillId="87" borderId="0" xfId="0" applyNumberFormat="1" applyFont="1" applyFill="1"/>
    <xf numFmtId="313" fontId="241" fillId="87" borderId="0" xfId="0" applyNumberFormat="1" applyFont="1" applyFill="1"/>
    <xf numFmtId="313" fontId="20" fillId="87" borderId="0" xfId="0" applyNumberFormat="1" applyFont="1" applyFill="1"/>
    <xf numFmtId="313" fontId="20" fillId="89" borderId="0" xfId="0" applyNumberFormat="1" applyFont="1" applyFill="1"/>
    <xf numFmtId="313" fontId="218" fillId="0" borderId="0" xfId="0" applyNumberFormat="1" applyFont="1" applyAlignment="1">
      <alignment vertical="center"/>
    </xf>
    <xf numFmtId="313" fontId="19" fillId="0" borderId="0" xfId="0" applyNumberFormat="1" applyFont="1" applyAlignment="1">
      <alignment vertical="center"/>
    </xf>
    <xf numFmtId="313" fontId="20" fillId="0" borderId="76" xfId="0" applyNumberFormat="1" applyFont="1" applyBorder="1" applyAlignment="1">
      <alignment vertical="center"/>
    </xf>
    <xf numFmtId="313" fontId="20" fillId="87" borderId="0" xfId="0" applyNumberFormat="1" applyFont="1" applyFill="1" applyAlignment="1">
      <alignment vertical="center"/>
    </xf>
    <xf numFmtId="0" fontId="242" fillId="0" borderId="0" xfId="0" applyFont="1"/>
    <xf numFmtId="313" fontId="19" fillId="0" borderId="0" xfId="0" applyNumberFormat="1" applyFont="1" applyAlignment="1">
      <alignment horizontal="right"/>
    </xf>
    <xf numFmtId="0" fontId="12" fillId="0" borderId="0" xfId="0" applyFont="1" applyAlignment="1">
      <alignment horizontal="right"/>
    </xf>
    <xf numFmtId="290" fontId="3" fillId="0" borderId="0" xfId="0" applyNumberFormat="1" applyFont="1" applyAlignment="1">
      <alignment horizontal="right"/>
    </xf>
    <xf numFmtId="289" fontId="3" fillId="0" borderId="0" xfId="0" applyNumberFormat="1" applyFont="1" applyAlignment="1">
      <alignment horizontal="right"/>
    </xf>
    <xf numFmtId="289" fontId="3" fillId="89" borderId="0" xfId="0" applyNumberFormat="1" applyFont="1" applyFill="1" applyAlignment="1">
      <alignment horizontal="right"/>
    </xf>
    <xf numFmtId="311" fontId="11" fillId="87" borderId="76" xfId="4" applyNumberFormat="1" applyFont="1" applyFill="1" applyBorder="1" applyAlignment="1">
      <alignment horizontal="right"/>
    </xf>
    <xf numFmtId="311" fontId="3" fillId="87" borderId="0" xfId="4" applyNumberFormat="1" applyFont="1" applyFill="1" applyAlignment="1">
      <alignment horizontal="right"/>
    </xf>
    <xf numFmtId="311" fontId="11" fillId="87" borderId="0" xfId="4" applyNumberFormat="1" applyFont="1" applyFill="1" applyAlignment="1">
      <alignment horizontal="right"/>
    </xf>
    <xf numFmtId="0" fontId="11" fillId="89" borderId="0" xfId="0" applyFont="1" applyFill="1" applyAlignment="1">
      <alignment horizontal="right"/>
    </xf>
    <xf numFmtId="310" fontId="3" fillId="85" borderId="0" xfId="0" applyNumberFormat="1" applyFont="1" applyFill="1"/>
    <xf numFmtId="173" fontId="17" fillId="0" borderId="76" xfId="0" applyNumberFormat="1" applyFont="1" applyBorder="1"/>
    <xf numFmtId="311" fontId="2" fillId="0" borderId="0" xfId="4" applyNumberFormat="1" applyFont="1"/>
    <xf numFmtId="311" fontId="2" fillId="0" borderId="0" xfId="4" applyNumberFormat="1" applyFont="1" applyFill="1"/>
    <xf numFmtId="311" fontId="2" fillId="85" borderId="0" xfId="4" applyNumberFormat="1" applyFont="1" applyFill="1"/>
    <xf numFmtId="1" fontId="1" fillId="0" borderId="0" xfId="0" applyNumberFormat="1" applyFont="1"/>
    <xf numFmtId="1" fontId="17" fillId="85" borderId="0" xfId="0" applyNumberFormat="1" applyFont="1" applyFill="1"/>
    <xf numFmtId="312" fontId="19" fillId="87" borderId="0" xfId="0" applyNumberFormat="1" applyFont="1" applyFill="1"/>
    <xf numFmtId="310" fontId="19" fillId="37" borderId="0" xfId="0" applyNumberFormat="1" applyFont="1" applyFill="1"/>
    <xf numFmtId="311" fontId="12" fillId="0" borderId="0" xfId="4" applyNumberFormat="1" applyFont="1" applyAlignment="1">
      <alignment horizontal="right"/>
    </xf>
    <xf numFmtId="311" fontId="12" fillId="89" borderId="0" xfId="4" applyNumberFormat="1" applyFont="1" applyFill="1" applyAlignment="1">
      <alignment horizontal="right"/>
    </xf>
    <xf numFmtId="172" fontId="12" fillId="89" borderId="0" xfId="0" applyNumberFormat="1" applyFont="1" applyFill="1"/>
    <xf numFmtId="313" fontId="12" fillId="89" borderId="0" xfId="0" applyNumberFormat="1" applyFont="1" applyFill="1" applyAlignment="1">
      <alignment vertical="center"/>
    </xf>
    <xf numFmtId="313" fontId="243" fillId="0" borderId="0" xfId="0" applyNumberFormat="1" applyFont="1" applyAlignment="1">
      <alignment vertical="center"/>
    </xf>
    <xf numFmtId="172" fontId="12" fillId="87" borderId="0" xfId="0" applyNumberFormat="1" applyFont="1" applyFill="1"/>
    <xf numFmtId="176" fontId="12" fillId="0" borderId="0" xfId="4" applyNumberFormat="1" applyFont="1" applyAlignment="1">
      <alignment horizontal="right"/>
    </xf>
    <xf numFmtId="176" fontId="12" fillId="89" borderId="0" xfId="4" applyNumberFormat="1" applyFont="1" applyFill="1" applyAlignment="1">
      <alignment horizontal="right"/>
    </xf>
    <xf numFmtId="313" fontId="217" fillId="87" borderId="0" xfId="0" applyNumberFormat="1" applyFont="1" applyFill="1" applyAlignment="1">
      <alignment vertical="center"/>
    </xf>
    <xf numFmtId="10" fontId="2" fillId="87" borderId="0" xfId="4" applyNumberFormat="1" applyFont="1" applyFill="1"/>
    <xf numFmtId="10" fontId="2" fillId="0" borderId="0" xfId="0" applyNumberFormat="1" applyFont="1"/>
    <xf numFmtId="10" fontId="2" fillId="87" borderId="0" xfId="0" applyNumberFormat="1" applyFont="1" applyFill="1"/>
    <xf numFmtId="0" fontId="2" fillId="0" borderId="18" xfId="0" applyFont="1" applyBorder="1" applyAlignment="1">
      <alignment horizontal="center"/>
    </xf>
    <xf numFmtId="0" fontId="0" fillId="0" borderId="31" xfId="0" applyBorder="1"/>
    <xf numFmtId="3" fontId="2" fillId="87" borderId="18" xfId="0" applyNumberFormat="1" applyFont="1" applyFill="1" applyBorder="1" applyAlignment="1">
      <alignment horizontal="center"/>
    </xf>
    <xf numFmtId="3" fontId="17" fillId="87" borderId="79" xfId="0" applyNumberFormat="1" applyFont="1" applyFill="1" applyBorder="1" applyAlignment="1">
      <alignment horizontal="center"/>
    </xf>
    <xf numFmtId="310" fontId="2" fillId="87" borderId="18" xfId="0" applyNumberFormat="1" applyFont="1" applyFill="1" applyBorder="1" applyAlignment="1">
      <alignment horizontal="center"/>
    </xf>
    <xf numFmtId="310" fontId="2" fillId="87" borderId="79" xfId="0" applyNumberFormat="1" applyFont="1" applyFill="1" applyBorder="1" applyAlignment="1">
      <alignment horizontal="center"/>
    </xf>
    <xf numFmtId="314" fontId="2" fillId="87" borderId="79" xfId="0" applyNumberFormat="1" applyFont="1" applyFill="1" applyBorder="1" applyAlignment="1">
      <alignment horizontal="center"/>
    </xf>
    <xf numFmtId="310" fontId="2" fillId="0" borderId="18" xfId="0" applyNumberFormat="1" applyFont="1" applyBorder="1" applyAlignment="1">
      <alignment horizontal="center"/>
    </xf>
    <xf numFmtId="176" fontId="2" fillId="0" borderId="18" xfId="4" applyNumberFormat="1" applyFont="1" applyBorder="1" applyAlignment="1">
      <alignment horizontal="center"/>
    </xf>
    <xf numFmtId="0" fontId="2" fillId="0" borderId="17" xfId="0" applyFont="1" applyBorder="1" applyAlignment="1">
      <alignment horizontal="center"/>
    </xf>
    <xf numFmtId="0" fontId="0" fillId="0" borderId="78" xfId="0" applyBorder="1"/>
    <xf numFmtId="314" fontId="2" fillId="87" borderId="18" xfId="0" applyNumberFormat="1" applyFont="1" applyFill="1" applyBorder="1" applyAlignment="1">
      <alignment horizontal="center"/>
    </xf>
    <xf numFmtId="0" fontId="222" fillId="0" borderId="16" xfId="0" applyFont="1" applyBorder="1" applyAlignment="1">
      <alignment horizontal="centerContinuous"/>
    </xf>
    <xf numFmtId="0" fontId="222" fillId="0" borderId="75" xfId="0" applyFont="1" applyBorder="1" applyAlignment="1">
      <alignment horizontal="centerContinuous"/>
    </xf>
    <xf numFmtId="176" fontId="209" fillId="0" borderId="0" xfId="2381" applyNumberFormat="1" applyFont="1"/>
    <xf numFmtId="176" fontId="209" fillId="0" borderId="31" xfId="2381" applyNumberFormat="1" applyFont="1" applyBorder="1"/>
    <xf numFmtId="310" fontId="0" fillId="0" borderId="31" xfId="0" applyNumberFormat="1" applyBorder="1"/>
    <xf numFmtId="310" fontId="0" fillId="0" borderId="80" xfId="0" applyNumberFormat="1" applyBorder="1"/>
    <xf numFmtId="314" fontId="0" fillId="0" borderId="80" xfId="0" applyNumberFormat="1" applyBorder="1"/>
    <xf numFmtId="314" fontId="0" fillId="0" borderId="31" xfId="0" applyNumberFormat="1" applyBorder="1"/>
    <xf numFmtId="312" fontId="0" fillId="0" borderId="31" xfId="0" applyNumberFormat="1" applyBorder="1"/>
    <xf numFmtId="313" fontId="11" fillId="87" borderId="76" xfId="0" applyNumberFormat="1" applyFont="1" applyFill="1" applyBorder="1"/>
    <xf numFmtId="313" fontId="12" fillId="87" borderId="0" xfId="0" applyNumberFormat="1" applyFont="1" applyFill="1"/>
    <xf numFmtId="313" fontId="12" fillId="87" borderId="0" xfId="4" applyNumberFormat="1" applyFont="1" applyFill="1"/>
    <xf numFmtId="313" fontId="3" fillId="87" borderId="0" xfId="4" applyNumberFormat="1" applyFont="1" applyFill="1"/>
    <xf numFmtId="311" fontId="3" fillId="87" borderId="76" xfId="0" applyNumberFormat="1" applyFont="1" applyFill="1" applyBorder="1"/>
    <xf numFmtId="173" fontId="11" fillId="87" borderId="76" xfId="0" applyNumberFormat="1" applyFont="1" applyFill="1" applyBorder="1"/>
    <xf numFmtId="0" fontId="2" fillId="85" borderId="0" xfId="0" applyFont="1" applyFill="1"/>
    <xf numFmtId="1" fontId="1" fillId="0" borderId="83" xfId="0" applyNumberFormat="1" applyFont="1" applyBorder="1"/>
    <xf numFmtId="9" fontId="17" fillId="0" borderId="0" xfId="4" applyFont="1" applyBorder="1"/>
    <xf numFmtId="313" fontId="2" fillId="0" borderId="0" xfId="2379" applyNumberFormat="1" applyFont="1" applyBorder="1"/>
    <xf numFmtId="310" fontId="2" fillId="0" borderId="77" xfId="0" applyNumberFormat="1" applyFont="1" applyBorder="1"/>
    <xf numFmtId="310" fontId="1" fillId="0" borderId="0" xfId="0" applyNumberFormat="1" applyFont="1"/>
    <xf numFmtId="3" fontId="209" fillId="0" borderId="0" xfId="0" applyNumberFormat="1" applyFont="1"/>
    <xf numFmtId="3" fontId="213" fillId="0" borderId="0" xfId="0" applyNumberFormat="1" applyFont="1"/>
    <xf numFmtId="9" fontId="209" fillId="85" borderId="0" xfId="0" applyNumberFormat="1" applyFont="1" applyFill="1"/>
    <xf numFmtId="1" fontId="209" fillId="0" borderId="0" xfId="0" applyNumberFormat="1" applyFont="1"/>
    <xf numFmtId="310" fontId="2" fillId="87" borderId="77" xfId="0" applyNumberFormat="1" applyFont="1" applyFill="1" applyBorder="1"/>
    <xf numFmtId="9" fontId="2" fillId="0" borderId="0" xfId="0" applyNumberFormat="1" applyFont="1"/>
    <xf numFmtId="176" fontId="1" fillId="85" borderId="0" xfId="0" applyNumberFormat="1" applyFont="1" applyFill="1"/>
    <xf numFmtId="176" fontId="1" fillId="0" borderId="0" xfId="0" applyNumberFormat="1" applyFont="1"/>
    <xf numFmtId="3" fontId="1" fillId="0" borderId="0" xfId="0" applyNumberFormat="1" applyFont="1"/>
    <xf numFmtId="0" fontId="190" fillId="0" borderId="77" xfId="0" applyFont="1" applyBorder="1"/>
    <xf numFmtId="0" fontId="38" fillId="0" borderId="77" xfId="0" applyFont="1" applyBorder="1"/>
    <xf numFmtId="0" fontId="11" fillId="0" borderId="77" xfId="0" applyFont="1" applyBorder="1"/>
    <xf numFmtId="3" fontId="11" fillId="87" borderId="0" xfId="0" applyNumberFormat="1" applyFont="1" applyFill="1"/>
    <xf numFmtId="176" fontId="3" fillId="87" borderId="0" xfId="0" applyNumberFormat="1" applyFont="1" applyFill="1"/>
    <xf numFmtId="3" fontId="3" fillId="87" borderId="0" xfId="0" applyNumberFormat="1" applyFont="1" applyFill="1"/>
    <xf numFmtId="175" fontId="11" fillId="87" borderId="0" xfId="0" applyNumberFormat="1" applyFont="1" applyFill="1"/>
    <xf numFmtId="176" fontId="218" fillId="0" borderId="0" xfId="0" applyNumberFormat="1" applyFont="1"/>
    <xf numFmtId="0" fontId="11" fillId="87" borderId="0" xfId="0" applyFont="1" applyFill="1" applyAlignment="1">
      <alignment horizontal="right"/>
    </xf>
    <xf numFmtId="313" fontId="12" fillId="0" borderId="0" xfId="0" applyNumberFormat="1" applyFont="1"/>
    <xf numFmtId="313" fontId="19" fillId="0" borderId="0" xfId="0" applyNumberFormat="1" applyFont="1"/>
    <xf numFmtId="313" fontId="20" fillId="0" borderId="0" xfId="0" applyNumberFormat="1" applyFont="1" applyAlignment="1">
      <alignment vertical="center"/>
    </xf>
    <xf numFmtId="0" fontId="3" fillId="0" borderId="0" xfId="0" quotePrefix="1" applyFont="1"/>
    <xf numFmtId="310" fontId="11" fillId="85" borderId="76" xfId="0" applyNumberFormat="1" applyFont="1" applyFill="1" applyBorder="1"/>
    <xf numFmtId="261" fontId="12" fillId="89" borderId="0" xfId="2379" applyNumberFormat="1" applyFont="1" applyFill="1"/>
    <xf numFmtId="261" fontId="11" fillId="89" borderId="0" xfId="2379" applyNumberFormat="1" applyFont="1" applyFill="1"/>
    <xf numFmtId="176" fontId="222" fillId="0" borderId="77" xfId="4" applyNumberFormat="1" applyFont="1" applyBorder="1"/>
    <xf numFmtId="176" fontId="222" fillId="85" borderId="77" xfId="0" applyNumberFormat="1" applyFont="1" applyFill="1" applyBorder="1"/>
    <xf numFmtId="176" fontId="244" fillId="0" borderId="0" xfId="4" applyNumberFormat="1" applyFont="1"/>
    <xf numFmtId="3" fontId="1" fillId="87" borderId="0" xfId="0" applyNumberFormat="1" applyFont="1" applyFill="1"/>
    <xf numFmtId="176" fontId="213" fillId="64" borderId="0" xfId="2380" applyNumberFormat="1" applyFont="1" applyFill="1"/>
    <xf numFmtId="308" fontId="209" fillId="0" borderId="0" xfId="2381" applyFont="1"/>
    <xf numFmtId="261" fontId="209" fillId="0" borderId="0" xfId="1438" applyNumberFormat="1" applyFont="1"/>
    <xf numFmtId="261" fontId="213" fillId="0" borderId="0" xfId="2380" applyNumberFormat="1" applyFont="1"/>
    <xf numFmtId="186" fontId="209" fillId="0" borderId="0" xfId="1438" applyNumberFormat="1" applyFont="1"/>
    <xf numFmtId="261" fontId="2" fillId="0" borderId="0" xfId="0" applyNumberFormat="1" applyFont="1"/>
    <xf numFmtId="313" fontId="12" fillId="0" borderId="77" xfId="0" applyNumberFormat="1" applyFont="1" applyBorder="1" applyAlignment="1">
      <alignment vertical="center"/>
    </xf>
    <xf numFmtId="313" fontId="19" fillId="0" borderId="77" xfId="0" applyNumberFormat="1" applyFont="1" applyBorder="1"/>
    <xf numFmtId="0" fontId="245" fillId="0" borderId="0" xfId="0" applyFont="1"/>
    <xf numFmtId="3" fontId="246" fillId="93" borderId="77" xfId="0" applyNumberFormat="1" applyFont="1" applyFill="1" applyBorder="1" applyAlignment="1">
      <alignment horizontal="right"/>
    </xf>
    <xf numFmtId="310" fontId="245" fillId="0" borderId="0" xfId="0" applyNumberFormat="1" applyFont="1"/>
    <xf numFmtId="187" fontId="245" fillId="0" borderId="0" xfId="2379" applyNumberFormat="1" applyFont="1"/>
    <xf numFmtId="261" fontId="17" fillId="0" borderId="45" xfId="0" applyNumberFormat="1" applyFont="1" applyBorder="1"/>
    <xf numFmtId="0" fontId="247" fillId="0" borderId="0" xfId="0" applyFont="1"/>
    <xf numFmtId="0" fontId="247" fillId="87" borderId="0" xfId="0" applyFont="1" applyFill="1"/>
    <xf numFmtId="0" fontId="248" fillId="87" borderId="0" xfId="0" applyFont="1" applyFill="1"/>
    <xf numFmtId="176" fontId="3" fillId="3" borderId="0" xfId="0" applyNumberFormat="1" applyFont="1" applyFill="1"/>
    <xf numFmtId="3" fontId="11" fillId="3" borderId="0" xfId="0" applyNumberFormat="1" applyFont="1" applyFill="1"/>
    <xf numFmtId="3" fontId="3" fillId="3" borderId="0" xfId="0" applyNumberFormat="1" applyFont="1" applyFill="1"/>
    <xf numFmtId="3" fontId="3" fillId="3" borderId="77" xfId="0" applyNumberFormat="1" applyFont="1" applyFill="1" applyBorder="1"/>
    <xf numFmtId="261" fontId="0" fillId="0" borderId="0" xfId="2379" applyNumberFormat="1" applyFont="1"/>
    <xf numFmtId="176" fontId="0" fillId="0" borderId="0" xfId="0" applyNumberFormat="1"/>
    <xf numFmtId="176" fontId="0" fillId="0" borderId="0" xfId="2379" applyNumberFormat="1" applyFont="1"/>
    <xf numFmtId="176" fontId="0" fillId="0" borderId="0" xfId="4" applyNumberFormat="1" applyFont="1"/>
    <xf numFmtId="311" fontId="3" fillId="89" borderId="77" xfId="4" applyNumberFormat="1" applyFont="1" applyFill="1" applyBorder="1" applyAlignment="1">
      <alignment horizontal="right"/>
    </xf>
    <xf numFmtId="311" fontId="3" fillId="0" borderId="77" xfId="4" applyNumberFormat="1" applyFont="1" applyBorder="1" applyAlignment="1">
      <alignment horizontal="right"/>
    </xf>
    <xf numFmtId="172" fontId="3" fillId="89" borderId="77" xfId="0" applyNumberFormat="1" applyFont="1" applyFill="1" applyBorder="1"/>
    <xf numFmtId="0" fontId="247" fillId="3" borderId="0" xfId="0" applyFont="1" applyFill="1"/>
    <xf numFmtId="0" fontId="0" fillId="3" borderId="0" xfId="0" applyFill="1"/>
    <xf numFmtId="176" fontId="0" fillId="85" borderId="0" xfId="2379" applyNumberFormat="1" applyFont="1" applyFill="1"/>
    <xf numFmtId="261" fontId="0" fillId="85" borderId="0" xfId="2379" applyNumberFormat="1" applyFont="1" applyFill="1"/>
    <xf numFmtId="187" fontId="19" fillId="0" borderId="0" xfId="0" applyNumberFormat="1" applyFont="1"/>
    <xf numFmtId="9" fontId="218" fillId="0" borderId="0" xfId="0" applyNumberFormat="1" applyFont="1"/>
    <xf numFmtId="310" fontId="247" fillId="3" borderId="0" xfId="0" applyNumberFormat="1" applyFont="1" applyFill="1"/>
    <xf numFmtId="310" fontId="248" fillId="3" borderId="0" xfId="0" applyNumberFormat="1" applyFont="1" applyFill="1"/>
    <xf numFmtId="9" fontId="248" fillId="3" borderId="45" xfId="0" applyNumberFormat="1" applyFont="1" applyFill="1" applyBorder="1"/>
    <xf numFmtId="0" fontId="250" fillId="3" borderId="77" xfId="0" applyFont="1" applyFill="1" applyBorder="1"/>
    <xf numFmtId="0" fontId="249" fillId="3" borderId="77" xfId="0" applyFont="1" applyFill="1" applyBorder="1"/>
    <xf numFmtId="3" fontId="249" fillId="87" borderId="0" xfId="2232" applyNumberFormat="1" applyFont="1" applyFill="1"/>
    <xf numFmtId="176" fontId="249" fillId="87" borderId="0" xfId="2232" applyNumberFormat="1" applyFont="1" applyFill="1"/>
    <xf numFmtId="3" fontId="249" fillId="3" borderId="0" xfId="2232" applyNumberFormat="1" applyFont="1" applyFill="1"/>
    <xf numFmtId="176" fontId="249" fillId="3" borderId="0" xfId="1438" applyNumberFormat="1" applyFont="1" applyFill="1"/>
    <xf numFmtId="186" fontId="249" fillId="87" borderId="0" xfId="1438" applyNumberFormat="1" applyFont="1" applyFill="1"/>
    <xf numFmtId="261" fontId="249" fillId="3" borderId="0" xfId="1438" applyNumberFormat="1" applyFont="1" applyFill="1"/>
    <xf numFmtId="261" fontId="249" fillId="87" borderId="0" xfId="1438" applyNumberFormat="1" applyFont="1" applyFill="1"/>
    <xf numFmtId="261" fontId="249" fillId="3" borderId="77" xfId="1438" applyNumberFormat="1" applyFont="1" applyFill="1" applyBorder="1"/>
    <xf numFmtId="3" fontId="250" fillId="87" borderId="0" xfId="2232" applyNumberFormat="1" applyFont="1" applyFill="1"/>
    <xf numFmtId="261" fontId="250" fillId="87" borderId="0" xfId="2232" applyNumberFormat="1" applyFont="1" applyFill="1"/>
    <xf numFmtId="261" fontId="249" fillId="3" borderId="0" xfId="1438" applyNumberFormat="1" applyFont="1" applyFill="1" applyBorder="1"/>
    <xf numFmtId="261" fontId="217" fillId="0" borderId="0" xfId="2379" applyNumberFormat="1" applyFont="1"/>
    <xf numFmtId="261" fontId="209" fillId="0" borderId="77" xfId="1438" applyNumberFormat="1" applyFont="1" applyBorder="1"/>
    <xf numFmtId="0" fontId="248" fillId="3" borderId="67" xfId="0" applyFont="1" applyFill="1" applyBorder="1"/>
    <xf numFmtId="0" fontId="248" fillId="3" borderId="67" xfId="0" applyFont="1" applyFill="1" applyBorder="1" applyAlignment="1">
      <alignment horizontal="right"/>
    </xf>
    <xf numFmtId="310" fontId="247" fillId="3" borderId="77" xfId="0" applyNumberFormat="1" applyFont="1" applyFill="1" applyBorder="1" applyAlignment="1">
      <alignment horizontal="right"/>
    </xf>
    <xf numFmtId="310" fontId="247" fillId="87" borderId="77" xfId="0" applyNumberFormat="1" applyFont="1" applyFill="1" applyBorder="1" applyAlignment="1">
      <alignment horizontal="right"/>
    </xf>
    <xf numFmtId="310" fontId="247" fillId="87" borderId="0" xfId="0" applyNumberFormat="1" applyFont="1" applyFill="1" applyAlignment="1">
      <alignment horizontal="right"/>
    </xf>
    <xf numFmtId="310" fontId="248" fillId="87" borderId="0" xfId="0" applyNumberFormat="1" applyFont="1" applyFill="1" applyAlignment="1">
      <alignment horizontal="right"/>
    </xf>
    <xf numFmtId="310" fontId="247" fillId="3" borderId="0" xfId="0" applyNumberFormat="1" applyFont="1" applyFill="1" applyAlignment="1">
      <alignment horizontal="right"/>
    </xf>
    <xf numFmtId="0" fontId="248" fillId="3" borderId="0" xfId="0" applyFont="1" applyFill="1"/>
    <xf numFmtId="310" fontId="248" fillId="3" borderId="0" xfId="0" applyNumberFormat="1" applyFont="1" applyFill="1" applyAlignment="1">
      <alignment horizontal="right"/>
    </xf>
    <xf numFmtId="317" fontId="248" fillId="3" borderId="0" xfId="0" applyNumberFormat="1" applyFont="1" applyFill="1" applyAlignment="1">
      <alignment horizontal="right"/>
    </xf>
    <xf numFmtId="0" fontId="248" fillId="87" borderId="77" xfId="0" applyFont="1" applyFill="1" applyBorder="1"/>
    <xf numFmtId="9" fontId="2" fillId="0" borderId="28" xfId="4" applyFont="1" applyBorder="1"/>
    <xf numFmtId="261" fontId="2" fillId="85" borderId="0" xfId="2379" applyNumberFormat="1" applyFont="1" applyFill="1"/>
    <xf numFmtId="310" fontId="1" fillId="87" borderId="76" xfId="0" applyNumberFormat="1" applyFont="1" applyFill="1" applyBorder="1"/>
    <xf numFmtId="0" fontId="251" fillId="0" borderId="0" xfId="0" applyFont="1"/>
    <xf numFmtId="0" fontId="251" fillId="0" borderId="0" xfId="0" applyFont="1" applyAlignment="1">
      <alignment horizontal="center"/>
    </xf>
    <xf numFmtId="176" fontId="251" fillId="0" borderId="0" xfId="4" applyNumberFormat="1" applyFont="1" applyAlignment="1">
      <alignment horizontal="center"/>
    </xf>
    <xf numFmtId="176" fontId="251" fillId="0" borderId="0" xfId="4" applyNumberFormat="1" applyFont="1"/>
    <xf numFmtId="176" fontId="251" fillId="0" borderId="0" xfId="0" applyNumberFormat="1" applyFont="1"/>
    <xf numFmtId="1" fontId="251" fillId="0" borderId="0" xfId="0" applyNumberFormat="1" applyFont="1"/>
    <xf numFmtId="0" fontId="252" fillId="0" borderId="67" xfId="2368" applyFont="1" applyBorder="1"/>
    <xf numFmtId="0" fontId="252" fillId="0" borderId="67" xfId="2370" applyFont="1" applyBorder="1"/>
    <xf numFmtId="0" fontId="253" fillId="0" borderId="0" xfId="2369" applyFont="1"/>
    <xf numFmtId="179" fontId="253" fillId="73" borderId="0" xfId="2369" applyNumberFormat="1" applyFont="1" applyFill="1"/>
    <xf numFmtId="9" fontId="251" fillId="0" borderId="0" xfId="4" applyFont="1"/>
    <xf numFmtId="179" fontId="251" fillId="0" borderId="0" xfId="0" applyNumberFormat="1" applyFont="1"/>
    <xf numFmtId="2" fontId="251" fillId="0" borderId="0" xfId="0" applyNumberFormat="1" applyFont="1"/>
    <xf numFmtId="0" fontId="254" fillId="0" borderId="67" xfId="0" applyFont="1" applyBorder="1"/>
    <xf numFmtId="0" fontId="254" fillId="0" borderId="67" xfId="0" applyFont="1" applyBorder="1" applyAlignment="1">
      <alignment horizontal="right"/>
    </xf>
    <xf numFmtId="0" fontId="251" fillId="38" borderId="0" xfId="0" applyFont="1" applyFill="1"/>
    <xf numFmtId="179" fontId="251" fillId="38" borderId="0" xfId="0" applyNumberFormat="1" applyFont="1" applyFill="1"/>
    <xf numFmtId="291" fontId="251" fillId="0" borderId="0" xfId="0" applyNumberFormat="1" applyFont="1"/>
    <xf numFmtId="290" fontId="251" fillId="0" borderId="0" xfId="0" applyNumberFormat="1" applyFont="1"/>
    <xf numFmtId="179" fontId="253" fillId="0" borderId="0" xfId="2369" applyNumberFormat="1" applyFont="1"/>
    <xf numFmtId="9" fontId="251" fillId="0" borderId="0" xfId="0" applyNumberFormat="1" applyFont="1"/>
    <xf numFmtId="173" fontId="251" fillId="0" borderId="0" xfId="0" applyNumberFormat="1" applyFont="1"/>
    <xf numFmtId="293" fontId="251" fillId="0" borderId="0" xfId="0" applyNumberFormat="1" applyFont="1"/>
    <xf numFmtId="0" fontId="254" fillId="0" borderId="67" xfId="0" applyFont="1" applyBorder="1" applyAlignment="1">
      <alignment horizontal="center"/>
    </xf>
    <xf numFmtId="0" fontId="254" fillId="0" borderId="67" xfId="0" applyFont="1" applyBorder="1" applyAlignment="1">
      <alignment horizontal="center" wrapText="1"/>
    </xf>
    <xf numFmtId="169" fontId="251" fillId="38" borderId="0" xfId="0" applyNumberFormat="1" applyFont="1" applyFill="1" applyAlignment="1">
      <alignment horizontal="center"/>
    </xf>
    <xf numFmtId="169" fontId="251" fillId="0" borderId="0" xfId="0" applyNumberFormat="1" applyFont="1" applyAlignment="1">
      <alignment horizontal="center"/>
    </xf>
    <xf numFmtId="9" fontId="251" fillId="38" borderId="0" xfId="4" applyFont="1" applyFill="1" applyAlignment="1">
      <alignment horizontal="center"/>
    </xf>
    <xf numFmtId="303" fontId="253" fillId="0" borderId="0" xfId="5" applyNumberFormat="1" applyFont="1" applyAlignment="1">
      <alignment horizontal="center"/>
    </xf>
    <xf numFmtId="9" fontId="251" fillId="0" borderId="0" xfId="4" applyFont="1" applyAlignment="1">
      <alignment horizontal="center"/>
    </xf>
    <xf numFmtId="0" fontId="251" fillId="0" borderId="0" xfId="0" applyFont="1" applyAlignment="1">
      <alignment horizontal="left"/>
    </xf>
    <xf numFmtId="176" fontId="255" fillId="0" borderId="0" xfId="4" applyNumberFormat="1" applyFont="1" applyAlignment="1">
      <alignment horizontal="center"/>
    </xf>
    <xf numFmtId="1" fontId="254" fillId="0" borderId="0" xfId="0" applyNumberFormat="1" applyFont="1"/>
    <xf numFmtId="0" fontId="254" fillId="0" borderId="0" xfId="0" applyFont="1"/>
    <xf numFmtId="0" fontId="251" fillId="3" borderId="0" xfId="0" applyFont="1" applyFill="1"/>
    <xf numFmtId="3" fontId="251" fillId="3" borderId="0" xfId="0" applyNumberFormat="1" applyFont="1" applyFill="1"/>
    <xf numFmtId="0" fontId="251" fillId="3" borderId="0" xfId="0" applyFont="1" applyFill="1" applyAlignment="1">
      <alignment horizontal="right"/>
    </xf>
    <xf numFmtId="175" fontId="251" fillId="3" borderId="0" xfId="0" applyNumberFormat="1" applyFont="1" applyFill="1"/>
    <xf numFmtId="0" fontId="254" fillId="3" borderId="0" xfId="0" applyFont="1" applyFill="1"/>
    <xf numFmtId="175" fontId="254" fillId="3" borderId="0" xfId="0" applyNumberFormat="1" applyFont="1" applyFill="1"/>
    <xf numFmtId="310" fontId="251" fillId="38" borderId="0" xfId="0" applyNumberFormat="1" applyFont="1" applyFill="1"/>
    <xf numFmtId="312" fontId="251" fillId="38" borderId="0" xfId="4" applyNumberFormat="1" applyFont="1" applyFill="1" applyAlignment="1"/>
    <xf numFmtId="313" fontId="251" fillId="0" borderId="0" xfId="0" applyNumberFormat="1" applyFont="1"/>
    <xf numFmtId="312" fontId="251" fillId="0" borderId="0" xfId="4" applyNumberFormat="1" applyFont="1" applyAlignment="1"/>
    <xf numFmtId="310" fontId="251" fillId="0" borderId="0" xfId="0" applyNumberFormat="1" applyFont="1"/>
    <xf numFmtId="0" fontId="256" fillId="0" borderId="0" xfId="0" applyFont="1"/>
    <xf numFmtId="316" fontId="254" fillId="0" borderId="67" xfId="0" applyNumberFormat="1" applyFont="1" applyBorder="1"/>
    <xf numFmtId="0" fontId="251" fillId="87" borderId="76" xfId="0" applyFont="1" applyFill="1" applyBorder="1"/>
    <xf numFmtId="310" fontId="251" fillId="87" borderId="76" xfId="0" applyNumberFormat="1" applyFont="1" applyFill="1" applyBorder="1"/>
    <xf numFmtId="312" fontId="251" fillId="87" borderId="0" xfId="4" applyNumberFormat="1" applyFont="1" applyFill="1"/>
    <xf numFmtId="312" fontId="251" fillId="0" borderId="0" xfId="4" applyNumberFormat="1" applyFont="1"/>
    <xf numFmtId="0" fontId="251" fillId="87" borderId="0" xfId="0" applyFont="1" applyFill="1"/>
    <xf numFmtId="310" fontId="251" fillId="87" borderId="0" xfId="0" applyNumberFormat="1" applyFont="1" applyFill="1"/>
    <xf numFmtId="0" fontId="254" fillId="87" borderId="0" xfId="0" applyFont="1" applyFill="1"/>
    <xf numFmtId="310" fontId="254" fillId="87" borderId="76" xfId="0" applyNumberFormat="1" applyFont="1" applyFill="1" applyBorder="1"/>
    <xf numFmtId="312" fontId="254" fillId="87" borderId="76" xfId="4" applyNumberFormat="1" applyFont="1" applyFill="1" applyBorder="1"/>
    <xf numFmtId="310" fontId="254" fillId="87" borderId="0" xfId="0" applyNumberFormat="1" applyFont="1" applyFill="1"/>
    <xf numFmtId="312" fontId="254" fillId="87" borderId="0" xfId="4" applyNumberFormat="1" applyFont="1" applyFill="1"/>
    <xf numFmtId="176" fontId="251" fillId="87" borderId="0" xfId="0" applyNumberFormat="1" applyFont="1" applyFill="1"/>
    <xf numFmtId="310" fontId="254" fillId="0" borderId="76" xfId="0" applyNumberFormat="1" applyFont="1" applyBorder="1"/>
    <xf numFmtId="0" fontId="251" fillId="0" borderId="76" xfId="0" applyFont="1" applyBorder="1"/>
    <xf numFmtId="310" fontId="251" fillId="87" borderId="77" xfId="0" applyNumberFormat="1" applyFont="1" applyFill="1" applyBorder="1"/>
    <xf numFmtId="310" fontId="254" fillId="0" borderId="0" xfId="0" applyNumberFormat="1" applyFont="1"/>
    <xf numFmtId="310" fontId="257" fillId="87" borderId="0" xfId="0" applyNumberFormat="1" applyFont="1" applyFill="1"/>
    <xf numFmtId="0" fontId="258" fillId="87" borderId="77" xfId="0" applyFont="1" applyFill="1" applyBorder="1"/>
    <xf numFmtId="180" fontId="258" fillId="87" borderId="77" xfId="0" applyNumberFormat="1" applyFont="1" applyFill="1" applyBorder="1"/>
    <xf numFmtId="0" fontId="258" fillId="0" borderId="0" xfId="0" applyFont="1"/>
    <xf numFmtId="1" fontId="251" fillId="87" borderId="0" xfId="0" applyNumberFormat="1" applyFont="1" applyFill="1"/>
    <xf numFmtId="0" fontId="253" fillId="0" borderId="0" xfId="2368" applyFont="1"/>
    <xf numFmtId="179" fontId="253" fillId="0" borderId="0" xfId="2368" applyNumberFormat="1" applyFont="1"/>
    <xf numFmtId="9" fontId="253" fillId="0" borderId="0" xfId="1762" applyFont="1"/>
    <xf numFmtId="0" fontId="251" fillId="3" borderId="0" xfId="0" applyFont="1" applyFill="1" applyAlignment="1">
      <alignment horizontal="center"/>
    </xf>
    <xf numFmtId="0" fontId="254" fillId="3" borderId="77" xfId="0" applyFont="1" applyFill="1" applyBorder="1"/>
    <xf numFmtId="0" fontId="254" fillId="3" borderId="77" xfId="0" applyFont="1" applyFill="1" applyBorder="1" applyAlignment="1">
      <alignment horizontal="center"/>
    </xf>
    <xf numFmtId="0" fontId="254" fillId="90" borderId="77" xfId="0" applyFont="1" applyFill="1" applyBorder="1" applyAlignment="1">
      <alignment horizontal="center"/>
    </xf>
    <xf numFmtId="0" fontId="259" fillId="3" borderId="77" xfId="0" applyFont="1" applyFill="1" applyBorder="1" applyAlignment="1">
      <alignment horizontal="center"/>
    </xf>
    <xf numFmtId="0" fontId="254" fillId="35" borderId="77" xfId="0" applyFont="1" applyFill="1" applyBorder="1" applyAlignment="1">
      <alignment horizontal="center"/>
    </xf>
    <xf numFmtId="0" fontId="251" fillId="90" borderId="0" xfId="0" applyFont="1" applyFill="1" applyAlignment="1">
      <alignment horizontal="center"/>
    </xf>
    <xf numFmtId="0" fontId="260" fillId="3" borderId="0" xfId="0" applyFont="1" applyFill="1" applyAlignment="1">
      <alignment horizontal="center"/>
    </xf>
    <xf numFmtId="0" fontId="251" fillId="35" borderId="0" xfId="0" applyFont="1" applyFill="1" applyAlignment="1">
      <alignment horizontal="center"/>
    </xf>
    <xf numFmtId="173" fontId="251" fillId="3" borderId="0" xfId="0" applyNumberFormat="1" applyFont="1" applyFill="1" applyAlignment="1">
      <alignment horizontal="center"/>
    </xf>
    <xf numFmtId="173" fontId="254" fillId="90" borderId="0" xfId="0" applyNumberFormat="1" applyFont="1" applyFill="1" applyAlignment="1">
      <alignment horizontal="center"/>
    </xf>
    <xf numFmtId="173" fontId="260" fillId="3" borderId="0" xfId="0" applyNumberFormat="1" applyFont="1" applyFill="1" applyAlignment="1">
      <alignment horizontal="center"/>
    </xf>
    <xf numFmtId="173" fontId="254" fillId="35" borderId="0" xfId="0" applyNumberFormat="1" applyFont="1" applyFill="1" applyAlignment="1">
      <alignment horizontal="center"/>
    </xf>
    <xf numFmtId="0" fontId="254" fillId="35" borderId="0" xfId="0" applyFont="1" applyFill="1" applyAlignment="1">
      <alignment horizontal="center"/>
    </xf>
    <xf numFmtId="173" fontId="251" fillId="90" borderId="0" xfId="0" applyNumberFormat="1" applyFont="1" applyFill="1" applyAlignment="1">
      <alignment horizontal="center"/>
    </xf>
    <xf numFmtId="176" fontId="251" fillId="3" borderId="0" xfId="4" applyNumberFormat="1" applyFont="1" applyFill="1" applyAlignment="1">
      <alignment horizontal="center"/>
    </xf>
    <xf numFmtId="176" fontId="260" fillId="3" borderId="0" xfId="4" applyNumberFormat="1" applyFont="1" applyFill="1" applyAlignment="1">
      <alignment horizontal="center"/>
    </xf>
    <xf numFmtId="176" fontId="251" fillId="35" borderId="0" xfId="0" applyNumberFormat="1" applyFont="1" applyFill="1" applyAlignment="1">
      <alignment horizontal="center"/>
    </xf>
    <xf numFmtId="0" fontId="254" fillId="3" borderId="0" xfId="0" applyFont="1" applyFill="1" applyAlignment="1">
      <alignment horizontal="center"/>
    </xf>
    <xf numFmtId="0" fontId="254" fillId="90" borderId="0" xfId="0" applyFont="1" applyFill="1" applyAlignment="1">
      <alignment horizontal="center"/>
    </xf>
    <xf numFmtId="0" fontId="259" fillId="3" borderId="0" xfId="0" applyFont="1" applyFill="1" applyAlignment="1">
      <alignment horizontal="center"/>
    </xf>
    <xf numFmtId="176" fontId="251" fillId="90" borderId="0" xfId="4" applyNumberFormat="1" applyFont="1" applyFill="1" applyAlignment="1">
      <alignment horizontal="center"/>
    </xf>
    <xf numFmtId="176" fontId="251" fillId="35" borderId="0" xfId="4" applyNumberFormat="1" applyFont="1" applyFill="1" applyAlignment="1">
      <alignment horizontal="center"/>
    </xf>
    <xf numFmtId="173" fontId="259" fillId="3" borderId="0" xfId="0" applyNumberFormat="1" applyFont="1" applyFill="1" applyAlignment="1">
      <alignment horizontal="center"/>
    </xf>
    <xf numFmtId="176" fontId="254" fillId="90" borderId="0" xfId="4" applyNumberFormat="1" applyFont="1" applyFill="1" applyAlignment="1">
      <alignment horizontal="center"/>
    </xf>
    <xf numFmtId="176" fontId="254" fillId="35" borderId="0" xfId="4" applyNumberFormat="1" applyFont="1" applyFill="1" applyAlignment="1">
      <alignment horizontal="center"/>
    </xf>
    <xf numFmtId="176" fontId="251" fillId="3" borderId="0" xfId="4" applyNumberFormat="1" applyFont="1" applyFill="1"/>
    <xf numFmtId="316" fontId="254" fillId="0" borderId="0" xfId="0" applyNumberFormat="1" applyFont="1"/>
    <xf numFmtId="0" fontId="251" fillId="0" borderId="0" xfId="0" applyFont="1" applyAlignment="1">
      <alignment horizontal="left" indent="1"/>
    </xf>
    <xf numFmtId="310" fontId="251" fillId="85" borderId="0" xfId="0" applyNumberFormat="1" applyFont="1" applyFill="1"/>
    <xf numFmtId="312" fontId="251" fillId="0" borderId="0" xfId="0" applyNumberFormat="1" applyFont="1"/>
    <xf numFmtId="307" fontId="251" fillId="85" borderId="0" xfId="0" applyNumberFormat="1" applyFont="1" applyFill="1"/>
    <xf numFmtId="307" fontId="251" fillId="0" borderId="0" xfId="0" applyNumberFormat="1" applyFont="1"/>
    <xf numFmtId="1" fontId="254" fillId="0" borderId="76" xfId="0" applyNumberFormat="1" applyFont="1" applyBorder="1"/>
    <xf numFmtId="0" fontId="254" fillId="0" borderId="76" xfId="0" applyFont="1" applyBorder="1"/>
    <xf numFmtId="1" fontId="254" fillId="85" borderId="76" xfId="0" applyNumberFormat="1" applyFont="1" applyFill="1" applyBorder="1"/>
    <xf numFmtId="312" fontId="254" fillId="0" borderId="76" xfId="0" applyNumberFormat="1" applyFont="1" applyBorder="1"/>
    <xf numFmtId="0" fontId="254" fillId="0" borderId="67" xfId="0" applyFont="1" applyBorder="1" applyAlignment="1">
      <alignment horizontal="centerContinuous"/>
    </xf>
    <xf numFmtId="318" fontId="258" fillId="0" borderId="0" xfId="4" applyNumberFormat="1" applyFont="1" applyBorder="1"/>
    <xf numFmtId="312" fontId="251" fillId="87" borderId="0" xfId="4" applyNumberFormat="1" applyFont="1" applyFill="1" applyBorder="1"/>
    <xf numFmtId="312" fontId="251" fillId="0" borderId="0" xfId="4" applyNumberFormat="1" applyFont="1" applyBorder="1"/>
    <xf numFmtId="310" fontId="258" fillId="0" borderId="0" xfId="0" applyNumberFormat="1" applyFont="1"/>
    <xf numFmtId="310" fontId="258" fillId="87" borderId="0" xfId="0" applyNumberFormat="1" applyFont="1" applyFill="1"/>
    <xf numFmtId="0" fontId="254" fillId="0" borderId="77" xfId="0" applyFont="1" applyBorder="1"/>
    <xf numFmtId="310" fontId="254" fillId="0" borderId="67" xfId="0" applyNumberFormat="1" applyFont="1" applyBorder="1"/>
    <xf numFmtId="310" fontId="254" fillId="0" borderId="77" xfId="0" applyNumberFormat="1" applyFont="1" applyBorder="1"/>
    <xf numFmtId="310" fontId="261" fillId="0" borderId="77" xfId="0" applyNumberFormat="1" applyFont="1" applyBorder="1"/>
    <xf numFmtId="0" fontId="262" fillId="87" borderId="0" xfId="0" applyFont="1" applyFill="1"/>
    <xf numFmtId="0" fontId="254" fillId="0" borderId="0" xfId="0" applyFont="1" applyAlignment="1">
      <alignment horizontal="center"/>
    </xf>
    <xf numFmtId="0" fontId="254" fillId="0" borderId="0" xfId="0" applyFont="1" applyAlignment="1">
      <alignment horizontal="right"/>
    </xf>
    <xf numFmtId="0" fontId="254" fillId="0" borderId="77" xfId="0" applyFont="1" applyBorder="1" applyAlignment="1">
      <alignment horizontal="right"/>
    </xf>
    <xf numFmtId="0" fontId="251" fillId="0" borderId="77" xfId="0" applyFont="1" applyBorder="1"/>
    <xf numFmtId="1" fontId="251" fillId="87" borderId="76" xfId="0" applyNumberFormat="1" applyFont="1" applyFill="1" applyBorder="1"/>
    <xf numFmtId="176" fontId="251" fillId="87" borderId="76" xfId="0" applyNumberFormat="1" applyFont="1" applyFill="1" applyBorder="1"/>
    <xf numFmtId="9" fontId="251" fillId="87" borderId="76" xfId="0" applyNumberFormat="1" applyFont="1" applyFill="1" applyBorder="1"/>
    <xf numFmtId="9" fontId="251" fillId="87" borderId="0" xfId="0" applyNumberFormat="1" applyFont="1" applyFill="1"/>
    <xf numFmtId="1" fontId="254" fillId="87" borderId="0" xfId="0" applyNumberFormat="1" applyFont="1" applyFill="1"/>
    <xf numFmtId="176" fontId="254" fillId="87" borderId="0" xfId="0" applyNumberFormat="1" applyFont="1" applyFill="1"/>
    <xf numFmtId="9" fontId="254" fillId="87" borderId="0" xfId="0" applyNumberFormat="1" applyFont="1" applyFill="1"/>
    <xf numFmtId="3" fontId="254" fillId="87" borderId="0" xfId="0" applyNumberFormat="1" applyFont="1" applyFill="1"/>
    <xf numFmtId="176" fontId="251" fillId="0" borderId="77" xfId="0" applyNumberFormat="1" applyFont="1" applyBorder="1"/>
    <xf numFmtId="11" fontId="254" fillId="0" borderId="0" xfId="0" applyNumberFormat="1" applyFont="1" applyAlignment="1">
      <alignment horizontal="right"/>
    </xf>
    <xf numFmtId="0" fontId="254" fillId="0" borderId="67" xfId="0" applyFont="1" applyBorder="1" applyAlignment="1">
      <alignment horizontal="center" vertical="center" wrapText="1"/>
    </xf>
    <xf numFmtId="310" fontId="251" fillId="3" borderId="0" xfId="0" applyNumberFormat="1" applyFont="1" applyFill="1"/>
    <xf numFmtId="310" fontId="254" fillId="3" borderId="76" xfId="0" applyNumberFormat="1" applyFont="1" applyFill="1" applyBorder="1"/>
    <xf numFmtId="318" fontId="258" fillId="87" borderId="77" xfId="4" applyNumberFormat="1" applyFont="1" applyFill="1" applyBorder="1"/>
    <xf numFmtId="180" fontId="251" fillId="3" borderId="0" xfId="0" applyNumberFormat="1" applyFont="1" applyFill="1"/>
    <xf numFmtId="9" fontId="11" fillId="0" borderId="0" xfId="0" applyNumberFormat="1" applyFont="1" applyAlignment="1">
      <alignment vertical="center"/>
    </xf>
    <xf numFmtId="0" fontId="1" fillId="0" borderId="0" xfId="0" quotePrefix="1" applyFont="1"/>
    <xf numFmtId="1" fontId="254" fillId="0" borderId="77" xfId="0" applyNumberFormat="1" applyFont="1" applyBorder="1"/>
    <xf numFmtId="0" fontId="258" fillId="87" borderId="0" xfId="0" applyFont="1" applyFill="1"/>
    <xf numFmtId="180" fontId="258" fillId="87" borderId="0" xfId="0" applyNumberFormat="1" applyFont="1" applyFill="1"/>
    <xf numFmtId="0" fontId="263" fillId="0" borderId="0" xfId="0" applyFont="1"/>
    <xf numFmtId="318" fontId="251" fillId="0" borderId="0" xfId="0" applyNumberFormat="1" applyFont="1"/>
    <xf numFmtId="318" fontId="251" fillId="87" borderId="0" xfId="0" applyNumberFormat="1" applyFont="1" applyFill="1"/>
    <xf numFmtId="0" fontId="251" fillId="94" borderId="0" xfId="0" applyFont="1" applyFill="1"/>
    <xf numFmtId="310" fontId="251" fillId="94" borderId="0" xfId="0" applyNumberFormat="1" applyFont="1" applyFill="1"/>
    <xf numFmtId="310" fontId="254" fillId="0" borderId="67" xfId="0" applyNumberFormat="1" applyFont="1" applyBorder="1" applyAlignment="1">
      <alignment horizontal="right"/>
    </xf>
    <xf numFmtId="0" fontId="251" fillId="0" borderId="0" xfId="0" quotePrefix="1" applyFont="1"/>
    <xf numFmtId="3" fontId="251" fillId="0" borderId="0" xfId="0" applyNumberFormat="1" applyFont="1"/>
    <xf numFmtId="3" fontId="251" fillId="87" borderId="76" xfId="0" applyNumberFormat="1" applyFont="1" applyFill="1" applyBorder="1"/>
    <xf numFmtId="176" fontId="11" fillId="0" borderId="76" xfId="4" applyNumberFormat="1" applyFont="1" applyBorder="1" applyAlignment="1">
      <alignment horizontal="right"/>
    </xf>
    <xf numFmtId="0" fontId="258" fillId="3" borderId="0" xfId="0" applyFont="1" applyFill="1" applyAlignment="1">
      <alignment horizontal="left" indent="1"/>
    </xf>
    <xf numFmtId="312" fontId="258" fillId="3" borderId="0" xfId="0" applyNumberFormat="1" applyFont="1" applyFill="1"/>
    <xf numFmtId="0" fontId="258" fillId="3" borderId="77" xfId="0" applyFont="1" applyFill="1" applyBorder="1" applyAlignment="1">
      <alignment horizontal="left" indent="1"/>
    </xf>
    <xf numFmtId="312" fontId="258" fillId="3" borderId="77" xfId="0" applyNumberFormat="1" applyFont="1" applyFill="1" applyBorder="1"/>
    <xf numFmtId="310" fontId="254" fillId="3" borderId="0" xfId="0" applyNumberFormat="1" applyFont="1" applyFill="1"/>
    <xf numFmtId="9" fontId="17" fillId="0" borderId="0" xfId="0" applyNumberFormat="1" applyFont="1"/>
    <xf numFmtId="261" fontId="12" fillId="0" borderId="0" xfId="2379" applyNumberFormat="1" applyFont="1"/>
    <xf numFmtId="176" fontId="12" fillId="0" borderId="0" xfId="2379" applyNumberFormat="1" applyFont="1"/>
    <xf numFmtId="43" fontId="12" fillId="0" borderId="0" xfId="2379" applyFont="1" applyFill="1"/>
    <xf numFmtId="0" fontId="252" fillId="0" borderId="67" xfId="2388" applyFont="1" applyBorder="1"/>
    <xf numFmtId="0" fontId="251" fillId="0" borderId="0" xfId="2390" applyFont="1"/>
    <xf numFmtId="0" fontId="251" fillId="0" borderId="77" xfId="2390" applyFont="1" applyBorder="1"/>
    <xf numFmtId="0" fontId="254" fillId="0" borderId="0" xfId="2390" applyFont="1"/>
    <xf numFmtId="179" fontId="253" fillId="73" borderId="0" xfId="2374" applyNumberFormat="1" applyFont="1" applyFill="1"/>
    <xf numFmtId="261" fontId="253" fillId="73" borderId="0" xfId="2374" applyNumberFormat="1" applyFont="1" applyFill="1"/>
    <xf numFmtId="9" fontId="12" fillId="0" borderId="0" xfId="2379" applyNumberFormat="1" applyFont="1"/>
    <xf numFmtId="0" fontId="17" fillId="0" borderId="0" xfId="0" applyFont="1" applyAlignment="1">
      <alignment horizontal="right"/>
    </xf>
    <xf numFmtId="1" fontId="2" fillId="0" borderId="28" xfId="0" applyNumberFormat="1" applyFont="1" applyBorder="1"/>
    <xf numFmtId="261" fontId="2" fillId="87" borderId="0" xfId="2379" applyNumberFormat="1" applyFont="1" applyFill="1"/>
    <xf numFmtId="186" fontId="3" fillId="0" borderId="0" xfId="2379" applyNumberFormat="1" applyFont="1" applyFill="1"/>
    <xf numFmtId="186" fontId="19" fillId="0" borderId="0" xfId="2379" applyNumberFormat="1" applyFont="1" applyFill="1" applyAlignment="1">
      <alignment vertical="center"/>
    </xf>
    <xf numFmtId="176" fontId="17" fillId="0" borderId="0" xfId="0" applyNumberFormat="1" applyFont="1"/>
    <xf numFmtId="176" fontId="222" fillId="0" borderId="0" xfId="0" applyNumberFormat="1" applyFont="1"/>
    <xf numFmtId="310" fontId="17" fillId="85" borderId="0" xfId="0" applyNumberFormat="1" applyFont="1" applyFill="1"/>
    <xf numFmtId="1" fontId="2" fillId="0" borderId="77" xfId="0" applyNumberFormat="1" applyFont="1" applyBorder="1"/>
    <xf numFmtId="9" fontId="2" fillId="85" borderId="0" xfId="0" applyNumberFormat="1" applyFont="1" applyFill="1"/>
    <xf numFmtId="0" fontId="251" fillId="3" borderId="67" xfId="0" applyFont="1" applyFill="1" applyBorder="1"/>
    <xf numFmtId="0" fontId="254" fillId="3" borderId="67" xfId="0" applyFont="1" applyFill="1" applyBorder="1" applyAlignment="1">
      <alignment horizontal="right"/>
    </xf>
    <xf numFmtId="0" fontId="251" fillId="3" borderId="76" xfId="0" applyFont="1" applyFill="1" applyBorder="1"/>
    <xf numFmtId="3" fontId="251" fillId="3" borderId="76" xfId="0" applyNumberFormat="1" applyFont="1" applyFill="1" applyBorder="1"/>
    <xf numFmtId="3" fontId="251" fillId="3" borderId="77" xfId="0" applyNumberFormat="1" applyFont="1" applyFill="1" applyBorder="1"/>
    <xf numFmtId="3" fontId="254" fillId="3" borderId="0" xfId="0" applyNumberFormat="1" applyFont="1" applyFill="1"/>
    <xf numFmtId="173" fontId="251" fillId="3" borderId="0" xfId="0" applyNumberFormat="1" applyFont="1" applyFill="1"/>
    <xf numFmtId="0" fontId="266" fillId="3" borderId="0" xfId="0" applyFont="1" applyFill="1"/>
    <xf numFmtId="3" fontId="254" fillId="3" borderId="77" xfId="0" applyNumberFormat="1" applyFont="1" applyFill="1" applyBorder="1"/>
    <xf numFmtId="9" fontId="2" fillId="0" borderId="0" xfId="2379" applyNumberFormat="1" applyFont="1"/>
    <xf numFmtId="311" fontId="222" fillId="85" borderId="0" xfId="0" applyNumberFormat="1" applyFont="1" applyFill="1"/>
    <xf numFmtId="0" fontId="1" fillId="0" borderId="77" xfId="0" applyFont="1" applyBorder="1"/>
    <xf numFmtId="261" fontId="17" fillId="0" borderId="0" xfId="0" applyNumberFormat="1" applyFont="1"/>
    <xf numFmtId="180" fontId="2" fillId="0" borderId="0" xfId="0" applyNumberFormat="1" applyFont="1"/>
    <xf numFmtId="9" fontId="251" fillId="0" borderId="77" xfId="0" applyNumberFormat="1" applyFont="1" applyBorder="1"/>
    <xf numFmtId="3" fontId="251" fillId="0" borderId="76" xfId="0" applyNumberFormat="1" applyFont="1" applyBorder="1"/>
    <xf numFmtId="9" fontId="254" fillId="0" borderId="0" xfId="0" applyNumberFormat="1" applyFont="1"/>
    <xf numFmtId="3" fontId="254" fillId="0" borderId="0" xfId="0" applyNumberFormat="1" applyFont="1"/>
    <xf numFmtId="3" fontId="251" fillId="0" borderId="77" xfId="0" applyNumberFormat="1" applyFont="1" applyBorder="1"/>
    <xf numFmtId="173" fontId="251" fillId="0" borderId="76" xfId="0" applyNumberFormat="1" applyFont="1" applyBorder="1"/>
    <xf numFmtId="3" fontId="254" fillId="0" borderId="77" xfId="0" applyNumberFormat="1" applyFont="1" applyBorder="1"/>
    <xf numFmtId="0" fontId="262" fillId="0" borderId="76" xfId="0" applyFont="1" applyBorder="1"/>
    <xf numFmtId="1" fontId="251" fillId="0" borderId="77" xfId="0" applyNumberFormat="1" applyFont="1" applyBorder="1"/>
    <xf numFmtId="310" fontId="1" fillId="85" borderId="0" xfId="0" applyNumberFormat="1" applyFont="1" applyFill="1"/>
    <xf numFmtId="180" fontId="254" fillId="0" borderId="0" xfId="0" applyNumberFormat="1" applyFont="1"/>
    <xf numFmtId="3" fontId="209" fillId="85" borderId="0" xfId="0" applyNumberFormat="1" applyFont="1" applyFill="1"/>
    <xf numFmtId="3" fontId="222" fillId="0" borderId="0" xfId="0" applyNumberFormat="1" applyFont="1"/>
    <xf numFmtId="9" fontId="222" fillId="85" borderId="0" xfId="0" applyNumberFormat="1" applyFont="1" applyFill="1"/>
    <xf numFmtId="0" fontId="250" fillId="3" borderId="67" xfId="0" applyFont="1" applyFill="1" applyBorder="1" applyAlignment="1">
      <alignment horizontal="right"/>
    </xf>
    <xf numFmtId="1" fontId="251" fillId="0" borderId="76" xfId="0" applyNumberFormat="1" applyFont="1" applyBorder="1"/>
    <xf numFmtId="180" fontId="251" fillId="0" borderId="0" xfId="0" applyNumberFormat="1" applyFont="1"/>
    <xf numFmtId="9" fontId="254" fillId="0" borderId="77" xfId="0" applyNumberFormat="1" applyFont="1" applyBorder="1"/>
    <xf numFmtId="319" fontId="251" fillId="0" borderId="0" xfId="0" applyNumberFormat="1" applyFont="1"/>
    <xf numFmtId="9" fontId="3" fillId="0" borderId="0" xfId="0" applyNumberFormat="1" applyFont="1"/>
    <xf numFmtId="9" fontId="257" fillId="0" borderId="45" xfId="0" applyNumberFormat="1" applyFont="1" applyBorder="1"/>
    <xf numFmtId="0" fontId="257" fillId="3" borderId="0" xfId="0" applyFont="1" applyFill="1" applyAlignment="1">
      <alignment horizontal="left"/>
    </xf>
    <xf numFmtId="312" fontId="264" fillId="3" borderId="0" xfId="0" applyNumberFormat="1" applyFont="1" applyFill="1"/>
    <xf numFmtId="310" fontId="257" fillId="3" borderId="0" xfId="0" applyNumberFormat="1" applyFont="1" applyFill="1"/>
    <xf numFmtId="0" fontId="257" fillId="3" borderId="0" xfId="0" applyFont="1" applyFill="1"/>
    <xf numFmtId="0" fontId="257" fillId="3" borderId="77" xfId="0" applyFont="1" applyFill="1" applyBorder="1"/>
    <xf numFmtId="310" fontId="257" fillId="3" borderId="77" xfId="0" applyNumberFormat="1" applyFont="1" applyFill="1" applyBorder="1"/>
    <xf numFmtId="9" fontId="222" fillId="0" borderId="0" xfId="4" quotePrefix="1" applyFont="1"/>
    <xf numFmtId="9" fontId="266" fillId="0" borderId="45" xfId="0" applyNumberFormat="1" applyFont="1" applyBorder="1"/>
    <xf numFmtId="0" fontId="254" fillId="3" borderId="76" xfId="0" applyFont="1" applyFill="1" applyBorder="1"/>
    <xf numFmtId="0" fontId="267" fillId="3" borderId="0" xfId="0" applyFont="1" applyFill="1" applyAlignment="1">
      <alignment horizontal="left"/>
    </xf>
    <xf numFmtId="312" fontId="267" fillId="3" borderId="0" xfId="0" applyNumberFormat="1" applyFont="1" applyFill="1"/>
    <xf numFmtId="9" fontId="267" fillId="3" borderId="0" xfId="0" applyNumberFormat="1" applyFont="1" applyFill="1"/>
    <xf numFmtId="9" fontId="266" fillId="0" borderId="84" xfId="0" applyNumberFormat="1" applyFont="1" applyBorder="1"/>
    <xf numFmtId="9" fontId="266" fillId="0" borderId="36" xfId="0" applyNumberFormat="1" applyFont="1" applyBorder="1"/>
    <xf numFmtId="9" fontId="266" fillId="0" borderId="85" xfId="0" applyNumberFormat="1" applyFont="1" applyBorder="1"/>
    <xf numFmtId="3" fontId="257" fillId="0" borderId="0" xfId="0" applyNumberFormat="1" applyFont="1"/>
    <xf numFmtId="0" fontId="266" fillId="0" borderId="0" xfId="0" applyFont="1"/>
    <xf numFmtId="3" fontId="266" fillId="0" borderId="0" xfId="0" applyNumberFormat="1" applyFont="1"/>
    <xf numFmtId="180" fontId="266" fillId="0" borderId="0" xfId="0" applyNumberFormat="1" applyFont="1"/>
    <xf numFmtId="176" fontId="254" fillId="0" borderId="0" xfId="0" applyNumberFormat="1" applyFont="1"/>
    <xf numFmtId="180" fontId="257" fillId="0" borderId="0" xfId="0" applyNumberFormat="1" applyFont="1"/>
    <xf numFmtId="3" fontId="266" fillId="0" borderId="77" xfId="0" applyNumberFormat="1" applyFont="1" applyBorder="1"/>
    <xf numFmtId="3" fontId="251" fillId="87" borderId="0" xfId="0" applyNumberFormat="1" applyFont="1" applyFill="1"/>
    <xf numFmtId="0" fontId="254" fillId="87" borderId="77" xfId="0" applyFont="1" applyFill="1" applyBorder="1"/>
    <xf numFmtId="180" fontId="254" fillId="87" borderId="77" xfId="0" applyNumberFormat="1" applyFont="1" applyFill="1" applyBorder="1"/>
    <xf numFmtId="320" fontId="0" fillId="0" borderId="0" xfId="0" applyNumberFormat="1"/>
    <xf numFmtId="0" fontId="0" fillId="0" borderId="0" xfId="0" applyAlignment="1">
      <alignment horizontal="right"/>
    </xf>
    <xf numFmtId="321" fontId="0" fillId="0" borderId="0" xfId="0" applyNumberFormat="1"/>
    <xf numFmtId="0" fontId="5" fillId="0" borderId="0" xfId="0" applyFont="1"/>
    <xf numFmtId="0" fontId="268" fillId="0" borderId="0" xfId="0" applyFont="1"/>
    <xf numFmtId="312" fontId="0" fillId="0" borderId="0" xfId="0" applyNumberFormat="1"/>
    <xf numFmtId="310" fontId="247" fillId="0" borderId="0" xfId="0" applyNumberFormat="1" applyFont="1" applyAlignment="1">
      <alignment horizontal="right"/>
    </xf>
    <xf numFmtId="310" fontId="248" fillId="87" borderId="76" xfId="0" applyNumberFormat="1" applyFont="1" applyFill="1" applyBorder="1" applyAlignment="1">
      <alignment horizontal="right"/>
    </xf>
    <xf numFmtId="261" fontId="0" fillId="87" borderId="0" xfId="2379" applyNumberFormat="1" applyFont="1" applyFill="1"/>
    <xf numFmtId="0" fontId="254" fillId="87" borderId="0" xfId="0" quotePrefix="1" applyFont="1" applyFill="1"/>
    <xf numFmtId="3" fontId="258" fillId="0" borderId="0" xfId="0" applyNumberFormat="1" applyFont="1"/>
    <xf numFmtId="3" fontId="258" fillId="87" borderId="0" xfId="0" applyNumberFormat="1" applyFont="1" applyFill="1"/>
    <xf numFmtId="176" fontId="268" fillId="0" borderId="0" xfId="2379" applyNumberFormat="1" applyFont="1" applyFill="1" applyBorder="1"/>
    <xf numFmtId="310" fontId="248" fillId="87" borderId="77" xfId="0" applyNumberFormat="1" applyFont="1" applyFill="1" applyBorder="1" applyAlignment="1">
      <alignment horizontal="right"/>
    </xf>
    <xf numFmtId="0" fontId="0" fillId="87" borderId="0" xfId="0" applyFill="1"/>
    <xf numFmtId="186" fontId="2" fillId="0" borderId="0" xfId="2379" applyNumberFormat="1" applyFont="1"/>
    <xf numFmtId="1" fontId="257" fillId="3" borderId="0" xfId="0" applyNumberFormat="1" applyFont="1" applyFill="1"/>
    <xf numFmtId="3" fontId="2" fillId="0" borderId="0" xfId="4" applyNumberFormat="1" applyFont="1"/>
    <xf numFmtId="313" fontId="3" fillId="3" borderId="0" xfId="0" applyNumberFormat="1" applyFont="1" applyFill="1" applyAlignment="1">
      <alignment vertical="center"/>
    </xf>
    <xf numFmtId="180" fontId="2" fillId="85" borderId="0" xfId="0" applyNumberFormat="1" applyFont="1" applyFill="1"/>
    <xf numFmtId="3" fontId="257" fillId="3" borderId="77" xfId="0" applyNumberFormat="1" applyFont="1" applyFill="1" applyBorder="1"/>
    <xf numFmtId="9" fontId="2" fillId="87" borderId="0" xfId="0" applyNumberFormat="1" applyFont="1" applyFill="1"/>
    <xf numFmtId="9" fontId="2" fillId="85" borderId="0" xfId="2379" applyNumberFormat="1" applyFont="1" applyFill="1"/>
    <xf numFmtId="9" fontId="17" fillId="0" borderId="0" xfId="2379" applyNumberFormat="1" applyFont="1"/>
    <xf numFmtId="43" fontId="2" fillId="0" borderId="0" xfId="0" applyNumberFormat="1" applyFont="1"/>
    <xf numFmtId="0" fontId="258" fillId="0" borderId="0" xfId="0" quotePrefix="1" applyFont="1"/>
    <xf numFmtId="9" fontId="258" fillId="0" borderId="0" xfId="0" applyNumberFormat="1" applyFont="1"/>
    <xf numFmtId="0" fontId="258" fillId="0" borderId="77" xfId="0" applyFont="1" applyBorder="1"/>
    <xf numFmtId="9" fontId="261" fillId="0" borderId="77" xfId="0" applyNumberFormat="1" applyFont="1" applyBorder="1"/>
    <xf numFmtId="9" fontId="258" fillId="0" borderId="77" xfId="0" applyNumberFormat="1" applyFont="1" applyBorder="1"/>
    <xf numFmtId="9" fontId="264" fillId="0" borderId="86" xfId="0" applyNumberFormat="1" applyFont="1" applyBorder="1"/>
    <xf numFmtId="9" fontId="264" fillId="0" borderId="87" xfId="0" applyNumberFormat="1" applyFont="1" applyBorder="1"/>
    <xf numFmtId="176" fontId="257" fillId="0" borderId="84" xfId="0" applyNumberFormat="1" applyFont="1" applyBorder="1"/>
    <xf numFmtId="176" fontId="257" fillId="0" borderId="36" xfId="0" applyNumberFormat="1" applyFont="1" applyBorder="1"/>
    <xf numFmtId="176" fontId="257" fillId="0" borderId="85" xfId="0" applyNumberFormat="1" applyFont="1" applyBorder="1"/>
    <xf numFmtId="0" fontId="262" fillId="0" borderId="0" xfId="0" applyFont="1"/>
    <xf numFmtId="173" fontId="254" fillId="0" borderId="77" xfId="0" applyNumberFormat="1" applyFont="1" applyBorder="1"/>
    <xf numFmtId="9" fontId="251" fillId="0" borderId="0" xfId="0" applyNumberFormat="1" applyFont="1" applyAlignment="1">
      <alignment horizontal="right"/>
    </xf>
    <xf numFmtId="1" fontId="258" fillId="0" borderId="0" xfId="0" applyNumberFormat="1" applyFont="1"/>
    <xf numFmtId="0" fontId="258" fillId="0" borderId="77" xfId="0" quotePrefix="1" applyFont="1" applyBorder="1"/>
    <xf numFmtId="3" fontId="258" fillId="0" borderId="77" xfId="0" applyNumberFormat="1" applyFont="1" applyBorder="1"/>
    <xf numFmtId="3" fontId="257" fillId="0" borderId="16" xfId="0" applyNumberFormat="1" applyFont="1" applyBorder="1"/>
    <xf numFmtId="3" fontId="257" fillId="0" borderId="67" xfId="0" applyNumberFormat="1" applyFont="1" applyBorder="1"/>
    <xf numFmtId="3" fontId="257" fillId="0" borderId="75" xfId="0" applyNumberFormat="1" applyFont="1" applyBorder="1"/>
    <xf numFmtId="0" fontId="264" fillId="0" borderId="0" xfId="0" applyFont="1"/>
    <xf numFmtId="176" fontId="264" fillId="0" borderId="0" xfId="0" applyNumberFormat="1" applyFont="1"/>
    <xf numFmtId="310" fontId="249" fillId="3" borderId="0" xfId="2388" applyNumberFormat="1" applyFont="1" applyFill="1"/>
    <xf numFmtId="0" fontId="269" fillId="3" borderId="0" xfId="0" applyFont="1" applyFill="1"/>
    <xf numFmtId="0" fontId="269" fillId="0" borderId="77" xfId="0" applyFont="1" applyBorder="1"/>
    <xf numFmtId="0" fontId="270" fillId="87" borderId="0" xfId="0" applyFont="1" applyFill="1"/>
    <xf numFmtId="0" fontId="270" fillId="3" borderId="0" xfId="0" applyFont="1" applyFill="1"/>
    <xf numFmtId="0" fontId="270" fillId="87" borderId="77" xfId="0" applyFont="1" applyFill="1" applyBorder="1"/>
    <xf numFmtId="0" fontId="270" fillId="3" borderId="77" xfId="0" applyFont="1" applyFill="1" applyBorder="1"/>
    <xf numFmtId="0" fontId="269" fillId="87" borderId="0" xfId="0" applyFont="1" applyFill="1"/>
    <xf numFmtId="176" fontId="271" fillId="87" borderId="0" xfId="2232" applyNumberFormat="1" applyFont="1" applyFill="1"/>
    <xf numFmtId="176" fontId="271" fillId="3" borderId="0" xfId="1438" applyNumberFormat="1" applyFont="1" applyFill="1"/>
    <xf numFmtId="186" fontId="271" fillId="87" borderId="0" xfId="1438" applyNumberFormat="1" applyFont="1" applyFill="1"/>
    <xf numFmtId="261" fontId="271" fillId="3" borderId="0" xfId="1438" applyNumberFormat="1" applyFont="1" applyFill="1"/>
    <xf numFmtId="261" fontId="271" fillId="87" borderId="0" xfId="1438" applyNumberFormat="1" applyFont="1" applyFill="1"/>
    <xf numFmtId="261" fontId="271" fillId="3" borderId="0" xfId="1438" applyNumberFormat="1" applyFont="1" applyFill="1" applyBorder="1"/>
    <xf numFmtId="261" fontId="271" fillId="87" borderId="77" xfId="1438" applyNumberFormat="1" applyFont="1" applyFill="1" applyBorder="1"/>
    <xf numFmtId="261" fontId="272" fillId="3" borderId="0" xfId="2232" applyNumberFormat="1" applyFont="1" applyFill="1"/>
    <xf numFmtId="310" fontId="271" fillId="87" borderId="0" xfId="0" applyNumberFormat="1" applyFont="1" applyFill="1"/>
    <xf numFmtId="310" fontId="271" fillId="3" borderId="77" xfId="0" applyNumberFormat="1" applyFont="1" applyFill="1" applyBorder="1"/>
    <xf numFmtId="310" fontId="272" fillId="87" borderId="0" xfId="0" applyNumberFormat="1" applyFont="1" applyFill="1"/>
    <xf numFmtId="9" fontId="270" fillId="3" borderId="0" xfId="0" applyNumberFormat="1" applyFont="1" applyFill="1"/>
    <xf numFmtId="310" fontId="271" fillId="87" borderId="0" xfId="2388" applyNumberFormat="1" applyFont="1" applyFill="1"/>
    <xf numFmtId="9" fontId="269" fillId="3" borderId="45" xfId="0" applyNumberFormat="1" applyFont="1" applyFill="1" applyBorder="1"/>
    <xf numFmtId="3" fontId="246" fillId="0" borderId="0" xfId="0" applyNumberFormat="1" applyFont="1" applyAlignment="1">
      <alignment horizontal="right"/>
    </xf>
    <xf numFmtId="1" fontId="246" fillId="93" borderId="77" xfId="0" applyNumberFormat="1" applyFont="1" applyFill="1" applyBorder="1" applyAlignment="1">
      <alignment horizontal="right"/>
    </xf>
    <xf numFmtId="1" fontId="19" fillId="0" borderId="0" xfId="0" applyNumberFormat="1" applyFont="1"/>
    <xf numFmtId="3" fontId="19" fillId="0" borderId="0" xfId="0" applyNumberFormat="1" applyFont="1"/>
    <xf numFmtId="261" fontId="19" fillId="0" borderId="0" xfId="2379" applyNumberFormat="1" applyFont="1"/>
    <xf numFmtId="289" fontId="3" fillId="0" borderId="0" xfId="0" applyNumberFormat="1" applyFont="1"/>
    <xf numFmtId="173" fontId="251" fillId="87" borderId="0" xfId="0" applyNumberFormat="1" applyFont="1" applyFill="1"/>
    <xf numFmtId="0" fontId="261" fillId="87" borderId="77" xfId="0" applyFont="1" applyFill="1" applyBorder="1"/>
    <xf numFmtId="1" fontId="261" fillId="87" borderId="77" xfId="0" applyNumberFormat="1" applyFont="1" applyFill="1" applyBorder="1"/>
    <xf numFmtId="0" fontId="0" fillId="0" borderId="0" xfId="0" quotePrefix="1"/>
    <xf numFmtId="0" fontId="0" fillId="0" borderId="67" xfId="0" applyBorder="1"/>
    <xf numFmtId="0" fontId="5" fillId="0" borderId="67" xfId="0" applyFont="1" applyBorder="1" applyAlignment="1">
      <alignment horizontal="right"/>
    </xf>
    <xf numFmtId="1" fontId="3" fillId="0" borderId="0" xfId="0" applyNumberFormat="1" applyFont="1"/>
    <xf numFmtId="0" fontId="248" fillId="3" borderId="0" xfId="0" applyFont="1" applyFill="1" applyAlignment="1">
      <alignment horizontal="right"/>
    </xf>
    <xf numFmtId="0" fontId="247" fillId="87" borderId="77" xfId="0" applyFont="1" applyFill="1" applyBorder="1"/>
    <xf numFmtId="0" fontId="0" fillId="87" borderId="77" xfId="0" applyFill="1" applyBorder="1"/>
    <xf numFmtId="317" fontId="248" fillId="87" borderId="77" xfId="0" applyNumberFormat="1" applyFont="1" applyFill="1" applyBorder="1" applyAlignment="1">
      <alignment horizontal="right"/>
    </xf>
    <xf numFmtId="1" fontId="3" fillId="89" borderId="0" xfId="0" applyNumberFormat="1" applyFont="1" applyFill="1"/>
    <xf numFmtId="261" fontId="209" fillId="85" borderId="0" xfId="2379" applyNumberFormat="1" applyFont="1" applyFill="1"/>
    <xf numFmtId="9" fontId="254" fillId="87" borderId="77" xfId="0" applyNumberFormat="1" applyFont="1" applyFill="1" applyBorder="1"/>
    <xf numFmtId="0" fontId="251" fillId="0" borderId="67" xfId="0" applyFont="1" applyBorder="1"/>
    <xf numFmtId="0" fontId="254" fillId="0" borderId="75" xfId="0" applyFont="1" applyBorder="1" applyAlignment="1">
      <alignment horizontal="right"/>
    </xf>
    <xf numFmtId="3" fontId="251" fillId="87" borderId="80" xfId="0" applyNumberFormat="1" applyFont="1" applyFill="1" applyBorder="1"/>
    <xf numFmtId="3" fontId="251" fillId="0" borderId="31" xfId="0" applyNumberFormat="1" applyFont="1" applyBorder="1"/>
    <xf numFmtId="3" fontId="254" fillId="87" borderId="31" xfId="0" applyNumberFormat="1" applyFont="1" applyFill="1" applyBorder="1"/>
    <xf numFmtId="0" fontId="251" fillId="0" borderId="31" xfId="0" applyFont="1" applyBorder="1"/>
    <xf numFmtId="173" fontId="251" fillId="87" borderId="31" xfId="0" applyNumberFormat="1" applyFont="1" applyFill="1" applyBorder="1"/>
    <xf numFmtId="173" fontId="251" fillId="0" borderId="31" xfId="0" applyNumberFormat="1" applyFont="1" applyBorder="1"/>
    <xf numFmtId="173" fontId="254" fillId="87" borderId="0" xfId="0" applyNumberFormat="1" applyFont="1" applyFill="1"/>
    <xf numFmtId="310" fontId="251" fillId="0" borderId="0" xfId="2389" applyNumberFormat="1" applyFont="1" applyFill="1"/>
    <xf numFmtId="0" fontId="253" fillId="0" borderId="0" xfId="2373" applyFont="1"/>
    <xf numFmtId="0" fontId="253" fillId="0" borderId="0" xfId="2372" applyFont="1"/>
    <xf numFmtId="43" fontId="253" fillId="0" borderId="0" xfId="2372" applyNumberFormat="1" applyFont="1"/>
    <xf numFmtId="261" fontId="253" fillId="0" borderId="0" xfId="2374" applyNumberFormat="1" applyFont="1" applyFill="1"/>
    <xf numFmtId="0" fontId="267" fillId="0" borderId="0" xfId="2373" applyFont="1"/>
    <xf numFmtId="0" fontId="267" fillId="0" borderId="0" xfId="2372" applyFont="1"/>
    <xf numFmtId="43" fontId="253" fillId="0" borderId="0" xfId="2374" applyFont="1" applyFill="1"/>
    <xf numFmtId="179" fontId="253" fillId="0" borderId="0" xfId="2374" applyNumberFormat="1" applyFont="1" applyFill="1"/>
    <xf numFmtId="181" fontId="253" fillId="0" borderId="0" xfId="2374" applyNumberFormat="1" applyFont="1" applyFill="1"/>
    <xf numFmtId="0" fontId="251" fillId="3" borderId="31" xfId="0" applyFont="1" applyFill="1" applyBorder="1"/>
    <xf numFmtId="173" fontId="251" fillId="3" borderId="31" xfId="0" applyNumberFormat="1" applyFont="1" applyFill="1" applyBorder="1"/>
    <xf numFmtId="9" fontId="254" fillId="0" borderId="31" xfId="0" applyNumberFormat="1" applyFont="1" applyBorder="1"/>
    <xf numFmtId="9" fontId="258" fillId="87" borderId="31" xfId="0" applyNumberFormat="1" applyFont="1" applyFill="1" applyBorder="1"/>
    <xf numFmtId="9" fontId="258" fillId="87" borderId="0" xfId="0" applyNumberFormat="1" applyFont="1" applyFill="1"/>
    <xf numFmtId="0" fontId="254" fillId="3" borderId="78" xfId="0" applyFont="1" applyFill="1" applyBorder="1"/>
    <xf numFmtId="173" fontId="254" fillId="3" borderId="77" xfId="0" applyNumberFormat="1" applyFont="1" applyFill="1" applyBorder="1"/>
    <xf numFmtId="173" fontId="254" fillId="3" borderId="78" xfId="0" applyNumberFormat="1" applyFont="1" applyFill="1" applyBorder="1"/>
    <xf numFmtId="3" fontId="258" fillId="87" borderId="76" xfId="0" applyNumberFormat="1" applyFont="1" applyFill="1" applyBorder="1"/>
    <xf numFmtId="3" fontId="261" fillId="87" borderId="0" xfId="0" applyNumberFormat="1" applyFont="1" applyFill="1"/>
    <xf numFmtId="173" fontId="258" fillId="87" borderId="0" xfId="0" applyNumberFormat="1" applyFont="1" applyFill="1"/>
    <xf numFmtId="173" fontId="258" fillId="0" borderId="0" xfId="0" applyNumberFormat="1" applyFont="1"/>
    <xf numFmtId="9" fontId="261" fillId="0" borderId="0" xfId="0" applyNumberFormat="1" applyFont="1"/>
    <xf numFmtId="0" fontId="258" fillId="3" borderId="0" xfId="0" applyFont="1" applyFill="1"/>
    <xf numFmtId="173" fontId="258" fillId="3" borderId="0" xfId="0" applyNumberFormat="1" applyFont="1" applyFill="1"/>
    <xf numFmtId="173" fontId="261" fillId="3" borderId="77" xfId="0" applyNumberFormat="1" applyFont="1" applyFill="1" applyBorder="1"/>
    <xf numFmtId="0" fontId="251" fillId="87" borderId="0" xfId="0" quotePrefix="1" applyFont="1" applyFill="1"/>
    <xf numFmtId="180" fontId="251" fillId="0" borderId="77" xfId="0" applyNumberFormat="1" applyFont="1" applyBorder="1"/>
    <xf numFmtId="186" fontId="2" fillId="0" borderId="0" xfId="0" applyNumberFormat="1" applyFont="1"/>
    <xf numFmtId="9" fontId="251" fillId="3" borderId="0" xfId="0" applyNumberFormat="1" applyFont="1" applyFill="1"/>
    <xf numFmtId="310" fontId="2" fillId="87" borderId="0" xfId="2379" applyNumberFormat="1" applyFont="1" applyFill="1"/>
    <xf numFmtId="310" fontId="2" fillId="85" borderId="0" xfId="2379" applyNumberFormat="1" applyFont="1" applyFill="1"/>
    <xf numFmtId="310" fontId="2" fillId="0" borderId="0" xfId="2379" applyNumberFormat="1" applyFont="1"/>
    <xf numFmtId="9" fontId="247" fillId="85" borderId="0" xfId="0" applyNumberFormat="1" applyFont="1" applyFill="1"/>
    <xf numFmtId="3" fontId="254" fillId="0" borderId="76" xfId="0" applyNumberFormat="1" applyFont="1" applyBorder="1"/>
    <xf numFmtId="0" fontId="257" fillId="0" borderId="0" xfId="0" applyFont="1"/>
    <xf numFmtId="0" fontId="251" fillId="87" borderId="77" xfId="0" applyFont="1" applyFill="1" applyBorder="1"/>
    <xf numFmtId="3" fontId="254" fillId="87" borderId="77" xfId="0" applyNumberFormat="1" applyFont="1" applyFill="1" applyBorder="1"/>
    <xf numFmtId="3" fontId="251" fillId="87" borderId="77" xfId="0" applyNumberFormat="1" applyFont="1" applyFill="1" applyBorder="1"/>
    <xf numFmtId="0" fontId="254" fillId="0" borderId="67" xfId="0" applyFont="1" applyBorder="1" applyAlignment="1">
      <alignment horizontal="center"/>
    </xf>
    <xf numFmtId="0" fontId="206" fillId="81" borderId="0" xfId="2368" applyFont="1" applyFill="1" applyAlignment="1">
      <alignment horizontal="center"/>
    </xf>
    <xf numFmtId="0" fontId="212" fillId="81" borderId="0" xfId="2368" applyFont="1" applyFill="1" applyAlignment="1">
      <alignment horizontal="center"/>
    </xf>
    <xf numFmtId="3" fontId="251" fillId="0" borderId="0" xfId="0" applyNumberFormat="1" applyFont="1" applyBorder="1"/>
    <xf numFmtId="175" fontId="251" fillId="0" borderId="0" xfId="0" applyNumberFormat="1" applyFont="1"/>
    <xf numFmtId="9" fontId="253" fillId="0" borderId="0" xfId="0" applyNumberFormat="1" applyFont="1" applyBorder="1"/>
    <xf numFmtId="0" fontId="256" fillId="0" borderId="0" xfId="0" applyFont="1" applyBorder="1"/>
    <xf numFmtId="0" fontId="254" fillId="0" borderId="0" xfId="0" applyFont="1" applyBorder="1"/>
    <xf numFmtId="0" fontId="251" fillId="0" borderId="0" xfId="0" applyFont="1" applyBorder="1"/>
    <xf numFmtId="1" fontId="251" fillId="0" borderId="0" xfId="0" applyNumberFormat="1" applyFont="1" applyBorder="1"/>
    <xf numFmtId="0" fontId="257" fillId="0" borderId="0" xfId="0" applyFont="1" applyBorder="1"/>
    <xf numFmtId="1" fontId="257" fillId="0" borderId="0" xfId="0" applyNumberFormat="1" applyFont="1" applyBorder="1"/>
    <xf numFmtId="1" fontId="254" fillId="0" borderId="0" xfId="0" applyNumberFormat="1" applyFont="1" applyBorder="1"/>
    <xf numFmtId="9" fontId="254" fillId="0" borderId="0" xfId="0" applyNumberFormat="1" applyFont="1" applyBorder="1"/>
    <xf numFmtId="175" fontId="266" fillId="0" borderId="0" xfId="0" applyNumberFormat="1" applyFont="1"/>
    <xf numFmtId="180" fontId="254" fillId="3" borderId="0" xfId="0" applyNumberFormat="1" applyFont="1" applyFill="1"/>
    <xf numFmtId="1" fontId="251" fillId="87" borderId="77" xfId="0" applyNumberFormat="1" applyFont="1" applyFill="1" applyBorder="1"/>
    <xf numFmtId="0" fontId="257" fillId="87" borderId="0" xfId="0" applyFont="1" applyFill="1"/>
    <xf numFmtId="9" fontId="257" fillId="87" borderId="0" xfId="0" applyNumberFormat="1" applyFont="1" applyFill="1"/>
    <xf numFmtId="3" fontId="266" fillId="87" borderId="77" xfId="0" applyNumberFormat="1" applyFont="1" applyFill="1" applyBorder="1"/>
    <xf numFmtId="9" fontId="251" fillId="0" borderId="0" xfId="0" applyNumberFormat="1" applyFont="1" applyBorder="1"/>
    <xf numFmtId="0" fontId="251" fillId="87" borderId="0" xfId="0" applyFont="1" applyFill="1" applyBorder="1"/>
    <xf numFmtId="1" fontId="251" fillId="87" borderId="0" xfId="0" applyNumberFormat="1" applyFont="1" applyFill="1" applyBorder="1"/>
    <xf numFmtId="1" fontId="251" fillId="3" borderId="77" xfId="0" applyNumberFormat="1" applyFont="1" applyFill="1" applyBorder="1"/>
    <xf numFmtId="1" fontId="251" fillId="3" borderId="0" xfId="0" applyNumberFormat="1" applyFont="1" applyFill="1"/>
    <xf numFmtId="1" fontId="254" fillId="3" borderId="0" xfId="0" applyNumberFormat="1" applyFont="1" applyFill="1"/>
    <xf numFmtId="180" fontId="257" fillId="3" borderId="77" xfId="0" applyNumberFormat="1" applyFont="1" applyFill="1" applyBorder="1"/>
  </cellXfs>
  <cellStyles count="2391">
    <cellStyle name="%" xfId="1" xr:uid="{00000000-0005-0000-0000-000000000000}"/>
    <cellStyle name="% 2" xfId="5" xr:uid="{00000000-0005-0000-0000-000001000000}"/>
    <cellStyle name="% 2 2" xfId="2368" xr:uid="{00000000-0005-0000-0000-000002000000}"/>
    <cellStyle name="% 2 3" xfId="2380" xr:uid="{00000000-0005-0000-0000-000003000000}"/>
    <cellStyle name="% 2 3 2" xfId="2388" xr:uid="{8B80FE17-F5DA-46DC-B3FB-13EAC5DACE59}"/>
    <cellStyle name="% 6" xfId="2373" xr:uid="{00000000-0005-0000-0000-000004000000}"/>
    <cellStyle name="%??O%??P%??Q%??R%??S%??T%??U%??V%??W%??X%??Y%??Z%??[%??\%??]%??^%??_%??`%??a%?" xfId="7" xr:uid="{00000000-0005-0000-0000-000005000000}"/>
    <cellStyle name="%_2010- Ypso Forecast" xfId="8" xr:uid="{00000000-0005-0000-0000-000006000000}"/>
    <cellStyle name="%_2010- Ypso Forecast_modifDivOp27102010" xfId="9" xr:uid="{00000000-0005-0000-0000-000007000000}"/>
    <cellStyle name="%_B2010 Altice B2B Group 261009" xfId="10" xr:uid="{00000000-0005-0000-0000-000008000000}"/>
    <cellStyle name="%_Budget capex 2010 v1" xfId="11" xr:uid="{00000000-0005-0000-0000-000009000000}"/>
    <cellStyle name="%_Divop NC 2010 Budget" xfId="12" xr:uid="{00000000-0005-0000-0000-00000A000000}"/>
    <cellStyle name="%_MB Darty" xfId="13" xr:uid="{00000000-0005-0000-0000-00000B000000}"/>
    <cellStyle name="%_Monthly Report Template V2 - Carlyle" xfId="14" xr:uid="{00000000-0005-0000-0000-00000C000000}"/>
    <cellStyle name="%_Monthly Report Template V2 - Carlyle_2010- Ypso Forecast" xfId="15" xr:uid="{00000000-0005-0000-0000-00000D000000}"/>
    <cellStyle name="%_Monthly Report Template V2 - Carlyle_2010- Ypso Forecast_modifDivOp27102010" xfId="16" xr:uid="{00000000-0005-0000-0000-00000E000000}"/>
    <cellStyle name="%_Monthly Report Template V2 - Carlyle_MB Darty" xfId="17" xr:uid="{00000000-0005-0000-0000-00000F000000}"/>
    <cellStyle name="%_Monthly Report Template V2 - Carlyle_P&amp;L BELGIUM" xfId="18" xr:uid="{00000000-0005-0000-0000-000010000000}"/>
    <cellStyle name="%_Monthly Report Template V2 - Carlyle_Reforecast 2010 Altice B2B" xfId="19" xr:uid="{00000000-0005-0000-0000-000011000000}"/>
    <cellStyle name="%_Monthly Report Template V2 - Carlyle_Ypso Financial Budget" xfId="20" xr:uid="{00000000-0005-0000-0000-000012000000}"/>
    <cellStyle name="%_Monthly Report Template V2 - Carlyle_Ypso Financial Budget_Xl0000004" xfId="21" xr:uid="{00000000-0005-0000-0000-000013000000}"/>
    <cellStyle name="%_P&amp;L BELGIUM" xfId="22" xr:uid="{00000000-0005-0000-0000-000014000000}"/>
    <cellStyle name="%_P&amp;L DivOp_Reforecast0410_27102010" xfId="23" xr:uid="{00000000-0005-0000-0000-000015000000}"/>
    <cellStyle name="%_Pedro" xfId="24" xr:uid="{00000000-0005-0000-0000-000016000000}"/>
    <cellStyle name="%_Pedro 2" xfId="25" xr:uid="{00000000-0005-0000-0000-000017000000}"/>
    <cellStyle name="%_Reforecast 2010 Altice B2B" xfId="26" xr:uid="{00000000-0005-0000-0000-000018000000}"/>
    <cellStyle name="%_Xl0000004" xfId="27" xr:uid="{00000000-0005-0000-0000-000019000000}"/>
    <cellStyle name="%_Ypso Financial Budget" xfId="28" xr:uid="{00000000-0005-0000-0000-00001A000000}"/>
    <cellStyle name="%0" xfId="29" xr:uid="{00000000-0005-0000-0000-00001B000000}"/>
    <cellStyle name="%1" xfId="30" xr:uid="{00000000-0005-0000-0000-00001C000000}"/>
    <cellStyle name="%2" xfId="31" xr:uid="{00000000-0005-0000-0000-00001D000000}"/>
    <cellStyle name="?_x0001__x0017_?°_x0001_ÿÿÿ?ÿÿÿ??" xfId="32" xr:uid="{00000000-0005-0000-0000-00001E000000}"/>
    <cellStyle name="_%(SignOnly)" xfId="33" xr:uid="{00000000-0005-0000-0000-00001F000000}"/>
    <cellStyle name="_%(SignOnly)_2009 Ypso Budget" xfId="34" xr:uid="{00000000-0005-0000-0000-000020000000}"/>
    <cellStyle name="_%(SignOnly)_2009-03 REPORTING 03-04-2009" xfId="35" xr:uid="{00000000-0005-0000-0000-000021000000}"/>
    <cellStyle name="_%(SignOnly)_2010- Ypso Budget Operational Model v1EA" xfId="36" xr:uid="{00000000-0005-0000-0000-000022000000}"/>
    <cellStyle name="_%(SignOnly)_BP Newoffer v2" xfId="37" xr:uid="{00000000-0005-0000-0000-000023000000}"/>
    <cellStyle name="_%(SignOnly)_Budget 2009 Completel v6 " xfId="38" xr:uid="{00000000-0005-0000-0000-000024000000}"/>
    <cellStyle name="_%(SignOnly)_Budget 2009 Div v2" xfId="39" xr:uid="{00000000-0005-0000-0000-000025000000}"/>
    <cellStyle name="_%(SignOnly)_Budget capex 2010 v1" xfId="40" xr:uid="{00000000-0005-0000-0000-000026000000}"/>
    <cellStyle name="_%(SignOnly)_BUDGET YPSO 2008 14-12 CD IV" xfId="41" xr:uid="{00000000-0005-0000-0000-000027000000}"/>
    <cellStyle name="_%(SignOnly)_Classeur3" xfId="42" xr:uid="{00000000-0005-0000-0000-000028000000}"/>
    <cellStyle name="_%(SignOnly)_Cookie Case (consortium BP)" xfId="43" xr:uid="{00000000-0005-0000-0000-000029000000}"/>
    <cellStyle name="_%(SignOnly)_Cookie Case (consortium BP)_BUDGET YPSO 2008 14-12 CD IV" xfId="44" xr:uid="{00000000-0005-0000-0000-00002A000000}"/>
    <cellStyle name="_%(SignOnly)_Cookie Case (consortium BP)_Reporting Completel 0802  V4" xfId="45" xr:uid="{00000000-0005-0000-0000-00002B000000}"/>
    <cellStyle name="_%(SignOnly)_Cookie Case (consortium BP)_Reporting Investors Completel July 2008" xfId="46" xr:uid="{00000000-0005-0000-0000-00002C000000}"/>
    <cellStyle name="_%(SignOnly)_CPE" xfId="47" xr:uid="{00000000-0005-0000-0000-00002D000000}"/>
    <cellStyle name="_%(SignOnly)_Fcst capex 2009 V3" xfId="48" xr:uid="{00000000-0005-0000-0000-00002E000000}"/>
    <cellStyle name="_%(SignOnly)_Reforecast 2010 Altice B2B" xfId="49" xr:uid="{00000000-0005-0000-0000-00002F000000}"/>
    <cellStyle name="_%(SignOnly)_Reporting Completel 0802  V4" xfId="50" xr:uid="{00000000-0005-0000-0000-000030000000}"/>
    <cellStyle name="_%(SignOnly)_Reporting Investors Completel July 2008" xfId="51" xr:uid="{00000000-0005-0000-0000-000031000000}"/>
    <cellStyle name="_%(SignOnly)_Ypso Financial Budget" xfId="52" xr:uid="{00000000-0005-0000-0000-000032000000}"/>
    <cellStyle name="_%(SignOnly)_Ypso financial charges follow-up" xfId="53" xr:uid="{00000000-0005-0000-0000-000033000000}"/>
    <cellStyle name="_%(SignOnly)_Ypso Financial Model - version 13" xfId="54" xr:uid="{00000000-0005-0000-0000-000034000000}"/>
    <cellStyle name="_%(SignOnly)_Ypso Operational Model - version Banque v11" xfId="55" xr:uid="{00000000-0005-0000-0000-000035000000}"/>
    <cellStyle name="_%(SignOnly)_Ypso Operational Model - version Management Finale" xfId="56" xr:uid="{00000000-0005-0000-0000-000036000000}"/>
    <cellStyle name="_%(SignOnly)_Ypso Operational Model - version Management Finale - 300409" xfId="57" xr:uid="{00000000-0005-0000-0000-000037000000}"/>
    <cellStyle name="_%(SignSpaceOnly)" xfId="58" xr:uid="{00000000-0005-0000-0000-000038000000}"/>
    <cellStyle name="_%(SignSpaceOnly)_2009 Ypso Budget" xfId="59" xr:uid="{00000000-0005-0000-0000-000039000000}"/>
    <cellStyle name="_%(SignSpaceOnly)_2009-03 REPORTING 03-04-2009" xfId="60" xr:uid="{00000000-0005-0000-0000-00003A000000}"/>
    <cellStyle name="_%(SignSpaceOnly)_BP Newoffer v2" xfId="61" xr:uid="{00000000-0005-0000-0000-00003B000000}"/>
    <cellStyle name="_%(SignSpaceOnly)_BUDGET 2008 YPSO Banque v3" xfId="62" xr:uid="{00000000-0005-0000-0000-00003C000000}"/>
    <cellStyle name="_%(SignSpaceOnly)_Budget 2009 Completel v6 " xfId="63" xr:uid="{00000000-0005-0000-0000-00003D000000}"/>
    <cellStyle name="_%(SignSpaceOnly)_BUDGET CONSO 2007-05 III" xfId="64" xr:uid="{00000000-0005-0000-0000-00003E000000}"/>
    <cellStyle name="_%(SignSpaceOnly)_BUDGET CONSO 2007-05 III_2009-03 REPORTING 03-04-2009" xfId="65" xr:uid="{00000000-0005-0000-0000-00003F000000}"/>
    <cellStyle name="_%(SignSpaceOnly)_BUDGET CONSO 2007-05 III_2010- Ypso Budget Operational Model v1EA" xfId="66" xr:uid="{00000000-0005-0000-0000-000040000000}"/>
    <cellStyle name="_%(SignSpaceOnly)_BUDGET CONSO 2007-05 III_BP Newoffer v2" xfId="67" xr:uid="{00000000-0005-0000-0000-000041000000}"/>
    <cellStyle name="_%(SignSpaceOnly)_BUDGET CONSO 2007-05 III_Budget 2009 Div v2" xfId="68" xr:uid="{00000000-0005-0000-0000-000042000000}"/>
    <cellStyle name="_%(SignSpaceOnly)_BUDGET CONSO 2007-05 III_Budget capex 2010 v1" xfId="69" xr:uid="{00000000-0005-0000-0000-000043000000}"/>
    <cellStyle name="_%(SignSpaceOnly)_BUDGET CONSO 2007-05 III_Classeur3" xfId="70" xr:uid="{00000000-0005-0000-0000-000044000000}"/>
    <cellStyle name="_%(SignSpaceOnly)_BUDGET CONSO 2007-05 III_CPE" xfId="71" xr:uid="{00000000-0005-0000-0000-000045000000}"/>
    <cellStyle name="_%(SignSpaceOnly)_BUDGET CONSO 2007-05 III_Fcst capex 2009 V3" xfId="72" xr:uid="{00000000-0005-0000-0000-000046000000}"/>
    <cellStyle name="_%(SignSpaceOnly)_BUDGET CONSO 2007-05 III_Reforecast 2010 Altice B2B" xfId="73" xr:uid="{00000000-0005-0000-0000-000047000000}"/>
    <cellStyle name="_%(SignSpaceOnly)_BUDGET CONSO 2007-05 III_Ypso Operational Model - version Management Finale - 300409" xfId="74" xr:uid="{00000000-0005-0000-0000-000048000000}"/>
    <cellStyle name="_%(SignSpaceOnly)_BUDGET YPSO 2008 08-01 Final Interne Covenants v3" xfId="75" xr:uid="{00000000-0005-0000-0000-000049000000}"/>
    <cellStyle name="_%(SignSpaceOnly)_Cookie Case (consortium BP)" xfId="76" xr:uid="{00000000-0005-0000-0000-00004A000000}"/>
    <cellStyle name="_%(SignSpaceOnly)_Cookie Case (consortium BP)_2009 Ypso Budget" xfId="77" xr:uid="{00000000-0005-0000-0000-00004B000000}"/>
    <cellStyle name="_%(SignSpaceOnly)_Cookie Case (consortium BP)_2009-03 REPORTING 03-04-2009" xfId="78" xr:uid="{00000000-0005-0000-0000-00004C000000}"/>
    <cellStyle name="_%(SignSpaceOnly)_Cookie Case (consortium BP)_2010- Ypso Budget Operational Model v1EA" xfId="79" xr:uid="{00000000-0005-0000-0000-00004D000000}"/>
    <cellStyle name="_%(SignSpaceOnly)_Cookie Case (consortium BP)_BP Newoffer v2" xfId="80" xr:uid="{00000000-0005-0000-0000-00004E000000}"/>
    <cellStyle name="_%(SignSpaceOnly)_Cookie Case (consortium BP)_Budget 2009 Completel v6 " xfId="81" xr:uid="{00000000-0005-0000-0000-00004F000000}"/>
    <cellStyle name="_%(SignSpaceOnly)_Cookie Case (consortium BP)_Budget 2009 Div v2" xfId="82" xr:uid="{00000000-0005-0000-0000-000050000000}"/>
    <cellStyle name="_%(SignSpaceOnly)_Cookie Case (consortium BP)_Budget capex 2010 v1" xfId="83" xr:uid="{00000000-0005-0000-0000-000051000000}"/>
    <cellStyle name="_%(SignSpaceOnly)_Cookie Case (consortium BP)_Classeur3" xfId="84" xr:uid="{00000000-0005-0000-0000-000052000000}"/>
    <cellStyle name="_%(SignSpaceOnly)_Cookie Case (consortium BP)_CPE" xfId="85" xr:uid="{00000000-0005-0000-0000-000053000000}"/>
    <cellStyle name="_%(SignSpaceOnly)_Cookie Case (consortium BP)_Fcst capex 2009 V3" xfId="86" xr:uid="{00000000-0005-0000-0000-000054000000}"/>
    <cellStyle name="_%(SignSpaceOnly)_Cookie Case (consortium BP)_Reforecast 2010 Altice B2B" xfId="87" xr:uid="{00000000-0005-0000-0000-000055000000}"/>
    <cellStyle name="_%(SignSpaceOnly)_Cookie Case (consortium BP)_Reporting Completel 0802  V4" xfId="88" xr:uid="{00000000-0005-0000-0000-000056000000}"/>
    <cellStyle name="_%(SignSpaceOnly)_Cookie Case (consortium BP)_Reporting Investors Completel July 2008" xfId="89" xr:uid="{00000000-0005-0000-0000-000057000000}"/>
    <cellStyle name="_%(SignSpaceOnly)_Cookie Case (consortium BP)_Ypso Financial Budget" xfId="90" xr:uid="{00000000-0005-0000-0000-000058000000}"/>
    <cellStyle name="_%(SignSpaceOnly)_Cookie Case (consortium BP)_Ypso financial charges follow-up" xfId="91" xr:uid="{00000000-0005-0000-0000-000059000000}"/>
    <cellStyle name="_%(SignSpaceOnly)_Cookie Case (consortium BP)_Ypso Financial Model - version 13" xfId="92" xr:uid="{00000000-0005-0000-0000-00005A000000}"/>
    <cellStyle name="_%(SignSpaceOnly)_Cookie Case (consortium BP)_Ypso Operational Model - version Banque v11" xfId="93" xr:uid="{00000000-0005-0000-0000-00005B000000}"/>
    <cellStyle name="_%(SignSpaceOnly)_Cookie Case (consortium BP)_Ypso Operational Model - version Management Finale" xfId="94" xr:uid="{00000000-0005-0000-0000-00005C000000}"/>
    <cellStyle name="_%(SignSpaceOnly)_Cookie Case (consortium BP)_Ypso Operational Model - version Management Finale - 300409" xfId="95" xr:uid="{00000000-0005-0000-0000-00005D000000}"/>
    <cellStyle name="_%(SignSpaceOnly)_MODELISATION CA 2008-2009" xfId="96" xr:uid="{00000000-0005-0000-0000-00005E000000}"/>
    <cellStyle name="_%(SignSpaceOnly)_MODELISATION CA 2008-2009_2009-03 REPORTING 03-04-2009" xfId="97" xr:uid="{00000000-0005-0000-0000-00005F000000}"/>
    <cellStyle name="_%(SignSpaceOnly)_MODELISATION CA 2008-2009_2010- Ypso Budget Operational Model v1EA" xfId="98" xr:uid="{00000000-0005-0000-0000-000060000000}"/>
    <cellStyle name="_%(SignSpaceOnly)_MODELISATION CA 2008-2009_Budget 2009 Div v2" xfId="99" xr:uid="{00000000-0005-0000-0000-000061000000}"/>
    <cellStyle name="_%(SignSpaceOnly)_MODELISATION CA 2008-2009_Budget capex 2010 v1" xfId="100" xr:uid="{00000000-0005-0000-0000-000062000000}"/>
    <cellStyle name="_%(SignSpaceOnly)_MODELISATION CA 2008-2009_Classeur3" xfId="101" xr:uid="{00000000-0005-0000-0000-000063000000}"/>
    <cellStyle name="_%(SignSpaceOnly)_MODELISATION CA 2008-2009_CPE" xfId="102" xr:uid="{00000000-0005-0000-0000-000064000000}"/>
    <cellStyle name="_%(SignSpaceOnly)_MODELISATION CA 2008-2009_Fcst capex 2009 V3" xfId="103" xr:uid="{00000000-0005-0000-0000-000065000000}"/>
    <cellStyle name="_%(SignSpaceOnly)_MODELISATION CA 2008-2009_Reforecast 2010 Altice B2B" xfId="104" xr:uid="{00000000-0005-0000-0000-000066000000}"/>
    <cellStyle name="_%(SignSpaceOnly)_MODELISATION CA 2008-2009_Ypso Operational Model - version Management Finale - 300409" xfId="105" xr:uid="{00000000-0005-0000-0000-000067000000}"/>
    <cellStyle name="_%(SignSpaceOnly)_Reforecast 2010 Altice B2B" xfId="106" xr:uid="{00000000-0005-0000-0000-000068000000}"/>
    <cellStyle name="_%(SignSpaceOnly)_Reporting capex 2009" xfId="107" xr:uid="{00000000-0005-0000-0000-000069000000}"/>
    <cellStyle name="_%(SignSpaceOnly)_Reporting capex 2009-04" xfId="108" xr:uid="{00000000-0005-0000-0000-00006A000000}"/>
    <cellStyle name="_%(SignSpaceOnly)_Reporting Completel 0802  V4" xfId="109" xr:uid="{00000000-0005-0000-0000-00006B000000}"/>
    <cellStyle name="_%(SignSpaceOnly)_Reporting Investors Completel July 2008" xfId="110" xr:uid="{00000000-0005-0000-0000-00006C000000}"/>
    <cellStyle name="_%(SignSpaceOnly)_Ypso BP Interne 2008 2009 Avril 08 v11 - Carlyle" xfId="111" xr:uid="{00000000-0005-0000-0000-00006D000000}"/>
    <cellStyle name="_%(SignSpaceOnly)_Ypso Financial Budget" xfId="112" xr:uid="{00000000-0005-0000-0000-00006E000000}"/>
    <cellStyle name="_%(SignSpaceOnly)_Ypso financial charges follow-up" xfId="113" xr:uid="{00000000-0005-0000-0000-00006F000000}"/>
    <cellStyle name="_%(SignSpaceOnly)_Ypso Financial Model - version 13" xfId="114" xr:uid="{00000000-0005-0000-0000-000070000000}"/>
    <cellStyle name="_%(SignSpaceOnly)_Ypso Operational Model - version Banque v11" xfId="115" xr:uid="{00000000-0005-0000-0000-000071000000}"/>
    <cellStyle name="_%(SignSpaceOnly)_Ypso Operational Model - version Management Finale" xfId="116" xr:uid="{00000000-0005-0000-0000-000072000000}"/>
    <cellStyle name="_ADSL Reforecast 2008 2009" xfId="117" xr:uid="{00000000-0005-0000-0000-000073000000}"/>
    <cellStyle name="_ADSL Reforecast 2008 2009_MB Darty" xfId="118" xr:uid="{00000000-0005-0000-0000-000074000000}"/>
    <cellStyle name="_ADSL Reforecast 2008 2009_P&amp;L BELGIUM" xfId="119" xr:uid="{00000000-0005-0000-0000-000075000000}"/>
    <cellStyle name="_Agreed Base Case officiel from Altice - envoi Altice 3oct2007" xfId="120" xr:uid="{00000000-0005-0000-0000-000076000000}"/>
    <cellStyle name="_Agreed Base Case officiel from Altice - envoi Altice 3oct2007_2010- Ypso Forecast" xfId="121" xr:uid="{00000000-0005-0000-0000-000077000000}"/>
    <cellStyle name="_Agreed Base Case officiel from Altice - envoi Altice 3oct2007_2010- Ypso Forecast_modifDivOp27102010" xfId="122" xr:uid="{00000000-0005-0000-0000-000078000000}"/>
    <cellStyle name="_Agreed Base Case officiel from Altice - envoi Altice 3oct2007_P&amp;L BELGIUM" xfId="123" xr:uid="{00000000-0005-0000-0000-000079000000}"/>
    <cellStyle name="_Agreed Base Case officiel from Altice - envoi Altice 3oct2007_Reforecast 2010 Altice B2B" xfId="124" xr:uid="{00000000-0005-0000-0000-00007A000000}"/>
    <cellStyle name="_Agreed Base Case officiel from Altice - envoi Altice 3oct2007_Ypso Financial Budget" xfId="125" xr:uid="{00000000-0005-0000-0000-00007B000000}"/>
    <cellStyle name="_Agreed Base Case officiel from Altice - envoi Altice 3oct2007_Ypso Financial Budget_Xl0000004" xfId="126" xr:uid="{00000000-0005-0000-0000-00007C000000}"/>
    <cellStyle name="_Beatrice" xfId="127" xr:uid="{00000000-0005-0000-0000-00007D000000}"/>
    <cellStyle name="_BP Board June 14 05 to Cinven" xfId="128" xr:uid="{00000000-0005-0000-0000-00007E000000}"/>
    <cellStyle name="_BP Darty Auchan 2008-10-07 modifs MS" xfId="129" xr:uid="{00000000-0005-0000-0000-00007F000000}"/>
    <cellStyle name="_BP Darty Auchan 2008-10-07 modifs MS_P&amp;L DivOp_Reforecast0410 vEP" xfId="130" xr:uid="{00000000-0005-0000-0000-000080000000}"/>
    <cellStyle name="_BP Darty Auchan 2008-10-07 modifs MS_Reporting capex 2010-04" xfId="131" xr:uid="{00000000-0005-0000-0000-000081000000}"/>
    <cellStyle name="_BP Darty Auchan 2008-10-07 modifs MS_Reporting capex 2010-05" xfId="132" xr:uid="{00000000-0005-0000-0000-000082000000}"/>
    <cellStyle name="_BP Darty Auchan 2008-10-07 modifs MS_Reporting capex 2010-12" xfId="133" xr:uid="{00000000-0005-0000-0000-000083000000}"/>
    <cellStyle name="_BP Darty Auchan 2008-10-07 modifs MS_Reporting capex 2010-12 2" xfId="134" xr:uid="{00000000-0005-0000-0000-000084000000}"/>
    <cellStyle name="_BP Darty Auchan 2008-10-07 modifs MS_Reporting capex 2010-12 vrai" xfId="135" xr:uid="{00000000-0005-0000-0000-000085000000}"/>
    <cellStyle name="_Budget 2008 - COMPLETEL  20 1 08" xfId="136" xr:uid="{00000000-0005-0000-0000-000086000000}"/>
    <cellStyle name="_Budget 2008 - COMPLETEL  20 1 08_2010- Ypso Forecast" xfId="137" xr:uid="{00000000-0005-0000-0000-000087000000}"/>
    <cellStyle name="_Budget 2008 - COMPLETEL  20 1 08_2010- Ypso Forecast_modifDivOp27102010" xfId="138" xr:uid="{00000000-0005-0000-0000-000088000000}"/>
    <cellStyle name="_Budget 2008 - COMPLETEL  20 1 08_2010- Ypso Forecast_P&amp;L DivOp_Reforecast0410 vEP" xfId="139" xr:uid="{00000000-0005-0000-0000-000089000000}"/>
    <cellStyle name="_Budget 2008 - COMPLETEL  20 1 08_B2010 Altice B2B Group 261009" xfId="140" xr:uid="{00000000-0005-0000-0000-00008A000000}"/>
    <cellStyle name="_Budget 2008 - COMPLETEL  20 1 08_B2010 Altice B2B Group 261009_P&amp;L BELGIUM" xfId="141" xr:uid="{00000000-0005-0000-0000-00008B000000}"/>
    <cellStyle name="_Budget 2008 - COMPLETEL  20 1 08_Budget capex 2010 v1" xfId="142" xr:uid="{00000000-0005-0000-0000-00008C000000}"/>
    <cellStyle name="_Budget 2008 - COMPLETEL  20 1 08_Budget capex 2010 v1_P&amp;L DivOp_Reforecast0410 vEP" xfId="143" xr:uid="{00000000-0005-0000-0000-00008D000000}"/>
    <cellStyle name="_Budget 2008 - COMPLETEL  20 1 08_Divop NC 2010 Budget" xfId="144" xr:uid="{00000000-0005-0000-0000-00008E000000}"/>
    <cellStyle name="_Budget 2008 - COMPLETEL  20 1 08_Divop NC 2010 Budget_P&amp;L DivOp_Reforecast0410 vEP" xfId="145" xr:uid="{00000000-0005-0000-0000-00008F000000}"/>
    <cellStyle name="_Budget 2008 - COMPLETEL  20 1 08_Divop NC 2010 Budget_Reporting capex 2010-04" xfId="146" xr:uid="{00000000-0005-0000-0000-000090000000}"/>
    <cellStyle name="_Budget 2008 - COMPLETEL  20 1 08_Divop NC 2010 Budget_Reporting capex 2010-05" xfId="147" xr:uid="{00000000-0005-0000-0000-000091000000}"/>
    <cellStyle name="_Budget 2008 - COMPLETEL  20 1 08_Divop NC 2010 Budget_Reporting capex 2010-12" xfId="148" xr:uid="{00000000-0005-0000-0000-000092000000}"/>
    <cellStyle name="_Budget 2008 - COMPLETEL  20 1 08_Divop NC 2010 Budget_Reporting capex 2010-12 2" xfId="149" xr:uid="{00000000-0005-0000-0000-000093000000}"/>
    <cellStyle name="_Budget 2008 - COMPLETEL  20 1 08_Divop NC 2010 Budget_Reporting capex 2010-12 vrai" xfId="150" xr:uid="{00000000-0005-0000-0000-000094000000}"/>
    <cellStyle name="_Budget 2008 - COMPLETEL  20 1 08_P&amp;L BELGIUM" xfId="151" xr:uid="{00000000-0005-0000-0000-000095000000}"/>
    <cellStyle name="_Budget 2008 - COMPLETEL  20 1 08_P&amp;L DivOp_Reforecast0410_27102010" xfId="152" xr:uid="{00000000-0005-0000-0000-000096000000}"/>
    <cellStyle name="_Budget 2008 - COMPLETEL  20 1 08_Reforecast 2010 Altice B2B" xfId="153" xr:uid="{00000000-0005-0000-0000-000097000000}"/>
    <cellStyle name="_Budget 2008 - COMPLETEL  20 1 08_Reporting capex 2009-11" xfId="154" xr:uid="{00000000-0005-0000-0000-000098000000}"/>
    <cellStyle name="_Budget 2008 - COMPLETEL  20 1 08_Reporting capex 2009-12" xfId="155" xr:uid="{00000000-0005-0000-0000-000099000000}"/>
    <cellStyle name="_Budget 2008 - COMPLETEL  20 1 08_Reporting capex 2010-04" xfId="156" xr:uid="{00000000-0005-0000-0000-00009A000000}"/>
    <cellStyle name="_Budget 2008 - COMPLETEL  20 1 08_Reporting capex 2010-05" xfId="157" xr:uid="{00000000-0005-0000-0000-00009B000000}"/>
    <cellStyle name="_Budget 2008 - COMPLETEL  20 1 08_Reporting capex 2010-12" xfId="158" xr:uid="{00000000-0005-0000-0000-00009C000000}"/>
    <cellStyle name="_Budget 2008 - COMPLETEL  20 1 08_Reporting capex 2010-12 2" xfId="159" xr:uid="{00000000-0005-0000-0000-00009D000000}"/>
    <cellStyle name="_Budget 2008 - COMPLETEL  20 1 08_Reporting capex 2010-12 vrai" xfId="160" xr:uid="{00000000-0005-0000-0000-00009E000000}"/>
    <cellStyle name="_Budget 2008 - COMPLETEL  20 1 08_Ypso Financial Budget" xfId="161" xr:uid="{00000000-0005-0000-0000-00009F000000}"/>
    <cellStyle name="_Budget 2008 - COMPLETEL  20 1 08_Ypso Financial Budget_P&amp;L DivOp_Reforecast0410 vEP" xfId="162" xr:uid="{00000000-0005-0000-0000-0000A0000000}"/>
    <cellStyle name="_Budget 2008 - COMPLETEL  20 1 08_Ypso Financial Budget_Xl0000004" xfId="163" xr:uid="{00000000-0005-0000-0000-0000A1000000}"/>
    <cellStyle name="_Budget 2009 Completel v6 " xfId="164" xr:uid="{00000000-0005-0000-0000-0000A2000000}"/>
    <cellStyle name="_Budget 2009 Div v2" xfId="165" xr:uid="{00000000-0005-0000-0000-0000A3000000}"/>
    <cellStyle name="_Classeur3" xfId="166" xr:uid="{00000000-0005-0000-0000-0000A4000000}"/>
    <cellStyle name="_Comma" xfId="167" xr:uid="{00000000-0005-0000-0000-0000A5000000}"/>
    <cellStyle name="_Comma_BP Board June 14 05 to Cinven" xfId="168" xr:uid="{00000000-0005-0000-0000-0000A6000000}"/>
    <cellStyle name="_Comma_BP Board June 14 05 to Cinven_BUDGET YPSO 2008 14-12 CD IV" xfId="169" xr:uid="{00000000-0005-0000-0000-0000A7000000}"/>
    <cellStyle name="_Comma_BUDGET YPSO 2008 14-12 CD IV" xfId="170" xr:uid="{00000000-0005-0000-0000-0000A8000000}"/>
    <cellStyle name="_Comma_Cookie Case (consortium BP)" xfId="171" xr:uid="{00000000-0005-0000-0000-0000A9000000}"/>
    <cellStyle name="_Comma_Cookie Case (consortium BP)_2009 Ypso Budget" xfId="172" xr:uid="{00000000-0005-0000-0000-0000AA000000}"/>
    <cellStyle name="_Comma_Cookie Case (consortium BP)_2009-03 REPORTING 03-04-2009" xfId="173" xr:uid="{00000000-0005-0000-0000-0000AB000000}"/>
    <cellStyle name="_Comma_Cookie Case (consortium BP)_BP Newoffer v2" xfId="174" xr:uid="{00000000-0005-0000-0000-0000AC000000}"/>
    <cellStyle name="_Comma_Cookie Case (consortium BP)_BUDGET 2008 YPSO Banque v3" xfId="175" xr:uid="{00000000-0005-0000-0000-0000AD000000}"/>
    <cellStyle name="_Comma_Cookie Case (consortium BP)_Budget 2009 Completel v6 " xfId="176" xr:uid="{00000000-0005-0000-0000-0000AE000000}"/>
    <cellStyle name="_Comma_Cookie Case (consortium BP)_BUDGET CONSO 2007-05 III" xfId="177" xr:uid="{00000000-0005-0000-0000-0000AF000000}"/>
    <cellStyle name="_Comma_Cookie Case (consortium BP)_BUDGET YPSO 2008 08-01 Final Interne Covenants v3" xfId="178" xr:uid="{00000000-0005-0000-0000-0000B0000000}"/>
    <cellStyle name="_Comma_Cookie Case (consortium BP)_MODELISATION CA 2008-2009" xfId="179" xr:uid="{00000000-0005-0000-0000-0000B1000000}"/>
    <cellStyle name="_Comma_Cookie Case (consortium BP)_Reforecast 2010 Altice B2B" xfId="180" xr:uid="{00000000-0005-0000-0000-0000B2000000}"/>
    <cellStyle name="_Comma_Cookie Case (consortium BP)_Reporting capex 2009" xfId="181" xr:uid="{00000000-0005-0000-0000-0000B3000000}"/>
    <cellStyle name="_Comma_Cookie Case (consortium BP)_Reporting capex 2009-04" xfId="182" xr:uid="{00000000-0005-0000-0000-0000B4000000}"/>
    <cellStyle name="_Comma_Cookie Case (consortium BP)_Reporting Completel 0802  V4" xfId="183" xr:uid="{00000000-0005-0000-0000-0000B5000000}"/>
    <cellStyle name="_Comma_Cookie Case (consortium BP)_Reporting Investors Completel July 2008" xfId="184" xr:uid="{00000000-0005-0000-0000-0000B6000000}"/>
    <cellStyle name="_Comma_Cookie Case (consortium BP)_Ypso BP Interne 2008 2009 Avril 08 v11 - Carlyle" xfId="185" xr:uid="{00000000-0005-0000-0000-0000B7000000}"/>
    <cellStyle name="_Comma_Cookie Case (consortium BP)_Ypso Financial Budget" xfId="186" xr:uid="{00000000-0005-0000-0000-0000B8000000}"/>
    <cellStyle name="_Comma_Cookie Case (consortium BP)_Ypso financial charges follow-up" xfId="187" xr:uid="{00000000-0005-0000-0000-0000B9000000}"/>
    <cellStyle name="_Comma_Cookie Case (consortium BP)_Ypso Financial Model - version 13" xfId="188" xr:uid="{00000000-0005-0000-0000-0000BA000000}"/>
    <cellStyle name="_Comma_Cookie Case (consortium BP)_Ypso Operational Model - version Banque v11" xfId="189" xr:uid="{00000000-0005-0000-0000-0000BB000000}"/>
    <cellStyle name="_Comma_Cookie Case (consortium BP)_Ypso Operational Model - version Management Finale" xfId="190" xr:uid="{00000000-0005-0000-0000-0000BC000000}"/>
    <cellStyle name="_Comma_Reporting Completel 0802  V4" xfId="191" xr:uid="{00000000-0005-0000-0000-0000BD000000}"/>
    <cellStyle name="_Comma_Reporting Investors Completel July 2008" xfId="192" xr:uid="{00000000-0005-0000-0000-0000BE000000}"/>
    <cellStyle name="_Copie de BUDGET YPSO 2008     8 11 2007 II" xfId="193" xr:uid="{00000000-0005-0000-0000-0000BF000000}"/>
    <cellStyle name="_Copie de BUDGET YPSO 2008     8 11 2007 II_2010- Ypso Forecast" xfId="194" xr:uid="{00000000-0005-0000-0000-0000C0000000}"/>
    <cellStyle name="_Copie de BUDGET YPSO 2008     8 11 2007 II_2010- Ypso Forecast_modifDivOp27102010" xfId="195" xr:uid="{00000000-0005-0000-0000-0000C1000000}"/>
    <cellStyle name="_Copie de BUDGET YPSO 2008     8 11 2007 II_P&amp;L BELGIUM" xfId="196" xr:uid="{00000000-0005-0000-0000-0000C2000000}"/>
    <cellStyle name="_Copie de BUDGET YPSO 2008     8 11 2007 II_Reforecast 2010 Altice B2B" xfId="197" xr:uid="{00000000-0005-0000-0000-0000C3000000}"/>
    <cellStyle name="_Copie de BUDGET YPSO 2008     8 11 2007 II_Ypso Financial Budget" xfId="198" xr:uid="{00000000-0005-0000-0000-0000C4000000}"/>
    <cellStyle name="_Copie de BUDGET YPSO 2008     8 11 2007 II_Ypso Financial Budget_Xl0000004" xfId="199" xr:uid="{00000000-0005-0000-0000-0000C5000000}"/>
    <cellStyle name="_Currency" xfId="200" xr:uid="{00000000-0005-0000-0000-0000C6000000}"/>
    <cellStyle name="_Currency_Auna Group - Toro assumptions 120505 Build-up Toro assum to HY" xfId="201" xr:uid="{00000000-0005-0000-0000-0000C7000000}"/>
    <cellStyle name="_Currency_Auna Group - Toro assumptions 120505 Build-up Toro assum to HY_2009 Ypso Budget" xfId="202" xr:uid="{00000000-0005-0000-0000-0000C8000000}"/>
    <cellStyle name="_Currency_Auna Group - Toro assumptions 120505 Build-up Toro assum to HY_2009-03 REPORTING 03-04-2009" xfId="203" xr:uid="{00000000-0005-0000-0000-0000C9000000}"/>
    <cellStyle name="_Currency_Auna Group - Toro assumptions 120505 Build-up Toro assum to HY_BP Newoffer v2" xfId="204" xr:uid="{00000000-0005-0000-0000-0000CA000000}"/>
    <cellStyle name="_Currency_Auna Group - Toro assumptions 120505 Build-up Toro assum to HY_BUDGET 2008 YPSO Banque v3" xfId="205" xr:uid="{00000000-0005-0000-0000-0000CB000000}"/>
    <cellStyle name="_Currency_Auna Group - Toro assumptions 120505 Build-up Toro assum to HY_Budget 2009 Completel v6 " xfId="206" xr:uid="{00000000-0005-0000-0000-0000CC000000}"/>
    <cellStyle name="_Currency_Auna Group - Toro assumptions 120505 Build-up Toro assum to HY_BUDGET CONSO 2007-05 III" xfId="207" xr:uid="{00000000-0005-0000-0000-0000CD000000}"/>
    <cellStyle name="_Currency_Auna Group - Toro assumptions 120505 Build-up Toro assum to HY_BUDGET YPSO 2008 08-01 Final Interne Covenants v3" xfId="208" xr:uid="{00000000-0005-0000-0000-0000CE000000}"/>
    <cellStyle name="_Currency_Auna Group - Toro assumptions 120505 Build-up Toro assum to HY_MODELISATION CA 2008-2009" xfId="209" xr:uid="{00000000-0005-0000-0000-0000CF000000}"/>
    <cellStyle name="_Currency_Auna Group - Toro assumptions 120505 Build-up Toro assum to HY_Reforecast 2010 Altice B2B" xfId="210" xr:uid="{00000000-0005-0000-0000-0000D0000000}"/>
    <cellStyle name="_Currency_Auna Group - Toro assumptions 120505 Build-up Toro assum to HY_Reporting capex 2009" xfId="211" xr:uid="{00000000-0005-0000-0000-0000D1000000}"/>
    <cellStyle name="_Currency_Auna Group - Toro assumptions 120505 Build-up Toro assum to HY_Reporting capex 2009-04" xfId="212" xr:uid="{00000000-0005-0000-0000-0000D2000000}"/>
    <cellStyle name="_Currency_Auna Group - Toro assumptions 120505 Build-up Toro assum to HY_Reporting Completel 0802  V4" xfId="213" xr:uid="{00000000-0005-0000-0000-0000D3000000}"/>
    <cellStyle name="_Currency_Auna Group - Toro assumptions 120505 Build-up Toro assum to HY_Reporting Investors Completel July 2008" xfId="214" xr:uid="{00000000-0005-0000-0000-0000D4000000}"/>
    <cellStyle name="_Currency_Auna Group - Toro assumptions 120505 Build-up Toro assum to HY_Ypso BP Interne 2008 2009 Avril 08 v11 - Carlyle" xfId="215" xr:uid="{00000000-0005-0000-0000-0000D5000000}"/>
    <cellStyle name="_Currency_Auna Group - Toro assumptions 120505 Build-up Toro assum to HY_Ypso Financial Budget" xfId="216" xr:uid="{00000000-0005-0000-0000-0000D6000000}"/>
    <cellStyle name="_Currency_Auna Group - Toro assumptions 120505 Build-up Toro assum to HY_Ypso financial charges follow-up" xfId="217" xr:uid="{00000000-0005-0000-0000-0000D7000000}"/>
    <cellStyle name="_Currency_Auna Group - Toro assumptions 120505 Build-up Toro assum to HY_Ypso Financial Model - version 13" xfId="218" xr:uid="{00000000-0005-0000-0000-0000D8000000}"/>
    <cellStyle name="_Currency_Auna Group - Toro assumptions 120505 Build-up Toro assum to HY_Ypso Operational Model - version Banque v11" xfId="219" xr:uid="{00000000-0005-0000-0000-0000D9000000}"/>
    <cellStyle name="_Currency_Auna Group - Toro assumptions 120505 Build-up Toro assum to HY_Ypso Operational Model - version Management Finale" xfId="220" xr:uid="{00000000-0005-0000-0000-0000DA000000}"/>
    <cellStyle name="_Currency_BP Board June 14 05 to Cinven" xfId="221" xr:uid="{00000000-0005-0000-0000-0000DB000000}"/>
    <cellStyle name="_Currency_BP Board June 14 05 to Cinven_2009 Banks Reporting Ypso v4" xfId="222" xr:uid="{00000000-0005-0000-0000-0000DC000000}"/>
    <cellStyle name="_Currency_BP Board June 14 05 to Cinven_2009 Ypso Budget" xfId="223" xr:uid="{00000000-0005-0000-0000-0000DD000000}"/>
    <cellStyle name="_Currency_BP Board June 14 05 to Cinven_2009-03 REPORTING 03-04-2009" xfId="224" xr:uid="{00000000-0005-0000-0000-0000DE000000}"/>
    <cellStyle name="_Currency_BP Board June 14 05 to Cinven_BP Newoffer v2" xfId="225" xr:uid="{00000000-0005-0000-0000-0000DF000000}"/>
    <cellStyle name="_Currency_BP Board June 14 05 to Cinven_BUDGET 2008 YPSO Banque v3" xfId="226" xr:uid="{00000000-0005-0000-0000-0000E0000000}"/>
    <cellStyle name="_Currency_BP Board June 14 05 to Cinven_Budget 2009 Completel v6 " xfId="227" xr:uid="{00000000-0005-0000-0000-0000E1000000}"/>
    <cellStyle name="_Currency_BP Board June 14 05 to Cinven_BUDGET YPSO 2008 08-01 Final Interne Covenants v3" xfId="228" xr:uid="{00000000-0005-0000-0000-0000E2000000}"/>
    <cellStyle name="_Currency_BP Board June 14 05 to Cinven_MODELISATION CA 2008-2009" xfId="229" xr:uid="{00000000-0005-0000-0000-0000E3000000}"/>
    <cellStyle name="_Currency_BP Board June 14 05 to Cinven_Reforecast 2010 Altice B2B" xfId="230" xr:uid="{00000000-0005-0000-0000-0000E4000000}"/>
    <cellStyle name="_Currency_BP Board June 14 05 to Cinven_Reporting capex 2009" xfId="231" xr:uid="{00000000-0005-0000-0000-0000E5000000}"/>
    <cellStyle name="_Currency_BP Board June 14 05 to Cinven_Reporting capex 2009-04" xfId="232" xr:uid="{00000000-0005-0000-0000-0000E6000000}"/>
    <cellStyle name="_Currency_BP Board June 14 05 to Cinven_Ypso BP Interne 2008 2009 Avril 08 v11 - Carlyle" xfId="233" xr:uid="{00000000-0005-0000-0000-0000E7000000}"/>
    <cellStyle name="_Currency_Calypso" xfId="234" xr:uid="{00000000-0005-0000-0000-0000E8000000}"/>
    <cellStyle name="_Currency_Calypso_2009 Ypso Budget" xfId="235" xr:uid="{00000000-0005-0000-0000-0000E9000000}"/>
    <cellStyle name="_Currency_Calypso_2009-03 REPORTING 03-04-2009" xfId="236" xr:uid="{00000000-0005-0000-0000-0000EA000000}"/>
    <cellStyle name="_Currency_Calypso_BP Newoffer v2" xfId="237" xr:uid="{00000000-0005-0000-0000-0000EB000000}"/>
    <cellStyle name="_Currency_Calypso_BUDGET 2008 YPSO Banque v3" xfId="238" xr:uid="{00000000-0005-0000-0000-0000EC000000}"/>
    <cellStyle name="_Currency_Calypso_Budget 2009 Completel v6 " xfId="239" xr:uid="{00000000-0005-0000-0000-0000ED000000}"/>
    <cellStyle name="_Currency_Calypso_BUDGET CONSO 2007-05 III" xfId="240" xr:uid="{00000000-0005-0000-0000-0000EE000000}"/>
    <cellStyle name="_Currency_Calypso_BUDGET YPSO 2008 08-01 Final Interne Covenants v3" xfId="241" xr:uid="{00000000-0005-0000-0000-0000EF000000}"/>
    <cellStyle name="_Currency_Calypso_MODELISATION CA 2008-2009" xfId="242" xr:uid="{00000000-0005-0000-0000-0000F0000000}"/>
    <cellStyle name="_Currency_Calypso_Reforecast 2010 Altice B2B" xfId="243" xr:uid="{00000000-0005-0000-0000-0000F1000000}"/>
    <cellStyle name="_Currency_Calypso_Reporting capex 2009" xfId="244" xr:uid="{00000000-0005-0000-0000-0000F2000000}"/>
    <cellStyle name="_Currency_Calypso_Reporting capex 2009-04" xfId="245" xr:uid="{00000000-0005-0000-0000-0000F3000000}"/>
    <cellStyle name="_Currency_Calypso_Reporting Completel 0802  V4" xfId="246" xr:uid="{00000000-0005-0000-0000-0000F4000000}"/>
    <cellStyle name="_Currency_Calypso_Reporting Investors Completel July 2008" xfId="247" xr:uid="{00000000-0005-0000-0000-0000F5000000}"/>
    <cellStyle name="_Currency_Calypso_Ypso BP Interne 2008 2009 Avril 08 v11 - Carlyle" xfId="248" xr:uid="{00000000-0005-0000-0000-0000F6000000}"/>
    <cellStyle name="_Currency_Calypso_Ypso Financial Budget" xfId="249" xr:uid="{00000000-0005-0000-0000-0000F7000000}"/>
    <cellStyle name="_Currency_Calypso_Ypso financial charges follow-up" xfId="250" xr:uid="{00000000-0005-0000-0000-0000F8000000}"/>
    <cellStyle name="_Currency_Calypso_Ypso Financial Model - version 13" xfId="251" xr:uid="{00000000-0005-0000-0000-0000F9000000}"/>
    <cellStyle name="_Currency_Calypso_Ypso Operational Model - version Banque v11" xfId="252" xr:uid="{00000000-0005-0000-0000-0000FA000000}"/>
    <cellStyle name="_Currency_Calypso_Ypso Operational Model - version Management Finale" xfId="253" xr:uid="{00000000-0005-0000-0000-0000FB000000}"/>
    <cellStyle name="_Currency_Cookie Case (consortium BP)" xfId="254" xr:uid="{00000000-0005-0000-0000-0000FC000000}"/>
    <cellStyle name="_Currency_Cookie Case (consortium BP)_2009 Ypso Budget" xfId="255" xr:uid="{00000000-0005-0000-0000-0000FD000000}"/>
    <cellStyle name="_Currency_Cookie Case (consortium BP)_2009-03 REPORTING 03-04-2009" xfId="256" xr:uid="{00000000-0005-0000-0000-0000FE000000}"/>
    <cellStyle name="_Currency_Cookie Case (consortium BP)_BP Newoffer v2" xfId="257" xr:uid="{00000000-0005-0000-0000-0000FF000000}"/>
    <cellStyle name="_Currency_Cookie Case (consortium BP)_BUDGET 2008 YPSO Banque v3" xfId="258" xr:uid="{00000000-0005-0000-0000-000000010000}"/>
    <cellStyle name="_Currency_Cookie Case (consortium BP)_Budget 2009 Completel v6 " xfId="259" xr:uid="{00000000-0005-0000-0000-000001010000}"/>
    <cellStyle name="_Currency_Cookie Case (consortium BP)_BUDGET CONSO 2007-05 III" xfId="260" xr:uid="{00000000-0005-0000-0000-000002010000}"/>
    <cellStyle name="_Currency_Cookie Case (consortium BP)_BUDGET CONSO 2007-05 III_2009-03 REPORTING 03-04-2009" xfId="261" xr:uid="{00000000-0005-0000-0000-000003010000}"/>
    <cellStyle name="_Currency_Cookie Case (consortium BP)_BUDGET CONSO 2007-05 III_2010- Ypso Budget Operational Model v1EA" xfId="262" xr:uid="{00000000-0005-0000-0000-000004010000}"/>
    <cellStyle name="_Currency_Cookie Case (consortium BP)_BUDGET CONSO 2007-05 III_BP Newoffer v2" xfId="263" xr:uid="{00000000-0005-0000-0000-000005010000}"/>
    <cellStyle name="_Currency_Cookie Case (consortium BP)_BUDGET CONSO 2007-05 III_Budget 2009 Div v2" xfId="264" xr:uid="{00000000-0005-0000-0000-000006010000}"/>
    <cellStyle name="_Currency_Cookie Case (consortium BP)_BUDGET CONSO 2007-05 III_Budget capex 2010 v1" xfId="265" xr:uid="{00000000-0005-0000-0000-000007010000}"/>
    <cellStyle name="_Currency_Cookie Case (consortium BP)_BUDGET CONSO 2007-05 III_Classeur3" xfId="266" xr:uid="{00000000-0005-0000-0000-000008010000}"/>
    <cellStyle name="_Currency_Cookie Case (consortium BP)_BUDGET CONSO 2007-05 III_CPE" xfId="267" xr:uid="{00000000-0005-0000-0000-000009010000}"/>
    <cellStyle name="_Currency_Cookie Case (consortium BP)_BUDGET CONSO 2007-05 III_Fcst capex 2009 V3" xfId="268" xr:uid="{00000000-0005-0000-0000-00000A010000}"/>
    <cellStyle name="_Currency_Cookie Case (consortium BP)_BUDGET CONSO 2007-05 III_Reforecast 2010 Altice B2B" xfId="269" xr:uid="{00000000-0005-0000-0000-00000B010000}"/>
    <cellStyle name="_Currency_Cookie Case (consortium BP)_BUDGET CONSO 2007-05 III_Ypso Operational Model - version Management Finale - 300409" xfId="270" xr:uid="{00000000-0005-0000-0000-00000C010000}"/>
    <cellStyle name="_Currency_Cookie Case (consortium BP)_BUDGET YPSO 2008 08-01 Final Interne Covenants v3" xfId="271" xr:uid="{00000000-0005-0000-0000-00000D010000}"/>
    <cellStyle name="_Currency_Cookie Case (consortium BP)_Model YBR+TDC" xfId="272" xr:uid="{00000000-0005-0000-0000-00000E010000}"/>
    <cellStyle name="_Currency_Cookie Case (consortium BP)_Model YBR+TDC_2009 Ypso Budget" xfId="273" xr:uid="{00000000-0005-0000-0000-00000F010000}"/>
    <cellStyle name="_Currency_Cookie Case (consortium BP)_Model YBR+TDC_2009-03 REPORTING 03-04-2009" xfId="274" xr:uid="{00000000-0005-0000-0000-000010010000}"/>
    <cellStyle name="_Currency_Cookie Case (consortium BP)_Model YBR+TDC_BP Newoffer v2" xfId="275" xr:uid="{00000000-0005-0000-0000-000011010000}"/>
    <cellStyle name="_Currency_Cookie Case (consortium BP)_Model YBR+TDC_BUDGET 2008 YPSO Banque v3" xfId="276" xr:uid="{00000000-0005-0000-0000-000012010000}"/>
    <cellStyle name="_Currency_Cookie Case (consortium BP)_Model YBR+TDC_Budget 2009 Completel v6 " xfId="277" xr:uid="{00000000-0005-0000-0000-000013010000}"/>
    <cellStyle name="_Currency_Cookie Case (consortium BP)_Model YBR+TDC_BUDGET YPSO 2008 08-01 Final Interne Covenants v3" xfId="278" xr:uid="{00000000-0005-0000-0000-000014010000}"/>
    <cellStyle name="_Currency_Cookie Case (consortium BP)_Model YBR+TDC_MODELISATION CA 2008-2009" xfId="279" xr:uid="{00000000-0005-0000-0000-000015010000}"/>
    <cellStyle name="_Currency_Cookie Case (consortium BP)_Model YBR+TDC_Reforecast 2010 Altice B2B" xfId="280" xr:uid="{00000000-0005-0000-0000-000016010000}"/>
    <cellStyle name="_Currency_Cookie Case (consortium BP)_Model YBR+TDC_Reporting capex 2009" xfId="281" xr:uid="{00000000-0005-0000-0000-000017010000}"/>
    <cellStyle name="_Currency_Cookie Case (consortium BP)_Model YBR+TDC_Reporting capex 2009-04" xfId="282" xr:uid="{00000000-0005-0000-0000-000018010000}"/>
    <cellStyle name="_Currency_Cookie Case (consortium BP)_Model YBR+TDC_Ypso BP Interne 2008 2009 Avril 08 v11 - Carlyle" xfId="283" xr:uid="{00000000-0005-0000-0000-000019010000}"/>
    <cellStyle name="_Currency_Cookie Case (consortium BP)_Model YBR+TDC_Ypso Financial Budget" xfId="284" xr:uid="{00000000-0005-0000-0000-00001A010000}"/>
    <cellStyle name="_Currency_Cookie Case (consortium BP)_Model YBR+TDC_Ypso financial charges follow-up" xfId="285" xr:uid="{00000000-0005-0000-0000-00001B010000}"/>
    <cellStyle name="_Currency_Cookie Case (consortium BP)_Model YBR+TDC_Ypso Financial Model - version 13" xfId="286" xr:uid="{00000000-0005-0000-0000-00001C010000}"/>
    <cellStyle name="_Currency_Cookie Case (consortium BP)_Model YBR+TDC_Ypso Operational Model - version Banque v11" xfId="287" xr:uid="{00000000-0005-0000-0000-00001D010000}"/>
    <cellStyle name="_Currency_Cookie Case (consortium BP)_Model YBR+TDC_Ypso Operational Model - version Management Finale" xfId="288" xr:uid="{00000000-0005-0000-0000-00001E010000}"/>
    <cellStyle name="_Currency_Cookie Case (consortium BP)_MODELISATION CA 2008-2009" xfId="289" xr:uid="{00000000-0005-0000-0000-00001F010000}"/>
    <cellStyle name="_Currency_Cookie Case (consortium BP)_MODELISATION CA 2008-2009_2009-03 REPORTING 03-04-2009" xfId="290" xr:uid="{00000000-0005-0000-0000-000020010000}"/>
    <cellStyle name="_Currency_Cookie Case (consortium BP)_MODELISATION CA 2008-2009_2010- Ypso Budget Operational Model v1EA" xfId="291" xr:uid="{00000000-0005-0000-0000-000021010000}"/>
    <cellStyle name="_Currency_Cookie Case (consortium BP)_MODELISATION CA 2008-2009_Budget 2009 Div v2" xfId="292" xr:uid="{00000000-0005-0000-0000-000022010000}"/>
    <cellStyle name="_Currency_Cookie Case (consortium BP)_MODELISATION CA 2008-2009_Budget capex 2010 v1" xfId="293" xr:uid="{00000000-0005-0000-0000-000023010000}"/>
    <cellStyle name="_Currency_Cookie Case (consortium BP)_MODELISATION CA 2008-2009_Classeur3" xfId="294" xr:uid="{00000000-0005-0000-0000-000024010000}"/>
    <cellStyle name="_Currency_Cookie Case (consortium BP)_MODELISATION CA 2008-2009_CPE" xfId="295" xr:uid="{00000000-0005-0000-0000-000025010000}"/>
    <cellStyle name="_Currency_Cookie Case (consortium BP)_MODELISATION CA 2008-2009_Fcst capex 2009 V3" xfId="296" xr:uid="{00000000-0005-0000-0000-000026010000}"/>
    <cellStyle name="_Currency_Cookie Case (consortium BP)_MODELISATION CA 2008-2009_Reforecast 2010 Altice B2B" xfId="297" xr:uid="{00000000-0005-0000-0000-000027010000}"/>
    <cellStyle name="_Currency_Cookie Case (consortium BP)_MODELISATION CA 2008-2009_Ypso Operational Model - version Management Finale - 300409" xfId="298" xr:uid="{00000000-0005-0000-0000-000028010000}"/>
    <cellStyle name="_Currency_Cookie Case (consortium BP)_Reforecast 2010 Altice B2B" xfId="299" xr:uid="{00000000-0005-0000-0000-000029010000}"/>
    <cellStyle name="_Currency_Cookie Case (consortium BP)_Reporting capex 2009" xfId="300" xr:uid="{00000000-0005-0000-0000-00002A010000}"/>
    <cellStyle name="_Currency_Cookie Case (consortium BP)_Reporting capex 2009-04" xfId="301" xr:uid="{00000000-0005-0000-0000-00002B010000}"/>
    <cellStyle name="_Currency_Cookie Case (consortium BP)_Reporting Completel 0802  V4" xfId="302" xr:uid="{00000000-0005-0000-0000-00002C010000}"/>
    <cellStyle name="_Currency_Cookie Case (consortium BP)_Reporting Investors Completel July 2008" xfId="303" xr:uid="{00000000-0005-0000-0000-00002D010000}"/>
    <cellStyle name="_Currency_Cookie Case (consortium BP)_Ypso BP Interne 2008 2009 Avril 08 v11 - Carlyle" xfId="304" xr:uid="{00000000-0005-0000-0000-00002E010000}"/>
    <cellStyle name="_Currency_Cookie Case (consortium BP)_Ypso Financial Budget" xfId="305" xr:uid="{00000000-0005-0000-0000-00002F010000}"/>
    <cellStyle name="_Currency_Cookie Case (consortium BP)_Ypso financial charges follow-up" xfId="306" xr:uid="{00000000-0005-0000-0000-000030010000}"/>
    <cellStyle name="_Currency_Cookie Case (consortium BP)_Ypso Financial Model - version 13" xfId="307" xr:uid="{00000000-0005-0000-0000-000031010000}"/>
    <cellStyle name="_Currency_Cookie Case (consortium BP)_Ypso Operational Model - version Banque v11" xfId="308" xr:uid="{00000000-0005-0000-0000-000032010000}"/>
    <cellStyle name="_Currency_Cookie Case (consortium BP)_Ypso Operational Model - version Management Finale" xfId="309" xr:uid="{00000000-0005-0000-0000-000033010000}"/>
    <cellStyle name="_Currency_Grupo Auna buil-up - BNP Paribas assumptions 170505" xfId="310" xr:uid="{00000000-0005-0000-0000-000034010000}"/>
    <cellStyle name="_Currency_Grupo Auna buil-up - BNP Paribas assumptions 170505_2009 Ypso Budget" xfId="311" xr:uid="{00000000-0005-0000-0000-000035010000}"/>
    <cellStyle name="_Currency_Grupo Auna buil-up - BNP Paribas assumptions 170505_2009-03 REPORTING 03-04-2009" xfId="312" xr:uid="{00000000-0005-0000-0000-000036010000}"/>
    <cellStyle name="_Currency_Grupo Auna buil-up - BNP Paribas assumptions 170505_BP Newoffer v2" xfId="313" xr:uid="{00000000-0005-0000-0000-000037010000}"/>
    <cellStyle name="_Currency_Grupo Auna buil-up - BNP Paribas assumptions 170505_BUDGET 2008 YPSO Banque v3" xfId="314" xr:uid="{00000000-0005-0000-0000-000038010000}"/>
    <cellStyle name="_Currency_Grupo Auna buil-up - BNP Paribas assumptions 170505_Budget 2009 Completel v6 " xfId="315" xr:uid="{00000000-0005-0000-0000-000039010000}"/>
    <cellStyle name="_Currency_Grupo Auna buil-up - BNP Paribas assumptions 170505_BUDGET CONSO 2007-05 III" xfId="316" xr:uid="{00000000-0005-0000-0000-00003A010000}"/>
    <cellStyle name="_Currency_Grupo Auna buil-up - BNP Paribas assumptions 170505_BUDGET YPSO 2008 08-01 Final Interne Covenants v3" xfId="317" xr:uid="{00000000-0005-0000-0000-00003B010000}"/>
    <cellStyle name="_Currency_Grupo Auna buil-up - BNP Paribas assumptions 170505_MODELISATION CA 2008-2009" xfId="318" xr:uid="{00000000-0005-0000-0000-00003C010000}"/>
    <cellStyle name="_Currency_Grupo Auna buil-up - BNP Paribas assumptions 170505_Reforecast 2010 Altice B2B" xfId="319" xr:uid="{00000000-0005-0000-0000-00003D010000}"/>
    <cellStyle name="_Currency_Grupo Auna buil-up - BNP Paribas assumptions 170505_Reporting capex 2009" xfId="320" xr:uid="{00000000-0005-0000-0000-00003E010000}"/>
    <cellStyle name="_Currency_Grupo Auna buil-up - BNP Paribas assumptions 170505_Reporting capex 2009-04" xfId="321" xr:uid="{00000000-0005-0000-0000-00003F010000}"/>
    <cellStyle name="_Currency_Grupo Auna buil-up - BNP Paribas assumptions 170505_Reporting Completel 0802  V4" xfId="322" xr:uid="{00000000-0005-0000-0000-000040010000}"/>
    <cellStyle name="_Currency_Grupo Auna buil-up - BNP Paribas assumptions 170505_Reporting Investors Completel July 2008" xfId="323" xr:uid="{00000000-0005-0000-0000-000041010000}"/>
    <cellStyle name="_Currency_Grupo Auna buil-up - BNP Paribas assumptions 170505_Ypso BP Interne 2008 2009 Avril 08 v11 - Carlyle" xfId="324" xr:uid="{00000000-0005-0000-0000-000042010000}"/>
    <cellStyle name="_Currency_Grupo Auna buil-up - BNP Paribas assumptions 170505_Ypso Financial Budget" xfId="325" xr:uid="{00000000-0005-0000-0000-000043010000}"/>
    <cellStyle name="_Currency_Grupo Auna buil-up - BNP Paribas assumptions 170505_Ypso financial charges follow-up" xfId="326" xr:uid="{00000000-0005-0000-0000-000044010000}"/>
    <cellStyle name="_Currency_Grupo Auna buil-up - BNP Paribas assumptions 170505_Ypso Financial Model - version 13" xfId="327" xr:uid="{00000000-0005-0000-0000-000045010000}"/>
    <cellStyle name="_Currency_Grupo Auna buil-up - BNP Paribas assumptions 170505_Ypso Operational Model - version Banque v11" xfId="328" xr:uid="{00000000-0005-0000-0000-000046010000}"/>
    <cellStyle name="_Currency_Grupo Auna buil-up - BNP Paribas assumptions 170505_Ypso Operational Model - version Management Finale" xfId="329" xr:uid="{00000000-0005-0000-0000-000047010000}"/>
    <cellStyle name="_Currency_Jazztel-Model-David-Pablo-final2" xfId="330" xr:uid="{00000000-0005-0000-0000-000048010000}"/>
    <cellStyle name="_Currency_Jazztel-Model-David-Pablo-final2_2009 Banks Reporting Ypso v4" xfId="331" xr:uid="{00000000-0005-0000-0000-000049010000}"/>
    <cellStyle name="_Currency_Jazztel-Model-David-Pablo-final2_2009 Ypso Budget" xfId="332" xr:uid="{00000000-0005-0000-0000-00004A010000}"/>
    <cellStyle name="_Currency_Jazztel-Model-David-Pablo-final2_2009-03 REPORTING 03-04-2009" xfId="333" xr:uid="{00000000-0005-0000-0000-00004B010000}"/>
    <cellStyle name="_Currency_Jazztel-Model-David-Pablo-final2_BP Newoffer v2" xfId="334" xr:uid="{00000000-0005-0000-0000-00004C010000}"/>
    <cellStyle name="_Currency_Jazztel-Model-David-Pablo-final2_BUDGET 2008 YPSO Banque v3" xfId="335" xr:uid="{00000000-0005-0000-0000-00004D010000}"/>
    <cellStyle name="_Currency_Jazztel-Model-David-Pablo-final2_Budget 2009 Completel v6 " xfId="336" xr:uid="{00000000-0005-0000-0000-00004E010000}"/>
    <cellStyle name="_Currency_Jazztel-Model-David-Pablo-final2_BUDGET YPSO 2008 08-01 Final Interne Covenants v3" xfId="337" xr:uid="{00000000-0005-0000-0000-00004F010000}"/>
    <cellStyle name="_Currency_Jazztel-Model-David-Pablo-final2_MODELISATION CA 2008-2009" xfId="338" xr:uid="{00000000-0005-0000-0000-000050010000}"/>
    <cellStyle name="_Currency_Jazztel-Model-David-Pablo-final2_Reforecast 2010 Altice B2B" xfId="339" xr:uid="{00000000-0005-0000-0000-000051010000}"/>
    <cellStyle name="_Currency_Jazztel-Model-David-Pablo-final2_Reporting capex 2009" xfId="340" xr:uid="{00000000-0005-0000-0000-000052010000}"/>
    <cellStyle name="_Currency_Jazztel-Model-David-Pablo-final2_Reporting capex 2009-04" xfId="341" xr:uid="{00000000-0005-0000-0000-000053010000}"/>
    <cellStyle name="_Currency_Jazztel-Model-David-Pablo-final2_Ypso BP Interne 2008 2009 Avril 08 v11 - Carlyle" xfId="342" xr:uid="{00000000-0005-0000-0000-000054010000}"/>
    <cellStyle name="_Currency_NGW_070207" xfId="343" xr:uid="{00000000-0005-0000-0000-000055010000}"/>
    <cellStyle name="_Currency_NGW_070207_2009 Ypso Budget" xfId="344" xr:uid="{00000000-0005-0000-0000-000056010000}"/>
    <cellStyle name="_Currency_NGW_070207_2009-03 REPORTING 03-04-2009" xfId="345" xr:uid="{00000000-0005-0000-0000-000057010000}"/>
    <cellStyle name="_Currency_NGW_070207_BP Newoffer v2" xfId="346" xr:uid="{00000000-0005-0000-0000-000058010000}"/>
    <cellStyle name="_Currency_NGW_070207_BUDGET 2008 YPSO Banque v3" xfId="347" xr:uid="{00000000-0005-0000-0000-000059010000}"/>
    <cellStyle name="_Currency_NGW_070207_Budget 2009 Completel v6 " xfId="348" xr:uid="{00000000-0005-0000-0000-00005A010000}"/>
    <cellStyle name="_Currency_NGW_070207_BUDGET YPSO 2008 08-01 Final Interne Covenants v3" xfId="349" xr:uid="{00000000-0005-0000-0000-00005B010000}"/>
    <cellStyle name="_Currency_NGW_070207_MODELISATION CA 2008-2009" xfId="350" xr:uid="{00000000-0005-0000-0000-00005C010000}"/>
    <cellStyle name="_Currency_NGW_070207_Reforecast 2010 Altice B2B" xfId="351" xr:uid="{00000000-0005-0000-0000-00005D010000}"/>
    <cellStyle name="_Currency_NGW_070207_Reporting capex 2009" xfId="352" xr:uid="{00000000-0005-0000-0000-00005E010000}"/>
    <cellStyle name="_Currency_NGW_070207_Reporting capex 2009-04" xfId="353" xr:uid="{00000000-0005-0000-0000-00005F010000}"/>
    <cellStyle name="_Currency_NGW_070207_Ypso BP Interne 2008 2009 Avril 08 v11 - Carlyle" xfId="354" xr:uid="{00000000-0005-0000-0000-000060010000}"/>
    <cellStyle name="_Currency_NGW_070207_Ypso Financial Budget" xfId="355" xr:uid="{00000000-0005-0000-0000-000061010000}"/>
    <cellStyle name="_Currency_NGW_070207_Ypso financial charges follow-up" xfId="356" xr:uid="{00000000-0005-0000-0000-000062010000}"/>
    <cellStyle name="_Currency_NGW_070207_Ypso Financial Model - version 13" xfId="357" xr:uid="{00000000-0005-0000-0000-000063010000}"/>
    <cellStyle name="_Currency_NGW_070207_Ypso Operational Model - version Banque v11" xfId="358" xr:uid="{00000000-0005-0000-0000-000064010000}"/>
    <cellStyle name="_Currency_NGW_070207_Ypso Operational Model - version Management Finale" xfId="359" xr:uid="{00000000-0005-0000-0000-000065010000}"/>
    <cellStyle name="_Currency_Recap Ypso master master.xls Graphique 1" xfId="360" xr:uid="{00000000-0005-0000-0000-000066010000}"/>
    <cellStyle name="_Currency_Recap Ypso master master.xls Graphique 1_2009 Ypso Budget" xfId="361" xr:uid="{00000000-0005-0000-0000-000067010000}"/>
    <cellStyle name="_Currency_Recap Ypso master master.xls Graphique 1_2009-03 REPORTING 03-04-2009" xfId="362" xr:uid="{00000000-0005-0000-0000-000068010000}"/>
    <cellStyle name="_Currency_Recap Ypso master master.xls Graphique 1_BP Newoffer v2" xfId="363" xr:uid="{00000000-0005-0000-0000-000069010000}"/>
    <cellStyle name="_Currency_Recap Ypso master master.xls Graphique 1_BUDGET 2008 YPSO Banque v3" xfId="364" xr:uid="{00000000-0005-0000-0000-00006A010000}"/>
    <cellStyle name="_Currency_Recap Ypso master master.xls Graphique 1_Budget 2009 Completel v6 " xfId="365" xr:uid="{00000000-0005-0000-0000-00006B010000}"/>
    <cellStyle name="_Currency_Recap Ypso master master.xls Graphique 1_BUDGET CONSO 2007-05 III" xfId="366" xr:uid="{00000000-0005-0000-0000-00006C010000}"/>
    <cellStyle name="_Currency_Recap Ypso master master.xls Graphique 1_BUDGET YPSO 2008 08-01 Final Interne Covenants v3" xfId="367" xr:uid="{00000000-0005-0000-0000-00006D010000}"/>
    <cellStyle name="_Currency_Recap Ypso master master.xls Graphique 1_MODELISATION CA 2008-2009" xfId="368" xr:uid="{00000000-0005-0000-0000-00006E010000}"/>
    <cellStyle name="_Currency_Recap Ypso master master.xls Graphique 1_Reforecast 2010 Altice B2B" xfId="369" xr:uid="{00000000-0005-0000-0000-00006F010000}"/>
    <cellStyle name="_Currency_Recap Ypso master master.xls Graphique 1_Reporting capex 2009" xfId="370" xr:uid="{00000000-0005-0000-0000-000070010000}"/>
    <cellStyle name="_Currency_Recap Ypso master master.xls Graphique 1_Reporting capex 2009-04" xfId="371" xr:uid="{00000000-0005-0000-0000-000071010000}"/>
    <cellStyle name="_Currency_Recap Ypso master master.xls Graphique 1_Reporting Completel 0802  V4" xfId="372" xr:uid="{00000000-0005-0000-0000-000072010000}"/>
    <cellStyle name="_Currency_Recap Ypso master master.xls Graphique 1_Reporting Investors Completel July 2008" xfId="373" xr:uid="{00000000-0005-0000-0000-000073010000}"/>
    <cellStyle name="_Currency_Recap Ypso master master.xls Graphique 1_Ypso BP Interne 2008 2009 Avril 08 v11 - Carlyle" xfId="374" xr:uid="{00000000-0005-0000-0000-000074010000}"/>
    <cellStyle name="_Currency_Recap Ypso master master.xls Graphique 1_Ypso Financial Budget" xfId="375" xr:uid="{00000000-0005-0000-0000-000075010000}"/>
    <cellStyle name="_Currency_Recap Ypso master master.xls Graphique 1_Ypso financial charges follow-up" xfId="376" xr:uid="{00000000-0005-0000-0000-000076010000}"/>
    <cellStyle name="_Currency_Recap Ypso master master.xls Graphique 1_Ypso Financial Model - version 13" xfId="377" xr:uid="{00000000-0005-0000-0000-000077010000}"/>
    <cellStyle name="_Currency_Recap Ypso master master.xls Graphique 1_Ypso Operational Model - version Banque v11" xfId="378" xr:uid="{00000000-0005-0000-0000-000078010000}"/>
    <cellStyle name="_Currency_Recap Ypso master master.xls Graphique 1_Ypso Operational Model - version Management Finale" xfId="379" xr:uid="{00000000-0005-0000-0000-000079010000}"/>
    <cellStyle name="_Currency_Recap Ypso master master.xls Graphique 2" xfId="380" xr:uid="{00000000-0005-0000-0000-00007A010000}"/>
    <cellStyle name="_Currency_Recap Ypso master master.xls Graphique 2_2009 Ypso Budget" xfId="381" xr:uid="{00000000-0005-0000-0000-00007B010000}"/>
    <cellStyle name="_Currency_Recap Ypso master master.xls Graphique 2_2009-03 REPORTING 03-04-2009" xfId="382" xr:uid="{00000000-0005-0000-0000-00007C010000}"/>
    <cellStyle name="_Currency_Recap Ypso master master.xls Graphique 2_BP Newoffer v2" xfId="383" xr:uid="{00000000-0005-0000-0000-00007D010000}"/>
    <cellStyle name="_Currency_Recap Ypso master master.xls Graphique 2_BUDGET 2008 YPSO Banque v3" xfId="384" xr:uid="{00000000-0005-0000-0000-00007E010000}"/>
    <cellStyle name="_Currency_Recap Ypso master master.xls Graphique 2_Budget 2009 Completel v6 " xfId="385" xr:uid="{00000000-0005-0000-0000-00007F010000}"/>
    <cellStyle name="_Currency_Recap Ypso master master.xls Graphique 2_BUDGET CONSO 2007-05 III" xfId="386" xr:uid="{00000000-0005-0000-0000-000080010000}"/>
    <cellStyle name="_Currency_Recap Ypso master master.xls Graphique 2_BUDGET YPSO 2008 08-01 Final Interne Covenants v3" xfId="387" xr:uid="{00000000-0005-0000-0000-000081010000}"/>
    <cellStyle name="_Currency_Recap Ypso master master.xls Graphique 2_MODELISATION CA 2008-2009" xfId="388" xr:uid="{00000000-0005-0000-0000-000082010000}"/>
    <cellStyle name="_Currency_Recap Ypso master master.xls Graphique 2_Reforecast 2010 Altice B2B" xfId="389" xr:uid="{00000000-0005-0000-0000-000083010000}"/>
    <cellStyle name="_Currency_Recap Ypso master master.xls Graphique 2_Reporting capex 2009" xfId="390" xr:uid="{00000000-0005-0000-0000-000084010000}"/>
    <cellStyle name="_Currency_Recap Ypso master master.xls Graphique 2_Reporting capex 2009-04" xfId="391" xr:uid="{00000000-0005-0000-0000-000085010000}"/>
    <cellStyle name="_Currency_Recap Ypso master master.xls Graphique 2_Reporting Completel 0802  V4" xfId="392" xr:uid="{00000000-0005-0000-0000-000086010000}"/>
    <cellStyle name="_Currency_Recap Ypso master master.xls Graphique 2_Reporting Investors Completel July 2008" xfId="393" xr:uid="{00000000-0005-0000-0000-000087010000}"/>
    <cellStyle name="_Currency_Recap Ypso master master.xls Graphique 2_Ypso BP Interne 2008 2009 Avril 08 v11 - Carlyle" xfId="394" xr:uid="{00000000-0005-0000-0000-000088010000}"/>
    <cellStyle name="_Currency_Recap Ypso master master.xls Graphique 2_Ypso Financial Budget" xfId="395" xr:uid="{00000000-0005-0000-0000-000089010000}"/>
    <cellStyle name="_Currency_Recap Ypso master master.xls Graphique 2_Ypso financial charges follow-up" xfId="396" xr:uid="{00000000-0005-0000-0000-00008A010000}"/>
    <cellStyle name="_Currency_Recap Ypso master master.xls Graphique 2_Ypso Financial Model - version 13" xfId="397" xr:uid="{00000000-0005-0000-0000-00008B010000}"/>
    <cellStyle name="_Currency_Recap Ypso master master.xls Graphique 2_Ypso Operational Model - version Banque v11" xfId="398" xr:uid="{00000000-0005-0000-0000-00008C010000}"/>
    <cellStyle name="_Currency_Recap Ypso master master.xls Graphique 2_Ypso Operational Model - version Management Finale" xfId="399" xr:uid="{00000000-0005-0000-0000-00008D010000}"/>
    <cellStyle name="_Currency_Recap Ypso master master.xls Graphique 4" xfId="400" xr:uid="{00000000-0005-0000-0000-00008E010000}"/>
    <cellStyle name="_Currency_Recap Ypso master master.xls Graphique 4_2009 Ypso Budget" xfId="401" xr:uid="{00000000-0005-0000-0000-00008F010000}"/>
    <cellStyle name="_Currency_Recap Ypso master master.xls Graphique 4_2009-03 REPORTING 03-04-2009" xfId="402" xr:uid="{00000000-0005-0000-0000-000090010000}"/>
    <cellStyle name="_Currency_Recap Ypso master master.xls Graphique 4_BP Newoffer v2" xfId="403" xr:uid="{00000000-0005-0000-0000-000091010000}"/>
    <cellStyle name="_Currency_Recap Ypso master master.xls Graphique 4_BUDGET 2008 YPSO Banque v3" xfId="404" xr:uid="{00000000-0005-0000-0000-000092010000}"/>
    <cellStyle name="_Currency_Recap Ypso master master.xls Graphique 4_Budget 2009 Completel v6 " xfId="405" xr:uid="{00000000-0005-0000-0000-000093010000}"/>
    <cellStyle name="_Currency_Recap Ypso master master.xls Graphique 4_BUDGET CONSO 2007-05 III" xfId="406" xr:uid="{00000000-0005-0000-0000-000094010000}"/>
    <cellStyle name="_Currency_Recap Ypso master master.xls Graphique 4_BUDGET YPSO 2008 08-01 Final Interne Covenants v3" xfId="407" xr:uid="{00000000-0005-0000-0000-000095010000}"/>
    <cellStyle name="_Currency_Recap Ypso master master.xls Graphique 4_MODELISATION CA 2008-2009" xfId="408" xr:uid="{00000000-0005-0000-0000-000096010000}"/>
    <cellStyle name="_Currency_Recap Ypso master master.xls Graphique 4_Reforecast 2010 Altice B2B" xfId="409" xr:uid="{00000000-0005-0000-0000-000097010000}"/>
    <cellStyle name="_Currency_Recap Ypso master master.xls Graphique 4_Reporting capex 2009" xfId="410" xr:uid="{00000000-0005-0000-0000-000098010000}"/>
    <cellStyle name="_Currency_Recap Ypso master master.xls Graphique 4_Reporting capex 2009-04" xfId="411" xr:uid="{00000000-0005-0000-0000-000099010000}"/>
    <cellStyle name="_Currency_Recap Ypso master master.xls Graphique 4_Reporting Completel 0802  V4" xfId="412" xr:uid="{00000000-0005-0000-0000-00009A010000}"/>
    <cellStyle name="_Currency_Recap Ypso master master.xls Graphique 4_Reporting Investors Completel July 2008" xfId="413" xr:uid="{00000000-0005-0000-0000-00009B010000}"/>
    <cellStyle name="_Currency_Recap Ypso master master.xls Graphique 4_Ypso BP Interne 2008 2009 Avril 08 v11 - Carlyle" xfId="414" xr:uid="{00000000-0005-0000-0000-00009C010000}"/>
    <cellStyle name="_Currency_Recap Ypso master master.xls Graphique 4_Ypso Financial Budget" xfId="415" xr:uid="{00000000-0005-0000-0000-00009D010000}"/>
    <cellStyle name="_Currency_Recap Ypso master master.xls Graphique 4_Ypso financial charges follow-up" xfId="416" xr:uid="{00000000-0005-0000-0000-00009E010000}"/>
    <cellStyle name="_Currency_Recap Ypso master master.xls Graphique 4_Ypso Financial Model - version 13" xfId="417" xr:uid="{00000000-0005-0000-0000-00009F010000}"/>
    <cellStyle name="_Currency_Recap Ypso master master.xls Graphique 4_Ypso Operational Model - version Banque v11" xfId="418" xr:uid="{00000000-0005-0000-0000-0000A0010000}"/>
    <cellStyle name="_Currency_Recap Ypso master master.xls Graphique 4_Ypso Operational Model - version Management Finale" xfId="419" xr:uid="{00000000-0005-0000-0000-0000A1010000}"/>
    <cellStyle name="_Currency_Reporting Completel 0802  V4" xfId="420" xr:uid="{00000000-0005-0000-0000-0000A2010000}"/>
    <cellStyle name="_Currency_Reporting Investors Completel July 2008" xfId="421" xr:uid="{00000000-0005-0000-0000-0000A3010000}"/>
    <cellStyle name="_CurrencySpace" xfId="422" xr:uid="{00000000-0005-0000-0000-0000A4010000}"/>
    <cellStyle name="_CurrencySpace_2009 Ypso Budget" xfId="423" xr:uid="{00000000-0005-0000-0000-0000A5010000}"/>
    <cellStyle name="_CurrencySpace_2009-03 REPORTING 03-04-2009" xfId="424" xr:uid="{00000000-0005-0000-0000-0000A6010000}"/>
    <cellStyle name="_CurrencySpace_201201 - CLTL BP" xfId="425" xr:uid="{00000000-0005-0000-0000-0000A7010000}"/>
    <cellStyle name="_CurrencySpace_201201 - CLTL BP_BUDGET YPSO 2008 14-12 CD IV" xfId="426" xr:uid="{00000000-0005-0000-0000-0000A8010000}"/>
    <cellStyle name="_CurrencySpace_BP Board June 14 05 to Cinven" xfId="427" xr:uid="{00000000-0005-0000-0000-0000A9010000}"/>
    <cellStyle name="_CurrencySpace_BP Newoffer v2" xfId="428" xr:uid="{00000000-0005-0000-0000-0000AA010000}"/>
    <cellStyle name="_CurrencySpace_BUDGET 2008 YPSO Banque v3" xfId="429" xr:uid="{00000000-0005-0000-0000-0000AB010000}"/>
    <cellStyle name="_CurrencySpace_Budget 2009 Completel v6 " xfId="430" xr:uid="{00000000-0005-0000-0000-0000AC010000}"/>
    <cellStyle name="_CurrencySpace_BUDGET CONSO 2007-05 III" xfId="431" xr:uid="{00000000-0005-0000-0000-0000AD010000}"/>
    <cellStyle name="_CurrencySpace_BUDGET CONSO 2007-05 III_2009-03 REPORTING 03-04-2009" xfId="432" xr:uid="{00000000-0005-0000-0000-0000AE010000}"/>
    <cellStyle name="_CurrencySpace_BUDGET CONSO 2007-05 III_2010- Ypso Budget Operational Model v1EA" xfId="433" xr:uid="{00000000-0005-0000-0000-0000AF010000}"/>
    <cellStyle name="_CurrencySpace_BUDGET CONSO 2007-05 III_BP Newoffer v2" xfId="434" xr:uid="{00000000-0005-0000-0000-0000B0010000}"/>
    <cellStyle name="_CurrencySpace_BUDGET CONSO 2007-05 III_Budget 2009 Div v2" xfId="435" xr:uid="{00000000-0005-0000-0000-0000B1010000}"/>
    <cellStyle name="_CurrencySpace_BUDGET CONSO 2007-05 III_Budget capex 2010 v1" xfId="436" xr:uid="{00000000-0005-0000-0000-0000B2010000}"/>
    <cellStyle name="_CurrencySpace_BUDGET CONSO 2007-05 III_Classeur3" xfId="437" xr:uid="{00000000-0005-0000-0000-0000B3010000}"/>
    <cellStyle name="_CurrencySpace_BUDGET CONSO 2007-05 III_CPE" xfId="438" xr:uid="{00000000-0005-0000-0000-0000B4010000}"/>
    <cellStyle name="_CurrencySpace_BUDGET CONSO 2007-05 III_Fcst capex 2009 V3" xfId="439" xr:uid="{00000000-0005-0000-0000-0000B5010000}"/>
    <cellStyle name="_CurrencySpace_BUDGET CONSO 2007-05 III_Reforecast 2010 Altice B2B" xfId="440" xr:uid="{00000000-0005-0000-0000-0000B6010000}"/>
    <cellStyle name="_CurrencySpace_BUDGET CONSO 2007-05 III_Ypso Operational Model - version Management Finale - 300409" xfId="441" xr:uid="{00000000-0005-0000-0000-0000B7010000}"/>
    <cellStyle name="_CurrencySpace_BUDGET YPSO 2008 08-01 Final Interne Covenants v3" xfId="442" xr:uid="{00000000-0005-0000-0000-0000B8010000}"/>
    <cellStyle name="_CurrencySpace_Cookie Case (consortium BP)" xfId="443" xr:uid="{00000000-0005-0000-0000-0000B9010000}"/>
    <cellStyle name="_CurrencySpace_Cookie Case (consortium BP)_2009 Ypso Budget" xfId="444" xr:uid="{00000000-0005-0000-0000-0000BA010000}"/>
    <cellStyle name="_CurrencySpace_Cookie Case (consortium BP)_2009-03 REPORTING 03-04-2009" xfId="445" xr:uid="{00000000-0005-0000-0000-0000BB010000}"/>
    <cellStyle name="_CurrencySpace_Cookie Case (consortium BP)_BP Newoffer v2" xfId="446" xr:uid="{00000000-0005-0000-0000-0000BC010000}"/>
    <cellStyle name="_CurrencySpace_Cookie Case (consortium BP)_BUDGET 2008 YPSO Banque v3" xfId="447" xr:uid="{00000000-0005-0000-0000-0000BD010000}"/>
    <cellStyle name="_CurrencySpace_Cookie Case (consortium BP)_Budget 2009 Completel v6 " xfId="448" xr:uid="{00000000-0005-0000-0000-0000BE010000}"/>
    <cellStyle name="_CurrencySpace_Cookie Case (consortium BP)_BUDGET CONSO 2007-05 III" xfId="449" xr:uid="{00000000-0005-0000-0000-0000BF010000}"/>
    <cellStyle name="_CurrencySpace_Cookie Case (consortium BP)_BUDGET CONSO 2007-05 III_2009-03 REPORTING 03-04-2009" xfId="450" xr:uid="{00000000-0005-0000-0000-0000C0010000}"/>
    <cellStyle name="_CurrencySpace_Cookie Case (consortium BP)_BUDGET CONSO 2007-05 III_2010- Ypso Budget Operational Model v1EA" xfId="451" xr:uid="{00000000-0005-0000-0000-0000C1010000}"/>
    <cellStyle name="_CurrencySpace_Cookie Case (consortium BP)_BUDGET CONSO 2007-05 III_BP Newoffer v2" xfId="452" xr:uid="{00000000-0005-0000-0000-0000C2010000}"/>
    <cellStyle name="_CurrencySpace_Cookie Case (consortium BP)_BUDGET CONSO 2007-05 III_Budget 2009 Div v2" xfId="453" xr:uid="{00000000-0005-0000-0000-0000C3010000}"/>
    <cellStyle name="_CurrencySpace_Cookie Case (consortium BP)_BUDGET CONSO 2007-05 III_Budget capex 2010 v1" xfId="454" xr:uid="{00000000-0005-0000-0000-0000C4010000}"/>
    <cellStyle name="_CurrencySpace_Cookie Case (consortium BP)_BUDGET CONSO 2007-05 III_Classeur3" xfId="455" xr:uid="{00000000-0005-0000-0000-0000C5010000}"/>
    <cellStyle name="_CurrencySpace_Cookie Case (consortium BP)_BUDGET CONSO 2007-05 III_CPE" xfId="456" xr:uid="{00000000-0005-0000-0000-0000C6010000}"/>
    <cellStyle name="_CurrencySpace_Cookie Case (consortium BP)_BUDGET CONSO 2007-05 III_Fcst capex 2009 V3" xfId="457" xr:uid="{00000000-0005-0000-0000-0000C7010000}"/>
    <cellStyle name="_CurrencySpace_Cookie Case (consortium BP)_BUDGET CONSO 2007-05 III_Reforecast 2010 Altice B2B" xfId="458" xr:uid="{00000000-0005-0000-0000-0000C8010000}"/>
    <cellStyle name="_CurrencySpace_Cookie Case (consortium BP)_BUDGET CONSO 2007-05 III_Ypso Operational Model - version Management Finale - 300409" xfId="459" xr:uid="{00000000-0005-0000-0000-0000C9010000}"/>
    <cellStyle name="_CurrencySpace_Cookie Case (consortium BP)_BUDGET YPSO 2008 08-01 Final Interne Covenants v3" xfId="460" xr:uid="{00000000-0005-0000-0000-0000CA010000}"/>
    <cellStyle name="_CurrencySpace_Cookie Case (consortium BP)_MODELISATION CA 2008-2009" xfId="461" xr:uid="{00000000-0005-0000-0000-0000CB010000}"/>
    <cellStyle name="_CurrencySpace_Cookie Case (consortium BP)_MODELISATION CA 2008-2009_2009-03 REPORTING 03-04-2009" xfId="462" xr:uid="{00000000-0005-0000-0000-0000CC010000}"/>
    <cellStyle name="_CurrencySpace_Cookie Case (consortium BP)_MODELISATION CA 2008-2009_2010- Ypso Budget Operational Model v1EA" xfId="463" xr:uid="{00000000-0005-0000-0000-0000CD010000}"/>
    <cellStyle name="_CurrencySpace_Cookie Case (consortium BP)_MODELISATION CA 2008-2009_Budget 2009 Div v2" xfId="464" xr:uid="{00000000-0005-0000-0000-0000CE010000}"/>
    <cellStyle name="_CurrencySpace_Cookie Case (consortium BP)_MODELISATION CA 2008-2009_Budget capex 2010 v1" xfId="465" xr:uid="{00000000-0005-0000-0000-0000CF010000}"/>
    <cellStyle name="_CurrencySpace_Cookie Case (consortium BP)_MODELISATION CA 2008-2009_Classeur3" xfId="466" xr:uid="{00000000-0005-0000-0000-0000D0010000}"/>
    <cellStyle name="_CurrencySpace_Cookie Case (consortium BP)_MODELISATION CA 2008-2009_CPE" xfId="467" xr:uid="{00000000-0005-0000-0000-0000D1010000}"/>
    <cellStyle name="_CurrencySpace_Cookie Case (consortium BP)_MODELISATION CA 2008-2009_Fcst capex 2009 V3" xfId="468" xr:uid="{00000000-0005-0000-0000-0000D2010000}"/>
    <cellStyle name="_CurrencySpace_Cookie Case (consortium BP)_MODELISATION CA 2008-2009_Reforecast 2010 Altice B2B" xfId="469" xr:uid="{00000000-0005-0000-0000-0000D3010000}"/>
    <cellStyle name="_CurrencySpace_Cookie Case (consortium BP)_MODELISATION CA 2008-2009_Ypso Operational Model - version Management Finale - 300409" xfId="470" xr:uid="{00000000-0005-0000-0000-0000D4010000}"/>
    <cellStyle name="_CurrencySpace_Cookie Case (consortium BP)_Reforecast 2010 Altice B2B" xfId="471" xr:uid="{00000000-0005-0000-0000-0000D5010000}"/>
    <cellStyle name="_CurrencySpace_Cookie Case (consortium BP)_Reporting capex 2009" xfId="472" xr:uid="{00000000-0005-0000-0000-0000D6010000}"/>
    <cellStyle name="_CurrencySpace_Cookie Case (consortium BP)_Reporting capex 2009-04" xfId="473" xr:uid="{00000000-0005-0000-0000-0000D7010000}"/>
    <cellStyle name="_CurrencySpace_Cookie Case (consortium BP)_Reporting Completel 0802  V4" xfId="474" xr:uid="{00000000-0005-0000-0000-0000D8010000}"/>
    <cellStyle name="_CurrencySpace_Cookie Case (consortium BP)_Reporting Investors Completel July 2008" xfId="475" xr:uid="{00000000-0005-0000-0000-0000D9010000}"/>
    <cellStyle name="_CurrencySpace_Cookie Case (consortium BP)_Ypso BP Interne 2008 2009 Avril 08 v11 - Carlyle" xfId="476" xr:uid="{00000000-0005-0000-0000-0000DA010000}"/>
    <cellStyle name="_CurrencySpace_Cookie Case (consortium BP)_Ypso Financial Budget" xfId="477" xr:uid="{00000000-0005-0000-0000-0000DB010000}"/>
    <cellStyle name="_CurrencySpace_Cookie Case (consortium BP)_Ypso financial charges follow-up" xfId="478" xr:uid="{00000000-0005-0000-0000-0000DC010000}"/>
    <cellStyle name="_CurrencySpace_Cookie Case (consortium BP)_Ypso Financial Model - version 13" xfId="479" xr:uid="{00000000-0005-0000-0000-0000DD010000}"/>
    <cellStyle name="_CurrencySpace_Cookie Case (consortium BP)_Ypso Operational Model - version Banque v11" xfId="480" xr:uid="{00000000-0005-0000-0000-0000DE010000}"/>
    <cellStyle name="_CurrencySpace_Cookie Case (consortium BP)_Ypso Operational Model - version Management Finale" xfId="481" xr:uid="{00000000-0005-0000-0000-0000DF010000}"/>
    <cellStyle name="_CurrencySpace_MODELISATION CA 2008-2009" xfId="482" xr:uid="{00000000-0005-0000-0000-0000E0010000}"/>
    <cellStyle name="_CurrencySpace_MODELISATION CA 2008-2009_2009-03 REPORTING 03-04-2009" xfId="483" xr:uid="{00000000-0005-0000-0000-0000E1010000}"/>
    <cellStyle name="_CurrencySpace_MODELISATION CA 2008-2009_2010- Ypso Budget Operational Model v1EA" xfId="484" xr:uid="{00000000-0005-0000-0000-0000E2010000}"/>
    <cellStyle name="_CurrencySpace_MODELISATION CA 2008-2009_Budget 2009 Div v2" xfId="485" xr:uid="{00000000-0005-0000-0000-0000E3010000}"/>
    <cellStyle name="_CurrencySpace_MODELISATION CA 2008-2009_Budget capex 2010 v1" xfId="486" xr:uid="{00000000-0005-0000-0000-0000E4010000}"/>
    <cellStyle name="_CurrencySpace_MODELISATION CA 2008-2009_Classeur3" xfId="487" xr:uid="{00000000-0005-0000-0000-0000E5010000}"/>
    <cellStyle name="_CurrencySpace_MODELISATION CA 2008-2009_CPE" xfId="488" xr:uid="{00000000-0005-0000-0000-0000E6010000}"/>
    <cellStyle name="_CurrencySpace_MODELISATION CA 2008-2009_Fcst capex 2009 V3" xfId="489" xr:uid="{00000000-0005-0000-0000-0000E7010000}"/>
    <cellStyle name="_CurrencySpace_MODELISATION CA 2008-2009_Reforecast 2010 Altice B2B" xfId="490" xr:uid="{00000000-0005-0000-0000-0000E8010000}"/>
    <cellStyle name="_CurrencySpace_MODELISATION CA 2008-2009_Ypso Operational Model - version Management Finale - 300409" xfId="491" xr:uid="{00000000-0005-0000-0000-0000E9010000}"/>
    <cellStyle name="_CurrencySpace_Reforecast 2010 Altice B2B" xfId="492" xr:uid="{00000000-0005-0000-0000-0000EA010000}"/>
    <cellStyle name="_CurrencySpace_Reporting capex 2009" xfId="493" xr:uid="{00000000-0005-0000-0000-0000EB010000}"/>
    <cellStyle name="_CurrencySpace_Reporting capex 2009-04" xfId="494" xr:uid="{00000000-0005-0000-0000-0000EC010000}"/>
    <cellStyle name="_CurrencySpace_Reporting Completel 0802  V4" xfId="495" xr:uid="{00000000-0005-0000-0000-0000ED010000}"/>
    <cellStyle name="_CurrencySpace_Reporting Investors Completel July 2008" xfId="496" xr:uid="{00000000-0005-0000-0000-0000EE010000}"/>
    <cellStyle name="_CurrencySpace_Ypso BP Interne 2008 2009 Avril 08 v11 - Carlyle" xfId="497" xr:uid="{00000000-0005-0000-0000-0000EF010000}"/>
    <cellStyle name="_CurrencySpace_Ypso Financial Budget" xfId="498" xr:uid="{00000000-0005-0000-0000-0000F0010000}"/>
    <cellStyle name="_CurrencySpace_Ypso financial charges follow-up" xfId="499" xr:uid="{00000000-0005-0000-0000-0000F1010000}"/>
    <cellStyle name="_CurrencySpace_Ypso Financial Model - version 13" xfId="500" xr:uid="{00000000-0005-0000-0000-0000F2010000}"/>
    <cellStyle name="_CurrencySpace_Ypso Operational Model - version Banque v11" xfId="501" xr:uid="{00000000-0005-0000-0000-0000F3010000}"/>
    <cellStyle name="_CurrencySpace_Ypso Operational Model - version Management Finale" xfId="502" xr:uid="{00000000-0005-0000-0000-0000F4010000}"/>
    <cellStyle name="_Deal Costs Altice B2B France &amp; Dette Recap" xfId="503" xr:uid="{00000000-0005-0000-0000-0000F5010000}"/>
    <cellStyle name="_Deal Costs Altice B2B France &amp; Dette Recap_P&amp;L BELGIUM" xfId="504" xr:uid="{00000000-0005-0000-0000-0000F6010000}"/>
    <cellStyle name="_Divop NC 2010 Budget" xfId="505" xr:uid="{00000000-0005-0000-0000-0000F7010000}"/>
    <cellStyle name="_Divop NC 2010 Budget_Budget capex 2010 v1" xfId="506" xr:uid="{00000000-0005-0000-0000-0000F8010000}"/>
    <cellStyle name="_Divop NC 2010 Budget_Budget capex 2010 v1_P&amp;L DivOp_Reforecast0410 vEP" xfId="507" xr:uid="{00000000-0005-0000-0000-0000F9010000}"/>
    <cellStyle name="_Divop NC 2010 Budget_P&amp;L DivOp_Reforecast0410 vEP" xfId="508" xr:uid="{00000000-0005-0000-0000-0000FA010000}"/>
    <cellStyle name="_Divop NC 2010 Budget_Reporting capex 2010-04" xfId="509" xr:uid="{00000000-0005-0000-0000-0000FB010000}"/>
    <cellStyle name="_Divop NC 2010 Budget_Reporting capex 2010-05" xfId="510" xr:uid="{00000000-0005-0000-0000-0000FC010000}"/>
    <cellStyle name="_Divop NC 2010 Budget_Reporting capex 2010-12" xfId="511" xr:uid="{00000000-0005-0000-0000-0000FD010000}"/>
    <cellStyle name="_Divop NC 2010 Budget_Reporting capex 2010-12 2" xfId="512" xr:uid="{00000000-0005-0000-0000-0000FE010000}"/>
    <cellStyle name="_Divop NC 2010 Budget_Reporting capex 2010-12 vrai" xfId="513" xr:uid="{00000000-0005-0000-0000-0000FF010000}"/>
    <cellStyle name="_Euro" xfId="514" xr:uid="{00000000-0005-0000-0000-000000020000}"/>
    <cellStyle name="_Euro_2009 Ypso Budget" xfId="515" xr:uid="{00000000-0005-0000-0000-000001020000}"/>
    <cellStyle name="_Euro_2009-03 REPORTING 03-04-2009" xfId="516" xr:uid="{00000000-0005-0000-0000-000002020000}"/>
    <cellStyle name="_Euro_BP Newoffer v2" xfId="517" xr:uid="{00000000-0005-0000-0000-000003020000}"/>
    <cellStyle name="_Euro_BUDGET 2008 YPSO Banque v3" xfId="518" xr:uid="{00000000-0005-0000-0000-000004020000}"/>
    <cellStyle name="_Euro_Budget 2009 Completel v6 " xfId="519" xr:uid="{00000000-0005-0000-0000-000005020000}"/>
    <cellStyle name="_Euro_BUDGET CONSO 2007-05 III" xfId="520" xr:uid="{00000000-0005-0000-0000-000006020000}"/>
    <cellStyle name="_Euro_BUDGET CONSO 2007-05 III_2009-03 REPORTING 03-04-2009" xfId="521" xr:uid="{00000000-0005-0000-0000-000007020000}"/>
    <cellStyle name="_Euro_BUDGET CONSO 2007-05 III_2010- Ypso Budget Operational Model v1EA" xfId="522" xr:uid="{00000000-0005-0000-0000-000008020000}"/>
    <cellStyle name="_Euro_BUDGET CONSO 2007-05 III_BP Newoffer v2" xfId="523" xr:uid="{00000000-0005-0000-0000-000009020000}"/>
    <cellStyle name="_Euro_BUDGET CONSO 2007-05 III_Budget 2009 Div v2" xfId="524" xr:uid="{00000000-0005-0000-0000-00000A020000}"/>
    <cellStyle name="_Euro_BUDGET CONSO 2007-05 III_Budget capex 2010 v1" xfId="525" xr:uid="{00000000-0005-0000-0000-00000B020000}"/>
    <cellStyle name="_Euro_BUDGET CONSO 2007-05 III_Classeur3" xfId="526" xr:uid="{00000000-0005-0000-0000-00000C020000}"/>
    <cellStyle name="_Euro_BUDGET CONSO 2007-05 III_CPE" xfId="527" xr:uid="{00000000-0005-0000-0000-00000D020000}"/>
    <cellStyle name="_Euro_BUDGET CONSO 2007-05 III_Fcst capex 2009 V3" xfId="528" xr:uid="{00000000-0005-0000-0000-00000E020000}"/>
    <cellStyle name="_Euro_BUDGET CONSO 2007-05 III_Reforecast 2010 Altice B2B" xfId="529" xr:uid="{00000000-0005-0000-0000-00000F020000}"/>
    <cellStyle name="_Euro_BUDGET CONSO 2007-05 III_Ypso Operational Model - version Management Finale - 300409" xfId="530" xr:uid="{00000000-0005-0000-0000-000010020000}"/>
    <cellStyle name="_Euro_BUDGET YPSO 2008 08-01 Final Interne Covenants v3" xfId="531" xr:uid="{00000000-0005-0000-0000-000011020000}"/>
    <cellStyle name="_Euro_Cookie Case (consortium BP)" xfId="532" xr:uid="{00000000-0005-0000-0000-000012020000}"/>
    <cellStyle name="_Euro_Cookie Case (consortium BP)_2009 Ypso Budget" xfId="533" xr:uid="{00000000-0005-0000-0000-000013020000}"/>
    <cellStyle name="_Euro_Cookie Case (consortium BP)_2009-03 REPORTING 03-04-2009" xfId="534" xr:uid="{00000000-0005-0000-0000-000014020000}"/>
    <cellStyle name="_Euro_Cookie Case (consortium BP)_BP Newoffer v2" xfId="535" xr:uid="{00000000-0005-0000-0000-000015020000}"/>
    <cellStyle name="_Euro_Cookie Case (consortium BP)_BUDGET 2008 YPSO Banque v3" xfId="536" xr:uid="{00000000-0005-0000-0000-000016020000}"/>
    <cellStyle name="_Euro_Cookie Case (consortium BP)_Budget 2009 Completel v6 " xfId="537" xr:uid="{00000000-0005-0000-0000-000017020000}"/>
    <cellStyle name="_Euro_Cookie Case (consortium BP)_BUDGET CONSO 2007-05 III" xfId="538" xr:uid="{00000000-0005-0000-0000-000018020000}"/>
    <cellStyle name="_Euro_Cookie Case (consortium BP)_BUDGET CONSO 2007-05 III_2009-03 REPORTING 03-04-2009" xfId="539" xr:uid="{00000000-0005-0000-0000-000019020000}"/>
    <cellStyle name="_Euro_Cookie Case (consortium BP)_BUDGET CONSO 2007-05 III_2010- Ypso Budget Operational Model v1EA" xfId="540" xr:uid="{00000000-0005-0000-0000-00001A020000}"/>
    <cellStyle name="_Euro_Cookie Case (consortium BP)_BUDGET CONSO 2007-05 III_BP Newoffer v2" xfId="541" xr:uid="{00000000-0005-0000-0000-00001B020000}"/>
    <cellStyle name="_Euro_Cookie Case (consortium BP)_BUDGET CONSO 2007-05 III_Budget 2009 Div v2" xfId="542" xr:uid="{00000000-0005-0000-0000-00001C020000}"/>
    <cellStyle name="_Euro_Cookie Case (consortium BP)_BUDGET CONSO 2007-05 III_Budget capex 2010 v1" xfId="543" xr:uid="{00000000-0005-0000-0000-00001D020000}"/>
    <cellStyle name="_Euro_Cookie Case (consortium BP)_BUDGET CONSO 2007-05 III_Classeur3" xfId="544" xr:uid="{00000000-0005-0000-0000-00001E020000}"/>
    <cellStyle name="_Euro_Cookie Case (consortium BP)_BUDGET CONSO 2007-05 III_CPE" xfId="545" xr:uid="{00000000-0005-0000-0000-00001F020000}"/>
    <cellStyle name="_Euro_Cookie Case (consortium BP)_BUDGET CONSO 2007-05 III_Fcst capex 2009 V3" xfId="546" xr:uid="{00000000-0005-0000-0000-000020020000}"/>
    <cellStyle name="_Euro_Cookie Case (consortium BP)_BUDGET CONSO 2007-05 III_Reforecast 2010 Altice B2B" xfId="547" xr:uid="{00000000-0005-0000-0000-000021020000}"/>
    <cellStyle name="_Euro_Cookie Case (consortium BP)_BUDGET CONSO 2007-05 III_Ypso Operational Model - version Management Finale - 300409" xfId="548" xr:uid="{00000000-0005-0000-0000-000022020000}"/>
    <cellStyle name="_Euro_Cookie Case (consortium BP)_BUDGET YPSO 2008 08-01 Final Interne Covenants v3" xfId="549" xr:uid="{00000000-0005-0000-0000-000023020000}"/>
    <cellStyle name="_Euro_Cookie Case (consortium BP)_MODELISATION CA 2008-2009" xfId="550" xr:uid="{00000000-0005-0000-0000-000024020000}"/>
    <cellStyle name="_Euro_Cookie Case (consortium BP)_MODELISATION CA 2008-2009_2009-03 REPORTING 03-04-2009" xfId="551" xr:uid="{00000000-0005-0000-0000-000025020000}"/>
    <cellStyle name="_Euro_Cookie Case (consortium BP)_MODELISATION CA 2008-2009_2010- Ypso Budget Operational Model v1EA" xfId="552" xr:uid="{00000000-0005-0000-0000-000026020000}"/>
    <cellStyle name="_Euro_Cookie Case (consortium BP)_MODELISATION CA 2008-2009_Budget 2009 Div v2" xfId="553" xr:uid="{00000000-0005-0000-0000-000027020000}"/>
    <cellStyle name="_Euro_Cookie Case (consortium BP)_MODELISATION CA 2008-2009_Budget capex 2010 v1" xfId="554" xr:uid="{00000000-0005-0000-0000-000028020000}"/>
    <cellStyle name="_Euro_Cookie Case (consortium BP)_MODELISATION CA 2008-2009_Classeur3" xfId="555" xr:uid="{00000000-0005-0000-0000-000029020000}"/>
    <cellStyle name="_Euro_Cookie Case (consortium BP)_MODELISATION CA 2008-2009_CPE" xfId="556" xr:uid="{00000000-0005-0000-0000-00002A020000}"/>
    <cellStyle name="_Euro_Cookie Case (consortium BP)_MODELISATION CA 2008-2009_Fcst capex 2009 V3" xfId="557" xr:uid="{00000000-0005-0000-0000-00002B020000}"/>
    <cellStyle name="_Euro_Cookie Case (consortium BP)_MODELISATION CA 2008-2009_Reforecast 2010 Altice B2B" xfId="558" xr:uid="{00000000-0005-0000-0000-00002C020000}"/>
    <cellStyle name="_Euro_Cookie Case (consortium BP)_MODELISATION CA 2008-2009_Ypso Operational Model - version Management Finale - 300409" xfId="559" xr:uid="{00000000-0005-0000-0000-00002D020000}"/>
    <cellStyle name="_Euro_Cookie Case (consortium BP)_Reforecast 2010 Altice B2B" xfId="560" xr:uid="{00000000-0005-0000-0000-00002E020000}"/>
    <cellStyle name="_Euro_Cookie Case (consortium BP)_Reporting capex 2009" xfId="561" xr:uid="{00000000-0005-0000-0000-00002F020000}"/>
    <cellStyle name="_Euro_Cookie Case (consortium BP)_Reporting capex 2009-04" xfId="562" xr:uid="{00000000-0005-0000-0000-000030020000}"/>
    <cellStyle name="_Euro_Cookie Case (consortium BP)_Reporting Completel 0802  V4" xfId="563" xr:uid="{00000000-0005-0000-0000-000031020000}"/>
    <cellStyle name="_Euro_Cookie Case (consortium BP)_Reporting Investors Completel July 2008" xfId="564" xr:uid="{00000000-0005-0000-0000-000032020000}"/>
    <cellStyle name="_Euro_Cookie Case (consortium BP)_Ypso BP Interne 2008 2009 Avril 08 v11 - Carlyle" xfId="565" xr:uid="{00000000-0005-0000-0000-000033020000}"/>
    <cellStyle name="_Euro_Cookie Case (consortium BP)_Ypso Financial Budget" xfId="566" xr:uid="{00000000-0005-0000-0000-000034020000}"/>
    <cellStyle name="_Euro_Cookie Case (consortium BP)_Ypso financial charges follow-up" xfId="567" xr:uid="{00000000-0005-0000-0000-000035020000}"/>
    <cellStyle name="_Euro_Cookie Case (consortium BP)_Ypso Financial Model - version 13" xfId="568" xr:uid="{00000000-0005-0000-0000-000036020000}"/>
    <cellStyle name="_Euro_Cookie Case (consortium BP)_Ypso Operational Model - version Banque v11" xfId="569" xr:uid="{00000000-0005-0000-0000-000037020000}"/>
    <cellStyle name="_Euro_Cookie Case (consortium BP)_Ypso Operational Model - version Management Finale" xfId="570" xr:uid="{00000000-0005-0000-0000-000038020000}"/>
    <cellStyle name="_Euro_MODELISATION CA 2008-2009" xfId="571" xr:uid="{00000000-0005-0000-0000-000039020000}"/>
    <cellStyle name="_Euro_MODELISATION CA 2008-2009_2009-03 REPORTING 03-04-2009" xfId="572" xr:uid="{00000000-0005-0000-0000-00003A020000}"/>
    <cellStyle name="_Euro_MODELISATION CA 2008-2009_2010- Ypso Budget Operational Model v1EA" xfId="573" xr:uid="{00000000-0005-0000-0000-00003B020000}"/>
    <cellStyle name="_Euro_MODELISATION CA 2008-2009_Budget 2009 Div v2" xfId="574" xr:uid="{00000000-0005-0000-0000-00003C020000}"/>
    <cellStyle name="_Euro_MODELISATION CA 2008-2009_Budget capex 2010 v1" xfId="575" xr:uid="{00000000-0005-0000-0000-00003D020000}"/>
    <cellStyle name="_Euro_MODELISATION CA 2008-2009_Classeur3" xfId="576" xr:uid="{00000000-0005-0000-0000-00003E020000}"/>
    <cellStyle name="_Euro_MODELISATION CA 2008-2009_CPE" xfId="577" xr:uid="{00000000-0005-0000-0000-00003F020000}"/>
    <cellStyle name="_Euro_MODELISATION CA 2008-2009_Fcst capex 2009 V3" xfId="578" xr:uid="{00000000-0005-0000-0000-000040020000}"/>
    <cellStyle name="_Euro_MODELISATION CA 2008-2009_Reforecast 2010 Altice B2B" xfId="579" xr:uid="{00000000-0005-0000-0000-000041020000}"/>
    <cellStyle name="_Euro_MODELISATION CA 2008-2009_Ypso Operational Model - version Management Finale - 300409" xfId="580" xr:uid="{00000000-0005-0000-0000-000042020000}"/>
    <cellStyle name="_Euro_Reforecast 2010 Altice B2B" xfId="581" xr:uid="{00000000-0005-0000-0000-000043020000}"/>
    <cellStyle name="_Euro_Reporting capex 2009" xfId="582" xr:uid="{00000000-0005-0000-0000-000044020000}"/>
    <cellStyle name="_Euro_Reporting capex 2009-04" xfId="583" xr:uid="{00000000-0005-0000-0000-000045020000}"/>
    <cellStyle name="_Euro_Reporting Completel 0802  V4" xfId="584" xr:uid="{00000000-0005-0000-0000-000046020000}"/>
    <cellStyle name="_Euro_Reporting Investors Completel July 2008" xfId="585" xr:uid="{00000000-0005-0000-0000-000047020000}"/>
    <cellStyle name="_Euro_Ypso BP Interne 2008 2009 Avril 08 v11 - Carlyle" xfId="586" xr:uid="{00000000-0005-0000-0000-000048020000}"/>
    <cellStyle name="_Euro_Ypso Financial Budget" xfId="587" xr:uid="{00000000-0005-0000-0000-000049020000}"/>
    <cellStyle name="_Euro_Ypso financial charges follow-up" xfId="588" xr:uid="{00000000-0005-0000-0000-00004A020000}"/>
    <cellStyle name="_Euro_Ypso Financial Model - version 13" xfId="589" xr:uid="{00000000-0005-0000-0000-00004B020000}"/>
    <cellStyle name="_Euro_Ypso Operational Model - version Banque v11" xfId="590" xr:uid="{00000000-0005-0000-0000-00004C020000}"/>
    <cellStyle name="_Euro_Ypso Operational Model - version Management Finale" xfId="591" xr:uid="{00000000-0005-0000-0000-00004D020000}"/>
    <cellStyle name="_Forecast BP Altice B2B Group  may 2009 02 06 09 Management Case" xfId="592" xr:uid="{00000000-0005-0000-0000-00004E020000}"/>
    <cellStyle name="_Forecast BP Altice B2B Group  may 2009 22 05 09" xfId="593" xr:uid="{00000000-0005-0000-0000-00004F020000}"/>
    <cellStyle name="_Heading" xfId="594" xr:uid="{00000000-0005-0000-0000-000050020000}"/>
    <cellStyle name="_Heading_Auna Group - Toro assumptions 120505 Build-up Toro assum to HY" xfId="595" xr:uid="{00000000-0005-0000-0000-000051020000}"/>
    <cellStyle name="_Heading_Auna Group - Toro assumptions 120505 Build-up Toro assum to HY_2010- Ypso Forecast" xfId="596" xr:uid="{00000000-0005-0000-0000-000052020000}"/>
    <cellStyle name="_Heading_Auna Group - Toro assumptions 120505 Build-up Toro assum to HY_2010- Ypso Forecast_modifDivOp27102010" xfId="597" xr:uid="{00000000-0005-0000-0000-000053020000}"/>
    <cellStyle name="_Heading_Auna Group - Toro assumptions 120505 Build-up Toro assum to HY_P&amp;L BELGIUM" xfId="598" xr:uid="{00000000-0005-0000-0000-000054020000}"/>
    <cellStyle name="_Heading_Auna Group - Toro assumptions 120505 Build-up Toro assum to HY_Reforecast 2010 Altice B2B" xfId="599" xr:uid="{00000000-0005-0000-0000-000055020000}"/>
    <cellStyle name="_Heading_Auna Group - Toro assumptions 120505 Build-up Toro assum to HY_Reporting Completel 0802  V4" xfId="600" xr:uid="{00000000-0005-0000-0000-000056020000}"/>
    <cellStyle name="_Heading_Auna Group - Toro assumptions 120505 Build-up Toro assum to HY_Reporting Completel 0802  V4_P&amp;L BELGIUM" xfId="601" xr:uid="{00000000-0005-0000-0000-000057020000}"/>
    <cellStyle name="_Heading_Auna Group - Toro assumptions 120505 Build-up Toro assum to HY_Reporting Investors Completel July 2008" xfId="602" xr:uid="{00000000-0005-0000-0000-000058020000}"/>
    <cellStyle name="_Heading_Auna Group - Toro assumptions 120505 Build-up Toro assum to HY_Ypso Financial Budget" xfId="603" xr:uid="{00000000-0005-0000-0000-000059020000}"/>
    <cellStyle name="_Heading_Auna Group - Toro assumptions 120505 Build-up Toro assum to HY_Ypso Financial Budget_Xl0000004" xfId="604" xr:uid="{00000000-0005-0000-0000-00005A020000}"/>
    <cellStyle name="_Heading_Grupo Auna buil-up - BNP Paribas assumptions 170505" xfId="605" xr:uid="{00000000-0005-0000-0000-00005B020000}"/>
    <cellStyle name="_Heading_Grupo Auna buil-up - BNP Paribas assumptions 170505_2010- Ypso Forecast" xfId="606" xr:uid="{00000000-0005-0000-0000-00005C020000}"/>
    <cellStyle name="_Heading_Grupo Auna buil-up - BNP Paribas assumptions 170505_2010- Ypso Forecast_modifDivOp27102010" xfId="607" xr:uid="{00000000-0005-0000-0000-00005D020000}"/>
    <cellStyle name="_Heading_Grupo Auna buil-up - BNP Paribas assumptions 170505_P&amp;L BELGIUM" xfId="608" xr:uid="{00000000-0005-0000-0000-00005E020000}"/>
    <cellStyle name="_Heading_Grupo Auna buil-up - BNP Paribas assumptions 170505_Reforecast 2010 Altice B2B" xfId="609" xr:uid="{00000000-0005-0000-0000-00005F020000}"/>
    <cellStyle name="_Heading_Grupo Auna buil-up - BNP Paribas assumptions 170505_Reporting Completel 0802  V4" xfId="610" xr:uid="{00000000-0005-0000-0000-000060020000}"/>
    <cellStyle name="_Heading_Grupo Auna buil-up - BNP Paribas assumptions 170505_Reporting Completel 0802  V4_P&amp;L BELGIUM" xfId="611" xr:uid="{00000000-0005-0000-0000-000061020000}"/>
    <cellStyle name="_Heading_Grupo Auna buil-up - BNP Paribas assumptions 170505_Reporting Investors Completel July 2008" xfId="612" xr:uid="{00000000-0005-0000-0000-000062020000}"/>
    <cellStyle name="_Heading_Grupo Auna buil-up - BNP Paribas assumptions 170505_Ypso Financial Budget" xfId="613" xr:uid="{00000000-0005-0000-0000-000063020000}"/>
    <cellStyle name="_Heading_Grupo Auna buil-up - BNP Paribas assumptions 170505_Ypso Financial Budget_Xl0000004" xfId="614" xr:uid="{00000000-0005-0000-0000-000064020000}"/>
    <cellStyle name="_Heading_Model YBR+TDC" xfId="615" xr:uid="{00000000-0005-0000-0000-000065020000}"/>
    <cellStyle name="_Heading_NGW_070207" xfId="616" xr:uid="{00000000-0005-0000-0000-000066020000}"/>
    <cellStyle name="_Heading_NGW_070207_2010- Ypso Forecast" xfId="617" xr:uid="{00000000-0005-0000-0000-000067020000}"/>
    <cellStyle name="_Heading_NGW_070207_2010- Ypso Forecast_modifDivOp27102010" xfId="618" xr:uid="{00000000-0005-0000-0000-000068020000}"/>
    <cellStyle name="_Heading_NGW_070207_P&amp;L BELGIUM" xfId="619" xr:uid="{00000000-0005-0000-0000-000069020000}"/>
    <cellStyle name="_Heading_NGW_070207_Reforecast 2010 Altice B2B" xfId="620" xr:uid="{00000000-0005-0000-0000-00006A020000}"/>
    <cellStyle name="_Heading_NGW_070207_Ypso Financial Budget" xfId="621" xr:uid="{00000000-0005-0000-0000-00006B020000}"/>
    <cellStyle name="_Heading_NGW_070207_Ypso Financial Budget_Xl0000004" xfId="622" xr:uid="{00000000-0005-0000-0000-00006C020000}"/>
    <cellStyle name="_Heading_Recap Ypso master master.xls Graphique 1" xfId="623" xr:uid="{00000000-0005-0000-0000-00006D020000}"/>
    <cellStyle name="_Heading_Recap Ypso master master.xls Graphique 1_2010- Ypso Forecast" xfId="624" xr:uid="{00000000-0005-0000-0000-00006E020000}"/>
    <cellStyle name="_Heading_Recap Ypso master master.xls Graphique 1_2010- Ypso Forecast_modifDivOp27102010" xfId="625" xr:uid="{00000000-0005-0000-0000-00006F020000}"/>
    <cellStyle name="_Heading_Recap Ypso master master.xls Graphique 1_P&amp;L BELGIUM" xfId="626" xr:uid="{00000000-0005-0000-0000-000070020000}"/>
    <cellStyle name="_Heading_Recap Ypso master master.xls Graphique 1_Reforecast 2010 Altice B2B" xfId="627" xr:uid="{00000000-0005-0000-0000-000071020000}"/>
    <cellStyle name="_Heading_Recap Ypso master master.xls Graphique 1_Reporting Completel 0802  V4" xfId="628" xr:uid="{00000000-0005-0000-0000-000072020000}"/>
    <cellStyle name="_Heading_Recap Ypso master master.xls Graphique 1_Reporting Completel 0802  V4_P&amp;L BELGIUM" xfId="629" xr:uid="{00000000-0005-0000-0000-000073020000}"/>
    <cellStyle name="_Heading_Recap Ypso master master.xls Graphique 1_Reporting Investors Completel July 2008" xfId="630" xr:uid="{00000000-0005-0000-0000-000074020000}"/>
    <cellStyle name="_Heading_Recap Ypso master master.xls Graphique 1_Ypso Financial Budget" xfId="631" xr:uid="{00000000-0005-0000-0000-000075020000}"/>
    <cellStyle name="_Heading_Recap Ypso master master.xls Graphique 1_Ypso Financial Budget_Xl0000004" xfId="632" xr:uid="{00000000-0005-0000-0000-000076020000}"/>
    <cellStyle name="_Heading_Recap Ypso master master.xls Graphique 2" xfId="633" xr:uid="{00000000-0005-0000-0000-000077020000}"/>
    <cellStyle name="_Heading_Recap Ypso master master.xls Graphique 2_2010- Ypso Forecast" xfId="634" xr:uid="{00000000-0005-0000-0000-000078020000}"/>
    <cellStyle name="_Heading_Recap Ypso master master.xls Graphique 2_2010- Ypso Forecast_modifDivOp27102010" xfId="635" xr:uid="{00000000-0005-0000-0000-000079020000}"/>
    <cellStyle name="_Heading_Recap Ypso master master.xls Graphique 2_P&amp;L BELGIUM" xfId="636" xr:uid="{00000000-0005-0000-0000-00007A020000}"/>
    <cellStyle name="_Heading_Recap Ypso master master.xls Graphique 2_Reforecast 2010 Altice B2B" xfId="637" xr:uid="{00000000-0005-0000-0000-00007B020000}"/>
    <cellStyle name="_Heading_Recap Ypso master master.xls Graphique 2_Reporting Completel 0802  V4" xfId="638" xr:uid="{00000000-0005-0000-0000-00007C020000}"/>
    <cellStyle name="_Heading_Recap Ypso master master.xls Graphique 2_Reporting Completel 0802  V4_P&amp;L BELGIUM" xfId="639" xr:uid="{00000000-0005-0000-0000-00007D020000}"/>
    <cellStyle name="_Heading_Recap Ypso master master.xls Graphique 2_Reporting Investors Completel July 2008" xfId="640" xr:uid="{00000000-0005-0000-0000-00007E020000}"/>
    <cellStyle name="_Heading_Recap Ypso master master.xls Graphique 2_Ypso Financial Budget" xfId="641" xr:uid="{00000000-0005-0000-0000-00007F020000}"/>
    <cellStyle name="_Heading_Recap Ypso master master.xls Graphique 2_Ypso Financial Budget_Xl0000004" xfId="642" xr:uid="{00000000-0005-0000-0000-000080020000}"/>
    <cellStyle name="_Heading_Recap Ypso master master.xls Graphique 4" xfId="643" xr:uid="{00000000-0005-0000-0000-000081020000}"/>
    <cellStyle name="_Heading_Recap Ypso master master.xls Graphique 4_2010- Ypso Forecast" xfId="644" xr:uid="{00000000-0005-0000-0000-000082020000}"/>
    <cellStyle name="_Heading_Recap Ypso master master.xls Graphique 4_2010- Ypso Forecast_modifDivOp27102010" xfId="645" xr:uid="{00000000-0005-0000-0000-000083020000}"/>
    <cellStyle name="_Heading_Recap Ypso master master.xls Graphique 4_P&amp;L BELGIUM" xfId="646" xr:uid="{00000000-0005-0000-0000-000084020000}"/>
    <cellStyle name="_Heading_Recap Ypso master master.xls Graphique 4_Reforecast 2010 Altice B2B" xfId="647" xr:uid="{00000000-0005-0000-0000-000085020000}"/>
    <cellStyle name="_Heading_Recap Ypso master master.xls Graphique 4_Reporting Completel 0802  V4" xfId="648" xr:uid="{00000000-0005-0000-0000-000086020000}"/>
    <cellStyle name="_Heading_Recap Ypso master master.xls Graphique 4_Reporting Completel 0802  V4_P&amp;L BELGIUM" xfId="649" xr:uid="{00000000-0005-0000-0000-000087020000}"/>
    <cellStyle name="_Heading_Recap Ypso master master.xls Graphique 4_Reporting Investors Completel July 2008" xfId="650" xr:uid="{00000000-0005-0000-0000-000088020000}"/>
    <cellStyle name="_Heading_Recap Ypso master master.xls Graphique 4_Ypso Financial Budget" xfId="651" xr:uid="{00000000-0005-0000-0000-000089020000}"/>
    <cellStyle name="_Heading_Recap Ypso master master.xls Graphique 4_Ypso Financial Budget_Xl0000004" xfId="652" xr:uid="{00000000-0005-0000-0000-00008A020000}"/>
    <cellStyle name="_Highlight" xfId="653" xr:uid="{00000000-0005-0000-0000-00008B020000}"/>
    <cellStyle name="_Highlight_Reporting Completel 0802  V4" xfId="654" xr:uid="{00000000-0005-0000-0000-00008C020000}"/>
    <cellStyle name="_Highlight_Reporting Investors Completel July 2008" xfId="655" xr:uid="{00000000-0005-0000-0000-00008D020000}"/>
    <cellStyle name="_Multiple" xfId="656" xr:uid="{00000000-0005-0000-0000-00008E020000}"/>
    <cellStyle name="_Multiple 2" xfId="2371" xr:uid="{00000000-0005-0000-0000-00008F020000}"/>
    <cellStyle name="_Multiple_BP Board June 14 05 to Cinven" xfId="657" xr:uid="{00000000-0005-0000-0000-000090020000}"/>
    <cellStyle name="_Multiple_BP Board June 14 05 to Cinven_2009 Banks Reporting Ypso v4" xfId="658" xr:uid="{00000000-0005-0000-0000-000091020000}"/>
    <cellStyle name="_Multiple_BP Board June 14 05 to Cinven_2009 Ypso Budget" xfId="659" xr:uid="{00000000-0005-0000-0000-000092020000}"/>
    <cellStyle name="_Multiple_BP Board June 14 05 to Cinven_2009-03 REPORTING 03-04-2009" xfId="660" xr:uid="{00000000-0005-0000-0000-000093020000}"/>
    <cellStyle name="_Multiple_BP Board June 14 05 to Cinven_BP Newoffer v2" xfId="661" xr:uid="{00000000-0005-0000-0000-000094020000}"/>
    <cellStyle name="_Multiple_BP Board June 14 05 to Cinven_BUDGET 2008 YPSO Banque v3" xfId="662" xr:uid="{00000000-0005-0000-0000-000095020000}"/>
    <cellStyle name="_Multiple_BP Board June 14 05 to Cinven_Budget 2009 Completel v6 " xfId="663" xr:uid="{00000000-0005-0000-0000-000096020000}"/>
    <cellStyle name="_Multiple_BP Board June 14 05 to Cinven_BUDGET YPSO 2008 08-01 Final Interne Covenants v3" xfId="664" xr:uid="{00000000-0005-0000-0000-000097020000}"/>
    <cellStyle name="_Multiple_BP Board June 14 05 to Cinven_MODELISATION CA 2008-2009" xfId="665" xr:uid="{00000000-0005-0000-0000-000098020000}"/>
    <cellStyle name="_Multiple_BP Board June 14 05 to Cinven_Reforecast 2010 Altice B2B" xfId="666" xr:uid="{00000000-0005-0000-0000-000099020000}"/>
    <cellStyle name="_Multiple_BP Board June 14 05 to Cinven_Reporting capex 2009" xfId="667" xr:uid="{00000000-0005-0000-0000-00009A020000}"/>
    <cellStyle name="_Multiple_BP Board June 14 05 to Cinven_Reporting capex 2009-04" xfId="668" xr:uid="{00000000-0005-0000-0000-00009B020000}"/>
    <cellStyle name="_Multiple_BP Board June 14 05 to Cinven_Ypso BP Interne 2008 2009 Avril 08 v11 - Carlyle" xfId="669" xr:uid="{00000000-0005-0000-0000-00009C020000}"/>
    <cellStyle name="_Multiple_BUDGET YPSO 2008 14-12 CD IV" xfId="670" xr:uid="{00000000-0005-0000-0000-00009D020000}"/>
    <cellStyle name="_Multiple_Cookie Case (consortium BP)" xfId="671" xr:uid="{00000000-0005-0000-0000-00009E020000}"/>
    <cellStyle name="_Multiple_Cookie Case (consortium BP)_2009 Ypso Budget" xfId="672" xr:uid="{00000000-0005-0000-0000-00009F020000}"/>
    <cellStyle name="_Multiple_Cookie Case (consortium BP)_2009-03 REPORTING 03-04-2009" xfId="673" xr:uid="{00000000-0005-0000-0000-0000A0020000}"/>
    <cellStyle name="_Multiple_Cookie Case (consortium BP)_Budget 2009 Completel v6 " xfId="674" xr:uid="{00000000-0005-0000-0000-0000A1020000}"/>
    <cellStyle name="_Multiple_Cookie Case (consortium BP)_BUDGET CONSO 2007-05 III" xfId="675" xr:uid="{00000000-0005-0000-0000-0000A2020000}"/>
    <cellStyle name="_Multiple_Cookie Case (consortium BP)_BUDGET YPSO 2008 08-01 Final Interne Covenants v3" xfId="676" xr:uid="{00000000-0005-0000-0000-0000A3020000}"/>
    <cellStyle name="_Multiple_Cookie Case (consortium BP)_MODELISATION CA 2008-2009" xfId="677" xr:uid="{00000000-0005-0000-0000-0000A4020000}"/>
    <cellStyle name="_Multiple_Cookie Case (consortium BP)_Pablo BP draft 08 10 2007" xfId="678" xr:uid="{00000000-0005-0000-0000-0000A5020000}"/>
    <cellStyle name="_Multiple_Cookie Case (consortium BP)_prépa bilan 2008 2009" xfId="679" xr:uid="{00000000-0005-0000-0000-0000A6020000}"/>
    <cellStyle name="_Multiple_Cookie Case (consortium BP)_Reforecast 2010 Altice B2B" xfId="680" xr:uid="{00000000-0005-0000-0000-0000A7020000}"/>
    <cellStyle name="_Multiple_Cookie Case (consortium BP)_Reporting capex 2009" xfId="681" xr:uid="{00000000-0005-0000-0000-0000A8020000}"/>
    <cellStyle name="_Multiple_Cookie Case (consortium BP)_Reporting capex 2009-04" xfId="682" xr:uid="{00000000-0005-0000-0000-0000A9020000}"/>
    <cellStyle name="_Multiple_Cookie Case (consortium BP)_Reporting Completel 0802  V4" xfId="683" xr:uid="{00000000-0005-0000-0000-0000AA020000}"/>
    <cellStyle name="_Multiple_Cookie Case (consortium BP)_Reporting Investors Completel July 2008" xfId="684" xr:uid="{00000000-0005-0000-0000-0000AB020000}"/>
    <cellStyle name="_Multiple_Cookie Case (consortium BP)_Ypso Financial Budget" xfId="685" xr:uid="{00000000-0005-0000-0000-0000AC020000}"/>
    <cellStyle name="_Multiple_Cookie Case (consortium BP)_Ypso financial charges follow-up" xfId="686" xr:uid="{00000000-0005-0000-0000-0000AD020000}"/>
    <cellStyle name="_Multiple_Cookie Case (consortium BP)_Ypso Financial Model - version 13" xfId="687" xr:uid="{00000000-0005-0000-0000-0000AE020000}"/>
    <cellStyle name="_Multiple_Cookie Case (consortium BP)_Ypso Operational Model - version Banque v11" xfId="688" xr:uid="{00000000-0005-0000-0000-0000AF020000}"/>
    <cellStyle name="_Multiple_Cookie Case (consortium BP)_Ypso Operational Model - version Management Finale" xfId="689" xr:uid="{00000000-0005-0000-0000-0000B0020000}"/>
    <cellStyle name="_Multiple_Jazztel-Model-David-Pablo-final2" xfId="690" xr:uid="{00000000-0005-0000-0000-0000B1020000}"/>
    <cellStyle name="_Multiple_Jazztel-Model-David-Pablo-final2_2009 Banks Reporting Ypso v4" xfId="691" xr:uid="{00000000-0005-0000-0000-0000B2020000}"/>
    <cellStyle name="_Multiple_Jazztel-Model-David-Pablo-final2_2009 Ypso Budget" xfId="692" xr:uid="{00000000-0005-0000-0000-0000B3020000}"/>
    <cellStyle name="_Multiple_Jazztel-Model-David-Pablo-final2_2009-03 REPORTING 03-04-2009" xfId="693" xr:uid="{00000000-0005-0000-0000-0000B4020000}"/>
    <cellStyle name="_Multiple_Jazztel-Model-David-Pablo-final2_BP Newoffer v2" xfId="694" xr:uid="{00000000-0005-0000-0000-0000B5020000}"/>
    <cellStyle name="_Multiple_Jazztel-Model-David-Pablo-final2_BUDGET 2008 YPSO Banque v3" xfId="695" xr:uid="{00000000-0005-0000-0000-0000B6020000}"/>
    <cellStyle name="_Multiple_Jazztel-Model-David-Pablo-final2_Budget 2009 Completel v6 " xfId="696" xr:uid="{00000000-0005-0000-0000-0000B7020000}"/>
    <cellStyle name="_Multiple_Jazztel-Model-David-Pablo-final2_BUDGET YPSO 2008 08-01 Final Interne Covenants v3" xfId="697" xr:uid="{00000000-0005-0000-0000-0000B8020000}"/>
    <cellStyle name="_Multiple_Jazztel-Model-David-Pablo-final2_MODELISATION CA 2008-2009" xfId="698" xr:uid="{00000000-0005-0000-0000-0000B9020000}"/>
    <cellStyle name="_Multiple_Jazztel-Model-David-Pablo-final2_Reforecast 2010 Altice B2B" xfId="699" xr:uid="{00000000-0005-0000-0000-0000BA020000}"/>
    <cellStyle name="_Multiple_Jazztel-Model-David-Pablo-final2_Reporting capex 2009" xfId="700" xr:uid="{00000000-0005-0000-0000-0000BB020000}"/>
    <cellStyle name="_Multiple_Jazztel-Model-David-Pablo-final2_Reporting capex 2009-04" xfId="701" xr:uid="{00000000-0005-0000-0000-0000BC020000}"/>
    <cellStyle name="_Multiple_Jazztel-Model-David-Pablo-final2_Ypso BP Interne 2008 2009 Avril 08 v11 - Carlyle" xfId="702" xr:uid="{00000000-0005-0000-0000-0000BD020000}"/>
    <cellStyle name="_Multiple_Reporting Completel 0802  V4" xfId="703" xr:uid="{00000000-0005-0000-0000-0000BE020000}"/>
    <cellStyle name="_Multiple_Reporting Investors Completel July 2008" xfId="704" xr:uid="{00000000-0005-0000-0000-0000BF020000}"/>
    <cellStyle name="_MultipleSpace" xfId="705" xr:uid="{00000000-0005-0000-0000-0000C0020000}"/>
    <cellStyle name="_MultipleSpace_2009 Ypso Budget" xfId="706" xr:uid="{00000000-0005-0000-0000-0000C1020000}"/>
    <cellStyle name="_MultipleSpace_2009-03 REPORTING 03-04-2009" xfId="707" xr:uid="{00000000-0005-0000-0000-0000C2020000}"/>
    <cellStyle name="_MultipleSpace_BP Board June 14 05 to Cinven" xfId="708" xr:uid="{00000000-0005-0000-0000-0000C3020000}"/>
    <cellStyle name="_MultipleSpace_BP Board June 14 05 to Cinven_2009 Banks Reporting Ypso v4" xfId="709" xr:uid="{00000000-0005-0000-0000-0000C4020000}"/>
    <cellStyle name="_MultipleSpace_BP Board June 14 05 to Cinven_2009 Ypso Budget" xfId="710" xr:uid="{00000000-0005-0000-0000-0000C5020000}"/>
    <cellStyle name="_MultipleSpace_BP Board June 14 05 to Cinven_2009-03 REPORTING 03-04-2009" xfId="711" xr:uid="{00000000-0005-0000-0000-0000C6020000}"/>
    <cellStyle name="_MultipleSpace_BP Board June 14 05 to Cinven_BP Newoffer v2" xfId="712" xr:uid="{00000000-0005-0000-0000-0000C7020000}"/>
    <cellStyle name="_MultipleSpace_BP Board June 14 05 to Cinven_BUDGET 2008 YPSO Banque v3" xfId="713" xr:uid="{00000000-0005-0000-0000-0000C8020000}"/>
    <cellStyle name="_MultipleSpace_BP Board June 14 05 to Cinven_Budget 2009 Completel v6 " xfId="714" xr:uid="{00000000-0005-0000-0000-0000C9020000}"/>
    <cellStyle name="_MultipleSpace_BP Board June 14 05 to Cinven_BUDGET YPSO 2008 08-01 Final Interne Covenants v3" xfId="715" xr:uid="{00000000-0005-0000-0000-0000CA020000}"/>
    <cellStyle name="_MultipleSpace_BP Board June 14 05 to Cinven_MODELISATION CA 2008-2009" xfId="716" xr:uid="{00000000-0005-0000-0000-0000CB020000}"/>
    <cellStyle name="_MultipleSpace_BP Board June 14 05 to Cinven_MODELISATION CA 2008-2009_2009-03 REPORTING 03-04-2009" xfId="717" xr:uid="{00000000-0005-0000-0000-0000CC020000}"/>
    <cellStyle name="_MultipleSpace_BP Board June 14 05 to Cinven_MODELISATION CA 2008-2009_2010- Ypso Budget Operational Model v1EA" xfId="718" xr:uid="{00000000-0005-0000-0000-0000CD020000}"/>
    <cellStyle name="_MultipleSpace_BP Board June 14 05 to Cinven_MODELISATION CA 2008-2009_Budget 2009 Div v2" xfId="719" xr:uid="{00000000-0005-0000-0000-0000CE020000}"/>
    <cellStyle name="_MultipleSpace_BP Board June 14 05 to Cinven_MODELISATION CA 2008-2009_Budget capex 2010 v1" xfId="720" xr:uid="{00000000-0005-0000-0000-0000CF020000}"/>
    <cellStyle name="_MultipleSpace_BP Board June 14 05 to Cinven_MODELISATION CA 2008-2009_Classeur3" xfId="721" xr:uid="{00000000-0005-0000-0000-0000D0020000}"/>
    <cellStyle name="_MultipleSpace_BP Board June 14 05 to Cinven_MODELISATION CA 2008-2009_CPE" xfId="722" xr:uid="{00000000-0005-0000-0000-0000D1020000}"/>
    <cellStyle name="_MultipleSpace_BP Board June 14 05 to Cinven_MODELISATION CA 2008-2009_Fcst capex 2009 V3" xfId="723" xr:uid="{00000000-0005-0000-0000-0000D2020000}"/>
    <cellStyle name="_MultipleSpace_BP Board June 14 05 to Cinven_MODELISATION CA 2008-2009_Reforecast 2010 Altice B2B" xfId="724" xr:uid="{00000000-0005-0000-0000-0000D3020000}"/>
    <cellStyle name="_MultipleSpace_BP Board June 14 05 to Cinven_MODELISATION CA 2008-2009_Ypso Operational Model - version Management Finale - 300409" xfId="725" xr:uid="{00000000-0005-0000-0000-0000D4020000}"/>
    <cellStyle name="_MultipleSpace_BP Board June 14 05 to Cinven_Reforecast 2010 Altice B2B" xfId="726" xr:uid="{00000000-0005-0000-0000-0000D5020000}"/>
    <cellStyle name="_MultipleSpace_BP Board June 14 05 to Cinven_Reporting capex 2009" xfId="727" xr:uid="{00000000-0005-0000-0000-0000D6020000}"/>
    <cellStyle name="_MultipleSpace_BP Board June 14 05 to Cinven_Reporting capex 2009-04" xfId="728" xr:uid="{00000000-0005-0000-0000-0000D7020000}"/>
    <cellStyle name="_MultipleSpace_BP Board June 14 05 to Cinven_Ypso BP Interne 2008 2009 Avril 08 v11 - Carlyle" xfId="729" xr:uid="{00000000-0005-0000-0000-0000D8020000}"/>
    <cellStyle name="_MultipleSpace_BP Newoffer v2" xfId="730" xr:uid="{00000000-0005-0000-0000-0000D9020000}"/>
    <cellStyle name="_MultipleSpace_BUDGET 2008 YPSO Banque v3" xfId="731" xr:uid="{00000000-0005-0000-0000-0000DA020000}"/>
    <cellStyle name="_MultipleSpace_Budget 2009 Completel v6 " xfId="732" xr:uid="{00000000-0005-0000-0000-0000DB020000}"/>
    <cellStyle name="_MultipleSpace_BUDGET CONSO 2007-05 III" xfId="733" xr:uid="{00000000-0005-0000-0000-0000DC020000}"/>
    <cellStyle name="_MultipleSpace_BUDGET CONSO 2007-05 III_2009-03 REPORTING 03-04-2009" xfId="734" xr:uid="{00000000-0005-0000-0000-0000DD020000}"/>
    <cellStyle name="_MultipleSpace_BUDGET CONSO 2007-05 III_2010- Ypso Budget Operational Model v1EA" xfId="735" xr:uid="{00000000-0005-0000-0000-0000DE020000}"/>
    <cellStyle name="_MultipleSpace_BUDGET CONSO 2007-05 III_BP Newoffer v2" xfId="736" xr:uid="{00000000-0005-0000-0000-0000DF020000}"/>
    <cellStyle name="_MultipleSpace_BUDGET CONSO 2007-05 III_Budget 2009 Div v2" xfId="737" xr:uid="{00000000-0005-0000-0000-0000E0020000}"/>
    <cellStyle name="_MultipleSpace_BUDGET CONSO 2007-05 III_Budget capex 2010 v1" xfId="738" xr:uid="{00000000-0005-0000-0000-0000E1020000}"/>
    <cellStyle name="_MultipleSpace_BUDGET CONSO 2007-05 III_Classeur3" xfId="739" xr:uid="{00000000-0005-0000-0000-0000E2020000}"/>
    <cellStyle name="_MultipleSpace_BUDGET CONSO 2007-05 III_CPE" xfId="740" xr:uid="{00000000-0005-0000-0000-0000E3020000}"/>
    <cellStyle name="_MultipleSpace_BUDGET CONSO 2007-05 III_Fcst capex 2009 V3" xfId="741" xr:uid="{00000000-0005-0000-0000-0000E4020000}"/>
    <cellStyle name="_MultipleSpace_BUDGET CONSO 2007-05 III_Reforecast 2010 Altice B2B" xfId="742" xr:uid="{00000000-0005-0000-0000-0000E5020000}"/>
    <cellStyle name="_MultipleSpace_BUDGET CONSO 2007-05 III_Ypso Operational Model - version Management Finale - 300409" xfId="743" xr:uid="{00000000-0005-0000-0000-0000E6020000}"/>
    <cellStyle name="_MultipleSpace_BUDGET YPSO 2008 08-01 Final Interne Covenants v3" xfId="744" xr:uid="{00000000-0005-0000-0000-0000E7020000}"/>
    <cellStyle name="_MultipleSpace_Cookie Case (consortium BP)" xfId="745" xr:uid="{00000000-0005-0000-0000-0000E8020000}"/>
    <cellStyle name="_MultipleSpace_Cookie Case (consortium BP)_BUDGET YPSO 2008 14-12 CD IV" xfId="746" xr:uid="{00000000-0005-0000-0000-0000E9020000}"/>
    <cellStyle name="_MultipleSpace_Cookie Case (consortium BP)_Reporting Completel 0802  V4" xfId="747" xr:uid="{00000000-0005-0000-0000-0000EA020000}"/>
    <cellStyle name="_MultipleSpace_Cookie Case (consortium BP)_Reporting Investors Completel July 2008" xfId="748" xr:uid="{00000000-0005-0000-0000-0000EB020000}"/>
    <cellStyle name="_MultipleSpace_Jazztel-Model-David-Pablo-final2" xfId="749" xr:uid="{00000000-0005-0000-0000-0000EC020000}"/>
    <cellStyle name="_MultipleSpace_Jazztel-Model-David-Pablo-final2_2009 Banks Reporting Ypso v4" xfId="750" xr:uid="{00000000-0005-0000-0000-0000ED020000}"/>
    <cellStyle name="_MultipleSpace_Jazztel-Model-David-Pablo-final2_2009 Ypso Budget" xfId="751" xr:uid="{00000000-0005-0000-0000-0000EE020000}"/>
    <cellStyle name="_MultipleSpace_Jazztel-Model-David-Pablo-final2_2009-03 REPORTING 03-04-2009" xfId="752" xr:uid="{00000000-0005-0000-0000-0000EF020000}"/>
    <cellStyle name="_MultipleSpace_Jazztel-Model-David-Pablo-final2_BP Newoffer v2" xfId="753" xr:uid="{00000000-0005-0000-0000-0000F0020000}"/>
    <cellStyle name="_MultipleSpace_Jazztel-Model-David-Pablo-final2_BUDGET 2008 YPSO Banque v3" xfId="754" xr:uid="{00000000-0005-0000-0000-0000F1020000}"/>
    <cellStyle name="_MultipleSpace_Jazztel-Model-David-Pablo-final2_Budget 2009 Completel v6 " xfId="755" xr:uid="{00000000-0005-0000-0000-0000F2020000}"/>
    <cellStyle name="_MultipleSpace_Jazztel-Model-David-Pablo-final2_BUDGET YPSO 2008 08-01 Final Interne Covenants v3" xfId="756" xr:uid="{00000000-0005-0000-0000-0000F3020000}"/>
    <cellStyle name="_MultipleSpace_Jazztel-Model-David-Pablo-final2_MODELISATION CA 2008-2009" xfId="757" xr:uid="{00000000-0005-0000-0000-0000F4020000}"/>
    <cellStyle name="_MultipleSpace_Jazztel-Model-David-Pablo-final2_Reforecast 2010 Altice B2B" xfId="758" xr:uid="{00000000-0005-0000-0000-0000F5020000}"/>
    <cellStyle name="_MultipleSpace_Jazztel-Model-David-Pablo-final2_Reporting capex 2009" xfId="759" xr:uid="{00000000-0005-0000-0000-0000F6020000}"/>
    <cellStyle name="_MultipleSpace_Jazztel-Model-David-Pablo-final2_Reporting capex 2009-04" xfId="760" xr:uid="{00000000-0005-0000-0000-0000F7020000}"/>
    <cellStyle name="_MultipleSpace_Jazztel-Model-David-Pablo-final2_Ypso BP Interne 2008 2009 Avril 08 v11 - Carlyle" xfId="761" xr:uid="{00000000-0005-0000-0000-0000F8020000}"/>
    <cellStyle name="_MultipleSpace_MODELISATION CA 2008-2009" xfId="762" xr:uid="{00000000-0005-0000-0000-0000F9020000}"/>
    <cellStyle name="_MultipleSpace_MODELISATION CA 2008-2009_2009-03 REPORTING 03-04-2009" xfId="763" xr:uid="{00000000-0005-0000-0000-0000FA020000}"/>
    <cellStyle name="_MultipleSpace_MODELISATION CA 2008-2009_2010- Ypso Budget Operational Model v1EA" xfId="764" xr:uid="{00000000-0005-0000-0000-0000FB020000}"/>
    <cellStyle name="_MultipleSpace_MODELISATION CA 2008-2009_Budget 2009 Div v2" xfId="765" xr:uid="{00000000-0005-0000-0000-0000FC020000}"/>
    <cellStyle name="_MultipleSpace_MODELISATION CA 2008-2009_Budget capex 2010 v1" xfId="766" xr:uid="{00000000-0005-0000-0000-0000FD020000}"/>
    <cellStyle name="_MultipleSpace_MODELISATION CA 2008-2009_Classeur3" xfId="767" xr:uid="{00000000-0005-0000-0000-0000FE020000}"/>
    <cellStyle name="_MultipleSpace_MODELISATION CA 2008-2009_CPE" xfId="768" xr:uid="{00000000-0005-0000-0000-0000FF020000}"/>
    <cellStyle name="_MultipleSpace_MODELISATION CA 2008-2009_Fcst capex 2009 V3" xfId="769" xr:uid="{00000000-0005-0000-0000-000000030000}"/>
    <cellStyle name="_MultipleSpace_MODELISATION CA 2008-2009_Reforecast 2010 Altice B2B" xfId="770" xr:uid="{00000000-0005-0000-0000-000001030000}"/>
    <cellStyle name="_MultipleSpace_MODELISATION CA 2008-2009_Ypso Operational Model - version Management Finale - 300409" xfId="771" xr:uid="{00000000-0005-0000-0000-000002030000}"/>
    <cellStyle name="_MultipleSpace_Reforecast 2010 Altice B2B" xfId="772" xr:uid="{00000000-0005-0000-0000-000003030000}"/>
    <cellStyle name="_MultipleSpace_Reporting capex 2009" xfId="773" xr:uid="{00000000-0005-0000-0000-000004030000}"/>
    <cellStyle name="_MultipleSpace_Reporting capex 2009-04" xfId="774" xr:uid="{00000000-0005-0000-0000-000005030000}"/>
    <cellStyle name="_MultipleSpace_Reporting Completel 0802  V4" xfId="775" xr:uid="{00000000-0005-0000-0000-000006030000}"/>
    <cellStyle name="_MultipleSpace_Reporting Investors Completel July 2008" xfId="776" xr:uid="{00000000-0005-0000-0000-000007030000}"/>
    <cellStyle name="_MultipleSpace_Ypso BP Interne 2008 2009 Avril 08 v11 - Carlyle" xfId="777" xr:uid="{00000000-0005-0000-0000-000008030000}"/>
    <cellStyle name="_MultipleSpace_Ypso Financial Budget" xfId="778" xr:uid="{00000000-0005-0000-0000-000009030000}"/>
    <cellStyle name="_MultipleSpace_Ypso financial charges follow-up" xfId="779" xr:uid="{00000000-0005-0000-0000-00000A030000}"/>
    <cellStyle name="_MultipleSpace_Ypso Financial Model - version 13" xfId="780" xr:uid="{00000000-0005-0000-0000-00000B030000}"/>
    <cellStyle name="_MultipleSpace_Ypso Operational Model - version Banque v11" xfId="781" xr:uid="{00000000-0005-0000-0000-00000C030000}"/>
    <cellStyle name="_MultipleSpace_Ypso Operational Model - version Management Finale" xfId="782" xr:uid="{00000000-0005-0000-0000-00000D030000}"/>
    <cellStyle name="_NGW_070207" xfId="783" xr:uid="{00000000-0005-0000-0000-00000E030000}"/>
    <cellStyle name="_Numericable Completel Darty BP 090708" xfId="784" xr:uid="{00000000-0005-0000-0000-00000F030000}"/>
    <cellStyle name="_Numericable Completel Darty BP 090708_2010- Ypso Forecast" xfId="785" xr:uid="{00000000-0005-0000-0000-000010030000}"/>
    <cellStyle name="_Numericable Completel Darty BP 090708_2010- Ypso Forecast_modifDivOp27102010" xfId="786" xr:uid="{00000000-0005-0000-0000-000011030000}"/>
    <cellStyle name="_Numericable Completel Darty BP 090708_2010- Ypso Forecast_P&amp;L DivOp_Reforecast0410 vEP" xfId="787" xr:uid="{00000000-0005-0000-0000-000012030000}"/>
    <cellStyle name="_Numericable Completel Darty BP 090708_B2010 Altice B2B Group 261009" xfId="788" xr:uid="{00000000-0005-0000-0000-000013030000}"/>
    <cellStyle name="_Numericable Completel Darty BP 090708_B2010 Altice B2B Group 261009_P&amp;L BELGIUM" xfId="789" xr:uid="{00000000-0005-0000-0000-000014030000}"/>
    <cellStyle name="_Numericable Completel Darty BP 090708_Budget capex 2010 v1" xfId="790" xr:uid="{00000000-0005-0000-0000-000015030000}"/>
    <cellStyle name="_Numericable Completel Darty BP 090708_Budget capex 2010 v1_P&amp;L DivOp_Reforecast0410 vEP" xfId="791" xr:uid="{00000000-0005-0000-0000-000016030000}"/>
    <cellStyle name="_Numericable Completel Darty BP 090708_Divop NC 2010 Budget" xfId="792" xr:uid="{00000000-0005-0000-0000-000017030000}"/>
    <cellStyle name="_Numericable Completel Darty BP 090708_Divop NC 2010 Budget_P&amp;L DivOp_Reforecast0410 vEP" xfId="793" xr:uid="{00000000-0005-0000-0000-000018030000}"/>
    <cellStyle name="_Numericable Completel Darty BP 090708_Divop NC 2010 Budget_Reporting capex 2010-04" xfId="794" xr:uid="{00000000-0005-0000-0000-000019030000}"/>
    <cellStyle name="_Numericable Completel Darty BP 090708_Divop NC 2010 Budget_Reporting capex 2010-05" xfId="795" xr:uid="{00000000-0005-0000-0000-00001A030000}"/>
    <cellStyle name="_Numericable Completel Darty BP 090708_Divop NC 2010 Budget_Reporting capex 2010-12" xfId="796" xr:uid="{00000000-0005-0000-0000-00001B030000}"/>
    <cellStyle name="_Numericable Completel Darty BP 090708_Divop NC 2010 Budget_Reporting capex 2010-12 2" xfId="797" xr:uid="{00000000-0005-0000-0000-00001C030000}"/>
    <cellStyle name="_Numericable Completel Darty BP 090708_Divop NC 2010 Budget_Reporting capex 2010-12 vrai" xfId="798" xr:uid="{00000000-0005-0000-0000-00001D030000}"/>
    <cellStyle name="_Numericable Completel Darty BP 090708_P&amp;L BELGIUM" xfId="799" xr:uid="{00000000-0005-0000-0000-00001E030000}"/>
    <cellStyle name="_Numericable Completel Darty BP 090708_P&amp;L DivOp_Reforecast0410_27102010" xfId="800" xr:uid="{00000000-0005-0000-0000-00001F030000}"/>
    <cellStyle name="_Numericable Completel Darty BP 090708_Reforecast 2010 Altice B2B" xfId="801" xr:uid="{00000000-0005-0000-0000-000020030000}"/>
    <cellStyle name="_Numericable Completel Darty BP 090708_Reporting capex 2009-11" xfId="802" xr:uid="{00000000-0005-0000-0000-000021030000}"/>
    <cellStyle name="_Numericable Completel Darty BP 090708_Reporting capex 2009-12" xfId="803" xr:uid="{00000000-0005-0000-0000-000022030000}"/>
    <cellStyle name="_Numericable Completel Darty BP 090708_Reporting capex 2010-04" xfId="804" xr:uid="{00000000-0005-0000-0000-000023030000}"/>
    <cellStyle name="_Numericable Completel Darty BP 090708_Reporting capex 2010-05" xfId="805" xr:uid="{00000000-0005-0000-0000-000024030000}"/>
    <cellStyle name="_Numericable Completel Darty BP 090708_Reporting capex 2010-12" xfId="806" xr:uid="{00000000-0005-0000-0000-000025030000}"/>
    <cellStyle name="_Numericable Completel Darty BP 090708_Reporting capex 2010-12 2" xfId="807" xr:uid="{00000000-0005-0000-0000-000026030000}"/>
    <cellStyle name="_Numericable Completel Darty BP 090708_Reporting capex 2010-12 vrai" xfId="808" xr:uid="{00000000-0005-0000-0000-000027030000}"/>
    <cellStyle name="_Numericable Completel Darty BP 090708_Ypso Financial Budget" xfId="809" xr:uid="{00000000-0005-0000-0000-000028030000}"/>
    <cellStyle name="_Numericable Completel Darty BP 090708_Ypso Financial Budget_P&amp;L DivOp_Reforecast0410 vEP" xfId="810" xr:uid="{00000000-0005-0000-0000-000029030000}"/>
    <cellStyle name="_Numericable Completel Darty BP 090708_Ypso Financial Budget_Xl0000004" xfId="811" xr:uid="{00000000-0005-0000-0000-00002A030000}"/>
    <cellStyle name="_Opex &amp; Capex - MVNO JB" xfId="812" xr:uid="{00000000-0005-0000-0000-00002B030000}"/>
    <cellStyle name="_Opex-Capex - MVNO" xfId="813" xr:uid="{00000000-0005-0000-0000-00002C030000}"/>
    <cellStyle name="_Percent" xfId="814" xr:uid="{00000000-0005-0000-0000-00002D030000}"/>
    <cellStyle name="_Percent_2009 Banks Reporting Ypso v4" xfId="815" xr:uid="{00000000-0005-0000-0000-00002E030000}"/>
    <cellStyle name="_Percent_2009 Ypso Budget" xfId="816" xr:uid="{00000000-0005-0000-0000-00002F030000}"/>
    <cellStyle name="_Percent_2009-03 REPORTING 03-04-2009" xfId="817" xr:uid="{00000000-0005-0000-0000-000030030000}"/>
    <cellStyle name="_Percent_BP Newoffer v2" xfId="818" xr:uid="{00000000-0005-0000-0000-000031030000}"/>
    <cellStyle name="_Percent_BUDGET 2008 YPSO Banque v3" xfId="819" xr:uid="{00000000-0005-0000-0000-000032030000}"/>
    <cellStyle name="_Percent_Budget 2009 Completel v6 " xfId="820" xr:uid="{00000000-0005-0000-0000-000033030000}"/>
    <cellStyle name="_Percent_BUDGET YPSO 2008 08-01 Final Interne Covenants v3" xfId="821" xr:uid="{00000000-0005-0000-0000-000034030000}"/>
    <cellStyle name="_Percent_Jazztel-Model-David-Pablo-final2" xfId="822" xr:uid="{00000000-0005-0000-0000-000035030000}"/>
    <cellStyle name="_Percent_Jazztel-Model-David-Pablo-final2_2009 Banks Reporting Ypso v4" xfId="823" xr:uid="{00000000-0005-0000-0000-000036030000}"/>
    <cellStyle name="_Percent_Jazztel-Model-David-Pablo-final2_2009 Ypso Budget" xfId="824" xr:uid="{00000000-0005-0000-0000-000037030000}"/>
    <cellStyle name="_Percent_Jazztel-Model-David-Pablo-final2_2009-03 REPORTING 03-04-2009" xfId="825" xr:uid="{00000000-0005-0000-0000-000038030000}"/>
    <cellStyle name="_Percent_Jazztel-Model-David-Pablo-final2_BP Newoffer v2" xfId="826" xr:uid="{00000000-0005-0000-0000-000039030000}"/>
    <cellStyle name="_Percent_Jazztel-Model-David-Pablo-final2_BUDGET 2008 YPSO Banque v3" xfId="827" xr:uid="{00000000-0005-0000-0000-00003A030000}"/>
    <cellStyle name="_Percent_Jazztel-Model-David-Pablo-final2_Budget 2009 Completel v6 " xfId="828" xr:uid="{00000000-0005-0000-0000-00003B030000}"/>
    <cellStyle name="_Percent_Jazztel-Model-David-Pablo-final2_BUDGET YPSO 2008 08-01 Final Interne Covenants v3" xfId="829" xr:uid="{00000000-0005-0000-0000-00003C030000}"/>
    <cellStyle name="_Percent_Jazztel-Model-David-Pablo-final2_MODELISATION CA 2008-2009" xfId="830" xr:uid="{00000000-0005-0000-0000-00003D030000}"/>
    <cellStyle name="_Percent_Jazztel-Model-David-Pablo-final2_Reforecast 2010 Altice B2B" xfId="831" xr:uid="{00000000-0005-0000-0000-00003E030000}"/>
    <cellStyle name="_Percent_Jazztel-Model-David-Pablo-final2_Reporting capex 2009" xfId="832" xr:uid="{00000000-0005-0000-0000-00003F030000}"/>
    <cellStyle name="_Percent_Jazztel-Model-David-Pablo-final2_Reporting capex 2009-04" xfId="833" xr:uid="{00000000-0005-0000-0000-000040030000}"/>
    <cellStyle name="_Percent_Jazztel-Model-David-Pablo-final2_Ypso BP Interne 2008 2009 Avril 08 v11 - Carlyle" xfId="834" xr:uid="{00000000-0005-0000-0000-000041030000}"/>
    <cellStyle name="_Percent_MODELISATION CA 2008-2009" xfId="835" xr:uid="{00000000-0005-0000-0000-000042030000}"/>
    <cellStyle name="_Percent_Reforecast 2010 Altice B2B" xfId="836" xr:uid="{00000000-0005-0000-0000-000043030000}"/>
    <cellStyle name="_Percent_Reporting capex 2009" xfId="837" xr:uid="{00000000-0005-0000-0000-000044030000}"/>
    <cellStyle name="_Percent_Reporting capex 2009-04" xfId="838" xr:uid="{00000000-0005-0000-0000-000045030000}"/>
    <cellStyle name="_Percent_Ypso BP Interne 2008 2009 Avril 08 v11 - Carlyle" xfId="839" xr:uid="{00000000-0005-0000-0000-000046030000}"/>
    <cellStyle name="_PercentSpace" xfId="840" xr:uid="{00000000-0005-0000-0000-000047030000}"/>
    <cellStyle name="_PercentSpace_BUDGET YPSO 2008 14-12 CD IV" xfId="841" xr:uid="{00000000-0005-0000-0000-000048030000}"/>
    <cellStyle name="_PercentSpace_Jazztel-Model-David-Pablo-final2" xfId="842" xr:uid="{00000000-0005-0000-0000-000049030000}"/>
    <cellStyle name="_PercentSpace_Jazztel-Model-David-Pablo-final2_2009 Banks Reporting Ypso v4" xfId="843" xr:uid="{00000000-0005-0000-0000-00004A030000}"/>
    <cellStyle name="_PercentSpace_Jazztel-Model-David-Pablo-final2_2009 Ypso Budget" xfId="844" xr:uid="{00000000-0005-0000-0000-00004B030000}"/>
    <cellStyle name="_PercentSpace_Jazztel-Model-David-Pablo-final2_2009-03 REPORTING 03-04-2009" xfId="845" xr:uid="{00000000-0005-0000-0000-00004C030000}"/>
    <cellStyle name="_PercentSpace_Jazztel-Model-David-Pablo-final2_BP Newoffer v2" xfId="846" xr:uid="{00000000-0005-0000-0000-00004D030000}"/>
    <cellStyle name="_PercentSpace_Jazztel-Model-David-Pablo-final2_BUDGET 2008 YPSO Banque v3" xfId="847" xr:uid="{00000000-0005-0000-0000-00004E030000}"/>
    <cellStyle name="_PercentSpace_Jazztel-Model-David-Pablo-final2_Budget 2009 Completel v6 " xfId="848" xr:uid="{00000000-0005-0000-0000-00004F030000}"/>
    <cellStyle name="_PercentSpace_Jazztel-Model-David-Pablo-final2_BUDGET YPSO 2008 08-01 Final Interne Covenants v3" xfId="849" xr:uid="{00000000-0005-0000-0000-000050030000}"/>
    <cellStyle name="_PercentSpace_Jazztel-Model-David-Pablo-final2_MODELISATION CA 2008-2009" xfId="850" xr:uid="{00000000-0005-0000-0000-000051030000}"/>
    <cellStyle name="_PercentSpace_Jazztel-Model-David-Pablo-final2_Reforecast 2010 Altice B2B" xfId="851" xr:uid="{00000000-0005-0000-0000-000052030000}"/>
    <cellStyle name="_PercentSpace_Jazztel-Model-David-Pablo-final2_Reporting capex 2009" xfId="852" xr:uid="{00000000-0005-0000-0000-000053030000}"/>
    <cellStyle name="_PercentSpace_Jazztel-Model-David-Pablo-final2_Reporting capex 2009-04" xfId="853" xr:uid="{00000000-0005-0000-0000-000054030000}"/>
    <cellStyle name="_PercentSpace_Jazztel-Model-David-Pablo-final2_Ypso BP Interne 2008 2009 Avril 08 v11 - Carlyle" xfId="854" xr:uid="{00000000-0005-0000-0000-000055030000}"/>
    <cellStyle name="_Reforecast 2010 Altice B2B" xfId="855" xr:uid="{00000000-0005-0000-0000-000056030000}"/>
    <cellStyle name="_Reporting Completel 0807 2 (2)" xfId="856" xr:uid="{00000000-0005-0000-0000-000057030000}"/>
    <cellStyle name="_Reporting Completel 0807 2 (2)_P&amp;L BELGIUM" xfId="857" xr:uid="{00000000-0005-0000-0000-000058030000}"/>
    <cellStyle name="_Reporting Investors Completel July 2008" xfId="858" xr:uid="{00000000-0005-0000-0000-000059030000}"/>
    <cellStyle name="_Reporting Investors Completel July 2008_P&amp;L DivOp_Reforecast0410 vEP" xfId="859" xr:uid="{00000000-0005-0000-0000-00005A030000}"/>
    <cellStyle name="_SubHeading" xfId="860" xr:uid="{00000000-0005-0000-0000-00005B030000}"/>
    <cellStyle name="_SubHeading_Auna Group - Toro assumptions 120505 Build-up Toro assum to HY" xfId="861" xr:uid="{00000000-0005-0000-0000-00005C030000}"/>
    <cellStyle name="_SubHeading_Auna Group - Toro assumptions 120505 Build-up Toro assum to HY_2010- Ypso Forecast" xfId="862" xr:uid="{00000000-0005-0000-0000-00005D030000}"/>
    <cellStyle name="_SubHeading_Auna Group - Toro assumptions 120505 Build-up Toro assum to HY_2010- Ypso Forecast_modifDivOp27102010" xfId="863" xr:uid="{00000000-0005-0000-0000-00005E030000}"/>
    <cellStyle name="_SubHeading_Auna Group - Toro assumptions 120505 Build-up Toro assum to HY_P&amp;L BELGIUM" xfId="864" xr:uid="{00000000-0005-0000-0000-00005F030000}"/>
    <cellStyle name="_SubHeading_Auna Group - Toro assumptions 120505 Build-up Toro assum to HY_Reforecast 2010 Altice B2B" xfId="865" xr:uid="{00000000-0005-0000-0000-000060030000}"/>
    <cellStyle name="_SubHeading_Auna Group - Toro assumptions 120505 Build-up Toro assum to HY_Reporting Completel 0802  V4" xfId="866" xr:uid="{00000000-0005-0000-0000-000061030000}"/>
    <cellStyle name="_SubHeading_Auna Group - Toro assumptions 120505 Build-up Toro assum to HY_Reporting Completel 0802  V4_P&amp;L BELGIUM" xfId="867" xr:uid="{00000000-0005-0000-0000-000062030000}"/>
    <cellStyle name="_SubHeading_Auna Group - Toro assumptions 120505 Build-up Toro assum to HY_Reporting Investors Completel July 2008" xfId="868" xr:uid="{00000000-0005-0000-0000-000063030000}"/>
    <cellStyle name="_SubHeading_Auna Group - Toro assumptions 120505 Build-up Toro assum to HY_Ypso Financial Budget" xfId="869" xr:uid="{00000000-0005-0000-0000-000064030000}"/>
    <cellStyle name="_SubHeading_Auna Group - Toro assumptions 120505 Build-up Toro assum to HY_Ypso Financial Budget_Xl0000004" xfId="870" xr:uid="{00000000-0005-0000-0000-000065030000}"/>
    <cellStyle name="_SubHeading_BP Board June 14 05 to Cinven" xfId="871" xr:uid="{00000000-0005-0000-0000-000066030000}"/>
    <cellStyle name="_SubHeading_Grupo Auna buil-up - BNP Paribas assumptions 170505" xfId="872" xr:uid="{00000000-0005-0000-0000-000067030000}"/>
    <cellStyle name="_SubHeading_Grupo Auna buil-up - BNP Paribas assumptions 170505_2010- Ypso Forecast" xfId="873" xr:uid="{00000000-0005-0000-0000-000068030000}"/>
    <cellStyle name="_SubHeading_Grupo Auna buil-up - BNP Paribas assumptions 170505_2010- Ypso Forecast_modifDivOp27102010" xfId="874" xr:uid="{00000000-0005-0000-0000-000069030000}"/>
    <cellStyle name="_SubHeading_Grupo Auna buil-up - BNP Paribas assumptions 170505_P&amp;L BELGIUM" xfId="875" xr:uid="{00000000-0005-0000-0000-00006A030000}"/>
    <cellStyle name="_SubHeading_Grupo Auna buil-up - BNP Paribas assumptions 170505_Reforecast 2010 Altice B2B" xfId="876" xr:uid="{00000000-0005-0000-0000-00006B030000}"/>
    <cellStyle name="_SubHeading_Grupo Auna buil-up - BNP Paribas assumptions 170505_Reporting Completel 0802  V4" xfId="877" xr:uid="{00000000-0005-0000-0000-00006C030000}"/>
    <cellStyle name="_SubHeading_Grupo Auna buil-up - BNP Paribas assumptions 170505_Reporting Completel 0802  V4_P&amp;L BELGIUM" xfId="878" xr:uid="{00000000-0005-0000-0000-00006D030000}"/>
    <cellStyle name="_SubHeading_Grupo Auna buil-up - BNP Paribas assumptions 170505_Reporting Investors Completel July 2008" xfId="879" xr:uid="{00000000-0005-0000-0000-00006E030000}"/>
    <cellStyle name="_SubHeading_Grupo Auna buil-up - BNP Paribas assumptions 170505_Ypso Financial Budget" xfId="880" xr:uid="{00000000-0005-0000-0000-00006F030000}"/>
    <cellStyle name="_SubHeading_Grupo Auna buil-up - BNP Paribas assumptions 170505_Ypso Financial Budget_Xl0000004" xfId="881" xr:uid="{00000000-0005-0000-0000-000070030000}"/>
    <cellStyle name="_SubHeading_Model YBR+TDC" xfId="882" xr:uid="{00000000-0005-0000-0000-000071030000}"/>
    <cellStyle name="_SubHeading_NGW_070207" xfId="883" xr:uid="{00000000-0005-0000-0000-000072030000}"/>
    <cellStyle name="_SubHeading_NGW_070207_2010- Ypso Forecast" xfId="884" xr:uid="{00000000-0005-0000-0000-000073030000}"/>
    <cellStyle name="_SubHeading_NGW_070207_2010- Ypso Forecast_modifDivOp27102010" xfId="885" xr:uid="{00000000-0005-0000-0000-000074030000}"/>
    <cellStyle name="_SubHeading_NGW_070207_P&amp;L BELGIUM" xfId="886" xr:uid="{00000000-0005-0000-0000-000075030000}"/>
    <cellStyle name="_SubHeading_NGW_070207_Reforecast 2010 Altice B2B" xfId="887" xr:uid="{00000000-0005-0000-0000-000076030000}"/>
    <cellStyle name="_SubHeading_NGW_070207_Ypso Financial Budget" xfId="888" xr:uid="{00000000-0005-0000-0000-000077030000}"/>
    <cellStyle name="_SubHeading_NGW_070207_Ypso Financial Budget_Xl0000004" xfId="889" xr:uid="{00000000-0005-0000-0000-000078030000}"/>
    <cellStyle name="_SubHeading_Recap Ypso master master.xls Graphique 1" xfId="890" xr:uid="{00000000-0005-0000-0000-000079030000}"/>
    <cellStyle name="_SubHeading_Recap Ypso master master.xls Graphique 1_2010- Ypso Forecast" xfId="891" xr:uid="{00000000-0005-0000-0000-00007A030000}"/>
    <cellStyle name="_SubHeading_Recap Ypso master master.xls Graphique 1_2010- Ypso Forecast_modifDivOp27102010" xfId="892" xr:uid="{00000000-0005-0000-0000-00007B030000}"/>
    <cellStyle name="_SubHeading_Recap Ypso master master.xls Graphique 1_P&amp;L BELGIUM" xfId="893" xr:uid="{00000000-0005-0000-0000-00007C030000}"/>
    <cellStyle name="_SubHeading_Recap Ypso master master.xls Graphique 1_Reforecast 2010 Altice B2B" xfId="894" xr:uid="{00000000-0005-0000-0000-00007D030000}"/>
    <cellStyle name="_SubHeading_Recap Ypso master master.xls Graphique 1_Reporting Completel 0802  V4" xfId="895" xr:uid="{00000000-0005-0000-0000-00007E030000}"/>
    <cellStyle name="_SubHeading_Recap Ypso master master.xls Graphique 1_Reporting Completel 0802  V4_P&amp;L BELGIUM" xfId="896" xr:uid="{00000000-0005-0000-0000-00007F030000}"/>
    <cellStyle name="_SubHeading_Recap Ypso master master.xls Graphique 1_Reporting Investors Completel July 2008" xfId="897" xr:uid="{00000000-0005-0000-0000-000080030000}"/>
    <cellStyle name="_SubHeading_Recap Ypso master master.xls Graphique 1_Ypso Financial Budget" xfId="898" xr:uid="{00000000-0005-0000-0000-000081030000}"/>
    <cellStyle name="_SubHeading_Recap Ypso master master.xls Graphique 1_Ypso Financial Budget_Xl0000004" xfId="899" xr:uid="{00000000-0005-0000-0000-000082030000}"/>
    <cellStyle name="_SubHeading_Recap Ypso master master.xls Graphique 2" xfId="900" xr:uid="{00000000-0005-0000-0000-000083030000}"/>
    <cellStyle name="_SubHeading_Recap Ypso master master.xls Graphique 2_2010- Ypso Forecast" xfId="901" xr:uid="{00000000-0005-0000-0000-000084030000}"/>
    <cellStyle name="_SubHeading_Recap Ypso master master.xls Graphique 2_2010- Ypso Forecast_modifDivOp27102010" xfId="902" xr:uid="{00000000-0005-0000-0000-000085030000}"/>
    <cellStyle name="_SubHeading_Recap Ypso master master.xls Graphique 2_P&amp;L BELGIUM" xfId="903" xr:uid="{00000000-0005-0000-0000-000086030000}"/>
    <cellStyle name="_SubHeading_Recap Ypso master master.xls Graphique 2_Reforecast 2010 Altice B2B" xfId="904" xr:uid="{00000000-0005-0000-0000-000087030000}"/>
    <cellStyle name="_SubHeading_Recap Ypso master master.xls Graphique 2_Reporting Completel 0802  V4" xfId="905" xr:uid="{00000000-0005-0000-0000-000088030000}"/>
    <cellStyle name="_SubHeading_Recap Ypso master master.xls Graphique 2_Reporting Completel 0802  V4_P&amp;L BELGIUM" xfId="906" xr:uid="{00000000-0005-0000-0000-000089030000}"/>
    <cellStyle name="_SubHeading_Recap Ypso master master.xls Graphique 2_Reporting Investors Completel July 2008" xfId="907" xr:uid="{00000000-0005-0000-0000-00008A030000}"/>
    <cellStyle name="_SubHeading_Recap Ypso master master.xls Graphique 2_Ypso Financial Budget" xfId="908" xr:uid="{00000000-0005-0000-0000-00008B030000}"/>
    <cellStyle name="_SubHeading_Recap Ypso master master.xls Graphique 2_Ypso Financial Budget_Xl0000004" xfId="909" xr:uid="{00000000-0005-0000-0000-00008C030000}"/>
    <cellStyle name="_SubHeading_Recap Ypso master master.xls Graphique 4" xfId="910" xr:uid="{00000000-0005-0000-0000-00008D030000}"/>
    <cellStyle name="_SubHeading_Recap Ypso master master.xls Graphique 4_2010- Ypso Forecast" xfId="911" xr:uid="{00000000-0005-0000-0000-00008E030000}"/>
    <cellStyle name="_SubHeading_Recap Ypso master master.xls Graphique 4_2010- Ypso Forecast_modifDivOp27102010" xfId="912" xr:uid="{00000000-0005-0000-0000-00008F030000}"/>
    <cellStyle name="_SubHeading_Recap Ypso master master.xls Graphique 4_P&amp;L BELGIUM" xfId="913" xr:uid="{00000000-0005-0000-0000-000090030000}"/>
    <cellStyle name="_SubHeading_Recap Ypso master master.xls Graphique 4_Reforecast 2010 Altice B2B" xfId="914" xr:uid="{00000000-0005-0000-0000-000091030000}"/>
    <cellStyle name="_SubHeading_Recap Ypso master master.xls Graphique 4_Reporting Completel 0802  V4" xfId="915" xr:uid="{00000000-0005-0000-0000-000092030000}"/>
    <cellStyle name="_SubHeading_Recap Ypso master master.xls Graphique 4_Reporting Completel 0802  V4_P&amp;L BELGIUM" xfId="916" xr:uid="{00000000-0005-0000-0000-000093030000}"/>
    <cellStyle name="_SubHeading_Recap Ypso master master.xls Graphique 4_Reporting Investors Completel July 2008" xfId="917" xr:uid="{00000000-0005-0000-0000-000094030000}"/>
    <cellStyle name="_SubHeading_Recap Ypso master master.xls Graphique 4_Ypso Financial Budget" xfId="918" xr:uid="{00000000-0005-0000-0000-000095030000}"/>
    <cellStyle name="_SubHeading_Recap Ypso master master.xls Graphique 4_Ypso Financial Budget_Xl0000004" xfId="919" xr:uid="{00000000-0005-0000-0000-000096030000}"/>
    <cellStyle name="_Synthese Groupe CPTL" xfId="920" xr:uid="{00000000-0005-0000-0000-000097030000}"/>
    <cellStyle name="_Synthese Groupe CPTL_P&amp;L BELGIUM" xfId="921" xr:uid="{00000000-0005-0000-0000-000098030000}"/>
    <cellStyle name="_Table" xfId="922" xr:uid="{00000000-0005-0000-0000-000099030000}"/>
    <cellStyle name="_Table_BP Board June 14 05 to Cinven" xfId="923" xr:uid="{00000000-0005-0000-0000-00009A030000}"/>
    <cellStyle name="_Table_P&amp;L BELGIUM" xfId="924" xr:uid="{00000000-0005-0000-0000-00009B030000}"/>
    <cellStyle name="_Table_Suivi Reel Tel B2C" xfId="925" xr:uid="{00000000-0005-0000-0000-00009C030000}"/>
    <cellStyle name="_Table_Xl0000004" xfId="926" xr:uid="{00000000-0005-0000-0000-00009D030000}"/>
    <cellStyle name="_Table_Xl0000004_P&amp;L BELGIUM" xfId="927" xr:uid="{00000000-0005-0000-0000-00009E030000}"/>
    <cellStyle name="_TableHead" xfId="928" xr:uid="{00000000-0005-0000-0000-00009F030000}"/>
    <cellStyle name="_TableHead_P&amp;L BELGIUM" xfId="929" xr:uid="{00000000-0005-0000-0000-0000A0030000}"/>
    <cellStyle name="_TableHead_Suivi Reel Tel B2C" xfId="930" xr:uid="{00000000-0005-0000-0000-0000A1030000}"/>
    <cellStyle name="_TableHead_Xl0000004" xfId="931" xr:uid="{00000000-0005-0000-0000-0000A2030000}"/>
    <cellStyle name="_TableHead_Xl0000004_P&amp;L BELGIUM" xfId="932" xr:uid="{00000000-0005-0000-0000-0000A3030000}"/>
    <cellStyle name="_TableRowBorder" xfId="933" xr:uid="{00000000-0005-0000-0000-0000A4030000}"/>
    <cellStyle name="_TableRowBorder_P&amp;L BELGIUM" xfId="934" xr:uid="{00000000-0005-0000-0000-0000A5030000}"/>
    <cellStyle name="_TableRowBorder_Suivi Reel Tel B2C" xfId="935" xr:uid="{00000000-0005-0000-0000-0000A6030000}"/>
    <cellStyle name="_TableRowBorder_Xl0000004" xfId="936" xr:uid="{00000000-0005-0000-0000-0000A7030000}"/>
    <cellStyle name="_TableRowBorder_Xl0000004_P&amp;L BELGIUM" xfId="937" xr:uid="{00000000-0005-0000-0000-0000A8030000}"/>
    <cellStyle name="_TableRowHead" xfId="938" xr:uid="{00000000-0005-0000-0000-0000A9030000}"/>
    <cellStyle name="_TableSuperHead" xfId="939" xr:uid="{00000000-0005-0000-0000-0000AA030000}"/>
    <cellStyle name="_TableSuperHead_Auna Group - Toro assumptions 120505 Build-up Toro assum to HY" xfId="940" xr:uid="{00000000-0005-0000-0000-0000AB030000}"/>
    <cellStyle name="_TableSuperHead_Auna Group - Toro assumptions 120505 Build-up Toro assum to HY_2010- Ypso Forecast" xfId="941" xr:uid="{00000000-0005-0000-0000-0000AC030000}"/>
    <cellStyle name="_TableSuperHead_Auna Group - Toro assumptions 120505 Build-up Toro assum to HY_2010- Ypso Forecast_modifDivOp27102010" xfId="942" xr:uid="{00000000-0005-0000-0000-0000AD030000}"/>
    <cellStyle name="_TableSuperHead_Auna Group - Toro assumptions 120505 Build-up Toro assum to HY_P&amp;L BELGIUM" xfId="943" xr:uid="{00000000-0005-0000-0000-0000AE030000}"/>
    <cellStyle name="_TableSuperHead_Auna Group - Toro assumptions 120505 Build-up Toro assum to HY_Reforecast 2010 Altice B2B" xfId="944" xr:uid="{00000000-0005-0000-0000-0000AF030000}"/>
    <cellStyle name="_TableSuperHead_Auna Group - Toro assumptions 120505 Build-up Toro assum to HY_Reporting Completel 0802  V4" xfId="945" xr:uid="{00000000-0005-0000-0000-0000B0030000}"/>
    <cellStyle name="_TableSuperHead_Auna Group - Toro assumptions 120505 Build-up Toro assum to HY_Reporting Completel 0802  V4_P&amp;L BELGIUM" xfId="946" xr:uid="{00000000-0005-0000-0000-0000B1030000}"/>
    <cellStyle name="_TableSuperHead_Auna Group - Toro assumptions 120505 Build-up Toro assum to HY_Reporting Investors Completel July 2008" xfId="947" xr:uid="{00000000-0005-0000-0000-0000B2030000}"/>
    <cellStyle name="_TableSuperHead_Auna Group - Toro assumptions 120505 Build-up Toro assum to HY_Ypso Financial Budget" xfId="948" xr:uid="{00000000-0005-0000-0000-0000B3030000}"/>
    <cellStyle name="_TableSuperHead_Auna Group - Toro assumptions 120505 Build-up Toro assum to HY_Ypso Financial Budget_Xl0000004" xfId="949" xr:uid="{00000000-0005-0000-0000-0000B4030000}"/>
    <cellStyle name="_TableSuperHead_Grupo Auna buil-up - BNP Paribas assumptions 170505" xfId="950" xr:uid="{00000000-0005-0000-0000-0000B5030000}"/>
    <cellStyle name="_TableSuperHead_Grupo Auna buil-up - BNP Paribas assumptions 170505_2010- Ypso Forecast" xfId="951" xr:uid="{00000000-0005-0000-0000-0000B6030000}"/>
    <cellStyle name="_TableSuperHead_Grupo Auna buil-up - BNP Paribas assumptions 170505_2010- Ypso Forecast_modifDivOp27102010" xfId="952" xr:uid="{00000000-0005-0000-0000-0000B7030000}"/>
    <cellStyle name="_TableSuperHead_Grupo Auna buil-up - BNP Paribas assumptions 170505_P&amp;L BELGIUM" xfId="953" xr:uid="{00000000-0005-0000-0000-0000B8030000}"/>
    <cellStyle name="_TableSuperHead_Grupo Auna buil-up - BNP Paribas assumptions 170505_Reforecast 2010 Altice B2B" xfId="954" xr:uid="{00000000-0005-0000-0000-0000B9030000}"/>
    <cellStyle name="_TableSuperHead_Grupo Auna buil-up - BNP Paribas assumptions 170505_Reporting Completel 0802  V4" xfId="955" xr:uid="{00000000-0005-0000-0000-0000BA030000}"/>
    <cellStyle name="_TableSuperHead_Grupo Auna buil-up - BNP Paribas assumptions 170505_Reporting Completel 0802  V4_P&amp;L BELGIUM" xfId="956" xr:uid="{00000000-0005-0000-0000-0000BB030000}"/>
    <cellStyle name="_TableSuperHead_Grupo Auna buil-up - BNP Paribas assumptions 170505_Reporting Investors Completel July 2008" xfId="957" xr:uid="{00000000-0005-0000-0000-0000BC030000}"/>
    <cellStyle name="_TableSuperHead_Grupo Auna buil-up - BNP Paribas assumptions 170505_Ypso Financial Budget" xfId="958" xr:uid="{00000000-0005-0000-0000-0000BD030000}"/>
    <cellStyle name="_TableSuperHead_Grupo Auna buil-up - BNP Paribas assumptions 170505_Ypso Financial Budget_Xl0000004" xfId="959" xr:uid="{00000000-0005-0000-0000-0000BE030000}"/>
    <cellStyle name="_TableSuperHead_Model YBR+TDC" xfId="960" xr:uid="{00000000-0005-0000-0000-0000BF030000}"/>
    <cellStyle name="_TableSuperHead_NGW_070207" xfId="961" xr:uid="{00000000-0005-0000-0000-0000C0030000}"/>
    <cellStyle name="_TableSuperHead_NGW_070207_2010- Ypso Forecast" xfId="962" xr:uid="{00000000-0005-0000-0000-0000C1030000}"/>
    <cellStyle name="_TableSuperHead_NGW_070207_2010- Ypso Forecast_modifDivOp27102010" xfId="963" xr:uid="{00000000-0005-0000-0000-0000C2030000}"/>
    <cellStyle name="_TableSuperHead_NGW_070207_P&amp;L BELGIUM" xfId="964" xr:uid="{00000000-0005-0000-0000-0000C3030000}"/>
    <cellStyle name="_TableSuperHead_NGW_070207_Reforecast 2010 Altice B2B" xfId="965" xr:uid="{00000000-0005-0000-0000-0000C4030000}"/>
    <cellStyle name="_TableSuperHead_NGW_070207_Ypso Financial Budget" xfId="966" xr:uid="{00000000-0005-0000-0000-0000C5030000}"/>
    <cellStyle name="_TableSuperHead_NGW_070207_Ypso Financial Budget_Xl0000004" xfId="967" xr:uid="{00000000-0005-0000-0000-0000C6030000}"/>
    <cellStyle name="_TableSuperHead_Recap Ypso master master.xls Graphique 1" xfId="968" xr:uid="{00000000-0005-0000-0000-0000C7030000}"/>
    <cellStyle name="_TableSuperHead_Recap Ypso master master.xls Graphique 1_2010- Ypso Forecast" xfId="969" xr:uid="{00000000-0005-0000-0000-0000C8030000}"/>
    <cellStyle name="_TableSuperHead_Recap Ypso master master.xls Graphique 1_2010- Ypso Forecast_modifDivOp27102010" xfId="970" xr:uid="{00000000-0005-0000-0000-0000C9030000}"/>
    <cellStyle name="_TableSuperHead_Recap Ypso master master.xls Graphique 1_P&amp;L BELGIUM" xfId="971" xr:uid="{00000000-0005-0000-0000-0000CA030000}"/>
    <cellStyle name="_TableSuperHead_Recap Ypso master master.xls Graphique 1_Reforecast 2010 Altice B2B" xfId="972" xr:uid="{00000000-0005-0000-0000-0000CB030000}"/>
    <cellStyle name="_TableSuperHead_Recap Ypso master master.xls Graphique 1_Reporting Completel 0802  V4" xfId="973" xr:uid="{00000000-0005-0000-0000-0000CC030000}"/>
    <cellStyle name="_TableSuperHead_Recap Ypso master master.xls Graphique 1_Reporting Completel 0802  V4_P&amp;L BELGIUM" xfId="974" xr:uid="{00000000-0005-0000-0000-0000CD030000}"/>
    <cellStyle name="_TableSuperHead_Recap Ypso master master.xls Graphique 1_Reporting Investors Completel July 2008" xfId="975" xr:uid="{00000000-0005-0000-0000-0000CE030000}"/>
    <cellStyle name="_TableSuperHead_Recap Ypso master master.xls Graphique 1_Ypso Financial Budget" xfId="976" xr:uid="{00000000-0005-0000-0000-0000CF030000}"/>
    <cellStyle name="_TableSuperHead_Recap Ypso master master.xls Graphique 1_Ypso Financial Budget_Xl0000004" xfId="977" xr:uid="{00000000-0005-0000-0000-0000D0030000}"/>
    <cellStyle name="_TableSuperHead_Recap Ypso master master.xls Graphique 2" xfId="978" xr:uid="{00000000-0005-0000-0000-0000D1030000}"/>
    <cellStyle name="_TableSuperHead_Recap Ypso master master.xls Graphique 2_2010- Ypso Forecast" xfId="979" xr:uid="{00000000-0005-0000-0000-0000D2030000}"/>
    <cellStyle name="_TableSuperHead_Recap Ypso master master.xls Graphique 2_2010- Ypso Forecast_modifDivOp27102010" xfId="980" xr:uid="{00000000-0005-0000-0000-0000D3030000}"/>
    <cellStyle name="_TableSuperHead_Recap Ypso master master.xls Graphique 2_P&amp;L BELGIUM" xfId="981" xr:uid="{00000000-0005-0000-0000-0000D4030000}"/>
    <cellStyle name="_TableSuperHead_Recap Ypso master master.xls Graphique 2_Reforecast 2010 Altice B2B" xfId="982" xr:uid="{00000000-0005-0000-0000-0000D5030000}"/>
    <cellStyle name="_TableSuperHead_Recap Ypso master master.xls Graphique 2_Reporting Completel 0802  V4" xfId="983" xr:uid="{00000000-0005-0000-0000-0000D6030000}"/>
    <cellStyle name="_TableSuperHead_Recap Ypso master master.xls Graphique 2_Reporting Completel 0802  V4_P&amp;L BELGIUM" xfId="984" xr:uid="{00000000-0005-0000-0000-0000D7030000}"/>
    <cellStyle name="_TableSuperHead_Recap Ypso master master.xls Graphique 2_Reporting Investors Completel July 2008" xfId="985" xr:uid="{00000000-0005-0000-0000-0000D8030000}"/>
    <cellStyle name="_TableSuperHead_Recap Ypso master master.xls Graphique 2_Ypso Financial Budget" xfId="986" xr:uid="{00000000-0005-0000-0000-0000D9030000}"/>
    <cellStyle name="_TableSuperHead_Recap Ypso master master.xls Graphique 2_Ypso Financial Budget_Xl0000004" xfId="987" xr:uid="{00000000-0005-0000-0000-0000DA030000}"/>
    <cellStyle name="_TableSuperHead_Recap Ypso master master.xls Graphique 4" xfId="988" xr:uid="{00000000-0005-0000-0000-0000DB030000}"/>
    <cellStyle name="_TableSuperHead_Recap Ypso master master.xls Graphique 4_2010- Ypso Forecast" xfId="989" xr:uid="{00000000-0005-0000-0000-0000DC030000}"/>
    <cellStyle name="_TableSuperHead_Recap Ypso master master.xls Graphique 4_2010- Ypso Forecast_modifDivOp27102010" xfId="990" xr:uid="{00000000-0005-0000-0000-0000DD030000}"/>
    <cellStyle name="_TableSuperHead_Recap Ypso master master.xls Graphique 4_P&amp;L BELGIUM" xfId="991" xr:uid="{00000000-0005-0000-0000-0000DE030000}"/>
    <cellStyle name="_TableSuperHead_Recap Ypso master master.xls Graphique 4_Reforecast 2010 Altice B2B" xfId="992" xr:uid="{00000000-0005-0000-0000-0000DF030000}"/>
    <cellStyle name="_TableSuperHead_Recap Ypso master master.xls Graphique 4_Reporting Completel 0802  V4" xfId="993" xr:uid="{00000000-0005-0000-0000-0000E0030000}"/>
    <cellStyle name="_TableSuperHead_Recap Ypso master master.xls Graphique 4_Reporting Completel 0802  V4_P&amp;L BELGIUM" xfId="994" xr:uid="{00000000-0005-0000-0000-0000E1030000}"/>
    <cellStyle name="_TableSuperHead_Recap Ypso master master.xls Graphique 4_Reporting Investors Completel July 2008" xfId="995" xr:uid="{00000000-0005-0000-0000-0000E2030000}"/>
    <cellStyle name="_TableSuperHead_Recap Ypso master master.xls Graphique 4_Ypso Financial Budget" xfId="996" xr:uid="{00000000-0005-0000-0000-0000E3030000}"/>
    <cellStyle name="_TableSuperHead_Recap Ypso master master.xls Graphique 4_Ypso Financial Budget_Xl0000004" xfId="997" xr:uid="{00000000-0005-0000-0000-0000E4030000}"/>
    <cellStyle name="_TableSuperHead_Reporting Completel 0802  V4" xfId="998" xr:uid="{00000000-0005-0000-0000-0000E5030000}"/>
    <cellStyle name="_TableSuperHead_Reporting Investors Completel July 2008" xfId="999" xr:uid="{00000000-0005-0000-0000-0000E6030000}"/>
    <cellStyle name="_TDB Wholesales0409_ v1" xfId="1000" xr:uid="{00000000-0005-0000-0000-0000E7030000}"/>
    <cellStyle name="_Ypso Operational Model - version Management Finale - 300409" xfId="1001" xr:uid="{00000000-0005-0000-0000-0000E8030000}"/>
    <cellStyle name="_Ypso Operational Model - version Management Finale - 300409_P&amp;L BELGIUM" xfId="1002" xr:uid="{00000000-0005-0000-0000-0000E9030000}"/>
    <cellStyle name="_Ypso Reforecast 2008 v13" xfId="1003" xr:uid="{00000000-0005-0000-0000-0000EA030000}"/>
    <cellStyle name="_Ypso Reforecast 2008 v13_P&amp;L BELGIUM" xfId="1004" xr:uid="{00000000-0005-0000-0000-0000EB030000}"/>
    <cellStyle name="£ BP" xfId="1005" xr:uid="{00000000-0005-0000-0000-0000EC030000}"/>
    <cellStyle name="¥ JY" xfId="1006" xr:uid="{00000000-0005-0000-0000-0000ED030000}"/>
    <cellStyle name="=C:\WINNT\SYSTEM32\COMMAND.COM" xfId="1007" xr:uid="{00000000-0005-0000-0000-0000EE030000}"/>
    <cellStyle name="=C:\WINNT35\SYSTEM32\COMMAND.COM" xfId="1008" xr:uid="{00000000-0005-0000-0000-0000EF030000}"/>
    <cellStyle name="=C:\WINNT35\SYSTEM32\COMMAND.COM?COMPUTERNAME=JOHANO?HOMEDRIVE=C:?H" xfId="1009" xr:uid="{00000000-0005-0000-0000-0000F0030000}"/>
    <cellStyle name="=C:\WINNT35\SYSTEM32\COMMAND.COM_2010- Ypso Forecast" xfId="1010" xr:uid="{00000000-0005-0000-0000-0000F1030000}"/>
    <cellStyle name="0" xfId="1011" xr:uid="{00000000-0005-0000-0000-0000F2030000}"/>
    <cellStyle name="0,0_x000d__x000a_NA_x000d__x000a_" xfId="1012" xr:uid="{00000000-0005-0000-0000-0000F3030000}"/>
    <cellStyle name="0.0x" xfId="1013" xr:uid="{00000000-0005-0000-0000-0000F4030000}"/>
    <cellStyle name="0_2009-08 CA FRANCE 180909" xfId="1014" xr:uid="{00000000-0005-0000-0000-0000F5030000}"/>
    <cellStyle name="0_2009-09 REPORTING V2 GE" xfId="1015" xr:uid="{00000000-0005-0000-0000-0000F6030000}"/>
    <cellStyle name="0_2009-10 CA FRANCE" xfId="1016" xr:uid="{00000000-0005-0000-0000-0000F7030000}"/>
    <cellStyle name="0_2009-11 CA FRANCE (reclass EV)" xfId="1017" xr:uid="{00000000-0005-0000-0000-0000F8030000}"/>
    <cellStyle name="0_2009-11 REPORTING" xfId="1018" xr:uid="{00000000-0005-0000-0000-0000F9030000}"/>
    <cellStyle name="0_2009-11 REPORTING synthése" xfId="1019" xr:uid="{00000000-0005-0000-0000-0000FA030000}"/>
    <cellStyle name="0_2009-12 CA FRANCE (reclass EV)" xfId="1020" xr:uid="{00000000-0005-0000-0000-0000FB030000}"/>
    <cellStyle name="0_2009-12 REPORTING actionnaires" xfId="1021" xr:uid="{00000000-0005-0000-0000-0000FC030000}"/>
    <cellStyle name="0_2010- Ypso Budget Operational Model v2" xfId="1022" xr:uid="{00000000-0005-0000-0000-0000FD030000}"/>
    <cellStyle name="0_2010- Ypso Budget Operational Model v2_P&amp;L DivOp_Reforecast0410 vEP" xfId="1023" xr:uid="{00000000-0005-0000-0000-0000FE030000}"/>
    <cellStyle name="0_Altice 3 calcul inter�ts-2" xfId="1024" xr:uid="{00000000-0005-0000-0000-0000FF030000}"/>
    <cellStyle name="0_BP2" xfId="1025" xr:uid="{00000000-0005-0000-0000-000000040000}"/>
    <cellStyle name="0_BUDGET YPSO 2008 14-12 CD IV" xfId="1026" xr:uid="{00000000-0005-0000-0000-000001040000}"/>
    <cellStyle name="0_BUDGET YPSO 2008 14-12 CD IV_2009-09 REPORTING V2 GE" xfId="1027" xr:uid="{00000000-0005-0000-0000-000002040000}"/>
    <cellStyle name="0_BUDGET YPSO 2008 14-12 CD IV_2009-11 REPORTING" xfId="1028" xr:uid="{00000000-0005-0000-0000-000003040000}"/>
    <cellStyle name="0_BUDGET YPSO 2008 14-12 CD IV_2009-11 REPORTING synthése" xfId="1029" xr:uid="{00000000-0005-0000-0000-000004040000}"/>
    <cellStyle name="0_BUDGET YPSO 2008 14-12 CD IV_2009-12 REPORTING actionnaires" xfId="1030" xr:uid="{00000000-0005-0000-0000-000005040000}"/>
    <cellStyle name="0_BUDGET YPSO 2008 14-12 CD IV_2010- Ypso Budget Operational Model v2" xfId="1031" xr:uid="{00000000-0005-0000-0000-000006040000}"/>
    <cellStyle name="0_BUDGET YPSO 2008 14-12 CD IV_2010- Ypso Budget Operational Model v2_P&amp;L DivOp_Reforecast0410 vEP" xfId="1032" xr:uid="{00000000-0005-0000-0000-000007040000}"/>
    <cellStyle name="0_BUDGET YPSO 2008 14-12 CD IV_P&amp;L DivOp_Reforecast0410 vEP" xfId="1033" xr:uid="{00000000-0005-0000-0000-000008040000}"/>
    <cellStyle name="0_BUDGET YPSO 2008 14-12 CD IV_Reporting capex 2009-11" xfId="1034" xr:uid="{00000000-0005-0000-0000-000009040000}"/>
    <cellStyle name="0_BUDGET YPSO 2008 14-12 CD IV_Reporting capex 2009-11_Reporting capex 2010-04" xfId="1035" xr:uid="{00000000-0005-0000-0000-00000A040000}"/>
    <cellStyle name="0_BUDGET YPSO 2008 14-12 CD IV_Reporting capex 2009-11_Reporting capex 2010-05" xfId="1036" xr:uid="{00000000-0005-0000-0000-00000B040000}"/>
    <cellStyle name="0_BUDGET YPSO 2008 14-12 CD IV_Reporting capex 2009-11_Reporting capex 2010-12" xfId="1037" xr:uid="{00000000-0005-0000-0000-00000C040000}"/>
    <cellStyle name="0_BUDGET YPSO 2008 14-12 CD IV_Reporting capex 2009-11_Reporting capex 2010-12 2" xfId="1038" xr:uid="{00000000-0005-0000-0000-00000D040000}"/>
    <cellStyle name="0_BUDGET YPSO 2008 14-12 CD IV_Reporting capex 2009-11_Reporting capex 2010-12 vrai" xfId="1039" xr:uid="{00000000-0005-0000-0000-00000E040000}"/>
    <cellStyle name="0_BUDGET YPSO 2008 14-12 CD IV_Reporting capex 2009-12" xfId="1040" xr:uid="{00000000-0005-0000-0000-00000F040000}"/>
    <cellStyle name="0_BUDGET YPSO 2008 14-12 CD IV_Reporting capex 2009-12_Reporting capex 2010-04" xfId="1041" xr:uid="{00000000-0005-0000-0000-000010040000}"/>
    <cellStyle name="0_BUDGET YPSO 2008 14-12 CD IV_Reporting capex 2009-12_Reporting capex 2010-05" xfId="1042" xr:uid="{00000000-0005-0000-0000-000011040000}"/>
    <cellStyle name="0_BUDGET YPSO 2008 14-12 CD IV_Reporting capex 2009-12_Reporting capex 2010-12" xfId="1043" xr:uid="{00000000-0005-0000-0000-000012040000}"/>
    <cellStyle name="0_BUDGET YPSO 2008 14-12 CD IV_Reporting capex 2009-12_Reporting capex 2010-12 2" xfId="1044" xr:uid="{00000000-0005-0000-0000-000013040000}"/>
    <cellStyle name="0_BUDGET YPSO 2008 14-12 CD IV_Reporting capex 2009-12_Reporting capex 2010-12 vrai" xfId="1045" xr:uid="{00000000-0005-0000-0000-000014040000}"/>
    <cellStyle name="0_BUDGET YPSO 2008 14-12 CD IV_Reporting capex 2010-04" xfId="1046" xr:uid="{00000000-0005-0000-0000-000015040000}"/>
    <cellStyle name="0_BUDGET YPSO 2008 14-12 CD IV_Reporting capex 2010-05" xfId="1047" xr:uid="{00000000-0005-0000-0000-000016040000}"/>
    <cellStyle name="0_BUDGET YPSO 2008 14-12 CD IV_Reporting capex 2010-12" xfId="1048" xr:uid="{00000000-0005-0000-0000-000017040000}"/>
    <cellStyle name="0_BUDGET YPSO 2008 14-12 CD IV_Reporting capex 2010-12 2" xfId="1049" xr:uid="{00000000-0005-0000-0000-000018040000}"/>
    <cellStyle name="0_BUDGET YPSO 2008 14-12 CD IV_Reporting capex 2010-12 vrai" xfId="1050" xr:uid="{00000000-0005-0000-0000-000019040000}"/>
    <cellStyle name="0_BUDGET YPSO 2008 14-12 CD IV_Xl0000004" xfId="1051" xr:uid="{00000000-0005-0000-0000-00001A040000}"/>
    <cellStyle name="0_BUDGET YPSO 2008 14-12 CD IV_Ypso Financial Budget" xfId="1052" xr:uid="{00000000-0005-0000-0000-00001B040000}"/>
    <cellStyle name="0_BUDGET YPSO 2008 14-12 CD IV_Ypso Financial Budget_P&amp;L DivOp_Reforecast0410 vEP" xfId="1053" xr:uid="{00000000-0005-0000-0000-00001C040000}"/>
    <cellStyle name="0_P&amp;L DivOp_Reforecast0410 vEP" xfId="1054" xr:uid="{00000000-0005-0000-0000-00001D040000}"/>
    <cellStyle name="0_Reporting capex 2009-11" xfId="1055" xr:uid="{00000000-0005-0000-0000-00001E040000}"/>
    <cellStyle name="0_Reporting capex 2009-11_Reporting capex 2010-04" xfId="1056" xr:uid="{00000000-0005-0000-0000-00001F040000}"/>
    <cellStyle name="0_Reporting capex 2009-11_Reporting capex 2010-05" xfId="1057" xr:uid="{00000000-0005-0000-0000-000020040000}"/>
    <cellStyle name="0_Reporting capex 2009-11_Reporting capex 2010-12" xfId="1058" xr:uid="{00000000-0005-0000-0000-000021040000}"/>
    <cellStyle name="0_Reporting capex 2009-11_Reporting capex 2010-12 2" xfId="1059" xr:uid="{00000000-0005-0000-0000-000022040000}"/>
    <cellStyle name="0_Reporting capex 2009-11_Reporting capex 2010-12 vrai" xfId="1060" xr:uid="{00000000-0005-0000-0000-000023040000}"/>
    <cellStyle name="0_Reporting capex 2009-12" xfId="1061" xr:uid="{00000000-0005-0000-0000-000024040000}"/>
    <cellStyle name="0_Reporting capex 2009-12_Reporting capex 2010-04" xfId="1062" xr:uid="{00000000-0005-0000-0000-000025040000}"/>
    <cellStyle name="0_Reporting capex 2009-12_Reporting capex 2010-05" xfId="1063" xr:uid="{00000000-0005-0000-0000-000026040000}"/>
    <cellStyle name="0_Reporting capex 2009-12_Reporting capex 2010-12" xfId="1064" xr:uid="{00000000-0005-0000-0000-000027040000}"/>
    <cellStyle name="0_Reporting capex 2009-12_Reporting capex 2010-12 2" xfId="1065" xr:uid="{00000000-0005-0000-0000-000028040000}"/>
    <cellStyle name="0_Reporting capex 2009-12_Reporting capex 2010-12 vrai" xfId="1066" xr:uid="{00000000-0005-0000-0000-000029040000}"/>
    <cellStyle name="0_Reporting capex 2010-04" xfId="1067" xr:uid="{00000000-0005-0000-0000-00002A040000}"/>
    <cellStyle name="0_Reporting capex 2010-05" xfId="1068" xr:uid="{00000000-0005-0000-0000-00002B040000}"/>
    <cellStyle name="0_Reporting capex 2010-12" xfId="1069" xr:uid="{00000000-0005-0000-0000-00002C040000}"/>
    <cellStyle name="0_Reporting capex 2010-12 2" xfId="1070" xr:uid="{00000000-0005-0000-0000-00002D040000}"/>
    <cellStyle name="0_Reporting capex 2010-12 vrai" xfId="1071" xr:uid="{00000000-0005-0000-0000-00002E040000}"/>
    <cellStyle name="0_Xl0000004" xfId="1072" xr:uid="{00000000-0005-0000-0000-00002F040000}"/>
    <cellStyle name="0_Ypso Financial Budget" xfId="1073" xr:uid="{00000000-0005-0000-0000-000030040000}"/>
    <cellStyle name="0_Ypso Financial Budget_P&amp;L DivOp_Reforecast0410 vEP" xfId="1074" xr:uid="{00000000-0005-0000-0000-000031040000}"/>
    <cellStyle name="'000" xfId="1075" xr:uid="{00000000-0005-0000-0000-000032040000}"/>
    <cellStyle name="20 % - Accent1 10" xfId="1076" xr:uid="{00000000-0005-0000-0000-000033040000}"/>
    <cellStyle name="20 % - Accent1 11" xfId="1077" xr:uid="{00000000-0005-0000-0000-000034040000}"/>
    <cellStyle name="20 % - Accent1 12" xfId="1078" xr:uid="{00000000-0005-0000-0000-000035040000}"/>
    <cellStyle name="20 % - Accent1 13" xfId="1079" xr:uid="{00000000-0005-0000-0000-000036040000}"/>
    <cellStyle name="20 % - Accent1 14" xfId="1080" xr:uid="{00000000-0005-0000-0000-000037040000}"/>
    <cellStyle name="20 % - Accent1 15" xfId="1081" xr:uid="{00000000-0005-0000-0000-000038040000}"/>
    <cellStyle name="20 % - Accent1 16" xfId="1082" xr:uid="{00000000-0005-0000-0000-000039040000}"/>
    <cellStyle name="20 % - Accent1 17" xfId="1083" xr:uid="{00000000-0005-0000-0000-00003A040000}"/>
    <cellStyle name="20 % - Accent1 18" xfId="1084" xr:uid="{00000000-0005-0000-0000-00003B040000}"/>
    <cellStyle name="20 % - Accent1 19" xfId="1085" xr:uid="{00000000-0005-0000-0000-00003C040000}"/>
    <cellStyle name="20 % - Accent1 2" xfId="1086" xr:uid="{00000000-0005-0000-0000-00003D040000}"/>
    <cellStyle name="20 % - Accent1 20" xfId="1087" xr:uid="{00000000-0005-0000-0000-00003E040000}"/>
    <cellStyle name="20 % - Accent1 21" xfId="1088" xr:uid="{00000000-0005-0000-0000-00003F040000}"/>
    <cellStyle name="20 % - Accent1 22" xfId="1089" xr:uid="{00000000-0005-0000-0000-000040040000}"/>
    <cellStyle name="20 % - Accent1 23" xfId="1090" xr:uid="{00000000-0005-0000-0000-000041040000}"/>
    <cellStyle name="20 % - Accent1 24" xfId="1091" xr:uid="{00000000-0005-0000-0000-000042040000}"/>
    <cellStyle name="20 % - Accent1 25" xfId="1092" xr:uid="{00000000-0005-0000-0000-000043040000}"/>
    <cellStyle name="20 % - Accent1 26" xfId="1093" xr:uid="{00000000-0005-0000-0000-000044040000}"/>
    <cellStyle name="20 % - Accent1 27" xfId="1094" xr:uid="{00000000-0005-0000-0000-000045040000}"/>
    <cellStyle name="20 % - Accent1 28" xfId="1095" xr:uid="{00000000-0005-0000-0000-000046040000}"/>
    <cellStyle name="20 % - Accent1 29" xfId="1096" xr:uid="{00000000-0005-0000-0000-000047040000}"/>
    <cellStyle name="20 % - Accent1 3" xfId="1097" xr:uid="{00000000-0005-0000-0000-000048040000}"/>
    <cellStyle name="20 % - Accent1 30" xfId="1098" xr:uid="{00000000-0005-0000-0000-000049040000}"/>
    <cellStyle name="20 % - Accent1 31" xfId="1099" xr:uid="{00000000-0005-0000-0000-00004A040000}"/>
    <cellStyle name="20 % - Accent1 32" xfId="1100" xr:uid="{00000000-0005-0000-0000-00004B040000}"/>
    <cellStyle name="20 % - Accent1 33" xfId="1101" xr:uid="{00000000-0005-0000-0000-00004C040000}"/>
    <cellStyle name="20 % - Accent1 34" xfId="1102" xr:uid="{00000000-0005-0000-0000-00004D040000}"/>
    <cellStyle name="20 % - Accent1 35" xfId="1103" xr:uid="{00000000-0005-0000-0000-00004E040000}"/>
    <cellStyle name="20 % - Accent1 36" xfId="1104" xr:uid="{00000000-0005-0000-0000-00004F040000}"/>
    <cellStyle name="20 % - Accent1 37" xfId="1105" xr:uid="{00000000-0005-0000-0000-000050040000}"/>
    <cellStyle name="20 % - Accent1 4" xfId="1106" xr:uid="{00000000-0005-0000-0000-000051040000}"/>
    <cellStyle name="20 % - Accent1 5" xfId="1107" xr:uid="{00000000-0005-0000-0000-000052040000}"/>
    <cellStyle name="20 % - Accent1 6" xfId="1108" xr:uid="{00000000-0005-0000-0000-000053040000}"/>
    <cellStyle name="20 % - Accent1 7" xfId="1109" xr:uid="{00000000-0005-0000-0000-000054040000}"/>
    <cellStyle name="20 % - Accent1 8" xfId="1110" xr:uid="{00000000-0005-0000-0000-000055040000}"/>
    <cellStyle name="20 % - Accent1 9" xfId="1111" xr:uid="{00000000-0005-0000-0000-000056040000}"/>
    <cellStyle name="20 % - Accent2 10" xfId="1112" xr:uid="{00000000-0005-0000-0000-000057040000}"/>
    <cellStyle name="20 % - Accent2 11" xfId="1113" xr:uid="{00000000-0005-0000-0000-000058040000}"/>
    <cellStyle name="20 % - Accent2 12" xfId="1114" xr:uid="{00000000-0005-0000-0000-000059040000}"/>
    <cellStyle name="20 % - Accent2 13" xfId="1115" xr:uid="{00000000-0005-0000-0000-00005A040000}"/>
    <cellStyle name="20 % - Accent2 14" xfId="1116" xr:uid="{00000000-0005-0000-0000-00005B040000}"/>
    <cellStyle name="20 % - Accent2 15" xfId="1117" xr:uid="{00000000-0005-0000-0000-00005C040000}"/>
    <cellStyle name="20 % - Accent2 16" xfId="1118" xr:uid="{00000000-0005-0000-0000-00005D040000}"/>
    <cellStyle name="20 % - Accent2 17" xfId="1119" xr:uid="{00000000-0005-0000-0000-00005E040000}"/>
    <cellStyle name="20 % - Accent2 18" xfId="1120" xr:uid="{00000000-0005-0000-0000-00005F040000}"/>
    <cellStyle name="20 % - Accent2 19" xfId="1121" xr:uid="{00000000-0005-0000-0000-000060040000}"/>
    <cellStyle name="20 % - Accent2 2" xfId="1122" xr:uid="{00000000-0005-0000-0000-000061040000}"/>
    <cellStyle name="20 % - Accent2 20" xfId="1123" xr:uid="{00000000-0005-0000-0000-000062040000}"/>
    <cellStyle name="20 % - Accent2 21" xfId="1124" xr:uid="{00000000-0005-0000-0000-000063040000}"/>
    <cellStyle name="20 % - Accent2 22" xfId="1125" xr:uid="{00000000-0005-0000-0000-000064040000}"/>
    <cellStyle name="20 % - Accent2 23" xfId="1126" xr:uid="{00000000-0005-0000-0000-000065040000}"/>
    <cellStyle name="20 % - Accent2 24" xfId="1127" xr:uid="{00000000-0005-0000-0000-000066040000}"/>
    <cellStyle name="20 % - Accent2 25" xfId="1128" xr:uid="{00000000-0005-0000-0000-000067040000}"/>
    <cellStyle name="20 % - Accent2 26" xfId="1129" xr:uid="{00000000-0005-0000-0000-000068040000}"/>
    <cellStyle name="20 % - Accent2 27" xfId="1130" xr:uid="{00000000-0005-0000-0000-000069040000}"/>
    <cellStyle name="20 % - Accent2 28" xfId="1131" xr:uid="{00000000-0005-0000-0000-00006A040000}"/>
    <cellStyle name="20 % - Accent2 29" xfId="1132" xr:uid="{00000000-0005-0000-0000-00006B040000}"/>
    <cellStyle name="20 % - Accent2 3" xfId="1133" xr:uid="{00000000-0005-0000-0000-00006C040000}"/>
    <cellStyle name="20 % - Accent2 30" xfId="1134" xr:uid="{00000000-0005-0000-0000-00006D040000}"/>
    <cellStyle name="20 % - Accent2 31" xfId="1135" xr:uid="{00000000-0005-0000-0000-00006E040000}"/>
    <cellStyle name="20 % - Accent2 32" xfId="1136" xr:uid="{00000000-0005-0000-0000-00006F040000}"/>
    <cellStyle name="20 % - Accent2 33" xfId="1137" xr:uid="{00000000-0005-0000-0000-000070040000}"/>
    <cellStyle name="20 % - Accent2 34" xfId="1138" xr:uid="{00000000-0005-0000-0000-000071040000}"/>
    <cellStyle name="20 % - Accent2 35" xfId="1139" xr:uid="{00000000-0005-0000-0000-000072040000}"/>
    <cellStyle name="20 % - Accent2 36" xfId="1140" xr:uid="{00000000-0005-0000-0000-000073040000}"/>
    <cellStyle name="20 % - Accent2 37" xfId="1141" xr:uid="{00000000-0005-0000-0000-000074040000}"/>
    <cellStyle name="20 % - Accent2 4" xfId="1142" xr:uid="{00000000-0005-0000-0000-000075040000}"/>
    <cellStyle name="20 % - Accent2 5" xfId="1143" xr:uid="{00000000-0005-0000-0000-000076040000}"/>
    <cellStyle name="20 % - Accent2 6" xfId="1144" xr:uid="{00000000-0005-0000-0000-000077040000}"/>
    <cellStyle name="20 % - Accent2 7" xfId="1145" xr:uid="{00000000-0005-0000-0000-000078040000}"/>
    <cellStyle name="20 % - Accent2 8" xfId="1146" xr:uid="{00000000-0005-0000-0000-000079040000}"/>
    <cellStyle name="20 % - Accent2 9" xfId="1147" xr:uid="{00000000-0005-0000-0000-00007A040000}"/>
    <cellStyle name="20 % - Accent3 10" xfId="1148" xr:uid="{00000000-0005-0000-0000-00007B040000}"/>
    <cellStyle name="20 % - Accent3 11" xfId="1149" xr:uid="{00000000-0005-0000-0000-00007C040000}"/>
    <cellStyle name="20 % - Accent3 12" xfId="1150" xr:uid="{00000000-0005-0000-0000-00007D040000}"/>
    <cellStyle name="20 % - Accent3 13" xfId="1151" xr:uid="{00000000-0005-0000-0000-00007E040000}"/>
    <cellStyle name="20 % - Accent3 14" xfId="1152" xr:uid="{00000000-0005-0000-0000-00007F040000}"/>
    <cellStyle name="20 % - Accent3 15" xfId="1153" xr:uid="{00000000-0005-0000-0000-000080040000}"/>
    <cellStyle name="20 % - Accent3 16" xfId="1154" xr:uid="{00000000-0005-0000-0000-000081040000}"/>
    <cellStyle name="20 % - Accent3 17" xfId="1155" xr:uid="{00000000-0005-0000-0000-000082040000}"/>
    <cellStyle name="20 % - Accent3 18" xfId="1156" xr:uid="{00000000-0005-0000-0000-000083040000}"/>
    <cellStyle name="20 % - Accent3 19" xfId="1157" xr:uid="{00000000-0005-0000-0000-000084040000}"/>
    <cellStyle name="20 % - Accent3 2" xfId="1158" xr:uid="{00000000-0005-0000-0000-000085040000}"/>
    <cellStyle name="20 % - Accent3 20" xfId="1159" xr:uid="{00000000-0005-0000-0000-000086040000}"/>
    <cellStyle name="20 % - Accent3 21" xfId="1160" xr:uid="{00000000-0005-0000-0000-000087040000}"/>
    <cellStyle name="20 % - Accent3 22" xfId="1161" xr:uid="{00000000-0005-0000-0000-000088040000}"/>
    <cellStyle name="20 % - Accent3 23" xfId="1162" xr:uid="{00000000-0005-0000-0000-000089040000}"/>
    <cellStyle name="20 % - Accent3 24" xfId="1163" xr:uid="{00000000-0005-0000-0000-00008A040000}"/>
    <cellStyle name="20 % - Accent3 25" xfId="1164" xr:uid="{00000000-0005-0000-0000-00008B040000}"/>
    <cellStyle name="20 % - Accent3 26" xfId="1165" xr:uid="{00000000-0005-0000-0000-00008C040000}"/>
    <cellStyle name="20 % - Accent3 27" xfId="1166" xr:uid="{00000000-0005-0000-0000-00008D040000}"/>
    <cellStyle name="20 % - Accent3 28" xfId="1167" xr:uid="{00000000-0005-0000-0000-00008E040000}"/>
    <cellStyle name="20 % - Accent3 29" xfId="1168" xr:uid="{00000000-0005-0000-0000-00008F040000}"/>
    <cellStyle name="20 % - Accent3 3" xfId="1169" xr:uid="{00000000-0005-0000-0000-000090040000}"/>
    <cellStyle name="20 % - Accent3 30" xfId="1170" xr:uid="{00000000-0005-0000-0000-000091040000}"/>
    <cellStyle name="20 % - Accent3 31" xfId="1171" xr:uid="{00000000-0005-0000-0000-000092040000}"/>
    <cellStyle name="20 % - Accent3 32" xfId="1172" xr:uid="{00000000-0005-0000-0000-000093040000}"/>
    <cellStyle name="20 % - Accent3 33" xfId="1173" xr:uid="{00000000-0005-0000-0000-000094040000}"/>
    <cellStyle name="20 % - Accent3 34" xfId="1174" xr:uid="{00000000-0005-0000-0000-000095040000}"/>
    <cellStyle name="20 % - Accent3 35" xfId="1175" xr:uid="{00000000-0005-0000-0000-000096040000}"/>
    <cellStyle name="20 % - Accent3 36" xfId="1176" xr:uid="{00000000-0005-0000-0000-000097040000}"/>
    <cellStyle name="20 % - Accent3 37" xfId="1177" xr:uid="{00000000-0005-0000-0000-000098040000}"/>
    <cellStyle name="20 % - Accent3 4" xfId="1178" xr:uid="{00000000-0005-0000-0000-000099040000}"/>
    <cellStyle name="20 % - Accent3 5" xfId="1179" xr:uid="{00000000-0005-0000-0000-00009A040000}"/>
    <cellStyle name="20 % - Accent3 6" xfId="1180" xr:uid="{00000000-0005-0000-0000-00009B040000}"/>
    <cellStyle name="20 % - Accent3 7" xfId="1181" xr:uid="{00000000-0005-0000-0000-00009C040000}"/>
    <cellStyle name="20 % - Accent3 8" xfId="1182" xr:uid="{00000000-0005-0000-0000-00009D040000}"/>
    <cellStyle name="20 % - Accent3 9" xfId="1183" xr:uid="{00000000-0005-0000-0000-00009E040000}"/>
    <cellStyle name="20 % - Accent4 10" xfId="1184" xr:uid="{00000000-0005-0000-0000-00009F040000}"/>
    <cellStyle name="20 % - Accent4 11" xfId="1185" xr:uid="{00000000-0005-0000-0000-0000A0040000}"/>
    <cellStyle name="20 % - Accent4 12" xfId="1186" xr:uid="{00000000-0005-0000-0000-0000A1040000}"/>
    <cellStyle name="20 % - Accent4 13" xfId="1187" xr:uid="{00000000-0005-0000-0000-0000A2040000}"/>
    <cellStyle name="20 % - Accent4 14" xfId="1188" xr:uid="{00000000-0005-0000-0000-0000A3040000}"/>
    <cellStyle name="20 % - Accent4 15" xfId="1189" xr:uid="{00000000-0005-0000-0000-0000A4040000}"/>
    <cellStyle name="20 % - Accent4 16" xfId="1190" xr:uid="{00000000-0005-0000-0000-0000A5040000}"/>
    <cellStyle name="20 % - Accent4 17" xfId="1191" xr:uid="{00000000-0005-0000-0000-0000A6040000}"/>
    <cellStyle name="20 % - Accent4 18" xfId="1192" xr:uid="{00000000-0005-0000-0000-0000A7040000}"/>
    <cellStyle name="20 % - Accent4 19" xfId="1193" xr:uid="{00000000-0005-0000-0000-0000A8040000}"/>
    <cellStyle name="20 % - Accent4 2" xfId="1194" xr:uid="{00000000-0005-0000-0000-0000A9040000}"/>
    <cellStyle name="20 % - Accent4 20" xfId="1195" xr:uid="{00000000-0005-0000-0000-0000AA040000}"/>
    <cellStyle name="20 % - Accent4 21" xfId="1196" xr:uid="{00000000-0005-0000-0000-0000AB040000}"/>
    <cellStyle name="20 % - Accent4 22" xfId="1197" xr:uid="{00000000-0005-0000-0000-0000AC040000}"/>
    <cellStyle name="20 % - Accent4 23" xfId="1198" xr:uid="{00000000-0005-0000-0000-0000AD040000}"/>
    <cellStyle name="20 % - Accent4 24" xfId="1199" xr:uid="{00000000-0005-0000-0000-0000AE040000}"/>
    <cellStyle name="20 % - Accent4 25" xfId="1200" xr:uid="{00000000-0005-0000-0000-0000AF040000}"/>
    <cellStyle name="20 % - Accent4 26" xfId="1201" xr:uid="{00000000-0005-0000-0000-0000B0040000}"/>
    <cellStyle name="20 % - Accent4 27" xfId="1202" xr:uid="{00000000-0005-0000-0000-0000B1040000}"/>
    <cellStyle name="20 % - Accent4 28" xfId="1203" xr:uid="{00000000-0005-0000-0000-0000B2040000}"/>
    <cellStyle name="20 % - Accent4 29" xfId="1204" xr:uid="{00000000-0005-0000-0000-0000B3040000}"/>
    <cellStyle name="20 % - Accent4 3" xfId="1205" xr:uid="{00000000-0005-0000-0000-0000B4040000}"/>
    <cellStyle name="20 % - Accent4 30" xfId="1206" xr:uid="{00000000-0005-0000-0000-0000B5040000}"/>
    <cellStyle name="20 % - Accent4 31" xfId="1207" xr:uid="{00000000-0005-0000-0000-0000B6040000}"/>
    <cellStyle name="20 % - Accent4 32" xfId="1208" xr:uid="{00000000-0005-0000-0000-0000B7040000}"/>
    <cellStyle name="20 % - Accent4 33" xfId="1209" xr:uid="{00000000-0005-0000-0000-0000B8040000}"/>
    <cellStyle name="20 % - Accent4 34" xfId="1210" xr:uid="{00000000-0005-0000-0000-0000B9040000}"/>
    <cellStyle name="20 % - Accent4 35" xfId="1211" xr:uid="{00000000-0005-0000-0000-0000BA040000}"/>
    <cellStyle name="20 % - Accent4 36" xfId="1212" xr:uid="{00000000-0005-0000-0000-0000BB040000}"/>
    <cellStyle name="20 % - Accent4 37" xfId="1213" xr:uid="{00000000-0005-0000-0000-0000BC040000}"/>
    <cellStyle name="20 % - Accent4 4" xfId="1214" xr:uid="{00000000-0005-0000-0000-0000BD040000}"/>
    <cellStyle name="20 % - Accent4 5" xfId="1215" xr:uid="{00000000-0005-0000-0000-0000BE040000}"/>
    <cellStyle name="20 % - Accent4 6" xfId="1216" xr:uid="{00000000-0005-0000-0000-0000BF040000}"/>
    <cellStyle name="20 % - Accent4 7" xfId="1217" xr:uid="{00000000-0005-0000-0000-0000C0040000}"/>
    <cellStyle name="20 % - Accent4 8" xfId="1218" xr:uid="{00000000-0005-0000-0000-0000C1040000}"/>
    <cellStyle name="20 % - Accent4 9" xfId="1219" xr:uid="{00000000-0005-0000-0000-0000C2040000}"/>
    <cellStyle name="20 % - Accent5 10" xfId="1220" xr:uid="{00000000-0005-0000-0000-0000C3040000}"/>
    <cellStyle name="20 % - Accent5 11" xfId="1221" xr:uid="{00000000-0005-0000-0000-0000C4040000}"/>
    <cellStyle name="20 % - Accent5 12" xfId="1222" xr:uid="{00000000-0005-0000-0000-0000C5040000}"/>
    <cellStyle name="20 % - Accent5 13" xfId="1223" xr:uid="{00000000-0005-0000-0000-0000C6040000}"/>
    <cellStyle name="20 % - Accent5 14" xfId="1224" xr:uid="{00000000-0005-0000-0000-0000C7040000}"/>
    <cellStyle name="20 % - Accent5 15" xfId="1225" xr:uid="{00000000-0005-0000-0000-0000C8040000}"/>
    <cellStyle name="20 % - Accent5 16" xfId="1226" xr:uid="{00000000-0005-0000-0000-0000C9040000}"/>
    <cellStyle name="20 % - Accent5 17" xfId="1227" xr:uid="{00000000-0005-0000-0000-0000CA040000}"/>
    <cellStyle name="20 % - Accent5 18" xfId="1228" xr:uid="{00000000-0005-0000-0000-0000CB040000}"/>
    <cellStyle name="20 % - Accent5 19" xfId="1229" xr:uid="{00000000-0005-0000-0000-0000CC040000}"/>
    <cellStyle name="20 % - Accent5 2" xfId="1230" xr:uid="{00000000-0005-0000-0000-0000CD040000}"/>
    <cellStyle name="20 % - Accent5 20" xfId="1231" xr:uid="{00000000-0005-0000-0000-0000CE040000}"/>
    <cellStyle name="20 % - Accent5 21" xfId="1232" xr:uid="{00000000-0005-0000-0000-0000CF040000}"/>
    <cellStyle name="20 % - Accent5 22" xfId="1233" xr:uid="{00000000-0005-0000-0000-0000D0040000}"/>
    <cellStyle name="20 % - Accent5 23" xfId="1234" xr:uid="{00000000-0005-0000-0000-0000D1040000}"/>
    <cellStyle name="20 % - Accent5 24" xfId="1235" xr:uid="{00000000-0005-0000-0000-0000D2040000}"/>
    <cellStyle name="20 % - Accent5 25" xfId="1236" xr:uid="{00000000-0005-0000-0000-0000D3040000}"/>
    <cellStyle name="20 % - Accent5 26" xfId="1237" xr:uid="{00000000-0005-0000-0000-0000D4040000}"/>
    <cellStyle name="20 % - Accent5 27" xfId="1238" xr:uid="{00000000-0005-0000-0000-0000D5040000}"/>
    <cellStyle name="20 % - Accent5 28" xfId="1239" xr:uid="{00000000-0005-0000-0000-0000D6040000}"/>
    <cellStyle name="20 % - Accent5 29" xfId="1240" xr:uid="{00000000-0005-0000-0000-0000D7040000}"/>
    <cellStyle name="20 % - Accent5 3" xfId="1241" xr:uid="{00000000-0005-0000-0000-0000D8040000}"/>
    <cellStyle name="20 % - Accent5 30" xfId="1242" xr:uid="{00000000-0005-0000-0000-0000D9040000}"/>
    <cellStyle name="20 % - Accent5 31" xfId="1243" xr:uid="{00000000-0005-0000-0000-0000DA040000}"/>
    <cellStyle name="20 % - Accent5 32" xfId="1244" xr:uid="{00000000-0005-0000-0000-0000DB040000}"/>
    <cellStyle name="20 % - Accent5 33" xfId="1245" xr:uid="{00000000-0005-0000-0000-0000DC040000}"/>
    <cellStyle name="20 % - Accent5 34" xfId="1246" xr:uid="{00000000-0005-0000-0000-0000DD040000}"/>
    <cellStyle name="20 % - Accent5 35" xfId="1247" xr:uid="{00000000-0005-0000-0000-0000DE040000}"/>
    <cellStyle name="20 % - Accent5 36" xfId="1248" xr:uid="{00000000-0005-0000-0000-0000DF040000}"/>
    <cellStyle name="20 % - Accent5 37" xfId="1249" xr:uid="{00000000-0005-0000-0000-0000E0040000}"/>
    <cellStyle name="20 % - Accent5 4" xfId="1250" xr:uid="{00000000-0005-0000-0000-0000E1040000}"/>
    <cellStyle name="20 % - Accent5 5" xfId="1251" xr:uid="{00000000-0005-0000-0000-0000E2040000}"/>
    <cellStyle name="20 % - Accent5 6" xfId="1252" xr:uid="{00000000-0005-0000-0000-0000E3040000}"/>
    <cellStyle name="20 % - Accent5 7" xfId="1253" xr:uid="{00000000-0005-0000-0000-0000E4040000}"/>
    <cellStyle name="20 % - Accent5 8" xfId="1254" xr:uid="{00000000-0005-0000-0000-0000E5040000}"/>
    <cellStyle name="20 % - Accent5 9" xfId="1255" xr:uid="{00000000-0005-0000-0000-0000E6040000}"/>
    <cellStyle name="20 % - Accent6 10" xfId="1256" xr:uid="{00000000-0005-0000-0000-0000E7040000}"/>
    <cellStyle name="20 % - Accent6 11" xfId="1257" xr:uid="{00000000-0005-0000-0000-0000E8040000}"/>
    <cellStyle name="20 % - Accent6 12" xfId="1258" xr:uid="{00000000-0005-0000-0000-0000E9040000}"/>
    <cellStyle name="20 % - Accent6 13" xfId="1259" xr:uid="{00000000-0005-0000-0000-0000EA040000}"/>
    <cellStyle name="20 % - Accent6 14" xfId="1260" xr:uid="{00000000-0005-0000-0000-0000EB040000}"/>
    <cellStyle name="20 % - Accent6 15" xfId="1261" xr:uid="{00000000-0005-0000-0000-0000EC040000}"/>
    <cellStyle name="20 % - Accent6 16" xfId="1262" xr:uid="{00000000-0005-0000-0000-0000ED040000}"/>
    <cellStyle name="20 % - Accent6 17" xfId="1263" xr:uid="{00000000-0005-0000-0000-0000EE040000}"/>
    <cellStyle name="20 % - Accent6 18" xfId="1264" xr:uid="{00000000-0005-0000-0000-0000EF040000}"/>
    <cellStyle name="20 % - Accent6 2" xfId="1265" xr:uid="{00000000-0005-0000-0000-0000F0040000}"/>
    <cellStyle name="20% - Akzent1" xfId="1266" xr:uid="{00000000-0005-0000-0000-0000F1040000}"/>
    <cellStyle name="20% - Akzent2" xfId="1267" xr:uid="{00000000-0005-0000-0000-0000F2040000}"/>
    <cellStyle name="20% - Akzent3" xfId="1268" xr:uid="{00000000-0005-0000-0000-0000F3040000}"/>
    <cellStyle name="20% - Akzent4" xfId="1269" xr:uid="{00000000-0005-0000-0000-0000F4040000}"/>
    <cellStyle name="20% - Akzent5" xfId="1270" xr:uid="{00000000-0005-0000-0000-0000F5040000}"/>
    <cellStyle name="20% - Akzent6" xfId="1271" xr:uid="{00000000-0005-0000-0000-0000F6040000}"/>
    <cellStyle name="40 % - Accent1 2" xfId="1272" xr:uid="{00000000-0005-0000-0000-0000F7040000}"/>
    <cellStyle name="40 % - Accent2 2" xfId="1273" xr:uid="{00000000-0005-0000-0000-0000F8040000}"/>
    <cellStyle name="40 % - Accent3 2" xfId="1274" xr:uid="{00000000-0005-0000-0000-0000F9040000}"/>
    <cellStyle name="40 % - Accent4 2" xfId="1275" xr:uid="{00000000-0005-0000-0000-0000FA040000}"/>
    <cellStyle name="40 % - Accent5 2" xfId="1276" xr:uid="{00000000-0005-0000-0000-0000FB040000}"/>
    <cellStyle name="40 % - Accent6 2" xfId="1277" xr:uid="{00000000-0005-0000-0000-0000FC040000}"/>
    <cellStyle name="40% - Akzent1" xfId="1278" xr:uid="{00000000-0005-0000-0000-0000FD040000}"/>
    <cellStyle name="40% - Akzent2" xfId="1279" xr:uid="{00000000-0005-0000-0000-0000FE040000}"/>
    <cellStyle name="40% - Akzent3" xfId="1280" xr:uid="{00000000-0005-0000-0000-0000FF040000}"/>
    <cellStyle name="40% - Akzent4" xfId="1281" xr:uid="{00000000-0005-0000-0000-000000050000}"/>
    <cellStyle name="40% - Akzent5" xfId="1282" xr:uid="{00000000-0005-0000-0000-000001050000}"/>
    <cellStyle name="40% - Akzent6" xfId="1283" xr:uid="{00000000-0005-0000-0000-000002050000}"/>
    <cellStyle name="60 % - Accent1 2" xfId="1284" xr:uid="{00000000-0005-0000-0000-000003050000}"/>
    <cellStyle name="60 % - Accent2 2" xfId="1285" xr:uid="{00000000-0005-0000-0000-000004050000}"/>
    <cellStyle name="60 % - Accent3 2" xfId="1286" xr:uid="{00000000-0005-0000-0000-000005050000}"/>
    <cellStyle name="60 % - Accent4 2" xfId="1287" xr:uid="{00000000-0005-0000-0000-000006050000}"/>
    <cellStyle name="60 % - Accent5 2" xfId="1288" xr:uid="{00000000-0005-0000-0000-000007050000}"/>
    <cellStyle name="60 % - Accent6 2" xfId="1289" xr:uid="{00000000-0005-0000-0000-000008050000}"/>
    <cellStyle name="60% - Akzent1" xfId="1290" xr:uid="{00000000-0005-0000-0000-000009050000}"/>
    <cellStyle name="60% - Akzent2" xfId="1291" xr:uid="{00000000-0005-0000-0000-00000A050000}"/>
    <cellStyle name="60% - Akzent3" xfId="1292" xr:uid="{00000000-0005-0000-0000-00000B050000}"/>
    <cellStyle name="60% - Akzent4" xfId="1293" xr:uid="{00000000-0005-0000-0000-00000C050000}"/>
    <cellStyle name="60% - Akzent5" xfId="1294" xr:uid="{00000000-0005-0000-0000-00000D050000}"/>
    <cellStyle name="60% - Akzent6" xfId="1295" xr:uid="{00000000-0005-0000-0000-00000E050000}"/>
    <cellStyle name="a1" xfId="1296" xr:uid="{00000000-0005-0000-0000-00000F050000}"/>
    <cellStyle name="Accent1 2" xfId="1297" xr:uid="{00000000-0005-0000-0000-000010050000}"/>
    <cellStyle name="Accent2 2" xfId="1298" xr:uid="{00000000-0005-0000-0000-000011050000}"/>
    <cellStyle name="Accent3 2" xfId="1299" xr:uid="{00000000-0005-0000-0000-000012050000}"/>
    <cellStyle name="Accent4 2" xfId="1300" xr:uid="{00000000-0005-0000-0000-000013050000}"/>
    <cellStyle name="Accent5 2" xfId="1301" xr:uid="{00000000-0005-0000-0000-000014050000}"/>
    <cellStyle name="Accent6 2" xfId="1302" xr:uid="{00000000-0005-0000-0000-000015050000}"/>
    <cellStyle name="acct" xfId="1303" xr:uid="{00000000-0005-0000-0000-000016050000}"/>
    <cellStyle name="ÅëÈ­ [0]_laroux" xfId="1304" xr:uid="{00000000-0005-0000-0000-000017050000}"/>
    <cellStyle name="ÅëÈ­_laroux" xfId="1305" xr:uid="{00000000-0005-0000-0000-000018050000}"/>
    <cellStyle name="AFE" xfId="1306" xr:uid="{00000000-0005-0000-0000-000019050000}"/>
    <cellStyle name="Akzent1" xfId="1307" xr:uid="{00000000-0005-0000-0000-00001A050000}"/>
    <cellStyle name="Akzent2" xfId="1308" xr:uid="{00000000-0005-0000-0000-00001B050000}"/>
    <cellStyle name="Akzent3" xfId="1309" xr:uid="{00000000-0005-0000-0000-00001C050000}"/>
    <cellStyle name="Akzent4" xfId="1310" xr:uid="{00000000-0005-0000-0000-00001D050000}"/>
    <cellStyle name="Akzent5" xfId="1311" xr:uid="{00000000-0005-0000-0000-00001E050000}"/>
    <cellStyle name="Akzent6" xfId="1312" xr:uid="{00000000-0005-0000-0000-00001F050000}"/>
    <cellStyle name="Arial 10" xfId="1313" xr:uid="{00000000-0005-0000-0000-000020050000}"/>
    <cellStyle name="Arial 12" xfId="1314" xr:uid="{00000000-0005-0000-0000-000021050000}"/>
    <cellStyle name="Assumption" xfId="1315" xr:uid="{00000000-0005-0000-0000-000022050000}"/>
    <cellStyle name="at" xfId="1316" xr:uid="{00000000-0005-0000-0000-000023050000}"/>
    <cellStyle name="ÄÞ¸¶ [0]_laroux" xfId="1317" xr:uid="{00000000-0005-0000-0000-000024050000}"/>
    <cellStyle name="ÄÞ¸¶_laroux" xfId="1318" xr:uid="{00000000-0005-0000-0000-000025050000}"/>
    <cellStyle name="Ausgabe" xfId="1319" xr:uid="{00000000-0005-0000-0000-000026050000}"/>
    <cellStyle name="Availability" xfId="1320" xr:uid="{00000000-0005-0000-0000-000027050000}"/>
    <cellStyle name="Avertissement 2" xfId="1321" xr:uid="{00000000-0005-0000-0000-000028050000}"/>
    <cellStyle name="b" xfId="1322" xr:uid="{00000000-0005-0000-0000-000029050000}"/>
    <cellStyle name="b%0" xfId="1323" xr:uid="{00000000-0005-0000-0000-00002A050000}"/>
    <cellStyle name="b%1" xfId="1324" xr:uid="{00000000-0005-0000-0000-00002B050000}"/>
    <cellStyle name="b%2" xfId="1325" xr:uid="{00000000-0005-0000-0000-00002C050000}"/>
    <cellStyle name="b_2010- Ypso Forecast" xfId="1326" xr:uid="{00000000-0005-0000-0000-00002D050000}"/>
    <cellStyle name="b_2010- Ypso Forecast_modifDivOp27102010" xfId="1327" xr:uid="{00000000-0005-0000-0000-00002E050000}"/>
    <cellStyle name="b_2010- Ypso Forecast_P&amp;L DivOp_Reforecast0410 vEP" xfId="1328" xr:uid="{00000000-0005-0000-0000-00002F050000}"/>
    <cellStyle name="b_P&amp;L DivOp_Reforecast0410_27102010" xfId="1329" xr:uid="{00000000-0005-0000-0000-000030050000}"/>
    <cellStyle name="b_Reporting Completel 0802  V4" xfId="1330" xr:uid="{00000000-0005-0000-0000-000031050000}"/>
    <cellStyle name="b_Reporting Investors Completel July 2008" xfId="1331" xr:uid="{00000000-0005-0000-0000-000032050000}"/>
    <cellStyle name="b_Reporting Investors Completel July 2008_P&amp;L DivOp_Reforecast0410 vEP" xfId="1332" xr:uid="{00000000-0005-0000-0000-000033050000}"/>
    <cellStyle name="b_Ypso Financial Budget" xfId="1333" xr:uid="{00000000-0005-0000-0000-000034050000}"/>
    <cellStyle name="b_Ypso Financial Budget_P&amp;L DivOp_Reforecast0410 vEP" xfId="1334" xr:uid="{00000000-0005-0000-0000-000035050000}"/>
    <cellStyle name="b_Ypso Financial Budget_Xl0000004" xfId="1335" xr:uid="{00000000-0005-0000-0000-000036050000}"/>
    <cellStyle name="b0" xfId="1336" xr:uid="{00000000-0005-0000-0000-000037050000}"/>
    <cellStyle name="b09" xfId="1337" xr:uid="{00000000-0005-0000-0000-000038050000}"/>
    <cellStyle name="b1" xfId="1338" xr:uid="{00000000-0005-0000-0000-000039050000}"/>
    <cellStyle name="b2" xfId="1339" xr:uid="{00000000-0005-0000-0000-00003A050000}"/>
    <cellStyle name="Berechnung" xfId="1340" xr:uid="{00000000-0005-0000-0000-00003B050000}"/>
    <cellStyle name="Black" xfId="1341" xr:uid="{00000000-0005-0000-0000-00003C050000}"/>
    <cellStyle name="Block Titles" xfId="1342" xr:uid="{00000000-0005-0000-0000-00003D050000}"/>
    <cellStyle name="blue" xfId="1343" xr:uid="{00000000-0005-0000-0000-00003E050000}"/>
    <cellStyle name="bo" xfId="1344" xr:uid="{00000000-0005-0000-0000-00003F050000}"/>
    <cellStyle name="Body" xfId="1345" xr:uid="{00000000-0005-0000-0000-000040050000}"/>
    <cellStyle name="bold big" xfId="1346" xr:uid="{00000000-0005-0000-0000-000041050000}"/>
    <cellStyle name="Bold/Border" xfId="1347" xr:uid="{00000000-0005-0000-0000-000042050000}"/>
    <cellStyle name="Border" xfId="1348" xr:uid="{00000000-0005-0000-0000-000043050000}"/>
    <cellStyle name="Border Heavy" xfId="1349" xr:uid="{00000000-0005-0000-0000-000044050000}"/>
    <cellStyle name="Border Thin" xfId="1350" xr:uid="{00000000-0005-0000-0000-000045050000}"/>
    <cellStyle name="Border_Agreed Base Case officiel from Altice - envoi Altice 3oct2007" xfId="1351" xr:uid="{00000000-0005-0000-0000-000046050000}"/>
    <cellStyle name="Bottom" xfId="1352" xr:uid="{00000000-0005-0000-0000-000047050000}"/>
    <cellStyle name="bout" xfId="1353" xr:uid="{00000000-0005-0000-0000-000048050000}"/>
    <cellStyle name="British Pound" xfId="1354" xr:uid="{00000000-0005-0000-0000-000049050000}"/>
    <cellStyle name="bt" xfId="1355" xr:uid="{00000000-0005-0000-0000-00004A050000}"/>
    <cellStyle name="btit" xfId="1356" xr:uid="{00000000-0005-0000-0000-00004B050000}"/>
    <cellStyle name="Bullet" xfId="1357" xr:uid="{00000000-0005-0000-0000-00004C050000}"/>
    <cellStyle name="c" xfId="1358" xr:uid="{00000000-0005-0000-0000-00004D050000}"/>
    <cellStyle name="c_2010- Ypso Forecast" xfId="1359" xr:uid="{00000000-0005-0000-0000-00004E050000}"/>
    <cellStyle name="c_2010- Ypso Forecast_modifDivOp27102010" xfId="1360" xr:uid="{00000000-0005-0000-0000-00004F050000}"/>
    <cellStyle name="c_2010- Ypso Forecast_P&amp;L DivOp_Reforecast0410 vEP" xfId="1361" xr:uid="{00000000-0005-0000-0000-000050050000}"/>
    <cellStyle name="c_Grouse+Pelican" xfId="1362" xr:uid="{00000000-0005-0000-0000-000051050000}"/>
    <cellStyle name="c_Macros" xfId="1363" xr:uid="{00000000-0005-0000-0000-000052050000}"/>
    <cellStyle name="c_Macros (2)" xfId="1364" xr:uid="{00000000-0005-0000-0000-000053050000}"/>
    <cellStyle name="c_Macros (2)_2010- Ypso Forecast" xfId="1365" xr:uid="{00000000-0005-0000-0000-000054050000}"/>
    <cellStyle name="c_Macros (2)_2010- Ypso Forecast_modifDivOp27102010" xfId="1366" xr:uid="{00000000-0005-0000-0000-000055050000}"/>
    <cellStyle name="c_Macros (2)_2010- Ypso Forecast_P&amp;L DivOp_Reforecast0410 vEP" xfId="1367" xr:uid="{00000000-0005-0000-0000-000056050000}"/>
    <cellStyle name="c_Macros (2)_P&amp;L DivOp_Reforecast0410_27102010" xfId="1368" xr:uid="{00000000-0005-0000-0000-000057050000}"/>
    <cellStyle name="c_Macros (2)_Reporting Completel 0802  V4" xfId="1369" xr:uid="{00000000-0005-0000-0000-000058050000}"/>
    <cellStyle name="c_Macros (2)_Reporting Investors Completel July 2008" xfId="1370" xr:uid="{00000000-0005-0000-0000-000059050000}"/>
    <cellStyle name="c_Macros (2)_Reporting Investors Completel July 2008_P&amp;L DivOp_Reforecast0410 vEP" xfId="1371" xr:uid="{00000000-0005-0000-0000-00005A050000}"/>
    <cellStyle name="c_Macros (2)_Ypso Financial Budget" xfId="1372" xr:uid="{00000000-0005-0000-0000-00005B050000}"/>
    <cellStyle name="c_Macros (2)_Ypso Financial Budget_P&amp;L DivOp_Reforecast0410 vEP" xfId="1373" xr:uid="{00000000-0005-0000-0000-00005C050000}"/>
    <cellStyle name="c_Macros (2)_Ypso Financial Budget_Xl0000004" xfId="1374" xr:uid="{00000000-0005-0000-0000-00005D050000}"/>
    <cellStyle name="c_Macros_2010- Ypso Forecast" xfId="1375" xr:uid="{00000000-0005-0000-0000-00005E050000}"/>
    <cellStyle name="c_Macros_2010- Ypso Forecast_modifDivOp27102010" xfId="1376" xr:uid="{00000000-0005-0000-0000-00005F050000}"/>
    <cellStyle name="c_Macros_2010- Ypso Forecast_P&amp;L DivOp_Reforecast0410 vEP" xfId="1377" xr:uid="{00000000-0005-0000-0000-000060050000}"/>
    <cellStyle name="c_Macros_P&amp;L DivOp_Reforecast0410_27102010" xfId="1378" xr:uid="{00000000-0005-0000-0000-000061050000}"/>
    <cellStyle name="c_Macros_Reporting Completel 0802  V4" xfId="1379" xr:uid="{00000000-0005-0000-0000-000062050000}"/>
    <cellStyle name="c_Macros_Reporting Investors Completel July 2008" xfId="1380" xr:uid="{00000000-0005-0000-0000-000063050000}"/>
    <cellStyle name="c_Macros_Reporting Investors Completel July 2008_P&amp;L DivOp_Reforecast0410 vEP" xfId="1381" xr:uid="{00000000-0005-0000-0000-000064050000}"/>
    <cellStyle name="c_Macros_Ypso Financial Budget" xfId="1382" xr:uid="{00000000-0005-0000-0000-000065050000}"/>
    <cellStyle name="c_Macros_Ypso Financial Budget_P&amp;L DivOp_Reforecast0410 vEP" xfId="1383" xr:uid="{00000000-0005-0000-0000-000066050000}"/>
    <cellStyle name="c_Macros_Ypso Financial Budget_Xl0000004" xfId="1384" xr:uid="{00000000-0005-0000-0000-000067050000}"/>
    <cellStyle name="c_Manager (2)" xfId="1385" xr:uid="{00000000-0005-0000-0000-000068050000}"/>
    <cellStyle name="c_Manager (2)_2010- Ypso Forecast" xfId="1386" xr:uid="{00000000-0005-0000-0000-000069050000}"/>
    <cellStyle name="c_Manager (2)_2010- Ypso Forecast_modifDivOp27102010" xfId="1387" xr:uid="{00000000-0005-0000-0000-00006A050000}"/>
    <cellStyle name="c_Manager (2)_2010- Ypso Forecast_P&amp;L DivOp_Reforecast0410 vEP" xfId="1388" xr:uid="{00000000-0005-0000-0000-00006B050000}"/>
    <cellStyle name="c_Manager (2)_P&amp;L DivOp_Reforecast0410_27102010" xfId="1389" xr:uid="{00000000-0005-0000-0000-00006C050000}"/>
    <cellStyle name="c_Manager (2)_Reporting Completel 0802  V4" xfId="1390" xr:uid="{00000000-0005-0000-0000-00006D050000}"/>
    <cellStyle name="c_Manager (2)_Reporting Investors Completel July 2008" xfId="1391" xr:uid="{00000000-0005-0000-0000-00006E050000}"/>
    <cellStyle name="c_Manager (2)_Reporting Investors Completel July 2008_P&amp;L DivOp_Reforecast0410 vEP" xfId="1392" xr:uid="{00000000-0005-0000-0000-00006F050000}"/>
    <cellStyle name="c_Manager (2)_Ypso Financial Budget" xfId="1393" xr:uid="{00000000-0005-0000-0000-000070050000}"/>
    <cellStyle name="c_Manager (2)_Ypso Financial Budget_P&amp;L DivOp_Reforecast0410 vEP" xfId="1394" xr:uid="{00000000-0005-0000-0000-000071050000}"/>
    <cellStyle name="c_Manager (2)_Ypso Financial Budget_Xl0000004" xfId="1395" xr:uid="{00000000-0005-0000-0000-000072050000}"/>
    <cellStyle name="c_P&amp;L DivOp_Reforecast0410_27102010" xfId="1396" xr:uid="{00000000-0005-0000-0000-000073050000}"/>
    <cellStyle name="c_Reporting Completel 0802  V4" xfId="1397" xr:uid="{00000000-0005-0000-0000-000074050000}"/>
    <cellStyle name="c_Reporting Investors Completel July 2008" xfId="1398" xr:uid="{00000000-0005-0000-0000-000075050000}"/>
    <cellStyle name="c_Reporting Investors Completel July 2008_P&amp;L DivOp_Reforecast0410 vEP" xfId="1399" xr:uid="{00000000-0005-0000-0000-000076050000}"/>
    <cellStyle name="c_Ypso Financial Budget" xfId="1400" xr:uid="{00000000-0005-0000-0000-000077050000}"/>
    <cellStyle name="c_Ypso Financial Budget_P&amp;L DivOp_Reforecast0410 vEP" xfId="1401" xr:uid="{00000000-0005-0000-0000-000078050000}"/>
    <cellStyle name="c_Ypso Financial Budget_Xl0000004" xfId="1402" xr:uid="{00000000-0005-0000-0000-000079050000}"/>
    <cellStyle name="Ç¥ÁØ_ÀÎÀç°³¹ß¿ø" xfId="1403" xr:uid="{00000000-0005-0000-0000-00007A050000}"/>
    <cellStyle name="c0" xfId="1404" xr:uid="{00000000-0005-0000-0000-00007B050000}"/>
    <cellStyle name="cach" xfId="1405" xr:uid="{00000000-0005-0000-0000-00007C050000}"/>
    <cellStyle name="Calcul 2" xfId="1406" xr:uid="{00000000-0005-0000-0000-00007D050000}"/>
    <cellStyle name="CATV Total" xfId="1407" xr:uid="{00000000-0005-0000-0000-00007E050000}"/>
    <cellStyle name="Cellule liée 2" xfId="1408" xr:uid="{00000000-0005-0000-0000-00007F050000}"/>
    <cellStyle name="Checksum" xfId="1409" xr:uid="{00000000-0005-0000-0000-000080050000}"/>
    <cellStyle name="co" xfId="1410" xr:uid="{00000000-0005-0000-0000-000081050000}"/>
    <cellStyle name="ColHeading" xfId="1411" xr:uid="{00000000-0005-0000-0000-000082050000}"/>
    <cellStyle name="Collegamento ipertestuale visitato_Dati Mercato UBM adj" xfId="1412" xr:uid="{00000000-0005-0000-0000-000083050000}"/>
    <cellStyle name="Collegamento ipertestuale_Dati Mercato UBM adj" xfId="1413" xr:uid="{00000000-0005-0000-0000-000084050000}"/>
    <cellStyle name="Column Heading" xfId="1414" xr:uid="{00000000-0005-0000-0000-000085050000}"/>
    <cellStyle name="Column Heading (No Wrap)" xfId="1415" xr:uid="{00000000-0005-0000-0000-000086050000}"/>
    <cellStyle name="Column Heading_070123 Reporting Belgique 12 2006" xfId="1416" xr:uid="{00000000-0005-0000-0000-000087050000}"/>
    <cellStyle name="Column label" xfId="1417" xr:uid="{00000000-0005-0000-0000-000088050000}"/>
    <cellStyle name="Column label (left aligned)" xfId="1418" xr:uid="{00000000-0005-0000-0000-000089050000}"/>
    <cellStyle name="Column label (no wrap)" xfId="1419" xr:uid="{00000000-0005-0000-0000-00008A050000}"/>
    <cellStyle name="Column label (not bold)" xfId="1420" xr:uid="{00000000-0005-0000-0000-00008B050000}"/>
    <cellStyle name="Column label_KBW model current jan 06" xfId="1421" xr:uid="{00000000-0005-0000-0000-00008C050000}"/>
    <cellStyle name="Column Total" xfId="1422" xr:uid="{00000000-0005-0000-0000-00008D050000}"/>
    <cellStyle name="Comma" xfId="2379" builtinId="3"/>
    <cellStyle name="Comma  - Style1" xfId="1423" xr:uid="{00000000-0005-0000-0000-00008F050000}"/>
    <cellStyle name="Comma  - Style2" xfId="1424" xr:uid="{00000000-0005-0000-0000-000090050000}"/>
    <cellStyle name="Comma  - Style3" xfId="1425" xr:uid="{00000000-0005-0000-0000-000091050000}"/>
    <cellStyle name="Comma  - Style4" xfId="1426" xr:uid="{00000000-0005-0000-0000-000092050000}"/>
    <cellStyle name="Comma  - Style5" xfId="1427" xr:uid="{00000000-0005-0000-0000-000093050000}"/>
    <cellStyle name="Comma  - Style6" xfId="1428" xr:uid="{00000000-0005-0000-0000-000094050000}"/>
    <cellStyle name="Comma  - Style7" xfId="1429" xr:uid="{00000000-0005-0000-0000-000095050000}"/>
    <cellStyle name="Comma  - Style8" xfId="1430" xr:uid="{00000000-0005-0000-0000-000096050000}"/>
    <cellStyle name="comma - number" xfId="1431" xr:uid="{00000000-0005-0000-0000-000097050000}"/>
    <cellStyle name="Comma [1]" xfId="1432" xr:uid="{00000000-0005-0000-0000-000098050000}"/>
    <cellStyle name="Comma [2]" xfId="1433" xr:uid="{00000000-0005-0000-0000-000099050000}"/>
    <cellStyle name="Comma 0" xfId="1434" xr:uid="{00000000-0005-0000-0000-00009A050000}"/>
    <cellStyle name="Comma 0*" xfId="1435" xr:uid="{00000000-0005-0000-0000-00009B050000}"/>
    <cellStyle name="Comma 0_NPV analysis" xfId="1436" xr:uid="{00000000-0005-0000-0000-00009C050000}"/>
    <cellStyle name="Comma 10 5" xfId="2386" xr:uid="{00000000-0005-0000-0000-00009D050000}"/>
    <cellStyle name="Comma 17 2" xfId="2389" xr:uid="{B6894A69-57C4-4066-A37F-850F1EDC8752}"/>
    <cellStyle name="Comma 2" xfId="1437" xr:uid="{00000000-0005-0000-0000-00009E050000}"/>
    <cellStyle name="Comma 3" xfId="1438" xr:uid="{00000000-0005-0000-0000-00009F050000}"/>
    <cellStyle name="Comma.1" xfId="1439" xr:uid="{00000000-0005-0000-0000-0000A0050000}"/>
    <cellStyle name="Comma.2" xfId="1440" xr:uid="{00000000-0005-0000-0000-0000A1050000}"/>
    <cellStyle name="Comma_Cablecom v2" xfId="2377" xr:uid="{00000000-0005-0000-0000-0000A2050000}"/>
    <cellStyle name="Comma_Draft model Zon aug 10" xfId="6" xr:uid="{00000000-0005-0000-0000-0000A3050000}"/>
    <cellStyle name="Comma_KDG jun 10" xfId="2374" xr:uid="{00000000-0005-0000-0000-0000A4050000}"/>
    <cellStyle name="Commentaire 2" xfId="1441" xr:uid="{00000000-0005-0000-0000-0000A5050000}"/>
    <cellStyle name="Company" xfId="1442" xr:uid="{00000000-0005-0000-0000-0000A6050000}"/>
    <cellStyle name="Comput text" xfId="1443" xr:uid="{00000000-0005-0000-0000-0000A7050000}"/>
    <cellStyle name="comput text1" xfId="1444" xr:uid="{00000000-0005-0000-0000-0000A8050000}"/>
    <cellStyle name="Copy Decimal 0" xfId="1445" xr:uid="{00000000-0005-0000-0000-0000A9050000}"/>
    <cellStyle name="Copy Decimal 0,00" xfId="1446" xr:uid="{00000000-0005-0000-0000-0000AA050000}"/>
    <cellStyle name="Copy Decimal 0_2010- Ypso Forecast" xfId="1447" xr:uid="{00000000-0005-0000-0000-0000AB050000}"/>
    <cellStyle name="Copy Percent 0" xfId="1448" xr:uid="{00000000-0005-0000-0000-0000AC050000}"/>
    <cellStyle name="Copy Percent 0,00" xfId="1449" xr:uid="{00000000-0005-0000-0000-0000AD050000}"/>
    <cellStyle name="Copy Percent 0_BP Board June 14 05 to Cinven" xfId="1450" xr:uid="{00000000-0005-0000-0000-0000AE050000}"/>
    <cellStyle name="Cost" xfId="1451" xr:uid="{00000000-0005-0000-0000-0000AF050000}"/>
    <cellStyle name="Cover Date" xfId="1452" xr:uid="{00000000-0005-0000-0000-0000B0050000}"/>
    <cellStyle name="Cover Subtitle" xfId="1453" xr:uid="{00000000-0005-0000-0000-0000B1050000}"/>
    <cellStyle name="Cover Title" xfId="1454" xr:uid="{00000000-0005-0000-0000-0000B2050000}"/>
    <cellStyle name="CurRatio" xfId="1455" xr:uid="{00000000-0005-0000-0000-0000B3050000}"/>
    <cellStyle name="Currency - Euro" xfId="1456" xr:uid="{00000000-0005-0000-0000-0000B4050000}"/>
    <cellStyle name="Currency (2dp)" xfId="1457" xr:uid="{00000000-0005-0000-0000-0000B5050000}"/>
    <cellStyle name="Currency [0] - Euro" xfId="1458" xr:uid="{00000000-0005-0000-0000-0000B6050000}"/>
    <cellStyle name="Currency [0] - Euro 2" xfId="1459" xr:uid="{00000000-0005-0000-0000-0000B7050000}"/>
    <cellStyle name="Currency [1]" xfId="1460" xr:uid="{00000000-0005-0000-0000-0000B8050000}"/>
    <cellStyle name="Currency [2]" xfId="1461" xr:uid="{00000000-0005-0000-0000-0000B9050000}"/>
    <cellStyle name="Currency 0" xfId="1462" xr:uid="{00000000-0005-0000-0000-0000BA050000}"/>
    <cellStyle name="Currency 2" xfId="1463" xr:uid="{00000000-0005-0000-0000-0000BB050000}"/>
    <cellStyle name="Currency Dollar" xfId="1464" xr:uid="{00000000-0005-0000-0000-0000BC050000}"/>
    <cellStyle name="Currency Dollar (2dp)" xfId="1465" xr:uid="{00000000-0005-0000-0000-0000BD050000}"/>
    <cellStyle name="Currency Dollar_2009 Ypso Budget" xfId="1466" xr:uid="{00000000-0005-0000-0000-0000BE050000}"/>
    <cellStyle name="Currency EUR" xfId="1467" xr:uid="{00000000-0005-0000-0000-0000BF050000}"/>
    <cellStyle name="Currency EUR (2dp)" xfId="1468" xr:uid="{00000000-0005-0000-0000-0000C0050000}"/>
    <cellStyle name="Currency EUR_2009 Ypso Budget" xfId="1469" xr:uid="{00000000-0005-0000-0000-0000C1050000}"/>
    <cellStyle name="Currency Euro" xfId="1470" xr:uid="{00000000-0005-0000-0000-0000C2050000}"/>
    <cellStyle name="Currency Euro (2dp)" xfId="1471" xr:uid="{00000000-0005-0000-0000-0000C3050000}"/>
    <cellStyle name="Currency Euro_2009 Ypso Budget" xfId="1472" xr:uid="{00000000-0005-0000-0000-0000C4050000}"/>
    <cellStyle name="Currency GBP" xfId="1473" xr:uid="{00000000-0005-0000-0000-0000C5050000}"/>
    <cellStyle name="Currency GBP (2dp)" xfId="1474" xr:uid="{00000000-0005-0000-0000-0000C6050000}"/>
    <cellStyle name="Currency GBP_2009 Ypso Budget" xfId="1475" xr:uid="{00000000-0005-0000-0000-0000C7050000}"/>
    <cellStyle name="Currency Pound" xfId="1476" xr:uid="{00000000-0005-0000-0000-0000C8050000}"/>
    <cellStyle name="Currency Pound (2dp)" xfId="1477" xr:uid="{00000000-0005-0000-0000-0000C9050000}"/>
    <cellStyle name="Currency Pound_2009 Ypso Budget" xfId="1478" xr:uid="{00000000-0005-0000-0000-0000CA050000}"/>
    <cellStyle name="Currency USD" xfId="1479" xr:uid="{00000000-0005-0000-0000-0000CB050000}"/>
    <cellStyle name="Currency USD (2dp)" xfId="1480" xr:uid="{00000000-0005-0000-0000-0000CC050000}"/>
    <cellStyle name="Currency USD_2009 Ypso Budget" xfId="1481" xr:uid="{00000000-0005-0000-0000-0000CD050000}"/>
    <cellStyle name="Currency.1" xfId="1482" xr:uid="{00000000-0005-0000-0000-0000CE050000}"/>
    <cellStyle name="Currency.2" xfId="1483" xr:uid="{00000000-0005-0000-0000-0000CF050000}"/>
    <cellStyle name="Dash" xfId="1484" xr:uid="{00000000-0005-0000-0000-0000D0050000}"/>
    <cellStyle name="Date" xfId="1485" xr:uid="{00000000-0005-0000-0000-0000D1050000}"/>
    <cellStyle name="Date (Month)" xfId="1486" xr:uid="{00000000-0005-0000-0000-0000D2050000}"/>
    <cellStyle name="Date (Year)" xfId="1487" xr:uid="{00000000-0005-0000-0000-0000D3050000}"/>
    <cellStyle name="Date Aligned" xfId="1488" xr:uid="{00000000-0005-0000-0000-0000D4050000}"/>
    <cellStyle name="Date_2009 Banks Reporting Ypso v4" xfId="1489" xr:uid="{00000000-0005-0000-0000-0000D5050000}"/>
    <cellStyle name="DCF_Millions" xfId="1490" xr:uid="{00000000-0005-0000-0000-0000D6050000}"/>
    <cellStyle name="Decimal 0,0" xfId="1491" xr:uid="{00000000-0005-0000-0000-0000D7050000}"/>
    <cellStyle name="Decimal 0,00" xfId="1492" xr:uid="{00000000-0005-0000-0000-0000D8050000}"/>
    <cellStyle name="Decimal 0,0000" xfId="1493" xr:uid="{00000000-0005-0000-0000-0000D9050000}"/>
    <cellStyle name="Dezimal (0.0)" xfId="1494" xr:uid="{00000000-0005-0000-0000-0000DA050000}"/>
    <cellStyle name="Dezimal [+line]" xfId="1495" xr:uid="{00000000-0005-0000-0000-0000DB050000}"/>
    <cellStyle name="Dezimal [0]_Acquisition stats" xfId="1496" xr:uid="{00000000-0005-0000-0000-0000DC050000}"/>
    <cellStyle name="Dezimal_Acquisition stats" xfId="1497" xr:uid="{00000000-0005-0000-0000-0000DD050000}"/>
    <cellStyle name="Dotted Line" xfId="1498" xr:uid="{00000000-0005-0000-0000-0000DE050000}"/>
    <cellStyle name="Double Accounting" xfId="1499" xr:uid="{00000000-0005-0000-0000-0000DF050000}"/>
    <cellStyle name="Eingabe" xfId="1500" xr:uid="{00000000-0005-0000-0000-0000E0050000}"/>
    <cellStyle name="Entrée 2" xfId="1501" xr:uid="{00000000-0005-0000-0000-0000E1050000}"/>
    <cellStyle name="entry box" xfId="1502" xr:uid="{00000000-0005-0000-0000-0000E2050000}"/>
    <cellStyle name="Ergebnis" xfId="1503" xr:uid="{00000000-0005-0000-0000-0000E3050000}"/>
    <cellStyle name="Eric" xfId="1504" xr:uid="{00000000-0005-0000-0000-0000E4050000}"/>
    <cellStyle name="Erklärender Text" xfId="1505" xr:uid="{00000000-0005-0000-0000-0000E5050000}"/>
    <cellStyle name="Estimate" xfId="1506" xr:uid="{00000000-0005-0000-0000-0000E6050000}"/>
    <cellStyle name="Euro" xfId="1507" xr:uid="{00000000-0005-0000-0000-0000E7050000}"/>
    <cellStyle name="Euro 2" xfId="1508" xr:uid="{00000000-0005-0000-0000-0000E8050000}"/>
    <cellStyle name="Euro_2010- Ypso Budget Operational Model v1EA" xfId="1509" xr:uid="{00000000-0005-0000-0000-0000E9050000}"/>
    <cellStyle name="EY%colcalc" xfId="1510" xr:uid="{00000000-0005-0000-0000-0000EA050000}"/>
    <cellStyle name="EY%input" xfId="1511" xr:uid="{00000000-0005-0000-0000-0000EB050000}"/>
    <cellStyle name="EY%rowcalc" xfId="1512" xr:uid="{00000000-0005-0000-0000-0000EC050000}"/>
    <cellStyle name="EY0dp" xfId="1513" xr:uid="{00000000-0005-0000-0000-0000ED050000}"/>
    <cellStyle name="EY1dp" xfId="1514" xr:uid="{00000000-0005-0000-0000-0000EE050000}"/>
    <cellStyle name="EY2dp" xfId="1515" xr:uid="{00000000-0005-0000-0000-0000EF050000}"/>
    <cellStyle name="EY3dp" xfId="1516" xr:uid="{00000000-0005-0000-0000-0000F0050000}"/>
    <cellStyle name="EYColumnHeading" xfId="1517" xr:uid="{00000000-0005-0000-0000-0000F1050000}"/>
    <cellStyle name="EYHeading1" xfId="1518" xr:uid="{00000000-0005-0000-0000-0000F2050000}"/>
    <cellStyle name="EYheading2" xfId="1519" xr:uid="{00000000-0005-0000-0000-0000F3050000}"/>
    <cellStyle name="EYheading3" xfId="1520" xr:uid="{00000000-0005-0000-0000-0000F4050000}"/>
    <cellStyle name="EYnumber" xfId="1521" xr:uid="{00000000-0005-0000-0000-0000F5050000}"/>
    <cellStyle name="EYSheetHeader1" xfId="1522" xr:uid="{00000000-0005-0000-0000-0000F6050000}"/>
    <cellStyle name="EYtext" xfId="1523" xr:uid="{00000000-0005-0000-0000-0000F7050000}"/>
    <cellStyle name="Ezres [0]_1998" xfId="1524" xr:uid="{00000000-0005-0000-0000-0000F8050000}"/>
    <cellStyle name="Ezres_1998" xfId="1525" xr:uid="{00000000-0005-0000-0000-0000F9050000}"/>
    <cellStyle name="FF_EURO" xfId="1526" xr:uid="{00000000-0005-0000-0000-0000FA050000}"/>
    <cellStyle name="Followed Hyperlink" xfId="1527" xr:uid="{00000000-0005-0000-0000-0000FB050000}"/>
    <cellStyle name="Footer SBILogo1" xfId="1528" xr:uid="{00000000-0005-0000-0000-0000FC050000}"/>
    <cellStyle name="Footer SBILogo2" xfId="1529" xr:uid="{00000000-0005-0000-0000-0000FD050000}"/>
    <cellStyle name="Footnote" xfId="1530" xr:uid="{00000000-0005-0000-0000-0000FE050000}"/>
    <cellStyle name="Footnote Reference" xfId="1531" xr:uid="{00000000-0005-0000-0000-0000FF050000}"/>
    <cellStyle name="Footnote_010402 financing" xfId="1532" xr:uid="{00000000-0005-0000-0000-000000060000}"/>
    <cellStyle name="Formula" xfId="1533" xr:uid="{00000000-0005-0000-0000-000001060000}"/>
    <cellStyle name="Formule" xfId="1534" xr:uid="{00000000-0005-0000-0000-000002060000}"/>
    <cellStyle name="Green" xfId="1535" xr:uid="{00000000-0005-0000-0000-000003060000}"/>
    <cellStyle name="Grey" xfId="1536" xr:uid="{00000000-0005-0000-0000-000004060000}"/>
    <cellStyle name="Group Headings" xfId="1537" xr:uid="{00000000-0005-0000-0000-000005060000}"/>
    <cellStyle name="Gut" xfId="1538" xr:uid="{00000000-0005-0000-0000-000006060000}"/>
    <cellStyle name="GWN Table Body" xfId="1539" xr:uid="{00000000-0005-0000-0000-000007060000}"/>
    <cellStyle name="GWN Table Header" xfId="1540" xr:uid="{00000000-0005-0000-0000-000008060000}"/>
    <cellStyle name="GWN Table Left Header" xfId="1541" xr:uid="{00000000-0005-0000-0000-000009060000}"/>
    <cellStyle name="GWN Table Note" xfId="1542" xr:uid="{00000000-0005-0000-0000-00000A060000}"/>
    <cellStyle name="GWN Table Title" xfId="1543" xr:uid="{00000000-0005-0000-0000-00000B060000}"/>
    <cellStyle name="h" xfId="1544" xr:uid="{00000000-0005-0000-0000-00000C060000}"/>
    <cellStyle name="H_Analysys - redflag review of Completel - 02-08-06" xfId="1545" xr:uid="{00000000-0005-0000-0000-00000D060000}"/>
    <cellStyle name="H0" xfId="1546" xr:uid="{00000000-0005-0000-0000-00000E060000}"/>
    <cellStyle name="H1" xfId="1547" xr:uid="{00000000-0005-0000-0000-00000F060000}"/>
    <cellStyle name="H2" xfId="1548" xr:uid="{00000000-0005-0000-0000-000010060000}"/>
    <cellStyle name="H3" xfId="1549" xr:uid="{00000000-0005-0000-0000-000011060000}"/>
    <cellStyle name="H4" xfId="1550" xr:uid="{00000000-0005-0000-0000-000012060000}"/>
    <cellStyle name="Hard input" xfId="1551" xr:uid="{00000000-0005-0000-0000-000013060000}"/>
    <cellStyle name="Hard Percent" xfId="1552" xr:uid="{00000000-0005-0000-0000-000014060000}"/>
    <cellStyle name="Header" xfId="1553" xr:uid="{00000000-0005-0000-0000-000015060000}"/>
    <cellStyle name="Header Draft Stamp" xfId="1554" xr:uid="{00000000-0005-0000-0000-000016060000}"/>
    <cellStyle name="Header_010402 financing" xfId="1555" xr:uid="{00000000-0005-0000-0000-000017060000}"/>
    <cellStyle name="Header1" xfId="1556" xr:uid="{00000000-0005-0000-0000-000018060000}"/>
    <cellStyle name="Header2" xfId="1557" xr:uid="{00000000-0005-0000-0000-000019060000}"/>
    <cellStyle name="Heading" xfId="1558" xr:uid="{00000000-0005-0000-0000-00001A060000}"/>
    <cellStyle name="Heading 1 Above" xfId="1559" xr:uid="{00000000-0005-0000-0000-00001B060000}"/>
    <cellStyle name="Heading 1+" xfId="1560" xr:uid="{00000000-0005-0000-0000-00001C060000}"/>
    <cellStyle name="Heading 2 Below" xfId="1561" xr:uid="{00000000-0005-0000-0000-00001D060000}"/>
    <cellStyle name="Heading 2+" xfId="1562" xr:uid="{00000000-0005-0000-0000-00001E060000}"/>
    <cellStyle name="Heading 3+" xfId="1563" xr:uid="{00000000-0005-0000-0000-00001F060000}"/>
    <cellStyle name="Heading I" xfId="1564" xr:uid="{00000000-0005-0000-0000-000020060000}"/>
    <cellStyle name="Heading1" xfId="1565" xr:uid="{00000000-0005-0000-0000-000021060000}"/>
    <cellStyle name="Heading2" xfId="1566" xr:uid="{00000000-0005-0000-0000-000022060000}"/>
    <cellStyle name="Heading3" xfId="1567" xr:uid="{00000000-0005-0000-0000-000023060000}"/>
    <cellStyle name="Heading4" xfId="1568" xr:uid="{00000000-0005-0000-0000-000024060000}"/>
    <cellStyle name="HeadingS" xfId="1569" xr:uid="{00000000-0005-0000-0000-000025060000}"/>
    <cellStyle name="Headline1" xfId="1570" xr:uid="{00000000-0005-0000-0000-000026060000}"/>
    <cellStyle name="Headline2" xfId="1571" xr:uid="{00000000-0005-0000-0000-000027060000}"/>
    <cellStyle name="Headline3" xfId="1572" xr:uid="{00000000-0005-0000-0000-000028060000}"/>
    <cellStyle name="Hidden Decimal 0,00" xfId="1573" xr:uid="{00000000-0005-0000-0000-000029060000}"/>
    <cellStyle name="Hide" xfId="1574" xr:uid="{00000000-0005-0000-0000-00002A060000}"/>
    <cellStyle name="Highlight" xfId="1575" xr:uid="{00000000-0005-0000-0000-00002B060000}"/>
    <cellStyle name="Hyperlink" xfId="1576" xr:uid="{00000000-0005-0000-0000-00002C060000}"/>
    <cellStyle name="import text" xfId="1577" xr:uid="{00000000-0005-0000-0000-00002D060000}"/>
    <cellStyle name="import text1" xfId="1578" xr:uid="{00000000-0005-0000-0000-00002E060000}"/>
    <cellStyle name="import text2" xfId="1579" xr:uid="{00000000-0005-0000-0000-00002F060000}"/>
    <cellStyle name="Indirect Reference" xfId="1580" xr:uid="{00000000-0005-0000-0000-000030060000}"/>
    <cellStyle name="InLink" xfId="1581" xr:uid="{00000000-0005-0000-0000-000031060000}"/>
    <cellStyle name="Input (estimate)" xfId="1582" xr:uid="{00000000-0005-0000-0000-000032060000}"/>
    <cellStyle name="Input [%]" xfId="1583" xr:uid="{00000000-0005-0000-0000-000033060000}"/>
    <cellStyle name="Input [%0]" xfId="1584" xr:uid="{00000000-0005-0000-0000-000034060000}"/>
    <cellStyle name="Input [%00]" xfId="1585" xr:uid="{00000000-0005-0000-0000-000035060000}"/>
    <cellStyle name="Input [0]" xfId="1586" xr:uid="{00000000-0005-0000-0000-000036060000}"/>
    <cellStyle name="Input [00]" xfId="1587" xr:uid="{00000000-0005-0000-0000-000037060000}"/>
    <cellStyle name="Input [yellow]" xfId="1588" xr:uid="{00000000-0005-0000-0000-000038060000}"/>
    <cellStyle name="Input calculation" xfId="1589" xr:uid="{00000000-0005-0000-0000-000039060000}"/>
    <cellStyle name="Input data" xfId="1590" xr:uid="{00000000-0005-0000-0000-00003A060000}"/>
    <cellStyle name="Input data (FT)" xfId="1591" xr:uid="{00000000-0005-0000-0000-00003B060000}"/>
    <cellStyle name="Input data (us)" xfId="1592" xr:uid="{00000000-0005-0000-0000-00003C060000}"/>
    <cellStyle name="Input data_Xl0000004" xfId="1593" xr:uid="{00000000-0005-0000-0000-00003D060000}"/>
    <cellStyle name="Input Decimal 0" xfId="1594" xr:uid="{00000000-0005-0000-0000-00003E060000}"/>
    <cellStyle name="Input Decimal 0,00" xfId="1595" xr:uid="{00000000-0005-0000-0000-00003F060000}"/>
    <cellStyle name="Input Decimal 0_2010- Ypso Forecast" xfId="1596" xr:uid="{00000000-0005-0000-0000-000040060000}"/>
    <cellStyle name="Input estimate" xfId="1597" xr:uid="{00000000-0005-0000-0000-000041060000}"/>
    <cellStyle name="Input from Analysys" xfId="1598" xr:uid="{00000000-0005-0000-0000-000042060000}"/>
    <cellStyle name="Input from CETI" xfId="1599" xr:uid="{00000000-0005-0000-0000-000043060000}"/>
    <cellStyle name="Input Link" xfId="1600" xr:uid="{00000000-0005-0000-0000-000044060000}"/>
    <cellStyle name="Input link (different workbook)" xfId="1601" xr:uid="{00000000-0005-0000-0000-000045060000}"/>
    <cellStyle name="Input Link_070123 Reporting Belgique 12 2006" xfId="1602" xr:uid="{00000000-0005-0000-0000-000046060000}"/>
    <cellStyle name="Input Normal" xfId="1603" xr:uid="{00000000-0005-0000-0000-000047060000}"/>
    <cellStyle name="Input parameter" xfId="1604" xr:uid="{00000000-0005-0000-0000-000048060000}"/>
    <cellStyle name="Input Percent" xfId="1605" xr:uid="{00000000-0005-0000-0000-000049060000}"/>
    <cellStyle name="Input Percent 0" xfId="1606" xr:uid="{00000000-0005-0000-0000-00004A060000}"/>
    <cellStyle name="Input Percent 0,00" xfId="1607" xr:uid="{00000000-0005-0000-0000-00004B060000}"/>
    <cellStyle name="Input Percent 0_7.2.3. CAPEX" xfId="1608" xr:uid="{00000000-0005-0000-0000-00004C060000}"/>
    <cellStyle name="Input Percent_061201 - FINANCING CASES A" xfId="1609" xr:uid="{00000000-0005-0000-0000-00004D060000}"/>
    <cellStyle name="Input text" xfId="1610" xr:uid="{00000000-0005-0000-0000-00004E060000}"/>
    <cellStyle name="Input text1" xfId="1611" xr:uid="{00000000-0005-0000-0000-00004F060000}"/>
    <cellStyle name="Input text2" xfId="1612" xr:uid="{00000000-0005-0000-0000-000050060000}"/>
    <cellStyle name="input value" xfId="1613" xr:uid="{00000000-0005-0000-0000-000051060000}"/>
    <cellStyle name="Input%" xfId="1614" xr:uid="{00000000-0005-0000-0000-000052060000}"/>
    <cellStyle name="InputBlueFont" xfId="1615" xr:uid="{00000000-0005-0000-0000-000053060000}"/>
    <cellStyle name="InputBlueFontLocked" xfId="1616" xr:uid="{00000000-0005-0000-0000-000054060000}"/>
    <cellStyle name="InputCurrency" xfId="1617" xr:uid="{00000000-0005-0000-0000-000055060000}"/>
    <cellStyle name="InputDate" xfId="1618" xr:uid="{00000000-0005-0000-0000-000056060000}"/>
    <cellStyle name="InputDecimal" xfId="1619" xr:uid="{00000000-0005-0000-0000-000057060000}"/>
    <cellStyle name="InputNormal" xfId="1620" xr:uid="{00000000-0005-0000-0000-000058060000}"/>
    <cellStyle name="InputValue" xfId="1621" xr:uid="{00000000-0005-0000-0000-000059060000}"/>
    <cellStyle name="Insatisfaisant 2" xfId="1622" xr:uid="{00000000-0005-0000-0000-00005A060000}"/>
    <cellStyle name="Integer" xfId="1623" xr:uid="{00000000-0005-0000-0000-00005B060000}"/>
    <cellStyle name="Item" xfId="1624" xr:uid="{00000000-0005-0000-0000-00005C060000}"/>
    <cellStyle name="Items_Optional" xfId="1625" xr:uid="{00000000-0005-0000-0000-00005D060000}"/>
    <cellStyle name="ItemTypeClass" xfId="1626" xr:uid="{00000000-0005-0000-0000-00005E060000}"/>
    <cellStyle name="James" xfId="1627" xr:uid="{00000000-0005-0000-0000-00005F060000}"/>
    <cellStyle name="Joe" xfId="1628" xr:uid="{00000000-0005-0000-0000-000060060000}"/>
    <cellStyle name="kopregel" xfId="1629" xr:uid="{00000000-0005-0000-0000-000061060000}"/>
    <cellStyle name="KPMG Heading 1" xfId="1630" xr:uid="{00000000-0005-0000-0000-000062060000}"/>
    <cellStyle name="KPMG Heading 2" xfId="1631" xr:uid="{00000000-0005-0000-0000-000063060000}"/>
    <cellStyle name="KPMG Heading 3" xfId="1632" xr:uid="{00000000-0005-0000-0000-000064060000}"/>
    <cellStyle name="KPMG Heading 4" xfId="1633" xr:uid="{00000000-0005-0000-0000-000065060000}"/>
    <cellStyle name="KPMG Normal" xfId="1634" xr:uid="{00000000-0005-0000-0000-000066060000}"/>
    <cellStyle name="KPMG Normal Text" xfId="1635" xr:uid="{00000000-0005-0000-0000-000067060000}"/>
    <cellStyle name="Linked" xfId="1636" xr:uid="{00000000-0005-0000-0000-000068060000}"/>
    <cellStyle name="Main Title" xfId="1637" xr:uid="{00000000-0005-0000-0000-000069060000}"/>
    <cellStyle name="Margin" xfId="1638" xr:uid="{00000000-0005-0000-0000-00006A060000}"/>
    <cellStyle name="MARIE" xfId="1639" xr:uid="{00000000-0005-0000-0000-00006B060000}"/>
    <cellStyle name="MARIE 1" xfId="1640" xr:uid="{00000000-0005-0000-0000-00006C060000}"/>
    <cellStyle name="MARIE 2" xfId="1641" xr:uid="{00000000-0005-0000-0000-00006D060000}"/>
    <cellStyle name="MARIE 3" xfId="1642" xr:uid="{00000000-0005-0000-0000-00006E060000}"/>
    <cellStyle name="MARIE 4" xfId="1643" xr:uid="{00000000-0005-0000-0000-00006F060000}"/>
    <cellStyle name="MARIE_2009 Ypso Budget" xfId="1644" xr:uid="{00000000-0005-0000-0000-000070060000}"/>
    <cellStyle name="Migliaia (0)_Access Cost" xfId="1645" xr:uid="{00000000-0005-0000-0000-000071060000}"/>
    <cellStyle name="Migliaia_Access Cost" xfId="1646" xr:uid="{00000000-0005-0000-0000-000072060000}"/>
    <cellStyle name="Millares [0]_10 years budget" xfId="1647" xr:uid="{00000000-0005-0000-0000-000073060000}"/>
    <cellStyle name="Millares_10 years budget" xfId="1648" xr:uid="{00000000-0005-0000-0000-000074060000}"/>
    <cellStyle name="Milliers 2" xfId="1649" xr:uid="{00000000-0005-0000-0000-000075060000}"/>
    <cellStyle name="Milliers 3" xfId="1650" xr:uid="{00000000-0005-0000-0000-000076060000}"/>
    <cellStyle name="Milliers 4" xfId="1651" xr:uid="{00000000-0005-0000-0000-000077060000}"/>
    <cellStyle name="Milliers 5" xfId="1652" xr:uid="{00000000-0005-0000-0000-000078060000}"/>
    <cellStyle name="Millions" xfId="1653" xr:uid="{00000000-0005-0000-0000-000079060000}"/>
    <cellStyle name="mine" xfId="1654" xr:uid="{00000000-0005-0000-0000-00007A060000}"/>
    <cellStyle name="Mio" xfId="1655" xr:uid="{00000000-0005-0000-0000-00007B060000}"/>
    <cellStyle name="Mon?taire [0]_Hypothesis" xfId="1656" xr:uid="{00000000-0005-0000-0000-00007C060000}"/>
    <cellStyle name="Mon?taire_Hypothesis" xfId="1657" xr:uid="{00000000-0005-0000-0000-00007D060000}"/>
    <cellStyle name="Moneda [0]_10 years budget" xfId="1658" xr:uid="{00000000-0005-0000-0000-00007E060000}"/>
    <cellStyle name="Moneda_10 years budget" xfId="1659" xr:uid="{00000000-0005-0000-0000-00007F060000}"/>
    <cellStyle name="Monétaire 2" xfId="1660" xr:uid="{00000000-0005-0000-0000-000080060000}"/>
    <cellStyle name="MS_English" xfId="1661" xr:uid="{00000000-0005-0000-0000-000081060000}"/>
    <cellStyle name="Multiple" xfId="1662" xr:uid="{00000000-0005-0000-0000-000082060000}"/>
    <cellStyle name="Name" xfId="1663" xr:uid="{00000000-0005-0000-0000-000083060000}"/>
    <cellStyle name="neg0.0" xfId="1664" xr:uid="{00000000-0005-0000-0000-000084060000}"/>
    <cellStyle name="Neutre 2" xfId="1665" xr:uid="{00000000-0005-0000-0000-000085060000}"/>
    <cellStyle name="no" xfId="1666" xr:uid="{00000000-0005-0000-0000-000086060000}"/>
    <cellStyle name="no dec" xfId="1667" xr:uid="{00000000-0005-0000-0000-000087060000}"/>
    <cellStyle name="no_2010- Ypso Budget Operational Model v2" xfId="1668" xr:uid="{00000000-0005-0000-0000-000088060000}"/>
    <cellStyle name="NomsZone" xfId="1669" xr:uid="{00000000-0005-0000-0000-000089060000}"/>
    <cellStyle name="Non défini" xfId="1670" xr:uid="{00000000-0005-0000-0000-00008A060000}"/>
    <cellStyle name="Nor}al_Sheet1 (2)" xfId="1671" xr:uid="{00000000-0005-0000-0000-00008B060000}"/>
    <cellStyle name="Normal" xfId="0" builtinId="0"/>
    <cellStyle name="Normal - Style1" xfId="1672" xr:uid="{00000000-0005-0000-0000-00008D060000}"/>
    <cellStyle name="Normal - Style1 2" xfId="1673" xr:uid="{00000000-0005-0000-0000-00008E060000}"/>
    <cellStyle name="Normal 10" xfId="1674" xr:uid="{00000000-0005-0000-0000-00008F060000}"/>
    <cellStyle name="Normal 11" xfId="1675" xr:uid="{00000000-0005-0000-0000-000090060000}"/>
    <cellStyle name="Normal 12" xfId="2" xr:uid="{00000000-0005-0000-0000-000091060000}"/>
    <cellStyle name="Normal 13" xfId="1676" xr:uid="{00000000-0005-0000-0000-000092060000}"/>
    <cellStyle name="Normal 14" xfId="1677" xr:uid="{00000000-0005-0000-0000-000093060000}"/>
    <cellStyle name="Normal 15" xfId="1678" xr:uid="{00000000-0005-0000-0000-000094060000}"/>
    <cellStyle name="Normal 16" xfId="2382" xr:uid="{00000000-0005-0000-0000-000095060000}"/>
    <cellStyle name="Normal 2" xfId="1679" xr:uid="{00000000-0005-0000-0000-000096060000}"/>
    <cellStyle name="Normal 2 2" xfId="3" xr:uid="{00000000-0005-0000-0000-000097060000}"/>
    <cellStyle name="Normal 3" xfId="1680" xr:uid="{00000000-0005-0000-0000-000098060000}"/>
    <cellStyle name="Normal 37" xfId="1681" xr:uid="{00000000-0005-0000-0000-000099060000}"/>
    <cellStyle name="Normal 4" xfId="1682" xr:uid="{00000000-0005-0000-0000-00009A060000}"/>
    <cellStyle name="Normal 45" xfId="2375" xr:uid="{00000000-0005-0000-0000-00009B060000}"/>
    <cellStyle name="Normal 467" xfId="2390" xr:uid="{26E87B13-B243-4610-8292-0447EE650DE9}"/>
    <cellStyle name="Normal 5" xfId="1683" xr:uid="{00000000-0005-0000-0000-00009C060000}"/>
    <cellStyle name="Normal 6" xfId="1684" xr:uid="{00000000-0005-0000-0000-00009D060000}"/>
    <cellStyle name="Normal 7" xfId="1685" xr:uid="{00000000-0005-0000-0000-00009E060000}"/>
    <cellStyle name="Normal 8" xfId="1686" xr:uid="{00000000-0005-0000-0000-00009F060000}"/>
    <cellStyle name="Normal 9" xfId="1687" xr:uid="{00000000-0005-0000-0000-0000A0060000}"/>
    <cellStyle name="Normál_0212J" xfId="1688" xr:uid="{00000000-0005-0000-0000-0000A1060000}"/>
    <cellStyle name="Normal_bt debt model" xfId="2376" xr:uid="{00000000-0005-0000-0000-0000A2060000}"/>
    <cellStyle name="Normal_BT3" xfId="2370" xr:uid="{00000000-0005-0000-0000-0000A3060000}"/>
    <cellStyle name="Normal_dt2" xfId="2381" xr:uid="{00000000-0005-0000-0000-0000A5060000}"/>
    <cellStyle name="Normal_FTsummod1" xfId="1689" xr:uid="{00000000-0005-0000-0000-0000A6060000}"/>
    <cellStyle name="Normal_thus6" xfId="2369" xr:uid="{00000000-0005-0000-0000-0000A7060000}"/>
    <cellStyle name="Normal_upc model wip v10" xfId="2372" xr:uid="{00000000-0005-0000-0000-0000A8060000}"/>
    <cellStyle name="Normale_Access Cost" xfId="1690" xr:uid="{00000000-0005-0000-0000-0000A9060000}"/>
    <cellStyle name="NormalGB" xfId="1691" xr:uid="{00000000-0005-0000-0000-0000AA060000}"/>
    <cellStyle name="Normalny_Arkusz1" xfId="1692" xr:uid="{00000000-0005-0000-0000-0000AB060000}"/>
    <cellStyle name="NOT" xfId="1693" xr:uid="{00000000-0005-0000-0000-0000AC060000}"/>
    <cellStyle name="Notes" xfId="1694" xr:uid="{00000000-0005-0000-0000-0000AD060000}"/>
    <cellStyle name="Notiz" xfId="1695" xr:uid="{00000000-0005-0000-0000-0000AE060000}"/>
    <cellStyle name="Number" xfId="1696" xr:uid="{00000000-0005-0000-0000-0000AF060000}"/>
    <cellStyle name="Number (2dp)" xfId="1697" xr:uid="{00000000-0005-0000-0000-0000B0060000}"/>
    <cellStyle name="Number_Analysys - Completel synergies review - 09-08-06" xfId="1698" xr:uid="{00000000-0005-0000-0000-0000B1060000}"/>
    <cellStyle name="Onedec" xfId="1699" xr:uid="{00000000-0005-0000-0000-0000B2060000}"/>
    <cellStyle name="Ono" xfId="1700" xr:uid="{00000000-0005-0000-0000-0000B3060000}"/>
    <cellStyle name="Output ['000]" xfId="1701" xr:uid="{00000000-0005-0000-0000-0000B4060000}"/>
    <cellStyle name="OUTPUT AMOUNTS" xfId="1702" xr:uid="{00000000-0005-0000-0000-0000B5060000}"/>
    <cellStyle name="OUTPUT COLUMN HEADINGS" xfId="1703" xr:uid="{00000000-0005-0000-0000-0000B6060000}"/>
    <cellStyle name="OUTPUT LINE ITEMS" xfId="1704" xr:uid="{00000000-0005-0000-0000-0000B7060000}"/>
    <cellStyle name="OUTPUT REPORT HEADING" xfId="1705" xr:uid="{00000000-0005-0000-0000-0000B8060000}"/>
    <cellStyle name="OUTPUT REPORT TITLE" xfId="1706" xr:uid="{00000000-0005-0000-0000-0000B9060000}"/>
    <cellStyle name="output text" xfId="1707" xr:uid="{00000000-0005-0000-0000-0000BA060000}"/>
    <cellStyle name="output text1" xfId="1708" xr:uid="{00000000-0005-0000-0000-0000BB060000}"/>
    <cellStyle name="p" xfId="1709" xr:uid="{00000000-0005-0000-0000-0000BC060000}"/>
    <cellStyle name="p_2010- Ypso Budget Operational Model v2" xfId="1710" xr:uid="{00000000-0005-0000-0000-0000BD060000}"/>
    <cellStyle name="p_2010- Ypso Budget Operational Model v2_P&amp;L DivOp_Reforecast0410 vEP" xfId="1711" xr:uid="{00000000-0005-0000-0000-0000BE060000}"/>
    <cellStyle name="p_2010- Ypso Budget Operational Model v2_Xl0000004" xfId="1712" xr:uid="{00000000-0005-0000-0000-0000BF060000}"/>
    <cellStyle name="p_Altice 3 calcul inter�ts-2" xfId="1713" xr:uid="{00000000-0005-0000-0000-0000C0060000}"/>
    <cellStyle name="p_P&amp;L DivOp_Reforecast0410 vEP" xfId="1714" xr:uid="{00000000-0005-0000-0000-0000C1060000}"/>
    <cellStyle name="p_Reporting capex 2009-11" xfId="1715" xr:uid="{00000000-0005-0000-0000-0000C2060000}"/>
    <cellStyle name="p_Reporting capex 2009-11_Reporting capex 2010-04" xfId="1716" xr:uid="{00000000-0005-0000-0000-0000C3060000}"/>
    <cellStyle name="p_Reporting capex 2009-11_Reporting capex 2010-05" xfId="1717" xr:uid="{00000000-0005-0000-0000-0000C4060000}"/>
    <cellStyle name="p_Reporting capex 2009-11_Reporting capex 2010-12" xfId="1718" xr:uid="{00000000-0005-0000-0000-0000C5060000}"/>
    <cellStyle name="p_Reporting capex 2009-11_Reporting capex 2010-12 2" xfId="1719" xr:uid="{00000000-0005-0000-0000-0000C6060000}"/>
    <cellStyle name="p_Reporting capex 2009-11_Reporting capex 2010-12 vrai" xfId="1720" xr:uid="{00000000-0005-0000-0000-0000C7060000}"/>
    <cellStyle name="p_Reporting capex 2009-12" xfId="1721" xr:uid="{00000000-0005-0000-0000-0000C8060000}"/>
    <cellStyle name="p_Reporting capex 2009-12_Reporting capex 2010-04" xfId="1722" xr:uid="{00000000-0005-0000-0000-0000C9060000}"/>
    <cellStyle name="p_Reporting capex 2009-12_Reporting capex 2010-05" xfId="1723" xr:uid="{00000000-0005-0000-0000-0000CA060000}"/>
    <cellStyle name="p_Reporting capex 2009-12_Reporting capex 2010-12" xfId="1724" xr:uid="{00000000-0005-0000-0000-0000CB060000}"/>
    <cellStyle name="p_Reporting capex 2009-12_Reporting capex 2010-12 2" xfId="1725" xr:uid="{00000000-0005-0000-0000-0000CC060000}"/>
    <cellStyle name="p_Reporting capex 2009-12_Reporting capex 2010-12 vrai" xfId="1726" xr:uid="{00000000-0005-0000-0000-0000CD060000}"/>
    <cellStyle name="p_Reporting capex 2010-04" xfId="1727" xr:uid="{00000000-0005-0000-0000-0000CE060000}"/>
    <cellStyle name="p_Reporting capex 2010-05" xfId="1728" xr:uid="{00000000-0005-0000-0000-0000CF060000}"/>
    <cellStyle name="p_Reporting capex 2010-12" xfId="1729" xr:uid="{00000000-0005-0000-0000-0000D0060000}"/>
    <cellStyle name="p_Reporting capex 2010-12 2" xfId="1730" xr:uid="{00000000-0005-0000-0000-0000D1060000}"/>
    <cellStyle name="p_Reporting capex 2010-12 vrai" xfId="1731" xr:uid="{00000000-0005-0000-0000-0000D2060000}"/>
    <cellStyle name="p_Reporting Completel 0802  V4" xfId="1732" xr:uid="{00000000-0005-0000-0000-0000D3060000}"/>
    <cellStyle name="p_Reporting Completel 0802  V4_P&amp;L DivOp_Reforecast0410 vEP" xfId="1733" xr:uid="{00000000-0005-0000-0000-0000D4060000}"/>
    <cellStyle name="p_Reporting Investors Completel July 2008" xfId="1734" xr:uid="{00000000-0005-0000-0000-0000D5060000}"/>
    <cellStyle name="p_Reporting Investors Completel July 2008_P&amp;L DivOp_Reforecast0410 vEP" xfId="1735" xr:uid="{00000000-0005-0000-0000-0000D6060000}"/>
    <cellStyle name="p_Xl0000004" xfId="1736" xr:uid="{00000000-0005-0000-0000-0000D7060000}"/>
    <cellStyle name="p_Ypso Financial Budget" xfId="1737" xr:uid="{00000000-0005-0000-0000-0000D8060000}"/>
    <cellStyle name="p_Ypso Financial Budget_P&amp;L DivOp_Reforecast0410 vEP" xfId="1738" xr:uid="{00000000-0005-0000-0000-0000D9060000}"/>
    <cellStyle name="p_Ypso Financial Budget_Xl0000004" xfId="1739" xr:uid="{00000000-0005-0000-0000-0000DA060000}"/>
    <cellStyle name="Page Heading Large" xfId="1740" xr:uid="{00000000-0005-0000-0000-0000DB060000}"/>
    <cellStyle name="Page Heading Small" xfId="1741" xr:uid="{00000000-0005-0000-0000-0000DC060000}"/>
    <cellStyle name="Page Number" xfId="1742" xr:uid="{00000000-0005-0000-0000-0000DD060000}"/>
    <cellStyle name="PB Table Heading" xfId="1743" xr:uid="{00000000-0005-0000-0000-0000DE060000}"/>
    <cellStyle name="PB Table Highlight1" xfId="1744" xr:uid="{00000000-0005-0000-0000-0000DF060000}"/>
    <cellStyle name="PB Table Highlight2" xfId="1745" xr:uid="{00000000-0005-0000-0000-0000E0060000}"/>
    <cellStyle name="PB Table Highlight3" xfId="1746" xr:uid="{00000000-0005-0000-0000-0000E1060000}"/>
    <cellStyle name="PB Table Standard Row" xfId="1747" xr:uid="{00000000-0005-0000-0000-0000E2060000}"/>
    <cellStyle name="PB Table Subtotal Row" xfId="1748" xr:uid="{00000000-0005-0000-0000-0000E3060000}"/>
    <cellStyle name="PB Table Total Row" xfId="1749" xr:uid="{00000000-0005-0000-0000-0000E4060000}"/>
    <cellStyle name="pb_page_heading_LS" xfId="1750" xr:uid="{00000000-0005-0000-0000-0000E5060000}"/>
    <cellStyle name="pe" xfId="1751" xr:uid="{00000000-0005-0000-0000-0000E6060000}"/>
    <cellStyle name="Pénznem [0]_1998" xfId="1752" xr:uid="{00000000-0005-0000-0000-0000E7060000}"/>
    <cellStyle name="Pénznem_1998" xfId="1753" xr:uid="{00000000-0005-0000-0000-0000E8060000}"/>
    <cellStyle name="per" xfId="1754" xr:uid="{00000000-0005-0000-0000-0000E9060000}"/>
    <cellStyle name="Percent" xfId="4" builtinId="5"/>
    <cellStyle name="Percent (0)" xfId="1755" xr:uid="{00000000-0005-0000-0000-0000EB060000}"/>
    <cellStyle name="Percent [0%]" xfId="2387" xr:uid="{2BD1E507-59A7-44CF-84B1-C5FEAC7BCA36}"/>
    <cellStyle name="Percent [0]" xfId="1756" xr:uid="{00000000-0005-0000-0000-0000EC060000}"/>
    <cellStyle name="Percent [1]" xfId="1757" xr:uid="{00000000-0005-0000-0000-0000ED060000}"/>
    <cellStyle name="Percent [2]" xfId="1758" xr:uid="{00000000-0005-0000-0000-0000EE060000}"/>
    <cellStyle name="Percent 0" xfId="1759" xr:uid="{00000000-0005-0000-0000-0000EF060000}"/>
    <cellStyle name="Percent 0,00" xfId="1760" xr:uid="{00000000-0005-0000-0000-0000F0060000}"/>
    <cellStyle name="Percent 0_7.2.3. CAPEX" xfId="1761" xr:uid="{00000000-0005-0000-0000-0000F1060000}"/>
    <cellStyle name="Percent 16" xfId="2378" xr:uid="{00000000-0005-0000-0000-0000F2060000}"/>
    <cellStyle name="Percent 2" xfId="1762" xr:uid="{00000000-0005-0000-0000-0000F3060000}"/>
    <cellStyle name="Percent 3" xfId="2385" xr:uid="{00000000-0005-0000-0000-0000F4060000}"/>
    <cellStyle name="Percent Hard" xfId="1763" xr:uid="{00000000-0005-0000-0000-0000F5060000}"/>
    <cellStyle name="Percent.1" xfId="1764" xr:uid="{00000000-0005-0000-0000-0000F6060000}"/>
    <cellStyle name="Percent.2" xfId="1765" xr:uid="{00000000-0005-0000-0000-0000F7060000}"/>
    <cellStyle name="Percent0" xfId="1766" xr:uid="{00000000-0005-0000-0000-0000F8060000}"/>
    <cellStyle name="Percent2" xfId="1767" xr:uid="{00000000-0005-0000-0000-0000F9060000}"/>
    <cellStyle name="Percent2Margin" xfId="1768" xr:uid="{00000000-0005-0000-0000-0000FA060000}"/>
    <cellStyle name="Percentage" xfId="1769" xr:uid="{00000000-0005-0000-0000-0000FB060000}"/>
    <cellStyle name="Percentage (2dp)" xfId="1770" xr:uid="{00000000-0005-0000-0000-0000FC060000}"/>
    <cellStyle name="Percentage_2009 Banks Reporting Ypso v4" xfId="1771" xr:uid="{00000000-0005-0000-0000-0000FD060000}"/>
    <cellStyle name="PercentChange" xfId="1772" xr:uid="{00000000-0005-0000-0000-0000FE060000}"/>
    <cellStyle name="Percentuale_Dati Mercato UBM adj" xfId="1773" xr:uid="{00000000-0005-0000-0000-0000FF060000}"/>
    <cellStyle name="Person 3" xfId="1774" xr:uid="{00000000-0005-0000-0000-000000070000}"/>
    <cellStyle name="Personnalisé 2" xfId="1775" xr:uid="{00000000-0005-0000-0000-000001070000}"/>
    <cellStyle name="Pound" xfId="1776" xr:uid="{00000000-0005-0000-0000-000002070000}"/>
    <cellStyle name="Pound [1]" xfId="1777" xr:uid="{00000000-0005-0000-0000-000003070000}"/>
    <cellStyle name="Pound [2]" xfId="1778" xr:uid="{00000000-0005-0000-0000-000004070000}"/>
    <cellStyle name="Pound_Reporting Completel 0802  V4" xfId="1779" xr:uid="{00000000-0005-0000-0000-000005070000}"/>
    <cellStyle name="Pounds1" xfId="1780" xr:uid="{00000000-0005-0000-0000-000006070000}"/>
    <cellStyle name="Pounds2" xfId="1781" xr:uid="{00000000-0005-0000-0000-000007070000}"/>
    <cellStyle name="Pounds4" xfId="1782" xr:uid="{00000000-0005-0000-0000-000008070000}"/>
    <cellStyle name="Pourcentage 2" xfId="1783" xr:uid="{00000000-0005-0000-0000-000009070000}"/>
    <cellStyle name="Pourcentage 2 2" xfId="1784" xr:uid="{00000000-0005-0000-0000-00000A070000}"/>
    <cellStyle name="Pourcentage 3" xfId="1785" xr:uid="{00000000-0005-0000-0000-00000B070000}"/>
    <cellStyle name="Pourcentage 3 2" xfId="1786" xr:uid="{00000000-0005-0000-0000-00000C070000}"/>
    <cellStyle name="Pourcentage 5" xfId="1787" xr:uid="{00000000-0005-0000-0000-00000D070000}"/>
    <cellStyle name="Prefilled" xfId="1788" xr:uid="{00000000-0005-0000-0000-00000E070000}"/>
    <cellStyle name="Prozent +line" xfId="1789" xr:uid="{00000000-0005-0000-0000-00000F070000}"/>
    <cellStyle name="Prozent 2" xfId="2384" xr:uid="{00000000-0005-0000-0000-000010070000}"/>
    <cellStyle name="Prozent(+line)" xfId="1790" xr:uid="{00000000-0005-0000-0000-000011070000}"/>
    <cellStyle name="Prozent_7.2.3. CAPEX" xfId="1791" xr:uid="{00000000-0005-0000-0000-000012070000}"/>
    <cellStyle name="ptit" xfId="1792" xr:uid="{00000000-0005-0000-0000-000013070000}"/>
    <cellStyle name="Pub percent" xfId="1793" xr:uid="{00000000-0005-0000-0000-000014070000}"/>
    <cellStyle name="Quarterly" xfId="1794" xr:uid="{00000000-0005-0000-0000-000015070000}"/>
    <cellStyle name="rat" xfId="1795" xr:uid="{00000000-0005-0000-0000-000016070000}"/>
    <cellStyle name="rate" xfId="1796" xr:uid="{00000000-0005-0000-0000-000017070000}"/>
    <cellStyle name="ratio" xfId="1797" xr:uid="{00000000-0005-0000-0000-000018070000}"/>
    <cellStyle name="RatioX" xfId="1798" xr:uid="{00000000-0005-0000-0000-000019070000}"/>
    <cellStyle name="Red" xfId="1799" xr:uid="{00000000-0005-0000-0000-00001A070000}"/>
    <cellStyle name="Reference" xfId="1800" xr:uid="{00000000-0005-0000-0000-00001B070000}"/>
    <cellStyle name="Reference (O%)" xfId="1801" xr:uid="{00000000-0005-0000-0000-00001C070000}"/>
    <cellStyle name="Reference [00]" xfId="1802" xr:uid="{00000000-0005-0000-0000-00001D070000}"/>
    <cellStyle name="Reference_Reporting Completel 0802  V4" xfId="1803" xr:uid="{00000000-0005-0000-0000-00001E070000}"/>
    <cellStyle name="Rmess" xfId="1804" xr:uid="{00000000-0005-0000-0000-00001F070000}"/>
    <cellStyle name="Rnumber" xfId="1805" xr:uid="{00000000-0005-0000-0000-000020070000}"/>
    <cellStyle name="Rnumber 0d" xfId="1806" xr:uid="{00000000-0005-0000-0000-000021070000}"/>
    <cellStyle name="Rnumber_eurosubs10" xfId="1807" xr:uid="{00000000-0005-0000-0000-000022070000}"/>
    <cellStyle name="Row and Column Total" xfId="1808" xr:uid="{00000000-0005-0000-0000-000023070000}"/>
    <cellStyle name="Row Heading" xfId="1809" xr:uid="{00000000-0005-0000-0000-000024070000}"/>
    <cellStyle name="Row Heading (No Wrap)" xfId="1810" xr:uid="{00000000-0005-0000-0000-000025070000}"/>
    <cellStyle name="Row Heading_2010- Ypso Forecast" xfId="1811" xr:uid="{00000000-0005-0000-0000-000026070000}"/>
    <cellStyle name="Row label" xfId="1812" xr:uid="{00000000-0005-0000-0000-000027070000}"/>
    <cellStyle name="Row label (indent)" xfId="1813" xr:uid="{00000000-0005-0000-0000-000028070000}"/>
    <cellStyle name="Row Title 1" xfId="1814" xr:uid="{00000000-0005-0000-0000-000029070000}"/>
    <cellStyle name="Row Title 3" xfId="1815" xr:uid="{00000000-0005-0000-0000-00002A070000}"/>
    <cellStyle name="Row Title 4 indent" xfId="1816" xr:uid="{00000000-0005-0000-0000-00002B070000}"/>
    <cellStyle name="Row Total" xfId="1817" xr:uid="{00000000-0005-0000-0000-00002C070000}"/>
    <cellStyle name="s" xfId="1818" xr:uid="{00000000-0005-0000-0000-00002D070000}"/>
    <cellStyle name="s_2010- Ypso Budget Operational Model v2" xfId="1819" xr:uid="{00000000-0005-0000-0000-00002E070000}"/>
    <cellStyle name="s_2010- Ypso Budget Operational Model v2_Xl0000004" xfId="1820" xr:uid="{00000000-0005-0000-0000-00002F070000}"/>
    <cellStyle name="s_2010- Ypso Forecast" xfId="1821" xr:uid="{00000000-0005-0000-0000-000030070000}"/>
    <cellStyle name="s_2010- Ypso Forecast_modifDivOp27102010" xfId="1822" xr:uid="{00000000-0005-0000-0000-000031070000}"/>
    <cellStyle name="s_Assumptions" xfId="1823" xr:uid="{00000000-0005-0000-0000-000032070000}"/>
    <cellStyle name="s_Assumptions_2010- Ypso Budget Operational Model v2" xfId="1824" xr:uid="{00000000-0005-0000-0000-000033070000}"/>
    <cellStyle name="s_Assumptions_2010- Ypso Budget Operational Model v2_Xl0000004" xfId="1825" xr:uid="{00000000-0005-0000-0000-000034070000}"/>
    <cellStyle name="s_Assumptions_2010- Ypso Forecast" xfId="1826" xr:uid="{00000000-0005-0000-0000-000035070000}"/>
    <cellStyle name="s_Assumptions_2010- Ypso Forecast_modifDivOp27102010" xfId="1827" xr:uid="{00000000-0005-0000-0000-000036070000}"/>
    <cellStyle name="s_Assumptions_P&amp;L DivOp_Reforecast0410 vEP" xfId="1828" xr:uid="{00000000-0005-0000-0000-000037070000}"/>
    <cellStyle name="s_Assumptions_P&amp;L DivOp_Reforecast0410_27102010" xfId="1829" xr:uid="{00000000-0005-0000-0000-000038070000}"/>
    <cellStyle name="s_Assumptions_Reporting capex 2009-11" xfId="1830" xr:uid="{00000000-0005-0000-0000-000039070000}"/>
    <cellStyle name="s_Assumptions_Reporting capex 2009-12" xfId="1831" xr:uid="{00000000-0005-0000-0000-00003A070000}"/>
    <cellStyle name="s_Assumptions_Reporting capex 2010-04" xfId="1832" xr:uid="{00000000-0005-0000-0000-00003B070000}"/>
    <cellStyle name="s_Assumptions_Reporting capex 2010-05" xfId="1833" xr:uid="{00000000-0005-0000-0000-00003C070000}"/>
    <cellStyle name="s_Assumptions_Reporting capex 2010-12" xfId="1834" xr:uid="{00000000-0005-0000-0000-00003D070000}"/>
    <cellStyle name="s_Assumptions_Reporting capex 2010-12 2" xfId="1835" xr:uid="{00000000-0005-0000-0000-00003E070000}"/>
    <cellStyle name="s_Assumptions_Reporting capex 2010-12 vrai" xfId="1836" xr:uid="{00000000-0005-0000-0000-00003F070000}"/>
    <cellStyle name="s_Assumptions_Reporting Completel 0802  V4" xfId="1837" xr:uid="{00000000-0005-0000-0000-000040070000}"/>
    <cellStyle name="s_Assumptions_Reporting Completel 0802  V4_P&amp;L DivOp_Reforecast0410 vEP" xfId="1838" xr:uid="{00000000-0005-0000-0000-000041070000}"/>
    <cellStyle name="s_Assumptions_Reporting Investors Completel July 2008" xfId="1839" xr:uid="{00000000-0005-0000-0000-000042070000}"/>
    <cellStyle name="s_Assumptions_Xl0000004" xfId="1840" xr:uid="{00000000-0005-0000-0000-000043070000}"/>
    <cellStyle name="s_Assumptions_Ypso Financial Budget" xfId="1841" xr:uid="{00000000-0005-0000-0000-000044070000}"/>
    <cellStyle name="s_Assumptions_Ypso Financial Budget_Xl0000004" xfId="1842" xr:uid="{00000000-0005-0000-0000-000045070000}"/>
    <cellStyle name="s_B_S_Ratios _B" xfId="1843" xr:uid="{00000000-0005-0000-0000-000046070000}"/>
    <cellStyle name="s_B_S_Ratios _B_2010- Ypso Budget Operational Model v2" xfId="1844" xr:uid="{00000000-0005-0000-0000-000047070000}"/>
    <cellStyle name="s_B_S_Ratios _B_2010- Ypso Budget Operational Model v2_Xl0000004" xfId="1845" xr:uid="{00000000-0005-0000-0000-000048070000}"/>
    <cellStyle name="s_B_S_Ratios _B_2010- Ypso Forecast" xfId="1846" xr:uid="{00000000-0005-0000-0000-000049070000}"/>
    <cellStyle name="s_B_S_Ratios _B_2010- Ypso Forecast_modifDivOp27102010" xfId="1847" xr:uid="{00000000-0005-0000-0000-00004A070000}"/>
    <cellStyle name="s_B_S_Ratios _B_P&amp;L DivOp_Reforecast0410 vEP" xfId="1848" xr:uid="{00000000-0005-0000-0000-00004B070000}"/>
    <cellStyle name="s_B_S_Ratios _B_P&amp;L DivOp_Reforecast0410_27102010" xfId="1849" xr:uid="{00000000-0005-0000-0000-00004C070000}"/>
    <cellStyle name="s_B_S_Ratios _B_Reporting capex 2009-11" xfId="1850" xr:uid="{00000000-0005-0000-0000-00004D070000}"/>
    <cellStyle name="s_B_S_Ratios _B_Reporting capex 2009-12" xfId="1851" xr:uid="{00000000-0005-0000-0000-00004E070000}"/>
    <cellStyle name="s_B_S_Ratios _B_Reporting capex 2010-04" xfId="1852" xr:uid="{00000000-0005-0000-0000-00004F070000}"/>
    <cellStyle name="s_B_S_Ratios _B_Reporting capex 2010-05" xfId="1853" xr:uid="{00000000-0005-0000-0000-000050070000}"/>
    <cellStyle name="s_B_S_Ratios _B_Reporting capex 2010-12" xfId="1854" xr:uid="{00000000-0005-0000-0000-000051070000}"/>
    <cellStyle name="s_B_S_Ratios _B_Reporting capex 2010-12 2" xfId="1855" xr:uid="{00000000-0005-0000-0000-000052070000}"/>
    <cellStyle name="s_B_S_Ratios _B_Reporting capex 2010-12 vrai" xfId="1856" xr:uid="{00000000-0005-0000-0000-000053070000}"/>
    <cellStyle name="s_B_S_Ratios _B_Reporting Completel 0802  V4" xfId="1857" xr:uid="{00000000-0005-0000-0000-000054070000}"/>
    <cellStyle name="s_B_S_Ratios _B_Reporting Completel 0802  V4_P&amp;L DivOp_Reforecast0410 vEP" xfId="1858" xr:uid="{00000000-0005-0000-0000-000055070000}"/>
    <cellStyle name="s_B_S_Ratios _B_Reporting Investors Completel July 2008" xfId="1859" xr:uid="{00000000-0005-0000-0000-000056070000}"/>
    <cellStyle name="s_B_S_Ratios _B_Xl0000004" xfId="1860" xr:uid="{00000000-0005-0000-0000-000057070000}"/>
    <cellStyle name="s_B_S_Ratios _B_Ypso Financial Budget" xfId="1861" xr:uid="{00000000-0005-0000-0000-000058070000}"/>
    <cellStyle name="s_B_S_Ratios _B_Ypso Financial Budget_Xl0000004" xfId="1862" xr:uid="{00000000-0005-0000-0000-000059070000}"/>
    <cellStyle name="s_B_S_Ratios_T" xfId="1863" xr:uid="{00000000-0005-0000-0000-00005A070000}"/>
    <cellStyle name="s_B_S_Ratios_T_2010- Ypso Budget Operational Model v2" xfId="1864" xr:uid="{00000000-0005-0000-0000-00005B070000}"/>
    <cellStyle name="s_B_S_Ratios_T_2010- Ypso Budget Operational Model v2_Xl0000004" xfId="1865" xr:uid="{00000000-0005-0000-0000-00005C070000}"/>
    <cellStyle name="s_B_S_Ratios_T_2010- Ypso Forecast" xfId="1866" xr:uid="{00000000-0005-0000-0000-00005D070000}"/>
    <cellStyle name="s_B_S_Ratios_T_2010- Ypso Forecast_modifDivOp27102010" xfId="1867" xr:uid="{00000000-0005-0000-0000-00005E070000}"/>
    <cellStyle name="s_B_S_Ratios_T_P&amp;L DivOp_Reforecast0410 vEP" xfId="1868" xr:uid="{00000000-0005-0000-0000-00005F070000}"/>
    <cellStyle name="s_B_S_Ratios_T_P&amp;L DivOp_Reforecast0410_27102010" xfId="1869" xr:uid="{00000000-0005-0000-0000-000060070000}"/>
    <cellStyle name="s_B_S_Ratios_T_Reporting capex 2009-11" xfId="1870" xr:uid="{00000000-0005-0000-0000-000061070000}"/>
    <cellStyle name="s_B_S_Ratios_T_Reporting capex 2009-12" xfId="1871" xr:uid="{00000000-0005-0000-0000-000062070000}"/>
    <cellStyle name="s_B_S_Ratios_T_Reporting capex 2010-04" xfId="1872" xr:uid="{00000000-0005-0000-0000-000063070000}"/>
    <cellStyle name="s_B_S_Ratios_T_Reporting capex 2010-05" xfId="1873" xr:uid="{00000000-0005-0000-0000-000064070000}"/>
    <cellStyle name="s_B_S_Ratios_T_Reporting capex 2010-12" xfId="1874" xr:uid="{00000000-0005-0000-0000-000065070000}"/>
    <cellStyle name="s_B_S_Ratios_T_Reporting capex 2010-12 2" xfId="1875" xr:uid="{00000000-0005-0000-0000-000066070000}"/>
    <cellStyle name="s_B_S_Ratios_T_Reporting capex 2010-12 vrai" xfId="1876" xr:uid="{00000000-0005-0000-0000-000067070000}"/>
    <cellStyle name="s_B_S_Ratios_T_Reporting Completel 0802  V4" xfId="1877" xr:uid="{00000000-0005-0000-0000-000068070000}"/>
    <cellStyle name="s_B_S_Ratios_T_Reporting Completel 0802  V4_P&amp;L DivOp_Reforecast0410 vEP" xfId="1878" xr:uid="{00000000-0005-0000-0000-000069070000}"/>
    <cellStyle name="s_B_S_Ratios_T_Reporting Investors Completel July 2008" xfId="1879" xr:uid="{00000000-0005-0000-0000-00006A070000}"/>
    <cellStyle name="s_B_S_Ratios_T_Xl0000004" xfId="1880" xr:uid="{00000000-0005-0000-0000-00006B070000}"/>
    <cellStyle name="s_B_S_Ratios_T_Ypso Financial Budget" xfId="1881" xr:uid="{00000000-0005-0000-0000-00006C070000}"/>
    <cellStyle name="s_B_S_Ratios_T_Ypso Financial Budget_Xl0000004" xfId="1882" xr:uid="{00000000-0005-0000-0000-00006D070000}"/>
    <cellStyle name="s_DCFLBO Code" xfId="1883" xr:uid="{00000000-0005-0000-0000-00006E070000}"/>
    <cellStyle name="s_DCFLBO Code_1" xfId="1884" xr:uid="{00000000-0005-0000-0000-00006F070000}"/>
    <cellStyle name="s_DCFLBO Code_1_2010- Ypso Budget Operational Model v2" xfId="1885" xr:uid="{00000000-0005-0000-0000-000070070000}"/>
    <cellStyle name="s_DCFLBO Code_1_2010- Ypso Budget Operational Model v2_Xl0000004" xfId="1886" xr:uid="{00000000-0005-0000-0000-000071070000}"/>
    <cellStyle name="s_DCFLBO Code_1_2010- Ypso Forecast" xfId="1887" xr:uid="{00000000-0005-0000-0000-000072070000}"/>
    <cellStyle name="s_DCFLBO Code_1_2010- Ypso Forecast_modifDivOp27102010" xfId="1888" xr:uid="{00000000-0005-0000-0000-000073070000}"/>
    <cellStyle name="s_DCFLBO Code_1_P&amp;L DivOp_Reforecast0410 vEP" xfId="1889" xr:uid="{00000000-0005-0000-0000-000074070000}"/>
    <cellStyle name="s_DCFLBO Code_1_P&amp;L DivOp_Reforecast0410_27102010" xfId="1890" xr:uid="{00000000-0005-0000-0000-000075070000}"/>
    <cellStyle name="s_DCFLBO Code_1_Reporting capex 2009-11" xfId="1891" xr:uid="{00000000-0005-0000-0000-000076070000}"/>
    <cellStyle name="s_DCFLBO Code_1_Reporting capex 2009-12" xfId="1892" xr:uid="{00000000-0005-0000-0000-000077070000}"/>
    <cellStyle name="s_DCFLBO Code_1_Reporting capex 2010-04" xfId="1893" xr:uid="{00000000-0005-0000-0000-000078070000}"/>
    <cellStyle name="s_DCFLBO Code_1_Reporting capex 2010-05" xfId="1894" xr:uid="{00000000-0005-0000-0000-000079070000}"/>
    <cellStyle name="s_DCFLBO Code_1_Reporting capex 2010-12" xfId="1895" xr:uid="{00000000-0005-0000-0000-00007A070000}"/>
    <cellStyle name="s_DCFLBO Code_1_Reporting capex 2010-12 2" xfId="1896" xr:uid="{00000000-0005-0000-0000-00007B070000}"/>
    <cellStyle name="s_DCFLBO Code_1_Reporting capex 2010-12 vrai" xfId="1897" xr:uid="{00000000-0005-0000-0000-00007C070000}"/>
    <cellStyle name="s_DCFLBO Code_1_Reporting Completel 0802  V4" xfId="1898" xr:uid="{00000000-0005-0000-0000-00007D070000}"/>
    <cellStyle name="s_DCFLBO Code_1_Reporting Completel 0802  V4_P&amp;L DivOp_Reforecast0410 vEP" xfId="1899" xr:uid="{00000000-0005-0000-0000-00007E070000}"/>
    <cellStyle name="s_DCFLBO Code_1_Reporting Investors Completel July 2008" xfId="1900" xr:uid="{00000000-0005-0000-0000-00007F070000}"/>
    <cellStyle name="s_DCFLBO Code_1_Xl0000004" xfId="1901" xr:uid="{00000000-0005-0000-0000-000080070000}"/>
    <cellStyle name="s_DCFLBO Code_1_Ypso Financial Budget" xfId="1902" xr:uid="{00000000-0005-0000-0000-000081070000}"/>
    <cellStyle name="s_DCFLBO Code_1_Ypso Financial Budget_Xl0000004" xfId="1903" xr:uid="{00000000-0005-0000-0000-000082070000}"/>
    <cellStyle name="s_DCFLBO Code_2010- Ypso Budget Operational Model v2" xfId="1904" xr:uid="{00000000-0005-0000-0000-000083070000}"/>
    <cellStyle name="s_DCFLBO Code_2010- Ypso Forecast" xfId="1905" xr:uid="{00000000-0005-0000-0000-000084070000}"/>
    <cellStyle name="s_DCFLBO Code_2010- Ypso Forecast_modifDivOp27102010" xfId="1906" xr:uid="{00000000-0005-0000-0000-000085070000}"/>
    <cellStyle name="s_DCFLBO Code_P&amp;L DivOp_Reforecast0410 vEP" xfId="1907" xr:uid="{00000000-0005-0000-0000-000086070000}"/>
    <cellStyle name="s_DCFLBO Code_P&amp;L DivOp_Reforecast0410_27102010" xfId="1908" xr:uid="{00000000-0005-0000-0000-000087070000}"/>
    <cellStyle name="s_DCFLBO Code_Reporting capex 2009-11" xfId="1909" xr:uid="{00000000-0005-0000-0000-000088070000}"/>
    <cellStyle name="s_DCFLBO Code_Reporting capex 2009-12" xfId="1910" xr:uid="{00000000-0005-0000-0000-000089070000}"/>
    <cellStyle name="s_DCFLBO Code_Reporting capex 2010-04" xfId="1911" xr:uid="{00000000-0005-0000-0000-00008A070000}"/>
    <cellStyle name="s_DCFLBO Code_Reporting capex 2010-05" xfId="1912" xr:uid="{00000000-0005-0000-0000-00008B070000}"/>
    <cellStyle name="s_DCFLBO Code_Reporting capex 2010-12" xfId="1913" xr:uid="{00000000-0005-0000-0000-00008C070000}"/>
    <cellStyle name="s_DCFLBO Code_Reporting capex 2010-12 2" xfId="1914" xr:uid="{00000000-0005-0000-0000-00008D070000}"/>
    <cellStyle name="s_DCFLBO Code_Reporting capex 2010-12 vrai" xfId="1915" xr:uid="{00000000-0005-0000-0000-00008E070000}"/>
    <cellStyle name="s_DCFLBO Code_Reporting Completel 0802  V4" xfId="1916" xr:uid="{00000000-0005-0000-0000-00008F070000}"/>
    <cellStyle name="s_DCFLBO Code_Reporting Completel 0802  V4_P&amp;L DivOp_Reforecast0410 vEP" xfId="1917" xr:uid="{00000000-0005-0000-0000-000090070000}"/>
    <cellStyle name="s_DCFLBO Code_Reporting Investors Completel July 2008" xfId="1918" xr:uid="{00000000-0005-0000-0000-000091070000}"/>
    <cellStyle name="s_DCFLBO Code_Xl0000004" xfId="1919" xr:uid="{00000000-0005-0000-0000-000092070000}"/>
    <cellStyle name="s_DCFLBO Code_Ypso Financial Budget" xfId="1920" xr:uid="{00000000-0005-0000-0000-000093070000}"/>
    <cellStyle name="s_DCFLBO Code_Ypso Financial Budget_Xl0000004" xfId="1921" xr:uid="{00000000-0005-0000-0000-000094070000}"/>
    <cellStyle name="s_Dilution" xfId="1922" xr:uid="{00000000-0005-0000-0000-000095070000}"/>
    <cellStyle name="s_Dilution_2010- Ypso Budget Operational Model v2" xfId="1923" xr:uid="{00000000-0005-0000-0000-000096070000}"/>
    <cellStyle name="s_Dilution_2010- Ypso Budget Operational Model v2_Xl0000004" xfId="1924" xr:uid="{00000000-0005-0000-0000-000097070000}"/>
    <cellStyle name="s_Dilution_2010- Ypso Forecast" xfId="1925" xr:uid="{00000000-0005-0000-0000-000098070000}"/>
    <cellStyle name="s_Dilution_2010- Ypso Forecast_modifDivOp27102010" xfId="1926" xr:uid="{00000000-0005-0000-0000-000099070000}"/>
    <cellStyle name="s_Dilution_P&amp;L DivOp_Reforecast0410 vEP" xfId="1927" xr:uid="{00000000-0005-0000-0000-00009A070000}"/>
    <cellStyle name="s_Dilution_P&amp;L DivOp_Reforecast0410_27102010" xfId="1928" xr:uid="{00000000-0005-0000-0000-00009B070000}"/>
    <cellStyle name="s_Dilution_Reporting capex 2009-11" xfId="1929" xr:uid="{00000000-0005-0000-0000-00009C070000}"/>
    <cellStyle name="s_Dilution_Reporting capex 2009-12" xfId="1930" xr:uid="{00000000-0005-0000-0000-00009D070000}"/>
    <cellStyle name="s_Dilution_Reporting capex 2010-04" xfId="1931" xr:uid="{00000000-0005-0000-0000-00009E070000}"/>
    <cellStyle name="s_Dilution_Reporting capex 2010-05" xfId="1932" xr:uid="{00000000-0005-0000-0000-00009F070000}"/>
    <cellStyle name="s_Dilution_Reporting capex 2010-12" xfId="1933" xr:uid="{00000000-0005-0000-0000-0000A0070000}"/>
    <cellStyle name="s_Dilution_Reporting capex 2010-12 2" xfId="1934" xr:uid="{00000000-0005-0000-0000-0000A1070000}"/>
    <cellStyle name="s_Dilution_Reporting capex 2010-12 vrai" xfId="1935" xr:uid="{00000000-0005-0000-0000-0000A2070000}"/>
    <cellStyle name="s_Dilution_Reporting Completel 0802  V4" xfId="1936" xr:uid="{00000000-0005-0000-0000-0000A3070000}"/>
    <cellStyle name="s_Dilution_Reporting Completel 0802  V4_P&amp;L DivOp_Reforecast0410 vEP" xfId="1937" xr:uid="{00000000-0005-0000-0000-0000A4070000}"/>
    <cellStyle name="s_Dilution_Reporting Investors Completel July 2008" xfId="1938" xr:uid="{00000000-0005-0000-0000-0000A5070000}"/>
    <cellStyle name="s_Dilution_Xl0000004" xfId="1939" xr:uid="{00000000-0005-0000-0000-0000A6070000}"/>
    <cellStyle name="s_Dilution_Ypso Financial Budget" xfId="1940" xr:uid="{00000000-0005-0000-0000-0000A7070000}"/>
    <cellStyle name="s_Dilution_Ypso Financial Budget_Xl0000004" xfId="1941" xr:uid="{00000000-0005-0000-0000-0000A8070000}"/>
    <cellStyle name="s_Financials_B" xfId="1942" xr:uid="{00000000-0005-0000-0000-0000A9070000}"/>
    <cellStyle name="s_Financials_B_2010- Ypso Budget Operational Model v2" xfId="1943" xr:uid="{00000000-0005-0000-0000-0000AA070000}"/>
    <cellStyle name="s_Financials_B_2010- Ypso Budget Operational Model v2_Xl0000004" xfId="1944" xr:uid="{00000000-0005-0000-0000-0000AB070000}"/>
    <cellStyle name="s_Financials_B_2010- Ypso Forecast" xfId="1945" xr:uid="{00000000-0005-0000-0000-0000AC070000}"/>
    <cellStyle name="s_Financials_B_2010- Ypso Forecast_modifDivOp27102010" xfId="1946" xr:uid="{00000000-0005-0000-0000-0000AD070000}"/>
    <cellStyle name="s_Financials_B_P&amp;L DivOp_Reforecast0410 vEP" xfId="1947" xr:uid="{00000000-0005-0000-0000-0000AE070000}"/>
    <cellStyle name="s_Financials_B_P&amp;L DivOp_Reforecast0410_27102010" xfId="1948" xr:uid="{00000000-0005-0000-0000-0000AF070000}"/>
    <cellStyle name="s_Financials_B_Reporting capex 2009-11" xfId="1949" xr:uid="{00000000-0005-0000-0000-0000B0070000}"/>
    <cellStyle name="s_Financials_B_Reporting capex 2009-12" xfId="1950" xr:uid="{00000000-0005-0000-0000-0000B1070000}"/>
    <cellStyle name="s_Financials_B_Reporting capex 2010-04" xfId="1951" xr:uid="{00000000-0005-0000-0000-0000B2070000}"/>
    <cellStyle name="s_Financials_B_Reporting capex 2010-05" xfId="1952" xr:uid="{00000000-0005-0000-0000-0000B3070000}"/>
    <cellStyle name="s_Financials_B_Reporting capex 2010-12" xfId="1953" xr:uid="{00000000-0005-0000-0000-0000B4070000}"/>
    <cellStyle name="s_Financials_B_Reporting capex 2010-12 2" xfId="1954" xr:uid="{00000000-0005-0000-0000-0000B5070000}"/>
    <cellStyle name="s_Financials_B_Reporting capex 2010-12 vrai" xfId="1955" xr:uid="{00000000-0005-0000-0000-0000B6070000}"/>
    <cellStyle name="s_Financials_B_Reporting Completel 0802  V4" xfId="1956" xr:uid="{00000000-0005-0000-0000-0000B7070000}"/>
    <cellStyle name="s_Financials_B_Reporting Completel 0802  V4_P&amp;L DivOp_Reforecast0410 vEP" xfId="1957" xr:uid="{00000000-0005-0000-0000-0000B8070000}"/>
    <cellStyle name="s_Financials_B_Reporting Investors Completel July 2008" xfId="1958" xr:uid="{00000000-0005-0000-0000-0000B9070000}"/>
    <cellStyle name="s_Financials_B_Xl0000004" xfId="1959" xr:uid="{00000000-0005-0000-0000-0000BA070000}"/>
    <cellStyle name="s_Financials_B_Ypso Financial Budget" xfId="1960" xr:uid="{00000000-0005-0000-0000-0000BB070000}"/>
    <cellStyle name="s_Financials_B_Ypso Financial Budget_Xl0000004" xfId="1961" xr:uid="{00000000-0005-0000-0000-0000BC070000}"/>
    <cellStyle name="s_Financials_T" xfId="1962" xr:uid="{00000000-0005-0000-0000-0000BD070000}"/>
    <cellStyle name="s_Financials_T_2010- Ypso Budget Operational Model v2" xfId="1963" xr:uid="{00000000-0005-0000-0000-0000BE070000}"/>
    <cellStyle name="s_Financials_T_2010- Ypso Budget Operational Model v2_Xl0000004" xfId="1964" xr:uid="{00000000-0005-0000-0000-0000BF070000}"/>
    <cellStyle name="s_Financials_T_2010- Ypso Forecast" xfId="1965" xr:uid="{00000000-0005-0000-0000-0000C0070000}"/>
    <cellStyle name="s_Financials_T_2010- Ypso Forecast_modifDivOp27102010" xfId="1966" xr:uid="{00000000-0005-0000-0000-0000C1070000}"/>
    <cellStyle name="s_Financials_T_P&amp;L DivOp_Reforecast0410 vEP" xfId="1967" xr:uid="{00000000-0005-0000-0000-0000C2070000}"/>
    <cellStyle name="s_Financials_T_P&amp;L DivOp_Reforecast0410_27102010" xfId="1968" xr:uid="{00000000-0005-0000-0000-0000C3070000}"/>
    <cellStyle name="s_Financials_T_Reporting capex 2009-11" xfId="1969" xr:uid="{00000000-0005-0000-0000-0000C4070000}"/>
    <cellStyle name="s_Financials_T_Reporting capex 2009-12" xfId="1970" xr:uid="{00000000-0005-0000-0000-0000C5070000}"/>
    <cellStyle name="s_Financials_T_Reporting capex 2010-04" xfId="1971" xr:uid="{00000000-0005-0000-0000-0000C6070000}"/>
    <cellStyle name="s_Financials_T_Reporting capex 2010-05" xfId="1972" xr:uid="{00000000-0005-0000-0000-0000C7070000}"/>
    <cellStyle name="s_Financials_T_Reporting capex 2010-12" xfId="1973" xr:uid="{00000000-0005-0000-0000-0000C8070000}"/>
    <cellStyle name="s_Financials_T_Reporting capex 2010-12 2" xfId="1974" xr:uid="{00000000-0005-0000-0000-0000C9070000}"/>
    <cellStyle name="s_Financials_T_Reporting capex 2010-12 vrai" xfId="1975" xr:uid="{00000000-0005-0000-0000-0000CA070000}"/>
    <cellStyle name="s_Financials_T_Reporting Completel 0802  V4" xfId="1976" xr:uid="{00000000-0005-0000-0000-0000CB070000}"/>
    <cellStyle name="s_Financials_T_Reporting Completel 0802  V4_P&amp;L DivOp_Reforecast0410 vEP" xfId="1977" xr:uid="{00000000-0005-0000-0000-0000CC070000}"/>
    <cellStyle name="s_Financials_T_Reporting Investors Completel July 2008" xfId="1978" xr:uid="{00000000-0005-0000-0000-0000CD070000}"/>
    <cellStyle name="s_Financials_T_Xl0000004" xfId="1979" xr:uid="{00000000-0005-0000-0000-0000CE070000}"/>
    <cellStyle name="s_Financials_T_Ypso Financial Budget" xfId="1980" xr:uid="{00000000-0005-0000-0000-0000CF070000}"/>
    <cellStyle name="s_Financials_T_Ypso Financial Budget_Xl0000004" xfId="1981" xr:uid="{00000000-0005-0000-0000-0000D0070000}"/>
    <cellStyle name="s_Grouse+Pelican" xfId="1982" xr:uid="{00000000-0005-0000-0000-0000D1070000}"/>
    <cellStyle name="s_Grouse+Pelican_2010- Ypso Budget Operational Model v2" xfId="1983" xr:uid="{00000000-0005-0000-0000-0000D2070000}"/>
    <cellStyle name="s_Grouse+Pelican_2010- Ypso Budget Operational Model v2_P&amp;L DivOp_Reforecast0410 vEP" xfId="1984" xr:uid="{00000000-0005-0000-0000-0000D3070000}"/>
    <cellStyle name="s_Grouse+Pelican_P&amp;L DivOp_Reforecast0410 vEP" xfId="1985" xr:uid="{00000000-0005-0000-0000-0000D4070000}"/>
    <cellStyle name="s_Grouse+Pelican_Reporting capex 2009-11" xfId="1986" xr:uid="{00000000-0005-0000-0000-0000D5070000}"/>
    <cellStyle name="s_Grouse+Pelican_Reporting capex 2009-11_Reporting capex 2010-04" xfId="1987" xr:uid="{00000000-0005-0000-0000-0000D6070000}"/>
    <cellStyle name="s_Grouse+Pelican_Reporting capex 2009-11_Reporting capex 2010-05" xfId="1988" xr:uid="{00000000-0005-0000-0000-0000D7070000}"/>
    <cellStyle name="s_Grouse+Pelican_Reporting capex 2009-11_Reporting capex 2010-12" xfId="1989" xr:uid="{00000000-0005-0000-0000-0000D8070000}"/>
    <cellStyle name="s_Grouse+Pelican_Reporting capex 2009-11_Reporting capex 2010-12 2" xfId="1990" xr:uid="{00000000-0005-0000-0000-0000D9070000}"/>
    <cellStyle name="s_Grouse+Pelican_Reporting capex 2009-11_Reporting capex 2010-12 vrai" xfId="1991" xr:uid="{00000000-0005-0000-0000-0000DA070000}"/>
    <cellStyle name="s_Grouse+Pelican_Reporting capex 2009-12" xfId="1992" xr:uid="{00000000-0005-0000-0000-0000DB070000}"/>
    <cellStyle name="s_Grouse+Pelican_Reporting capex 2009-12_Reporting capex 2010-04" xfId="1993" xr:uid="{00000000-0005-0000-0000-0000DC070000}"/>
    <cellStyle name="s_Grouse+Pelican_Reporting capex 2009-12_Reporting capex 2010-05" xfId="1994" xr:uid="{00000000-0005-0000-0000-0000DD070000}"/>
    <cellStyle name="s_Grouse+Pelican_Reporting capex 2009-12_Reporting capex 2010-12" xfId="1995" xr:uid="{00000000-0005-0000-0000-0000DE070000}"/>
    <cellStyle name="s_Grouse+Pelican_Reporting capex 2009-12_Reporting capex 2010-12 2" xfId="1996" xr:uid="{00000000-0005-0000-0000-0000DF070000}"/>
    <cellStyle name="s_Grouse+Pelican_Reporting capex 2009-12_Reporting capex 2010-12 vrai" xfId="1997" xr:uid="{00000000-0005-0000-0000-0000E0070000}"/>
    <cellStyle name="s_Grouse+Pelican_Reporting capex 2010-04" xfId="1998" xr:uid="{00000000-0005-0000-0000-0000E1070000}"/>
    <cellStyle name="s_Grouse+Pelican_Reporting capex 2010-05" xfId="1999" xr:uid="{00000000-0005-0000-0000-0000E2070000}"/>
    <cellStyle name="s_Grouse+Pelican_Reporting capex 2010-12" xfId="2000" xr:uid="{00000000-0005-0000-0000-0000E3070000}"/>
    <cellStyle name="s_Grouse+Pelican_Reporting capex 2010-12 2" xfId="2001" xr:uid="{00000000-0005-0000-0000-0000E4070000}"/>
    <cellStyle name="s_Grouse+Pelican_Reporting capex 2010-12 vrai" xfId="2002" xr:uid="{00000000-0005-0000-0000-0000E5070000}"/>
    <cellStyle name="s_Grouse+Pelican_Xl0000004" xfId="2003" xr:uid="{00000000-0005-0000-0000-0000E6070000}"/>
    <cellStyle name="s_Grouse+Pelican_Ypso Financial Budget" xfId="2004" xr:uid="{00000000-0005-0000-0000-0000E7070000}"/>
    <cellStyle name="s_Grouse+Pelican_Ypso Financial Budget_P&amp;L DivOp_Reforecast0410 vEP" xfId="2005" xr:uid="{00000000-0005-0000-0000-0000E8070000}"/>
    <cellStyle name="s_Matrix_B" xfId="2006" xr:uid="{00000000-0005-0000-0000-0000E9070000}"/>
    <cellStyle name="s_Matrix_B_2010- Ypso Budget Operational Model v2" xfId="2007" xr:uid="{00000000-0005-0000-0000-0000EA070000}"/>
    <cellStyle name="s_Matrix_B_2010- Ypso Budget Operational Model v2_Xl0000004" xfId="2008" xr:uid="{00000000-0005-0000-0000-0000EB070000}"/>
    <cellStyle name="s_Matrix_B_2010- Ypso Forecast" xfId="2009" xr:uid="{00000000-0005-0000-0000-0000EC070000}"/>
    <cellStyle name="s_Matrix_B_2010- Ypso Forecast_modifDivOp27102010" xfId="2010" xr:uid="{00000000-0005-0000-0000-0000ED070000}"/>
    <cellStyle name="s_Matrix_B_P&amp;L DivOp_Reforecast0410 vEP" xfId="2011" xr:uid="{00000000-0005-0000-0000-0000EE070000}"/>
    <cellStyle name="s_Matrix_B_P&amp;L DivOp_Reforecast0410_27102010" xfId="2012" xr:uid="{00000000-0005-0000-0000-0000EF070000}"/>
    <cellStyle name="s_Matrix_B_Reporting capex 2009-11" xfId="2013" xr:uid="{00000000-0005-0000-0000-0000F0070000}"/>
    <cellStyle name="s_Matrix_B_Reporting capex 2009-12" xfId="2014" xr:uid="{00000000-0005-0000-0000-0000F1070000}"/>
    <cellStyle name="s_Matrix_B_Reporting capex 2010-04" xfId="2015" xr:uid="{00000000-0005-0000-0000-0000F2070000}"/>
    <cellStyle name="s_Matrix_B_Reporting capex 2010-05" xfId="2016" xr:uid="{00000000-0005-0000-0000-0000F3070000}"/>
    <cellStyle name="s_Matrix_B_Reporting capex 2010-12" xfId="2017" xr:uid="{00000000-0005-0000-0000-0000F4070000}"/>
    <cellStyle name="s_Matrix_B_Reporting capex 2010-12 2" xfId="2018" xr:uid="{00000000-0005-0000-0000-0000F5070000}"/>
    <cellStyle name="s_Matrix_B_Reporting capex 2010-12 vrai" xfId="2019" xr:uid="{00000000-0005-0000-0000-0000F6070000}"/>
    <cellStyle name="s_Matrix_B_Reporting Completel 0802  V4" xfId="2020" xr:uid="{00000000-0005-0000-0000-0000F7070000}"/>
    <cellStyle name="s_Matrix_B_Reporting Completel 0802  V4_P&amp;L DivOp_Reforecast0410 vEP" xfId="2021" xr:uid="{00000000-0005-0000-0000-0000F8070000}"/>
    <cellStyle name="s_Matrix_B_Reporting Investors Completel July 2008" xfId="2022" xr:uid="{00000000-0005-0000-0000-0000F9070000}"/>
    <cellStyle name="s_Matrix_B_Xl0000004" xfId="2023" xr:uid="{00000000-0005-0000-0000-0000FA070000}"/>
    <cellStyle name="s_Matrix_B_Ypso Financial Budget" xfId="2024" xr:uid="{00000000-0005-0000-0000-0000FB070000}"/>
    <cellStyle name="s_Matrix_B_Ypso Financial Budget_Xl0000004" xfId="2025" xr:uid="{00000000-0005-0000-0000-0000FC070000}"/>
    <cellStyle name="s_Matrix_T" xfId="2026" xr:uid="{00000000-0005-0000-0000-0000FD070000}"/>
    <cellStyle name="s_Matrix_T_2010- Ypso Budget Operational Model v2" xfId="2027" xr:uid="{00000000-0005-0000-0000-0000FE070000}"/>
    <cellStyle name="s_Matrix_T_2010- Ypso Budget Operational Model v2_Xl0000004" xfId="2028" xr:uid="{00000000-0005-0000-0000-0000FF070000}"/>
    <cellStyle name="s_Matrix_T_2010- Ypso Forecast" xfId="2029" xr:uid="{00000000-0005-0000-0000-000000080000}"/>
    <cellStyle name="s_Matrix_T_2010- Ypso Forecast_modifDivOp27102010" xfId="2030" xr:uid="{00000000-0005-0000-0000-000001080000}"/>
    <cellStyle name="s_Matrix_T_P&amp;L DivOp_Reforecast0410 vEP" xfId="2031" xr:uid="{00000000-0005-0000-0000-000002080000}"/>
    <cellStyle name="s_Matrix_T_P&amp;L DivOp_Reforecast0410_27102010" xfId="2032" xr:uid="{00000000-0005-0000-0000-000003080000}"/>
    <cellStyle name="s_Matrix_T_Reporting capex 2009-11" xfId="2033" xr:uid="{00000000-0005-0000-0000-000004080000}"/>
    <cellStyle name="s_Matrix_T_Reporting capex 2009-12" xfId="2034" xr:uid="{00000000-0005-0000-0000-000005080000}"/>
    <cellStyle name="s_Matrix_T_Reporting capex 2010-04" xfId="2035" xr:uid="{00000000-0005-0000-0000-000006080000}"/>
    <cellStyle name="s_Matrix_T_Reporting capex 2010-05" xfId="2036" xr:uid="{00000000-0005-0000-0000-000007080000}"/>
    <cellStyle name="s_Matrix_T_Reporting capex 2010-12" xfId="2037" xr:uid="{00000000-0005-0000-0000-000008080000}"/>
    <cellStyle name="s_Matrix_T_Reporting capex 2010-12 2" xfId="2038" xr:uid="{00000000-0005-0000-0000-000009080000}"/>
    <cellStyle name="s_Matrix_T_Reporting capex 2010-12 vrai" xfId="2039" xr:uid="{00000000-0005-0000-0000-00000A080000}"/>
    <cellStyle name="s_Matrix_T_Reporting Completel 0802  V4" xfId="2040" xr:uid="{00000000-0005-0000-0000-00000B080000}"/>
    <cellStyle name="s_Matrix_T_Reporting Completel 0802  V4_P&amp;L DivOp_Reforecast0410 vEP" xfId="2041" xr:uid="{00000000-0005-0000-0000-00000C080000}"/>
    <cellStyle name="s_Matrix_T_Reporting Investors Completel July 2008" xfId="2042" xr:uid="{00000000-0005-0000-0000-00000D080000}"/>
    <cellStyle name="s_Matrix_T_Xl0000004" xfId="2043" xr:uid="{00000000-0005-0000-0000-00000E080000}"/>
    <cellStyle name="s_Matrix_T_Ypso Financial Budget" xfId="2044" xr:uid="{00000000-0005-0000-0000-00000F080000}"/>
    <cellStyle name="s_Matrix_T_Ypso Financial Budget_Xl0000004" xfId="2045" xr:uid="{00000000-0005-0000-0000-000010080000}"/>
    <cellStyle name="s_Merger" xfId="2046" xr:uid="{00000000-0005-0000-0000-000011080000}"/>
    <cellStyle name="s_Merger_2010- Ypso Budget Operational Model v2" xfId="2047" xr:uid="{00000000-0005-0000-0000-000012080000}"/>
    <cellStyle name="s_Merger_2010- Ypso Budget Operational Model v2_Xl0000004" xfId="2048" xr:uid="{00000000-0005-0000-0000-000013080000}"/>
    <cellStyle name="s_Merger_2010- Ypso Forecast" xfId="2049" xr:uid="{00000000-0005-0000-0000-000014080000}"/>
    <cellStyle name="s_Merger_2010- Ypso Forecast_modifDivOp27102010" xfId="2050" xr:uid="{00000000-0005-0000-0000-000015080000}"/>
    <cellStyle name="s_Merger_P&amp;L DivOp_Reforecast0410 vEP" xfId="2051" xr:uid="{00000000-0005-0000-0000-000016080000}"/>
    <cellStyle name="s_Merger_P&amp;L DivOp_Reforecast0410_27102010" xfId="2052" xr:uid="{00000000-0005-0000-0000-000017080000}"/>
    <cellStyle name="s_Merger_Reporting capex 2009-11" xfId="2053" xr:uid="{00000000-0005-0000-0000-000018080000}"/>
    <cellStyle name="s_Merger_Reporting capex 2009-12" xfId="2054" xr:uid="{00000000-0005-0000-0000-000019080000}"/>
    <cellStyle name="s_Merger_Reporting capex 2010-04" xfId="2055" xr:uid="{00000000-0005-0000-0000-00001A080000}"/>
    <cellStyle name="s_Merger_Reporting capex 2010-05" xfId="2056" xr:uid="{00000000-0005-0000-0000-00001B080000}"/>
    <cellStyle name="s_Merger_Reporting capex 2010-12" xfId="2057" xr:uid="{00000000-0005-0000-0000-00001C080000}"/>
    <cellStyle name="s_Merger_Reporting capex 2010-12 2" xfId="2058" xr:uid="{00000000-0005-0000-0000-00001D080000}"/>
    <cellStyle name="s_Merger_Reporting capex 2010-12 vrai" xfId="2059" xr:uid="{00000000-0005-0000-0000-00001E080000}"/>
    <cellStyle name="s_Merger_Reporting Completel 0802  V4" xfId="2060" xr:uid="{00000000-0005-0000-0000-00001F080000}"/>
    <cellStyle name="s_Merger_Reporting Completel 0802  V4_P&amp;L DivOp_Reforecast0410 vEP" xfId="2061" xr:uid="{00000000-0005-0000-0000-000020080000}"/>
    <cellStyle name="s_Merger_Reporting Investors Completel July 2008" xfId="2062" xr:uid="{00000000-0005-0000-0000-000021080000}"/>
    <cellStyle name="s_Merger_Xl0000004" xfId="2063" xr:uid="{00000000-0005-0000-0000-000022080000}"/>
    <cellStyle name="s_Merger_Ypso Financial Budget" xfId="2064" xr:uid="{00000000-0005-0000-0000-000023080000}"/>
    <cellStyle name="s_Merger_Ypso Financial Budget_Xl0000004" xfId="2065" xr:uid="{00000000-0005-0000-0000-000024080000}"/>
    <cellStyle name="s_model2" xfId="2066" xr:uid="{00000000-0005-0000-0000-000025080000}"/>
    <cellStyle name="s_model2_2010- Ypso Budget Operational Model v2" xfId="2067" xr:uid="{00000000-0005-0000-0000-000026080000}"/>
    <cellStyle name="s_model2_2010- Ypso Budget Operational Model v2_Xl0000004" xfId="2068" xr:uid="{00000000-0005-0000-0000-000027080000}"/>
    <cellStyle name="s_model2_2010- Ypso Forecast" xfId="2069" xr:uid="{00000000-0005-0000-0000-000028080000}"/>
    <cellStyle name="s_model2_2010- Ypso Forecast_modifDivOp27102010" xfId="2070" xr:uid="{00000000-0005-0000-0000-000029080000}"/>
    <cellStyle name="s_model2_P&amp;L DivOp_Reforecast0410 vEP" xfId="2071" xr:uid="{00000000-0005-0000-0000-00002A080000}"/>
    <cellStyle name="s_model2_P&amp;L DivOp_Reforecast0410_27102010" xfId="2072" xr:uid="{00000000-0005-0000-0000-00002B080000}"/>
    <cellStyle name="s_model2_Reporting capex 2009-11" xfId="2073" xr:uid="{00000000-0005-0000-0000-00002C080000}"/>
    <cellStyle name="s_model2_Reporting capex 2009-12" xfId="2074" xr:uid="{00000000-0005-0000-0000-00002D080000}"/>
    <cellStyle name="s_model2_Reporting capex 2010-04" xfId="2075" xr:uid="{00000000-0005-0000-0000-00002E080000}"/>
    <cellStyle name="s_model2_Reporting capex 2010-05" xfId="2076" xr:uid="{00000000-0005-0000-0000-00002F080000}"/>
    <cellStyle name="s_model2_Reporting capex 2010-12" xfId="2077" xr:uid="{00000000-0005-0000-0000-000030080000}"/>
    <cellStyle name="s_model2_Reporting capex 2010-12 2" xfId="2078" xr:uid="{00000000-0005-0000-0000-000031080000}"/>
    <cellStyle name="s_model2_Reporting capex 2010-12 vrai" xfId="2079" xr:uid="{00000000-0005-0000-0000-000032080000}"/>
    <cellStyle name="s_model2_Reporting Completel 0802  V4" xfId="2080" xr:uid="{00000000-0005-0000-0000-000033080000}"/>
    <cellStyle name="s_model2_Reporting Completel 0802  V4_P&amp;L DivOp_Reforecast0410 vEP" xfId="2081" xr:uid="{00000000-0005-0000-0000-000034080000}"/>
    <cellStyle name="s_model2_Reporting Investors Completel July 2008" xfId="2082" xr:uid="{00000000-0005-0000-0000-000035080000}"/>
    <cellStyle name="s_model2_Xl0000004" xfId="2083" xr:uid="{00000000-0005-0000-0000-000036080000}"/>
    <cellStyle name="s_model2_Ypso Financial Budget" xfId="2084" xr:uid="{00000000-0005-0000-0000-000037080000}"/>
    <cellStyle name="s_model2_Ypso Financial Budget_Xl0000004" xfId="2085" xr:uid="{00000000-0005-0000-0000-000038080000}"/>
    <cellStyle name="s_P&amp;L DivOp_Reforecast0410 vEP" xfId="2086" xr:uid="{00000000-0005-0000-0000-000039080000}"/>
    <cellStyle name="s_P&amp;L DivOp_Reforecast0410_27102010" xfId="2087" xr:uid="{00000000-0005-0000-0000-00003A080000}"/>
    <cellStyle name="s_P_L_Ratios" xfId="2088" xr:uid="{00000000-0005-0000-0000-00003B080000}"/>
    <cellStyle name="s_P_L_Ratios_2010- Ypso Budget Operational Model v2" xfId="2089" xr:uid="{00000000-0005-0000-0000-00003C080000}"/>
    <cellStyle name="s_P_L_Ratios_2010- Ypso Budget Operational Model v2_Xl0000004" xfId="2090" xr:uid="{00000000-0005-0000-0000-00003D080000}"/>
    <cellStyle name="s_P_L_Ratios_2010- Ypso Forecast" xfId="2091" xr:uid="{00000000-0005-0000-0000-00003E080000}"/>
    <cellStyle name="s_P_L_Ratios_2010- Ypso Forecast_modifDivOp27102010" xfId="2092" xr:uid="{00000000-0005-0000-0000-00003F080000}"/>
    <cellStyle name="s_P_L_Ratios_B" xfId="2093" xr:uid="{00000000-0005-0000-0000-000040080000}"/>
    <cellStyle name="s_P_L_Ratios_B_2010- Ypso Budget Operational Model v2" xfId="2094" xr:uid="{00000000-0005-0000-0000-000041080000}"/>
    <cellStyle name="s_P_L_Ratios_B_2010- Ypso Budget Operational Model v2_Xl0000004" xfId="2095" xr:uid="{00000000-0005-0000-0000-000042080000}"/>
    <cellStyle name="s_P_L_Ratios_B_2010- Ypso Forecast" xfId="2096" xr:uid="{00000000-0005-0000-0000-000043080000}"/>
    <cellStyle name="s_P_L_Ratios_B_2010- Ypso Forecast_modifDivOp27102010" xfId="2097" xr:uid="{00000000-0005-0000-0000-000044080000}"/>
    <cellStyle name="s_P_L_Ratios_B_P&amp;L DivOp_Reforecast0410 vEP" xfId="2098" xr:uid="{00000000-0005-0000-0000-000045080000}"/>
    <cellStyle name="s_P_L_Ratios_B_P&amp;L DivOp_Reforecast0410_27102010" xfId="2099" xr:uid="{00000000-0005-0000-0000-000046080000}"/>
    <cellStyle name="s_P_L_Ratios_B_Reporting capex 2009-11" xfId="2100" xr:uid="{00000000-0005-0000-0000-000047080000}"/>
    <cellStyle name="s_P_L_Ratios_B_Reporting capex 2009-12" xfId="2101" xr:uid="{00000000-0005-0000-0000-000048080000}"/>
    <cellStyle name="s_P_L_Ratios_B_Reporting capex 2010-04" xfId="2102" xr:uid="{00000000-0005-0000-0000-000049080000}"/>
    <cellStyle name="s_P_L_Ratios_B_Reporting capex 2010-05" xfId="2103" xr:uid="{00000000-0005-0000-0000-00004A080000}"/>
    <cellStyle name="s_P_L_Ratios_B_Reporting capex 2010-12" xfId="2104" xr:uid="{00000000-0005-0000-0000-00004B080000}"/>
    <cellStyle name="s_P_L_Ratios_B_Reporting capex 2010-12 2" xfId="2105" xr:uid="{00000000-0005-0000-0000-00004C080000}"/>
    <cellStyle name="s_P_L_Ratios_B_Reporting capex 2010-12 vrai" xfId="2106" xr:uid="{00000000-0005-0000-0000-00004D080000}"/>
    <cellStyle name="s_P_L_Ratios_B_Reporting Completel 0802  V4" xfId="2107" xr:uid="{00000000-0005-0000-0000-00004E080000}"/>
    <cellStyle name="s_P_L_Ratios_B_Reporting Completel 0802  V4_P&amp;L DivOp_Reforecast0410 vEP" xfId="2108" xr:uid="{00000000-0005-0000-0000-00004F080000}"/>
    <cellStyle name="s_P_L_Ratios_B_Reporting Investors Completel July 2008" xfId="2109" xr:uid="{00000000-0005-0000-0000-000050080000}"/>
    <cellStyle name="s_P_L_Ratios_B_Xl0000004" xfId="2110" xr:uid="{00000000-0005-0000-0000-000051080000}"/>
    <cellStyle name="s_P_L_Ratios_B_Ypso Financial Budget" xfId="2111" xr:uid="{00000000-0005-0000-0000-000052080000}"/>
    <cellStyle name="s_P_L_Ratios_B_Ypso Financial Budget_Xl0000004" xfId="2112" xr:uid="{00000000-0005-0000-0000-000053080000}"/>
    <cellStyle name="s_P_L_Ratios_P&amp;L DivOp_Reforecast0410 vEP" xfId="2113" xr:uid="{00000000-0005-0000-0000-000054080000}"/>
    <cellStyle name="s_P_L_Ratios_P&amp;L DivOp_Reforecast0410_27102010" xfId="2114" xr:uid="{00000000-0005-0000-0000-000055080000}"/>
    <cellStyle name="s_P_L_Ratios_Reporting capex 2009-11" xfId="2115" xr:uid="{00000000-0005-0000-0000-000056080000}"/>
    <cellStyle name="s_P_L_Ratios_Reporting capex 2009-12" xfId="2116" xr:uid="{00000000-0005-0000-0000-000057080000}"/>
    <cellStyle name="s_P_L_Ratios_Reporting capex 2010-04" xfId="2117" xr:uid="{00000000-0005-0000-0000-000058080000}"/>
    <cellStyle name="s_P_L_Ratios_Reporting capex 2010-05" xfId="2118" xr:uid="{00000000-0005-0000-0000-000059080000}"/>
    <cellStyle name="s_P_L_Ratios_Reporting capex 2010-12" xfId="2119" xr:uid="{00000000-0005-0000-0000-00005A080000}"/>
    <cellStyle name="s_P_L_Ratios_Reporting capex 2010-12 2" xfId="2120" xr:uid="{00000000-0005-0000-0000-00005B080000}"/>
    <cellStyle name="s_P_L_Ratios_Reporting capex 2010-12 vrai" xfId="2121" xr:uid="{00000000-0005-0000-0000-00005C080000}"/>
    <cellStyle name="s_P_L_Ratios_Reporting Completel 0802  V4" xfId="2122" xr:uid="{00000000-0005-0000-0000-00005D080000}"/>
    <cellStyle name="s_P_L_Ratios_Reporting Completel 0802  V4_P&amp;L DivOp_Reforecast0410 vEP" xfId="2123" xr:uid="{00000000-0005-0000-0000-00005E080000}"/>
    <cellStyle name="s_P_L_Ratios_Reporting Investors Completel July 2008" xfId="2124" xr:uid="{00000000-0005-0000-0000-00005F080000}"/>
    <cellStyle name="s_P_L_Ratios_Xl0000004" xfId="2125" xr:uid="{00000000-0005-0000-0000-000060080000}"/>
    <cellStyle name="s_P_L_Ratios_Ypso Financial Budget" xfId="2126" xr:uid="{00000000-0005-0000-0000-000061080000}"/>
    <cellStyle name="s_P_L_Ratios_Ypso Financial Budget_Xl0000004" xfId="2127" xr:uid="{00000000-0005-0000-0000-000062080000}"/>
    <cellStyle name="s_Reporting capex 2009-11" xfId="2128" xr:uid="{00000000-0005-0000-0000-000063080000}"/>
    <cellStyle name="s_Reporting capex 2009-12" xfId="2129" xr:uid="{00000000-0005-0000-0000-000064080000}"/>
    <cellStyle name="s_Reporting capex 2010-04" xfId="2130" xr:uid="{00000000-0005-0000-0000-000065080000}"/>
    <cellStyle name="s_Reporting capex 2010-05" xfId="2131" xr:uid="{00000000-0005-0000-0000-000066080000}"/>
    <cellStyle name="s_Reporting capex 2010-12" xfId="2132" xr:uid="{00000000-0005-0000-0000-000067080000}"/>
    <cellStyle name="s_Reporting capex 2010-12 2" xfId="2133" xr:uid="{00000000-0005-0000-0000-000068080000}"/>
    <cellStyle name="s_Reporting capex 2010-12 vrai" xfId="2134" xr:uid="{00000000-0005-0000-0000-000069080000}"/>
    <cellStyle name="s_Reporting Completel 0802  V4" xfId="2135" xr:uid="{00000000-0005-0000-0000-00006A080000}"/>
    <cellStyle name="s_Reporting Completel 0802  V4_P&amp;L DivOp_Reforecast0410 vEP" xfId="2136" xr:uid="{00000000-0005-0000-0000-00006B080000}"/>
    <cellStyle name="s_Reporting Investors Completel July 2008" xfId="2137" xr:uid="{00000000-0005-0000-0000-00006C080000}"/>
    <cellStyle name="s_S_By_S" xfId="2138" xr:uid="{00000000-0005-0000-0000-00006D080000}"/>
    <cellStyle name="s_S_By_S_2010- Ypso Budget Operational Model v2" xfId="2139" xr:uid="{00000000-0005-0000-0000-00006E080000}"/>
    <cellStyle name="s_S_By_S_2010- Ypso Budget Operational Model v2_Xl0000004" xfId="2140" xr:uid="{00000000-0005-0000-0000-00006F080000}"/>
    <cellStyle name="s_S_By_S_2010- Ypso Forecast" xfId="2141" xr:uid="{00000000-0005-0000-0000-000070080000}"/>
    <cellStyle name="s_S_By_S_2010- Ypso Forecast_modifDivOp27102010" xfId="2142" xr:uid="{00000000-0005-0000-0000-000071080000}"/>
    <cellStyle name="s_S_By_S_P&amp;L DivOp_Reforecast0410 vEP" xfId="2143" xr:uid="{00000000-0005-0000-0000-000072080000}"/>
    <cellStyle name="s_S_By_S_P&amp;L DivOp_Reforecast0410_27102010" xfId="2144" xr:uid="{00000000-0005-0000-0000-000073080000}"/>
    <cellStyle name="s_S_By_S_Reporting capex 2009-11" xfId="2145" xr:uid="{00000000-0005-0000-0000-000074080000}"/>
    <cellStyle name="s_S_By_S_Reporting capex 2009-12" xfId="2146" xr:uid="{00000000-0005-0000-0000-000075080000}"/>
    <cellStyle name="s_S_By_S_Reporting capex 2010-04" xfId="2147" xr:uid="{00000000-0005-0000-0000-000076080000}"/>
    <cellStyle name="s_S_By_S_Reporting capex 2010-05" xfId="2148" xr:uid="{00000000-0005-0000-0000-000077080000}"/>
    <cellStyle name="s_S_By_S_Reporting capex 2010-12" xfId="2149" xr:uid="{00000000-0005-0000-0000-000078080000}"/>
    <cellStyle name="s_S_By_S_Reporting capex 2010-12 2" xfId="2150" xr:uid="{00000000-0005-0000-0000-000079080000}"/>
    <cellStyle name="s_S_By_S_Reporting capex 2010-12 vrai" xfId="2151" xr:uid="{00000000-0005-0000-0000-00007A080000}"/>
    <cellStyle name="s_S_By_S_Reporting Completel 0802  V4" xfId="2152" xr:uid="{00000000-0005-0000-0000-00007B080000}"/>
    <cellStyle name="s_S_By_S_Reporting Completel 0802  V4_P&amp;L DivOp_Reforecast0410 vEP" xfId="2153" xr:uid="{00000000-0005-0000-0000-00007C080000}"/>
    <cellStyle name="s_S_By_S_Reporting Investors Completel July 2008" xfId="2154" xr:uid="{00000000-0005-0000-0000-00007D080000}"/>
    <cellStyle name="s_S_By_S_Xl0000004" xfId="2155" xr:uid="{00000000-0005-0000-0000-00007E080000}"/>
    <cellStyle name="s_S_By_S_Ypso Financial Budget" xfId="2156" xr:uid="{00000000-0005-0000-0000-00007F080000}"/>
    <cellStyle name="s_S_By_S_Ypso Financial Budget_Xl0000004" xfId="2157" xr:uid="{00000000-0005-0000-0000-000080080000}"/>
    <cellStyle name="s_Sheet5" xfId="2158" xr:uid="{00000000-0005-0000-0000-000081080000}"/>
    <cellStyle name="s_Sheet5_2010- Ypso Budget Operational Model v2" xfId="2159" xr:uid="{00000000-0005-0000-0000-000082080000}"/>
    <cellStyle name="s_Sheet5_2010- Ypso Budget Operational Model v2_Xl0000004" xfId="2160" xr:uid="{00000000-0005-0000-0000-000083080000}"/>
    <cellStyle name="s_Sheet5_2010- Ypso Forecast" xfId="2161" xr:uid="{00000000-0005-0000-0000-000084080000}"/>
    <cellStyle name="s_Sheet5_2010- Ypso Forecast_modifDivOp27102010" xfId="2162" xr:uid="{00000000-0005-0000-0000-000085080000}"/>
    <cellStyle name="s_Sheet5_P&amp;L DivOp_Reforecast0410 vEP" xfId="2163" xr:uid="{00000000-0005-0000-0000-000086080000}"/>
    <cellStyle name="s_Sheet5_P&amp;L DivOp_Reforecast0410_27102010" xfId="2164" xr:uid="{00000000-0005-0000-0000-000087080000}"/>
    <cellStyle name="s_Sheet5_Reporting capex 2009-11" xfId="2165" xr:uid="{00000000-0005-0000-0000-000088080000}"/>
    <cellStyle name="s_Sheet5_Reporting capex 2009-12" xfId="2166" xr:uid="{00000000-0005-0000-0000-000089080000}"/>
    <cellStyle name="s_Sheet5_Reporting capex 2010-04" xfId="2167" xr:uid="{00000000-0005-0000-0000-00008A080000}"/>
    <cellStyle name="s_Sheet5_Reporting capex 2010-05" xfId="2168" xr:uid="{00000000-0005-0000-0000-00008B080000}"/>
    <cellStyle name="s_Sheet5_Reporting capex 2010-12" xfId="2169" xr:uid="{00000000-0005-0000-0000-00008C080000}"/>
    <cellStyle name="s_Sheet5_Reporting capex 2010-12 2" xfId="2170" xr:uid="{00000000-0005-0000-0000-00008D080000}"/>
    <cellStyle name="s_Sheet5_Reporting capex 2010-12 vrai" xfId="2171" xr:uid="{00000000-0005-0000-0000-00008E080000}"/>
    <cellStyle name="s_Sheet5_Reporting Completel 0802  V4" xfId="2172" xr:uid="{00000000-0005-0000-0000-00008F080000}"/>
    <cellStyle name="s_Sheet5_Reporting Completel 0802  V4_P&amp;L DivOp_Reforecast0410 vEP" xfId="2173" xr:uid="{00000000-0005-0000-0000-000090080000}"/>
    <cellStyle name="s_Sheet5_Reporting Investors Completel July 2008" xfId="2174" xr:uid="{00000000-0005-0000-0000-000091080000}"/>
    <cellStyle name="s_Sheet5_Xl0000004" xfId="2175" xr:uid="{00000000-0005-0000-0000-000092080000}"/>
    <cellStyle name="s_Sheet5_Ypso Financial Budget" xfId="2176" xr:uid="{00000000-0005-0000-0000-000093080000}"/>
    <cellStyle name="s_Sheet5_Ypso Financial Budget_Xl0000004" xfId="2177" xr:uid="{00000000-0005-0000-0000-000094080000}"/>
    <cellStyle name="s_Valuation " xfId="2178" xr:uid="{00000000-0005-0000-0000-000095080000}"/>
    <cellStyle name="s_Valuation _2010- Ypso Budget Operational Model v2" xfId="2179" xr:uid="{00000000-0005-0000-0000-000096080000}"/>
    <cellStyle name="s_Valuation _2010- Ypso Budget Operational Model v2_Xl0000004" xfId="2180" xr:uid="{00000000-0005-0000-0000-000097080000}"/>
    <cellStyle name="s_Valuation _2010- Ypso Forecast" xfId="2181" xr:uid="{00000000-0005-0000-0000-000098080000}"/>
    <cellStyle name="s_Valuation _2010- Ypso Forecast_modifDivOp27102010" xfId="2182" xr:uid="{00000000-0005-0000-0000-000099080000}"/>
    <cellStyle name="s_Valuation _P&amp;L DivOp_Reforecast0410 vEP" xfId="2183" xr:uid="{00000000-0005-0000-0000-00009A080000}"/>
    <cellStyle name="s_Valuation _P&amp;L DivOp_Reforecast0410_27102010" xfId="2184" xr:uid="{00000000-0005-0000-0000-00009B080000}"/>
    <cellStyle name="s_Valuation _Reporting capex 2009-11" xfId="2185" xr:uid="{00000000-0005-0000-0000-00009C080000}"/>
    <cellStyle name="s_Valuation _Reporting capex 2009-12" xfId="2186" xr:uid="{00000000-0005-0000-0000-00009D080000}"/>
    <cellStyle name="s_Valuation _Reporting capex 2010-04" xfId="2187" xr:uid="{00000000-0005-0000-0000-00009E080000}"/>
    <cellStyle name="s_Valuation _Reporting capex 2010-05" xfId="2188" xr:uid="{00000000-0005-0000-0000-00009F080000}"/>
    <cellStyle name="s_Valuation _Reporting capex 2010-12" xfId="2189" xr:uid="{00000000-0005-0000-0000-0000A0080000}"/>
    <cellStyle name="s_Valuation _Reporting capex 2010-12 2" xfId="2190" xr:uid="{00000000-0005-0000-0000-0000A1080000}"/>
    <cellStyle name="s_Valuation _Reporting capex 2010-12 vrai" xfId="2191" xr:uid="{00000000-0005-0000-0000-0000A2080000}"/>
    <cellStyle name="s_Valuation _Reporting Completel 0802  V4" xfId="2192" xr:uid="{00000000-0005-0000-0000-0000A3080000}"/>
    <cellStyle name="s_Valuation _Reporting Completel 0802  V4_P&amp;L DivOp_Reforecast0410 vEP" xfId="2193" xr:uid="{00000000-0005-0000-0000-0000A4080000}"/>
    <cellStyle name="s_Valuation _Reporting Investors Completel July 2008" xfId="2194" xr:uid="{00000000-0005-0000-0000-0000A5080000}"/>
    <cellStyle name="s_Valuation _Xl0000004" xfId="2195" xr:uid="{00000000-0005-0000-0000-0000A6080000}"/>
    <cellStyle name="s_Valuation _Ypso Financial Budget" xfId="2196" xr:uid="{00000000-0005-0000-0000-0000A7080000}"/>
    <cellStyle name="s_Valuation _Ypso Financial Budget_Xl0000004" xfId="2197" xr:uid="{00000000-0005-0000-0000-0000A8080000}"/>
    <cellStyle name="s_Xl0000004" xfId="2198" xr:uid="{00000000-0005-0000-0000-0000A9080000}"/>
    <cellStyle name="s_Ypso Financial Budget" xfId="2199" xr:uid="{00000000-0005-0000-0000-0000AA080000}"/>
    <cellStyle name="s_Ypso Financial Budget_Xl0000004" xfId="2200" xr:uid="{00000000-0005-0000-0000-0000AB080000}"/>
    <cellStyle name="Salomon Logo" xfId="2201" xr:uid="{00000000-0005-0000-0000-0000AC080000}"/>
    <cellStyle name="SAPBEXHLevel1" xfId="2202" xr:uid="{00000000-0005-0000-0000-0000AD080000}"/>
    <cellStyle name="SAPBEXstdData" xfId="2203" xr:uid="{00000000-0005-0000-0000-0000AE080000}"/>
    <cellStyle name="Satisfaisant 2" xfId="2204" xr:uid="{00000000-0005-0000-0000-0000AF080000}"/>
    <cellStyle name="Schlecht" xfId="2205" xr:uid="{00000000-0005-0000-0000-0000B0080000}"/>
    <cellStyle name="ScotchRule" xfId="2206" xr:uid="{00000000-0005-0000-0000-0000B1080000}"/>
    <cellStyle name="ScripFactor" xfId="2207" xr:uid="{00000000-0005-0000-0000-0000B2080000}"/>
    <cellStyle name="Section Number" xfId="2208" xr:uid="{00000000-0005-0000-0000-0000B3080000}"/>
    <cellStyle name="Section Title" xfId="2209" xr:uid="{00000000-0005-0000-0000-0000B4080000}"/>
    <cellStyle name="SectionHeading" xfId="2210" xr:uid="{00000000-0005-0000-0000-0000B5080000}"/>
    <cellStyle name="sensibilit?" xfId="2211" xr:uid="{00000000-0005-0000-0000-0000B6080000}"/>
    <cellStyle name="sensibilité" xfId="2212" xr:uid="{00000000-0005-0000-0000-0000B7080000}"/>
    <cellStyle name="Shaded" xfId="2213" xr:uid="{00000000-0005-0000-0000-0000B8080000}"/>
    <cellStyle name="Shading" xfId="2214" xr:uid="{00000000-0005-0000-0000-0000B9080000}"/>
    <cellStyle name="Sheet Heading" xfId="2215" xr:uid="{00000000-0005-0000-0000-0000BA080000}"/>
    <cellStyle name="Single Accounting" xfId="2216" xr:uid="{00000000-0005-0000-0000-0000BB080000}"/>
    <cellStyle name="Small Cost" xfId="2217" xr:uid="{00000000-0005-0000-0000-0000BC080000}"/>
    <cellStyle name="Small Currency" xfId="2218" xr:uid="{00000000-0005-0000-0000-0000BD080000}"/>
    <cellStyle name="Small Number" xfId="2219" xr:uid="{00000000-0005-0000-0000-0000BE080000}"/>
    <cellStyle name="Small Percentage" xfId="2220" xr:uid="{00000000-0005-0000-0000-0000BF080000}"/>
    <cellStyle name="Sortie 2" xfId="2221" xr:uid="{00000000-0005-0000-0000-0000C0080000}"/>
    <cellStyle name="Standaard_PL détaillé Coditel Bel 09 2007" xfId="2222" xr:uid="{00000000-0005-0000-0000-0000C1080000}"/>
    <cellStyle name="Standard 2" xfId="2383" xr:uid="{00000000-0005-0000-0000-0000C2080000}"/>
    <cellStyle name="Standard_7.2.3. CAPEX" xfId="2223" xr:uid="{00000000-0005-0000-0000-0000C3080000}"/>
    <cellStyle name="STYL0 - Stile1" xfId="2224" xr:uid="{00000000-0005-0000-0000-0000C4080000}"/>
    <cellStyle name="STYL1 - Stile2" xfId="2225" xr:uid="{00000000-0005-0000-0000-0000C5080000}"/>
    <cellStyle name="STYL2 - Stile3" xfId="2226" xr:uid="{00000000-0005-0000-0000-0000C6080000}"/>
    <cellStyle name="STYL3 - Stile4" xfId="2227" xr:uid="{00000000-0005-0000-0000-0000C7080000}"/>
    <cellStyle name="STYL4 - Stile5" xfId="2228" xr:uid="{00000000-0005-0000-0000-0000C8080000}"/>
    <cellStyle name="STYL5 - Stile6" xfId="2229" xr:uid="{00000000-0005-0000-0000-0000C9080000}"/>
    <cellStyle name="STYL6 - Stile7" xfId="2230" xr:uid="{00000000-0005-0000-0000-0000CA080000}"/>
    <cellStyle name="STYL7 - Stile8" xfId="2231" xr:uid="{00000000-0005-0000-0000-0000CB080000}"/>
    <cellStyle name="Style 1" xfId="2232" xr:uid="{00000000-0005-0000-0000-0000CC080000}"/>
    <cellStyle name="Style 1 2" xfId="2233" xr:uid="{00000000-0005-0000-0000-0000CD080000}"/>
    <cellStyle name="Style 10" xfId="2234" xr:uid="{00000000-0005-0000-0000-0000CE080000}"/>
    <cellStyle name="Style 11" xfId="2235" xr:uid="{00000000-0005-0000-0000-0000CF080000}"/>
    <cellStyle name="Style 12" xfId="2236" xr:uid="{00000000-0005-0000-0000-0000D0080000}"/>
    <cellStyle name="Style 13" xfId="2237" xr:uid="{00000000-0005-0000-0000-0000D1080000}"/>
    <cellStyle name="Style 14" xfId="2238" xr:uid="{00000000-0005-0000-0000-0000D2080000}"/>
    <cellStyle name="Style 15" xfId="2239" xr:uid="{00000000-0005-0000-0000-0000D3080000}"/>
    <cellStyle name="Style 16" xfId="2240" xr:uid="{00000000-0005-0000-0000-0000D4080000}"/>
    <cellStyle name="Style 17" xfId="2241" xr:uid="{00000000-0005-0000-0000-0000D5080000}"/>
    <cellStyle name="Style 2" xfId="2242" xr:uid="{00000000-0005-0000-0000-0000D6080000}"/>
    <cellStyle name="Style 3" xfId="2243" xr:uid="{00000000-0005-0000-0000-0000D7080000}"/>
    <cellStyle name="Style 4" xfId="2244" xr:uid="{00000000-0005-0000-0000-0000D8080000}"/>
    <cellStyle name="Style 5" xfId="2245" xr:uid="{00000000-0005-0000-0000-0000D9080000}"/>
    <cellStyle name="Style 6" xfId="2246" xr:uid="{00000000-0005-0000-0000-0000DA080000}"/>
    <cellStyle name="Style 7" xfId="2247" xr:uid="{00000000-0005-0000-0000-0000DB080000}"/>
    <cellStyle name="Style 8" xfId="2248" xr:uid="{00000000-0005-0000-0000-0000DC080000}"/>
    <cellStyle name="Style 9" xfId="2249" xr:uid="{00000000-0005-0000-0000-0000DD080000}"/>
    <cellStyle name="Subtitle" xfId="2250" xr:uid="{00000000-0005-0000-0000-0000DE080000}"/>
    <cellStyle name="Subtotal" xfId="2251" xr:uid="{00000000-0005-0000-0000-0000DF080000}"/>
    <cellStyle name="Sub-total row" xfId="2252" xr:uid="{00000000-0005-0000-0000-0000E0080000}"/>
    <cellStyle name="Subtotal_Reporting Completel 0802  V4" xfId="2253" xr:uid="{00000000-0005-0000-0000-0000E1080000}"/>
    <cellStyle name="Sum" xfId="2254" xr:uid="{00000000-0005-0000-0000-0000E2080000}"/>
    <cellStyle name="Summe" xfId="2255" xr:uid="{00000000-0005-0000-0000-0000E3080000}"/>
    <cellStyle name="Százalék_Opex assumptions by the banks" xfId="2256" xr:uid="{00000000-0005-0000-0000-0000E4080000}"/>
    <cellStyle name="t" xfId="2257" xr:uid="{00000000-0005-0000-0000-0000E5080000}"/>
    <cellStyle name="t_2010- Ypso Forecast" xfId="2258" xr:uid="{00000000-0005-0000-0000-0000E6080000}"/>
    <cellStyle name="t_2010- Ypso Forecast_modifDivOp27102010" xfId="2259" xr:uid="{00000000-0005-0000-0000-0000E7080000}"/>
    <cellStyle name="t_2010- Ypso Forecast_P&amp;L DivOp_Reforecast0410 vEP" xfId="2260" xr:uid="{00000000-0005-0000-0000-0000E8080000}"/>
    <cellStyle name="t_Manager" xfId="2261" xr:uid="{00000000-0005-0000-0000-0000E9080000}"/>
    <cellStyle name="t_Manager_2010- Ypso Forecast" xfId="2262" xr:uid="{00000000-0005-0000-0000-0000EA080000}"/>
    <cellStyle name="t_Manager_2010- Ypso Forecast_modifDivOp27102010" xfId="2263" xr:uid="{00000000-0005-0000-0000-0000EB080000}"/>
    <cellStyle name="t_Manager_2010- Ypso Forecast_P&amp;L DivOp_Reforecast0410 vEP" xfId="2264" xr:uid="{00000000-0005-0000-0000-0000EC080000}"/>
    <cellStyle name="t_Manager_P&amp;L DivOp_Reforecast0410_27102010" xfId="2265" xr:uid="{00000000-0005-0000-0000-0000ED080000}"/>
    <cellStyle name="t_Manager_Reporting Completel 0802  V4" xfId="2266" xr:uid="{00000000-0005-0000-0000-0000EE080000}"/>
    <cellStyle name="t_Manager_Reporting Investors Completel July 2008" xfId="2267" xr:uid="{00000000-0005-0000-0000-0000EF080000}"/>
    <cellStyle name="t_Manager_Reporting Investors Completel July 2008_P&amp;L DivOp_Reforecast0410 vEP" xfId="2268" xr:uid="{00000000-0005-0000-0000-0000F0080000}"/>
    <cellStyle name="t_Manager_Xl0000004" xfId="2269" xr:uid="{00000000-0005-0000-0000-0000F1080000}"/>
    <cellStyle name="t_Manager_Ypso Financial Budget" xfId="2270" xr:uid="{00000000-0005-0000-0000-0000F2080000}"/>
    <cellStyle name="t_Manager_Ypso Financial Budget_P&amp;L DivOp_Reforecast0410 vEP" xfId="2271" xr:uid="{00000000-0005-0000-0000-0000F3080000}"/>
    <cellStyle name="t_Manager_Ypso Financial Budget_Xl0000004" xfId="2272" xr:uid="{00000000-0005-0000-0000-0000F4080000}"/>
    <cellStyle name="t_P&amp;L DivOp_Reforecast0410_27102010" xfId="2273" xr:uid="{00000000-0005-0000-0000-0000F5080000}"/>
    <cellStyle name="t_Reporting Completel 0802  V4" xfId="2274" xr:uid="{00000000-0005-0000-0000-0000F6080000}"/>
    <cellStyle name="t_Reporting Investors Completel July 2008" xfId="2275" xr:uid="{00000000-0005-0000-0000-0000F7080000}"/>
    <cellStyle name="t_Reporting Investors Completel July 2008_P&amp;L DivOp_Reforecast0410 vEP" xfId="2276" xr:uid="{00000000-0005-0000-0000-0000F8080000}"/>
    <cellStyle name="t_Xl0000004" xfId="2277" xr:uid="{00000000-0005-0000-0000-0000F9080000}"/>
    <cellStyle name="t_Ypso Financial Budget" xfId="2278" xr:uid="{00000000-0005-0000-0000-0000FA080000}"/>
    <cellStyle name="t_Ypso Financial Budget_P&amp;L DivOp_Reforecast0410 vEP" xfId="2279" xr:uid="{00000000-0005-0000-0000-0000FB080000}"/>
    <cellStyle name="t_Ypso Financial Budget_Xl0000004" xfId="2280" xr:uid="{00000000-0005-0000-0000-0000FC080000}"/>
    <cellStyle name="Tab" xfId="2281" xr:uid="{00000000-0005-0000-0000-0000FD080000}"/>
    <cellStyle name="Table Col Head" xfId="2282" xr:uid="{00000000-0005-0000-0000-0000FE080000}"/>
    <cellStyle name="Table finish row" xfId="2283" xr:uid="{00000000-0005-0000-0000-0000FF080000}"/>
    <cellStyle name="Table Head" xfId="2284" xr:uid="{00000000-0005-0000-0000-000000090000}"/>
    <cellStyle name="Table Head Aligned" xfId="2285" xr:uid="{00000000-0005-0000-0000-000001090000}"/>
    <cellStyle name="Table Head Blue" xfId="2286" xr:uid="{00000000-0005-0000-0000-000002090000}"/>
    <cellStyle name="Table Head Green" xfId="2287" xr:uid="{00000000-0005-0000-0000-000003090000}"/>
    <cellStyle name="Table Head_010402 financing" xfId="2288" xr:uid="{00000000-0005-0000-0000-000004090000}"/>
    <cellStyle name="Table Heading" xfId="2289" xr:uid="{00000000-0005-0000-0000-000005090000}"/>
    <cellStyle name="Table shading" xfId="2290" xr:uid="{00000000-0005-0000-0000-000006090000}"/>
    <cellStyle name="Table Source" xfId="2291" xr:uid="{00000000-0005-0000-0000-000007090000}"/>
    <cellStyle name="Table Sub Head" xfId="2292" xr:uid="{00000000-0005-0000-0000-000008090000}"/>
    <cellStyle name="Table Text" xfId="2293" xr:uid="{00000000-0005-0000-0000-000009090000}"/>
    <cellStyle name="Table Title" xfId="2294" xr:uid="{00000000-0005-0000-0000-00000A090000}"/>
    <cellStyle name="Table unfinish row" xfId="2295" xr:uid="{00000000-0005-0000-0000-00000B090000}"/>
    <cellStyle name="Table Units" xfId="2296" xr:uid="{00000000-0005-0000-0000-00000C090000}"/>
    <cellStyle name="Table unshading" xfId="2297" xr:uid="{00000000-0005-0000-0000-00000D090000}"/>
    <cellStyle name="Table_Header" xfId="2298" xr:uid="{00000000-0005-0000-0000-00000E090000}"/>
    <cellStyle name="TableBorder" xfId="2299" xr:uid="{00000000-0005-0000-0000-00000F090000}"/>
    <cellStyle name="Tariff" xfId="2300" xr:uid="{00000000-0005-0000-0000-000010090000}"/>
    <cellStyle name="test a style" xfId="2301" xr:uid="{00000000-0005-0000-0000-000011090000}"/>
    <cellStyle name="Text" xfId="2302" xr:uid="{00000000-0005-0000-0000-000012090000}"/>
    <cellStyle name="Text 1" xfId="2303" xr:uid="{00000000-0005-0000-0000-000013090000}"/>
    <cellStyle name="Text 2" xfId="2304" xr:uid="{00000000-0005-0000-0000-000014090000}"/>
    <cellStyle name="Text Head 1" xfId="2305" xr:uid="{00000000-0005-0000-0000-000015090000}"/>
    <cellStyle name="Text Head 2" xfId="2306" xr:uid="{00000000-0005-0000-0000-000016090000}"/>
    <cellStyle name="Text Indent 1" xfId="2307" xr:uid="{00000000-0005-0000-0000-000017090000}"/>
    <cellStyle name="Text Indent 2" xfId="2308" xr:uid="{00000000-0005-0000-0000-000018090000}"/>
    <cellStyle name="Text_Analysys - Completel synergies review - 09-08-06" xfId="2309" xr:uid="{00000000-0005-0000-0000-000019090000}"/>
    <cellStyle name="Texte explicatif 2" xfId="2310" xr:uid="{00000000-0005-0000-0000-00001A090000}"/>
    <cellStyle name="Time Series" xfId="2311" xr:uid="{00000000-0005-0000-0000-00001B090000}"/>
    <cellStyle name="Times 10" xfId="2312" xr:uid="{00000000-0005-0000-0000-00001C090000}"/>
    <cellStyle name="Times 12" xfId="2313" xr:uid="{00000000-0005-0000-0000-00001D090000}"/>
    <cellStyle name="Title Heading" xfId="2314" xr:uid="{00000000-0005-0000-0000-00001E090000}"/>
    <cellStyle name="Titles" xfId="2315" xr:uid="{00000000-0005-0000-0000-00001F090000}"/>
    <cellStyle name="Titre 2" xfId="2316" xr:uid="{00000000-0005-0000-0000-000020090000}"/>
    <cellStyle name="Titre 1 2" xfId="2317" xr:uid="{00000000-0005-0000-0000-000021090000}"/>
    <cellStyle name="Titre 2 2" xfId="2318" xr:uid="{00000000-0005-0000-0000-000022090000}"/>
    <cellStyle name="Titre 3 2" xfId="2319" xr:uid="{00000000-0005-0000-0000-000023090000}"/>
    <cellStyle name="Titre 4 2" xfId="2320" xr:uid="{00000000-0005-0000-0000-000024090000}"/>
    <cellStyle name="TOC 1" xfId="2321" xr:uid="{00000000-0005-0000-0000-000025090000}"/>
    <cellStyle name="TOC 2" xfId="2322" xr:uid="{00000000-0005-0000-0000-000026090000}"/>
    <cellStyle name="Top_Double_Bottom" xfId="2323" xr:uid="{00000000-0005-0000-0000-000027090000}"/>
    <cellStyle name="Total 2" xfId="2324" xr:uid="{00000000-0005-0000-0000-000028090000}"/>
    <cellStyle name="Total row" xfId="2325" xr:uid="{00000000-0005-0000-0000-000029090000}"/>
    <cellStyle name="u" xfId="2326" xr:uid="{00000000-0005-0000-0000-00002A090000}"/>
    <cellStyle name="u_2010- Ypso Forecast" xfId="2327" xr:uid="{00000000-0005-0000-0000-00002B090000}"/>
    <cellStyle name="u_2010- Ypso Forecast_modifDivOp27102010" xfId="2328" xr:uid="{00000000-0005-0000-0000-00002C090000}"/>
    <cellStyle name="u_2010- Ypso Forecast_P&amp;L DivOp_Reforecast0410 vEP" xfId="2329" xr:uid="{00000000-0005-0000-0000-00002D090000}"/>
    <cellStyle name="u_P&amp;L DivOp_Reforecast0410_27102010" xfId="2330" xr:uid="{00000000-0005-0000-0000-00002E090000}"/>
    <cellStyle name="u_Ypso Financial Budget" xfId="2331" xr:uid="{00000000-0005-0000-0000-00002F090000}"/>
    <cellStyle name="u_Ypso Financial Budget_P&amp;L DivOp_Reforecast0410 vEP" xfId="2332" xr:uid="{00000000-0005-0000-0000-000030090000}"/>
    <cellStyle name="u_Ypso Financial Budget_Xl0000004" xfId="2333" xr:uid="{00000000-0005-0000-0000-000031090000}"/>
    <cellStyle name="Überschrift" xfId="2334" xr:uid="{00000000-0005-0000-0000-000032090000}"/>
    <cellStyle name="Überschrift 1" xfId="2335" xr:uid="{00000000-0005-0000-0000-000033090000}"/>
    <cellStyle name="Überschrift 2" xfId="2336" xr:uid="{00000000-0005-0000-0000-000034090000}"/>
    <cellStyle name="Überschrift 3" xfId="2337" xr:uid="{00000000-0005-0000-0000-000035090000}"/>
    <cellStyle name="Überschrift 4" xfId="2338" xr:uid="{00000000-0005-0000-0000-000036090000}"/>
    <cellStyle name="Underline_Single" xfId="2339" xr:uid="{00000000-0005-0000-0000-000037090000}"/>
    <cellStyle name="Unhighlight" xfId="2340" xr:uid="{00000000-0005-0000-0000-000038090000}"/>
    <cellStyle name="Untotal row" xfId="2341" xr:uid="{00000000-0005-0000-0000-000039090000}"/>
    <cellStyle name="Valuta (0)_Access Cost" xfId="2342" xr:uid="{00000000-0005-0000-0000-00003A090000}"/>
    <cellStyle name="Valuta_Access Cost" xfId="2343" xr:uid="{00000000-0005-0000-0000-00003B090000}"/>
    <cellStyle name="Vérification 2" xfId="2344" xr:uid="{00000000-0005-0000-0000-00003C090000}"/>
    <cellStyle name="Verknüpfte Zelle" xfId="2345" xr:uid="{00000000-0005-0000-0000-00003D090000}"/>
    <cellStyle name="Version Number" xfId="2346" xr:uid="{00000000-0005-0000-0000-00003E090000}"/>
    <cellStyle name="Währung [0]_Acquisition stats" xfId="2347" xr:uid="{00000000-0005-0000-0000-00003F090000}"/>
    <cellStyle name="Währung_Acquisition stats" xfId="2348" xr:uid="{00000000-0005-0000-0000-000040090000}"/>
    <cellStyle name="Warnender Text" xfId="2349" xr:uid="{00000000-0005-0000-0000-000041090000}"/>
    <cellStyle name="Warning" xfId="2350" xr:uid="{00000000-0005-0000-0000-000042090000}"/>
    <cellStyle name="web_ norma" xfId="2351" xr:uid="{00000000-0005-0000-0000-000043090000}"/>
    <cellStyle name="WP Header" xfId="2352" xr:uid="{00000000-0005-0000-0000-000044090000}"/>
    <cellStyle name="Year" xfId="2353" xr:uid="{00000000-0005-0000-0000-000045090000}"/>
    <cellStyle name="Years" xfId="2354" xr:uid="{00000000-0005-0000-0000-000046090000}"/>
    <cellStyle name="Yen" xfId="2355" xr:uid="{00000000-0005-0000-0000-000047090000}"/>
    <cellStyle name="Zelle überprüfen" xfId="2356" xr:uid="{00000000-0005-0000-0000-000048090000}"/>
    <cellStyle name="콤마 [0]_envelope_hz_03" xfId="2357" xr:uid="{00000000-0005-0000-0000-000049090000}"/>
    <cellStyle name="콤마_envelope_hz_03" xfId="2358" xr:uid="{00000000-0005-0000-0000-00004A090000}"/>
    <cellStyle name="통화 [0]_envelope_hz_03" xfId="2359" xr:uid="{00000000-0005-0000-0000-00004B090000}"/>
    <cellStyle name="통화_envelope_hz_03" xfId="2360" xr:uid="{00000000-0005-0000-0000-00004C090000}"/>
    <cellStyle name="표준_Market shares model_15-02-02 v21-1" xfId="2361" xr:uid="{00000000-0005-0000-0000-00004D090000}"/>
    <cellStyle name="千位[0]_laroux" xfId="2362" xr:uid="{00000000-0005-0000-0000-00004E090000}"/>
    <cellStyle name="千位_laroux" xfId="2363" xr:uid="{00000000-0005-0000-0000-00004F090000}"/>
    <cellStyle name="千分位[0]_laroux" xfId="2364" xr:uid="{00000000-0005-0000-0000-000050090000}"/>
    <cellStyle name="千分位_laroux" xfId="2365" xr:uid="{00000000-0005-0000-0000-000051090000}"/>
    <cellStyle name="常规_1585520030326011detail" xfId="2366" xr:uid="{00000000-0005-0000-0000-000052090000}"/>
    <cellStyle name="普通_laroux" xfId="2367" xr:uid="{00000000-0005-0000-0000-000053090000}"/>
  </cellStyles>
  <dxfs count="6">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mruColors>
      <color rgb="FFB3B3B3"/>
      <color rgb="FF595959"/>
      <color rgb="FFFFFF99"/>
      <color rgb="FF0000FF"/>
      <color rgb="FF99FFCC"/>
      <color rgb="FFFFFFCC"/>
      <color rgb="FFCCFFFF"/>
      <color rgb="FF99CCFF"/>
      <color rgb="FFB8CCE4"/>
      <color rgb="FF2053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6.xml"/><Relationship Id="rId21" Type="http://schemas.openxmlformats.org/officeDocument/2006/relationships/worksheet" Target="worksheets/sheet21.xml"/><Relationship Id="rId42" Type="http://schemas.openxmlformats.org/officeDocument/2006/relationships/externalLink" Target="externalLinks/externalLink21.xml"/><Relationship Id="rId63" Type="http://schemas.openxmlformats.org/officeDocument/2006/relationships/externalLink" Target="externalLinks/externalLink42.xml"/><Relationship Id="rId84" Type="http://schemas.openxmlformats.org/officeDocument/2006/relationships/externalLink" Target="externalLinks/externalLink63.xml"/><Relationship Id="rId138" Type="http://schemas.openxmlformats.org/officeDocument/2006/relationships/sheetMetadata" Target="metadata.xml"/><Relationship Id="rId107" Type="http://schemas.openxmlformats.org/officeDocument/2006/relationships/externalLink" Target="externalLinks/externalLink86.xml"/><Relationship Id="rId11" Type="http://schemas.openxmlformats.org/officeDocument/2006/relationships/worksheet" Target="worksheets/sheet11.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102" Type="http://schemas.openxmlformats.org/officeDocument/2006/relationships/externalLink" Target="externalLinks/externalLink81.xml"/><Relationship Id="rId123" Type="http://schemas.openxmlformats.org/officeDocument/2006/relationships/externalLink" Target="externalLinks/externalLink102.xml"/><Relationship Id="rId128" Type="http://schemas.openxmlformats.org/officeDocument/2006/relationships/externalLink" Target="externalLinks/externalLink107.xml"/><Relationship Id="rId5" Type="http://schemas.openxmlformats.org/officeDocument/2006/relationships/worksheet" Target="worksheets/sheet5.xml"/><Relationship Id="rId90" Type="http://schemas.openxmlformats.org/officeDocument/2006/relationships/externalLink" Target="externalLinks/externalLink69.xml"/><Relationship Id="rId95" Type="http://schemas.openxmlformats.org/officeDocument/2006/relationships/externalLink" Target="externalLinks/externalLink7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113" Type="http://schemas.openxmlformats.org/officeDocument/2006/relationships/externalLink" Target="externalLinks/externalLink92.xml"/><Relationship Id="rId118" Type="http://schemas.openxmlformats.org/officeDocument/2006/relationships/externalLink" Target="externalLinks/externalLink97.xml"/><Relationship Id="rId134" Type="http://schemas.openxmlformats.org/officeDocument/2006/relationships/externalLink" Target="externalLinks/externalLink113.xml"/><Relationship Id="rId139" Type="http://schemas.openxmlformats.org/officeDocument/2006/relationships/calcChain" Target="calcChain.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59" Type="http://schemas.openxmlformats.org/officeDocument/2006/relationships/externalLink" Target="externalLinks/externalLink38.xml"/><Relationship Id="rId103" Type="http://schemas.openxmlformats.org/officeDocument/2006/relationships/externalLink" Target="externalLinks/externalLink82.xml"/><Relationship Id="rId108" Type="http://schemas.openxmlformats.org/officeDocument/2006/relationships/externalLink" Target="externalLinks/externalLink87.xml"/><Relationship Id="rId124" Type="http://schemas.openxmlformats.org/officeDocument/2006/relationships/externalLink" Target="externalLinks/externalLink103.xml"/><Relationship Id="rId129" Type="http://schemas.openxmlformats.org/officeDocument/2006/relationships/externalLink" Target="externalLinks/externalLink108.xml"/><Relationship Id="rId54" Type="http://schemas.openxmlformats.org/officeDocument/2006/relationships/externalLink" Target="externalLinks/externalLink33.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91" Type="http://schemas.openxmlformats.org/officeDocument/2006/relationships/externalLink" Target="externalLinks/externalLink70.xml"/><Relationship Id="rId96" Type="http://schemas.openxmlformats.org/officeDocument/2006/relationships/externalLink" Target="externalLinks/externalLink75.xml"/><Relationship Id="rId14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49" Type="http://schemas.openxmlformats.org/officeDocument/2006/relationships/externalLink" Target="externalLinks/externalLink28.xml"/><Relationship Id="rId114" Type="http://schemas.openxmlformats.org/officeDocument/2006/relationships/externalLink" Target="externalLinks/externalLink93.xml"/><Relationship Id="rId119" Type="http://schemas.openxmlformats.org/officeDocument/2006/relationships/externalLink" Target="externalLinks/externalLink98.xml"/><Relationship Id="rId44" Type="http://schemas.openxmlformats.org/officeDocument/2006/relationships/externalLink" Target="externalLinks/externalLink23.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81" Type="http://schemas.openxmlformats.org/officeDocument/2006/relationships/externalLink" Target="externalLinks/externalLink60.xml"/><Relationship Id="rId86" Type="http://schemas.openxmlformats.org/officeDocument/2006/relationships/externalLink" Target="externalLinks/externalLink65.xml"/><Relationship Id="rId130" Type="http://schemas.openxmlformats.org/officeDocument/2006/relationships/externalLink" Target="externalLinks/externalLink109.xml"/><Relationship Id="rId135"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109" Type="http://schemas.openxmlformats.org/officeDocument/2006/relationships/externalLink" Target="externalLinks/externalLink88.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6" Type="http://schemas.openxmlformats.org/officeDocument/2006/relationships/externalLink" Target="externalLinks/externalLink55.xml"/><Relationship Id="rId97" Type="http://schemas.openxmlformats.org/officeDocument/2006/relationships/externalLink" Target="externalLinks/externalLink76.xml"/><Relationship Id="rId104" Type="http://schemas.openxmlformats.org/officeDocument/2006/relationships/externalLink" Target="externalLinks/externalLink83.xml"/><Relationship Id="rId120" Type="http://schemas.openxmlformats.org/officeDocument/2006/relationships/externalLink" Target="externalLinks/externalLink99.xml"/><Relationship Id="rId125" Type="http://schemas.openxmlformats.org/officeDocument/2006/relationships/externalLink" Target="externalLinks/externalLink104.xml"/><Relationship Id="rId141"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50.xml"/><Relationship Id="rId92" Type="http://schemas.openxmlformats.org/officeDocument/2006/relationships/externalLink" Target="externalLinks/externalLink71.xml"/><Relationship Id="rId2" Type="http://schemas.openxmlformats.org/officeDocument/2006/relationships/worksheet" Target="worksheets/sheet2.xml"/><Relationship Id="rId29" Type="http://schemas.openxmlformats.org/officeDocument/2006/relationships/externalLink" Target="externalLinks/externalLink8.xml"/><Relationship Id="rId24" Type="http://schemas.openxmlformats.org/officeDocument/2006/relationships/externalLink" Target="externalLinks/externalLink3.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66" Type="http://schemas.openxmlformats.org/officeDocument/2006/relationships/externalLink" Target="externalLinks/externalLink45.xml"/><Relationship Id="rId87" Type="http://schemas.openxmlformats.org/officeDocument/2006/relationships/externalLink" Target="externalLinks/externalLink66.xml"/><Relationship Id="rId110" Type="http://schemas.openxmlformats.org/officeDocument/2006/relationships/externalLink" Target="externalLinks/externalLink89.xml"/><Relationship Id="rId115" Type="http://schemas.openxmlformats.org/officeDocument/2006/relationships/externalLink" Target="externalLinks/externalLink94.xml"/><Relationship Id="rId131" Type="http://schemas.openxmlformats.org/officeDocument/2006/relationships/externalLink" Target="externalLinks/externalLink110.xml"/><Relationship Id="rId136" Type="http://schemas.openxmlformats.org/officeDocument/2006/relationships/styles" Target="styles.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56" Type="http://schemas.openxmlformats.org/officeDocument/2006/relationships/externalLink" Target="externalLinks/externalLink35.xml"/><Relationship Id="rId77" Type="http://schemas.openxmlformats.org/officeDocument/2006/relationships/externalLink" Target="externalLinks/externalLink56.xml"/><Relationship Id="rId100" Type="http://schemas.openxmlformats.org/officeDocument/2006/relationships/externalLink" Target="externalLinks/externalLink79.xml"/><Relationship Id="rId105" Type="http://schemas.openxmlformats.org/officeDocument/2006/relationships/externalLink" Target="externalLinks/externalLink84.xml"/><Relationship Id="rId126" Type="http://schemas.openxmlformats.org/officeDocument/2006/relationships/externalLink" Target="externalLinks/externalLink105.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93" Type="http://schemas.openxmlformats.org/officeDocument/2006/relationships/externalLink" Target="externalLinks/externalLink72.xml"/><Relationship Id="rId98" Type="http://schemas.openxmlformats.org/officeDocument/2006/relationships/externalLink" Target="externalLinks/externalLink77.xml"/><Relationship Id="rId121" Type="http://schemas.openxmlformats.org/officeDocument/2006/relationships/externalLink" Target="externalLinks/externalLink100.xml"/><Relationship Id="rId142"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4.xml"/><Relationship Id="rId46" Type="http://schemas.openxmlformats.org/officeDocument/2006/relationships/externalLink" Target="externalLinks/externalLink25.xml"/><Relationship Id="rId67" Type="http://schemas.openxmlformats.org/officeDocument/2006/relationships/externalLink" Target="externalLinks/externalLink46.xml"/><Relationship Id="rId116" Type="http://schemas.openxmlformats.org/officeDocument/2006/relationships/externalLink" Target="externalLinks/externalLink95.xml"/><Relationship Id="rId13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20.xml"/><Relationship Id="rId62" Type="http://schemas.openxmlformats.org/officeDocument/2006/relationships/externalLink" Target="externalLinks/externalLink41.xml"/><Relationship Id="rId83" Type="http://schemas.openxmlformats.org/officeDocument/2006/relationships/externalLink" Target="externalLinks/externalLink62.xml"/><Relationship Id="rId88" Type="http://schemas.openxmlformats.org/officeDocument/2006/relationships/externalLink" Target="externalLinks/externalLink67.xml"/><Relationship Id="rId111" Type="http://schemas.openxmlformats.org/officeDocument/2006/relationships/externalLink" Target="externalLinks/externalLink90.xml"/><Relationship Id="rId132" Type="http://schemas.openxmlformats.org/officeDocument/2006/relationships/externalLink" Target="externalLinks/externalLink111.xml"/><Relationship Id="rId15" Type="http://schemas.openxmlformats.org/officeDocument/2006/relationships/worksheet" Target="worksheets/sheet15.xml"/><Relationship Id="rId36" Type="http://schemas.openxmlformats.org/officeDocument/2006/relationships/externalLink" Target="externalLinks/externalLink15.xml"/><Relationship Id="rId57" Type="http://schemas.openxmlformats.org/officeDocument/2006/relationships/externalLink" Target="externalLinks/externalLink36.xml"/><Relationship Id="rId106" Type="http://schemas.openxmlformats.org/officeDocument/2006/relationships/externalLink" Target="externalLinks/externalLink85.xml"/><Relationship Id="rId127" Type="http://schemas.openxmlformats.org/officeDocument/2006/relationships/externalLink" Target="externalLinks/externalLink106.xml"/><Relationship Id="rId10" Type="http://schemas.openxmlformats.org/officeDocument/2006/relationships/worksheet" Target="worksheets/sheet10.xml"/><Relationship Id="rId31" Type="http://schemas.openxmlformats.org/officeDocument/2006/relationships/externalLink" Target="externalLinks/externalLink10.xml"/><Relationship Id="rId52" Type="http://schemas.openxmlformats.org/officeDocument/2006/relationships/externalLink" Target="externalLinks/externalLink31.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94" Type="http://schemas.openxmlformats.org/officeDocument/2006/relationships/externalLink" Target="externalLinks/externalLink73.xml"/><Relationship Id="rId99" Type="http://schemas.openxmlformats.org/officeDocument/2006/relationships/externalLink" Target="externalLinks/externalLink78.xml"/><Relationship Id="rId101" Type="http://schemas.openxmlformats.org/officeDocument/2006/relationships/externalLink" Target="externalLinks/externalLink80.xml"/><Relationship Id="rId122" Type="http://schemas.openxmlformats.org/officeDocument/2006/relationships/externalLink" Target="externalLinks/externalLink10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5.xml"/><Relationship Id="rId47" Type="http://schemas.openxmlformats.org/officeDocument/2006/relationships/externalLink" Target="externalLinks/externalLink26.xml"/><Relationship Id="rId68" Type="http://schemas.openxmlformats.org/officeDocument/2006/relationships/externalLink" Target="externalLinks/externalLink47.xml"/><Relationship Id="rId89" Type="http://schemas.openxmlformats.org/officeDocument/2006/relationships/externalLink" Target="externalLinks/externalLink68.xml"/><Relationship Id="rId112" Type="http://schemas.openxmlformats.org/officeDocument/2006/relationships/externalLink" Target="externalLinks/externalLink91.xml"/><Relationship Id="rId133" Type="http://schemas.openxmlformats.org/officeDocument/2006/relationships/externalLink" Target="externalLinks/externalLink112.xml"/><Relationship Id="rId16" Type="http://schemas.openxmlformats.org/officeDocument/2006/relationships/worksheet" Target="worksheets/sheet1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9.xml"/><Relationship Id="rId1" Type="http://schemas.microsoft.com/office/2011/relationships/chartStyle" Target="style9.xml"/></Relationships>
</file>

<file path=xl/charts/_rels/chart5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5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5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5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5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5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6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6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6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6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6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'Model also  old'!$A$90</c:f>
              <c:strCache>
                <c:ptCount val="1"/>
                <c:pt idx="0">
                  <c:v>TV</c:v>
                </c:pt>
              </c:strCache>
            </c:strRef>
          </c:tx>
          <c:spPr>
            <a:solidFill>
              <a:srgbClr val="000080"/>
            </a:solidFill>
            <a:ln w="25400">
              <a:noFill/>
            </a:ln>
          </c:spPr>
          <c:invertIfNegative val="0"/>
          <c:cat>
            <c:strRef>
              <c:f>'Model also  old'!$B$88:$O$88</c:f>
              <c:strCache>
                <c:ptCount val="8"/>
                <c:pt idx="0">
                  <c:v>2011A</c:v>
                </c:pt>
                <c:pt idx="1">
                  <c:v>2012A</c:v>
                </c:pt>
                <c:pt idx="2">
                  <c:v>2013A</c:v>
                </c:pt>
                <c:pt idx="3">
                  <c:v>2014A</c:v>
                </c:pt>
                <c:pt idx="4">
                  <c:v>PF 2015E</c:v>
                </c:pt>
                <c:pt idx="6">
                  <c:v>2016E</c:v>
                </c:pt>
                <c:pt idx="7">
                  <c:v>2017E</c:v>
                </c:pt>
              </c:strCache>
            </c:strRef>
          </c:cat>
          <c:val>
            <c:numRef>
              <c:f>'Model also  old'!$B$90:$O$90</c:f>
              <c:numCache>
                <c:formatCode>#,##0.0_);\(#,##0.0\);#,##0.0_);@_)</c:formatCode>
                <c:ptCount val="8"/>
                <c:pt idx="0">
                  <c:v>159.80000000000001</c:v>
                </c:pt>
                <c:pt idx="1">
                  <c:v>151.9</c:v>
                </c:pt>
                <c:pt idx="2">
                  <c:v>145</c:v>
                </c:pt>
                <c:pt idx="3">
                  <c:v>142.5</c:v>
                </c:pt>
                <c:pt idx="4">
                  <c:v>273.39999999999998</c:v>
                </c:pt>
                <c:pt idx="6">
                  <c:v>262.16818003851591</c:v>
                </c:pt>
                <c:pt idx="7">
                  <c:v>265.3165178313115</c:v>
                </c:pt>
              </c:numCache>
            </c:numRef>
          </c:val>
          <c:extLst>
            <c:ext xmlns:c16="http://schemas.microsoft.com/office/drawing/2014/chart" uri="{C3380CC4-5D6E-409C-BE32-E72D297353CC}">
              <c16:uniqueId val="{00000000-E53E-4AAF-B0F4-8A00A815FC35}"/>
            </c:ext>
          </c:extLst>
        </c:ser>
        <c:ser>
          <c:idx val="1"/>
          <c:order val="1"/>
          <c:tx>
            <c:strRef>
              <c:f>'Model also  old'!$A$91</c:f>
              <c:strCache>
                <c:ptCount val="1"/>
                <c:pt idx="0">
                  <c:v>Internet &amp; Telephony</c:v>
                </c:pt>
              </c:strCache>
            </c:strRef>
          </c:tx>
          <c:spPr>
            <a:solidFill>
              <a:srgbClr val="9999FF"/>
            </a:solidFill>
            <a:ln w="25400">
              <a:noFill/>
            </a:ln>
          </c:spPr>
          <c:invertIfNegative val="0"/>
          <c:cat>
            <c:strRef>
              <c:f>'Model also  old'!$B$88:$O$88</c:f>
              <c:strCache>
                <c:ptCount val="8"/>
                <c:pt idx="0">
                  <c:v>2011A</c:v>
                </c:pt>
                <c:pt idx="1">
                  <c:v>2012A</c:v>
                </c:pt>
                <c:pt idx="2">
                  <c:v>2013A</c:v>
                </c:pt>
                <c:pt idx="3">
                  <c:v>2014A</c:v>
                </c:pt>
                <c:pt idx="4">
                  <c:v>PF 2015E</c:v>
                </c:pt>
                <c:pt idx="6">
                  <c:v>2016E</c:v>
                </c:pt>
                <c:pt idx="7">
                  <c:v>2017E</c:v>
                </c:pt>
              </c:strCache>
            </c:strRef>
          </c:cat>
          <c:val>
            <c:numRef>
              <c:f>'Model also  old'!$B$91:$O$91</c:f>
              <c:numCache>
                <c:formatCode>#,##0.0_);\(#,##0.0\);#,##0.0_);@_)</c:formatCode>
                <c:ptCount val="8"/>
                <c:pt idx="0">
                  <c:v>27</c:v>
                </c:pt>
                <c:pt idx="1">
                  <c:v>32.299999999999997</c:v>
                </c:pt>
                <c:pt idx="2">
                  <c:v>41.6</c:v>
                </c:pt>
                <c:pt idx="3">
                  <c:v>50.4</c:v>
                </c:pt>
                <c:pt idx="4">
                  <c:v>116.1</c:v>
                </c:pt>
                <c:pt idx="6">
                  <c:v>130.60095569230768</c:v>
                </c:pt>
                <c:pt idx="7">
                  <c:v>146.20506350153843</c:v>
                </c:pt>
              </c:numCache>
            </c:numRef>
          </c:val>
          <c:extLst>
            <c:ext xmlns:c16="http://schemas.microsoft.com/office/drawing/2014/chart" uri="{C3380CC4-5D6E-409C-BE32-E72D297353CC}">
              <c16:uniqueId val="{00000001-E53E-4AAF-B0F4-8A00A815FC35}"/>
            </c:ext>
          </c:extLst>
        </c:ser>
        <c:ser>
          <c:idx val="2"/>
          <c:order val="2"/>
          <c:tx>
            <c:strRef>
              <c:f>'Model also  old'!$A$92</c:f>
              <c:strCache>
                <c:ptCount val="1"/>
                <c:pt idx="0">
                  <c:v>Other revenue</c:v>
                </c:pt>
              </c:strCache>
            </c:strRef>
          </c:tx>
          <c:spPr>
            <a:solidFill>
              <a:srgbClr val="3366FF"/>
            </a:solidFill>
            <a:ln w="25400">
              <a:noFill/>
            </a:ln>
          </c:spPr>
          <c:invertIfNegative val="0"/>
          <c:cat>
            <c:strRef>
              <c:f>'Model also  old'!$B$88:$O$88</c:f>
              <c:strCache>
                <c:ptCount val="8"/>
                <c:pt idx="0">
                  <c:v>2011A</c:v>
                </c:pt>
                <c:pt idx="1">
                  <c:v>2012A</c:v>
                </c:pt>
                <c:pt idx="2">
                  <c:v>2013A</c:v>
                </c:pt>
                <c:pt idx="3">
                  <c:v>2014A</c:v>
                </c:pt>
                <c:pt idx="4">
                  <c:v>PF 2015E</c:v>
                </c:pt>
                <c:pt idx="6">
                  <c:v>2016E</c:v>
                </c:pt>
                <c:pt idx="7">
                  <c:v>2017E</c:v>
                </c:pt>
              </c:strCache>
            </c:strRef>
          </c:cat>
          <c:val>
            <c:numRef>
              <c:f>'Model also  old'!$B$92:$O$92</c:f>
              <c:numCache>
                <c:formatCode>#,##0.0_);\(#,##0.0\);#,##0.0_);@_)</c:formatCode>
                <c:ptCount val="8"/>
                <c:pt idx="0">
                  <c:v>17.899999999999999</c:v>
                </c:pt>
                <c:pt idx="1">
                  <c:v>21.2</c:v>
                </c:pt>
                <c:pt idx="2">
                  <c:v>19.7</c:v>
                </c:pt>
                <c:pt idx="3">
                  <c:v>20.100000000000001</c:v>
                </c:pt>
                <c:pt idx="4">
                  <c:v>71.2</c:v>
                </c:pt>
                <c:pt idx="6">
                  <c:v>82</c:v>
                </c:pt>
                <c:pt idx="7">
                  <c:v>84.460000000000008</c:v>
                </c:pt>
              </c:numCache>
            </c:numRef>
          </c:val>
          <c:extLst>
            <c:ext xmlns:c16="http://schemas.microsoft.com/office/drawing/2014/chart" uri="{C3380CC4-5D6E-409C-BE32-E72D297353CC}">
              <c16:uniqueId val="{00000002-E53E-4AAF-B0F4-8A00A815FC35}"/>
            </c:ext>
          </c:extLst>
        </c:ser>
        <c:dLbls>
          <c:showLegendKey val="0"/>
          <c:showVal val="0"/>
          <c:showCatName val="0"/>
          <c:showSerName val="0"/>
          <c:showPercent val="0"/>
          <c:showBubbleSize val="0"/>
        </c:dLbls>
        <c:gapWidth val="150"/>
        <c:overlap val="100"/>
        <c:axId val="211634816"/>
        <c:axId val="211652992"/>
      </c:barChart>
      <c:lineChart>
        <c:grouping val="standard"/>
        <c:varyColors val="0"/>
        <c:ser>
          <c:idx val="4"/>
          <c:order val="3"/>
          <c:tx>
            <c:strRef>
              <c:f>'Model also  old'!$A$95</c:f>
              <c:strCache>
                <c:ptCount val="1"/>
                <c:pt idx="0">
                  <c:v>YoY growth</c:v>
                </c:pt>
              </c:strCache>
            </c:strRef>
          </c:tx>
          <c:marker>
            <c:symbol val="none"/>
          </c:marker>
          <c:cat>
            <c:strRef>
              <c:f>'Model also  old'!$B$88:$O$88</c:f>
              <c:strCache>
                <c:ptCount val="8"/>
                <c:pt idx="0">
                  <c:v>2011A</c:v>
                </c:pt>
                <c:pt idx="1">
                  <c:v>2012A</c:v>
                </c:pt>
                <c:pt idx="2">
                  <c:v>2013A</c:v>
                </c:pt>
                <c:pt idx="3">
                  <c:v>2014A</c:v>
                </c:pt>
                <c:pt idx="4">
                  <c:v>PF 2015E</c:v>
                </c:pt>
                <c:pt idx="6">
                  <c:v>2016E</c:v>
                </c:pt>
                <c:pt idx="7">
                  <c:v>2017E</c:v>
                </c:pt>
              </c:strCache>
            </c:strRef>
          </c:cat>
          <c:val>
            <c:numRef>
              <c:f>'Model also  old'!$B$95:$O$95</c:f>
              <c:numCache>
                <c:formatCode>0.0%</c:formatCode>
                <c:ptCount val="8"/>
                <c:pt idx="1">
                  <c:v>2.9311187103078229E-3</c:v>
                </c:pt>
                <c:pt idx="2">
                  <c:v>4.3838285435946478E-3</c:v>
                </c:pt>
                <c:pt idx="3">
                  <c:v>3.2977691561590694E-2</c:v>
                </c:pt>
                <c:pt idx="6">
                  <c:v>3.7649524052145944E-2</c:v>
                </c:pt>
                <c:pt idx="7">
                  <c:v>5.3572024245942096E-2</c:v>
                </c:pt>
              </c:numCache>
            </c:numRef>
          </c:val>
          <c:smooth val="0"/>
          <c:extLst>
            <c:ext xmlns:c16="http://schemas.microsoft.com/office/drawing/2014/chart" uri="{C3380CC4-5D6E-409C-BE32-E72D297353CC}">
              <c16:uniqueId val="{00000003-E53E-4AAF-B0F4-8A00A815FC35}"/>
            </c:ext>
          </c:extLst>
        </c:ser>
        <c:dLbls>
          <c:showLegendKey val="0"/>
          <c:showVal val="0"/>
          <c:showCatName val="0"/>
          <c:showSerName val="0"/>
          <c:showPercent val="0"/>
          <c:showBubbleSize val="0"/>
        </c:dLbls>
        <c:marker val="1"/>
        <c:smooth val="0"/>
        <c:axId val="211656704"/>
        <c:axId val="211654912"/>
      </c:lineChart>
      <c:catAx>
        <c:axId val="211634816"/>
        <c:scaling>
          <c:orientation val="minMax"/>
        </c:scaling>
        <c:delete val="0"/>
        <c:axPos val="b"/>
        <c:numFmt formatCode="General" sourceLinked="0"/>
        <c:majorTickMark val="out"/>
        <c:minorTickMark val="none"/>
        <c:tickLblPos val="nextTo"/>
        <c:crossAx val="211652992"/>
        <c:crosses val="autoZero"/>
        <c:auto val="1"/>
        <c:lblAlgn val="ctr"/>
        <c:lblOffset val="100"/>
        <c:noMultiLvlLbl val="0"/>
      </c:catAx>
      <c:valAx>
        <c:axId val="211652992"/>
        <c:scaling>
          <c:orientation val="minMax"/>
        </c:scaling>
        <c:delete val="0"/>
        <c:axPos val="l"/>
        <c:majorGridlines>
          <c:spPr>
            <a:ln w="3175">
              <a:solidFill>
                <a:srgbClr val="C0C0C0"/>
              </a:solidFill>
              <a:prstDash val="solid"/>
            </a:ln>
          </c:spPr>
        </c:majorGridlines>
        <c:title>
          <c:tx>
            <c:rich>
              <a:bodyPr rot="-5400000" vert="horz"/>
              <a:lstStyle/>
              <a:p>
                <a:pPr>
                  <a:defRPr/>
                </a:pPr>
                <a:r>
                  <a:rPr lang="en-US"/>
                  <a:t>Revenues € millions</a:t>
                </a:r>
              </a:p>
            </c:rich>
          </c:tx>
          <c:overlay val="0"/>
        </c:title>
        <c:numFmt formatCode="#,##0" sourceLinked="0"/>
        <c:majorTickMark val="out"/>
        <c:minorTickMark val="none"/>
        <c:tickLblPos val="nextTo"/>
        <c:crossAx val="211634816"/>
        <c:crosses val="autoZero"/>
        <c:crossBetween val="between"/>
      </c:valAx>
      <c:valAx>
        <c:axId val="211654912"/>
        <c:scaling>
          <c:orientation val="minMax"/>
        </c:scaling>
        <c:delete val="0"/>
        <c:axPos val="r"/>
        <c:numFmt formatCode="0%" sourceLinked="0"/>
        <c:majorTickMark val="out"/>
        <c:minorTickMark val="none"/>
        <c:tickLblPos val="nextTo"/>
        <c:crossAx val="211656704"/>
        <c:crosses val="max"/>
        <c:crossBetween val="between"/>
      </c:valAx>
      <c:catAx>
        <c:axId val="211656704"/>
        <c:scaling>
          <c:orientation val="minMax"/>
        </c:scaling>
        <c:delete val="1"/>
        <c:axPos val="b"/>
        <c:numFmt formatCode="General" sourceLinked="1"/>
        <c:majorTickMark val="out"/>
        <c:minorTickMark val="none"/>
        <c:tickLblPos val="nextTo"/>
        <c:crossAx val="211654912"/>
        <c:crosses val="autoZero"/>
        <c:auto val="1"/>
        <c:lblAlgn val="ctr"/>
        <c:lblOffset val="100"/>
        <c:noMultiLvlLbl val="0"/>
      </c:cat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Workings!$Z$54</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Workings!$AA$54:$AI$54</c:f>
              <c:numCache>
                <c:formatCode>0.0%</c:formatCode>
                <c:ptCount val="9"/>
                <c:pt idx="0">
                  <c:v>0.16128088901886239</c:v>
                </c:pt>
                <c:pt idx="1">
                  <c:v>0.20777961145371898</c:v>
                </c:pt>
                <c:pt idx="2">
                  <c:v>0.26422687996768751</c:v>
                </c:pt>
                <c:pt idx="3">
                  <c:v>0.31663616631910457</c:v>
                </c:pt>
                <c:pt idx="4">
                  <c:v>0.35609211010212449</c:v>
                </c:pt>
                <c:pt idx="5">
                  <c:v>0.38558679912443172</c:v>
                </c:pt>
                <c:pt idx="6">
                  <c:v>0.41660951925611728</c:v>
                </c:pt>
                <c:pt idx="7">
                  <c:v>0.44744321025292971</c:v>
                </c:pt>
                <c:pt idx="8">
                  <c:v>0.47808872536056807</c:v>
                </c:pt>
              </c:numCache>
            </c:numRef>
          </c:val>
          <c:smooth val="0"/>
          <c:extLst>
            <c:ext xmlns:c16="http://schemas.microsoft.com/office/drawing/2014/chart" uri="{C3380CC4-5D6E-409C-BE32-E72D297353CC}">
              <c16:uniqueId val="{00000000-8013-447C-8688-8261A9A9AE29}"/>
            </c:ext>
          </c:extLst>
        </c:ser>
        <c:ser>
          <c:idx val="1"/>
          <c:order val="1"/>
          <c:tx>
            <c:strRef>
              <c:f>Workings!$Z$55</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Workings!$AA$55:$AI$55</c:f>
              <c:numCache>
                <c:formatCode>0.0%</c:formatCode>
                <c:ptCount val="9"/>
                <c:pt idx="0">
                  <c:v>0.11635988610631572</c:v>
                </c:pt>
                <c:pt idx="1">
                  <c:v>0.14819897084048028</c:v>
                </c:pt>
                <c:pt idx="2">
                  <c:v>0.18127135701914524</c:v>
                </c:pt>
                <c:pt idx="3">
                  <c:v>0.21609819426413313</c:v>
                </c:pt>
                <c:pt idx="4">
                  <c:v>0.25539309683604988</c:v>
                </c:pt>
                <c:pt idx="5">
                  <c:v>0.29091512728118268</c:v>
                </c:pt>
                <c:pt idx="6">
                  <c:v>0.32609818812224034</c:v>
                </c:pt>
                <c:pt idx="7">
                  <c:v>0.36086910602791999</c:v>
                </c:pt>
                <c:pt idx="8">
                  <c:v>0.39515721047878705</c:v>
                </c:pt>
              </c:numCache>
            </c:numRef>
          </c:val>
          <c:smooth val="0"/>
          <c:extLst>
            <c:ext xmlns:c16="http://schemas.microsoft.com/office/drawing/2014/chart" uri="{C3380CC4-5D6E-409C-BE32-E72D297353CC}">
              <c16:uniqueId val="{00000001-8013-447C-8688-8261A9A9AE29}"/>
            </c:ext>
          </c:extLst>
        </c:ser>
        <c:ser>
          <c:idx val="2"/>
          <c:order val="2"/>
          <c:tx>
            <c:strRef>
              <c:f>Workings!$Z$56</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Workings!$AA$56:$AI$56</c:f>
              <c:numCache>
                <c:formatCode>0.0%</c:formatCode>
                <c:ptCount val="9"/>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8013-447C-8688-8261A9A9AE29}"/>
            </c:ext>
          </c:extLst>
        </c:ser>
        <c:dLbls>
          <c:showLegendKey val="0"/>
          <c:showVal val="0"/>
          <c:showCatName val="0"/>
          <c:showSerName val="0"/>
          <c:showPercent val="0"/>
          <c:showBubbleSize val="0"/>
        </c:dLbls>
        <c:smooth val="0"/>
        <c:axId val="243434240"/>
        <c:axId val="243435776"/>
      </c:lineChart>
      <c:catAx>
        <c:axId val="243434240"/>
        <c:scaling>
          <c:orientation val="minMax"/>
        </c:scaling>
        <c:delete val="0"/>
        <c:axPos val="b"/>
        <c:numFmt formatCode="General" sourceLinked="1"/>
        <c:majorTickMark val="out"/>
        <c:minorTickMark val="none"/>
        <c:tickLblPos val="low"/>
        <c:crossAx val="243435776"/>
        <c:crosses val="autoZero"/>
        <c:auto val="1"/>
        <c:lblAlgn val="ctr"/>
        <c:lblOffset val="100"/>
        <c:noMultiLvlLbl val="0"/>
      </c:catAx>
      <c:valAx>
        <c:axId val="243435776"/>
        <c:scaling>
          <c:orientation val="minMax"/>
        </c:scaling>
        <c:delete val="0"/>
        <c:axPos val="l"/>
        <c:majorGridlines>
          <c:spPr>
            <a:ln w="3175">
              <a:solidFill>
                <a:srgbClr val="C0C0C0"/>
              </a:solidFill>
              <a:prstDash val="solid"/>
            </a:ln>
          </c:spPr>
        </c:majorGridlines>
        <c:title>
          <c:tx>
            <c:strRef>
              <c:f>Workings!$Z$53</c:f>
              <c:strCache>
                <c:ptCount val="1"/>
                <c:pt idx="0">
                  <c:v>Tel % customers</c:v>
                </c:pt>
              </c:strCache>
            </c:strRef>
          </c:tx>
          <c:overlay val="0"/>
          <c:txPr>
            <a:bodyPr rot="-5400000" vert="horz"/>
            <a:lstStyle/>
            <a:p>
              <a:pPr>
                <a:defRPr/>
              </a:pPr>
              <a:endParaRPr lang="en-US"/>
            </a:p>
          </c:txPr>
        </c:title>
        <c:numFmt formatCode="0.0%" sourceLinked="1"/>
        <c:majorTickMark val="out"/>
        <c:minorTickMark val="none"/>
        <c:tickLblPos val="nextTo"/>
        <c:crossAx val="243434240"/>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Workings!$Z$59</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Workings!$AA$59:$AI$59</c:f>
              <c:numCache>
                <c:formatCode>0.0%</c:formatCode>
                <c:ptCount val="9"/>
                <c:pt idx="0">
                  <c:v>0.15879514548910659</c:v>
                </c:pt>
                <c:pt idx="1">
                  <c:v>0.20372622253105185</c:v>
                </c:pt>
                <c:pt idx="2">
                  <c:v>0.25958195692627267</c:v>
                </c:pt>
                <c:pt idx="3">
                  <c:v>0.31482033167354695</c:v>
                </c:pt>
                <c:pt idx="4">
                  <c:v>0.36487595122917194</c:v>
                </c:pt>
                <c:pt idx="5">
                  <c:v>0.40640960880058369</c:v>
                </c:pt>
                <c:pt idx="6">
                  <c:v>0.44716274927812405</c:v>
                </c:pt>
                <c:pt idx="7">
                  <c:v>0.48766846643651607</c:v>
                </c:pt>
                <c:pt idx="8">
                  <c:v>0.52792787578791756</c:v>
                </c:pt>
              </c:numCache>
            </c:numRef>
          </c:val>
          <c:smooth val="0"/>
          <c:extLst>
            <c:ext xmlns:c16="http://schemas.microsoft.com/office/drawing/2014/chart" uri="{C3380CC4-5D6E-409C-BE32-E72D297353CC}">
              <c16:uniqueId val="{00000000-EBED-4390-B078-6E6DC2F8C5C2}"/>
            </c:ext>
          </c:extLst>
        </c:ser>
        <c:ser>
          <c:idx val="1"/>
          <c:order val="1"/>
          <c:tx>
            <c:strRef>
              <c:f>Workings!$Z$60</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Workings!$AA$60:$AI$60</c:f>
              <c:numCache>
                <c:formatCode>0.0%</c:formatCode>
                <c:ptCount val="9"/>
                <c:pt idx="0">
                  <c:v>0.10828868013362329</c:v>
                </c:pt>
                <c:pt idx="1">
                  <c:v>0.14408233276157806</c:v>
                </c:pt>
                <c:pt idx="2">
                  <c:v>0.17767869681224546</c:v>
                </c:pt>
                <c:pt idx="3">
                  <c:v>0.21586215035996695</c:v>
                </c:pt>
                <c:pt idx="4">
                  <c:v>0.26102588686481304</c:v>
                </c:pt>
                <c:pt idx="5">
                  <c:v>0.29653956618789412</c:v>
                </c:pt>
                <c:pt idx="6">
                  <c:v>0.33171027704268896</c:v>
                </c:pt>
                <c:pt idx="7">
                  <c:v>0.36646489883006855</c:v>
                </c:pt>
                <c:pt idx="8">
                  <c:v>0.40073283008025895</c:v>
                </c:pt>
              </c:numCache>
            </c:numRef>
          </c:val>
          <c:smooth val="0"/>
          <c:extLst>
            <c:ext xmlns:c16="http://schemas.microsoft.com/office/drawing/2014/chart" uri="{C3380CC4-5D6E-409C-BE32-E72D297353CC}">
              <c16:uniqueId val="{00000001-EBED-4390-B078-6E6DC2F8C5C2}"/>
            </c:ext>
          </c:extLst>
        </c:ser>
        <c:ser>
          <c:idx val="2"/>
          <c:order val="2"/>
          <c:tx>
            <c:strRef>
              <c:f>Workings!$Z$61</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Workings!$AA$61:$AI$61</c:f>
              <c:numCache>
                <c:formatCode>0.0%</c:formatCode>
                <c:ptCount val="9"/>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EBED-4390-B078-6E6DC2F8C5C2}"/>
            </c:ext>
          </c:extLst>
        </c:ser>
        <c:dLbls>
          <c:showLegendKey val="0"/>
          <c:showVal val="0"/>
          <c:showCatName val="0"/>
          <c:showSerName val="0"/>
          <c:showPercent val="0"/>
          <c:showBubbleSize val="0"/>
        </c:dLbls>
        <c:smooth val="0"/>
        <c:axId val="243742208"/>
        <c:axId val="243743744"/>
      </c:lineChart>
      <c:catAx>
        <c:axId val="243742208"/>
        <c:scaling>
          <c:orientation val="minMax"/>
        </c:scaling>
        <c:delete val="0"/>
        <c:axPos val="b"/>
        <c:numFmt formatCode="General" sourceLinked="1"/>
        <c:majorTickMark val="out"/>
        <c:minorTickMark val="none"/>
        <c:tickLblPos val="low"/>
        <c:crossAx val="243743744"/>
        <c:crosses val="autoZero"/>
        <c:auto val="1"/>
        <c:lblAlgn val="ctr"/>
        <c:lblOffset val="100"/>
        <c:noMultiLvlLbl val="0"/>
      </c:catAx>
      <c:valAx>
        <c:axId val="243743744"/>
        <c:scaling>
          <c:orientation val="minMax"/>
        </c:scaling>
        <c:delete val="0"/>
        <c:axPos val="l"/>
        <c:majorGridlines>
          <c:spPr>
            <a:ln w="3175">
              <a:solidFill>
                <a:srgbClr val="C0C0C0"/>
              </a:solidFill>
              <a:prstDash val="solid"/>
            </a:ln>
          </c:spPr>
        </c:majorGridlines>
        <c:title>
          <c:tx>
            <c:strRef>
              <c:f>Workings!$Z$58</c:f>
              <c:strCache>
                <c:ptCount val="1"/>
                <c:pt idx="0">
                  <c:v>BB % customers</c:v>
                </c:pt>
              </c:strCache>
            </c:strRef>
          </c:tx>
          <c:overlay val="0"/>
          <c:txPr>
            <a:bodyPr rot="-5400000" vert="horz"/>
            <a:lstStyle/>
            <a:p>
              <a:pPr>
                <a:defRPr/>
              </a:pPr>
              <a:endParaRPr lang="en-US"/>
            </a:p>
          </c:txPr>
        </c:title>
        <c:numFmt formatCode="0%" sourceLinked="0"/>
        <c:majorTickMark val="out"/>
        <c:minorTickMark val="none"/>
        <c:tickLblPos val="nextTo"/>
        <c:crossAx val="243742208"/>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Workings!$Z$64</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Workings!$AA$64:$AI$64</c:f>
              <c:numCache>
                <c:formatCode>#,##0.0\X;\-#,##0.0\X</c:formatCode>
                <c:ptCount val="9"/>
                <c:pt idx="0">
                  <c:v>1.3183213920163768</c:v>
                </c:pt>
                <c:pt idx="1">
                  <c:v>1.3964793421928834</c:v>
                </c:pt>
                <c:pt idx="2">
                  <c:v>1.4978578538147513</c:v>
                </c:pt>
                <c:pt idx="3">
                  <c:v>1.580442893419018</c:v>
                </c:pt>
                <c:pt idx="4">
                  <c:v>1.6547144190783332</c:v>
                </c:pt>
                <c:pt idx="5">
                  <c:v>1.7121709603187965</c:v>
                </c:pt>
                <c:pt idx="6">
                  <c:v>1.7720203312160396</c:v>
                </c:pt>
                <c:pt idx="7">
                  <c:v>1.8315878302836435</c:v>
                </c:pt>
                <c:pt idx="8">
                  <c:v>1.890873422741961</c:v>
                </c:pt>
              </c:numCache>
            </c:numRef>
          </c:val>
          <c:smooth val="0"/>
          <c:extLst>
            <c:ext xmlns:c16="http://schemas.microsoft.com/office/drawing/2014/chart" uri="{C3380CC4-5D6E-409C-BE32-E72D297353CC}">
              <c16:uniqueId val="{00000000-E17C-48C5-A2C5-91093C3767ED}"/>
            </c:ext>
          </c:extLst>
        </c:ser>
        <c:ser>
          <c:idx val="1"/>
          <c:order val="1"/>
          <c:tx>
            <c:strRef>
              <c:f>Workings!$Z$65</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Workings!$AA$65:$AI$65</c:f>
              <c:numCache>
                <c:formatCode>#,##0.0\X;\-#,##0.0\X</c:formatCode>
                <c:ptCount val="9"/>
                <c:pt idx="0">
                  <c:v>1.2345582135730779</c:v>
                </c:pt>
                <c:pt idx="1">
                  <c:v>1.3074899942824472</c:v>
                </c:pt>
                <c:pt idx="2">
                  <c:v>1.3772761316294524</c:v>
                </c:pt>
                <c:pt idx="3">
                  <c:v>1.4489555057240646</c:v>
                </c:pt>
                <c:pt idx="4">
                  <c:v>1.5112655800575263</c:v>
                </c:pt>
                <c:pt idx="5">
                  <c:v>1.5738818783680373</c:v>
                </c:pt>
                <c:pt idx="6">
                  <c:v>1.6350887463454038</c:v>
                </c:pt>
                <c:pt idx="7">
                  <c:v>1.6947642708166304</c:v>
                </c:pt>
                <c:pt idx="8">
                  <c:v>1.7527943158650148</c:v>
                </c:pt>
              </c:numCache>
            </c:numRef>
          </c:val>
          <c:smooth val="0"/>
          <c:extLst>
            <c:ext xmlns:c16="http://schemas.microsoft.com/office/drawing/2014/chart" uri="{C3380CC4-5D6E-409C-BE32-E72D297353CC}">
              <c16:uniqueId val="{00000001-E17C-48C5-A2C5-91093C3767ED}"/>
            </c:ext>
          </c:extLst>
        </c:ser>
        <c:ser>
          <c:idx val="2"/>
          <c:order val="2"/>
          <c:tx>
            <c:strRef>
              <c:f>Workings!$Z$66</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Workings!$AA$66:$AI$66</c:f>
              <c:numCache>
                <c:formatCode>#,##0.0\X;\-#,##0.0\X</c:formatCode>
                <c:ptCount val="9"/>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E17C-48C5-A2C5-91093C3767ED}"/>
            </c:ext>
          </c:extLst>
        </c:ser>
        <c:dLbls>
          <c:showLegendKey val="0"/>
          <c:showVal val="0"/>
          <c:showCatName val="0"/>
          <c:showSerName val="0"/>
          <c:showPercent val="0"/>
          <c:showBubbleSize val="0"/>
        </c:dLbls>
        <c:smooth val="0"/>
        <c:axId val="243468544"/>
        <c:axId val="243474432"/>
      </c:lineChart>
      <c:catAx>
        <c:axId val="243468544"/>
        <c:scaling>
          <c:orientation val="minMax"/>
        </c:scaling>
        <c:delete val="0"/>
        <c:axPos val="b"/>
        <c:numFmt formatCode="General" sourceLinked="1"/>
        <c:majorTickMark val="out"/>
        <c:minorTickMark val="none"/>
        <c:tickLblPos val="low"/>
        <c:crossAx val="243474432"/>
        <c:crosses val="autoZero"/>
        <c:auto val="1"/>
        <c:lblAlgn val="ctr"/>
        <c:lblOffset val="100"/>
        <c:noMultiLvlLbl val="0"/>
      </c:catAx>
      <c:valAx>
        <c:axId val="243474432"/>
        <c:scaling>
          <c:orientation val="minMax"/>
        </c:scaling>
        <c:delete val="0"/>
        <c:axPos val="l"/>
        <c:majorGridlines>
          <c:spPr>
            <a:ln w="3175">
              <a:solidFill>
                <a:srgbClr val="C0C0C0"/>
              </a:solidFill>
              <a:prstDash val="solid"/>
            </a:ln>
          </c:spPr>
        </c:majorGridlines>
        <c:title>
          <c:tx>
            <c:strRef>
              <c:f>Workings!$Z$63</c:f>
              <c:strCache>
                <c:ptCount val="1"/>
                <c:pt idx="0">
                  <c:v>RGU / customer</c:v>
                </c:pt>
              </c:strCache>
            </c:strRef>
          </c:tx>
          <c:overlay val="0"/>
          <c:txPr>
            <a:bodyPr rot="-5400000" vert="horz"/>
            <a:lstStyle/>
            <a:p>
              <a:pPr>
                <a:defRPr/>
              </a:pPr>
              <a:endParaRPr lang="en-US"/>
            </a:p>
          </c:txPr>
        </c:title>
        <c:numFmt formatCode="#,##0.0\X;\-#,##0.0\X" sourceLinked="1"/>
        <c:majorTickMark val="out"/>
        <c:minorTickMark val="none"/>
        <c:tickLblPos val="nextTo"/>
        <c:crossAx val="243468544"/>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Workings!$Z$69</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Workings!$AA$69:$AI$69</c:f>
              <c:numCache>
                <c:formatCode>0.0%</c:formatCode>
                <c:ptCount val="9"/>
                <c:pt idx="0">
                  <c:v>9.5154043645699682E-2</c:v>
                </c:pt>
                <c:pt idx="1">
                  <c:v>8.9157509157508974E-2</c:v>
                </c:pt>
                <c:pt idx="2">
                  <c:v>9.9482074392950759E-2</c:v>
                </c:pt>
                <c:pt idx="3">
                  <c:v>0.10216566744157607</c:v>
                </c:pt>
                <c:pt idx="4">
                  <c:v>6.9826820603907658E-2</c:v>
                </c:pt>
                <c:pt idx="5">
                  <c:v>6.4957974473383695E-2</c:v>
                </c:pt>
                <c:pt idx="6">
                  <c:v>6.2749586463333618E-2</c:v>
                </c:pt>
                <c:pt idx="7">
                  <c:v>6.5899069472255434E-2</c:v>
                </c:pt>
                <c:pt idx="8">
                  <c:v>6.2113364151287875E-2</c:v>
                </c:pt>
              </c:numCache>
            </c:numRef>
          </c:val>
          <c:smooth val="0"/>
          <c:extLst>
            <c:ext xmlns:c16="http://schemas.microsoft.com/office/drawing/2014/chart" uri="{C3380CC4-5D6E-409C-BE32-E72D297353CC}">
              <c16:uniqueId val="{00000000-6765-44D5-A2E8-86A4D8CF0A2F}"/>
            </c:ext>
          </c:extLst>
        </c:ser>
        <c:ser>
          <c:idx val="1"/>
          <c:order val="1"/>
          <c:tx>
            <c:strRef>
              <c:f>Workings!$Z$70</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Workings!$AA$70:$AI$70</c:f>
              <c:numCache>
                <c:formatCode>0.0%</c:formatCode>
                <c:ptCount val="9"/>
                <c:pt idx="0">
                  <c:v>9.5757156482630945E-2</c:v>
                </c:pt>
                <c:pt idx="1">
                  <c:v>6.4827012087509628E-2</c:v>
                </c:pt>
                <c:pt idx="2">
                  <c:v>6.3070590803250504E-2</c:v>
                </c:pt>
                <c:pt idx="3">
                  <c:v>7.6593749374902265E-2</c:v>
                </c:pt>
                <c:pt idx="4">
                  <c:v>3.840052286353024E-2</c:v>
                </c:pt>
                <c:pt idx="5">
                  <c:v>5.6397715744412658E-2</c:v>
                </c:pt>
                <c:pt idx="6">
                  <c:v>6.3471861947931307E-2</c:v>
                </c:pt>
                <c:pt idx="7">
                  <c:v>5.9030275979833569E-2</c:v>
                </c:pt>
                <c:pt idx="8">
                  <c:v>5.5129279457692526E-2</c:v>
                </c:pt>
              </c:numCache>
            </c:numRef>
          </c:val>
          <c:smooth val="0"/>
          <c:extLst>
            <c:ext xmlns:c16="http://schemas.microsoft.com/office/drawing/2014/chart" uri="{C3380CC4-5D6E-409C-BE32-E72D297353CC}">
              <c16:uniqueId val="{00000001-6765-44D5-A2E8-86A4D8CF0A2F}"/>
            </c:ext>
          </c:extLst>
        </c:ser>
        <c:ser>
          <c:idx val="2"/>
          <c:order val="2"/>
          <c:tx>
            <c:strRef>
              <c:f>Workings!$Z$71</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Workings!$AA$71:$AI$71</c:f>
              <c:numCache>
                <c:formatCode>0.0%</c:formatCode>
                <c:ptCount val="9"/>
                <c:pt idx="3">
                  <c:v>2.9311187103078229E-3</c:v>
                </c:pt>
                <c:pt idx="4">
                  <c:v>4.3838285435946478E-3</c:v>
                </c:pt>
                <c:pt idx="5">
                  <c:v>3.2977691561590694E-2</c:v>
                </c:pt>
                <c:pt idx="6">
                  <c:v>4.3151276634540769E-2</c:v>
                </c:pt>
                <c:pt idx="7">
                  <c:v>1.1515032483873333</c:v>
                </c:pt>
                <c:pt idx="8">
                  <c:v>5.3572024245942096E-2</c:v>
                </c:pt>
              </c:numCache>
            </c:numRef>
          </c:val>
          <c:smooth val="0"/>
          <c:extLst>
            <c:ext xmlns:c16="http://schemas.microsoft.com/office/drawing/2014/chart" uri="{C3380CC4-5D6E-409C-BE32-E72D297353CC}">
              <c16:uniqueId val="{00000002-6765-44D5-A2E8-86A4D8CF0A2F}"/>
            </c:ext>
          </c:extLst>
        </c:ser>
        <c:dLbls>
          <c:showLegendKey val="0"/>
          <c:showVal val="0"/>
          <c:showCatName val="0"/>
          <c:showSerName val="0"/>
          <c:showPercent val="0"/>
          <c:showBubbleSize val="0"/>
        </c:dLbls>
        <c:smooth val="0"/>
        <c:axId val="243513600"/>
        <c:axId val="243515392"/>
      </c:lineChart>
      <c:catAx>
        <c:axId val="243513600"/>
        <c:scaling>
          <c:orientation val="minMax"/>
        </c:scaling>
        <c:delete val="0"/>
        <c:axPos val="b"/>
        <c:numFmt formatCode="General" sourceLinked="1"/>
        <c:majorTickMark val="out"/>
        <c:minorTickMark val="none"/>
        <c:tickLblPos val="low"/>
        <c:crossAx val="243515392"/>
        <c:crosses val="autoZero"/>
        <c:auto val="1"/>
        <c:lblAlgn val="ctr"/>
        <c:lblOffset val="100"/>
        <c:noMultiLvlLbl val="0"/>
      </c:catAx>
      <c:valAx>
        <c:axId val="243515392"/>
        <c:scaling>
          <c:orientation val="minMax"/>
        </c:scaling>
        <c:delete val="0"/>
        <c:axPos val="l"/>
        <c:majorGridlines>
          <c:spPr>
            <a:ln w="3175">
              <a:solidFill>
                <a:srgbClr val="C0C0C0"/>
              </a:solidFill>
              <a:prstDash val="solid"/>
            </a:ln>
          </c:spPr>
        </c:majorGridlines>
        <c:title>
          <c:tx>
            <c:strRef>
              <c:f>Workings!$Z$68</c:f>
              <c:strCache>
                <c:ptCount val="1"/>
                <c:pt idx="0">
                  <c:v>Revenues YoY</c:v>
                </c:pt>
              </c:strCache>
            </c:strRef>
          </c:tx>
          <c:overlay val="0"/>
          <c:txPr>
            <a:bodyPr rot="-5400000" vert="horz"/>
            <a:lstStyle/>
            <a:p>
              <a:pPr>
                <a:defRPr/>
              </a:pPr>
              <a:endParaRPr lang="en-US"/>
            </a:p>
          </c:txPr>
        </c:title>
        <c:numFmt formatCode="0.0%" sourceLinked="1"/>
        <c:majorTickMark val="out"/>
        <c:minorTickMark val="none"/>
        <c:tickLblPos val="nextTo"/>
        <c:crossAx val="243513600"/>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Workings!$Z$74</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Workings!$AA$74:$AI$74</c:f>
              <c:numCache>
                <c:formatCode>0.0%</c:formatCode>
                <c:ptCount val="9"/>
                <c:pt idx="0">
                  <c:v>0.53443223443223453</c:v>
                </c:pt>
                <c:pt idx="1">
                  <c:v>0.56117575839106737</c:v>
                </c:pt>
                <c:pt idx="2">
                  <c:v>0.59225498592927928</c:v>
                </c:pt>
                <c:pt idx="3">
                  <c:v>0.57504440497335707</c:v>
                </c:pt>
                <c:pt idx="4">
                  <c:v>0.59141849123171097</c:v>
                </c:pt>
                <c:pt idx="5">
                  <c:v>0.61975056026502962</c:v>
                </c:pt>
                <c:pt idx="6">
                  <c:v>0.61308121790354941</c:v>
                </c:pt>
                <c:pt idx="7">
                  <c:v>0.61016018217929391</c:v>
                </c:pt>
                <c:pt idx="8">
                  <c:v>0.60876249034174912</c:v>
                </c:pt>
              </c:numCache>
            </c:numRef>
          </c:val>
          <c:smooth val="0"/>
          <c:extLst>
            <c:ext xmlns:c16="http://schemas.microsoft.com/office/drawing/2014/chart" uri="{C3380CC4-5D6E-409C-BE32-E72D297353CC}">
              <c16:uniqueId val="{00000000-5EF6-4FA8-86A2-6380F1FD87C3}"/>
            </c:ext>
          </c:extLst>
        </c:ser>
        <c:ser>
          <c:idx val="1"/>
          <c:order val="1"/>
          <c:tx>
            <c:strRef>
              <c:f>Workings!$Z$75</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Workings!$AA$75:$AI$75</c:f>
              <c:numCache>
                <c:formatCode>0.0%</c:formatCode>
                <c:ptCount val="9"/>
                <c:pt idx="0">
                  <c:v>0.43895907562185743</c:v>
                </c:pt>
                <c:pt idx="1">
                  <c:v>0.45594102412234477</c:v>
                </c:pt>
                <c:pt idx="2">
                  <c:v>0.46800558204989723</c:v>
                </c:pt>
                <c:pt idx="3">
                  <c:v>0.47122310610883628</c:v>
                </c:pt>
                <c:pt idx="4">
                  <c:v>0.47868032352503137</c:v>
                </c:pt>
                <c:pt idx="5">
                  <c:v>0.44969284651234359</c:v>
                </c:pt>
                <c:pt idx="6">
                  <c:v>0.46914019663954309</c:v>
                </c:pt>
                <c:pt idx="7">
                  <c:v>0.47159885278339581</c:v>
                </c:pt>
                <c:pt idx="8">
                  <c:v>0.47452577496608511</c:v>
                </c:pt>
              </c:numCache>
            </c:numRef>
          </c:val>
          <c:smooth val="0"/>
          <c:extLst>
            <c:ext xmlns:c16="http://schemas.microsoft.com/office/drawing/2014/chart" uri="{C3380CC4-5D6E-409C-BE32-E72D297353CC}">
              <c16:uniqueId val="{00000001-5EF6-4FA8-86A2-6380F1FD87C3}"/>
            </c:ext>
          </c:extLst>
        </c:ser>
        <c:ser>
          <c:idx val="2"/>
          <c:order val="2"/>
          <c:tx>
            <c:strRef>
              <c:f>Workings!$Z$76</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Workings!$AA$76:$AI$76</c:f>
              <c:numCache>
                <c:formatCode>0.0%</c:formatCode>
                <c:ptCount val="9"/>
                <c:pt idx="2">
                  <c:v>0.38299951148021499</c:v>
                </c:pt>
                <c:pt idx="3">
                  <c:v>0.42425718460789086</c:v>
                </c:pt>
                <c:pt idx="4">
                  <c:v>0.42725509214354995</c:v>
                </c:pt>
                <c:pt idx="5">
                  <c:v>0.4649435572373784</c:v>
                </c:pt>
                <c:pt idx="6">
                  <c:v>0.47449106544596875</c:v>
                </c:pt>
                <c:pt idx="7">
                  <c:v>0.50993243113530551</c:v>
                </c:pt>
                <c:pt idx="8">
                  <c:v>0.54063186320102696</c:v>
                </c:pt>
              </c:numCache>
            </c:numRef>
          </c:val>
          <c:smooth val="0"/>
          <c:extLst>
            <c:ext xmlns:c16="http://schemas.microsoft.com/office/drawing/2014/chart" uri="{C3380CC4-5D6E-409C-BE32-E72D297353CC}">
              <c16:uniqueId val="{00000002-5EF6-4FA8-86A2-6380F1FD87C3}"/>
            </c:ext>
          </c:extLst>
        </c:ser>
        <c:dLbls>
          <c:showLegendKey val="0"/>
          <c:showVal val="0"/>
          <c:showCatName val="0"/>
          <c:showSerName val="0"/>
          <c:showPercent val="0"/>
          <c:showBubbleSize val="0"/>
        </c:dLbls>
        <c:smooth val="0"/>
        <c:axId val="243616384"/>
        <c:axId val="243618176"/>
      </c:lineChart>
      <c:catAx>
        <c:axId val="243616384"/>
        <c:scaling>
          <c:orientation val="minMax"/>
        </c:scaling>
        <c:delete val="0"/>
        <c:axPos val="b"/>
        <c:numFmt formatCode="General" sourceLinked="1"/>
        <c:majorTickMark val="out"/>
        <c:minorTickMark val="none"/>
        <c:tickLblPos val="low"/>
        <c:crossAx val="243618176"/>
        <c:crosses val="autoZero"/>
        <c:auto val="1"/>
        <c:lblAlgn val="ctr"/>
        <c:lblOffset val="100"/>
        <c:noMultiLvlLbl val="0"/>
      </c:catAx>
      <c:valAx>
        <c:axId val="243618176"/>
        <c:scaling>
          <c:orientation val="minMax"/>
        </c:scaling>
        <c:delete val="0"/>
        <c:axPos val="l"/>
        <c:majorGridlines>
          <c:spPr>
            <a:ln w="3175">
              <a:solidFill>
                <a:srgbClr val="C0C0C0"/>
              </a:solidFill>
              <a:prstDash val="solid"/>
            </a:ln>
          </c:spPr>
        </c:majorGridlines>
        <c:title>
          <c:tx>
            <c:strRef>
              <c:f>Workings!$Z$73</c:f>
              <c:strCache>
                <c:ptCount val="1"/>
                <c:pt idx="0">
                  <c:v>EBITDA margin</c:v>
                </c:pt>
              </c:strCache>
            </c:strRef>
          </c:tx>
          <c:overlay val="0"/>
          <c:txPr>
            <a:bodyPr rot="-5400000" vert="horz"/>
            <a:lstStyle/>
            <a:p>
              <a:pPr>
                <a:defRPr/>
              </a:pPr>
              <a:endParaRPr lang="en-US"/>
            </a:p>
          </c:txPr>
        </c:title>
        <c:numFmt formatCode="0.0%" sourceLinked="1"/>
        <c:majorTickMark val="out"/>
        <c:minorTickMark val="none"/>
        <c:tickLblPos val="nextTo"/>
        <c:crossAx val="243616384"/>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Workings!$Z$79</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Workings!$AA$79:$AI$79</c:f>
              <c:numCache>
                <c:formatCode>0.0%</c:formatCode>
                <c:ptCount val="9"/>
                <c:pt idx="0">
                  <c:v>0.29589743589743583</c:v>
                </c:pt>
                <c:pt idx="1">
                  <c:v>0.2718100491020381</c:v>
                </c:pt>
                <c:pt idx="2">
                  <c:v>0.26685427627554148</c:v>
                </c:pt>
                <c:pt idx="3">
                  <c:v>0.25804840142095914</c:v>
                </c:pt>
                <c:pt idx="4">
                  <c:v>0.21754695444640448</c:v>
                </c:pt>
                <c:pt idx="5">
                  <c:v>0.20018513105329824</c:v>
                </c:pt>
                <c:pt idx="6">
                  <c:v>0.20178993935118431</c:v>
                </c:pt>
                <c:pt idx="7">
                  <c:v>0.19883586067367776</c:v>
                </c:pt>
                <c:pt idx="8">
                  <c:v>0.19643234856870703</c:v>
                </c:pt>
              </c:numCache>
            </c:numRef>
          </c:val>
          <c:smooth val="0"/>
          <c:extLst>
            <c:ext xmlns:c16="http://schemas.microsoft.com/office/drawing/2014/chart" uri="{C3380CC4-5D6E-409C-BE32-E72D297353CC}">
              <c16:uniqueId val="{00000000-183F-4643-AA39-68834D23D27E}"/>
            </c:ext>
          </c:extLst>
        </c:ser>
        <c:ser>
          <c:idx val="1"/>
          <c:order val="1"/>
          <c:tx>
            <c:strRef>
              <c:f>Workings!$Z$80</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Workings!$AA$80:$AI$80</c:f>
              <c:numCache>
                <c:formatCode>0.0%</c:formatCode>
                <c:ptCount val="9"/>
                <c:pt idx="0">
                  <c:v>0.21789351003962573</c:v>
                </c:pt>
                <c:pt idx="1">
                  <c:v>0.21076796354473193</c:v>
                </c:pt>
                <c:pt idx="2">
                  <c:v>0.23016130759283515</c:v>
                </c:pt>
                <c:pt idx="3">
                  <c:v>0.25811632511313315</c:v>
                </c:pt>
                <c:pt idx="4">
                  <c:v>0.30270609353891942</c:v>
                </c:pt>
                <c:pt idx="5">
                  <c:v>0.31427723924441253</c:v>
                </c:pt>
                <c:pt idx="6">
                  <c:v>0.25438077089384775</c:v>
                </c:pt>
                <c:pt idx="7">
                  <c:v>0.23983945481766564</c:v>
                </c:pt>
                <c:pt idx="8">
                  <c:v>0.23412903980901503</c:v>
                </c:pt>
              </c:numCache>
            </c:numRef>
          </c:val>
          <c:smooth val="0"/>
          <c:extLst>
            <c:ext xmlns:c16="http://schemas.microsoft.com/office/drawing/2014/chart" uri="{C3380CC4-5D6E-409C-BE32-E72D297353CC}">
              <c16:uniqueId val="{00000001-183F-4643-AA39-68834D23D27E}"/>
            </c:ext>
          </c:extLst>
        </c:ser>
        <c:ser>
          <c:idx val="2"/>
          <c:order val="2"/>
          <c:tx>
            <c:strRef>
              <c:f>Workings!$Z$81</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Workings!$AA$81:$AI$81</c:f>
              <c:numCache>
                <c:formatCode>0.0%</c:formatCode>
                <c:ptCount val="9"/>
                <c:pt idx="2">
                  <c:v>0.33268197361993157</c:v>
                </c:pt>
                <c:pt idx="3">
                  <c:v>0.29030686799805161</c:v>
                </c:pt>
                <c:pt idx="4">
                  <c:v>0.24975751697381185</c:v>
                </c:pt>
                <c:pt idx="5">
                  <c:v>0.3948356807511737</c:v>
                </c:pt>
                <c:pt idx="6">
                  <c:v>0.51757220201872645</c:v>
                </c:pt>
                <c:pt idx="7">
                  <c:v>0.35000000000000003</c:v>
                </c:pt>
                <c:pt idx="8">
                  <c:v>0.32</c:v>
                </c:pt>
              </c:numCache>
            </c:numRef>
          </c:val>
          <c:smooth val="0"/>
          <c:extLst>
            <c:ext xmlns:c16="http://schemas.microsoft.com/office/drawing/2014/chart" uri="{C3380CC4-5D6E-409C-BE32-E72D297353CC}">
              <c16:uniqueId val="{00000002-183F-4643-AA39-68834D23D27E}"/>
            </c:ext>
          </c:extLst>
        </c:ser>
        <c:dLbls>
          <c:showLegendKey val="0"/>
          <c:showVal val="0"/>
          <c:showCatName val="0"/>
          <c:showSerName val="0"/>
          <c:showPercent val="0"/>
          <c:showBubbleSize val="0"/>
        </c:dLbls>
        <c:smooth val="0"/>
        <c:axId val="243661824"/>
        <c:axId val="243663616"/>
      </c:lineChart>
      <c:catAx>
        <c:axId val="243661824"/>
        <c:scaling>
          <c:orientation val="minMax"/>
        </c:scaling>
        <c:delete val="0"/>
        <c:axPos val="b"/>
        <c:numFmt formatCode="General" sourceLinked="1"/>
        <c:majorTickMark val="out"/>
        <c:minorTickMark val="none"/>
        <c:tickLblPos val="low"/>
        <c:crossAx val="243663616"/>
        <c:crosses val="autoZero"/>
        <c:auto val="1"/>
        <c:lblAlgn val="ctr"/>
        <c:lblOffset val="100"/>
        <c:noMultiLvlLbl val="0"/>
      </c:catAx>
      <c:valAx>
        <c:axId val="243663616"/>
        <c:scaling>
          <c:orientation val="minMax"/>
        </c:scaling>
        <c:delete val="0"/>
        <c:axPos val="l"/>
        <c:majorGridlines>
          <c:spPr>
            <a:ln w="3175">
              <a:solidFill>
                <a:srgbClr val="C0C0C0"/>
              </a:solidFill>
              <a:prstDash val="solid"/>
            </a:ln>
          </c:spPr>
        </c:majorGridlines>
        <c:title>
          <c:tx>
            <c:strRef>
              <c:f>Workings!$Z$78</c:f>
              <c:strCache>
                <c:ptCount val="1"/>
                <c:pt idx="0">
                  <c:v>Capex / revenues</c:v>
                </c:pt>
              </c:strCache>
            </c:strRef>
          </c:tx>
          <c:overlay val="0"/>
          <c:txPr>
            <a:bodyPr rot="-5400000" vert="horz"/>
            <a:lstStyle/>
            <a:p>
              <a:pPr>
                <a:defRPr/>
              </a:pPr>
              <a:endParaRPr lang="en-US"/>
            </a:p>
          </c:txPr>
        </c:title>
        <c:numFmt formatCode="0.0%" sourceLinked="1"/>
        <c:majorTickMark val="out"/>
        <c:minorTickMark val="none"/>
        <c:tickLblPos val="nextTo"/>
        <c:crossAx val="243661824"/>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Workings!$Z$84</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Workings!$AA$84:$AI$84</c:f>
              <c:numCache>
                <c:formatCode>[$€-83C]#,##0.0</c:formatCode>
                <c:ptCount val="9"/>
                <c:pt idx="0">
                  <c:v>58.727735368956743</c:v>
                </c:pt>
                <c:pt idx="1">
                  <c:v>58.791864288416214</c:v>
                </c:pt>
                <c:pt idx="2">
                  <c:v>63.034226631310482</c:v>
                </c:pt>
                <c:pt idx="3">
                  <c:v>66.502639220678901</c:v>
                </c:pt>
                <c:pt idx="4">
                  <c:v>59.395561977207848</c:v>
                </c:pt>
                <c:pt idx="5">
                  <c:v>57.887099728103912</c:v>
                </c:pt>
                <c:pt idx="6">
                  <c:v>61.672173445466271</c:v>
                </c:pt>
                <c:pt idx="7">
                  <c:v>64.580233034648543</c:v>
                </c:pt>
                <c:pt idx="8">
                  <c:v>67.559720450606932</c:v>
                </c:pt>
              </c:numCache>
            </c:numRef>
          </c:val>
          <c:smooth val="0"/>
          <c:extLst>
            <c:ext xmlns:c16="http://schemas.microsoft.com/office/drawing/2014/chart" uri="{C3380CC4-5D6E-409C-BE32-E72D297353CC}">
              <c16:uniqueId val="{00000000-F8BD-4EBE-A7FA-25A8E75A922D}"/>
            </c:ext>
          </c:extLst>
        </c:ser>
        <c:ser>
          <c:idx val="1"/>
          <c:order val="1"/>
          <c:tx>
            <c:strRef>
              <c:f>Workings!$Z$85</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Workings!$AA$85:$AI$85</c:f>
              <c:numCache>
                <c:formatCode>[$€-83C]#,##0.0</c:formatCode>
                <c:ptCount val="9"/>
                <c:pt idx="0">
                  <c:v>36.264665621068616</c:v>
                </c:pt>
                <c:pt idx="1">
                  <c:v>38.152680916583648</c:v>
                </c:pt>
                <c:pt idx="2">
                  <c:v>45.252570820464769</c:v>
                </c:pt>
                <c:pt idx="3">
                  <c:v>55.509160780811122</c:v>
                </c:pt>
                <c:pt idx="4">
                  <c:v>68.406969138371878</c:v>
                </c:pt>
                <c:pt idx="5">
                  <c:v>75.551223617179687</c:v>
                </c:pt>
                <c:pt idx="6">
                  <c:v>64.914124394422714</c:v>
                </c:pt>
                <c:pt idx="7">
                  <c:v>64.65095473044812</c:v>
                </c:pt>
                <c:pt idx="8">
                  <c:v>66.374203181748982</c:v>
                </c:pt>
              </c:numCache>
            </c:numRef>
          </c:val>
          <c:smooth val="0"/>
          <c:extLst>
            <c:ext xmlns:c16="http://schemas.microsoft.com/office/drawing/2014/chart" uri="{C3380CC4-5D6E-409C-BE32-E72D297353CC}">
              <c16:uniqueId val="{00000001-F8BD-4EBE-A7FA-25A8E75A922D}"/>
            </c:ext>
          </c:extLst>
        </c:ser>
        <c:ser>
          <c:idx val="2"/>
          <c:order val="2"/>
          <c:tx>
            <c:strRef>
              <c:f>Workings!$Z$86</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Workings!$AA$86:$AI$86</c:f>
              <c:numCache>
                <c:formatCode>[$€-83C]#,##0.0</c:formatCode>
                <c:ptCount val="9"/>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F8BD-4EBE-A7FA-25A8E75A922D}"/>
            </c:ext>
          </c:extLst>
        </c:ser>
        <c:dLbls>
          <c:showLegendKey val="0"/>
          <c:showVal val="0"/>
          <c:showCatName val="0"/>
          <c:showSerName val="0"/>
          <c:showPercent val="0"/>
          <c:showBubbleSize val="0"/>
        </c:dLbls>
        <c:smooth val="0"/>
        <c:axId val="243719552"/>
        <c:axId val="243725440"/>
      </c:lineChart>
      <c:catAx>
        <c:axId val="243719552"/>
        <c:scaling>
          <c:orientation val="minMax"/>
        </c:scaling>
        <c:delete val="0"/>
        <c:axPos val="b"/>
        <c:numFmt formatCode="General" sourceLinked="1"/>
        <c:majorTickMark val="out"/>
        <c:minorTickMark val="none"/>
        <c:tickLblPos val="low"/>
        <c:crossAx val="243725440"/>
        <c:crosses val="autoZero"/>
        <c:auto val="1"/>
        <c:lblAlgn val="ctr"/>
        <c:lblOffset val="100"/>
        <c:noMultiLvlLbl val="0"/>
      </c:catAx>
      <c:valAx>
        <c:axId val="243725440"/>
        <c:scaling>
          <c:orientation val="minMax"/>
        </c:scaling>
        <c:delete val="0"/>
        <c:axPos val="l"/>
        <c:majorGridlines>
          <c:spPr>
            <a:ln w="3175">
              <a:solidFill>
                <a:srgbClr val="C0C0C0"/>
              </a:solidFill>
              <a:prstDash val="solid"/>
            </a:ln>
          </c:spPr>
        </c:majorGridlines>
        <c:title>
          <c:tx>
            <c:strRef>
              <c:f>Workings!$Z$83</c:f>
              <c:strCache>
                <c:ptCount val="1"/>
                <c:pt idx="0">
                  <c:v>Capex / customer €/yr</c:v>
                </c:pt>
              </c:strCache>
            </c:strRef>
          </c:tx>
          <c:overlay val="0"/>
          <c:txPr>
            <a:bodyPr rot="-5400000" vert="horz"/>
            <a:lstStyle/>
            <a:p>
              <a:pPr>
                <a:defRPr/>
              </a:pPr>
              <a:endParaRPr lang="en-US"/>
            </a:p>
          </c:txPr>
        </c:title>
        <c:numFmt formatCode="[$€-83C]#,##0" sourceLinked="0"/>
        <c:majorTickMark val="out"/>
        <c:minorTickMark val="none"/>
        <c:tickLblPos val="nextTo"/>
        <c:crossAx val="243719552"/>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08247038242502"/>
          <c:y val="5.0925925925925923E-2"/>
          <c:w val="0.80690900607989446"/>
          <c:h val="0.72748213764946046"/>
        </c:manualLayout>
      </c:layout>
      <c:lineChart>
        <c:grouping val="standard"/>
        <c:varyColors val="0"/>
        <c:ser>
          <c:idx val="0"/>
          <c:order val="0"/>
          <c:tx>
            <c:strRef>
              <c:f>Workings!$Z$89</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Workings!$AA$89:$AI$89</c:f>
              <c:numCache>
                <c:formatCode>[$€-83C]#,##0.0</c:formatCode>
                <c:ptCount val="9"/>
                <c:pt idx="0">
                  <c:v>46.395956579174083</c:v>
                </c:pt>
                <c:pt idx="1">
                  <c:v>43.305863063024447</c:v>
                </c:pt>
                <c:pt idx="2">
                  <c:v>43.554233108006912</c:v>
                </c:pt>
                <c:pt idx="3">
                  <c:v>43.197688194273447</c:v>
                </c:pt>
                <c:pt idx="4">
                  <c:v>36.717573295036601</c:v>
                </c:pt>
                <c:pt idx="5">
                  <c:v>34.38378631677601</c:v>
                </c:pt>
                <c:pt idx="6">
                  <c:v>35.400230156202433</c:v>
                </c:pt>
                <c:pt idx="7">
                  <c:v>35.841096653883959</c:v>
                </c:pt>
                <c:pt idx="8">
                  <c:v>36.297548495222813</c:v>
                </c:pt>
              </c:numCache>
            </c:numRef>
          </c:val>
          <c:smooth val="0"/>
          <c:extLst>
            <c:ext xmlns:c16="http://schemas.microsoft.com/office/drawing/2014/chart" uri="{C3380CC4-5D6E-409C-BE32-E72D297353CC}">
              <c16:uniqueId val="{00000000-CED5-4373-81F1-F0ED904B6784}"/>
            </c:ext>
          </c:extLst>
        </c:ser>
        <c:ser>
          <c:idx val="1"/>
          <c:order val="1"/>
          <c:tx>
            <c:strRef>
              <c:f>Workings!$Z$90</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Workings!$AA$90:$AI$90</c:f>
              <c:numCache>
                <c:formatCode>[$€-83C]#,##0.0</c:formatCode>
                <c:ptCount val="9"/>
                <c:pt idx="0">
                  <c:v>30.17579133771121</c:v>
                </c:pt>
                <c:pt idx="1">
                  <c:v>30.025838642134808</c:v>
                </c:pt>
                <c:pt idx="2">
                  <c:v>33.720752830440759</c:v>
                </c:pt>
                <c:pt idx="3">
                  <c:v>39.285622200689509</c:v>
                </c:pt>
                <c:pt idx="4">
                  <c:v>46.224936713947031</c:v>
                </c:pt>
                <c:pt idx="5">
                  <c:v>48.976645112356145</c:v>
                </c:pt>
                <c:pt idx="6">
                  <c:v>40.457063134345155</c:v>
                </c:pt>
                <c:pt idx="7">
                  <c:v>38.830104393509671</c:v>
                </c:pt>
                <c:pt idx="8">
                  <c:v>38.503876933949286</c:v>
                </c:pt>
              </c:numCache>
            </c:numRef>
          </c:val>
          <c:smooth val="0"/>
          <c:extLst>
            <c:ext xmlns:c16="http://schemas.microsoft.com/office/drawing/2014/chart" uri="{C3380CC4-5D6E-409C-BE32-E72D297353CC}">
              <c16:uniqueId val="{00000001-CED5-4373-81F1-F0ED904B6784}"/>
            </c:ext>
          </c:extLst>
        </c:ser>
        <c:ser>
          <c:idx val="2"/>
          <c:order val="2"/>
          <c:tx>
            <c:strRef>
              <c:f>Workings!$Z$91</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Workings!$AA$91:$AI$91</c:f>
              <c:numCache>
                <c:formatCode>[$€-83C]#,##0.0</c:formatCode>
                <c:ptCount val="9"/>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CED5-4373-81F1-F0ED904B6784}"/>
            </c:ext>
          </c:extLst>
        </c:ser>
        <c:dLbls>
          <c:showLegendKey val="0"/>
          <c:showVal val="0"/>
          <c:showCatName val="0"/>
          <c:showSerName val="0"/>
          <c:showPercent val="0"/>
          <c:showBubbleSize val="0"/>
        </c:dLbls>
        <c:smooth val="0"/>
        <c:axId val="243830784"/>
        <c:axId val="243832320"/>
      </c:lineChart>
      <c:catAx>
        <c:axId val="243830784"/>
        <c:scaling>
          <c:orientation val="minMax"/>
        </c:scaling>
        <c:delete val="0"/>
        <c:axPos val="b"/>
        <c:numFmt formatCode="General" sourceLinked="1"/>
        <c:majorTickMark val="out"/>
        <c:minorTickMark val="none"/>
        <c:tickLblPos val="low"/>
        <c:crossAx val="243832320"/>
        <c:crosses val="autoZero"/>
        <c:auto val="1"/>
        <c:lblAlgn val="ctr"/>
        <c:lblOffset val="100"/>
        <c:noMultiLvlLbl val="0"/>
      </c:catAx>
      <c:valAx>
        <c:axId val="243832320"/>
        <c:scaling>
          <c:orientation val="minMax"/>
        </c:scaling>
        <c:delete val="0"/>
        <c:axPos val="l"/>
        <c:majorGridlines>
          <c:spPr>
            <a:ln w="3175">
              <a:solidFill>
                <a:srgbClr val="C0C0C0"/>
              </a:solidFill>
              <a:prstDash val="solid"/>
            </a:ln>
          </c:spPr>
        </c:majorGridlines>
        <c:title>
          <c:tx>
            <c:strRef>
              <c:f>Workings!$Z$88</c:f>
              <c:strCache>
                <c:ptCount val="1"/>
                <c:pt idx="0">
                  <c:v>Capex / RGU € / yr</c:v>
                </c:pt>
              </c:strCache>
            </c:strRef>
          </c:tx>
          <c:layout>
            <c:manualLayout>
              <c:xMode val="edge"/>
              <c:yMode val="edge"/>
              <c:x val="3.2736571132015162E-2"/>
              <c:y val="0.20178514144065327"/>
            </c:manualLayout>
          </c:layout>
          <c:overlay val="0"/>
          <c:txPr>
            <a:bodyPr rot="-5400000" vert="horz"/>
            <a:lstStyle/>
            <a:p>
              <a:pPr>
                <a:defRPr/>
              </a:pPr>
              <a:endParaRPr lang="en-US"/>
            </a:p>
          </c:txPr>
        </c:title>
        <c:numFmt formatCode="[$€-83C]#,##0" sourceLinked="0"/>
        <c:majorTickMark val="out"/>
        <c:minorTickMark val="none"/>
        <c:tickLblPos val="nextTo"/>
        <c:crossAx val="243830784"/>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49274521662737"/>
          <c:y val="0.2073705470831016"/>
          <c:w val="0.71957100934557017"/>
          <c:h val="0.83075459317585298"/>
        </c:manualLayout>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F949-4BD9-8842-692EE3C3386A}"/>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F949-4BD9-8842-692EE3C3386A}"/>
              </c:ext>
            </c:extLst>
          </c:dPt>
          <c:dLbls>
            <c:spPr>
              <a:noFill/>
              <a:ln>
                <a:noFill/>
              </a:ln>
              <a:effectLst/>
            </c:spPr>
            <c:txPr>
              <a:bodyPr/>
              <a:lstStyle/>
              <a:p>
                <a:pPr>
                  <a:defRPr sz="1200">
                    <a:solidFill>
                      <a:schemeClr val="bg1"/>
                    </a:solidFill>
                  </a:defRPr>
                </a:pPr>
                <a:endParaRPr lang="en-US"/>
              </a:p>
            </c:txPr>
            <c:showLegendKey val="0"/>
            <c:showVal val="1"/>
            <c:showCatName val="0"/>
            <c:showSerName val="0"/>
            <c:showPercent val="1"/>
            <c:showBubbleSize val="0"/>
            <c:showLeaderLines val="0"/>
            <c:extLst>
              <c:ext xmlns:c15="http://schemas.microsoft.com/office/drawing/2012/chart" uri="{CE6537A1-D6FC-4f65-9D91-7224C49458BB}"/>
            </c:extLst>
          </c:dLbls>
          <c:cat>
            <c:strRef>
              <c:f>Workings!$B$117:$B$118</c:f>
              <c:strCache>
                <c:ptCount val="2"/>
                <c:pt idx="0">
                  <c:v>Own network</c:v>
                </c:pt>
                <c:pt idx="1">
                  <c:v>3rd party</c:v>
                </c:pt>
              </c:strCache>
            </c:strRef>
          </c:cat>
          <c:val>
            <c:numRef>
              <c:f>Workings!$C$117:$C$118</c:f>
              <c:numCache>
                <c:formatCode>#,##0;\(#,##0\)</c:formatCode>
                <c:ptCount val="2"/>
                <c:pt idx="0">
                  <c:v>1194</c:v>
                </c:pt>
                <c:pt idx="1">
                  <c:v>525.25</c:v>
                </c:pt>
              </c:numCache>
            </c:numRef>
          </c:val>
          <c:extLst>
            <c:ext xmlns:c16="http://schemas.microsoft.com/office/drawing/2014/chart" uri="{C3380CC4-5D6E-409C-BE32-E72D297353CC}">
              <c16:uniqueId val="{00000004-F949-4BD9-8842-692EE3C3386A}"/>
            </c:ext>
          </c:extLst>
        </c:ser>
        <c:dLbls>
          <c:showLegendKey val="0"/>
          <c:showVal val="1"/>
          <c:showCatName val="0"/>
          <c:showSerName val="0"/>
          <c:showPercent val="0"/>
          <c:showBubbleSize val="0"/>
          <c:showLeaderLines val="0"/>
        </c:dLbls>
        <c:firstSliceAng val="0"/>
      </c:pieChart>
      <c:spPr>
        <a:noFill/>
        <a:ln w="25400">
          <a:noFill/>
        </a:ln>
      </c:spPr>
    </c:plotArea>
    <c:legend>
      <c:legendPos val="b"/>
      <c:layout>
        <c:manualLayout>
          <c:xMode val="edge"/>
          <c:yMode val="edge"/>
          <c:x val="5.000001874766357E-2"/>
          <c:y val="2.3085794573076079E-2"/>
          <c:w val="0.89999996250467285"/>
          <c:h val="0.10950404433646538"/>
        </c:manualLayout>
      </c:layout>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49274521662737"/>
          <c:y val="0.2073705470831016"/>
          <c:w val="0.71957100934557017"/>
          <c:h val="0.83075459317585298"/>
        </c:manualLayout>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0D9E-4C2D-AF01-EB9BA478B1EA}"/>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0D9E-4C2D-AF01-EB9BA478B1EA}"/>
              </c:ext>
            </c:extLst>
          </c:dPt>
          <c:dLbls>
            <c:spPr>
              <a:noFill/>
              <a:ln>
                <a:noFill/>
              </a:ln>
              <a:effectLst/>
            </c:spPr>
            <c:txPr>
              <a:bodyPr/>
              <a:lstStyle/>
              <a:p>
                <a:pPr>
                  <a:defRPr sz="1200">
                    <a:solidFill>
                      <a:schemeClr val="bg1"/>
                    </a:solidFill>
                  </a:defRPr>
                </a:pPr>
                <a:endParaRPr lang="en-US"/>
              </a:p>
            </c:txPr>
            <c:showLegendKey val="0"/>
            <c:showVal val="1"/>
            <c:showCatName val="0"/>
            <c:showSerName val="0"/>
            <c:showPercent val="1"/>
            <c:showBubbleSize val="0"/>
            <c:showLeaderLines val="0"/>
            <c:extLst>
              <c:ext xmlns:c15="http://schemas.microsoft.com/office/drawing/2012/chart" uri="{CE6537A1-D6FC-4f65-9D91-7224C49458BB}"/>
            </c:extLst>
          </c:dLbls>
          <c:cat>
            <c:strRef>
              <c:f>Workings!$B$120:$B$121</c:f>
              <c:strCache>
                <c:ptCount val="2"/>
                <c:pt idx="0">
                  <c:v>Upgraded</c:v>
                </c:pt>
                <c:pt idx="1">
                  <c:v>Non-upgraded</c:v>
                </c:pt>
              </c:strCache>
            </c:strRef>
          </c:cat>
          <c:val>
            <c:numRef>
              <c:f>Workings!$E$120:$E$121</c:f>
              <c:numCache>
                <c:formatCode>#,##0;\(#,##0\)</c:formatCode>
                <c:ptCount val="2"/>
                <c:pt idx="0">
                  <c:v>1067.9780000000001</c:v>
                </c:pt>
                <c:pt idx="1">
                  <c:v>652</c:v>
                </c:pt>
              </c:numCache>
            </c:numRef>
          </c:val>
          <c:extLst>
            <c:ext xmlns:c16="http://schemas.microsoft.com/office/drawing/2014/chart" uri="{C3380CC4-5D6E-409C-BE32-E72D297353CC}">
              <c16:uniqueId val="{00000004-0D9E-4C2D-AF01-EB9BA478B1EA}"/>
            </c:ext>
          </c:extLst>
        </c:ser>
        <c:dLbls>
          <c:showLegendKey val="0"/>
          <c:showVal val="1"/>
          <c:showCatName val="0"/>
          <c:showSerName val="0"/>
          <c:showPercent val="0"/>
          <c:showBubbleSize val="0"/>
          <c:showLeaderLines val="0"/>
        </c:dLbls>
        <c:firstSliceAng val="0"/>
      </c:pieChart>
      <c:spPr>
        <a:noFill/>
        <a:ln w="25400">
          <a:noFill/>
        </a:ln>
      </c:spPr>
    </c:plotArea>
    <c:legend>
      <c:legendPos val="b"/>
      <c:layout>
        <c:manualLayout>
          <c:xMode val="edge"/>
          <c:yMode val="edge"/>
          <c:x val="5.000001874766357E-2"/>
          <c:y val="2.3085794573076079E-2"/>
          <c:w val="0.89999996250467285"/>
          <c:h val="0.10950404433646538"/>
        </c:manualLayout>
      </c:layout>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'Model also  old'!$A$112</c:f>
              <c:strCache>
                <c:ptCount val="1"/>
                <c:pt idx="0">
                  <c:v>Normalised EBITDA</c:v>
                </c:pt>
              </c:strCache>
            </c:strRef>
          </c:tx>
          <c:spPr>
            <a:solidFill>
              <a:srgbClr val="000080"/>
            </a:solidFill>
            <a:ln w="25400">
              <a:noFill/>
            </a:ln>
          </c:spPr>
          <c:invertIfNegative val="0"/>
          <c:cat>
            <c:strRef>
              <c:f>'Model also  old'!$B$88:$O$88</c:f>
              <c:strCache>
                <c:ptCount val="8"/>
                <c:pt idx="0">
                  <c:v>2011A</c:v>
                </c:pt>
                <c:pt idx="1">
                  <c:v>2012A</c:v>
                </c:pt>
                <c:pt idx="2">
                  <c:v>2013A</c:v>
                </c:pt>
                <c:pt idx="3">
                  <c:v>2014A</c:v>
                </c:pt>
                <c:pt idx="4">
                  <c:v>PF 2015E</c:v>
                </c:pt>
                <c:pt idx="6">
                  <c:v>2016E</c:v>
                </c:pt>
                <c:pt idx="7">
                  <c:v>2017E</c:v>
                </c:pt>
              </c:strCache>
            </c:strRef>
          </c:cat>
          <c:val>
            <c:numRef>
              <c:f>'Model also  old'!$B$112:$O$112</c:f>
              <c:numCache>
                <c:formatCode>#,##0.0_);\(#,##0.0\);#,##0.0_);@_)</c:formatCode>
                <c:ptCount val="8"/>
                <c:pt idx="0">
                  <c:v>78.400000000000006</c:v>
                </c:pt>
                <c:pt idx="1">
                  <c:v>87.1</c:v>
                </c:pt>
                <c:pt idx="2">
                  <c:v>88.1</c:v>
                </c:pt>
                <c:pt idx="3">
                  <c:v>99.032977691561598</c:v>
                </c:pt>
                <c:pt idx="4">
                  <c:v>233.79999999999998</c:v>
                </c:pt>
                <c:pt idx="6">
                  <c:v>243.77071825562595</c:v>
                </c:pt>
                <c:pt idx="7">
                  <c:v>272.29193096845711</c:v>
                </c:pt>
              </c:numCache>
            </c:numRef>
          </c:val>
          <c:extLst>
            <c:ext xmlns:c16="http://schemas.microsoft.com/office/drawing/2014/chart" uri="{C3380CC4-5D6E-409C-BE32-E72D297353CC}">
              <c16:uniqueId val="{00000000-70A1-4CAA-B521-4434C6E3FC42}"/>
            </c:ext>
          </c:extLst>
        </c:ser>
        <c:dLbls>
          <c:showLegendKey val="0"/>
          <c:showVal val="0"/>
          <c:showCatName val="0"/>
          <c:showSerName val="0"/>
          <c:showPercent val="0"/>
          <c:showBubbleSize val="0"/>
        </c:dLbls>
        <c:gapWidth val="150"/>
        <c:overlap val="100"/>
        <c:axId val="862464"/>
        <c:axId val="876544"/>
      </c:barChart>
      <c:lineChart>
        <c:grouping val="standard"/>
        <c:varyColors val="0"/>
        <c:ser>
          <c:idx val="4"/>
          <c:order val="1"/>
          <c:tx>
            <c:strRef>
              <c:f>'Model also  old'!$A$113</c:f>
              <c:strCache>
                <c:ptCount val="1"/>
                <c:pt idx="0">
                  <c:v>% margin</c:v>
                </c:pt>
              </c:strCache>
            </c:strRef>
          </c:tx>
          <c:marker>
            <c:symbol val="none"/>
          </c:marker>
          <c:cat>
            <c:strRef>
              <c:f>'Model also  old'!$B$88:$O$88</c:f>
              <c:strCache>
                <c:ptCount val="8"/>
                <c:pt idx="0">
                  <c:v>2011A</c:v>
                </c:pt>
                <c:pt idx="1">
                  <c:v>2012A</c:v>
                </c:pt>
                <c:pt idx="2">
                  <c:v>2013A</c:v>
                </c:pt>
                <c:pt idx="3">
                  <c:v>2014A</c:v>
                </c:pt>
                <c:pt idx="4">
                  <c:v>PF 2015E</c:v>
                </c:pt>
                <c:pt idx="6">
                  <c:v>2016E</c:v>
                </c:pt>
                <c:pt idx="7">
                  <c:v>2017E</c:v>
                </c:pt>
              </c:strCache>
            </c:strRef>
          </c:cat>
          <c:val>
            <c:numRef>
              <c:f>'Model also  old'!$B$113:$O$113</c:f>
              <c:numCache>
                <c:formatCode>0.0%_);\(0.0%\);0.0%_);@_)</c:formatCode>
                <c:ptCount val="8"/>
                <c:pt idx="0">
                  <c:v>0.38300000000000001</c:v>
                </c:pt>
                <c:pt idx="1">
                  <c:v>0.42399999999999999</c:v>
                </c:pt>
                <c:pt idx="2">
                  <c:v>0.42699999999999999</c:v>
                </c:pt>
                <c:pt idx="3">
                  <c:v>0.4649435572373784</c:v>
                </c:pt>
                <c:pt idx="4">
                  <c:v>0.50748860429780762</c:v>
                </c:pt>
                <c:pt idx="6">
                  <c:v>0.50993243113530551</c:v>
                </c:pt>
                <c:pt idx="7">
                  <c:v>0.54063186320102696</c:v>
                </c:pt>
              </c:numCache>
            </c:numRef>
          </c:val>
          <c:smooth val="0"/>
          <c:extLst>
            <c:ext xmlns:c16="http://schemas.microsoft.com/office/drawing/2014/chart" uri="{C3380CC4-5D6E-409C-BE32-E72D297353CC}">
              <c16:uniqueId val="{00000001-70A1-4CAA-B521-4434C6E3FC42}"/>
            </c:ext>
          </c:extLst>
        </c:ser>
        <c:dLbls>
          <c:showLegendKey val="0"/>
          <c:showVal val="0"/>
          <c:showCatName val="0"/>
          <c:showSerName val="0"/>
          <c:showPercent val="0"/>
          <c:showBubbleSize val="0"/>
        </c:dLbls>
        <c:marker val="1"/>
        <c:smooth val="0"/>
        <c:axId val="880000"/>
        <c:axId val="878464"/>
      </c:lineChart>
      <c:catAx>
        <c:axId val="862464"/>
        <c:scaling>
          <c:orientation val="minMax"/>
        </c:scaling>
        <c:delete val="0"/>
        <c:axPos val="b"/>
        <c:numFmt formatCode="General" sourceLinked="0"/>
        <c:majorTickMark val="out"/>
        <c:minorTickMark val="none"/>
        <c:tickLblPos val="nextTo"/>
        <c:crossAx val="876544"/>
        <c:crosses val="autoZero"/>
        <c:auto val="1"/>
        <c:lblAlgn val="ctr"/>
        <c:lblOffset val="100"/>
        <c:noMultiLvlLbl val="0"/>
      </c:catAx>
      <c:valAx>
        <c:axId val="876544"/>
        <c:scaling>
          <c:orientation val="minMax"/>
        </c:scaling>
        <c:delete val="0"/>
        <c:axPos val="l"/>
        <c:majorGridlines>
          <c:spPr>
            <a:ln w="3175">
              <a:solidFill>
                <a:srgbClr val="C0C0C0"/>
              </a:solidFill>
              <a:prstDash val="solid"/>
            </a:ln>
          </c:spPr>
        </c:majorGridlines>
        <c:title>
          <c:tx>
            <c:rich>
              <a:bodyPr rot="-5400000" vert="horz"/>
              <a:lstStyle/>
              <a:p>
                <a:pPr>
                  <a:defRPr/>
                </a:pPr>
                <a:r>
                  <a:rPr lang="en-US"/>
                  <a:t>EBITDA € millions</a:t>
                </a:r>
              </a:p>
            </c:rich>
          </c:tx>
          <c:overlay val="0"/>
        </c:title>
        <c:numFmt formatCode="#,##0" sourceLinked="0"/>
        <c:majorTickMark val="out"/>
        <c:minorTickMark val="none"/>
        <c:tickLblPos val="nextTo"/>
        <c:crossAx val="862464"/>
        <c:crosses val="autoZero"/>
        <c:crossBetween val="between"/>
      </c:valAx>
      <c:valAx>
        <c:axId val="878464"/>
        <c:scaling>
          <c:orientation val="minMax"/>
        </c:scaling>
        <c:delete val="0"/>
        <c:axPos val="r"/>
        <c:numFmt formatCode="0%" sourceLinked="0"/>
        <c:majorTickMark val="out"/>
        <c:minorTickMark val="none"/>
        <c:tickLblPos val="nextTo"/>
        <c:crossAx val="880000"/>
        <c:crosses val="max"/>
        <c:crossBetween val="between"/>
      </c:valAx>
      <c:catAx>
        <c:axId val="880000"/>
        <c:scaling>
          <c:orientation val="minMax"/>
        </c:scaling>
        <c:delete val="1"/>
        <c:axPos val="b"/>
        <c:numFmt formatCode="General" sourceLinked="1"/>
        <c:majorTickMark val="out"/>
        <c:minorTickMark val="none"/>
        <c:tickLblPos val="nextTo"/>
        <c:crossAx val="878464"/>
        <c:crosses val="autoZero"/>
        <c:auto val="1"/>
        <c:lblAlgn val="ctr"/>
        <c:lblOffset val="100"/>
        <c:noMultiLvlLbl val="0"/>
      </c:cat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7096456060755201"/>
          <c:y val="0.2004277228454501"/>
          <c:w val="0.57594342831495382"/>
          <c:h val="0.75512405194261312"/>
        </c:manualLayout>
      </c:layout>
      <c:barChart>
        <c:barDir val="bar"/>
        <c:grouping val="stacked"/>
        <c:varyColors val="0"/>
        <c:ser>
          <c:idx val="0"/>
          <c:order val="0"/>
          <c:tx>
            <c:strRef>
              <c:f>Workings!$B$120</c:f>
              <c:strCache>
                <c:ptCount val="1"/>
                <c:pt idx="0">
                  <c:v>Upgraded</c:v>
                </c:pt>
              </c:strCache>
            </c:strRef>
          </c:tx>
          <c:spPr>
            <a:solidFill>
              <a:srgbClr val="000080"/>
            </a:solidFill>
            <a:ln w="25400">
              <a:noFill/>
            </a:ln>
          </c:spPr>
          <c:invertIfNegative val="0"/>
          <c:dLbls>
            <c:dLbl>
              <c:idx val="1"/>
              <c:layout>
                <c:manualLayout>
                  <c:x val="3.378582523113266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04-427F-98E9-19C48F15F0F1}"/>
                </c:ext>
              </c:extLst>
            </c:dLbl>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Workings!$C$119:$D$119</c:f>
              <c:strCache>
                <c:ptCount val="2"/>
                <c:pt idx="0">
                  <c:v>Own</c:v>
                </c:pt>
                <c:pt idx="1">
                  <c:v>3rd party</c:v>
                </c:pt>
              </c:strCache>
            </c:strRef>
          </c:cat>
          <c:val>
            <c:numRef>
              <c:f>Workings!$C$120:$D$120</c:f>
              <c:numCache>
                <c:formatCode>#,##0;\(#,##0\)</c:formatCode>
                <c:ptCount val="2"/>
                <c:pt idx="0">
                  <c:v>932.47799999999995</c:v>
                </c:pt>
                <c:pt idx="1">
                  <c:v>135.5</c:v>
                </c:pt>
              </c:numCache>
            </c:numRef>
          </c:val>
          <c:extLst>
            <c:ext xmlns:c16="http://schemas.microsoft.com/office/drawing/2014/chart" uri="{C3380CC4-5D6E-409C-BE32-E72D297353CC}">
              <c16:uniqueId val="{00000001-7A04-427F-98E9-19C48F15F0F1}"/>
            </c:ext>
          </c:extLst>
        </c:ser>
        <c:ser>
          <c:idx val="1"/>
          <c:order val="1"/>
          <c:tx>
            <c:strRef>
              <c:f>Workings!$B$121</c:f>
              <c:strCache>
                <c:ptCount val="1"/>
                <c:pt idx="0">
                  <c:v>Non-upgraded</c:v>
                </c:pt>
              </c:strCache>
            </c:strRef>
          </c:tx>
          <c:spPr>
            <a:solidFill>
              <a:srgbClr val="9999FF"/>
            </a:solidFill>
            <a:ln w="25400">
              <a:noFill/>
            </a:ln>
          </c:spPr>
          <c:invertIfNegative val="0"/>
          <c:dLbls>
            <c:dLbl>
              <c:idx val="0"/>
              <c:layout>
                <c:manualLayout>
                  <c:x val="0.13514330092453067"/>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04-427F-98E9-19C48F15F0F1}"/>
                </c:ext>
              </c:extLst>
            </c:dLbl>
            <c:dLbl>
              <c:idx val="1"/>
              <c:layout>
                <c:manualLayout>
                  <c:x val="0.23650077661792868"/>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04-427F-98E9-19C48F15F0F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Workings!$C$119:$D$119</c:f>
              <c:strCache>
                <c:ptCount val="2"/>
                <c:pt idx="0">
                  <c:v>Own</c:v>
                </c:pt>
                <c:pt idx="1">
                  <c:v>3rd party</c:v>
                </c:pt>
              </c:strCache>
            </c:strRef>
          </c:cat>
          <c:val>
            <c:numRef>
              <c:f>Workings!$C$121:$D$121</c:f>
              <c:numCache>
                <c:formatCode>#,##0;\(#,##0\)</c:formatCode>
                <c:ptCount val="2"/>
                <c:pt idx="0">
                  <c:v>261.52200000000005</c:v>
                </c:pt>
                <c:pt idx="1">
                  <c:v>389.75</c:v>
                </c:pt>
              </c:numCache>
            </c:numRef>
          </c:val>
          <c:extLst>
            <c:ext xmlns:c16="http://schemas.microsoft.com/office/drawing/2014/chart" uri="{C3380CC4-5D6E-409C-BE32-E72D297353CC}">
              <c16:uniqueId val="{00000004-7A04-427F-98E9-19C48F15F0F1}"/>
            </c:ext>
          </c:extLst>
        </c:ser>
        <c:dLbls>
          <c:showLegendKey val="0"/>
          <c:showVal val="1"/>
          <c:showCatName val="0"/>
          <c:showSerName val="0"/>
          <c:showPercent val="0"/>
          <c:showBubbleSize val="0"/>
        </c:dLbls>
        <c:gapWidth val="150"/>
        <c:overlap val="100"/>
        <c:axId val="244065792"/>
        <c:axId val="244067328"/>
      </c:barChart>
      <c:catAx>
        <c:axId val="244065792"/>
        <c:scaling>
          <c:orientation val="minMax"/>
        </c:scaling>
        <c:delete val="0"/>
        <c:axPos val="l"/>
        <c:numFmt formatCode="General" sourceLinked="0"/>
        <c:majorTickMark val="out"/>
        <c:minorTickMark val="none"/>
        <c:tickLblPos val="nextTo"/>
        <c:crossAx val="244067328"/>
        <c:crosses val="autoZero"/>
        <c:auto val="1"/>
        <c:lblAlgn val="ctr"/>
        <c:lblOffset val="100"/>
        <c:noMultiLvlLbl val="0"/>
      </c:catAx>
      <c:valAx>
        <c:axId val="244067328"/>
        <c:scaling>
          <c:orientation val="minMax"/>
        </c:scaling>
        <c:delete val="1"/>
        <c:axPos val="b"/>
        <c:numFmt formatCode="#,##0;\(#,##0\)" sourceLinked="1"/>
        <c:majorTickMark val="out"/>
        <c:minorTickMark val="none"/>
        <c:tickLblPos val="nextTo"/>
        <c:crossAx val="244065792"/>
        <c:crosses val="autoZero"/>
        <c:crossBetween val="between"/>
      </c:valAx>
      <c:spPr>
        <a:noFill/>
        <a:ln w="25400">
          <a:noFill/>
        </a:ln>
      </c:spPr>
    </c:plotArea>
    <c:legend>
      <c:legendPos val="b"/>
      <c:layout>
        <c:manualLayout>
          <c:xMode val="edge"/>
          <c:yMode val="edge"/>
          <c:x val="4.9999980997848574E-2"/>
          <c:y val="3.6517338325999307E-2"/>
          <c:w val="0.89999965796127435"/>
          <c:h val="0.10799847879707954"/>
        </c:manualLayout>
      </c:layout>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Workings!$B$130</c:f>
              <c:strCache>
                <c:ptCount val="1"/>
                <c:pt idx="0">
                  <c:v>Revenues</c:v>
                </c:pt>
              </c:strCache>
            </c:strRef>
          </c:tx>
          <c:spPr>
            <a:ln w="25400">
              <a:solidFill>
                <a:srgbClr val="333399"/>
              </a:solidFill>
              <a:prstDash val="solid"/>
            </a:ln>
            <a:effectLst/>
          </c:spPr>
          <c:marker>
            <c:symbol val="none"/>
          </c:marker>
          <c:cat>
            <c:numRef>
              <c:f>Workings!$C$129:$F$129</c:f>
              <c:numCache>
                <c:formatCode>General</c:formatCode>
                <c:ptCount val="4"/>
                <c:pt idx="0">
                  <c:v>2011</c:v>
                </c:pt>
                <c:pt idx="1">
                  <c:v>2012</c:v>
                </c:pt>
                <c:pt idx="2">
                  <c:v>2013</c:v>
                </c:pt>
                <c:pt idx="3">
                  <c:v>2014</c:v>
                </c:pt>
              </c:numCache>
            </c:numRef>
          </c:cat>
          <c:val>
            <c:numRef>
              <c:f>Workings!$C$130:$F$130</c:f>
              <c:numCache>
                <c:formatCode>#,##0;\(#,##0\)</c:formatCode>
                <c:ptCount val="4"/>
                <c:pt idx="0">
                  <c:v>204.7</c:v>
                </c:pt>
                <c:pt idx="1">
                  <c:v>205.3</c:v>
                </c:pt>
                <c:pt idx="2">
                  <c:v>206.2</c:v>
                </c:pt>
                <c:pt idx="3">
                  <c:v>213</c:v>
                </c:pt>
              </c:numCache>
            </c:numRef>
          </c:val>
          <c:smooth val="0"/>
          <c:extLst>
            <c:ext xmlns:c16="http://schemas.microsoft.com/office/drawing/2014/chart" uri="{C3380CC4-5D6E-409C-BE32-E72D297353CC}">
              <c16:uniqueId val="{00000000-C769-4EAD-8665-5803D96B7C03}"/>
            </c:ext>
          </c:extLst>
        </c:ser>
        <c:ser>
          <c:idx val="1"/>
          <c:order val="1"/>
          <c:tx>
            <c:strRef>
              <c:f>Workings!$B$131</c:f>
              <c:strCache>
                <c:ptCount val="1"/>
                <c:pt idx="0">
                  <c:v>EBITDA Adj.</c:v>
                </c:pt>
              </c:strCache>
            </c:strRef>
          </c:tx>
          <c:spPr>
            <a:ln w="25400">
              <a:solidFill>
                <a:srgbClr val="99CCFF"/>
              </a:solidFill>
              <a:prstDash val="solid"/>
            </a:ln>
            <a:effectLst/>
          </c:spPr>
          <c:marker>
            <c:symbol val="none"/>
          </c:marker>
          <c:cat>
            <c:numRef>
              <c:f>Workings!$C$129:$F$129</c:f>
              <c:numCache>
                <c:formatCode>General</c:formatCode>
                <c:ptCount val="4"/>
                <c:pt idx="0">
                  <c:v>2011</c:v>
                </c:pt>
                <c:pt idx="1">
                  <c:v>2012</c:v>
                </c:pt>
                <c:pt idx="2">
                  <c:v>2013</c:v>
                </c:pt>
                <c:pt idx="3">
                  <c:v>2014</c:v>
                </c:pt>
              </c:numCache>
            </c:numRef>
          </c:cat>
          <c:val>
            <c:numRef>
              <c:f>Workings!$C$131:$F$131</c:f>
              <c:numCache>
                <c:formatCode>#,##0;\(#,##0\)</c:formatCode>
                <c:ptCount val="4"/>
                <c:pt idx="0">
                  <c:v>78.400000000000006</c:v>
                </c:pt>
                <c:pt idx="1">
                  <c:v>87.1</c:v>
                </c:pt>
                <c:pt idx="2">
                  <c:v>88.1</c:v>
                </c:pt>
                <c:pt idx="3">
                  <c:v>99.032977691561598</c:v>
                </c:pt>
              </c:numCache>
            </c:numRef>
          </c:val>
          <c:smooth val="0"/>
          <c:extLst>
            <c:ext xmlns:c16="http://schemas.microsoft.com/office/drawing/2014/chart" uri="{C3380CC4-5D6E-409C-BE32-E72D297353CC}">
              <c16:uniqueId val="{00000001-C769-4EAD-8665-5803D96B7C03}"/>
            </c:ext>
          </c:extLst>
        </c:ser>
        <c:dLbls>
          <c:showLegendKey val="0"/>
          <c:showVal val="0"/>
          <c:showCatName val="0"/>
          <c:showSerName val="0"/>
          <c:showPercent val="0"/>
          <c:showBubbleSize val="0"/>
        </c:dLbls>
        <c:smooth val="0"/>
        <c:axId val="244101504"/>
        <c:axId val="244103040"/>
      </c:lineChart>
      <c:catAx>
        <c:axId val="244101504"/>
        <c:scaling>
          <c:orientation val="minMax"/>
        </c:scaling>
        <c:delete val="0"/>
        <c:axPos val="b"/>
        <c:numFmt formatCode="General" sourceLinked="1"/>
        <c:majorTickMark val="out"/>
        <c:minorTickMark val="none"/>
        <c:tickLblPos val="low"/>
        <c:crossAx val="244103040"/>
        <c:crosses val="autoZero"/>
        <c:auto val="1"/>
        <c:lblAlgn val="ctr"/>
        <c:lblOffset val="100"/>
        <c:noMultiLvlLbl val="0"/>
      </c:catAx>
      <c:valAx>
        <c:axId val="244103040"/>
        <c:scaling>
          <c:orientation val="minMax"/>
        </c:scaling>
        <c:delete val="0"/>
        <c:axPos val="l"/>
        <c:majorGridlines>
          <c:spPr>
            <a:ln w="3175">
              <a:solidFill>
                <a:srgbClr val="C0C0C0"/>
              </a:solidFill>
              <a:prstDash val="solid"/>
            </a:ln>
          </c:spPr>
        </c:majorGridlines>
        <c:numFmt formatCode="#,##0;\(#,##0\)" sourceLinked="1"/>
        <c:majorTickMark val="out"/>
        <c:minorTickMark val="none"/>
        <c:tickLblPos val="nextTo"/>
        <c:crossAx val="244101504"/>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2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Workings!$B$132</c:f>
              <c:strCache>
                <c:ptCount val="1"/>
                <c:pt idx="0">
                  <c:v>Homes connected</c:v>
                </c:pt>
              </c:strCache>
            </c:strRef>
          </c:tx>
          <c:spPr>
            <a:ln w="25400">
              <a:solidFill>
                <a:srgbClr val="333399"/>
              </a:solidFill>
              <a:prstDash val="solid"/>
            </a:ln>
            <a:effectLst/>
          </c:spPr>
          <c:marker>
            <c:symbol val="none"/>
          </c:marker>
          <c:cat>
            <c:numRef>
              <c:f>Workings!$C$129:$F$129</c:f>
              <c:numCache>
                <c:formatCode>General</c:formatCode>
                <c:ptCount val="4"/>
                <c:pt idx="0">
                  <c:v>2011</c:v>
                </c:pt>
                <c:pt idx="1">
                  <c:v>2012</c:v>
                </c:pt>
                <c:pt idx="2">
                  <c:v>2013</c:v>
                </c:pt>
                <c:pt idx="3">
                  <c:v>2014</c:v>
                </c:pt>
              </c:numCache>
            </c:numRef>
          </c:cat>
          <c:val>
            <c:numRef>
              <c:f>Workings!$C$132:$F$132</c:f>
              <c:numCache>
                <c:formatCode>#,##0;\(#,##0\)</c:formatCode>
                <c:ptCount val="4"/>
                <c:pt idx="0">
                  <c:v>1963</c:v>
                </c:pt>
                <c:pt idx="1">
                  <c:v>1856</c:v>
                </c:pt>
                <c:pt idx="2">
                  <c:v>1749</c:v>
                </c:pt>
                <c:pt idx="3">
                  <c:v>1697</c:v>
                </c:pt>
              </c:numCache>
            </c:numRef>
          </c:val>
          <c:smooth val="0"/>
          <c:extLst>
            <c:ext xmlns:c16="http://schemas.microsoft.com/office/drawing/2014/chart" uri="{C3380CC4-5D6E-409C-BE32-E72D297353CC}">
              <c16:uniqueId val="{00000000-5803-42F3-8CBB-60C5A98662C5}"/>
            </c:ext>
          </c:extLst>
        </c:ser>
        <c:ser>
          <c:idx val="1"/>
          <c:order val="1"/>
          <c:tx>
            <c:strRef>
              <c:f>Workings!$B$133</c:f>
              <c:strCache>
                <c:ptCount val="1"/>
                <c:pt idx="0">
                  <c:v>Customers</c:v>
                </c:pt>
              </c:strCache>
            </c:strRef>
          </c:tx>
          <c:spPr>
            <a:ln w="25400">
              <a:solidFill>
                <a:srgbClr val="99CCFF"/>
              </a:solidFill>
              <a:prstDash val="solid"/>
            </a:ln>
            <a:effectLst/>
          </c:spPr>
          <c:marker>
            <c:symbol val="none"/>
          </c:marker>
          <c:cat>
            <c:numRef>
              <c:f>Workings!$C$129:$F$129</c:f>
              <c:numCache>
                <c:formatCode>General</c:formatCode>
                <c:ptCount val="4"/>
                <c:pt idx="0">
                  <c:v>2011</c:v>
                </c:pt>
                <c:pt idx="1">
                  <c:v>2012</c:v>
                </c:pt>
                <c:pt idx="2">
                  <c:v>2013</c:v>
                </c:pt>
                <c:pt idx="3">
                  <c:v>2014</c:v>
                </c:pt>
              </c:numCache>
            </c:numRef>
          </c:cat>
          <c:val>
            <c:numRef>
              <c:f>Workings!$C$133:$F$133</c:f>
              <c:numCache>
                <c:formatCode>#,##0;\(#,##0\)</c:formatCode>
                <c:ptCount val="4"/>
                <c:pt idx="0">
                  <c:v>1447</c:v>
                </c:pt>
                <c:pt idx="1">
                  <c:v>1353</c:v>
                </c:pt>
                <c:pt idx="2">
                  <c:v>1302</c:v>
                </c:pt>
                <c:pt idx="3">
                  <c:v>1282</c:v>
                </c:pt>
              </c:numCache>
            </c:numRef>
          </c:val>
          <c:smooth val="0"/>
          <c:extLst>
            <c:ext xmlns:c16="http://schemas.microsoft.com/office/drawing/2014/chart" uri="{C3380CC4-5D6E-409C-BE32-E72D297353CC}">
              <c16:uniqueId val="{00000001-5803-42F3-8CBB-60C5A98662C5}"/>
            </c:ext>
          </c:extLst>
        </c:ser>
        <c:dLbls>
          <c:showLegendKey val="0"/>
          <c:showVal val="0"/>
          <c:showCatName val="0"/>
          <c:showSerName val="0"/>
          <c:showPercent val="0"/>
          <c:showBubbleSize val="0"/>
        </c:dLbls>
        <c:smooth val="0"/>
        <c:axId val="244202496"/>
        <c:axId val="244208384"/>
      </c:lineChart>
      <c:catAx>
        <c:axId val="244202496"/>
        <c:scaling>
          <c:orientation val="minMax"/>
        </c:scaling>
        <c:delete val="0"/>
        <c:axPos val="b"/>
        <c:numFmt formatCode="General" sourceLinked="1"/>
        <c:majorTickMark val="out"/>
        <c:minorTickMark val="none"/>
        <c:tickLblPos val="low"/>
        <c:crossAx val="244208384"/>
        <c:crosses val="autoZero"/>
        <c:auto val="1"/>
        <c:lblAlgn val="ctr"/>
        <c:lblOffset val="100"/>
        <c:noMultiLvlLbl val="0"/>
      </c:catAx>
      <c:valAx>
        <c:axId val="244208384"/>
        <c:scaling>
          <c:orientation val="minMax"/>
        </c:scaling>
        <c:delete val="0"/>
        <c:axPos val="l"/>
        <c:majorGridlines>
          <c:spPr>
            <a:ln w="3175">
              <a:solidFill>
                <a:srgbClr val="C0C0C0"/>
              </a:solidFill>
              <a:prstDash val="solid"/>
            </a:ln>
          </c:spPr>
        </c:majorGridlines>
        <c:numFmt formatCode="#,##0;\(#,##0\)" sourceLinked="1"/>
        <c:majorTickMark val="out"/>
        <c:minorTickMark val="none"/>
        <c:tickLblPos val="nextTo"/>
        <c:crossAx val="244202496"/>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2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Workings!$B$155</c:f>
              <c:strCache>
                <c:ptCount val="1"/>
                <c:pt idx="0">
                  <c:v>TCOL % HC on own network</c:v>
                </c:pt>
              </c:strCache>
            </c:strRef>
          </c:tx>
          <c:spPr>
            <a:solidFill>
              <a:srgbClr val="000080"/>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Workings!$C$154:$F$154</c:f>
              <c:numCache>
                <c:formatCode>General</c:formatCode>
                <c:ptCount val="4"/>
                <c:pt idx="0">
                  <c:v>2011</c:v>
                </c:pt>
                <c:pt idx="1">
                  <c:v>2012</c:v>
                </c:pt>
                <c:pt idx="2">
                  <c:v>2013</c:v>
                </c:pt>
                <c:pt idx="3">
                  <c:v>2014</c:v>
                </c:pt>
              </c:numCache>
            </c:numRef>
          </c:cat>
          <c:val>
            <c:numRef>
              <c:f>Workings!$C$155:$F$155</c:f>
              <c:numCache>
                <c:formatCode>0%</c:formatCode>
                <c:ptCount val="4"/>
                <c:pt idx="0">
                  <c:v>0</c:v>
                </c:pt>
                <c:pt idx="1">
                  <c:v>0</c:v>
                </c:pt>
                <c:pt idx="2">
                  <c:v>0</c:v>
                </c:pt>
                <c:pt idx="3">
                  <c:v>0</c:v>
                </c:pt>
              </c:numCache>
            </c:numRef>
          </c:val>
          <c:extLst>
            <c:ext xmlns:c16="http://schemas.microsoft.com/office/drawing/2014/chart" uri="{C3380CC4-5D6E-409C-BE32-E72D297353CC}">
              <c16:uniqueId val="{00000000-2255-4AC9-956E-309FE604ED99}"/>
            </c:ext>
          </c:extLst>
        </c:ser>
        <c:dLbls>
          <c:dLblPos val="outEnd"/>
          <c:showLegendKey val="0"/>
          <c:showVal val="1"/>
          <c:showCatName val="0"/>
          <c:showSerName val="0"/>
          <c:showPercent val="0"/>
          <c:showBubbleSize val="0"/>
        </c:dLbls>
        <c:gapWidth val="150"/>
        <c:axId val="244232576"/>
        <c:axId val="244235264"/>
      </c:barChart>
      <c:catAx>
        <c:axId val="244232576"/>
        <c:scaling>
          <c:orientation val="minMax"/>
        </c:scaling>
        <c:delete val="0"/>
        <c:axPos val="b"/>
        <c:numFmt formatCode="General" sourceLinked="1"/>
        <c:majorTickMark val="out"/>
        <c:minorTickMark val="none"/>
        <c:tickLblPos val="nextTo"/>
        <c:crossAx val="244235264"/>
        <c:crosses val="autoZero"/>
        <c:auto val="1"/>
        <c:lblAlgn val="ctr"/>
        <c:lblOffset val="100"/>
        <c:noMultiLvlLbl val="0"/>
      </c:catAx>
      <c:valAx>
        <c:axId val="244235264"/>
        <c:scaling>
          <c:orientation val="minMax"/>
          <c:min val="0"/>
        </c:scaling>
        <c:delete val="1"/>
        <c:axPos val="l"/>
        <c:numFmt formatCode="0%" sourceLinked="1"/>
        <c:majorTickMark val="out"/>
        <c:minorTickMark val="none"/>
        <c:tickLblPos val="nextTo"/>
        <c:crossAx val="244232576"/>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2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Workings!$B$184</c:f>
              <c:strCache>
                <c:ptCount val="1"/>
                <c:pt idx="0">
                  <c:v>% direct</c:v>
                </c:pt>
              </c:strCache>
            </c:strRef>
          </c:tx>
          <c:spPr>
            <a:solidFill>
              <a:srgbClr val="000080"/>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Workings!$C$183:$H$183</c:f>
              <c:strCache>
                <c:ptCount val="6"/>
                <c:pt idx="0">
                  <c:v>Q2 09</c:v>
                </c:pt>
                <c:pt idx="1">
                  <c:v>Q2 10</c:v>
                </c:pt>
                <c:pt idx="2">
                  <c:v>Q2 11</c:v>
                </c:pt>
                <c:pt idx="3">
                  <c:v>Q2 12</c:v>
                </c:pt>
                <c:pt idx="4">
                  <c:v>Q2 13</c:v>
                </c:pt>
                <c:pt idx="5">
                  <c:v>Q2 14</c:v>
                </c:pt>
              </c:strCache>
            </c:strRef>
          </c:cat>
          <c:val>
            <c:numRef>
              <c:f>Workings!$C$184:$H$184</c:f>
              <c:numCache>
                <c:formatCode>0%</c:formatCode>
                <c:ptCount val="6"/>
                <c:pt idx="0">
                  <c:v>0.8243944443201896</c:v>
                </c:pt>
                <c:pt idx="1">
                  <c:v>0.83974794659416863</c:v>
                </c:pt>
                <c:pt idx="2">
                  <c:v>0.85854874533339642</c:v>
                </c:pt>
                <c:pt idx="3">
                  <c:v>0.87938169425511192</c:v>
                </c:pt>
                <c:pt idx="4">
                  <c:v>0.89726284214473195</c:v>
                </c:pt>
                <c:pt idx="5">
                  <c:v>0.90707456978967493</c:v>
                </c:pt>
              </c:numCache>
            </c:numRef>
          </c:val>
          <c:extLst>
            <c:ext xmlns:c16="http://schemas.microsoft.com/office/drawing/2014/chart" uri="{C3380CC4-5D6E-409C-BE32-E72D297353CC}">
              <c16:uniqueId val="{00000000-F415-4F30-A105-D8B416125C60}"/>
            </c:ext>
          </c:extLst>
        </c:ser>
        <c:dLbls>
          <c:dLblPos val="outEnd"/>
          <c:showLegendKey val="0"/>
          <c:showVal val="1"/>
          <c:showCatName val="0"/>
          <c:showSerName val="0"/>
          <c:showPercent val="0"/>
          <c:showBubbleSize val="0"/>
        </c:dLbls>
        <c:gapWidth val="150"/>
        <c:axId val="244320896"/>
        <c:axId val="244352512"/>
      </c:barChart>
      <c:catAx>
        <c:axId val="244320896"/>
        <c:scaling>
          <c:orientation val="minMax"/>
        </c:scaling>
        <c:delete val="0"/>
        <c:axPos val="b"/>
        <c:numFmt formatCode="General" sourceLinked="0"/>
        <c:majorTickMark val="out"/>
        <c:minorTickMark val="none"/>
        <c:tickLblPos val="nextTo"/>
        <c:crossAx val="244352512"/>
        <c:crosses val="autoZero"/>
        <c:auto val="1"/>
        <c:lblAlgn val="ctr"/>
        <c:lblOffset val="100"/>
        <c:noMultiLvlLbl val="0"/>
      </c:catAx>
      <c:valAx>
        <c:axId val="244352512"/>
        <c:scaling>
          <c:orientation val="minMax"/>
          <c:min val="0"/>
        </c:scaling>
        <c:delete val="1"/>
        <c:axPos val="l"/>
        <c:numFmt formatCode="0%" sourceLinked="1"/>
        <c:majorTickMark val="out"/>
        <c:minorTickMark val="none"/>
        <c:tickLblPos val="nextTo"/>
        <c:crossAx val="244320896"/>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2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Workings!$B$155</c:f>
              <c:strCache>
                <c:ptCount val="1"/>
                <c:pt idx="0">
                  <c:v>TCOL % HC on own network</c:v>
                </c:pt>
              </c:strCache>
            </c:strRef>
          </c:tx>
          <c:spPr>
            <a:solidFill>
              <a:srgbClr val="000080"/>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Workings!$C$154:$F$154</c:f>
              <c:numCache>
                <c:formatCode>General</c:formatCode>
                <c:ptCount val="4"/>
                <c:pt idx="0">
                  <c:v>2011</c:v>
                </c:pt>
                <c:pt idx="1">
                  <c:v>2012</c:v>
                </c:pt>
                <c:pt idx="2">
                  <c:v>2013</c:v>
                </c:pt>
                <c:pt idx="3">
                  <c:v>2014</c:v>
                </c:pt>
              </c:numCache>
            </c:numRef>
          </c:cat>
          <c:val>
            <c:numRef>
              <c:f>Workings!$C$155:$F$155</c:f>
              <c:numCache>
                <c:formatCode>0%</c:formatCode>
                <c:ptCount val="4"/>
                <c:pt idx="0">
                  <c:v>0</c:v>
                </c:pt>
                <c:pt idx="1">
                  <c:v>0</c:v>
                </c:pt>
                <c:pt idx="2">
                  <c:v>0</c:v>
                </c:pt>
                <c:pt idx="3">
                  <c:v>0</c:v>
                </c:pt>
              </c:numCache>
            </c:numRef>
          </c:val>
          <c:extLst>
            <c:ext xmlns:c16="http://schemas.microsoft.com/office/drawing/2014/chart" uri="{C3380CC4-5D6E-409C-BE32-E72D297353CC}">
              <c16:uniqueId val="{00000000-3404-4215-BCE3-E9C698C5C892}"/>
            </c:ext>
          </c:extLst>
        </c:ser>
        <c:ser>
          <c:idx val="1"/>
          <c:order val="1"/>
          <c:tx>
            <c:strRef>
              <c:f>Workings!$B$156</c:f>
              <c:strCache>
                <c:ptCount val="1"/>
                <c:pt idx="0">
                  <c:v>KDG direct % subscribers</c:v>
                </c:pt>
              </c:strCache>
            </c:strRef>
          </c:tx>
          <c:spPr>
            <a:solidFill>
              <a:schemeClr val="accent1"/>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Workings!$C$154:$F$154</c:f>
              <c:numCache>
                <c:formatCode>General</c:formatCode>
                <c:ptCount val="4"/>
                <c:pt idx="0">
                  <c:v>2011</c:v>
                </c:pt>
                <c:pt idx="1">
                  <c:v>2012</c:v>
                </c:pt>
                <c:pt idx="2">
                  <c:v>2013</c:v>
                </c:pt>
                <c:pt idx="3">
                  <c:v>2014</c:v>
                </c:pt>
              </c:numCache>
            </c:numRef>
          </c:cat>
          <c:val>
            <c:numRef>
              <c:f>Workings!$C$156:$F$156</c:f>
              <c:numCache>
                <c:formatCode>0%</c:formatCode>
                <c:ptCount val="4"/>
                <c:pt idx="0">
                  <c:v>0.85854874533339642</c:v>
                </c:pt>
                <c:pt idx="1">
                  <c:v>0.87938169425511192</c:v>
                </c:pt>
                <c:pt idx="2">
                  <c:v>0.89726284214473195</c:v>
                </c:pt>
                <c:pt idx="3">
                  <c:v>0.90707456978967493</c:v>
                </c:pt>
              </c:numCache>
            </c:numRef>
          </c:val>
          <c:extLst>
            <c:ext xmlns:c16="http://schemas.microsoft.com/office/drawing/2014/chart" uri="{C3380CC4-5D6E-409C-BE32-E72D297353CC}">
              <c16:uniqueId val="{00000001-3404-4215-BCE3-E9C698C5C892}"/>
            </c:ext>
          </c:extLst>
        </c:ser>
        <c:dLbls>
          <c:dLblPos val="outEnd"/>
          <c:showLegendKey val="0"/>
          <c:showVal val="1"/>
          <c:showCatName val="0"/>
          <c:showSerName val="0"/>
          <c:showPercent val="0"/>
          <c:showBubbleSize val="0"/>
        </c:dLbls>
        <c:gapWidth val="150"/>
        <c:axId val="244383104"/>
        <c:axId val="244393088"/>
      </c:barChart>
      <c:catAx>
        <c:axId val="244383104"/>
        <c:scaling>
          <c:orientation val="minMax"/>
        </c:scaling>
        <c:delete val="0"/>
        <c:axPos val="b"/>
        <c:numFmt formatCode="General" sourceLinked="1"/>
        <c:majorTickMark val="out"/>
        <c:minorTickMark val="none"/>
        <c:tickLblPos val="nextTo"/>
        <c:crossAx val="244393088"/>
        <c:crosses val="autoZero"/>
        <c:auto val="1"/>
        <c:lblAlgn val="ctr"/>
        <c:lblOffset val="100"/>
        <c:noMultiLvlLbl val="0"/>
      </c:catAx>
      <c:valAx>
        <c:axId val="244393088"/>
        <c:scaling>
          <c:orientation val="minMax"/>
          <c:min val="0"/>
        </c:scaling>
        <c:delete val="1"/>
        <c:axPos val="l"/>
        <c:numFmt formatCode="0%" sourceLinked="1"/>
        <c:majorTickMark val="out"/>
        <c:minorTickMark val="none"/>
        <c:tickLblPos val="nextTo"/>
        <c:crossAx val="244383104"/>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2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Workings!$Z$94</c:f>
              <c:strCache>
                <c:ptCount val="1"/>
                <c:pt idx="0">
                  <c:v>Unity</c:v>
                </c:pt>
              </c:strCache>
            </c:strRef>
          </c:tx>
          <c:spPr>
            <a:solidFill>
              <a:srgbClr val="000080"/>
            </a:solidFill>
            <a:ln w="25400">
              <a:noFill/>
            </a:ln>
            <a:effectLst/>
          </c:spPr>
          <c:invertIfNegative val="0"/>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Workings!$AA$94:$AI$94</c:f>
              <c:numCache>
                <c:formatCode>#,##0;\(#,##0\)</c:formatCode>
                <c:ptCount val="9"/>
                <c:pt idx="0">
                  <c:v>-82</c:v>
                </c:pt>
                <c:pt idx="1">
                  <c:v>-23</c:v>
                </c:pt>
                <c:pt idx="2">
                  <c:v>-51.599999999999454</c:v>
                </c:pt>
                <c:pt idx="3">
                  <c:v>-62.900000000000546</c:v>
                </c:pt>
                <c:pt idx="4">
                  <c:v>-88.100000000000364</c:v>
                </c:pt>
                <c:pt idx="5">
                  <c:v>-43.499999999999091</c:v>
                </c:pt>
                <c:pt idx="6">
                  <c:v>-65.578999999999724</c:v>
                </c:pt>
                <c:pt idx="7">
                  <c:v>-64.923209999999926</c:v>
                </c:pt>
                <c:pt idx="8">
                  <c:v>-64.273977900000318</c:v>
                </c:pt>
              </c:numCache>
            </c:numRef>
          </c:val>
          <c:extLst>
            <c:ext xmlns:c16="http://schemas.microsoft.com/office/drawing/2014/chart" uri="{C3380CC4-5D6E-409C-BE32-E72D297353CC}">
              <c16:uniqueId val="{00000000-0659-4969-BC86-3E2883D58658}"/>
            </c:ext>
          </c:extLst>
        </c:ser>
        <c:dLbls>
          <c:showLegendKey val="0"/>
          <c:showVal val="0"/>
          <c:showCatName val="0"/>
          <c:showSerName val="0"/>
          <c:showPercent val="0"/>
          <c:showBubbleSize val="0"/>
        </c:dLbls>
        <c:gapWidth val="150"/>
        <c:axId val="244417664"/>
        <c:axId val="244419200"/>
      </c:barChart>
      <c:catAx>
        <c:axId val="244417664"/>
        <c:scaling>
          <c:orientation val="minMax"/>
        </c:scaling>
        <c:delete val="0"/>
        <c:axPos val="b"/>
        <c:numFmt formatCode="General" sourceLinked="1"/>
        <c:majorTickMark val="out"/>
        <c:minorTickMark val="none"/>
        <c:tickLblPos val="low"/>
        <c:crossAx val="244419200"/>
        <c:crosses val="autoZero"/>
        <c:auto val="1"/>
        <c:lblAlgn val="ctr"/>
        <c:lblOffset val="100"/>
        <c:tickLblSkip val="2"/>
        <c:noMultiLvlLbl val="0"/>
      </c:catAx>
      <c:valAx>
        <c:axId val="244419200"/>
        <c:scaling>
          <c:orientation val="minMax"/>
        </c:scaling>
        <c:delete val="0"/>
        <c:axPos val="l"/>
        <c:majorGridlines>
          <c:spPr>
            <a:ln w="3175">
              <a:solidFill>
                <a:srgbClr val="C0C0C0"/>
              </a:solidFill>
              <a:prstDash val="solid"/>
            </a:ln>
          </c:spPr>
        </c:majorGridlines>
        <c:title>
          <c:tx>
            <c:rich>
              <a:bodyPr rot="-5400000" vert="horz"/>
              <a:lstStyle/>
              <a:p>
                <a:pPr>
                  <a:defRPr/>
                </a:pPr>
                <a:r>
                  <a:rPr lang="en-US"/>
                  <a:t>Video RGU adds</a:t>
                </a:r>
              </a:p>
            </c:rich>
          </c:tx>
          <c:overlay val="0"/>
        </c:title>
        <c:numFmt formatCode="#,##0;\(#,##0\)" sourceLinked="1"/>
        <c:majorTickMark val="out"/>
        <c:minorTickMark val="none"/>
        <c:tickLblPos val="nextTo"/>
        <c:crossAx val="244417664"/>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2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Workings!$B$176</c:f>
              <c:strCache>
                <c:ptCount val="1"/>
                <c:pt idx="0">
                  <c:v>CATV own network</c:v>
                </c:pt>
              </c:strCache>
            </c:strRef>
          </c:tx>
          <c:spPr>
            <a:solidFill>
              <a:srgbClr val="000080"/>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Workings!$D$154:$F$154</c:f>
              <c:numCache>
                <c:formatCode>General</c:formatCode>
                <c:ptCount val="3"/>
                <c:pt idx="0">
                  <c:v>2012</c:v>
                </c:pt>
                <c:pt idx="1">
                  <c:v>2013</c:v>
                </c:pt>
                <c:pt idx="2">
                  <c:v>2014</c:v>
                </c:pt>
              </c:numCache>
            </c:numRef>
          </c:cat>
          <c:val>
            <c:numRef>
              <c:f>Workings!$D$176:$F$176</c:f>
              <c:numCache>
                <c:formatCode>#,##0;\(#,##0\)</c:formatCode>
                <c:ptCount val="3"/>
                <c:pt idx="0">
                  <c:v>0</c:v>
                </c:pt>
                <c:pt idx="1">
                  <c:v>0</c:v>
                </c:pt>
                <c:pt idx="2">
                  <c:v>0</c:v>
                </c:pt>
              </c:numCache>
            </c:numRef>
          </c:val>
          <c:extLst>
            <c:ext xmlns:c16="http://schemas.microsoft.com/office/drawing/2014/chart" uri="{C3380CC4-5D6E-409C-BE32-E72D297353CC}">
              <c16:uniqueId val="{00000000-028F-4E6F-A2C3-3A64EAF7AC73}"/>
            </c:ext>
          </c:extLst>
        </c:ser>
        <c:dLbls>
          <c:dLblPos val="outEnd"/>
          <c:showLegendKey val="0"/>
          <c:showVal val="1"/>
          <c:showCatName val="0"/>
          <c:showSerName val="0"/>
          <c:showPercent val="0"/>
          <c:showBubbleSize val="0"/>
        </c:dLbls>
        <c:gapWidth val="150"/>
        <c:axId val="244447488"/>
        <c:axId val="244716672"/>
      </c:barChart>
      <c:catAx>
        <c:axId val="244447488"/>
        <c:scaling>
          <c:orientation val="minMax"/>
        </c:scaling>
        <c:delete val="0"/>
        <c:axPos val="b"/>
        <c:numFmt formatCode="General" sourceLinked="1"/>
        <c:majorTickMark val="out"/>
        <c:minorTickMark val="none"/>
        <c:tickLblPos val="low"/>
        <c:crossAx val="244716672"/>
        <c:crosses val="autoZero"/>
        <c:auto val="1"/>
        <c:lblAlgn val="ctr"/>
        <c:lblOffset val="100"/>
        <c:noMultiLvlLbl val="0"/>
      </c:catAx>
      <c:valAx>
        <c:axId val="244716672"/>
        <c:scaling>
          <c:orientation val="minMax"/>
          <c:min val="-40"/>
        </c:scaling>
        <c:delete val="1"/>
        <c:axPos val="l"/>
        <c:numFmt formatCode="#,##0;\(#,##0\)" sourceLinked="1"/>
        <c:majorTickMark val="out"/>
        <c:minorTickMark val="none"/>
        <c:tickLblPos val="nextTo"/>
        <c:crossAx val="244447488"/>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2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Workings!$Z$95</c:f>
              <c:strCache>
                <c:ptCount val="1"/>
                <c:pt idx="0">
                  <c:v>KDG</c:v>
                </c:pt>
              </c:strCache>
            </c:strRef>
          </c:tx>
          <c:spPr>
            <a:solidFill>
              <a:srgbClr val="9999FF"/>
            </a:solidFill>
            <a:ln w="25400">
              <a:noFill/>
            </a:ln>
            <a:effectLst/>
          </c:spPr>
          <c:invertIfNegative val="0"/>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Workings!$AA$95:$AI$95</c:f>
              <c:numCache>
                <c:formatCode>#,##0;\(#,##0\)</c:formatCode>
                <c:ptCount val="9"/>
                <c:pt idx="0">
                  <c:v>-245</c:v>
                </c:pt>
                <c:pt idx="1">
                  <c:v>-131</c:v>
                </c:pt>
                <c:pt idx="2">
                  <c:v>-176.20000000000073</c:v>
                </c:pt>
                <c:pt idx="3">
                  <c:v>-84.799999999999272</c:v>
                </c:pt>
                <c:pt idx="4">
                  <c:v>-316</c:v>
                </c:pt>
                <c:pt idx="5">
                  <c:v>-58.030619547011156</c:v>
                </c:pt>
                <c:pt idx="6">
                  <c:v>-58.463777179293174</c:v>
                </c:pt>
                <c:pt idx="7">
                  <c:v>-58.896934811572464</c:v>
                </c:pt>
                <c:pt idx="8">
                  <c:v>-59.330092443851754</c:v>
                </c:pt>
              </c:numCache>
            </c:numRef>
          </c:val>
          <c:extLst>
            <c:ext xmlns:c16="http://schemas.microsoft.com/office/drawing/2014/chart" uri="{C3380CC4-5D6E-409C-BE32-E72D297353CC}">
              <c16:uniqueId val="{00000000-0865-4DAF-8FC4-53AD39D15197}"/>
            </c:ext>
          </c:extLst>
        </c:ser>
        <c:dLbls>
          <c:showLegendKey val="0"/>
          <c:showVal val="0"/>
          <c:showCatName val="0"/>
          <c:showSerName val="0"/>
          <c:showPercent val="0"/>
          <c:showBubbleSize val="0"/>
        </c:dLbls>
        <c:gapWidth val="150"/>
        <c:axId val="244757248"/>
        <c:axId val="244758784"/>
      </c:barChart>
      <c:catAx>
        <c:axId val="244757248"/>
        <c:scaling>
          <c:orientation val="minMax"/>
        </c:scaling>
        <c:delete val="0"/>
        <c:axPos val="b"/>
        <c:numFmt formatCode="General" sourceLinked="1"/>
        <c:majorTickMark val="out"/>
        <c:minorTickMark val="none"/>
        <c:tickLblPos val="low"/>
        <c:crossAx val="244758784"/>
        <c:crosses val="autoZero"/>
        <c:auto val="1"/>
        <c:lblAlgn val="ctr"/>
        <c:lblOffset val="100"/>
        <c:tickLblSkip val="2"/>
        <c:noMultiLvlLbl val="0"/>
      </c:catAx>
      <c:valAx>
        <c:axId val="244758784"/>
        <c:scaling>
          <c:orientation val="minMax"/>
        </c:scaling>
        <c:delete val="0"/>
        <c:axPos val="l"/>
        <c:majorGridlines>
          <c:spPr>
            <a:ln w="3175">
              <a:solidFill>
                <a:srgbClr val="C0C0C0"/>
              </a:solidFill>
              <a:prstDash val="solid"/>
            </a:ln>
          </c:spPr>
        </c:majorGridlines>
        <c:title>
          <c:tx>
            <c:rich>
              <a:bodyPr rot="-5400000" vert="horz"/>
              <a:lstStyle/>
              <a:p>
                <a:pPr>
                  <a:defRPr/>
                </a:pPr>
                <a:r>
                  <a:rPr lang="en-US"/>
                  <a:t>Video RGU adds</a:t>
                </a:r>
              </a:p>
            </c:rich>
          </c:tx>
          <c:overlay val="0"/>
        </c:title>
        <c:numFmt formatCode="#,##0;\(#,##0\)" sourceLinked="1"/>
        <c:majorTickMark val="out"/>
        <c:minorTickMark val="none"/>
        <c:tickLblPos val="nextTo"/>
        <c:crossAx val="244757248"/>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2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strRef>
              <c:f>Workings!$Z$96</c:f>
              <c:strCache>
                <c:ptCount val="1"/>
                <c:pt idx="0">
                  <c:v>TCOL</c:v>
                </c:pt>
              </c:strCache>
            </c:strRef>
          </c:tx>
          <c:spPr>
            <a:solidFill>
              <a:srgbClr val="3366FF"/>
            </a:solidFill>
            <a:ln w="25400">
              <a:noFill/>
            </a:ln>
            <a:effectLst/>
          </c:spPr>
          <c:invertIfNegative val="0"/>
          <c:cat>
            <c:strRef>
              <c:f>Workings!$AD$32:$AI$32</c:f>
              <c:strCache>
                <c:ptCount val="6"/>
                <c:pt idx="0">
                  <c:v>2012</c:v>
                </c:pt>
                <c:pt idx="1">
                  <c:v>2013</c:v>
                </c:pt>
                <c:pt idx="2">
                  <c:v>2014E</c:v>
                </c:pt>
                <c:pt idx="3">
                  <c:v>2015E</c:v>
                </c:pt>
                <c:pt idx="4">
                  <c:v>2016E</c:v>
                </c:pt>
                <c:pt idx="5">
                  <c:v>2017E</c:v>
                </c:pt>
              </c:strCache>
            </c:strRef>
          </c:cat>
          <c:val>
            <c:numRef>
              <c:f>Workings!$AD$96:$AI$96</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D668-4ED5-87C5-BFDB211CF567}"/>
            </c:ext>
          </c:extLst>
        </c:ser>
        <c:dLbls>
          <c:showLegendKey val="0"/>
          <c:showVal val="0"/>
          <c:showCatName val="0"/>
          <c:showSerName val="0"/>
          <c:showPercent val="0"/>
          <c:showBubbleSize val="0"/>
        </c:dLbls>
        <c:gapWidth val="150"/>
        <c:axId val="244775552"/>
        <c:axId val="244478336"/>
      </c:barChart>
      <c:catAx>
        <c:axId val="244775552"/>
        <c:scaling>
          <c:orientation val="minMax"/>
        </c:scaling>
        <c:delete val="0"/>
        <c:axPos val="b"/>
        <c:numFmt formatCode="General" sourceLinked="1"/>
        <c:majorTickMark val="out"/>
        <c:minorTickMark val="none"/>
        <c:tickLblPos val="low"/>
        <c:crossAx val="244478336"/>
        <c:crosses val="autoZero"/>
        <c:auto val="1"/>
        <c:lblAlgn val="ctr"/>
        <c:lblOffset val="100"/>
        <c:noMultiLvlLbl val="0"/>
      </c:catAx>
      <c:valAx>
        <c:axId val="244478336"/>
        <c:scaling>
          <c:orientation val="minMax"/>
        </c:scaling>
        <c:delete val="0"/>
        <c:axPos val="l"/>
        <c:majorGridlines>
          <c:spPr>
            <a:ln w="3175">
              <a:solidFill>
                <a:srgbClr val="C0C0C0"/>
              </a:solidFill>
              <a:prstDash val="solid"/>
            </a:ln>
          </c:spPr>
        </c:majorGridlines>
        <c:title>
          <c:tx>
            <c:rich>
              <a:bodyPr rot="-5400000" vert="horz"/>
              <a:lstStyle/>
              <a:p>
                <a:pPr>
                  <a:defRPr/>
                </a:pPr>
                <a:r>
                  <a:rPr lang="en-US"/>
                  <a:t>Video RGU adds</a:t>
                </a:r>
              </a:p>
            </c:rich>
          </c:tx>
          <c:overlay val="0"/>
        </c:title>
        <c:numFmt formatCode="#,##0;\(#,##0\)" sourceLinked="1"/>
        <c:majorTickMark val="out"/>
        <c:minorTickMark val="none"/>
        <c:tickLblPos val="nextTo"/>
        <c:crossAx val="244775552"/>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2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'Model also  old'!$A$212</c:f>
              <c:strCache>
                <c:ptCount val="1"/>
                <c:pt idx="0">
                  <c:v>Total capital expenditures</c:v>
                </c:pt>
              </c:strCache>
            </c:strRef>
          </c:tx>
          <c:spPr>
            <a:solidFill>
              <a:srgbClr val="000080"/>
            </a:solidFill>
            <a:ln w="25400">
              <a:noFill/>
            </a:ln>
          </c:spPr>
          <c:invertIfNegative val="0"/>
          <c:cat>
            <c:strRef>
              <c:f>'Model also  old'!$B$205:$O$205</c:f>
              <c:strCache>
                <c:ptCount val="8"/>
                <c:pt idx="0">
                  <c:v>2011A</c:v>
                </c:pt>
                <c:pt idx="1">
                  <c:v>2012A</c:v>
                </c:pt>
                <c:pt idx="2">
                  <c:v>2013A</c:v>
                </c:pt>
                <c:pt idx="3">
                  <c:v>2014A</c:v>
                </c:pt>
                <c:pt idx="4">
                  <c:v>PF 2015E</c:v>
                </c:pt>
                <c:pt idx="6">
                  <c:v>2016E</c:v>
                </c:pt>
                <c:pt idx="7">
                  <c:v>2017E</c:v>
                </c:pt>
              </c:strCache>
            </c:strRef>
          </c:cat>
          <c:val>
            <c:numRef>
              <c:f>'Model also  old'!$B$212:$O$212</c:f>
              <c:numCache>
                <c:formatCode>#,##0.0_);\(#,##0.0\);#,##0.0_);@_)</c:formatCode>
                <c:ptCount val="8"/>
                <c:pt idx="0">
                  <c:v>68.099999999999994</c:v>
                </c:pt>
                <c:pt idx="1">
                  <c:v>59.6</c:v>
                </c:pt>
                <c:pt idx="2">
                  <c:v>51.5</c:v>
                </c:pt>
                <c:pt idx="3">
                  <c:v>84.1</c:v>
                </c:pt>
                <c:pt idx="6">
                  <c:v>167.31579750578825</c:v>
                </c:pt>
                <c:pt idx="7">
                  <c:v>161.16959402651199</c:v>
                </c:pt>
              </c:numCache>
            </c:numRef>
          </c:val>
          <c:extLst>
            <c:ext xmlns:c16="http://schemas.microsoft.com/office/drawing/2014/chart" uri="{C3380CC4-5D6E-409C-BE32-E72D297353CC}">
              <c16:uniqueId val="{00000000-E671-4680-937F-6F1B7B6F0255}"/>
            </c:ext>
          </c:extLst>
        </c:ser>
        <c:dLbls>
          <c:showLegendKey val="0"/>
          <c:showVal val="0"/>
          <c:showCatName val="0"/>
          <c:showSerName val="0"/>
          <c:showPercent val="0"/>
          <c:showBubbleSize val="0"/>
        </c:dLbls>
        <c:gapWidth val="150"/>
        <c:axId val="903040"/>
        <c:axId val="904576"/>
      </c:barChart>
      <c:lineChart>
        <c:grouping val="standard"/>
        <c:varyColors val="0"/>
        <c:ser>
          <c:idx val="1"/>
          <c:order val="1"/>
          <c:tx>
            <c:strRef>
              <c:f>'Model also  old'!$A$214</c:f>
              <c:strCache>
                <c:ptCount val="1"/>
                <c:pt idx="0">
                  <c:v>% revenues</c:v>
                </c:pt>
              </c:strCache>
            </c:strRef>
          </c:tx>
          <c:spPr>
            <a:ln>
              <a:solidFill>
                <a:schemeClr val="accent1"/>
              </a:solidFill>
            </a:ln>
          </c:spPr>
          <c:marker>
            <c:symbol val="none"/>
          </c:marker>
          <c:cat>
            <c:strRef>
              <c:f>'Model also  old'!$B$205:$O$205</c:f>
              <c:strCache>
                <c:ptCount val="8"/>
                <c:pt idx="0">
                  <c:v>2011A</c:v>
                </c:pt>
                <c:pt idx="1">
                  <c:v>2012A</c:v>
                </c:pt>
                <c:pt idx="2">
                  <c:v>2013A</c:v>
                </c:pt>
                <c:pt idx="3">
                  <c:v>2014A</c:v>
                </c:pt>
                <c:pt idx="4">
                  <c:v>PF 2015E</c:v>
                </c:pt>
                <c:pt idx="6">
                  <c:v>2016E</c:v>
                </c:pt>
                <c:pt idx="7">
                  <c:v>2017E</c:v>
                </c:pt>
              </c:strCache>
            </c:strRef>
          </c:cat>
          <c:val>
            <c:numRef>
              <c:f>'Model also  old'!$B$214:$O$214</c:f>
              <c:numCache>
                <c:formatCode>0%</c:formatCode>
                <c:ptCount val="8"/>
                <c:pt idx="0">
                  <c:v>0.33268197361993157</c:v>
                </c:pt>
                <c:pt idx="1">
                  <c:v>0.29030686799805161</c:v>
                </c:pt>
                <c:pt idx="2">
                  <c:v>0.24975751697381185</c:v>
                </c:pt>
                <c:pt idx="3">
                  <c:v>0.3948356807511737</c:v>
                </c:pt>
                <c:pt idx="6">
                  <c:v>0.35</c:v>
                </c:pt>
                <c:pt idx="7">
                  <c:v>0.32</c:v>
                </c:pt>
              </c:numCache>
            </c:numRef>
          </c:val>
          <c:smooth val="0"/>
          <c:extLst>
            <c:ext xmlns:c16="http://schemas.microsoft.com/office/drawing/2014/chart" uri="{C3380CC4-5D6E-409C-BE32-E72D297353CC}">
              <c16:uniqueId val="{00000001-E671-4680-937F-6F1B7B6F0255}"/>
            </c:ext>
          </c:extLst>
        </c:ser>
        <c:dLbls>
          <c:showLegendKey val="0"/>
          <c:showVal val="0"/>
          <c:showCatName val="0"/>
          <c:showSerName val="0"/>
          <c:showPercent val="0"/>
          <c:showBubbleSize val="0"/>
        </c:dLbls>
        <c:marker val="1"/>
        <c:smooth val="0"/>
        <c:axId val="912000"/>
        <c:axId val="910464"/>
      </c:lineChart>
      <c:catAx>
        <c:axId val="903040"/>
        <c:scaling>
          <c:orientation val="minMax"/>
        </c:scaling>
        <c:delete val="0"/>
        <c:axPos val="b"/>
        <c:numFmt formatCode="General" sourceLinked="0"/>
        <c:majorTickMark val="out"/>
        <c:minorTickMark val="none"/>
        <c:tickLblPos val="nextTo"/>
        <c:crossAx val="904576"/>
        <c:crosses val="autoZero"/>
        <c:auto val="1"/>
        <c:lblAlgn val="ctr"/>
        <c:lblOffset val="100"/>
        <c:noMultiLvlLbl val="0"/>
      </c:catAx>
      <c:valAx>
        <c:axId val="90457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crossAx val="903040"/>
        <c:crosses val="autoZero"/>
        <c:crossBetween val="between"/>
      </c:valAx>
      <c:valAx>
        <c:axId val="910464"/>
        <c:scaling>
          <c:orientation val="minMax"/>
        </c:scaling>
        <c:delete val="0"/>
        <c:axPos val="r"/>
        <c:numFmt formatCode="0%" sourceLinked="1"/>
        <c:majorTickMark val="out"/>
        <c:minorTickMark val="none"/>
        <c:tickLblPos val="nextTo"/>
        <c:crossAx val="912000"/>
        <c:crosses val="max"/>
        <c:crossBetween val="between"/>
      </c:valAx>
      <c:catAx>
        <c:axId val="912000"/>
        <c:scaling>
          <c:orientation val="minMax"/>
        </c:scaling>
        <c:delete val="1"/>
        <c:axPos val="b"/>
        <c:numFmt formatCode="General" sourceLinked="1"/>
        <c:majorTickMark val="out"/>
        <c:minorTickMark val="none"/>
        <c:tickLblPos val="nextTo"/>
        <c:crossAx val="910464"/>
        <c:crosses val="autoZero"/>
        <c:auto val="1"/>
        <c:lblAlgn val="ctr"/>
        <c:lblOffset val="100"/>
        <c:noMultiLvlLbl val="0"/>
      </c:cat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Workings!$B$216</c:f>
              <c:strCache>
                <c:ptCount val="1"/>
                <c:pt idx="0">
                  <c:v>TCOL</c:v>
                </c:pt>
              </c:strCache>
            </c:strRef>
          </c:tx>
          <c:spPr>
            <a:ln w="25400">
              <a:solidFill>
                <a:srgbClr val="333399"/>
              </a:solidFill>
              <a:prstDash val="solid"/>
            </a:ln>
            <a:effectLst/>
          </c:spPr>
          <c:marker>
            <c:symbol val="none"/>
          </c:marker>
          <c:cat>
            <c:numRef>
              <c:f>Workings!$C$215:$L$215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Workings!$C$216:$L$216</c:f>
              <c:numCache>
                <c:formatCode>0%</c:formatCode>
                <c:ptCount val="10"/>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76B4-4CC7-980A-0A2F85243446}"/>
            </c:ext>
          </c:extLst>
        </c:ser>
        <c:ser>
          <c:idx val="1"/>
          <c:order val="1"/>
          <c:tx>
            <c:strRef>
              <c:f>Workings!$B$217</c:f>
              <c:strCache>
                <c:ptCount val="1"/>
                <c:pt idx="0">
                  <c:v>KDG</c:v>
                </c:pt>
              </c:strCache>
            </c:strRef>
          </c:tx>
          <c:spPr>
            <a:ln w="25400">
              <a:solidFill>
                <a:srgbClr val="99CCFF"/>
              </a:solidFill>
              <a:prstDash val="solid"/>
            </a:ln>
            <a:effectLst/>
          </c:spPr>
          <c:marker>
            <c:symbol val="none"/>
          </c:marker>
          <c:cat>
            <c:numRef>
              <c:f>Workings!$C$215:$L$215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Workings!$C$217:$L$217</c:f>
              <c:numCache>
                <c:formatCode>0%</c:formatCode>
                <c:ptCount val="10"/>
                <c:pt idx="0">
                  <c:v>0.1040631078452561</c:v>
                </c:pt>
                <c:pt idx="1">
                  <c:v>0.1191031191031191</c:v>
                </c:pt>
                <c:pt idx="2">
                  <c:v>0.14203649470601487</c:v>
                </c:pt>
                <c:pt idx="3">
                  <c:v>0.19300604472637847</c:v>
                </c:pt>
                <c:pt idx="4">
                  <c:v>0.24022281536497622</c:v>
                </c:pt>
                <c:pt idx="5">
                  <c:v>0.27731598602578</c:v>
                </c:pt>
                <c:pt idx="6">
                  <c:v>0.32743645343934469</c:v>
                </c:pt>
                <c:pt idx="7">
                  <c:v>0.37743645343934468</c:v>
                </c:pt>
                <c:pt idx="8">
                  <c:v>0.42743645343934461</c:v>
                </c:pt>
                <c:pt idx="9">
                  <c:v>0.4774364534393446</c:v>
                </c:pt>
              </c:numCache>
            </c:numRef>
          </c:val>
          <c:smooth val="0"/>
          <c:extLst>
            <c:ext xmlns:c16="http://schemas.microsoft.com/office/drawing/2014/chart" uri="{C3380CC4-5D6E-409C-BE32-E72D297353CC}">
              <c16:uniqueId val="{00000001-76B4-4CC7-980A-0A2F85243446}"/>
            </c:ext>
          </c:extLst>
        </c:ser>
        <c:ser>
          <c:idx val="2"/>
          <c:order val="2"/>
          <c:tx>
            <c:strRef>
              <c:f>Workings!$B$218</c:f>
              <c:strCache>
                <c:ptCount val="1"/>
                <c:pt idx="0">
                  <c:v>Unity</c:v>
                </c:pt>
              </c:strCache>
            </c:strRef>
          </c:tx>
          <c:spPr>
            <a:ln>
              <a:solidFill>
                <a:schemeClr val="accent5">
                  <a:lumMod val="75000"/>
                </a:schemeClr>
              </a:solidFill>
            </a:ln>
          </c:spPr>
          <c:marker>
            <c:symbol val="none"/>
          </c:marker>
          <c:cat>
            <c:numRef>
              <c:f>Workings!$C$215:$L$215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Workings!$C$218:$L$218</c:f>
              <c:numCache>
                <c:formatCode>0%</c:formatCode>
                <c:ptCount val="10"/>
                <c:pt idx="0">
                  <c:v>0.17600231581994499</c:v>
                </c:pt>
                <c:pt idx="1">
                  <c:v>0.22278825085704354</c:v>
                </c:pt>
                <c:pt idx="2">
                  <c:v>0.25699588477366253</c:v>
                </c:pt>
                <c:pt idx="3">
                  <c:v>0.29379183697648242</c:v>
                </c:pt>
                <c:pt idx="4">
                  <c:v>0.32676582704237989</c:v>
                </c:pt>
                <c:pt idx="5">
                  <c:v>0.33854939861241556</c:v>
                </c:pt>
                <c:pt idx="6">
                  <c:v>0.36854939861241554</c:v>
                </c:pt>
                <c:pt idx="7">
                  <c:v>0.39854939861241556</c:v>
                </c:pt>
                <c:pt idx="8">
                  <c:v>0.42854939861241559</c:v>
                </c:pt>
                <c:pt idx="9">
                  <c:v>0.45854939861241562</c:v>
                </c:pt>
              </c:numCache>
            </c:numRef>
          </c:val>
          <c:smooth val="0"/>
          <c:extLst>
            <c:ext xmlns:c16="http://schemas.microsoft.com/office/drawing/2014/chart" uri="{C3380CC4-5D6E-409C-BE32-E72D297353CC}">
              <c16:uniqueId val="{00000002-76B4-4CC7-980A-0A2F85243446}"/>
            </c:ext>
          </c:extLst>
        </c:ser>
        <c:dLbls>
          <c:showLegendKey val="0"/>
          <c:showVal val="0"/>
          <c:showCatName val="0"/>
          <c:showSerName val="0"/>
          <c:showPercent val="0"/>
          <c:showBubbleSize val="0"/>
        </c:dLbls>
        <c:smooth val="0"/>
        <c:axId val="244505600"/>
        <c:axId val="244507392"/>
      </c:lineChart>
      <c:catAx>
        <c:axId val="244505600"/>
        <c:scaling>
          <c:orientation val="minMax"/>
        </c:scaling>
        <c:delete val="0"/>
        <c:axPos val="b"/>
        <c:numFmt formatCode="General" sourceLinked="1"/>
        <c:majorTickMark val="out"/>
        <c:minorTickMark val="none"/>
        <c:tickLblPos val="low"/>
        <c:crossAx val="244507392"/>
        <c:crosses val="autoZero"/>
        <c:auto val="1"/>
        <c:lblAlgn val="ctr"/>
        <c:lblOffset val="100"/>
        <c:noMultiLvlLbl val="0"/>
      </c:catAx>
      <c:valAx>
        <c:axId val="244507392"/>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crossAx val="244505600"/>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Workings!$O$5</c:f>
              <c:strCache>
                <c:ptCount val="1"/>
                <c:pt idx="0">
                  <c:v>Broadband % customers</c:v>
                </c:pt>
              </c:strCache>
            </c:strRef>
          </c:tx>
          <c:spPr>
            <a:solidFill>
              <a:srgbClr val="000080"/>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Workings!$N$6:$N$8</c:f>
              <c:strCache>
                <c:ptCount val="3"/>
                <c:pt idx="0">
                  <c:v>Unity</c:v>
                </c:pt>
                <c:pt idx="1">
                  <c:v>KDG</c:v>
                </c:pt>
                <c:pt idx="2">
                  <c:v>TCOL</c:v>
                </c:pt>
              </c:strCache>
            </c:strRef>
          </c:cat>
          <c:val>
            <c:numRef>
              <c:f>Workings!$O$6:$O$8</c:f>
              <c:numCache>
                <c:formatCode>0.0%</c:formatCode>
                <c:ptCount val="3"/>
                <c:pt idx="0">
                  <c:v>0.40640960880058369</c:v>
                </c:pt>
                <c:pt idx="1">
                  <c:v>0.30017974835230676</c:v>
                </c:pt>
                <c:pt idx="2">
                  <c:v>0.15753377237131402</c:v>
                </c:pt>
              </c:numCache>
            </c:numRef>
          </c:val>
          <c:extLst>
            <c:ext xmlns:c16="http://schemas.microsoft.com/office/drawing/2014/chart" uri="{C3380CC4-5D6E-409C-BE32-E72D297353CC}">
              <c16:uniqueId val="{00000000-97A1-4FCA-931A-19CCD43D390A}"/>
            </c:ext>
          </c:extLst>
        </c:ser>
        <c:dLbls>
          <c:dLblPos val="outEnd"/>
          <c:showLegendKey val="0"/>
          <c:showVal val="1"/>
          <c:showCatName val="0"/>
          <c:showSerName val="0"/>
          <c:showPercent val="0"/>
          <c:showBubbleSize val="0"/>
        </c:dLbls>
        <c:gapWidth val="150"/>
        <c:axId val="244613504"/>
        <c:axId val="244616192"/>
      </c:barChart>
      <c:catAx>
        <c:axId val="244613504"/>
        <c:scaling>
          <c:orientation val="maxMin"/>
        </c:scaling>
        <c:delete val="0"/>
        <c:axPos val="l"/>
        <c:numFmt formatCode="General" sourceLinked="0"/>
        <c:majorTickMark val="out"/>
        <c:minorTickMark val="none"/>
        <c:tickLblPos val="nextTo"/>
        <c:crossAx val="244616192"/>
        <c:crosses val="autoZero"/>
        <c:auto val="1"/>
        <c:lblAlgn val="ctr"/>
        <c:lblOffset val="100"/>
        <c:noMultiLvlLbl val="0"/>
      </c:catAx>
      <c:valAx>
        <c:axId val="244616192"/>
        <c:scaling>
          <c:orientation val="minMax"/>
        </c:scaling>
        <c:delete val="1"/>
        <c:axPos val="b"/>
        <c:numFmt formatCode="0.0%" sourceLinked="1"/>
        <c:majorTickMark val="out"/>
        <c:minorTickMark val="none"/>
        <c:tickLblPos val="nextTo"/>
        <c:crossAx val="244613504"/>
        <c:crosses val="max"/>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Workings!$B$231</c:f>
              <c:strCache>
                <c:ptCount val="1"/>
                <c:pt idx="0">
                  <c:v>TCOL</c:v>
                </c:pt>
              </c:strCache>
            </c:strRef>
          </c:tx>
          <c:spPr>
            <a:ln w="25400">
              <a:solidFill>
                <a:srgbClr val="333399"/>
              </a:solidFill>
              <a:prstDash val="solid"/>
            </a:ln>
            <a:effectLst/>
          </c:spPr>
          <c:marker>
            <c:symbol val="none"/>
          </c:marker>
          <c:cat>
            <c:strRef>
              <c:f>Workings!$C$230:$F$230</c:f>
              <c:strCache>
                <c:ptCount val="4"/>
                <c:pt idx="0">
                  <c:v>2011</c:v>
                </c:pt>
                <c:pt idx="1">
                  <c:v>2012</c:v>
                </c:pt>
                <c:pt idx="2">
                  <c:v>2013</c:v>
                </c:pt>
                <c:pt idx="3">
                  <c:v>9M 14</c:v>
                </c:pt>
              </c:strCache>
            </c:strRef>
          </c:cat>
          <c:val>
            <c:numRef>
              <c:f>Workings!$C$231:$F$231</c:f>
              <c:numCache>
                <c:formatCode>0.0</c:formatCode>
                <c:ptCount val="4"/>
                <c:pt idx="0">
                  <c:v>0</c:v>
                </c:pt>
                <c:pt idx="1">
                  <c:v>0</c:v>
                </c:pt>
                <c:pt idx="2">
                  <c:v>0</c:v>
                </c:pt>
                <c:pt idx="3">
                  <c:v>22.1</c:v>
                </c:pt>
              </c:numCache>
            </c:numRef>
          </c:val>
          <c:smooth val="0"/>
          <c:extLst>
            <c:ext xmlns:c16="http://schemas.microsoft.com/office/drawing/2014/chart" uri="{C3380CC4-5D6E-409C-BE32-E72D297353CC}">
              <c16:uniqueId val="{00000000-B990-46A9-8250-FA682E5D994E}"/>
            </c:ext>
          </c:extLst>
        </c:ser>
        <c:ser>
          <c:idx val="1"/>
          <c:order val="1"/>
          <c:tx>
            <c:strRef>
              <c:f>Workings!$B$232</c:f>
              <c:strCache>
                <c:ptCount val="1"/>
                <c:pt idx="0">
                  <c:v>Unity</c:v>
                </c:pt>
              </c:strCache>
            </c:strRef>
          </c:tx>
          <c:spPr>
            <a:ln w="25400">
              <a:solidFill>
                <a:srgbClr val="99CCFF"/>
              </a:solidFill>
              <a:prstDash val="solid"/>
            </a:ln>
            <a:effectLst/>
          </c:spPr>
          <c:marker>
            <c:symbol val="none"/>
          </c:marker>
          <c:cat>
            <c:strRef>
              <c:f>Workings!$C$230:$F$230</c:f>
              <c:strCache>
                <c:ptCount val="4"/>
                <c:pt idx="0">
                  <c:v>2011</c:v>
                </c:pt>
                <c:pt idx="1">
                  <c:v>2012</c:v>
                </c:pt>
                <c:pt idx="2">
                  <c:v>2013</c:v>
                </c:pt>
                <c:pt idx="3">
                  <c:v>9M 14</c:v>
                </c:pt>
              </c:strCache>
            </c:strRef>
          </c:cat>
          <c:val>
            <c:numRef>
              <c:f>Workings!$C$232:$F$232</c:f>
              <c:numCache>
                <c:formatCode>0.0</c:formatCode>
                <c:ptCount val="4"/>
                <c:pt idx="0">
                  <c:v>26.4</c:v>
                </c:pt>
                <c:pt idx="1">
                  <c:v>26</c:v>
                </c:pt>
                <c:pt idx="2">
                  <c:v>26.4</c:v>
                </c:pt>
                <c:pt idx="3">
                  <c:v>26.78</c:v>
                </c:pt>
              </c:numCache>
            </c:numRef>
          </c:val>
          <c:smooth val="0"/>
          <c:extLst>
            <c:ext xmlns:c16="http://schemas.microsoft.com/office/drawing/2014/chart" uri="{C3380CC4-5D6E-409C-BE32-E72D297353CC}">
              <c16:uniqueId val="{00000001-B990-46A9-8250-FA682E5D994E}"/>
            </c:ext>
          </c:extLst>
        </c:ser>
        <c:ser>
          <c:idx val="2"/>
          <c:order val="2"/>
          <c:tx>
            <c:strRef>
              <c:f>Workings!$B$233</c:f>
              <c:strCache>
                <c:ptCount val="1"/>
                <c:pt idx="0">
                  <c:v>KDG</c:v>
                </c:pt>
              </c:strCache>
            </c:strRef>
          </c:tx>
          <c:spPr>
            <a:ln w="25400">
              <a:solidFill>
                <a:srgbClr val="333399"/>
              </a:solidFill>
              <a:prstDash val="lgDash"/>
            </a:ln>
            <a:effectLst/>
          </c:spPr>
          <c:marker>
            <c:symbol val="none"/>
          </c:marker>
          <c:cat>
            <c:strRef>
              <c:f>Workings!$C$230:$F$230</c:f>
              <c:strCache>
                <c:ptCount val="4"/>
                <c:pt idx="0">
                  <c:v>2011</c:v>
                </c:pt>
                <c:pt idx="1">
                  <c:v>2012</c:v>
                </c:pt>
                <c:pt idx="2">
                  <c:v>2013</c:v>
                </c:pt>
                <c:pt idx="3">
                  <c:v>9M 14</c:v>
                </c:pt>
              </c:strCache>
            </c:strRef>
          </c:cat>
          <c:val>
            <c:numRef>
              <c:f>Workings!$C$233:$F$233</c:f>
              <c:numCache>
                <c:formatCode>0.0</c:formatCode>
                <c:ptCount val="4"/>
                <c:pt idx="0">
                  <c:v>28.3</c:v>
                </c:pt>
                <c:pt idx="1">
                  <c:v>28.4</c:v>
                </c:pt>
                <c:pt idx="2">
                  <c:v>27.7</c:v>
                </c:pt>
                <c:pt idx="3">
                  <c:v>27.1</c:v>
                </c:pt>
              </c:numCache>
            </c:numRef>
          </c:val>
          <c:smooth val="0"/>
          <c:extLst>
            <c:ext xmlns:c16="http://schemas.microsoft.com/office/drawing/2014/chart" uri="{C3380CC4-5D6E-409C-BE32-E72D297353CC}">
              <c16:uniqueId val="{00000002-B990-46A9-8250-FA682E5D994E}"/>
            </c:ext>
          </c:extLst>
        </c:ser>
        <c:dLbls>
          <c:showLegendKey val="0"/>
          <c:showVal val="0"/>
          <c:showCatName val="0"/>
          <c:showSerName val="0"/>
          <c:showPercent val="0"/>
          <c:showBubbleSize val="0"/>
        </c:dLbls>
        <c:smooth val="0"/>
        <c:axId val="244651520"/>
        <c:axId val="244653056"/>
      </c:lineChart>
      <c:catAx>
        <c:axId val="244651520"/>
        <c:scaling>
          <c:orientation val="minMax"/>
        </c:scaling>
        <c:delete val="0"/>
        <c:axPos val="b"/>
        <c:numFmt formatCode="General" sourceLinked="0"/>
        <c:majorTickMark val="out"/>
        <c:minorTickMark val="none"/>
        <c:tickLblPos val="low"/>
        <c:crossAx val="244653056"/>
        <c:crosses val="autoZero"/>
        <c:auto val="1"/>
        <c:lblAlgn val="ctr"/>
        <c:lblOffset val="100"/>
        <c:noMultiLvlLbl val="0"/>
      </c:catAx>
      <c:valAx>
        <c:axId val="244653056"/>
        <c:scaling>
          <c:orientation val="minMax"/>
        </c:scaling>
        <c:delete val="0"/>
        <c:axPos val="l"/>
        <c:majorGridlines>
          <c:spPr>
            <a:ln w="3175">
              <a:solidFill>
                <a:srgbClr val="C0C0C0"/>
              </a:solidFill>
              <a:prstDash val="solid"/>
            </a:ln>
          </c:spPr>
        </c:majorGridlines>
        <c:numFmt formatCode="0.0" sourceLinked="1"/>
        <c:majorTickMark val="out"/>
        <c:minorTickMark val="none"/>
        <c:tickLblPos val="nextTo"/>
        <c:crossAx val="244651520"/>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Workings!$C$260</c:f>
              <c:strCache>
                <c:ptCount val="1"/>
                <c:pt idx="0">
                  <c:v>EBITDA CAGR 2009-14E</c:v>
                </c:pt>
              </c:strCache>
            </c:strRef>
          </c:tx>
          <c:spPr>
            <a:solidFill>
              <a:srgbClr val="000080"/>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Workings!$B$261:$B$262</c:f>
              <c:strCache>
                <c:ptCount val="2"/>
                <c:pt idx="0">
                  <c:v>Unity</c:v>
                </c:pt>
                <c:pt idx="1">
                  <c:v>KDG</c:v>
                </c:pt>
              </c:strCache>
            </c:strRef>
          </c:cat>
          <c:val>
            <c:numRef>
              <c:f>Workings!$C$261:$C$262</c:f>
              <c:numCache>
                <c:formatCode>0.0%</c:formatCode>
                <c:ptCount val="2"/>
                <c:pt idx="0">
                  <c:v>0.11763293490472471</c:v>
                </c:pt>
                <c:pt idx="1">
                  <c:v>9.7747115217197811E-2</c:v>
                </c:pt>
              </c:numCache>
            </c:numRef>
          </c:val>
          <c:extLst>
            <c:ext xmlns:c16="http://schemas.microsoft.com/office/drawing/2014/chart" uri="{C3380CC4-5D6E-409C-BE32-E72D297353CC}">
              <c16:uniqueId val="{00000000-119E-40FA-9D98-921D49A1C0BD}"/>
            </c:ext>
          </c:extLst>
        </c:ser>
        <c:dLbls>
          <c:dLblPos val="outEnd"/>
          <c:showLegendKey val="0"/>
          <c:showVal val="1"/>
          <c:showCatName val="0"/>
          <c:showSerName val="0"/>
          <c:showPercent val="0"/>
          <c:showBubbleSize val="0"/>
        </c:dLbls>
        <c:gapWidth val="150"/>
        <c:axId val="244680960"/>
        <c:axId val="244696192"/>
      </c:barChart>
      <c:catAx>
        <c:axId val="244680960"/>
        <c:scaling>
          <c:orientation val="maxMin"/>
        </c:scaling>
        <c:delete val="0"/>
        <c:axPos val="l"/>
        <c:numFmt formatCode="General" sourceLinked="0"/>
        <c:majorTickMark val="out"/>
        <c:minorTickMark val="none"/>
        <c:tickLblPos val="nextTo"/>
        <c:crossAx val="244696192"/>
        <c:crosses val="autoZero"/>
        <c:auto val="1"/>
        <c:lblAlgn val="ctr"/>
        <c:lblOffset val="100"/>
        <c:noMultiLvlLbl val="0"/>
      </c:catAx>
      <c:valAx>
        <c:axId val="244696192"/>
        <c:scaling>
          <c:orientation val="minMax"/>
        </c:scaling>
        <c:delete val="1"/>
        <c:axPos val="t"/>
        <c:numFmt formatCode="0.0%" sourceLinked="1"/>
        <c:majorTickMark val="out"/>
        <c:minorTickMark val="none"/>
        <c:tickLblPos val="nextTo"/>
        <c:crossAx val="244680960"/>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662355317028302"/>
          <c:y val="1.4242490522018078E-2"/>
          <c:w val="0.60245147826652379"/>
          <c:h val="0.64847185768445614"/>
        </c:manualLayout>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018D-4052-80B9-A5E8E286496E}"/>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018D-4052-80B9-A5E8E286496E}"/>
              </c:ext>
            </c:extLst>
          </c:dPt>
          <c:dPt>
            <c:idx val="2"/>
            <c:bubble3D val="0"/>
            <c:spPr>
              <a:solidFill>
                <a:schemeClr val="tx2">
                  <a:lumMod val="60000"/>
                  <a:lumOff val="40000"/>
                </a:schemeClr>
              </a:solidFill>
            </c:spPr>
            <c:extLst>
              <c:ext xmlns:c16="http://schemas.microsoft.com/office/drawing/2014/chart" uri="{C3380CC4-5D6E-409C-BE32-E72D297353CC}">
                <c16:uniqueId val="{00000005-018D-4052-80B9-A5E8E286496E}"/>
              </c:ext>
            </c:extLst>
          </c:dPt>
          <c:dLbls>
            <c:dLbl>
              <c:idx val="0"/>
              <c:layout>
                <c:manualLayout>
                  <c:x val="-0.17329071993589704"/>
                  <c:y val="-0.13773111694371537"/>
                </c:manualLayout>
              </c:layout>
              <c:spPr/>
              <c:txPr>
                <a:bodyPr/>
                <a:lstStyle/>
                <a:p>
                  <a:pPr>
                    <a:defRPr>
                      <a:solidFill>
                        <a:schemeClr val="tx2">
                          <a:lumMod val="20000"/>
                          <a:lumOff val="80000"/>
                        </a:schemeClr>
                      </a:solidFill>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8D-4052-80B9-A5E8E286496E}"/>
                </c:ext>
              </c:extLst>
            </c:dLbl>
            <c:dLbl>
              <c:idx val="2"/>
              <c:layout>
                <c:manualLayout>
                  <c:x val="0.14741483275415554"/>
                  <c:y val="0.1574074074074074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18D-4052-80B9-A5E8E286496E}"/>
                </c:ext>
              </c:extLst>
            </c:dLbl>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Workings!$B$273:$B$275</c:f>
              <c:strCache>
                <c:ptCount val="3"/>
                <c:pt idx="0">
                  <c:v>Total video spend</c:v>
                </c:pt>
                <c:pt idx="1">
                  <c:v>On-demand video services</c:v>
                </c:pt>
                <c:pt idx="2">
                  <c:v>Packaged video</c:v>
                </c:pt>
              </c:strCache>
            </c:strRef>
          </c:cat>
          <c:val>
            <c:numRef>
              <c:f>Workings!$C$273:$C$275</c:f>
              <c:numCache>
                <c:formatCode>0.0</c:formatCode>
                <c:ptCount val="3"/>
                <c:pt idx="0">
                  <c:v>5.125</c:v>
                </c:pt>
                <c:pt idx="1">
                  <c:v>0.27500000000000002</c:v>
                </c:pt>
                <c:pt idx="2" formatCode="General">
                  <c:v>1.5</c:v>
                </c:pt>
              </c:numCache>
            </c:numRef>
          </c:val>
          <c:extLst>
            <c:ext xmlns:c16="http://schemas.microsoft.com/office/drawing/2014/chart" uri="{C3380CC4-5D6E-409C-BE32-E72D297353CC}">
              <c16:uniqueId val="{00000006-018D-4052-80B9-A5E8E286496E}"/>
            </c:ext>
          </c:extLst>
        </c:ser>
        <c:dLbls>
          <c:showLegendKey val="0"/>
          <c:showVal val="1"/>
          <c:showCatName val="0"/>
          <c:showSerName val="0"/>
          <c:showPercent val="0"/>
          <c:showBubbleSize val="0"/>
          <c:showLeaderLines val="0"/>
        </c:dLbls>
        <c:firstSliceAng val="0"/>
      </c:pieChart>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Workings!$Z$7</c:f>
              <c:strCache>
                <c:ptCount val="1"/>
                <c:pt idx="0">
                  <c:v>Cable</c:v>
                </c:pt>
              </c:strCache>
            </c:strRef>
          </c:tx>
          <c:spPr>
            <a:solidFill>
              <a:srgbClr val="000080"/>
            </a:solidFill>
            <a:ln w="25400">
              <a:noFill/>
            </a:ln>
          </c:spPr>
          <c:invertIfNegative val="0"/>
          <c:dLbls>
            <c:spPr>
              <a:noFill/>
              <a:ln>
                <a:noFill/>
              </a:ln>
              <a:effectLst/>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Workings!$AA$6:$AI$6</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Workings!$AA$7:$AI$7</c:f>
              <c:numCache>
                <c:formatCode>0.0%</c:formatCode>
                <c:ptCount val="9"/>
                <c:pt idx="0">
                  <c:v>0.51800000000000002</c:v>
                </c:pt>
                <c:pt idx="1">
                  <c:v>0.53700000000000003</c:v>
                </c:pt>
                <c:pt idx="2">
                  <c:v>0.52500000000000002</c:v>
                </c:pt>
                <c:pt idx="3">
                  <c:v>0.52800000000000002</c:v>
                </c:pt>
                <c:pt idx="4">
                  <c:v>0.51400000000000001</c:v>
                </c:pt>
                <c:pt idx="5">
                  <c:v>0.502</c:v>
                </c:pt>
                <c:pt idx="6">
                  <c:v>0.47899999999999998</c:v>
                </c:pt>
                <c:pt idx="7">
                  <c:v>0.46300000000000002</c:v>
                </c:pt>
                <c:pt idx="8">
                  <c:v>0.46300000000000002</c:v>
                </c:pt>
              </c:numCache>
            </c:numRef>
          </c:val>
          <c:extLst>
            <c:ext xmlns:c16="http://schemas.microsoft.com/office/drawing/2014/chart" uri="{C3380CC4-5D6E-409C-BE32-E72D297353CC}">
              <c16:uniqueId val="{00000000-837D-4B70-8B31-C9C9CBD6E209}"/>
            </c:ext>
          </c:extLst>
        </c:ser>
        <c:ser>
          <c:idx val="1"/>
          <c:order val="1"/>
          <c:tx>
            <c:strRef>
              <c:f>Workings!$Z$8</c:f>
              <c:strCache>
                <c:ptCount val="1"/>
                <c:pt idx="0">
                  <c:v>Satellite</c:v>
                </c:pt>
              </c:strCache>
            </c:strRef>
          </c:tx>
          <c:spPr>
            <a:solidFill>
              <a:srgbClr val="9999FF"/>
            </a:solidFill>
            <a:ln w="25400">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Workings!$AA$6:$AI$6</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Workings!$AA$8:$AI$8</c:f>
              <c:numCache>
                <c:formatCode>0.0%</c:formatCode>
                <c:ptCount val="9"/>
                <c:pt idx="0">
                  <c:v>0.42</c:v>
                </c:pt>
                <c:pt idx="1">
                  <c:v>0.42499999999999999</c:v>
                </c:pt>
                <c:pt idx="2">
                  <c:v>0.42</c:v>
                </c:pt>
                <c:pt idx="3">
                  <c:v>0.42099999999999999</c:v>
                </c:pt>
                <c:pt idx="4">
                  <c:v>0.42799999999999999</c:v>
                </c:pt>
                <c:pt idx="5">
                  <c:v>0.44700000000000001</c:v>
                </c:pt>
                <c:pt idx="6">
                  <c:v>0.45600000000000002</c:v>
                </c:pt>
                <c:pt idx="7">
                  <c:v>0.46200000000000002</c:v>
                </c:pt>
                <c:pt idx="8">
                  <c:v>0.46100000000000002</c:v>
                </c:pt>
              </c:numCache>
            </c:numRef>
          </c:val>
          <c:extLst>
            <c:ext xmlns:c16="http://schemas.microsoft.com/office/drawing/2014/chart" uri="{C3380CC4-5D6E-409C-BE32-E72D297353CC}">
              <c16:uniqueId val="{00000001-837D-4B70-8B31-C9C9CBD6E209}"/>
            </c:ext>
          </c:extLst>
        </c:ser>
        <c:ser>
          <c:idx val="2"/>
          <c:order val="2"/>
          <c:tx>
            <c:strRef>
              <c:f>Workings!$Z$9</c:f>
              <c:strCache>
                <c:ptCount val="1"/>
                <c:pt idx="0">
                  <c:v>DTT</c:v>
                </c:pt>
              </c:strCache>
            </c:strRef>
          </c:tx>
          <c:spPr>
            <a:solidFill>
              <a:srgbClr val="3366FF"/>
            </a:solidFill>
            <a:ln w="25400">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Workings!$AA$6:$AI$6</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Workings!$AA$9:$AI$9</c:f>
              <c:numCache>
                <c:formatCode>0.0%</c:formatCode>
                <c:ptCount val="9"/>
                <c:pt idx="0">
                  <c:v>9.1999999999999998E-2</c:v>
                </c:pt>
                <c:pt idx="1">
                  <c:v>0.115</c:v>
                </c:pt>
                <c:pt idx="2">
                  <c:v>0.111</c:v>
                </c:pt>
                <c:pt idx="3">
                  <c:v>0.113</c:v>
                </c:pt>
                <c:pt idx="4">
                  <c:v>0.111</c:v>
                </c:pt>
                <c:pt idx="5">
                  <c:v>0.11799999999999999</c:v>
                </c:pt>
                <c:pt idx="6">
                  <c:v>0.125</c:v>
                </c:pt>
                <c:pt idx="7">
                  <c:v>0.11</c:v>
                </c:pt>
                <c:pt idx="8">
                  <c:v>0.1</c:v>
                </c:pt>
              </c:numCache>
            </c:numRef>
          </c:val>
          <c:extLst>
            <c:ext xmlns:c16="http://schemas.microsoft.com/office/drawing/2014/chart" uri="{C3380CC4-5D6E-409C-BE32-E72D297353CC}">
              <c16:uniqueId val="{00000002-837D-4B70-8B31-C9C9CBD6E209}"/>
            </c:ext>
          </c:extLst>
        </c:ser>
        <c:ser>
          <c:idx val="3"/>
          <c:order val="3"/>
          <c:tx>
            <c:strRef>
              <c:f>Workings!$Z$10</c:f>
              <c:strCache>
                <c:ptCount val="1"/>
                <c:pt idx="0">
                  <c:v>IPTV</c:v>
                </c:pt>
              </c:strCache>
            </c:strRef>
          </c:tx>
          <c:spPr>
            <a:solidFill>
              <a:srgbClr val="CCCCFF"/>
            </a:solidFill>
            <a:ln w="25400">
              <a:noFill/>
            </a:ln>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Workings!$AA$6:$AI$6</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Workings!$AA$10:$AI$10</c:f>
              <c:numCache>
                <c:formatCode>0.0%</c:formatCode>
                <c:ptCount val="9"/>
                <c:pt idx="0">
                  <c:v>3.0000000000000001E-3</c:v>
                </c:pt>
                <c:pt idx="1">
                  <c:v>3.0000000000000001E-3</c:v>
                </c:pt>
                <c:pt idx="2">
                  <c:v>3.0000000000000001E-3</c:v>
                </c:pt>
                <c:pt idx="3">
                  <c:v>0.01</c:v>
                </c:pt>
                <c:pt idx="4">
                  <c:v>2.3E-2</c:v>
                </c:pt>
                <c:pt idx="5">
                  <c:v>0.03</c:v>
                </c:pt>
                <c:pt idx="6">
                  <c:v>4.2999999999999997E-2</c:v>
                </c:pt>
                <c:pt idx="7">
                  <c:v>4.9000000000000002E-2</c:v>
                </c:pt>
                <c:pt idx="8">
                  <c:v>4.9000000000000002E-2</c:v>
                </c:pt>
              </c:numCache>
            </c:numRef>
          </c:val>
          <c:extLst>
            <c:ext xmlns:c16="http://schemas.microsoft.com/office/drawing/2014/chart" uri="{C3380CC4-5D6E-409C-BE32-E72D297353CC}">
              <c16:uniqueId val="{00000003-837D-4B70-8B31-C9C9CBD6E209}"/>
            </c:ext>
          </c:extLst>
        </c:ser>
        <c:dLbls>
          <c:dLblPos val="ctr"/>
          <c:showLegendKey val="0"/>
          <c:showVal val="1"/>
          <c:showCatName val="0"/>
          <c:showSerName val="0"/>
          <c:showPercent val="0"/>
          <c:showBubbleSize val="0"/>
        </c:dLbls>
        <c:gapWidth val="20"/>
        <c:overlap val="100"/>
        <c:axId val="244932992"/>
        <c:axId val="244934528"/>
      </c:barChart>
      <c:catAx>
        <c:axId val="244932992"/>
        <c:scaling>
          <c:orientation val="minMax"/>
        </c:scaling>
        <c:delete val="0"/>
        <c:axPos val="b"/>
        <c:numFmt formatCode="General" sourceLinked="1"/>
        <c:majorTickMark val="out"/>
        <c:minorTickMark val="none"/>
        <c:tickLblPos val="nextTo"/>
        <c:crossAx val="244934528"/>
        <c:crosses val="autoZero"/>
        <c:auto val="1"/>
        <c:lblAlgn val="ctr"/>
        <c:lblOffset val="100"/>
        <c:noMultiLvlLbl val="0"/>
      </c:catAx>
      <c:valAx>
        <c:axId val="244934528"/>
        <c:scaling>
          <c:orientation val="minMax"/>
        </c:scaling>
        <c:delete val="1"/>
        <c:axPos val="l"/>
        <c:majorGridlines>
          <c:spPr>
            <a:ln w="3175">
              <a:solidFill>
                <a:srgbClr val="C0C0C0"/>
              </a:solidFill>
              <a:prstDash val="solid"/>
            </a:ln>
          </c:spPr>
        </c:majorGridlines>
        <c:numFmt formatCode="0.0%" sourceLinked="1"/>
        <c:majorTickMark val="out"/>
        <c:minorTickMark val="none"/>
        <c:tickLblPos val="nextTo"/>
        <c:crossAx val="244932992"/>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406976488442164E-2"/>
          <c:y val="5.0925925925925923E-2"/>
          <c:w val="0.92318604702311569"/>
          <c:h val="0.59585338291046952"/>
        </c:manualLayout>
      </c:layout>
      <c:barChart>
        <c:barDir val="col"/>
        <c:grouping val="stacked"/>
        <c:varyColors val="0"/>
        <c:ser>
          <c:idx val="0"/>
          <c:order val="0"/>
          <c:tx>
            <c:strRef>
              <c:f>Workings!$AM$6</c:f>
              <c:strCache>
                <c:ptCount val="1"/>
                <c:pt idx="0">
                  <c:v>Analogue only</c:v>
                </c:pt>
              </c:strCache>
            </c:strRef>
          </c:tx>
          <c:spPr>
            <a:solidFill>
              <a:srgbClr val="000080"/>
            </a:solidFill>
            <a:ln w="25400">
              <a:noFill/>
            </a:ln>
          </c:spPr>
          <c:invertIfNegative val="0"/>
          <c:dLbls>
            <c:spPr>
              <a:noFill/>
              <a:ln>
                <a:noFill/>
              </a:ln>
              <a:effectLst/>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Workings!$AR$5:$AS$5</c:f>
              <c:numCache>
                <c:formatCode>General</c:formatCode>
                <c:ptCount val="2"/>
                <c:pt idx="0">
                  <c:v>2012</c:v>
                </c:pt>
                <c:pt idx="1">
                  <c:v>2014</c:v>
                </c:pt>
              </c:numCache>
            </c:numRef>
          </c:cat>
          <c:val>
            <c:numRef>
              <c:f>Workings!$AR$6:$AS$6</c:f>
              <c:numCache>
                <c:formatCode>0.0%</c:formatCode>
                <c:ptCount val="2"/>
                <c:pt idx="0">
                  <c:v>0.222</c:v>
                </c:pt>
                <c:pt idx="1">
                  <c:v>0.16200000000000001</c:v>
                </c:pt>
              </c:numCache>
            </c:numRef>
          </c:val>
          <c:extLst>
            <c:ext xmlns:c16="http://schemas.microsoft.com/office/drawing/2014/chart" uri="{C3380CC4-5D6E-409C-BE32-E72D297353CC}">
              <c16:uniqueId val="{00000000-3F3E-4E5F-B070-7CFFBB8BEDB5}"/>
            </c:ext>
          </c:extLst>
        </c:ser>
        <c:ser>
          <c:idx val="1"/>
          <c:order val="1"/>
          <c:tx>
            <c:strRef>
              <c:f>Workings!$AM$7</c:f>
              <c:strCache>
                <c:ptCount val="1"/>
                <c:pt idx="0">
                  <c:v>Analogue and digital</c:v>
                </c:pt>
              </c:strCache>
            </c:strRef>
          </c:tx>
          <c:spPr>
            <a:solidFill>
              <a:srgbClr val="9999FF"/>
            </a:solidFill>
            <a:ln w="25400">
              <a:noFill/>
            </a:ln>
          </c:spPr>
          <c:invertIfNegative val="0"/>
          <c:dLbls>
            <c:dLbl>
              <c:idx val="0"/>
              <c:layout>
                <c:manualLayout>
                  <c:x val="0"/>
                  <c:y val="-2.3148148148148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3E-4E5F-B070-7CFFBB8BEDB5}"/>
                </c:ext>
              </c:extLst>
            </c:dLbl>
            <c:dLbl>
              <c:idx val="1"/>
              <c:layout>
                <c:manualLayout>
                  <c:x val="0"/>
                  <c:y val="-1.85185185185185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3E-4E5F-B070-7CFFBB8BEDB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Workings!$AR$5:$AS$5</c:f>
              <c:numCache>
                <c:formatCode>General</c:formatCode>
                <c:ptCount val="2"/>
                <c:pt idx="0">
                  <c:v>2012</c:v>
                </c:pt>
                <c:pt idx="1">
                  <c:v>2014</c:v>
                </c:pt>
              </c:numCache>
            </c:numRef>
          </c:cat>
          <c:val>
            <c:numRef>
              <c:f>Workings!$AR$7:$AS$7</c:f>
              <c:numCache>
                <c:formatCode>0.0%</c:formatCode>
                <c:ptCount val="2"/>
                <c:pt idx="0">
                  <c:v>7.1999999999999995E-2</c:v>
                </c:pt>
                <c:pt idx="1">
                  <c:v>5.6000000000000001E-2</c:v>
                </c:pt>
              </c:numCache>
            </c:numRef>
          </c:val>
          <c:extLst>
            <c:ext xmlns:c16="http://schemas.microsoft.com/office/drawing/2014/chart" uri="{C3380CC4-5D6E-409C-BE32-E72D297353CC}">
              <c16:uniqueId val="{00000003-3F3E-4E5F-B070-7CFFBB8BEDB5}"/>
            </c:ext>
          </c:extLst>
        </c:ser>
        <c:ser>
          <c:idx val="2"/>
          <c:order val="2"/>
          <c:tx>
            <c:strRef>
              <c:f>Workings!$AM$8</c:f>
              <c:strCache>
                <c:ptCount val="1"/>
                <c:pt idx="0">
                  <c:v>Digital only</c:v>
                </c:pt>
              </c:strCache>
            </c:strRef>
          </c:tx>
          <c:spPr>
            <a:solidFill>
              <a:srgbClr val="3366FF"/>
            </a:solidFill>
            <a:ln w="25400">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Workings!$AR$5:$AS$5</c:f>
              <c:numCache>
                <c:formatCode>General</c:formatCode>
                <c:ptCount val="2"/>
                <c:pt idx="0">
                  <c:v>2012</c:v>
                </c:pt>
                <c:pt idx="1">
                  <c:v>2014</c:v>
                </c:pt>
              </c:numCache>
            </c:numRef>
          </c:cat>
          <c:val>
            <c:numRef>
              <c:f>Workings!$AR$8:$AS$8</c:f>
              <c:numCache>
                <c:formatCode>0.0%</c:formatCode>
                <c:ptCount val="2"/>
                <c:pt idx="0">
                  <c:v>0.70599999999999996</c:v>
                </c:pt>
                <c:pt idx="1">
                  <c:v>0.78200000000000003</c:v>
                </c:pt>
              </c:numCache>
            </c:numRef>
          </c:val>
          <c:extLst>
            <c:ext xmlns:c16="http://schemas.microsoft.com/office/drawing/2014/chart" uri="{C3380CC4-5D6E-409C-BE32-E72D297353CC}">
              <c16:uniqueId val="{00000004-3F3E-4E5F-B070-7CFFBB8BEDB5}"/>
            </c:ext>
          </c:extLst>
        </c:ser>
        <c:dLbls>
          <c:dLblPos val="ctr"/>
          <c:showLegendKey val="0"/>
          <c:showVal val="1"/>
          <c:showCatName val="0"/>
          <c:showSerName val="0"/>
          <c:showPercent val="0"/>
          <c:showBubbleSize val="0"/>
        </c:dLbls>
        <c:gapWidth val="150"/>
        <c:overlap val="100"/>
        <c:axId val="244967296"/>
        <c:axId val="244968832"/>
      </c:barChart>
      <c:catAx>
        <c:axId val="244967296"/>
        <c:scaling>
          <c:orientation val="minMax"/>
        </c:scaling>
        <c:delete val="0"/>
        <c:axPos val="b"/>
        <c:numFmt formatCode="General" sourceLinked="1"/>
        <c:majorTickMark val="out"/>
        <c:minorTickMark val="none"/>
        <c:tickLblPos val="nextTo"/>
        <c:crossAx val="244968832"/>
        <c:crosses val="autoZero"/>
        <c:auto val="1"/>
        <c:lblAlgn val="ctr"/>
        <c:lblOffset val="100"/>
        <c:noMultiLvlLbl val="0"/>
      </c:catAx>
      <c:valAx>
        <c:axId val="244968832"/>
        <c:scaling>
          <c:orientation val="minMax"/>
          <c:max val="1"/>
        </c:scaling>
        <c:delete val="1"/>
        <c:axPos val="l"/>
        <c:numFmt formatCode="0.0%" sourceLinked="1"/>
        <c:majorTickMark val="out"/>
        <c:minorTickMark val="none"/>
        <c:tickLblPos val="nextTo"/>
        <c:crossAx val="244967296"/>
        <c:crosses val="autoZero"/>
        <c:crossBetween val="between"/>
      </c:valAx>
      <c:spPr>
        <a:noFill/>
        <a:ln w="25400">
          <a:noFill/>
        </a:ln>
      </c:spPr>
    </c:plotArea>
    <c:legend>
      <c:legendPos val="b"/>
      <c:layout>
        <c:manualLayout>
          <c:xMode val="edge"/>
          <c:yMode val="edge"/>
          <c:x val="1.68477690288714E-2"/>
          <c:y val="0.77460702828813066"/>
          <c:w val="0.88019335083114614"/>
          <c:h val="0.19761519393409158"/>
        </c:manualLayout>
      </c:layout>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Workings!$Z$13</c:f>
              <c:strCache>
                <c:ptCount val="1"/>
                <c:pt idx="0">
                  <c:v>Cable</c:v>
                </c:pt>
              </c:strCache>
            </c:strRef>
          </c:tx>
          <c:spPr>
            <a:ln w="25400">
              <a:solidFill>
                <a:srgbClr val="333399"/>
              </a:solidFill>
              <a:prstDash val="solid"/>
            </a:ln>
            <a:effectLst/>
          </c:spPr>
          <c:marker>
            <c:symbol val="none"/>
          </c:marker>
          <c:cat>
            <c:numRef>
              <c:f>Workings!$AC$6:$AI$6</c:f>
              <c:numCache>
                <c:formatCode>General</c:formatCode>
                <c:ptCount val="7"/>
                <c:pt idx="0">
                  <c:v>2008</c:v>
                </c:pt>
                <c:pt idx="1">
                  <c:v>2009</c:v>
                </c:pt>
                <c:pt idx="2">
                  <c:v>2010</c:v>
                </c:pt>
                <c:pt idx="3">
                  <c:v>2011</c:v>
                </c:pt>
                <c:pt idx="4">
                  <c:v>2012</c:v>
                </c:pt>
                <c:pt idx="5">
                  <c:v>2013</c:v>
                </c:pt>
                <c:pt idx="6">
                  <c:v>2014</c:v>
                </c:pt>
              </c:numCache>
            </c:numRef>
          </c:cat>
          <c:val>
            <c:numRef>
              <c:f>Workings!$AC$13:$AI$13</c:f>
              <c:numCache>
                <c:formatCode>0.0%</c:formatCode>
                <c:ptCount val="7"/>
                <c:pt idx="0">
                  <c:v>0.21</c:v>
                </c:pt>
                <c:pt idx="1">
                  <c:v>0.30599999999999999</c:v>
                </c:pt>
                <c:pt idx="2">
                  <c:v>0.378</c:v>
                </c:pt>
                <c:pt idx="3">
                  <c:v>0.42499999999999999</c:v>
                </c:pt>
                <c:pt idx="4">
                  <c:v>0.48199999999999998</c:v>
                </c:pt>
                <c:pt idx="5">
                  <c:v>0.55900000000000005</c:v>
                </c:pt>
                <c:pt idx="6">
                  <c:v>0.629</c:v>
                </c:pt>
              </c:numCache>
            </c:numRef>
          </c:val>
          <c:smooth val="0"/>
          <c:extLst>
            <c:ext xmlns:c16="http://schemas.microsoft.com/office/drawing/2014/chart" uri="{C3380CC4-5D6E-409C-BE32-E72D297353CC}">
              <c16:uniqueId val="{00000000-0E9A-4378-95B1-BD17DBE17E4D}"/>
            </c:ext>
          </c:extLst>
        </c:ser>
        <c:ser>
          <c:idx val="1"/>
          <c:order val="1"/>
          <c:tx>
            <c:strRef>
              <c:f>Workings!$Z$14</c:f>
              <c:strCache>
                <c:ptCount val="1"/>
                <c:pt idx="0">
                  <c:v>Satellite</c:v>
                </c:pt>
              </c:strCache>
            </c:strRef>
          </c:tx>
          <c:spPr>
            <a:ln w="25400">
              <a:solidFill>
                <a:srgbClr val="99CCFF"/>
              </a:solidFill>
              <a:prstDash val="solid"/>
            </a:ln>
            <a:effectLst/>
          </c:spPr>
          <c:marker>
            <c:symbol val="none"/>
          </c:marker>
          <c:cat>
            <c:numRef>
              <c:f>Workings!$AC$6:$AI$6</c:f>
              <c:numCache>
                <c:formatCode>General</c:formatCode>
                <c:ptCount val="7"/>
                <c:pt idx="0">
                  <c:v>2008</c:v>
                </c:pt>
                <c:pt idx="1">
                  <c:v>2009</c:v>
                </c:pt>
                <c:pt idx="2">
                  <c:v>2010</c:v>
                </c:pt>
                <c:pt idx="3">
                  <c:v>2011</c:v>
                </c:pt>
                <c:pt idx="4">
                  <c:v>2012</c:v>
                </c:pt>
                <c:pt idx="5">
                  <c:v>2013</c:v>
                </c:pt>
                <c:pt idx="6">
                  <c:v>2014</c:v>
                </c:pt>
              </c:numCache>
            </c:numRef>
          </c:cat>
          <c:val>
            <c:numRef>
              <c:f>Workings!$AC$14:$AI$14</c:f>
              <c:numCache>
                <c:formatCode>0.0%</c:formatCode>
                <c:ptCount val="7"/>
                <c:pt idx="0">
                  <c:v>0.65700000000000003</c:v>
                </c:pt>
                <c:pt idx="1">
                  <c:v>0.74099999999999999</c:v>
                </c:pt>
                <c:pt idx="2">
                  <c:v>0.79100000000000004</c:v>
                </c:pt>
                <c:pt idx="3">
                  <c:v>0.86399999999999999</c:v>
                </c:pt>
                <c:pt idx="4">
                  <c:v>1</c:v>
                </c:pt>
                <c:pt idx="5">
                  <c:v>1</c:v>
                </c:pt>
                <c:pt idx="6">
                  <c:v>1</c:v>
                </c:pt>
              </c:numCache>
            </c:numRef>
          </c:val>
          <c:smooth val="0"/>
          <c:extLst>
            <c:ext xmlns:c16="http://schemas.microsoft.com/office/drawing/2014/chart" uri="{C3380CC4-5D6E-409C-BE32-E72D297353CC}">
              <c16:uniqueId val="{00000001-0E9A-4378-95B1-BD17DBE17E4D}"/>
            </c:ext>
          </c:extLst>
        </c:ser>
        <c:dLbls>
          <c:showLegendKey val="0"/>
          <c:showVal val="0"/>
          <c:showCatName val="0"/>
          <c:showSerName val="0"/>
          <c:showPercent val="0"/>
          <c:showBubbleSize val="0"/>
        </c:dLbls>
        <c:smooth val="0"/>
        <c:axId val="245015296"/>
        <c:axId val="245016832"/>
      </c:lineChart>
      <c:catAx>
        <c:axId val="245015296"/>
        <c:scaling>
          <c:orientation val="minMax"/>
        </c:scaling>
        <c:delete val="0"/>
        <c:axPos val="b"/>
        <c:numFmt formatCode="General" sourceLinked="1"/>
        <c:majorTickMark val="out"/>
        <c:minorTickMark val="none"/>
        <c:tickLblPos val="low"/>
        <c:crossAx val="245016832"/>
        <c:crosses val="autoZero"/>
        <c:auto val="1"/>
        <c:lblAlgn val="ctr"/>
        <c:lblOffset val="100"/>
        <c:tickLblSkip val="2"/>
        <c:noMultiLvlLbl val="0"/>
      </c:catAx>
      <c:valAx>
        <c:axId val="245016832"/>
        <c:scaling>
          <c:orientation val="minMax"/>
          <c:max val="1.01"/>
          <c:min val="0"/>
        </c:scaling>
        <c:delete val="0"/>
        <c:axPos val="l"/>
        <c:numFmt formatCode="0%" sourceLinked="0"/>
        <c:majorTickMark val="out"/>
        <c:minorTickMark val="none"/>
        <c:tickLblPos val="nextTo"/>
        <c:crossAx val="245015296"/>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8423682081668"/>
          <c:y val="5.0925925925925923E-2"/>
          <c:w val="0.76296126467723213"/>
          <c:h val="0.68118584135316429"/>
        </c:manualLayout>
      </c:layout>
      <c:barChart>
        <c:barDir val="col"/>
        <c:grouping val="clustered"/>
        <c:varyColors val="0"/>
        <c:ser>
          <c:idx val="0"/>
          <c:order val="0"/>
          <c:tx>
            <c:strRef>
              <c:f>Workings!$B$313</c:f>
              <c:strCache>
                <c:ptCount val="1"/>
                <c:pt idx="0">
                  <c:v>Signal fees mn</c:v>
                </c:pt>
              </c:strCache>
            </c:strRef>
          </c:tx>
          <c:spPr>
            <a:solidFill>
              <a:srgbClr val="000080"/>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Workings!$C$311:$F$311</c:f>
              <c:strCache>
                <c:ptCount val="4"/>
                <c:pt idx="0">
                  <c:v>2011A</c:v>
                </c:pt>
                <c:pt idx="1">
                  <c:v>2012A</c:v>
                </c:pt>
                <c:pt idx="2">
                  <c:v>2013A</c:v>
                </c:pt>
                <c:pt idx="3">
                  <c:v>2014A</c:v>
                </c:pt>
              </c:strCache>
            </c:strRef>
          </c:cat>
          <c:val>
            <c:numRef>
              <c:f>Workings!$C$313:$F$313</c:f>
              <c:numCache>
                <c:formatCode>General</c:formatCode>
                <c:ptCount val="4"/>
                <c:pt idx="0">
                  <c:v>37.4</c:v>
                </c:pt>
                <c:pt idx="1">
                  <c:v>34.700000000000003</c:v>
                </c:pt>
                <c:pt idx="2">
                  <c:v>31</c:v>
                </c:pt>
                <c:pt idx="3">
                  <c:v>32.5</c:v>
                </c:pt>
              </c:numCache>
            </c:numRef>
          </c:val>
          <c:extLst>
            <c:ext xmlns:c16="http://schemas.microsoft.com/office/drawing/2014/chart" uri="{C3380CC4-5D6E-409C-BE32-E72D297353CC}">
              <c16:uniqueId val="{00000000-3646-4950-AA9E-7997013D3184}"/>
            </c:ext>
          </c:extLst>
        </c:ser>
        <c:dLbls>
          <c:showLegendKey val="0"/>
          <c:showVal val="0"/>
          <c:showCatName val="0"/>
          <c:showSerName val="0"/>
          <c:showPercent val="0"/>
          <c:showBubbleSize val="0"/>
        </c:dLbls>
        <c:gapWidth val="150"/>
        <c:axId val="245380608"/>
        <c:axId val="245382144"/>
      </c:barChart>
      <c:lineChart>
        <c:grouping val="standard"/>
        <c:varyColors val="0"/>
        <c:ser>
          <c:idx val="1"/>
          <c:order val="1"/>
          <c:tx>
            <c:strRef>
              <c:f>Workings!$B$314</c:f>
              <c:strCache>
                <c:ptCount val="1"/>
                <c:pt idx="0">
                  <c:v>% revenues</c:v>
                </c:pt>
              </c:strCache>
            </c:strRef>
          </c:tx>
          <c:spPr>
            <a:ln>
              <a:solidFill>
                <a:schemeClr val="accent1"/>
              </a:solidFill>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Workings!$C$311:$F$311</c:f>
              <c:strCache>
                <c:ptCount val="4"/>
                <c:pt idx="0">
                  <c:v>2011A</c:v>
                </c:pt>
                <c:pt idx="1">
                  <c:v>2012A</c:v>
                </c:pt>
                <c:pt idx="2">
                  <c:v>2013A</c:v>
                </c:pt>
                <c:pt idx="3">
                  <c:v>2014A</c:v>
                </c:pt>
              </c:strCache>
            </c:strRef>
          </c:cat>
          <c:val>
            <c:numRef>
              <c:f>Workings!$C$314:$F$314</c:f>
              <c:numCache>
                <c:formatCode>0%</c:formatCode>
                <c:ptCount val="4"/>
                <c:pt idx="0">
                  <c:v>0.18270639960918417</c:v>
                </c:pt>
                <c:pt idx="1">
                  <c:v>0.16902094495859718</c:v>
                </c:pt>
                <c:pt idx="2">
                  <c:v>0.15033947623666344</c:v>
                </c:pt>
                <c:pt idx="3">
                  <c:v>0.15258215962441316</c:v>
                </c:pt>
              </c:numCache>
            </c:numRef>
          </c:val>
          <c:smooth val="0"/>
          <c:extLst>
            <c:ext xmlns:c16="http://schemas.microsoft.com/office/drawing/2014/chart" uri="{C3380CC4-5D6E-409C-BE32-E72D297353CC}">
              <c16:uniqueId val="{00000001-3646-4950-AA9E-7997013D3184}"/>
            </c:ext>
          </c:extLst>
        </c:ser>
        <c:dLbls>
          <c:showLegendKey val="0"/>
          <c:showVal val="0"/>
          <c:showCatName val="0"/>
          <c:showSerName val="0"/>
          <c:showPercent val="0"/>
          <c:showBubbleSize val="0"/>
        </c:dLbls>
        <c:marker val="1"/>
        <c:smooth val="0"/>
        <c:axId val="245389568"/>
        <c:axId val="245388032"/>
      </c:lineChart>
      <c:catAx>
        <c:axId val="245380608"/>
        <c:scaling>
          <c:orientation val="minMax"/>
        </c:scaling>
        <c:delete val="0"/>
        <c:axPos val="b"/>
        <c:numFmt formatCode="General" sourceLinked="0"/>
        <c:majorTickMark val="out"/>
        <c:minorTickMark val="none"/>
        <c:tickLblPos val="nextTo"/>
        <c:crossAx val="245382144"/>
        <c:crosses val="autoZero"/>
        <c:auto val="1"/>
        <c:lblAlgn val="ctr"/>
        <c:lblOffset val="100"/>
        <c:noMultiLvlLbl val="0"/>
      </c:catAx>
      <c:valAx>
        <c:axId val="245382144"/>
        <c:scaling>
          <c:orientation val="minMax"/>
          <c:max val="60"/>
        </c:scaling>
        <c:delete val="0"/>
        <c:axPos val="l"/>
        <c:numFmt formatCode="General" sourceLinked="1"/>
        <c:majorTickMark val="out"/>
        <c:minorTickMark val="none"/>
        <c:tickLblPos val="nextTo"/>
        <c:spPr>
          <a:ln>
            <a:noFill/>
          </a:ln>
        </c:spPr>
        <c:txPr>
          <a:bodyPr/>
          <a:lstStyle/>
          <a:p>
            <a:pPr>
              <a:defRPr>
                <a:solidFill>
                  <a:schemeClr val="bg1"/>
                </a:solidFill>
              </a:defRPr>
            </a:pPr>
            <a:endParaRPr lang="en-US"/>
          </a:p>
        </c:txPr>
        <c:crossAx val="245380608"/>
        <c:crosses val="autoZero"/>
        <c:crossBetween val="between"/>
      </c:valAx>
      <c:valAx>
        <c:axId val="245388032"/>
        <c:scaling>
          <c:orientation val="minMax"/>
        </c:scaling>
        <c:delete val="0"/>
        <c:axPos val="r"/>
        <c:numFmt formatCode="0%" sourceLinked="1"/>
        <c:majorTickMark val="out"/>
        <c:minorTickMark val="none"/>
        <c:tickLblPos val="nextTo"/>
        <c:spPr>
          <a:ln>
            <a:noFill/>
          </a:ln>
        </c:spPr>
        <c:txPr>
          <a:bodyPr/>
          <a:lstStyle/>
          <a:p>
            <a:pPr>
              <a:defRPr>
                <a:solidFill>
                  <a:schemeClr val="bg1"/>
                </a:solidFill>
              </a:defRPr>
            </a:pPr>
            <a:endParaRPr lang="en-US"/>
          </a:p>
        </c:txPr>
        <c:crossAx val="245389568"/>
        <c:crosses val="max"/>
        <c:crossBetween val="between"/>
      </c:valAx>
      <c:catAx>
        <c:axId val="245389568"/>
        <c:scaling>
          <c:orientation val="minMax"/>
        </c:scaling>
        <c:delete val="1"/>
        <c:axPos val="b"/>
        <c:numFmt formatCode="General" sourceLinked="1"/>
        <c:majorTickMark val="out"/>
        <c:minorTickMark val="none"/>
        <c:tickLblPos val="nextTo"/>
        <c:crossAx val="245388032"/>
        <c:crosses val="autoZero"/>
        <c:auto val="1"/>
        <c:lblAlgn val="ctr"/>
        <c:lblOffset val="100"/>
        <c:noMultiLvlLbl val="0"/>
      </c:cat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Workings!$D$382</c:f>
              <c:strCache>
                <c:ptCount val="1"/>
                <c:pt idx="0">
                  <c:v>Broadband % customers (4Q14)</c:v>
                </c:pt>
              </c:strCache>
            </c:strRef>
          </c:tx>
          <c:spPr>
            <a:solidFill>
              <a:srgbClr val="000080"/>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Workings!$C$383:$C$385</c:f>
              <c:strCache>
                <c:ptCount val="3"/>
                <c:pt idx="0">
                  <c:v>Unity</c:v>
                </c:pt>
                <c:pt idx="1">
                  <c:v>KDG</c:v>
                </c:pt>
                <c:pt idx="2">
                  <c:v>TCOL</c:v>
                </c:pt>
              </c:strCache>
            </c:strRef>
          </c:cat>
          <c:val>
            <c:numRef>
              <c:f>Workings!$D$383:$D$385</c:f>
              <c:numCache>
                <c:formatCode>0.0%</c:formatCode>
                <c:ptCount val="3"/>
                <c:pt idx="0">
                  <c:v>0.40640960880058369</c:v>
                </c:pt>
                <c:pt idx="1">
                  <c:v>0.30017974835230676</c:v>
                </c:pt>
                <c:pt idx="2">
                  <c:v>0.15753377237131402</c:v>
                </c:pt>
              </c:numCache>
            </c:numRef>
          </c:val>
          <c:extLst>
            <c:ext xmlns:c16="http://schemas.microsoft.com/office/drawing/2014/chart" uri="{C3380CC4-5D6E-409C-BE32-E72D297353CC}">
              <c16:uniqueId val="{00000000-011A-464A-A92B-EE18E7008941}"/>
            </c:ext>
          </c:extLst>
        </c:ser>
        <c:dLbls>
          <c:dLblPos val="outEnd"/>
          <c:showLegendKey val="0"/>
          <c:showVal val="1"/>
          <c:showCatName val="0"/>
          <c:showSerName val="0"/>
          <c:showPercent val="0"/>
          <c:showBubbleSize val="0"/>
        </c:dLbls>
        <c:gapWidth val="150"/>
        <c:axId val="245427200"/>
        <c:axId val="245105408"/>
      </c:barChart>
      <c:catAx>
        <c:axId val="245427200"/>
        <c:scaling>
          <c:orientation val="maxMin"/>
        </c:scaling>
        <c:delete val="0"/>
        <c:axPos val="l"/>
        <c:numFmt formatCode="General" sourceLinked="0"/>
        <c:majorTickMark val="out"/>
        <c:minorTickMark val="none"/>
        <c:tickLblPos val="nextTo"/>
        <c:crossAx val="245105408"/>
        <c:crosses val="autoZero"/>
        <c:auto val="1"/>
        <c:lblAlgn val="ctr"/>
        <c:lblOffset val="100"/>
        <c:noMultiLvlLbl val="0"/>
      </c:catAx>
      <c:valAx>
        <c:axId val="245105408"/>
        <c:scaling>
          <c:orientation val="minMax"/>
        </c:scaling>
        <c:delete val="1"/>
        <c:axPos val="b"/>
        <c:numFmt formatCode="0.0%" sourceLinked="1"/>
        <c:majorTickMark val="out"/>
        <c:minorTickMark val="none"/>
        <c:tickLblPos val="nextTo"/>
        <c:crossAx val="245427200"/>
        <c:crosses val="max"/>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EBITDA margin</c:v>
          </c:tx>
          <c:spPr>
            <a:ln w="25400">
              <a:solidFill>
                <a:srgbClr val="333399"/>
              </a:solidFill>
              <a:prstDash val="solid"/>
            </a:ln>
            <a:effectLst/>
          </c:spPr>
          <c:marker>
            <c:symbol val="none"/>
          </c:marker>
          <c:cat>
            <c:strRef>
              <c:f>'Model also  old'!$B$3:$O$3</c:f>
              <c:strCache>
                <c:ptCount val="8"/>
                <c:pt idx="0">
                  <c:v>2011A</c:v>
                </c:pt>
                <c:pt idx="1">
                  <c:v>2012A</c:v>
                </c:pt>
                <c:pt idx="2">
                  <c:v>2013A</c:v>
                </c:pt>
                <c:pt idx="3">
                  <c:v>2014A</c:v>
                </c:pt>
                <c:pt idx="4">
                  <c:v>PF 2015E</c:v>
                </c:pt>
                <c:pt idx="6">
                  <c:v>2016E</c:v>
                </c:pt>
                <c:pt idx="7">
                  <c:v>2017E</c:v>
                </c:pt>
              </c:strCache>
            </c:strRef>
          </c:cat>
          <c:val>
            <c:numRef>
              <c:f>'Model also  old'!$B$8:$O$8</c:f>
              <c:numCache>
                <c:formatCode>0%</c:formatCode>
                <c:ptCount val="8"/>
                <c:pt idx="0">
                  <c:v>0.38299951148021499</c:v>
                </c:pt>
                <c:pt idx="1">
                  <c:v>0.42425718460789086</c:v>
                </c:pt>
                <c:pt idx="2">
                  <c:v>0.42725509214354995</c:v>
                </c:pt>
                <c:pt idx="3" formatCode="0.0%">
                  <c:v>0.4649435572373784</c:v>
                </c:pt>
                <c:pt idx="4" formatCode="0.0%">
                  <c:v>0.50748860429780762</c:v>
                </c:pt>
                <c:pt idx="6">
                  <c:v>0.50993243113530551</c:v>
                </c:pt>
                <c:pt idx="7">
                  <c:v>0.54063186320102696</c:v>
                </c:pt>
              </c:numCache>
            </c:numRef>
          </c:val>
          <c:smooth val="0"/>
          <c:extLst>
            <c:ext xmlns:c16="http://schemas.microsoft.com/office/drawing/2014/chart" uri="{C3380CC4-5D6E-409C-BE32-E72D297353CC}">
              <c16:uniqueId val="{00000000-1B34-47A8-8041-5260F64C98C9}"/>
            </c:ext>
          </c:extLst>
        </c:ser>
        <c:ser>
          <c:idx val="1"/>
          <c:order val="1"/>
          <c:tx>
            <c:v>Capex % revenues</c:v>
          </c:tx>
          <c:spPr>
            <a:ln w="25400">
              <a:solidFill>
                <a:srgbClr val="99CCFF"/>
              </a:solidFill>
              <a:prstDash val="solid"/>
            </a:ln>
            <a:effectLst/>
          </c:spPr>
          <c:marker>
            <c:symbol val="none"/>
          </c:marker>
          <c:cat>
            <c:strRef>
              <c:f>'Model also  old'!$B$3:$O$3</c:f>
              <c:strCache>
                <c:ptCount val="8"/>
                <c:pt idx="0">
                  <c:v>2011A</c:v>
                </c:pt>
                <c:pt idx="1">
                  <c:v>2012A</c:v>
                </c:pt>
                <c:pt idx="2">
                  <c:v>2013A</c:v>
                </c:pt>
                <c:pt idx="3">
                  <c:v>2014A</c:v>
                </c:pt>
                <c:pt idx="4">
                  <c:v>PF 2015E</c:v>
                </c:pt>
                <c:pt idx="6">
                  <c:v>2016E</c:v>
                </c:pt>
                <c:pt idx="7">
                  <c:v>2017E</c:v>
                </c:pt>
              </c:strCache>
            </c:strRef>
          </c:cat>
          <c:val>
            <c:numRef>
              <c:f>'Model also  old'!$B$10:$O$10</c:f>
              <c:numCache>
                <c:formatCode>0%</c:formatCode>
                <c:ptCount val="8"/>
                <c:pt idx="0">
                  <c:v>0.33268197361993157</c:v>
                </c:pt>
                <c:pt idx="1">
                  <c:v>0.29030686799805161</c:v>
                </c:pt>
                <c:pt idx="2">
                  <c:v>0.24975751697381185</c:v>
                </c:pt>
                <c:pt idx="3">
                  <c:v>0.3948356807511737</c:v>
                </c:pt>
                <c:pt idx="4">
                  <c:v>0.36900369003690037</c:v>
                </c:pt>
                <c:pt idx="6">
                  <c:v>0.35000000000000003</c:v>
                </c:pt>
                <c:pt idx="7">
                  <c:v>0.32</c:v>
                </c:pt>
              </c:numCache>
            </c:numRef>
          </c:val>
          <c:smooth val="0"/>
          <c:extLst>
            <c:ext xmlns:c16="http://schemas.microsoft.com/office/drawing/2014/chart" uri="{C3380CC4-5D6E-409C-BE32-E72D297353CC}">
              <c16:uniqueId val="{00000001-1B34-47A8-8041-5260F64C98C9}"/>
            </c:ext>
          </c:extLst>
        </c:ser>
        <c:dLbls>
          <c:showLegendKey val="0"/>
          <c:showVal val="0"/>
          <c:showCatName val="0"/>
          <c:showSerName val="0"/>
          <c:showPercent val="0"/>
          <c:showBubbleSize val="0"/>
        </c:dLbls>
        <c:smooth val="0"/>
        <c:axId val="236164608"/>
        <c:axId val="236166144"/>
      </c:lineChart>
      <c:catAx>
        <c:axId val="236164608"/>
        <c:scaling>
          <c:orientation val="minMax"/>
        </c:scaling>
        <c:delete val="0"/>
        <c:axPos val="b"/>
        <c:numFmt formatCode="General" sourceLinked="0"/>
        <c:majorTickMark val="out"/>
        <c:minorTickMark val="none"/>
        <c:tickLblPos val="low"/>
        <c:crossAx val="236166144"/>
        <c:crosses val="autoZero"/>
        <c:auto val="1"/>
        <c:lblAlgn val="ctr"/>
        <c:lblOffset val="100"/>
        <c:tickLblSkip val="2"/>
        <c:noMultiLvlLbl val="0"/>
      </c:catAx>
      <c:valAx>
        <c:axId val="236166144"/>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crossAx val="236164608"/>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2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Workings!$E$382</c:f>
              <c:strCache>
                <c:ptCount val="1"/>
                <c:pt idx="0">
                  <c:v>Broadband % customers (2Q15)</c:v>
                </c:pt>
              </c:strCache>
            </c:strRef>
          </c:tx>
          <c:spPr>
            <a:solidFill>
              <a:srgbClr val="000080"/>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Workings!$C$383:$C$385</c:f>
              <c:strCache>
                <c:ptCount val="3"/>
                <c:pt idx="0">
                  <c:v>Unity</c:v>
                </c:pt>
                <c:pt idx="1">
                  <c:v>KDG</c:v>
                </c:pt>
                <c:pt idx="2">
                  <c:v>TCOL</c:v>
                </c:pt>
              </c:strCache>
            </c:strRef>
          </c:cat>
          <c:val>
            <c:numRef>
              <c:f>Workings!$E$383:$E$385</c:f>
              <c:numCache>
                <c:formatCode>0.0%</c:formatCode>
                <c:ptCount val="3"/>
                <c:pt idx="0">
                  <c:v>0.41952247191011238</c:v>
                </c:pt>
                <c:pt idx="1">
                  <c:v>0.32769175369103348</c:v>
                </c:pt>
                <c:pt idx="2">
                  <c:v>0.17387755102040817</c:v>
                </c:pt>
              </c:numCache>
            </c:numRef>
          </c:val>
          <c:extLst>
            <c:ext xmlns:c16="http://schemas.microsoft.com/office/drawing/2014/chart" uri="{C3380CC4-5D6E-409C-BE32-E72D297353CC}">
              <c16:uniqueId val="{00000000-7152-4E45-965F-4100205E8CD7}"/>
            </c:ext>
          </c:extLst>
        </c:ser>
        <c:dLbls>
          <c:dLblPos val="outEnd"/>
          <c:showLegendKey val="0"/>
          <c:showVal val="1"/>
          <c:showCatName val="0"/>
          <c:showSerName val="0"/>
          <c:showPercent val="0"/>
          <c:showBubbleSize val="0"/>
        </c:dLbls>
        <c:gapWidth val="150"/>
        <c:axId val="245137408"/>
        <c:axId val="245140096"/>
      </c:barChart>
      <c:catAx>
        <c:axId val="245137408"/>
        <c:scaling>
          <c:orientation val="maxMin"/>
        </c:scaling>
        <c:delete val="0"/>
        <c:axPos val="l"/>
        <c:numFmt formatCode="General" sourceLinked="0"/>
        <c:majorTickMark val="out"/>
        <c:minorTickMark val="none"/>
        <c:tickLblPos val="nextTo"/>
        <c:crossAx val="245140096"/>
        <c:crosses val="autoZero"/>
        <c:auto val="1"/>
        <c:lblAlgn val="ctr"/>
        <c:lblOffset val="100"/>
        <c:noMultiLvlLbl val="0"/>
      </c:catAx>
      <c:valAx>
        <c:axId val="245140096"/>
        <c:scaling>
          <c:orientation val="minMax"/>
        </c:scaling>
        <c:delete val="1"/>
        <c:axPos val="b"/>
        <c:numFmt formatCode="0.0%" sourceLinked="1"/>
        <c:majorTickMark val="out"/>
        <c:minorTickMark val="none"/>
        <c:tickLblPos val="nextTo"/>
        <c:crossAx val="245137408"/>
        <c:crosses val="max"/>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Workings!$Z$94</c:f>
              <c:strCache>
                <c:ptCount val="1"/>
                <c:pt idx="0">
                  <c:v>Unity</c:v>
                </c:pt>
              </c:strCache>
            </c:strRef>
          </c:tx>
          <c:spPr>
            <a:solidFill>
              <a:srgbClr val="000080"/>
            </a:solidFill>
            <a:ln w="25400">
              <a:noFill/>
            </a:ln>
            <a:effectLst/>
          </c:spPr>
          <c:invertIfNegative val="0"/>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Workings!$AA$94:$AI$94</c:f>
              <c:numCache>
                <c:formatCode>#,##0;\(#,##0\)</c:formatCode>
                <c:ptCount val="9"/>
                <c:pt idx="0">
                  <c:v>-82</c:v>
                </c:pt>
                <c:pt idx="1">
                  <c:v>-23</c:v>
                </c:pt>
                <c:pt idx="2">
                  <c:v>-51.599999999999454</c:v>
                </c:pt>
                <c:pt idx="3">
                  <c:v>-62.900000000000546</c:v>
                </c:pt>
                <c:pt idx="4">
                  <c:v>-88.100000000000364</c:v>
                </c:pt>
                <c:pt idx="5">
                  <c:v>-43.499999999999091</c:v>
                </c:pt>
                <c:pt idx="6">
                  <c:v>-65.578999999999724</c:v>
                </c:pt>
                <c:pt idx="7">
                  <c:v>-64.923209999999926</c:v>
                </c:pt>
                <c:pt idx="8">
                  <c:v>-64.273977900000318</c:v>
                </c:pt>
              </c:numCache>
            </c:numRef>
          </c:val>
          <c:extLst>
            <c:ext xmlns:c16="http://schemas.microsoft.com/office/drawing/2014/chart" uri="{C3380CC4-5D6E-409C-BE32-E72D297353CC}">
              <c16:uniqueId val="{00000000-1C15-4854-815E-055414A8F83D}"/>
            </c:ext>
          </c:extLst>
        </c:ser>
        <c:ser>
          <c:idx val="1"/>
          <c:order val="1"/>
          <c:tx>
            <c:strRef>
              <c:f>Workings!$Z$95</c:f>
              <c:strCache>
                <c:ptCount val="1"/>
                <c:pt idx="0">
                  <c:v>KDG</c:v>
                </c:pt>
              </c:strCache>
            </c:strRef>
          </c:tx>
          <c:spPr>
            <a:solidFill>
              <a:srgbClr val="9999FF"/>
            </a:solidFill>
            <a:ln w="25400">
              <a:noFill/>
            </a:ln>
          </c:spPr>
          <c:invertIfNegative val="0"/>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Workings!$AA$95:$AI$95</c:f>
              <c:numCache>
                <c:formatCode>#,##0;\(#,##0\)</c:formatCode>
                <c:ptCount val="9"/>
                <c:pt idx="0">
                  <c:v>-245</c:v>
                </c:pt>
                <c:pt idx="1">
                  <c:v>-131</c:v>
                </c:pt>
                <c:pt idx="2">
                  <c:v>-176.20000000000073</c:v>
                </c:pt>
                <c:pt idx="3">
                  <c:v>-84.799999999999272</c:v>
                </c:pt>
                <c:pt idx="4">
                  <c:v>-316</c:v>
                </c:pt>
                <c:pt idx="5">
                  <c:v>-58.030619547011156</c:v>
                </c:pt>
                <c:pt idx="6">
                  <c:v>-58.463777179293174</c:v>
                </c:pt>
                <c:pt idx="7">
                  <c:v>-58.896934811572464</c:v>
                </c:pt>
                <c:pt idx="8">
                  <c:v>-59.330092443851754</c:v>
                </c:pt>
              </c:numCache>
            </c:numRef>
          </c:val>
          <c:extLst>
            <c:ext xmlns:c16="http://schemas.microsoft.com/office/drawing/2014/chart" uri="{C3380CC4-5D6E-409C-BE32-E72D297353CC}">
              <c16:uniqueId val="{00000001-1C15-4854-815E-055414A8F83D}"/>
            </c:ext>
          </c:extLst>
        </c:ser>
        <c:ser>
          <c:idx val="2"/>
          <c:order val="2"/>
          <c:tx>
            <c:strRef>
              <c:f>Workings!$Z$96</c:f>
              <c:strCache>
                <c:ptCount val="1"/>
                <c:pt idx="0">
                  <c:v>TCOL</c:v>
                </c:pt>
              </c:strCache>
            </c:strRef>
          </c:tx>
          <c:spPr>
            <a:solidFill>
              <a:srgbClr val="3366FF"/>
            </a:solidFill>
            <a:ln w="25400">
              <a:noFill/>
            </a:ln>
          </c:spPr>
          <c:invertIfNegative val="0"/>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Workings!$AA$96:$AI$96</c:f>
              <c:numCache>
                <c:formatCode>#,##0;\(#,##0\)</c:formatCode>
                <c:ptCount val="9"/>
                <c:pt idx="3">
                  <c:v>0</c:v>
                </c:pt>
                <c:pt idx="4">
                  <c:v>0</c:v>
                </c:pt>
                <c:pt idx="5">
                  <c:v>0</c:v>
                </c:pt>
                <c:pt idx="6">
                  <c:v>0</c:v>
                </c:pt>
                <c:pt idx="7">
                  <c:v>0</c:v>
                </c:pt>
                <c:pt idx="8">
                  <c:v>0</c:v>
                </c:pt>
              </c:numCache>
            </c:numRef>
          </c:val>
          <c:extLst>
            <c:ext xmlns:c16="http://schemas.microsoft.com/office/drawing/2014/chart" uri="{C3380CC4-5D6E-409C-BE32-E72D297353CC}">
              <c16:uniqueId val="{00000002-1C15-4854-815E-055414A8F83D}"/>
            </c:ext>
          </c:extLst>
        </c:ser>
        <c:dLbls>
          <c:showLegendKey val="0"/>
          <c:showVal val="0"/>
          <c:showCatName val="0"/>
          <c:showSerName val="0"/>
          <c:showPercent val="0"/>
          <c:showBubbleSize val="0"/>
        </c:dLbls>
        <c:gapWidth val="150"/>
        <c:axId val="245183616"/>
        <c:axId val="245185152"/>
      </c:barChart>
      <c:catAx>
        <c:axId val="245183616"/>
        <c:scaling>
          <c:orientation val="minMax"/>
        </c:scaling>
        <c:delete val="0"/>
        <c:axPos val="b"/>
        <c:numFmt formatCode="General" sourceLinked="1"/>
        <c:majorTickMark val="out"/>
        <c:minorTickMark val="none"/>
        <c:tickLblPos val="low"/>
        <c:crossAx val="245185152"/>
        <c:crosses val="autoZero"/>
        <c:auto val="1"/>
        <c:lblAlgn val="ctr"/>
        <c:lblOffset val="100"/>
        <c:tickLblSkip val="2"/>
        <c:noMultiLvlLbl val="0"/>
      </c:catAx>
      <c:valAx>
        <c:axId val="245185152"/>
        <c:scaling>
          <c:orientation val="minMax"/>
        </c:scaling>
        <c:delete val="0"/>
        <c:axPos val="l"/>
        <c:majorGridlines>
          <c:spPr>
            <a:ln w="3175">
              <a:solidFill>
                <a:srgbClr val="C0C0C0"/>
              </a:solidFill>
              <a:prstDash val="solid"/>
            </a:ln>
          </c:spPr>
        </c:majorGridlines>
        <c:title>
          <c:tx>
            <c:rich>
              <a:bodyPr rot="-5400000" vert="horz"/>
              <a:lstStyle/>
              <a:p>
                <a:pPr>
                  <a:defRPr/>
                </a:pPr>
                <a:r>
                  <a:rPr lang="en-US"/>
                  <a:t>Video RGU adds</a:t>
                </a:r>
              </a:p>
            </c:rich>
          </c:tx>
          <c:overlay val="0"/>
        </c:title>
        <c:numFmt formatCode="#,##0;\(#,##0\)" sourceLinked="1"/>
        <c:majorTickMark val="out"/>
        <c:minorTickMark val="none"/>
        <c:tickLblPos val="nextTo"/>
        <c:crossAx val="245183616"/>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Workings!$B$521</c:f>
              <c:strCache>
                <c:ptCount val="1"/>
                <c:pt idx="0">
                  <c:v>NSR</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Workings!$C$520:$I$520</c:f>
              <c:numCache>
                <c:formatCode>General</c:formatCode>
                <c:ptCount val="7"/>
                <c:pt idx="0" formatCode="0&quot;A&quot;">
                  <c:v>2022</c:v>
                </c:pt>
                <c:pt idx="1">
                  <c:v>2023</c:v>
                </c:pt>
                <c:pt idx="2">
                  <c:v>2024</c:v>
                </c:pt>
                <c:pt idx="3">
                  <c:v>2025</c:v>
                </c:pt>
                <c:pt idx="4">
                  <c:v>2026</c:v>
                </c:pt>
                <c:pt idx="5">
                  <c:v>2027</c:v>
                </c:pt>
                <c:pt idx="6">
                  <c:v>2028</c:v>
                </c:pt>
              </c:numCache>
            </c:numRef>
          </c:cat>
          <c:val>
            <c:numRef>
              <c:f>Workings!$C$521:$I$521</c:f>
              <c:numCache>
                <c:formatCode>#,##0;\(#,##0\);\-</c:formatCode>
                <c:ptCount val="7"/>
                <c:pt idx="0">
                  <c:v>-43.146999999999977</c:v>
                </c:pt>
                <c:pt idx="1">
                  <c:v>-41.231453468485924</c:v>
                </c:pt>
                <c:pt idx="2">
                  <c:v>-53.289945477012481</c:v>
                </c:pt>
                <c:pt idx="3">
                  <c:v>-40.200453149825847</c:v>
                </c:pt>
                <c:pt idx="4">
                  <c:v>-25.922949647173681</c:v>
                </c:pt>
                <c:pt idx="5">
                  <c:v>-19.317040551326556</c:v>
                </c:pt>
                <c:pt idx="6">
                  <c:v>1.1066257071826158</c:v>
                </c:pt>
              </c:numCache>
            </c:numRef>
          </c:val>
          <c:extLst>
            <c:ext xmlns:c16="http://schemas.microsoft.com/office/drawing/2014/chart" uri="{C3380CC4-5D6E-409C-BE32-E72D297353CC}">
              <c16:uniqueId val="{00000000-0E83-44BC-B56E-BBD7E10B1631}"/>
            </c:ext>
          </c:extLst>
        </c:ser>
        <c:ser>
          <c:idx val="1"/>
          <c:order val="1"/>
          <c:tx>
            <c:strRef>
              <c:f>Workings!$B$522</c:f>
              <c:strCache>
                <c:ptCount val="1"/>
                <c:pt idx="0">
                  <c:v>Company plan</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Workings!$C$520:$I$520</c:f>
              <c:numCache>
                <c:formatCode>General</c:formatCode>
                <c:ptCount val="7"/>
                <c:pt idx="0" formatCode="0&quot;A&quot;">
                  <c:v>2022</c:v>
                </c:pt>
                <c:pt idx="1">
                  <c:v>2023</c:v>
                </c:pt>
                <c:pt idx="2">
                  <c:v>2024</c:v>
                </c:pt>
                <c:pt idx="3">
                  <c:v>2025</c:v>
                </c:pt>
                <c:pt idx="4">
                  <c:v>2026</c:v>
                </c:pt>
                <c:pt idx="5">
                  <c:v>2027</c:v>
                </c:pt>
                <c:pt idx="6">
                  <c:v>2028</c:v>
                </c:pt>
              </c:numCache>
            </c:numRef>
          </c:cat>
          <c:val>
            <c:numRef>
              <c:f>Workings!$C$522:$I$522</c:f>
              <c:numCache>
                <c:formatCode>#,##0;\(#,##0\);\-</c:formatCode>
                <c:ptCount val="7"/>
                <c:pt idx="0">
                  <c:v>-44</c:v>
                </c:pt>
                <c:pt idx="1">
                  <c:v>-35</c:v>
                </c:pt>
                <c:pt idx="2">
                  <c:v>-90</c:v>
                </c:pt>
                <c:pt idx="3">
                  <c:v>-19</c:v>
                </c:pt>
                <c:pt idx="4">
                  <c:v>54</c:v>
                </c:pt>
                <c:pt idx="5">
                  <c:v>96</c:v>
                </c:pt>
                <c:pt idx="6">
                  <c:v>115</c:v>
                </c:pt>
              </c:numCache>
            </c:numRef>
          </c:val>
          <c:extLst>
            <c:ext xmlns:c16="http://schemas.microsoft.com/office/drawing/2014/chart" uri="{C3380CC4-5D6E-409C-BE32-E72D297353CC}">
              <c16:uniqueId val="{00000001-0E83-44BC-B56E-BBD7E10B1631}"/>
            </c:ext>
          </c:extLst>
        </c:ser>
        <c:dLbls>
          <c:showLegendKey val="0"/>
          <c:showVal val="0"/>
          <c:showCatName val="0"/>
          <c:showSerName val="0"/>
          <c:showPercent val="0"/>
          <c:showBubbleSize val="0"/>
        </c:dLbls>
        <c:gapWidth val="100"/>
        <c:axId val="775767344"/>
        <c:axId val="817037200"/>
      </c:barChart>
      <c:catAx>
        <c:axId val="775767344"/>
        <c:scaling>
          <c:orientation val="minMax"/>
        </c:scaling>
        <c:delete val="0"/>
        <c:axPos val="b"/>
        <c:numFmt formatCode="0&quot;A&quot;"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817037200"/>
        <c:crosses val="autoZero"/>
        <c:auto val="1"/>
        <c:lblAlgn val="ctr"/>
        <c:lblOffset val="100"/>
        <c:noMultiLvlLbl val="0"/>
      </c:catAx>
      <c:valAx>
        <c:axId val="817037200"/>
        <c:scaling>
          <c:orientation val="minMax"/>
        </c:scaling>
        <c:delete val="0"/>
        <c:axPos val="l"/>
        <c:numFmt formatCode="#,##0;\(#,##0\);\-"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77576734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Workings!$B$589</c:f>
              <c:strCache>
                <c:ptCount val="1"/>
                <c:pt idx="0">
                  <c:v>Retail </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Workings!$C$576:$O$576</c:f>
              <c:numCache>
                <c:formatCode>0"A"</c:formatCode>
                <c:ptCount val="13"/>
                <c:pt idx="0">
                  <c:v>2016</c:v>
                </c:pt>
                <c:pt idx="1">
                  <c:v>2017</c:v>
                </c:pt>
                <c:pt idx="2">
                  <c:v>2018</c:v>
                </c:pt>
                <c:pt idx="3">
                  <c:v>2019</c:v>
                </c:pt>
                <c:pt idx="4">
                  <c:v>2020</c:v>
                </c:pt>
                <c:pt idx="5">
                  <c:v>2021</c:v>
                </c:pt>
                <c:pt idx="6">
                  <c:v>2022</c:v>
                </c:pt>
                <c:pt idx="7" formatCode="General">
                  <c:v>2023</c:v>
                </c:pt>
                <c:pt idx="8" formatCode="General">
                  <c:v>2024</c:v>
                </c:pt>
                <c:pt idx="9" formatCode="General">
                  <c:v>2025</c:v>
                </c:pt>
                <c:pt idx="10" formatCode="General">
                  <c:v>2026</c:v>
                </c:pt>
                <c:pt idx="11" formatCode="General">
                  <c:v>2027</c:v>
                </c:pt>
                <c:pt idx="12" formatCode="General">
                  <c:v>2028</c:v>
                </c:pt>
              </c:numCache>
            </c:numRef>
          </c:cat>
          <c:val>
            <c:numRef>
              <c:f>Workings!$C$589:$O$589</c:f>
              <c:numCache>
                <c:formatCode>#,##0;\(#,##0\);\-</c:formatCode>
                <c:ptCount val="13"/>
                <c:pt idx="0">
                  <c:v>520</c:v>
                </c:pt>
                <c:pt idx="1">
                  <c:v>578</c:v>
                </c:pt>
                <c:pt idx="2">
                  <c:v>573.98599999999999</c:v>
                </c:pt>
                <c:pt idx="3">
                  <c:v>584.0044633898998</c:v>
                </c:pt>
                <c:pt idx="4">
                  <c:v>601.65100010000003</c:v>
                </c:pt>
                <c:pt idx="5">
                  <c:v>629</c:v>
                </c:pt>
                <c:pt idx="6">
                  <c:v>659</c:v>
                </c:pt>
                <c:pt idx="7">
                  <c:v>718</c:v>
                </c:pt>
                <c:pt idx="8">
                  <c:v>819.47</c:v>
                </c:pt>
                <c:pt idx="9">
                  <c:v>920.94</c:v>
                </c:pt>
                <c:pt idx="10">
                  <c:v>1022.4100000000001</c:v>
                </c:pt>
                <c:pt idx="11">
                  <c:v>1123.8800000000001</c:v>
                </c:pt>
                <c:pt idx="12">
                  <c:v>1225.3500000000001</c:v>
                </c:pt>
              </c:numCache>
            </c:numRef>
          </c:val>
          <c:extLst>
            <c:ext xmlns:c16="http://schemas.microsoft.com/office/drawing/2014/chart" uri="{C3380CC4-5D6E-409C-BE32-E72D297353CC}">
              <c16:uniqueId val="{00000000-A874-4E32-B53B-68E5C7BBCA61}"/>
            </c:ext>
          </c:extLst>
        </c:ser>
        <c:ser>
          <c:idx val="1"/>
          <c:order val="1"/>
          <c:tx>
            <c:strRef>
              <c:f>Workings!$B$590</c:f>
              <c:strCache>
                <c:ptCount val="1"/>
                <c:pt idx="0">
                  <c:v>Wholesale</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Workings!$C$576:$O$576</c:f>
              <c:numCache>
                <c:formatCode>0"A"</c:formatCode>
                <c:ptCount val="13"/>
                <c:pt idx="0">
                  <c:v>2016</c:v>
                </c:pt>
                <c:pt idx="1">
                  <c:v>2017</c:v>
                </c:pt>
                <c:pt idx="2">
                  <c:v>2018</c:v>
                </c:pt>
                <c:pt idx="3">
                  <c:v>2019</c:v>
                </c:pt>
                <c:pt idx="4">
                  <c:v>2020</c:v>
                </c:pt>
                <c:pt idx="5">
                  <c:v>2021</c:v>
                </c:pt>
                <c:pt idx="6">
                  <c:v>2022</c:v>
                </c:pt>
                <c:pt idx="7" formatCode="General">
                  <c:v>2023</c:v>
                </c:pt>
                <c:pt idx="8" formatCode="General">
                  <c:v>2024</c:v>
                </c:pt>
                <c:pt idx="9" formatCode="General">
                  <c:v>2025</c:v>
                </c:pt>
                <c:pt idx="10" formatCode="General">
                  <c:v>2026</c:v>
                </c:pt>
                <c:pt idx="11" formatCode="General">
                  <c:v>2027</c:v>
                </c:pt>
                <c:pt idx="12" formatCode="General">
                  <c:v>2028</c:v>
                </c:pt>
              </c:numCache>
            </c:numRef>
          </c:cat>
          <c:val>
            <c:numRef>
              <c:f>Workings!$C$590:$O$590</c:f>
              <c:numCache>
                <c:formatCode>#,##0;\(#,##0\);\-</c:formatCode>
                <c:ptCount val="13"/>
                <c:pt idx="0">
                  <c:v>0</c:v>
                </c:pt>
                <c:pt idx="1">
                  <c:v>0</c:v>
                </c:pt>
                <c:pt idx="2">
                  <c:v>0</c:v>
                </c:pt>
                <c:pt idx="3">
                  <c:v>0</c:v>
                </c:pt>
                <c:pt idx="4">
                  <c:v>0</c:v>
                </c:pt>
                <c:pt idx="5">
                  <c:v>0</c:v>
                </c:pt>
                <c:pt idx="6">
                  <c:v>0</c:v>
                </c:pt>
                <c:pt idx="7">
                  <c:v>0</c:v>
                </c:pt>
                <c:pt idx="8">
                  <c:v>54.46</c:v>
                </c:pt>
                <c:pt idx="9">
                  <c:v>108.92</c:v>
                </c:pt>
                <c:pt idx="10">
                  <c:v>163.38</c:v>
                </c:pt>
                <c:pt idx="11">
                  <c:v>217.84</c:v>
                </c:pt>
                <c:pt idx="12">
                  <c:v>272.3</c:v>
                </c:pt>
              </c:numCache>
            </c:numRef>
          </c:val>
          <c:extLst>
            <c:ext xmlns:c16="http://schemas.microsoft.com/office/drawing/2014/chart" uri="{C3380CC4-5D6E-409C-BE32-E72D297353CC}">
              <c16:uniqueId val="{00000001-A874-4E32-B53B-68E5C7BBCA61}"/>
            </c:ext>
          </c:extLst>
        </c:ser>
        <c:dLbls>
          <c:showLegendKey val="0"/>
          <c:showVal val="0"/>
          <c:showCatName val="0"/>
          <c:showSerName val="0"/>
          <c:showPercent val="0"/>
          <c:showBubbleSize val="0"/>
        </c:dLbls>
        <c:gapWidth val="30"/>
        <c:overlap val="100"/>
        <c:axId val="805345504"/>
        <c:axId val="803412000"/>
      </c:barChart>
      <c:catAx>
        <c:axId val="805345504"/>
        <c:scaling>
          <c:orientation val="minMax"/>
        </c:scaling>
        <c:delete val="0"/>
        <c:axPos val="b"/>
        <c:numFmt formatCode="0&quot;A&quot;"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803412000"/>
        <c:crosses val="autoZero"/>
        <c:auto val="1"/>
        <c:lblAlgn val="ctr"/>
        <c:lblOffset val="100"/>
        <c:noMultiLvlLbl val="0"/>
      </c:catAx>
      <c:valAx>
        <c:axId val="803412000"/>
        <c:scaling>
          <c:orientation val="minMax"/>
        </c:scaling>
        <c:delete val="0"/>
        <c:axPos val="l"/>
        <c:numFmt formatCode="#,##0;\(#,##0\);\-" sourceLinked="1"/>
        <c:majorTickMark val="out"/>
        <c:minorTickMark val="none"/>
        <c:tickLblPos val="none"/>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80534550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38194656982613E-2"/>
          <c:y val="7.7097505668934238E-2"/>
          <c:w val="0.90184591286163407"/>
          <c:h val="0.65218097737782776"/>
        </c:manualLayout>
      </c:layout>
      <c:barChart>
        <c:barDir val="col"/>
        <c:grouping val="stacked"/>
        <c:varyColors val="0"/>
        <c:ser>
          <c:idx val="0"/>
          <c:order val="0"/>
          <c:tx>
            <c:strRef>
              <c:f>Workings!$B$591</c:f>
              <c:strCache>
                <c:ptCount val="1"/>
                <c:pt idx="0">
                  <c:v>Internet &amp; Telephony ARPU (Retail)</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Workings!$C$576:$O$576</c:f>
              <c:numCache>
                <c:formatCode>0"A"</c:formatCode>
                <c:ptCount val="13"/>
                <c:pt idx="0">
                  <c:v>2016</c:v>
                </c:pt>
                <c:pt idx="1">
                  <c:v>2017</c:v>
                </c:pt>
                <c:pt idx="2">
                  <c:v>2018</c:v>
                </c:pt>
                <c:pt idx="3">
                  <c:v>2019</c:v>
                </c:pt>
                <c:pt idx="4">
                  <c:v>2020</c:v>
                </c:pt>
                <c:pt idx="5">
                  <c:v>2021</c:v>
                </c:pt>
                <c:pt idx="6">
                  <c:v>2022</c:v>
                </c:pt>
                <c:pt idx="7" formatCode="General">
                  <c:v>2023</c:v>
                </c:pt>
                <c:pt idx="8" formatCode="General">
                  <c:v>2024</c:v>
                </c:pt>
                <c:pt idx="9" formatCode="General">
                  <c:v>2025</c:v>
                </c:pt>
                <c:pt idx="10" formatCode="General">
                  <c:v>2026</c:v>
                </c:pt>
                <c:pt idx="11" formatCode="General">
                  <c:v>2027</c:v>
                </c:pt>
                <c:pt idx="12" formatCode="General">
                  <c:v>2028</c:v>
                </c:pt>
              </c:numCache>
            </c:numRef>
          </c:cat>
          <c:val>
            <c:numRef>
              <c:f>Workings!$C$591:$O$591</c:f>
              <c:numCache>
                <c:formatCode>\€#,##0.0;\(\€#,##0.0\)</c:formatCode>
                <c:ptCount val="13"/>
                <c:pt idx="0">
                  <c:v>24.3</c:v>
                </c:pt>
                <c:pt idx="1">
                  <c:v>24.3</c:v>
                </c:pt>
                <c:pt idx="2">
                  <c:v>23.975270002061201</c:v>
                </c:pt>
                <c:pt idx="3">
                  <c:v>24.264368192428883</c:v>
                </c:pt>
                <c:pt idx="4">
                  <c:v>24.424507311488387</c:v>
                </c:pt>
                <c:pt idx="5">
                  <c:v>24.1</c:v>
                </c:pt>
                <c:pt idx="6">
                  <c:v>24.2</c:v>
                </c:pt>
                <c:pt idx="7">
                  <c:v>24.925999999999998</c:v>
                </c:pt>
                <c:pt idx="8">
                  <c:v>25.673780000000001</c:v>
                </c:pt>
                <c:pt idx="9">
                  <c:v>26.4439934</c:v>
                </c:pt>
                <c:pt idx="10">
                  <c:v>27.237313201999999</c:v>
                </c:pt>
                <c:pt idx="11">
                  <c:v>28.05443259806</c:v>
                </c:pt>
                <c:pt idx="12">
                  <c:v>28.896065576001799</c:v>
                </c:pt>
              </c:numCache>
            </c:numRef>
          </c:val>
          <c:extLst>
            <c:ext xmlns:c16="http://schemas.microsoft.com/office/drawing/2014/chart" uri="{C3380CC4-5D6E-409C-BE32-E72D297353CC}">
              <c16:uniqueId val="{00000000-F007-4905-9B70-2BD314DA3212}"/>
            </c:ext>
          </c:extLst>
        </c:ser>
        <c:ser>
          <c:idx val="1"/>
          <c:order val="1"/>
          <c:tx>
            <c:strRef>
              <c:f>Workings!#REF!</c:f>
              <c:strCache>
                <c:ptCount val="1"/>
                <c:pt idx="0">
                  <c:v>#REF!</c:v>
                </c:pt>
              </c:strCache>
            </c:strRef>
          </c:tx>
          <c:spPr>
            <a:solidFill>
              <a:schemeClr val="accent2"/>
            </a:solidFill>
            <a:ln>
              <a:noFill/>
            </a:ln>
            <a:effectLst/>
          </c:spPr>
          <c:invertIfNegative val="0"/>
          <c:dLbls>
            <c:dLbl>
              <c:idx val="0"/>
              <c:tx>
                <c:rich>
                  <a:bodyPr/>
                  <a:lstStyle/>
                  <a:p>
                    <a:fld id="{F4ECFEAE-D36B-4E1F-91D9-C64D1253162C}"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007-4905-9B70-2BD314DA321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Workings!$C$576:$O$576</c:f>
              <c:numCache>
                <c:formatCode>0"A"</c:formatCode>
                <c:ptCount val="13"/>
                <c:pt idx="0">
                  <c:v>2016</c:v>
                </c:pt>
                <c:pt idx="1">
                  <c:v>2017</c:v>
                </c:pt>
                <c:pt idx="2">
                  <c:v>2018</c:v>
                </c:pt>
                <c:pt idx="3">
                  <c:v>2019</c:v>
                </c:pt>
                <c:pt idx="4">
                  <c:v>2020</c:v>
                </c:pt>
                <c:pt idx="5">
                  <c:v>2021</c:v>
                </c:pt>
                <c:pt idx="6">
                  <c:v>2022</c:v>
                </c:pt>
                <c:pt idx="7" formatCode="General">
                  <c:v>2023</c:v>
                </c:pt>
                <c:pt idx="8" formatCode="General">
                  <c:v>2024</c:v>
                </c:pt>
                <c:pt idx="9" formatCode="General">
                  <c:v>2025</c:v>
                </c:pt>
                <c:pt idx="10" formatCode="General">
                  <c:v>2026</c:v>
                </c:pt>
                <c:pt idx="11" formatCode="General">
                  <c:v>2027</c:v>
                </c:pt>
                <c:pt idx="12" formatCode="General">
                  <c:v>2028</c:v>
                </c:pt>
              </c:numCache>
            </c:numRef>
          </c:cat>
          <c:val>
            <c:numRef>
              <c:f>Workings!#REF!</c:f>
              <c:numCache>
                <c:formatCode>General</c:formatCode>
                <c:ptCount val="1"/>
                <c:pt idx="0">
                  <c:v>1</c:v>
                </c:pt>
              </c:numCache>
            </c:numRef>
          </c:val>
          <c:extLst>
            <c:ext xmlns:c15="http://schemas.microsoft.com/office/drawing/2012/chart" uri="{02D57815-91ED-43cb-92C2-25804820EDAC}">
              <c15:datalabelsRange>
                <c15:f>Workings!$C$592:$O$592</c15:f>
                <c15:dlblRangeCache>
                  <c:ptCount val="13"/>
                  <c:pt idx="1">
                    <c:v>-</c:v>
                  </c:pt>
                  <c:pt idx="2">
                    <c:v>(1.3%)</c:v>
                  </c:pt>
                  <c:pt idx="3">
                    <c:v>1.2%</c:v>
                  </c:pt>
                  <c:pt idx="4">
                    <c:v>0.7%</c:v>
                  </c:pt>
                  <c:pt idx="5">
                    <c:v>(1.3%)</c:v>
                  </c:pt>
                  <c:pt idx="6">
                    <c:v>0.4%</c:v>
                  </c:pt>
                  <c:pt idx="7">
                    <c:v>3.0%</c:v>
                  </c:pt>
                  <c:pt idx="8">
                    <c:v>3.0%</c:v>
                  </c:pt>
                  <c:pt idx="9">
                    <c:v>3.0%</c:v>
                  </c:pt>
                  <c:pt idx="10">
                    <c:v>3.0%</c:v>
                  </c:pt>
                  <c:pt idx="11">
                    <c:v>3.0%</c:v>
                  </c:pt>
                  <c:pt idx="12">
                    <c:v>3.0%</c:v>
                  </c:pt>
                </c15:dlblRangeCache>
              </c15:datalabelsRange>
            </c:ext>
            <c:ext xmlns:c16="http://schemas.microsoft.com/office/drawing/2014/chart" uri="{C3380CC4-5D6E-409C-BE32-E72D297353CC}">
              <c16:uniqueId val="{00000002-F007-4905-9B70-2BD314DA3212}"/>
            </c:ext>
          </c:extLst>
        </c:ser>
        <c:dLbls>
          <c:showLegendKey val="0"/>
          <c:showVal val="0"/>
          <c:showCatName val="0"/>
          <c:showSerName val="0"/>
          <c:showPercent val="0"/>
          <c:showBubbleSize val="0"/>
        </c:dLbls>
        <c:gapWidth val="30"/>
        <c:overlap val="100"/>
        <c:axId val="805345504"/>
        <c:axId val="803412000"/>
      </c:barChart>
      <c:catAx>
        <c:axId val="805345504"/>
        <c:scaling>
          <c:orientation val="minMax"/>
        </c:scaling>
        <c:delete val="0"/>
        <c:axPos val="b"/>
        <c:numFmt formatCode="0&quot;A&quot;"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803412000"/>
        <c:crosses val="autoZero"/>
        <c:auto val="1"/>
        <c:lblAlgn val="ctr"/>
        <c:lblOffset val="100"/>
        <c:noMultiLvlLbl val="0"/>
      </c:catAx>
      <c:valAx>
        <c:axId val="803412000"/>
        <c:scaling>
          <c:orientation val="minMax"/>
        </c:scaling>
        <c:delete val="0"/>
        <c:axPos val="l"/>
        <c:numFmt formatCode="\€#,##0.0;\(\€#,##0.0\)" sourceLinked="1"/>
        <c:majorTickMark val="out"/>
        <c:minorTickMark val="none"/>
        <c:tickLblPos val="none"/>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805345504"/>
        <c:crosses val="autoZero"/>
        <c:crossBetween val="between"/>
      </c:valAx>
      <c:spPr>
        <a:noFill/>
        <a:ln w="25400">
          <a:noFill/>
        </a:ln>
        <a:effectLst/>
      </c:spPr>
    </c:plotArea>
    <c:legend>
      <c:legendPos val="b"/>
      <c:legendEntry>
        <c:idx val="1"/>
        <c:delete val="1"/>
      </c:legendEntry>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Workings!$B$604</c:f>
              <c:strCache>
                <c:ptCount val="1"/>
                <c:pt idx="0">
                  <c:v>Network capex</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Workings!$C$576:$O$576</c:f>
              <c:numCache>
                <c:formatCode>0"A"</c:formatCode>
                <c:ptCount val="13"/>
                <c:pt idx="0">
                  <c:v>2016</c:v>
                </c:pt>
                <c:pt idx="1">
                  <c:v>2017</c:v>
                </c:pt>
                <c:pt idx="2">
                  <c:v>2018</c:v>
                </c:pt>
                <c:pt idx="3">
                  <c:v>2019</c:v>
                </c:pt>
                <c:pt idx="4">
                  <c:v>2020</c:v>
                </c:pt>
                <c:pt idx="5">
                  <c:v>2021</c:v>
                </c:pt>
                <c:pt idx="6">
                  <c:v>2022</c:v>
                </c:pt>
                <c:pt idx="7" formatCode="General">
                  <c:v>2023</c:v>
                </c:pt>
                <c:pt idx="8" formatCode="General">
                  <c:v>2024</c:v>
                </c:pt>
                <c:pt idx="9" formatCode="General">
                  <c:v>2025</c:v>
                </c:pt>
                <c:pt idx="10" formatCode="General">
                  <c:v>2026</c:v>
                </c:pt>
                <c:pt idx="11" formatCode="General">
                  <c:v>2027</c:v>
                </c:pt>
                <c:pt idx="12" formatCode="General">
                  <c:v>2028</c:v>
                </c:pt>
              </c:numCache>
            </c:numRef>
          </c:cat>
          <c:val>
            <c:numRef>
              <c:f>Workings!$C$604:$O$604</c:f>
              <c:numCache>
                <c:formatCode>#,##0;\(#,##0\);\-</c:formatCode>
                <c:ptCount val="13"/>
                <c:pt idx="3" formatCode="0">
                  <c:v>72.758829122646432</c:v>
                </c:pt>
                <c:pt idx="4" formatCode="0">
                  <c:v>70.8</c:v>
                </c:pt>
                <c:pt idx="5" formatCode="0">
                  <c:v>89.28027884899376</c:v>
                </c:pt>
                <c:pt idx="6" formatCode="0">
                  <c:v>134.76802391159998</c:v>
                </c:pt>
                <c:pt idx="7">
                  <c:v>133.33333333333334</c:v>
                </c:pt>
                <c:pt idx="8">
                  <c:v>133.33333333333334</c:v>
                </c:pt>
                <c:pt idx="9">
                  <c:v>133.33333333333334</c:v>
                </c:pt>
                <c:pt idx="10">
                  <c:v>133.33333333333334</c:v>
                </c:pt>
                <c:pt idx="11">
                  <c:v>133.33333333333334</c:v>
                </c:pt>
                <c:pt idx="12">
                  <c:v>133.33333333333334</c:v>
                </c:pt>
              </c:numCache>
            </c:numRef>
          </c:val>
          <c:extLst>
            <c:ext xmlns:c16="http://schemas.microsoft.com/office/drawing/2014/chart" uri="{C3380CC4-5D6E-409C-BE32-E72D297353CC}">
              <c16:uniqueId val="{00000000-6092-4E45-B75F-EA77FE48AFE6}"/>
            </c:ext>
          </c:extLst>
        </c:ser>
        <c:ser>
          <c:idx val="1"/>
          <c:order val="1"/>
          <c:tx>
            <c:strRef>
              <c:f>Workings!$B$605</c:f>
              <c:strCache>
                <c:ptCount val="1"/>
                <c:pt idx="0">
                  <c:v>Other capex</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Pt>
            <c:idx val="0"/>
            <c:invertIfNegative val="0"/>
            <c:bubble3D val="0"/>
            <c:spPr>
              <a:pattFill prst="wdUpDiag">
                <a:fgClr>
                  <a:schemeClr val="bg2"/>
                </a:fgClr>
                <a:bgClr>
                  <a:schemeClr val="tx2"/>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2-6092-4E45-B75F-EA77FE48AFE6}"/>
              </c:ext>
            </c:extLst>
          </c:dPt>
          <c:dPt>
            <c:idx val="1"/>
            <c:invertIfNegative val="0"/>
            <c:bubble3D val="0"/>
            <c:spPr>
              <a:pattFill prst="wdUpDiag">
                <a:fgClr>
                  <a:schemeClr val="bg2"/>
                </a:fgClr>
                <a:bgClr>
                  <a:schemeClr val="tx2"/>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6092-4E45-B75F-EA77FE48AFE6}"/>
              </c:ext>
            </c:extLst>
          </c:dPt>
          <c:dPt>
            <c:idx val="2"/>
            <c:invertIfNegative val="0"/>
            <c:bubble3D val="0"/>
            <c:spPr>
              <a:pattFill prst="wdUpDiag">
                <a:fgClr>
                  <a:schemeClr val="bg2"/>
                </a:fgClr>
                <a:bgClr>
                  <a:schemeClr val="tx2"/>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6092-4E45-B75F-EA77FE48AFE6}"/>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Workings!$C$576:$O$576</c:f>
              <c:numCache>
                <c:formatCode>0"A"</c:formatCode>
                <c:ptCount val="13"/>
                <c:pt idx="0">
                  <c:v>2016</c:v>
                </c:pt>
                <c:pt idx="1">
                  <c:v>2017</c:v>
                </c:pt>
                <c:pt idx="2">
                  <c:v>2018</c:v>
                </c:pt>
                <c:pt idx="3">
                  <c:v>2019</c:v>
                </c:pt>
                <c:pt idx="4">
                  <c:v>2020</c:v>
                </c:pt>
                <c:pt idx="5">
                  <c:v>2021</c:v>
                </c:pt>
                <c:pt idx="6">
                  <c:v>2022</c:v>
                </c:pt>
                <c:pt idx="7" formatCode="General">
                  <c:v>2023</c:v>
                </c:pt>
                <c:pt idx="8" formatCode="General">
                  <c:v>2024</c:v>
                </c:pt>
                <c:pt idx="9" formatCode="General">
                  <c:v>2025</c:v>
                </c:pt>
                <c:pt idx="10" formatCode="General">
                  <c:v>2026</c:v>
                </c:pt>
                <c:pt idx="11" formatCode="General">
                  <c:v>2027</c:v>
                </c:pt>
                <c:pt idx="12" formatCode="General">
                  <c:v>2028</c:v>
                </c:pt>
              </c:numCache>
            </c:numRef>
          </c:cat>
          <c:val>
            <c:numRef>
              <c:f>Workings!$C$605:$O$605</c:f>
              <c:numCache>
                <c:formatCode>0</c:formatCode>
                <c:ptCount val="13"/>
                <c:pt idx="0">
                  <c:v>152.30000000000001</c:v>
                </c:pt>
                <c:pt idx="1">
                  <c:v>155.9</c:v>
                </c:pt>
                <c:pt idx="2">
                  <c:v>159.03177321999999</c:v>
                </c:pt>
                <c:pt idx="3">
                  <c:v>89.323046231707366</c:v>
                </c:pt>
                <c:pt idx="4">
                  <c:v>38.338000000000008</c:v>
                </c:pt>
                <c:pt idx="5">
                  <c:v>44.888721151006251</c:v>
                </c:pt>
                <c:pt idx="6">
                  <c:v>51.231976088400017</c:v>
                </c:pt>
                <c:pt idx="7">
                  <c:v>53.666666666666657</c:v>
                </c:pt>
                <c:pt idx="8">
                  <c:v>59.936361687699048</c:v>
                </c:pt>
                <c:pt idx="9">
                  <c:v>54.132882045422974</c:v>
                </c:pt>
                <c:pt idx="10">
                  <c:v>57.27359799690322</c:v>
                </c:pt>
                <c:pt idx="11">
                  <c:v>69.610818140435782</c:v>
                </c:pt>
                <c:pt idx="12">
                  <c:v>69.665075297181204</c:v>
                </c:pt>
              </c:numCache>
            </c:numRef>
          </c:val>
          <c:extLst>
            <c:ext xmlns:c16="http://schemas.microsoft.com/office/drawing/2014/chart" uri="{C3380CC4-5D6E-409C-BE32-E72D297353CC}">
              <c16:uniqueId val="{00000001-6092-4E45-B75F-EA77FE48AFE6}"/>
            </c:ext>
          </c:extLst>
        </c:ser>
        <c:dLbls>
          <c:showLegendKey val="0"/>
          <c:showVal val="0"/>
          <c:showCatName val="0"/>
          <c:showSerName val="0"/>
          <c:showPercent val="0"/>
          <c:showBubbleSize val="0"/>
        </c:dLbls>
        <c:gapWidth val="30"/>
        <c:overlap val="100"/>
        <c:axId val="648333488"/>
        <c:axId val="734586640"/>
      </c:barChart>
      <c:catAx>
        <c:axId val="648333488"/>
        <c:scaling>
          <c:orientation val="minMax"/>
        </c:scaling>
        <c:delete val="0"/>
        <c:axPos val="b"/>
        <c:numFmt formatCode="0&quot;A&quot;"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734586640"/>
        <c:crosses val="autoZero"/>
        <c:auto val="1"/>
        <c:lblAlgn val="ctr"/>
        <c:lblOffset val="100"/>
        <c:noMultiLvlLbl val="0"/>
      </c:catAx>
      <c:valAx>
        <c:axId val="734586640"/>
        <c:scaling>
          <c:orientation val="minMax"/>
        </c:scaling>
        <c:delete val="0"/>
        <c:axPos val="l"/>
        <c:numFmt formatCode="#,##0;\(#,##0\);\-"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64833348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Workings!$B$527</c:f>
              <c:strCache>
                <c:ptCount val="1"/>
                <c:pt idx="0">
                  <c:v>Company plan</c:v>
                </c:pt>
              </c:strCache>
            </c:strRef>
          </c:tx>
          <c:spPr>
            <a:solidFill>
              <a:schemeClr val="bg2">
                <a:lumMod val="25000"/>
                <a:lumOff val="75000"/>
              </a:schemeClr>
            </a:solidFill>
            <a:ln>
              <a:noFill/>
            </a:ln>
            <a:effectLst/>
            <a:extLst>
              <a:ext uri="{91240B29-F687-4F45-9708-019B960494DF}">
                <a14:hiddenLine xmlns:a14="http://schemas.microsoft.com/office/drawing/2010/main">
                  <a:noFill/>
                </a14:hiddenLine>
              </a:ext>
            </a:extLst>
          </c:spPr>
          <c:invertIfNegative val="0"/>
          <c:dPt>
            <c:idx val="2"/>
            <c:invertIfNegative val="0"/>
            <c:bubble3D val="0"/>
            <c:spPr>
              <a:solidFill>
                <a:schemeClr val="bg2">
                  <a:lumMod val="25000"/>
                  <a:lumOff val="75000"/>
                </a:schemeClr>
              </a:solidFill>
              <a:ln>
                <a:solidFill>
                  <a:schemeClr val="bg2"/>
                </a:solidFill>
                <a:prstDash val="dash"/>
              </a:ln>
              <a:effectLst/>
            </c:spPr>
            <c:extLst>
              <c:ext xmlns:c16="http://schemas.microsoft.com/office/drawing/2014/chart" uri="{C3380CC4-5D6E-409C-BE32-E72D297353CC}">
                <c16:uniqueId val="{00000003-A8E9-4450-997E-F760FB42953F}"/>
              </c:ext>
            </c:extLst>
          </c:dPt>
          <c:dPt>
            <c:idx val="3"/>
            <c:invertIfNegative val="0"/>
            <c:bubble3D val="0"/>
            <c:spPr>
              <a:solidFill>
                <a:schemeClr val="bg2">
                  <a:lumMod val="25000"/>
                  <a:lumOff val="75000"/>
                </a:schemeClr>
              </a:solidFill>
              <a:ln>
                <a:solidFill>
                  <a:schemeClr val="tx1"/>
                </a:solidFill>
                <a:prstDash val="dash"/>
              </a:ln>
              <a:effectLst/>
            </c:spPr>
            <c:extLst>
              <c:ext xmlns:c16="http://schemas.microsoft.com/office/drawing/2014/chart" uri="{C3380CC4-5D6E-409C-BE32-E72D297353CC}">
                <c16:uniqueId val="{00000004-A8E9-4450-997E-F760FB42953F}"/>
              </c:ext>
            </c:extLst>
          </c:dPt>
          <c:dPt>
            <c:idx val="4"/>
            <c:invertIfNegative val="0"/>
            <c:bubble3D val="0"/>
            <c:spPr>
              <a:solidFill>
                <a:schemeClr val="bg2">
                  <a:lumMod val="25000"/>
                  <a:lumOff val="75000"/>
                </a:schemeClr>
              </a:solidFill>
              <a:ln>
                <a:solidFill>
                  <a:schemeClr val="bg2"/>
                </a:solidFill>
                <a:prstDash val="dash"/>
              </a:ln>
              <a:effectLst/>
            </c:spPr>
            <c:extLst>
              <c:ext xmlns:c16="http://schemas.microsoft.com/office/drawing/2014/chart" uri="{C3380CC4-5D6E-409C-BE32-E72D297353CC}">
                <c16:uniqueId val="{00000005-A8E9-4450-997E-F760FB42953F}"/>
              </c:ext>
            </c:extLst>
          </c:dPt>
          <c:dPt>
            <c:idx val="5"/>
            <c:invertIfNegative val="0"/>
            <c:bubble3D val="0"/>
            <c:spPr>
              <a:solidFill>
                <a:schemeClr val="bg2">
                  <a:lumMod val="25000"/>
                  <a:lumOff val="75000"/>
                </a:schemeClr>
              </a:solidFill>
              <a:ln>
                <a:solidFill>
                  <a:schemeClr val="tx1"/>
                </a:solidFill>
                <a:prstDash val="dash"/>
              </a:ln>
              <a:effectLst/>
            </c:spPr>
            <c:extLst>
              <c:ext xmlns:c16="http://schemas.microsoft.com/office/drawing/2014/chart" uri="{C3380CC4-5D6E-409C-BE32-E72D297353CC}">
                <c16:uniqueId val="{00000006-A8E9-4450-997E-F760FB42953F}"/>
              </c:ext>
            </c:extLst>
          </c:dPt>
          <c:dPt>
            <c:idx val="6"/>
            <c:invertIfNegative val="0"/>
            <c:bubble3D val="0"/>
            <c:spPr>
              <a:solidFill>
                <a:schemeClr val="bg2">
                  <a:lumMod val="25000"/>
                  <a:lumOff val="75000"/>
                </a:schemeClr>
              </a:solidFill>
              <a:ln>
                <a:solidFill>
                  <a:schemeClr val="tx1"/>
                </a:solidFill>
                <a:prstDash val="dash"/>
              </a:ln>
              <a:effectLst/>
            </c:spPr>
            <c:extLst>
              <c:ext xmlns:c16="http://schemas.microsoft.com/office/drawing/2014/chart" uri="{C3380CC4-5D6E-409C-BE32-E72D297353CC}">
                <c16:uniqueId val="{00000007-A8E9-4450-997E-F760FB42953F}"/>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Workings!$C$526:$I$526</c:f>
              <c:strCache>
                <c:ptCount val="7"/>
                <c:pt idx="0">
                  <c:v>2022</c:v>
                </c:pt>
                <c:pt idx="1">
                  <c:v>2023</c:v>
                </c:pt>
                <c:pt idx="2">
                  <c:v>2024E</c:v>
                </c:pt>
                <c:pt idx="3">
                  <c:v>2025E</c:v>
                </c:pt>
                <c:pt idx="4">
                  <c:v>2026E</c:v>
                </c:pt>
                <c:pt idx="5">
                  <c:v>2027E</c:v>
                </c:pt>
                <c:pt idx="6">
                  <c:v>2028E</c:v>
                </c:pt>
              </c:strCache>
            </c:strRef>
          </c:cat>
          <c:val>
            <c:numRef>
              <c:f>Workings!$C$527:$I$527</c:f>
              <c:numCache>
                <c:formatCode>#,##0;\(#,##0\);\-</c:formatCode>
                <c:ptCount val="7"/>
                <c:pt idx="0">
                  <c:v>186</c:v>
                </c:pt>
                <c:pt idx="1">
                  <c:v>187</c:v>
                </c:pt>
                <c:pt idx="2">
                  <c:v>193.26969502103239</c:v>
                </c:pt>
                <c:pt idx="3">
                  <c:v>187.46621537875632</c:v>
                </c:pt>
                <c:pt idx="4">
                  <c:v>190.60693133023656</c:v>
                </c:pt>
                <c:pt idx="5">
                  <c:v>202.94415147376913</c:v>
                </c:pt>
                <c:pt idx="6">
                  <c:v>202.99840863051455</c:v>
                </c:pt>
              </c:numCache>
            </c:numRef>
          </c:val>
          <c:extLst>
            <c:ext xmlns:c16="http://schemas.microsoft.com/office/drawing/2014/chart" uri="{C3380CC4-5D6E-409C-BE32-E72D297353CC}">
              <c16:uniqueId val="{00000000-A8E9-4450-997E-F760FB42953F}"/>
            </c:ext>
          </c:extLst>
        </c:ser>
        <c:ser>
          <c:idx val="1"/>
          <c:order val="1"/>
          <c:tx>
            <c:strRef>
              <c:f>Workings!$B$528</c:f>
              <c:strCache>
                <c:ptCount val="1"/>
                <c:pt idx="0">
                  <c:v>Low capex scenario</c:v>
                </c:pt>
              </c:strCache>
            </c:strRef>
          </c:tx>
          <c:spPr>
            <a:solidFill>
              <a:schemeClr val="bg2">
                <a:lumMod val="50000"/>
                <a:lumOff val="50000"/>
              </a:schemeClr>
            </a:solidFill>
            <a:ln>
              <a:solidFill>
                <a:schemeClr val="bg2"/>
              </a:solidFill>
              <a:prstDash val="dash"/>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Workings!$C$526:$I$526</c:f>
              <c:strCache>
                <c:ptCount val="7"/>
                <c:pt idx="0">
                  <c:v>2022</c:v>
                </c:pt>
                <c:pt idx="1">
                  <c:v>2023</c:v>
                </c:pt>
                <c:pt idx="2">
                  <c:v>2024E</c:v>
                </c:pt>
                <c:pt idx="3">
                  <c:v>2025E</c:v>
                </c:pt>
                <c:pt idx="4">
                  <c:v>2026E</c:v>
                </c:pt>
                <c:pt idx="5">
                  <c:v>2027E</c:v>
                </c:pt>
                <c:pt idx="6">
                  <c:v>2028E</c:v>
                </c:pt>
              </c:strCache>
            </c:strRef>
          </c:cat>
          <c:val>
            <c:numRef>
              <c:f>Workings!$C$528:$I$528</c:f>
              <c:numCache>
                <c:formatCode>#,##0;\(#,##0\);\-</c:formatCode>
                <c:ptCount val="7"/>
                <c:pt idx="2">
                  <c:v>120</c:v>
                </c:pt>
                <c:pt idx="3">
                  <c:v>120</c:v>
                </c:pt>
                <c:pt idx="4">
                  <c:v>120</c:v>
                </c:pt>
                <c:pt idx="5">
                  <c:v>120</c:v>
                </c:pt>
                <c:pt idx="6">
                  <c:v>120</c:v>
                </c:pt>
              </c:numCache>
            </c:numRef>
          </c:val>
          <c:extLst>
            <c:ext xmlns:c16="http://schemas.microsoft.com/office/drawing/2014/chart" uri="{C3380CC4-5D6E-409C-BE32-E72D297353CC}">
              <c16:uniqueId val="{00000001-A8E9-4450-997E-F760FB42953F}"/>
            </c:ext>
          </c:extLst>
        </c:ser>
        <c:dLbls>
          <c:showLegendKey val="0"/>
          <c:showVal val="0"/>
          <c:showCatName val="0"/>
          <c:showSerName val="0"/>
          <c:showPercent val="0"/>
          <c:showBubbleSize val="0"/>
        </c:dLbls>
        <c:gapWidth val="50"/>
        <c:axId val="1746469359"/>
        <c:axId val="1746471279"/>
      </c:barChart>
      <c:catAx>
        <c:axId val="1746469359"/>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1746471279"/>
        <c:crosses val="autoZero"/>
        <c:auto val="1"/>
        <c:lblAlgn val="ctr"/>
        <c:lblOffset val="100"/>
        <c:noMultiLvlLbl val="0"/>
      </c:catAx>
      <c:valAx>
        <c:axId val="1746471279"/>
        <c:scaling>
          <c:orientation val="minMax"/>
        </c:scaling>
        <c:delete val="0"/>
        <c:axPos val="l"/>
        <c:numFmt formatCode="#,##0;\(#,##0\);\-" sourceLinked="1"/>
        <c:majorTickMark val="out"/>
        <c:minorTickMark val="none"/>
        <c:tickLblPos val="none"/>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1746469359"/>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Workings!$B$670</c:f>
              <c:strCache>
                <c:ptCount val="1"/>
                <c:pt idx="0">
                  <c:v>New forecast</c:v>
                </c:pt>
              </c:strCache>
            </c:strRef>
          </c:tx>
          <c:spPr>
            <a:solidFill>
              <a:schemeClr val="bg2">
                <a:lumMod val="50000"/>
                <a:lumOff val="50000"/>
              </a:schemeClr>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Workings!$C$668:$K$668</c:f>
              <c:numCache>
                <c:formatCode>0"A"</c:formatCode>
                <c:ptCount val="9"/>
                <c:pt idx="0">
                  <c:v>2020</c:v>
                </c:pt>
                <c:pt idx="1">
                  <c:v>2021</c:v>
                </c:pt>
                <c:pt idx="2">
                  <c:v>2022</c:v>
                </c:pt>
                <c:pt idx="3">
                  <c:v>2023</c:v>
                </c:pt>
                <c:pt idx="4" formatCode="General">
                  <c:v>2024</c:v>
                </c:pt>
                <c:pt idx="5" formatCode="General">
                  <c:v>2025</c:v>
                </c:pt>
                <c:pt idx="6" formatCode="General">
                  <c:v>2026</c:v>
                </c:pt>
                <c:pt idx="7" formatCode="General">
                  <c:v>2027</c:v>
                </c:pt>
                <c:pt idx="8" formatCode="General">
                  <c:v>2028</c:v>
                </c:pt>
              </c:numCache>
            </c:numRef>
          </c:cat>
          <c:val>
            <c:numRef>
              <c:f>Workings!$C$670:$K$670</c:f>
              <c:numCache>
                <c:formatCode>#,##0;\(#,##0\);\-</c:formatCode>
                <c:ptCount val="9"/>
                <c:pt idx="0">
                  <c:v>601.65100010000003</c:v>
                </c:pt>
                <c:pt idx="1">
                  <c:v>629</c:v>
                </c:pt>
                <c:pt idx="2">
                  <c:v>659</c:v>
                </c:pt>
                <c:pt idx="3">
                  <c:v>718</c:v>
                </c:pt>
                <c:pt idx="4">
                  <c:v>751.20313183552355</c:v>
                </c:pt>
                <c:pt idx="5">
                  <c:v>828.65896311996619</c:v>
                </c:pt>
                <c:pt idx="6">
                  <c:v>908.87879440440872</c:v>
                </c:pt>
                <c:pt idx="7">
                  <c:v>996.79562568885137</c:v>
                </c:pt>
                <c:pt idx="8">
                  <c:v>1085.062456973294</c:v>
                </c:pt>
              </c:numCache>
            </c:numRef>
          </c:val>
          <c:extLst>
            <c:ext xmlns:c16="http://schemas.microsoft.com/office/drawing/2014/chart" uri="{C3380CC4-5D6E-409C-BE32-E72D297353CC}">
              <c16:uniqueId val="{00000000-1800-4E80-8F8E-59A8ECB0C3D7}"/>
            </c:ext>
          </c:extLst>
        </c:ser>
        <c:ser>
          <c:idx val="1"/>
          <c:order val="1"/>
          <c:tx>
            <c:strRef>
              <c:f>Workings!$B$671</c:f>
              <c:strCache>
                <c:ptCount val="1"/>
                <c:pt idx="0">
                  <c:v>Prior forecast</c:v>
                </c:pt>
              </c:strCache>
            </c:strRef>
          </c:tx>
          <c:spPr>
            <a:solidFill>
              <a:schemeClr val="bg2">
                <a:lumMod val="25000"/>
                <a:lumOff val="75000"/>
              </a:schemeClr>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Workings!$C$668:$K$668</c:f>
              <c:numCache>
                <c:formatCode>0"A"</c:formatCode>
                <c:ptCount val="9"/>
                <c:pt idx="0">
                  <c:v>2020</c:v>
                </c:pt>
                <c:pt idx="1">
                  <c:v>2021</c:v>
                </c:pt>
                <c:pt idx="2">
                  <c:v>2022</c:v>
                </c:pt>
                <c:pt idx="3">
                  <c:v>2023</c:v>
                </c:pt>
                <c:pt idx="4" formatCode="General">
                  <c:v>2024</c:v>
                </c:pt>
                <c:pt idx="5" formatCode="General">
                  <c:v>2025</c:v>
                </c:pt>
                <c:pt idx="6" formatCode="General">
                  <c:v>2026</c:v>
                </c:pt>
                <c:pt idx="7" formatCode="General">
                  <c:v>2027</c:v>
                </c:pt>
                <c:pt idx="8" formatCode="General">
                  <c:v>2028</c:v>
                </c:pt>
              </c:numCache>
            </c:numRef>
          </c:cat>
          <c:val>
            <c:numRef>
              <c:f>Workings!$C$671:$K$671</c:f>
              <c:numCache>
                <c:formatCode>#,##0;\(#,##0\);\-</c:formatCode>
                <c:ptCount val="9"/>
                <c:pt idx="0">
                  <c:v>601.65100010000003</c:v>
                </c:pt>
                <c:pt idx="1">
                  <c:v>629</c:v>
                </c:pt>
                <c:pt idx="2">
                  <c:v>659</c:v>
                </c:pt>
                <c:pt idx="3">
                  <c:v>704.50015184388258</c:v>
                </c:pt>
                <c:pt idx="4">
                  <c:v>768.69190472320156</c:v>
                </c:pt>
                <c:pt idx="5">
                  <c:v>832.40881143628587</c:v>
                </c:pt>
                <c:pt idx="6">
                  <c:v>895.64782897552436</c:v>
                </c:pt>
                <c:pt idx="7">
                  <c:v>958.40592574262382</c:v>
                </c:pt>
                <c:pt idx="8">
                  <c:v>1020.6800818786681</c:v>
                </c:pt>
              </c:numCache>
            </c:numRef>
          </c:val>
          <c:extLst>
            <c:ext xmlns:c16="http://schemas.microsoft.com/office/drawing/2014/chart" uri="{C3380CC4-5D6E-409C-BE32-E72D297353CC}">
              <c16:uniqueId val="{00000001-1800-4E80-8F8E-59A8ECB0C3D7}"/>
            </c:ext>
          </c:extLst>
        </c:ser>
        <c:dLbls>
          <c:showLegendKey val="0"/>
          <c:showVal val="0"/>
          <c:showCatName val="0"/>
          <c:showSerName val="0"/>
          <c:showPercent val="0"/>
          <c:showBubbleSize val="0"/>
        </c:dLbls>
        <c:gapWidth val="50"/>
        <c:axId val="2078410815"/>
        <c:axId val="2078413215"/>
      </c:barChart>
      <c:lineChart>
        <c:grouping val="standard"/>
        <c:varyColors val="0"/>
        <c:ser>
          <c:idx val="2"/>
          <c:order val="2"/>
          <c:tx>
            <c:strRef>
              <c:f>Workings!$B$674</c:f>
              <c:strCache>
                <c:ptCount val="1"/>
                <c:pt idx="0">
                  <c:v>New forecast</c:v>
                </c:pt>
              </c:strCache>
            </c:strRef>
          </c:tx>
          <c:spPr>
            <a:ln w="25400" cap="rnd">
              <a:solidFill>
                <a:schemeClr val="bg2">
                  <a:lumMod val="50000"/>
                  <a:lumOff val="50000"/>
                </a:schemeClr>
              </a:solidFill>
              <a:round/>
            </a:ln>
            <a:effectLst/>
          </c:spPr>
          <c:marker>
            <c:symbol val="x"/>
            <c:size val="5"/>
            <c:spPr>
              <a:noFill/>
              <a:ln w="25400">
                <a:solidFill>
                  <a:schemeClr val="bg2">
                    <a:lumMod val="50000"/>
                    <a:lumOff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Workings!$C$674:$K$674</c:f>
              <c:numCache>
                <c:formatCode>0%;\(0%\);\-</c:formatCode>
                <c:ptCount val="9"/>
                <c:pt idx="0">
                  <c:v>0.25417326764085862</c:v>
                </c:pt>
                <c:pt idx="1">
                  <c:v>0.2690797430010391</c:v>
                </c:pt>
                <c:pt idx="2">
                  <c:v>0.28588768995371566</c:v>
                </c:pt>
                <c:pt idx="3">
                  <c:v>0.3043662568885121</c:v>
                </c:pt>
                <c:pt idx="4">
                  <c:v>0.3157642420494004</c:v>
                </c:pt>
                <c:pt idx="5">
                  <c:v>0.34686436296356893</c:v>
                </c:pt>
                <c:pt idx="6">
                  <c:v>0.37885735489971184</c:v>
                </c:pt>
                <c:pt idx="7">
                  <c:v>0.41377983631749743</c:v>
                </c:pt>
                <c:pt idx="8">
                  <c:v>0.44855827076200666</c:v>
                </c:pt>
              </c:numCache>
            </c:numRef>
          </c:val>
          <c:smooth val="0"/>
          <c:extLst>
            <c:ext xmlns:c16="http://schemas.microsoft.com/office/drawing/2014/chart" uri="{C3380CC4-5D6E-409C-BE32-E72D297353CC}">
              <c16:uniqueId val="{00000002-1800-4E80-8F8E-59A8ECB0C3D7}"/>
            </c:ext>
          </c:extLst>
        </c:ser>
        <c:ser>
          <c:idx val="3"/>
          <c:order val="3"/>
          <c:tx>
            <c:strRef>
              <c:f>Workings!$B$675</c:f>
              <c:strCache>
                <c:ptCount val="1"/>
                <c:pt idx="0">
                  <c:v>Prior forecast</c:v>
                </c:pt>
              </c:strCache>
            </c:strRef>
          </c:tx>
          <c:spPr>
            <a:ln w="25400" cap="rnd">
              <a:solidFill>
                <a:schemeClr val="bg2">
                  <a:lumMod val="25000"/>
                  <a:lumOff val="75000"/>
                </a:schemeClr>
              </a:solidFill>
              <a:round/>
            </a:ln>
            <a:effectLst/>
          </c:spPr>
          <c:marker>
            <c:symbol val="none"/>
          </c:marker>
          <c:val>
            <c:numRef>
              <c:f>Workings!$C$675:$K$675</c:f>
              <c:numCache>
                <c:formatCode>0%;\(0%\);\-</c:formatCode>
                <c:ptCount val="9"/>
                <c:pt idx="0">
                  <c:v>0.20328100713551808</c:v>
                </c:pt>
                <c:pt idx="1">
                  <c:v>0.21606418308502551</c:v>
                </c:pt>
                <c:pt idx="2">
                  <c:v>0.2328988127108326</c:v>
                </c:pt>
                <c:pt idx="3">
                  <c:v>0.25289881271083259</c:v>
                </c:pt>
                <c:pt idx="4">
                  <c:v>0.27689881271083261</c:v>
                </c:pt>
                <c:pt idx="5">
                  <c:v>0.30089881271083263</c:v>
                </c:pt>
                <c:pt idx="6">
                  <c:v>0.32489881271083265</c:v>
                </c:pt>
                <c:pt idx="7">
                  <c:v>0.34889881271083262</c:v>
                </c:pt>
                <c:pt idx="8">
                  <c:v>0.37289881271083264</c:v>
                </c:pt>
              </c:numCache>
            </c:numRef>
          </c:val>
          <c:smooth val="0"/>
          <c:extLst>
            <c:ext xmlns:c16="http://schemas.microsoft.com/office/drawing/2014/chart" uri="{C3380CC4-5D6E-409C-BE32-E72D297353CC}">
              <c16:uniqueId val="{00000003-1800-4E80-8F8E-59A8ECB0C3D7}"/>
            </c:ext>
          </c:extLst>
        </c:ser>
        <c:dLbls>
          <c:showLegendKey val="0"/>
          <c:showVal val="0"/>
          <c:showCatName val="0"/>
          <c:showSerName val="0"/>
          <c:showPercent val="0"/>
          <c:showBubbleSize val="0"/>
        </c:dLbls>
        <c:marker val="1"/>
        <c:smooth val="0"/>
        <c:axId val="1786350015"/>
        <c:axId val="273355952"/>
      </c:lineChart>
      <c:catAx>
        <c:axId val="2078410815"/>
        <c:scaling>
          <c:orientation val="minMax"/>
        </c:scaling>
        <c:delete val="0"/>
        <c:axPos val="b"/>
        <c:numFmt formatCode="0&quot;A&quot;"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2078413215"/>
        <c:crosses val="autoZero"/>
        <c:auto val="1"/>
        <c:lblAlgn val="ctr"/>
        <c:lblOffset val="100"/>
        <c:noMultiLvlLbl val="0"/>
      </c:catAx>
      <c:valAx>
        <c:axId val="2078413215"/>
        <c:scaling>
          <c:orientation val="minMax"/>
          <c:max val="1800"/>
        </c:scaling>
        <c:delete val="0"/>
        <c:axPos val="l"/>
        <c:numFmt formatCode="#,##0;\(#,##0\);\-"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2078410815"/>
        <c:crosses val="autoZero"/>
        <c:crossBetween val="between"/>
      </c:valAx>
      <c:valAx>
        <c:axId val="273355952"/>
        <c:scaling>
          <c:orientation val="minMax"/>
        </c:scaling>
        <c:delete val="0"/>
        <c:axPos val="r"/>
        <c:numFmt formatCode="0%;\(0%\);\-"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1786350015"/>
        <c:crosses val="max"/>
        <c:crossBetween val="between"/>
      </c:valAx>
      <c:catAx>
        <c:axId val="1786350015"/>
        <c:scaling>
          <c:orientation val="minMax"/>
        </c:scaling>
        <c:delete val="1"/>
        <c:axPos val="b"/>
        <c:majorTickMark val="out"/>
        <c:minorTickMark val="none"/>
        <c:tickLblPos val="nextTo"/>
        <c:crossAx val="273355952"/>
        <c:crosses val="autoZero"/>
        <c:auto val="1"/>
        <c:lblAlgn val="ctr"/>
        <c:lblOffset val="100"/>
        <c:noMultiLvlLbl val="0"/>
      </c:catAx>
      <c:spPr>
        <a:noFill/>
        <a:ln w="25400">
          <a:noFill/>
        </a:ln>
        <a:effectLst/>
      </c:spPr>
    </c:plotArea>
    <c:legend>
      <c:legendPos val="b"/>
      <c:legendEntry>
        <c:idx val="2"/>
        <c:delete val="1"/>
      </c:legendEntry>
      <c:legendEntry>
        <c:idx val="3"/>
        <c:delete val="1"/>
      </c:legendEntry>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Workings!$B$733</c:f>
              <c:strCache>
                <c:ptCount val="1"/>
                <c:pt idx="0">
                  <c:v>DOCSIS3.1</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Workings!$C$732:$I$732</c:f>
              <c:strCache>
                <c:ptCount val="7"/>
                <c:pt idx="0">
                  <c:v>Q1 23</c:v>
                </c:pt>
                <c:pt idx="1">
                  <c:v>Q2 23</c:v>
                </c:pt>
                <c:pt idx="2">
                  <c:v>Q3 23</c:v>
                </c:pt>
                <c:pt idx="3">
                  <c:v>Q4 23</c:v>
                </c:pt>
                <c:pt idx="4">
                  <c:v>Q1 24</c:v>
                </c:pt>
                <c:pt idx="5">
                  <c:v>Q2 24</c:v>
                </c:pt>
                <c:pt idx="6">
                  <c:v>Q3 24</c:v>
                </c:pt>
              </c:strCache>
            </c:strRef>
          </c:cat>
          <c:val>
            <c:numRef>
              <c:f>Workings!$C$733:$I$733</c:f>
              <c:numCache>
                <c:formatCode>0%</c:formatCode>
                <c:ptCount val="7"/>
                <c:pt idx="0">
                  <c:v>0.56661541811846694</c:v>
                </c:pt>
                <c:pt idx="1">
                  <c:v>0.61874283739210811</c:v>
                </c:pt>
                <c:pt idx="2">
                  <c:v>0.70489553209113154</c:v>
                </c:pt>
                <c:pt idx="3">
                  <c:v>0.72127586698047297</c:v>
                </c:pt>
                <c:pt idx="4">
                  <c:v>0.73200677392040647</c:v>
                </c:pt>
                <c:pt idx="5">
                  <c:v>0.7426160337552743</c:v>
                </c:pt>
                <c:pt idx="6">
                  <c:v>0.75242105263157899</c:v>
                </c:pt>
              </c:numCache>
            </c:numRef>
          </c:val>
          <c:extLst>
            <c:ext xmlns:c16="http://schemas.microsoft.com/office/drawing/2014/chart" uri="{C3380CC4-5D6E-409C-BE32-E72D297353CC}">
              <c16:uniqueId val="{00000000-ABC5-4A61-BA7A-E055CDDA915A}"/>
            </c:ext>
          </c:extLst>
        </c:ser>
        <c:ser>
          <c:idx val="1"/>
          <c:order val="1"/>
          <c:tx>
            <c:strRef>
              <c:f>Workings!$B$734</c:f>
              <c:strCache>
                <c:ptCount val="1"/>
                <c:pt idx="0">
                  <c:v>DOCSIS3.0</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Workings!$C$732:$I$732</c:f>
              <c:strCache>
                <c:ptCount val="7"/>
                <c:pt idx="0">
                  <c:v>Q1 23</c:v>
                </c:pt>
                <c:pt idx="1">
                  <c:v>Q2 23</c:v>
                </c:pt>
                <c:pt idx="2">
                  <c:v>Q3 23</c:v>
                </c:pt>
                <c:pt idx="3">
                  <c:v>Q4 23</c:v>
                </c:pt>
                <c:pt idx="4">
                  <c:v>Q1 24</c:v>
                </c:pt>
                <c:pt idx="5">
                  <c:v>Q2 24</c:v>
                </c:pt>
                <c:pt idx="6">
                  <c:v>Q3 24</c:v>
                </c:pt>
              </c:strCache>
            </c:strRef>
          </c:cat>
          <c:val>
            <c:numRef>
              <c:f>Workings!$C$734:$I$734</c:f>
              <c:numCache>
                <c:formatCode>0%</c:formatCode>
                <c:ptCount val="7"/>
                <c:pt idx="0">
                  <c:v>0.26091289198606271</c:v>
                </c:pt>
                <c:pt idx="1">
                  <c:v>0.20561016036386259</c:v>
                </c:pt>
                <c:pt idx="2">
                  <c:v>0.1094173404833354</c:v>
                </c:pt>
                <c:pt idx="3">
                  <c:v>7.3055779756777572E-2</c:v>
                </c:pt>
                <c:pt idx="4">
                  <c:v>5.6308213378492677E-2</c:v>
                </c:pt>
                <c:pt idx="5">
                  <c:v>4.0084388185653963E-2</c:v>
                </c:pt>
                <c:pt idx="6">
                  <c:v>2.399999999999991E-2</c:v>
                </c:pt>
              </c:numCache>
            </c:numRef>
          </c:val>
          <c:extLst>
            <c:ext xmlns:c16="http://schemas.microsoft.com/office/drawing/2014/chart" uri="{C3380CC4-5D6E-409C-BE32-E72D297353CC}">
              <c16:uniqueId val="{00000001-ABC5-4A61-BA7A-E055CDDA915A}"/>
            </c:ext>
          </c:extLst>
        </c:ser>
        <c:ser>
          <c:idx val="2"/>
          <c:order val="2"/>
          <c:tx>
            <c:strRef>
              <c:f>Workings!$B$735</c:f>
              <c:strCache>
                <c:ptCount val="1"/>
                <c:pt idx="0">
                  <c:v>FTTB</c:v>
                </c:pt>
              </c:strCache>
            </c:strRef>
          </c:tx>
          <c:spPr>
            <a:solidFill>
              <a:srgbClr val="F9663E"/>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Workings!$C$732:$I$732</c:f>
              <c:strCache>
                <c:ptCount val="7"/>
                <c:pt idx="0">
                  <c:v>Q1 23</c:v>
                </c:pt>
                <c:pt idx="1">
                  <c:v>Q2 23</c:v>
                </c:pt>
                <c:pt idx="2">
                  <c:v>Q3 23</c:v>
                </c:pt>
                <c:pt idx="3">
                  <c:v>Q4 23</c:v>
                </c:pt>
                <c:pt idx="4">
                  <c:v>Q1 24</c:v>
                </c:pt>
                <c:pt idx="5">
                  <c:v>Q2 24</c:v>
                </c:pt>
                <c:pt idx="6">
                  <c:v>Q3 24</c:v>
                </c:pt>
              </c:strCache>
            </c:strRef>
          </c:cat>
          <c:val>
            <c:numRef>
              <c:f>Workings!$C$735:$I$735</c:f>
              <c:numCache>
                <c:formatCode>0%</c:formatCode>
                <c:ptCount val="7"/>
                <c:pt idx="0">
                  <c:v>0.14312412891986062</c:v>
                </c:pt>
                <c:pt idx="1">
                  <c:v>0.14411188899081528</c:v>
                </c:pt>
                <c:pt idx="2">
                  <c:v>0.1516493820726785</c:v>
                </c:pt>
                <c:pt idx="3">
                  <c:v>0.16272713091015145</c:v>
                </c:pt>
                <c:pt idx="4">
                  <c:v>0.15495342929720576</c:v>
                </c:pt>
                <c:pt idx="5">
                  <c:v>0.15611814345991562</c:v>
                </c:pt>
                <c:pt idx="6">
                  <c:v>0.15747368421052632</c:v>
                </c:pt>
              </c:numCache>
            </c:numRef>
          </c:val>
          <c:extLst>
            <c:ext xmlns:c16="http://schemas.microsoft.com/office/drawing/2014/chart" uri="{C3380CC4-5D6E-409C-BE32-E72D297353CC}">
              <c16:uniqueId val="{00000002-ABC5-4A61-BA7A-E055CDDA915A}"/>
            </c:ext>
          </c:extLst>
        </c:ser>
        <c:ser>
          <c:idx val="3"/>
          <c:order val="3"/>
          <c:tx>
            <c:strRef>
              <c:f>Workings!$B$736</c:f>
              <c:strCache>
                <c:ptCount val="1"/>
                <c:pt idx="0">
                  <c:v>FTTH</c:v>
                </c:pt>
              </c:strCache>
            </c:strRef>
          </c:tx>
          <c:spPr>
            <a:solidFill>
              <a:srgbClr val="C7FE0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Workings!$C$732:$I$732</c:f>
              <c:strCache>
                <c:ptCount val="7"/>
                <c:pt idx="0">
                  <c:v>Q1 23</c:v>
                </c:pt>
                <c:pt idx="1">
                  <c:v>Q2 23</c:v>
                </c:pt>
                <c:pt idx="2">
                  <c:v>Q3 23</c:v>
                </c:pt>
                <c:pt idx="3">
                  <c:v>Q4 23</c:v>
                </c:pt>
                <c:pt idx="4">
                  <c:v>Q1 24</c:v>
                </c:pt>
                <c:pt idx="5">
                  <c:v>Q2 24</c:v>
                </c:pt>
                <c:pt idx="6">
                  <c:v>Q3 24</c:v>
                </c:pt>
              </c:strCache>
            </c:strRef>
          </c:cat>
          <c:val>
            <c:numRef>
              <c:f>Workings!$C$736:$I$736</c:f>
              <c:numCache>
                <c:formatCode>0%</c:formatCode>
                <c:ptCount val="7"/>
                <c:pt idx="0">
                  <c:v>2.9347560975609758E-2</c:v>
                </c:pt>
                <c:pt idx="1">
                  <c:v>3.1535113253213953E-2</c:v>
                </c:pt>
                <c:pt idx="2">
                  <c:v>3.4037745352854518E-2</c:v>
                </c:pt>
                <c:pt idx="3">
                  <c:v>4.2941222352598056E-2</c:v>
                </c:pt>
                <c:pt idx="4">
                  <c:v>5.6731583403895003E-2</c:v>
                </c:pt>
                <c:pt idx="5">
                  <c:v>6.118143459915612E-2</c:v>
                </c:pt>
                <c:pt idx="6">
                  <c:v>6.6105263157894736E-2</c:v>
                </c:pt>
              </c:numCache>
            </c:numRef>
          </c:val>
          <c:extLst>
            <c:ext xmlns:c16="http://schemas.microsoft.com/office/drawing/2014/chart" uri="{C3380CC4-5D6E-409C-BE32-E72D297353CC}">
              <c16:uniqueId val="{00000003-ABC5-4A61-BA7A-E055CDDA915A}"/>
            </c:ext>
          </c:extLst>
        </c:ser>
        <c:dLbls>
          <c:showLegendKey val="0"/>
          <c:showVal val="0"/>
          <c:showCatName val="0"/>
          <c:showSerName val="0"/>
          <c:showPercent val="0"/>
          <c:showBubbleSize val="0"/>
        </c:dLbls>
        <c:gapWidth val="30"/>
        <c:overlap val="100"/>
        <c:axId val="1793914288"/>
        <c:axId val="1793917168"/>
      </c:barChart>
      <c:catAx>
        <c:axId val="1793914288"/>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1793917168"/>
        <c:crosses val="autoZero"/>
        <c:auto val="1"/>
        <c:lblAlgn val="ctr"/>
        <c:lblOffset val="100"/>
        <c:noMultiLvlLbl val="0"/>
      </c:catAx>
      <c:valAx>
        <c:axId val="1793917168"/>
        <c:scaling>
          <c:orientation val="minMax"/>
        </c:scaling>
        <c:delete val="0"/>
        <c:axPos val="l"/>
        <c:numFmt formatCode="0%" sourceLinked="1"/>
        <c:majorTickMark val="out"/>
        <c:minorTickMark val="none"/>
        <c:tickLblPos val="none"/>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179391428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133212222017478E-2"/>
          <c:y val="4.0186144101944363E-2"/>
          <c:w val="0.94043993866635345"/>
          <c:h val="0.77250111470733518"/>
        </c:manualLayout>
      </c:layout>
      <c:lineChart>
        <c:grouping val="standard"/>
        <c:varyColors val="0"/>
        <c:ser>
          <c:idx val="0"/>
          <c:order val="0"/>
          <c:tx>
            <c:strRef>
              <c:f>Workings!$B$790</c:f>
              <c:strCache>
                <c:ptCount val="1"/>
                <c:pt idx="0">
                  <c:v>Retail individual penetration of 2-way homes</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Workings!$C$789:$H$789</c:f>
              <c:numCache>
                <c:formatCode>General</c:formatCode>
                <c:ptCount val="6"/>
                <c:pt idx="0">
                  <c:v>2019</c:v>
                </c:pt>
                <c:pt idx="1">
                  <c:v>2020</c:v>
                </c:pt>
                <c:pt idx="2">
                  <c:v>2021</c:v>
                </c:pt>
                <c:pt idx="3">
                  <c:v>2022</c:v>
                </c:pt>
                <c:pt idx="4">
                  <c:v>2023</c:v>
                </c:pt>
                <c:pt idx="5" formatCode="0&quot;E&quot;">
                  <c:v>2024</c:v>
                </c:pt>
              </c:numCache>
            </c:numRef>
          </c:cat>
          <c:val>
            <c:numRef>
              <c:f>Workings!$C$790:$H$790</c:f>
              <c:numCache>
                <c:formatCode>0%</c:formatCode>
                <c:ptCount val="6"/>
                <c:pt idx="0">
                  <c:v>0.20890206725645144</c:v>
                </c:pt>
                <c:pt idx="1">
                  <c:v>0.2148845206984103</c:v>
                </c:pt>
                <c:pt idx="2">
                  <c:v>0.22929529769245938</c:v>
                </c:pt>
                <c:pt idx="3">
                  <c:v>0.24033654056807055</c:v>
                </c:pt>
                <c:pt idx="4">
                  <c:v>0.2547526657318942</c:v>
                </c:pt>
                <c:pt idx="5">
                  <c:v>0.28245754990902627</c:v>
                </c:pt>
              </c:numCache>
            </c:numRef>
          </c:val>
          <c:smooth val="0"/>
          <c:extLst>
            <c:ext xmlns:c16="http://schemas.microsoft.com/office/drawing/2014/chart" uri="{C3380CC4-5D6E-409C-BE32-E72D297353CC}">
              <c16:uniqueId val="{00000000-E1E5-45A6-BD38-BEBADFACAD20}"/>
            </c:ext>
          </c:extLst>
        </c:ser>
        <c:dLbls>
          <c:showLegendKey val="0"/>
          <c:showVal val="0"/>
          <c:showCatName val="0"/>
          <c:showSerName val="0"/>
          <c:showPercent val="0"/>
          <c:showBubbleSize val="0"/>
        </c:dLbls>
        <c:smooth val="0"/>
        <c:axId val="1696274655"/>
        <c:axId val="1696266495"/>
      </c:lineChart>
      <c:catAx>
        <c:axId val="1696274655"/>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1696266495"/>
        <c:crosses val="autoZero"/>
        <c:auto val="1"/>
        <c:lblAlgn val="ctr"/>
        <c:lblOffset val="100"/>
        <c:noMultiLvlLbl val="0"/>
      </c:catAx>
      <c:valAx>
        <c:axId val="1696266495"/>
        <c:scaling>
          <c:orientation val="minMax"/>
        </c:scaling>
        <c:delete val="0"/>
        <c:axPos val="l"/>
        <c:numFmt formatCode="0%" sourceLinked="1"/>
        <c:majorTickMark val="out"/>
        <c:minorTickMark val="none"/>
        <c:tickLblPos val="none"/>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1696274655"/>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013998250218716E-2"/>
          <c:y val="5.0925925925925923E-2"/>
          <c:w val="0.71687489063867005"/>
          <c:h val="0.72748213764946046"/>
        </c:manualLayout>
      </c:layout>
      <c:lineChart>
        <c:grouping val="standard"/>
        <c:varyColors val="0"/>
        <c:ser>
          <c:idx val="0"/>
          <c:order val="0"/>
          <c:tx>
            <c:strRef>
              <c:f>Workings!$B$8</c:f>
              <c:strCache>
                <c:ptCount val="1"/>
                <c:pt idx="0">
                  <c:v>Cable</c:v>
                </c:pt>
              </c:strCache>
            </c:strRef>
          </c:tx>
          <c:spPr>
            <a:ln w="25400">
              <a:solidFill>
                <a:srgbClr val="333399"/>
              </a:solidFill>
              <a:prstDash val="solid"/>
            </a:ln>
            <a:effectLst/>
          </c:spPr>
          <c:marker>
            <c:symbol val="none"/>
          </c:marker>
          <c:cat>
            <c:numRef>
              <c:f>Workings!$C$7:$G$7</c:f>
              <c:numCache>
                <c:formatCode>General</c:formatCode>
                <c:ptCount val="5"/>
                <c:pt idx="0">
                  <c:v>2008</c:v>
                </c:pt>
                <c:pt idx="1">
                  <c:v>2009</c:v>
                </c:pt>
                <c:pt idx="2">
                  <c:v>2010</c:v>
                </c:pt>
                <c:pt idx="3">
                  <c:v>2011</c:v>
                </c:pt>
                <c:pt idx="4">
                  <c:v>2012</c:v>
                </c:pt>
              </c:numCache>
            </c:numRef>
          </c:cat>
          <c:val>
            <c:numRef>
              <c:f>Workings!$C$8:$G$8</c:f>
              <c:numCache>
                <c:formatCode>0</c:formatCode>
                <c:ptCount val="5"/>
                <c:pt idx="0">
                  <c:v>18.45</c:v>
                </c:pt>
                <c:pt idx="1">
                  <c:v>18.579999999999998</c:v>
                </c:pt>
                <c:pt idx="2">
                  <c:v>18.149999999999999</c:v>
                </c:pt>
                <c:pt idx="3">
                  <c:v>17.27</c:v>
                </c:pt>
                <c:pt idx="4">
                  <c:v>16.7</c:v>
                </c:pt>
              </c:numCache>
            </c:numRef>
          </c:val>
          <c:smooth val="0"/>
          <c:extLst>
            <c:ext xmlns:c16="http://schemas.microsoft.com/office/drawing/2014/chart" uri="{C3380CC4-5D6E-409C-BE32-E72D297353CC}">
              <c16:uniqueId val="{00000000-DD34-4E3D-9FCF-410251BEFBB2}"/>
            </c:ext>
          </c:extLst>
        </c:ser>
        <c:ser>
          <c:idx val="1"/>
          <c:order val="1"/>
          <c:tx>
            <c:strRef>
              <c:f>Workings!$B$9</c:f>
              <c:strCache>
                <c:ptCount val="1"/>
                <c:pt idx="0">
                  <c:v>Satellite</c:v>
                </c:pt>
              </c:strCache>
            </c:strRef>
          </c:tx>
          <c:spPr>
            <a:ln w="25400">
              <a:solidFill>
                <a:srgbClr val="99CCFF"/>
              </a:solidFill>
              <a:prstDash val="solid"/>
            </a:ln>
            <a:effectLst/>
          </c:spPr>
          <c:marker>
            <c:symbol val="none"/>
          </c:marker>
          <c:cat>
            <c:numRef>
              <c:f>Workings!$C$7:$G$7</c:f>
              <c:numCache>
                <c:formatCode>General</c:formatCode>
                <c:ptCount val="5"/>
                <c:pt idx="0">
                  <c:v>2008</c:v>
                </c:pt>
                <c:pt idx="1">
                  <c:v>2009</c:v>
                </c:pt>
                <c:pt idx="2">
                  <c:v>2010</c:v>
                </c:pt>
                <c:pt idx="3">
                  <c:v>2011</c:v>
                </c:pt>
                <c:pt idx="4">
                  <c:v>2012</c:v>
                </c:pt>
              </c:numCache>
            </c:numRef>
          </c:cat>
          <c:val>
            <c:numRef>
              <c:f>Workings!$C$9:$G$9</c:f>
              <c:numCache>
                <c:formatCode>0</c:formatCode>
                <c:ptCount val="5"/>
                <c:pt idx="0">
                  <c:v>16.2</c:v>
                </c:pt>
                <c:pt idx="1">
                  <c:v>16.2</c:v>
                </c:pt>
                <c:pt idx="2">
                  <c:v>16.649999999999999</c:v>
                </c:pt>
                <c:pt idx="3">
                  <c:v>17.54</c:v>
                </c:pt>
                <c:pt idx="4">
                  <c:v>18.07</c:v>
                </c:pt>
              </c:numCache>
            </c:numRef>
          </c:val>
          <c:smooth val="0"/>
          <c:extLst>
            <c:ext xmlns:c16="http://schemas.microsoft.com/office/drawing/2014/chart" uri="{C3380CC4-5D6E-409C-BE32-E72D297353CC}">
              <c16:uniqueId val="{00000001-DD34-4E3D-9FCF-410251BEFBB2}"/>
            </c:ext>
          </c:extLst>
        </c:ser>
        <c:ser>
          <c:idx val="2"/>
          <c:order val="2"/>
          <c:tx>
            <c:strRef>
              <c:f>Workings!$B$10</c:f>
              <c:strCache>
                <c:ptCount val="1"/>
                <c:pt idx="0">
                  <c:v>Terrestrial</c:v>
                </c:pt>
              </c:strCache>
            </c:strRef>
          </c:tx>
          <c:spPr>
            <a:ln w="25400">
              <a:solidFill>
                <a:srgbClr val="333399"/>
              </a:solidFill>
              <a:prstDash val="lgDash"/>
            </a:ln>
            <a:effectLst/>
          </c:spPr>
          <c:marker>
            <c:symbol val="none"/>
          </c:marker>
          <c:cat>
            <c:numRef>
              <c:f>Workings!$C$7:$G$7</c:f>
              <c:numCache>
                <c:formatCode>General</c:formatCode>
                <c:ptCount val="5"/>
                <c:pt idx="0">
                  <c:v>2008</c:v>
                </c:pt>
                <c:pt idx="1">
                  <c:v>2009</c:v>
                </c:pt>
                <c:pt idx="2">
                  <c:v>2010</c:v>
                </c:pt>
                <c:pt idx="3">
                  <c:v>2011</c:v>
                </c:pt>
                <c:pt idx="4">
                  <c:v>2012</c:v>
                </c:pt>
              </c:numCache>
            </c:numRef>
          </c:cat>
          <c:val>
            <c:numRef>
              <c:f>Workings!$C$10:$G$10</c:f>
              <c:numCache>
                <c:formatCode>0</c:formatCode>
                <c:ptCount val="5"/>
                <c:pt idx="0">
                  <c:v>2.75</c:v>
                </c:pt>
                <c:pt idx="1">
                  <c:v>2</c:v>
                </c:pt>
                <c:pt idx="2">
                  <c:v>2</c:v>
                </c:pt>
                <c:pt idx="3">
                  <c:v>1.83</c:v>
                </c:pt>
                <c:pt idx="4">
                  <c:v>2.0499999999999998</c:v>
                </c:pt>
              </c:numCache>
            </c:numRef>
          </c:val>
          <c:smooth val="0"/>
          <c:extLst>
            <c:ext xmlns:c16="http://schemas.microsoft.com/office/drawing/2014/chart" uri="{C3380CC4-5D6E-409C-BE32-E72D297353CC}">
              <c16:uniqueId val="{00000002-DD34-4E3D-9FCF-410251BEFBB2}"/>
            </c:ext>
          </c:extLst>
        </c:ser>
        <c:ser>
          <c:idx val="3"/>
          <c:order val="3"/>
          <c:tx>
            <c:strRef>
              <c:f>Workings!$B$11</c:f>
              <c:strCache>
                <c:ptCount val="1"/>
                <c:pt idx="0">
                  <c:v>IPTV</c:v>
                </c:pt>
              </c:strCache>
            </c:strRef>
          </c:tx>
          <c:spPr>
            <a:ln w="25400">
              <a:solidFill>
                <a:srgbClr val="99CCFF"/>
              </a:solidFill>
              <a:prstDash val="lgDash"/>
            </a:ln>
            <a:effectLst/>
          </c:spPr>
          <c:marker>
            <c:symbol val="none"/>
          </c:marker>
          <c:cat>
            <c:numRef>
              <c:f>Workings!$C$7:$G$7</c:f>
              <c:numCache>
                <c:formatCode>General</c:formatCode>
                <c:ptCount val="5"/>
                <c:pt idx="0">
                  <c:v>2008</c:v>
                </c:pt>
                <c:pt idx="1">
                  <c:v>2009</c:v>
                </c:pt>
                <c:pt idx="2">
                  <c:v>2010</c:v>
                </c:pt>
                <c:pt idx="3">
                  <c:v>2011</c:v>
                </c:pt>
                <c:pt idx="4">
                  <c:v>2012</c:v>
                </c:pt>
              </c:numCache>
            </c:numRef>
          </c:cat>
          <c:val>
            <c:numRef>
              <c:f>Workings!$C$11:$G$11</c:f>
              <c:numCache>
                <c:formatCode>0</c:formatCode>
                <c:ptCount val="5"/>
                <c:pt idx="0">
                  <c:v>0.27</c:v>
                </c:pt>
                <c:pt idx="1">
                  <c:v>0.65</c:v>
                </c:pt>
                <c:pt idx="2">
                  <c:v>0.92</c:v>
                </c:pt>
                <c:pt idx="3">
                  <c:v>1.25</c:v>
                </c:pt>
                <c:pt idx="4">
                  <c:v>1.26</c:v>
                </c:pt>
              </c:numCache>
            </c:numRef>
          </c:val>
          <c:smooth val="0"/>
          <c:extLst>
            <c:ext xmlns:c16="http://schemas.microsoft.com/office/drawing/2014/chart" uri="{C3380CC4-5D6E-409C-BE32-E72D297353CC}">
              <c16:uniqueId val="{00000003-DD34-4E3D-9FCF-410251BEFBB2}"/>
            </c:ext>
          </c:extLst>
        </c:ser>
        <c:dLbls>
          <c:showLegendKey val="0"/>
          <c:showVal val="0"/>
          <c:showCatName val="0"/>
          <c:showSerName val="0"/>
          <c:showPercent val="0"/>
          <c:showBubbleSize val="0"/>
        </c:dLbls>
        <c:smooth val="0"/>
        <c:axId val="243004544"/>
        <c:axId val="243006080"/>
      </c:lineChart>
      <c:catAx>
        <c:axId val="243004544"/>
        <c:scaling>
          <c:orientation val="minMax"/>
        </c:scaling>
        <c:delete val="0"/>
        <c:axPos val="b"/>
        <c:numFmt formatCode="General" sourceLinked="1"/>
        <c:majorTickMark val="out"/>
        <c:minorTickMark val="none"/>
        <c:tickLblPos val="low"/>
        <c:crossAx val="243006080"/>
        <c:crosses val="autoZero"/>
        <c:auto val="1"/>
        <c:lblAlgn val="ctr"/>
        <c:lblOffset val="100"/>
        <c:noMultiLvlLbl val="0"/>
      </c:catAx>
      <c:valAx>
        <c:axId val="243006080"/>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crossAx val="243004544"/>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17064604573953"/>
          <c:y val="3.2342279061743605E-2"/>
          <c:w val="0.53815336769856315"/>
          <c:h val="0.51425534475237156"/>
        </c:manualLayout>
      </c:layout>
      <c:pieChart>
        <c:varyColors val="1"/>
        <c:ser>
          <c:idx val="0"/>
          <c:order val="0"/>
          <c:dPt>
            <c:idx val="0"/>
            <c:bubble3D val="0"/>
            <c:spPr>
              <a:solidFill>
                <a:srgbClr val="263238"/>
              </a:solidFill>
              <a:ln w="25400">
                <a:noFill/>
              </a:ln>
              <a:effectLst/>
            </c:spPr>
            <c:extLst>
              <c:ext xmlns:c16="http://schemas.microsoft.com/office/drawing/2014/chart" uri="{C3380CC4-5D6E-409C-BE32-E72D297353CC}">
                <c16:uniqueId val="{00000001-9F34-43CB-B2B1-E0D88CDD9111}"/>
              </c:ext>
            </c:extLst>
          </c:dPt>
          <c:dPt>
            <c:idx val="1"/>
            <c:bubble3D val="0"/>
            <c:spPr>
              <a:solidFill>
                <a:srgbClr val="799098"/>
              </a:solidFill>
              <a:ln w="25400">
                <a:noFill/>
              </a:ln>
              <a:effectLst/>
            </c:spPr>
            <c:extLst>
              <c:ext xmlns:c16="http://schemas.microsoft.com/office/drawing/2014/chart" uri="{C3380CC4-5D6E-409C-BE32-E72D297353CC}">
                <c16:uniqueId val="{00000002-9F34-43CB-B2B1-E0D88CDD9111}"/>
              </c:ext>
            </c:extLst>
          </c:dPt>
          <c:dPt>
            <c:idx val="2"/>
            <c:bubble3D val="0"/>
            <c:spPr>
              <a:solidFill>
                <a:srgbClr val="F9663E"/>
              </a:solidFill>
              <a:ln w="25400">
                <a:noFill/>
              </a:ln>
              <a:effectLst/>
            </c:spPr>
            <c:extLst>
              <c:ext xmlns:c16="http://schemas.microsoft.com/office/drawing/2014/chart" uri="{C3380CC4-5D6E-409C-BE32-E72D297353CC}">
                <c16:uniqueId val="{00000003-9F34-43CB-B2B1-E0D88CDD9111}"/>
              </c:ext>
            </c:extLst>
          </c:dPt>
          <c:dPt>
            <c:idx val="3"/>
            <c:bubble3D val="0"/>
            <c:spPr>
              <a:solidFill>
                <a:srgbClr val="C7FE02"/>
              </a:solidFill>
              <a:ln w="25400">
                <a:noFill/>
              </a:ln>
              <a:effectLst/>
            </c:spPr>
            <c:extLst>
              <c:ext xmlns:c16="http://schemas.microsoft.com/office/drawing/2014/chart" uri="{C3380CC4-5D6E-409C-BE32-E72D297353CC}">
                <c16:uniqueId val="{00000004-9F34-43CB-B2B1-E0D88CDD9111}"/>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showLegendKey val="0"/>
              <c:showVal val="1"/>
              <c:showCatName val="0"/>
              <c:showSerName val="0"/>
              <c:showPercent val="0"/>
              <c:showBubbleSize val="0"/>
              <c:extLst>
                <c:ext xmlns:c16="http://schemas.microsoft.com/office/drawing/2014/chart" uri="{C3380CC4-5D6E-409C-BE32-E72D297353CC}">
                  <c16:uniqueId val="{00000001-9F34-43CB-B2B1-E0D88CDD9111}"/>
                </c:ext>
              </c:extLst>
            </c:dLbl>
            <c:dLbl>
              <c:idx val="1"/>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showLegendKey val="0"/>
              <c:showVal val="1"/>
              <c:showCatName val="0"/>
              <c:showSerName val="0"/>
              <c:showPercent val="0"/>
              <c:showBubbleSize val="0"/>
              <c:extLst>
                <c:ext xmlns:c16="http://schemas.microsoft.com/office/drawing/2014/chart" uri="{C3380CC4-5D6E-409C-BE32-E72D297353CC}">
                  <c16:uniqueId val="{00000002-9F34-43CB-B2B1-E0D88CDD911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Workings!$B$793:$B$796</c:f>
              <c:strCache>
                <c:ptCount val="4"/>
                <c:pt idx="0">
                  <c:v>DOCSIS3.1</c:v>
                </c:pt>
                <c:pt idx="1">
                  <c:v>FTTB</c:v>
                </c:pt>
                <c:pt idx="2">
                  <c:v>FTTH</c:v>
                </c:pt>
                <c:pt idx="3">
                  <c:v>DOCSIS3.0</c:v>
                </c:pt>
              </c:strCache>
            </c:strRef>
          </c:cat>
          <c:val>
            <c:numRef>
              <c:f>Workings!$C$793:$C$796</c:f>
              <c:numCache>
                <c:formatCode>0%</c:formatCode>
                <c:ptCount val="4"/>
                <c:pt idx="0">
                  <c:v>0.73200677392040647</c:v>
                </c:pt>
                <c:pt idx="1">
                  <c:v>0.15495342929720576</c:v>
                </c:pt>
                <c:pt idx="2">
                  <c:v>5.6731583403895003E-2</c:v>
                </c:pt>
                <c:pt idx="3">
                  <c:v>5.6308213378492677E-2</c:v>
                </c:pt>
              </c:numCache>
            </c:numRef>
          </c:val>
          <c:extLst>
            <c:ext xmlns:c16="http://schemas.microsoft.com/office/drawing/2014/chart" uri="{C3380CC4-5D6E-409C-BE32-E72D297353CC}">
              <c16:uniqueId val="{00000000-9F34-43CB-B2B1-E0D88CDD9111}"/>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layout>
        <c:manualLayout>
          <c:xMode val="edge"/>
          <c:yMode val="edge"/>
          <c:x val="0.20172752157444823"/>
          <c:y val="0.54463119894663314"/>
          <c:w val="0.64199559944233653"/>
          <c:h val="3.2744428893242458E-2"/>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Snaps!$B$28</c:f>
              <c:strCache>
                <c:ptCount val="1"/>
                <c:pt idx="0">
                  <c:v>CATV </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Snaps!$C$27:$Q$27</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Snaps!$C$28:$Q$28</c:f>
              <c:numCache>
                <c:formatCode>_-* #,##0_-;\-* #,##0_-;_-* "-"??_-;_-@_-</c:formatCode>
                <c:ptCount val="15"/>
                <c:pt idx="0">
                  <c:v>-14.188999999999851</c:v>
                </c:pt>
                <c:pt idx="1">
                  <c:v>-22.384000000000015</c:v>
                </c:pt>
                <c:pt idx="2">
                  <c:v>-21.663000000000011</c:v>
                </c:pt>
                <c:pt idx="3">
                  <c:v>-45</c:v>
                </c:pt>
                <c:pt idx="4">
                  <c:v>-23</c:v>
                </c:pt>
                <c:pt idx="5">
                  <c:v>-18</c:v>
                </c:pt>
                <c:pt idx="6">
                  <c:v>-7</c:v>
                </c:pt>
                <c:pt idx="7">
                  <c:v>-23</c:v>
                </c:pt>
                <c:pt idx="8">
                  <c:v>1</c:v>
                </c:pt>
                <c:pt idx="9">
                  <c:v>-24.768000000000029</c:v>
                </c:pt>
                <c:pt idx="10">
                  <c:v>-6.9300000000000637</c:v>
                </c:pt>
                <c:pt idx="11">
                  <c:v>-81.760999999999967</c:v>
                </c:pt>
                <c:pt idx="12">
                  <c:v>-2</c:v>
                </c:pt>
                <c:pt idx="13">
                  <c:v>-682</c:v>
                </c:pt>
                <c:pt idx="14">
                  <c:v>10</c:v>
                </c:pt>
              </c:numCache>
            </c:numRef>
          </c:val>
          <c:extLst>
            <c:ext xmlns:c16="http://schemas.microsoft.com/office/drawing/2014/chart" uri="{C3380CC4-5D6E-409C-BE32-E72D297353CC}">
              <c16:uniqueId val="{00000000-C3CF-4A39-A717-8B0D0FB4DF19}"/>
            </c:ext>
          </c:extLst>
        </c:ser>
        <c:ser>
          <c:idx val="1"/>
          <c:order val="1"/>
          <c:tx>
            <c:strRef>
              <c:f>Snaps!$B$29</c:f>
              <c:strCache>
                <c:ptCount val="1"/>
                <c:pt idx="0">
                  <c:v>Premium TV</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cat>
            <c:strRef>
              <c:f>Snaps!$C$27:$Q$27</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Snaps!$C$29:$Q$29</c:f>
              <c:numCache>
                <c:formatCode>_-* #,##0_-;\-* #,##0_-;_-* "-"??_-;_-@_-</c:formatCode>
                <c:ptCount val="15"/>
                <c:pt idx="0">
                  <c:v>3.8290002000001095</c:v>
                </c:pt>
                <c:pt idx="1">
                  <c:v>-0.67099999999993543</c:v>
                </c:pt>
                <c:pt idx="2">
                  <c:v>-0.8060005000000956</c:v>
                </c:pt>
                <c:pt idx="3">
                  <c:v>-4</c:v>
                </c:pt>
                <c:pt idx="4">
                  <c:v>-41</c:v>
                </c:pt>
                <c:pt idx="5">
                  <c:v>-5</c:v>
                </c:pt>
                <c:pt idx="6">
                  <c:v>-2</c:v>
                </c:pt>
                <c:pt idx="7">
                  <c:v>5</c:v>
                </c:pt>
                <c:pt idx="8">
                  <c:v>4</c:v>
                </c:pt>
                <c:pt idx="9">
                  <c:v>-2.9710006000000249</c:v>
                </c:pt>
                <c:pt idx="10">
                  <c:v>0.90600040000003901</c:v>
                </c:pt>
                <c:pt idx="11">
                  <c:v>7.7349998999999912</c:v>
                </c:pt>
                <c:pt idx="12">
                  <c:v>12</c:v>
                </c:pt>
                <c:pt idx="13">
                  <c:v>-25</c:v>
                </c:pt>
                <c:pt idx="14">
                  <c:v>12</c:v>
                </c:pt>
              </c:numCache>
            </c:numRef>
          </c:val>
          <c:extLst>
            <c:ext xmlns:c16="http://schemas.microsoft.com/office/drawing/2014/chart" uri="{C3380CC4-5D6E-409C-BE32-E72D297353CC}">
              <c16:uniqueId val="{00000001-C3CF-4A39-A717-8B0D0FB4DF19}"/>
            </c:ext>
          </c:extLst>
        </c:ser>
        <c:ser>
          <c:idx val="2"/>
          <c:order val="2"/>
          <c:tx>
            <c:strRef>
              <c:f>Snaps!$B$30</c:f>
              <c:strCache>
                <c:ptCount val="1"/>
                <c:pt idx="0">
                  <c:v>Internet</c:v>
                </c:pt>
              </c:strCache>
            </c:strRef>
          </c:tx>
          <c:spPr>
            <a:solidFill>
              <a:srgbClr val="F9663E"/>
            </a:solidFill>
            <a:ln>
              <a:noFill/>
            </a:ln>
            <a:effectLst/>
            <a:extLst>
              <a:ext uri="{91240B29-F687-4F45-9708-019B960494DF}">
                <a14:hiddenLine xmlns:a14="http://schemas.microsoft.com/office/drawing/2010/main">
                  <a:noFill/>
                </a14:hiddenLine>
              </a:ext>
            </a:extLst>
          </c:spPr>
          <c:invertIfNegative val="0"/>
          <c:cat>
            <c:strRef>
              <c:f>Snaps!$C$27:$Q$27</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Snaps!$C$30:$Q$30</c:f>
              <c:numCache>
                <c:formatCode>_-* #,##0_-;\-* #,##0_-;_-* "-"??_-;_-@_-</c:formatCode>
                <c:ptCount val="15"/>
                <c:pt idx="0">
                  <c:v>8.0660000000000309</c:v>
                </c:pt>
                <c:pt idx="1">
                  <c:v>5.8160000000000309</c:v>
                </c:pt>
                <c:pt idx="2">
                  <c:v>4.4669998999999052</c:v>
                </c:pt>
                <c:pt idx="3">
                  <c:v>9</c:v>
                </c:pt>
                <c:pt idx="4">
                  <c:v>4</c:v>
                </c:pt>
                <c:pt idx="5">
                  <c:v>7</c:v>
                </c:pt>
                <c:pt idx="6">
                  <c:v>6</c:v>
                </c:pt>
                <c:pt idx="7">
                  <c:v>13</c:v>
                </c:pt>
                <c:pt idx="8">
                  <c:v>12</c:v>
                </c:pt>
                <c:pt idx="9">
                  <c:v>12.008000200000083</c:v>
                </c:pt>
                <c:pt idx="10">
                  <c:v>10.038999999999874</c:v>
                </c:pt>
                <c:pt idx="11">
                  <c:v>25.15400000000011</c:v>
                </c:pt>
                <c:pt idx="12">
                  <c:v>14.732000000000085</c:v>
                </c:pt>
                <c:pt idx="13">
                  <c:v>-26.732000000000085</c:v>
                </c:pt>
                <c:pt idx="14">
                  <c:v>22</c:v>
                </c:pt>
              </c:numCache>
            </c:numRef>
          </c:val>
          <c:extLst>
            <c:ext xmlns:c16="http://schemas.microsoft.com/office/drawing/2014/chart" uri="{C3380CC4-5D6E-409C-BE32-E72D297353CC}">
              <c16:uniqueId val="{00000002-C3CF-4A39-A717-8B0D0FB4DF19}"/>
            </c:ext>
          </c:extLst>
        </c:ser>
        <c:ser>
          <c:idx val="3"/>
          <c:order val="3"/>
          <c:tx>
            <c:strRef>
              <c:f>Snaps!$B$31</c:f>
              <c:strCache>
                <c:ptCount val="1"/>
                <c:pt idx="0">
                  <c:v>Telephony</c:v>
                </c:pt>
              </c:strCache>
            </c:strRef>
          </c:tx>
          <c:spPr>
            <a:solidFill>
              <a:schemeClr val="accent4"/>
            </a:solidFill>
            <a:ln>
              <a:noFill/>
            </a:ln>
            <a:effectLst/>
            <a:extLst>
              <a:ext uri="{91240B29-F687-4F45-9708-019B960494DF}">
                <a14:hiddenLine xmlns:a14="http://schemas.microsoft.com/office/drawing/2010/main">
                  <a:noFill/>
                </a14:hiddenLine>
              </a:ext>
            </a:extLst>
          </c:spPr>
          <c:invertIfNegative val="0"/>
          <c:cat>
            <c:strRef>
              <c:f>Snaps!$C$27:$Q$27</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Snaps!$C$31:$Q$31</c:f>
              <c:numCache>
                <c:formatCode>_-* #,##0_-;\-* #,##0_-;_-* "-"??_-;_-@_-</c:formatCode>
                <c:ptCount val="15"/>
                <c:pt idx="0">
                  <c:v>5.1360000000000241</c:v>
                </c:pt>
                <c:pt idx="1">
                  <c:v>3.5919999999999845</c:v>
                </c:pt>
                <c:pt idx="2">
                  <c:v>3.9399999999999977</c:v>
                </c:pt>
                <c:pt idx="3">
                  <c:v>2</c:v>
                </c:pt>
                <c:pt idx="4">
                  <c:v>1</c:v>
                </c:pt>
                <c:pt idx="5">
                  <c:v>3</c:v>
                </c:pt>
                <c:pt idx="6">
                  <c:v>4</c:v>
                </c:pt>
                <c:pt idx="7">
                  <c:v>13</c:v>
                </c:pt>
                <c:pt idx="8">
                  <c:v>10</c:v>
                </c:pt>
                <c:pt idx="9">
                  <c:v>6.6680000000000064</c:v>
                </c:pt>
                <c:pt idx="10">
                  <c:v>12.341999999999985</c:v>
                </c:pt>
                <c:pt idx="11">
                  <c:v>28.144999999999982</c:v>
                </c:pt>
                <c:pt idx="12">
                  <c:v>18</c:v>
                </c:pt>
                <c:pt idx="13">
                  <c:v>20</c:v>
                </c:pt>
                <c:pt idx="14">
                  <c:v>14</c:v>
                </c:pt>
              </c:numCache>
            </c:numRef>
          </c:val>
          <c:extLst>
            <c:ext xmlns:c16="http://schemas.microsoft.com/office/drawing/2014/chart" uri="{C3380CC4-5D6E-409C-BE32-E72D297353CC}">
              <c16:uniqueId val="{00000003-C3CF-4A39-A717-8B0D0FB4DF19}"/>
            </c:ext>
          </c:extLst>
        </c:ser>
        <c:dLbls>
          <c:showLegendKey val="0"/>
          <c:showVal val="0"/>
          <c:showCatName val="0"/>
          <c:showSerName val="0"/>
          <c:showPercent val="0"/>
          <c:showBubbleSize val="0"/>
        </c:dLbls>
        <c:gapWidth val="100"/>
        <c:axId val="469890208"/>
        <c:axId val="469895968"/>
      </c:barChart>
      <c:catAx>
        <c:axId val="469890208"/>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95968"/>
        <c:crosses val="autoZero"/>
        <c:auto val="1"/>
        <c:lblAlgn val="ctr"/>
        <c:lblOffset val="100"/>
        <c:noMultiLvlLbl val="0"/>
      </c:catAx>
      <c:valAx>
        <c:axId val="469895968"/>
        <c:scaling>
          <c:orientation val="minMax"/>
        </c:scaling>
        <c:delete val="0"/>
        <c:axPos val="l"/>
        <c:numFmt formatCode="_-* #,##0_-;\-* #,##0_-;_-* &quot;-&quot;??_-;_-@_-"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9020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Snaps!$B$66</c:f>
              <c:strCache>
                <c:ptCount val="1"/>
                <c:pt idx="0">
                  <c:v>Blended TV ARPU</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a:ea typeface="Roboto"/>
                    <a:cs typeface="Roboto"/>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Snaps!$C$65:$Q$65</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Snaps!$C$66:$Q$66</c:f>
              <c:numCache>
                <c:formatCode>\€#,##0.0</c:formatCode>
                <c:ptCount val="15"/>
                <c:pt idx="0">
                  <c:v>8.6881587860762242</c:v>
                </c:pt>
                <c:pt idx="1">
                  <c:v>8.6817115828117384</c:v>
                </c:pt>
                <c:pt idx="2">
                  <c:v>8.5558948817118772</c:v>
                </c:pt>
                <c:pt idx="3">
                  <c:v>8.6622268956210586</c:v>
                </c:pt>
                <c:pt idx="4">
                  <c:v>8.4987057081240049</c:v>
                </c:pt>
                <c:pt idx="5">
                  <c:v>8.470331442928261</c:v>
                </c:pt>
                <c:pt idx="6">
                  <c:v>8.3755711826882813</c:v>
                </c:pt>
                <c:pt idx="7">
                  <c:v>8.4508555332095607</c:v>
                </c:pt>
                <c:pt idx="8">
                  <c:v>8.4</c:v>
                </c:pt>
                <c:pt idx="9">
                  <c:v>8.2887622590228442</c:v>
                </c:pt>
                <c:pt idx="10">
                  <c:v>8.3150410279340949</c:v>
                </c:pt>
                <c:pt idx="11">
                  <c:v>8.3229036160302634</c:v>
                </c:pt>
                <c:pt idx="12">
                  <c:v>8.15</c:v>
                </c:pt>
                <c:pt idx="13">
                  <c:v>8.1999999999999993</c:v>
                </c:pt>
                <c:pt idx="14">
                  <c:v>9.1</c:v>
                </c:pt>
              </c:numCache>
            </c:numRef>
          </c:val>
          <c:extLst>
            <c:ext xmlns:c16="http://schemas.microsoft.com/office/drawing/2014/chart" uri="{C3380CC4-5D6E-409C-BE32-E72D297353CC}">
              <c16:uniqueId val="{00000000-4AE8-42FE-9C2D-6CC5E4D8BDAD}"/>
            </c:ext>
          </c:extLst>
        </c:ser>
        <c:ser>
          <c:idx val="1"/>
          <c:order val="1"/>
          <c:tx>
            <c:strRef>
              <c:f>Snaps!$B$67</c:f>
              <c:strCache>
                <c:ptCount val="1"/>
                <c:pt idx="0">
                  <c:v>Blended Internet/ telephony ARPU</c:v>
                </c:pt>
              </c:strCache>
            </c:strRef>
          </c:tx>
          <c:spPr>
            <a:solidFill>
              <a:srgbClr val="F9663E"/>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Snaps!$C$65:$Q$65</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Snaps!$C$67:$Q$67</c:f>
              <c:numCache>
                <c:formatCode>\€#,##0.0</c:formatCode>
                <c:ptCount val="15"/>
                <c:pt idx="0">
                  <c:v>24.123639530948623</c:v>
                </c:pt>
                <c:pt idx="1">
                  <c:v>24.076952708755439</c:v>
                </c:pt>
                <c:pt idx="2">
                  <c:v>23.880301412428384</c:v>
                </c:pt>
                <c:pt idx="3">
                  <c:v>24.25769522934624</c:v>
                </c:pt>
                <c:pt idx="4">
                  <c:v>24.230918199540099</c:v>
                </c:pt>
                <c:pt idx="5">
                  <c:v>24.354265829490163</c:v>
                </c:pt>
                <c:pt idx="6">
                  <c:v>24.332108746169695</c:v>
                </c:pt>
                <c:pt idx="7">
                  <c:v>24.190913781654697</c:v>
                </c:pt>
                <c:pt idx="8">
                  <c:v>24.2</c:v>
                </c:pt>
                <c:pt idx="9">
                  <c:v>23.922705091472189</c:v>
                </c:pt>
                <c:pt idx="10">
                  <c:v>24.349487530519173</c:v>
                </c:pt>
                <c:pt idx="11">
                  <c:v>24.578806065755121</c:v>
                </c:pt>
                <c:pt idx="12">
                  <c:v>24.3</c:v>
                </c:pt>
                <c:pt idx="13">
                  <c:v>24.3</c:v>
                </c:pt>
                <c:pt idx="14">
                  <c:v>24.3</c:v>
                </c:pt>
              </c:numCache>
            </c:numRef>
          </c:val>
          <c:extLst>
            <c:ext xmlns:c16="http://schemas.microsoft.com/office/drawing/2014/chart" uri="{C3380CC4-5D6E-409C-BE32-E72D297353CC}">
              <c16:uniqueId val="{00000001-4AE8-42FE-9C2D-6CC5E4D8BDAD}"/>
            </c:ext>
          </c:extLst>
        </c:ser>
        <c:ser>
          <c:idx val="2"/>
          <c:order val="2"/>
          <c:tx>
            <c:strRef>
              <c:f>Snaps!$B$68</c:f>
              <c:strCache>
                <c:ptCount val="1"/>
                <c:pt idx="0">
                  <c:v>FTTH ARPU</c:v>
                </c:pt>
              </c:strCache>
            </c:strRef>
          </c:tx>
          <c:spPr>
            <a:solidFill>
              <a:srgbClr val="C7FE0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Snaps!$C$65:$Q$65</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Snaps!$C$68:$Q$68</c:f>
              <c:numCache>
                <c:formatCode>\€#,##0.0</c:formatCode>
                <c:ptCount val="15"/>
                <c:pt idx="11">
                  <c:v>28.9</c:v>
                </c:pt>
                <c:pt idx="12">
                  <c:v>28.92</c:v>
                </c:pt>
                <c:pt idx="13">
                  <c:v>29.31</c:v>
                </c:pt>
                <c:pt idx="14">
                  <c:v>29.08</c:v>
                </c:pt>
              </c:numCache>
            </c:numRef>
          </c:val>
          <c:extLst>
            <c:ext xmlns:c16="http://schemas.microsoft.com/office/drawing/2014/chart" uri="{C3380CC4-5D6E-409C-BE32-E72D297353CC}">
              <c16:uniqueId val="{00000000-F468-4D36-ABC0-DE87247AA161}"/>
            </c:ext>
          </c:extLst>
        </c:ser>
        <c:dLbls>
          <c:showLegendKey val="0"/>
          <c:showVal val="0"/>
          <c:showCatName val="0"/>
          <c:showSerName val="0"/>
          <c:showPercent val="0"/>
          <c:showBubbleSize val="0"/>
        </c:dLbls>
        <c:gapWidth val="30"/>
        <c:overlap val="-27"/>
        <c:axId val="469892128"/>
        <c:axId val="469911808"/>
      </c:barChart>
      <c:catAx>
        <c:axId val="469892128"/>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911808"/>
        <c:crosses val="autoZero"/>
        <c:auto val="1"/>
        <c:lblAlgn val="ctr"/>
        <c:lblOffset val="100"/>
        <c:noMultiLvlLbl val="0"/>
      </c:catAx>
      <c:valAx>
        <c:axId val="469911808"/>
        <c:scaling>
          <c:orientation val="minMax"/>
        </c:scaling>
        <c:delete val="0"/>
        <c:axPos val="l"/>
        <c:numFmt formatCode="\€#,##0" sourceLinked="0"/>
        <c:majorTickMark val="out"/>
        <c:minorTickMark val="none"/>
        <c:tickLblPos val="none"/>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9212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Snaps!$B$72</c:f>
              <c:strCache>
                <c:ptCount val="1"/>
                <c:pt idx="0">
                  <c:v>Blended TV ARPU</c:v>
                </c:pt>
              </c:strCache>
            </c:strRef>
          </c:tx>
          <c:spPr>
            <a:ln w="25400" cap="rnd">
              <a:solidFill>
                <a:srgbClr val="263238"/>
              </a:solidFill>
              <a:prstDash val="solid"/>
              <a:round/>
            </a:ln>
            <a:effectLst/>
          </c:spPr>
          <c:marker>
            <c:symbol val="none"/>
          </c:marker>
          <c:dLbls>
            <c:dLbl>
              <c:idx val="12"/>
              <c:layout>
                <c:manualLayout>
                  <c:x val="-3.0759102743683035E-2"/>
                  <c:y val="4.5318108352049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52-4568-9398-A05BCCC24AC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Snaps!$C$71:$Q$71</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Snaps!$C$72:$Q$72</c:f>
              <c:numCache>
                <c:formatCode>0.0%</c:formatCode>
                <c:ptCount val="15"/>
                <c:pt idx="0">
                  <c:v>-6.0200269896193426E-4</c:v>
                </c:pt>
                <c:pt idx="1">
                  <c:v>3.9807421349005168E-3</c:v>
                </c:pt>
                <c:pt idx="2">
                  <c:v>-2.2872133802960826E-2</c:v>
                </c:pt>
                <c:pt idx="3">
                  <c:v>-1.0588050123019666E-2</c:v>
                </c:pt>
                <c:pt idx="4">
                  <c:v>-2.1805894967739214E-2</c:v>
                </c:pt>
                <c:pt idx="5">
                  <c:v>-2.4347749619092696E-2</c:v>
                </c:pt>
                <c:pt idx="6">
                  <c:v>-2.1075960085605527E-2</c:v>
                </c:pt>
                <c:pt idx="7">
                  <c:v>-2.4401503788633261E-2</c:v>
                </c:pt>
                <c:pt idx="8">
                  <c:v>-1.1614204740570178E-2</c:v>
                </c:pt>
                <c:pt idx="9">
                  <c:v>-2.1435900723460577E-2</c:v>
                </c:pt>
                <c:pt idx="10">
                  <c:v>-7.2269882774440575E-3</c:v>
                </c:pt>
                <c:pt idx="11">
                  <c:v>-1.5140705775466334E-2</c:v>
                </c:pt>
                <c:pt idx="12">
                  <c:v>-2.9761904761904767E-2</c:v>
                </c:pt>
                <c:pt idx="13">
                  <c:v>-1.0708747126414675E-2</c:v>
                </c:pt>
                <c:pt idx="14">
                  <c:v>9.4402296925398366E-2</c:v>
                </c:pt>
              </c:numCache>
            </c:numRef>
          </c:val>
          <c:smooth val="0"/>
          <c:extLst>
            <c:ext xmlns:c16="http://schemas.microsoft.com/office/drawing/2014/chart" uri="{C3380CC4-5D6E-409C-BE32-E72D297353CC}">
              <c16:uniqueId val="{00000000-1701-4C88-BE41-06A3305B1E24}"/>
            </c:ext>
          </c:extLst>
        </c:ser>
        <c:ser>
          <c:idx val="1"/>
          <c:order val="1"/>
          <c:tx>
            <c:strRef>
              <c:f>Snaps!$B$73</c:f>
              <c:strCache>
                <c:ptCount val="1"/>
                <c:pt idx="0">
                  <c:v>Blended Internet/ telephony ARPU</c:v>
                </c:pt>
              </c:strCache>
            </c:strRef>
          </c:tx>
          <c:spPr>
            <a:ln w="25400" cap="rnd">
              <a:solidFill>
                <a:srgbClr val="79909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Snaps!$C$71:$Q$71</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Snaps!$C$73:$Q$73</c:f>
              <c:numCache>
                <c:formatCode>0.0%</c:formatCode>
                <c:ptCount val="15"/>
                <c:pt idx="0">
                  <c:v>-8.3904546747152198E-3</c:v>
                </c:pt>
                <c:pt idx="1">
                  <c:v>-1.5446257164539512E-2</c:v>
                </c:pt>
                <c:pt idx="2">
                  <c:v>-1.9041148513092909E-2</c:v>
                </c:pt>
                <c:pt idx="3">
                  <c:v>-6.4501442464545145E-3</c:v>
                </c:pt>
                <c:pt idx="4">
                  <c:v>4.4470349697376399E-3</c:v>
                </c:pt>
                <c:pt idx="5">
                  <c:v>1.1517783171700158E-2</c:v>
                </c:pt>
                <c:pt idx="6">
                  <c:v>1.8919666294755055E-2</c:v>
                </c:pt>
                <c:pt idx="7">
                  <c:v>-2.7530005245821609E-3</c:v>
                </c:pt>
                <c:pt idx="8">
                  <c:v>-1.2759813427410949E-3</c:v>
                </c:pt>
                <c:pt idx="9">
                  <c:v>-1.7720129238936289E-2</c:v>
                </c:pt>
                <c:pt idx="10">
                  <c:v>7.1423256121261325E-4</c:v>
                </c:pt>
                <c:pt idx="11">
                  <c:v>1.6034627199348783E-2</c:v>
                </c:pt>
                <c:pt idx="12">
                  <c:v>4.1322314049587749E-3</c:v>
                </c:pt>
                <c:pt idx="13">
                  <c:v>1.577141494179557E-2</c:v>
                </c:pt>
                <c:pt idx="14">
                  <c:v>-2.0323848892978003E-3</c:v>
                </c:pt>
              </c:numCache>
            </c:numRef>
          </c:val>
          <c:smooth val="0"/>
          <c:extLst>
            <c:ext xmlns:c16="http://schemas.microsoft.com/office/drawing/2014/chart" uri="{C3380CC4-5D6E-409C-BE32-E72D297353CC}">
              <c16:uniqueId val="{00000000-2A79-4F44-BB91-911ED8546757}"/>
            </c:ext>
          </c:extLst>
        </c:ser>
        <c:dLbls>
          <c:showLegendKey val="0"/>
          <c:showVal val="0"/>
          <c:showCatName val="0"/>
          <c:showSerName val="0"/>
          <c:showPercent val="0"/>
          <c:showBubbleSize val="0"/>
        </c:dLbls>
        <c:smooth val="0"/>
        <c:axId val="469916128"/>
        <c:axId val="469917088"/>
      </c:lineChart>
      <c:catAx>
        <c:axId val="469916128"/>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917088"/>
        <c:crosses val="autoZero"/>
        <c:auto val="1"/>
        <c:lblAlgn val="ctr"/>
        <c:lblOffset val="100"/>
        <c:noMultiLvlLbl val="0"/>
      </c:catAx>
      <c:valAx>
        <c:axId val="469917088"/>
        <c:scaling>
          <c:orientation val="minMax"/>
        </c:scaling>
        <c:delete val="0"/>
        <c:axPos val="l"/>
        <c:title>
          <c:tx>
            <c:rich>
              <a:bodyPr rot="-5400000" spcFirstLastPara="1" vertOverflow="ellipsis" vert="horz" wrap="square" anchor="ctr" anchorCtr="1"/>
              <a:lstStyle/>
              <a:p>
                <a:pPr>
                  <a:defRPr sz="1000" b="1" i="0" u="none" strike="noStrike" kern="1200" baseline="0">
                    <a:solidFill>
                      <a:srgbClr val="595959"/>
                    </a:solidFill>
                    <a:latin typeface="Roboto"/>
                    <a:ea typeface="Roboto"/>
                    <a:cs typeface="Roboto"/>
                  </a:defRPr>
                </a:pPr>
                <a:r>
                  <a:rPr lang="en-GB" b="1"/>
                  <a:t>YoY</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595959"/>
                  </a:solidFill>
                  <a:latin typeface="Roboto"/>
                  <a:ea typeface="Roboto"/>
                  <a:cs typeface="Roboto"/>
                </a:defRPr>
              </a:pPr>
              <a:endParaRPr lang="en-US"/>
            </a:p>
          </c:txPr>
        </c:title>
        <c:numFmt formatCode="0.0%"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91612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Snaps!$B$96</c:f>
              <c:strCache>
                <c:ptCount val="1"/>
                <c:pt idx="0">
                  <c:v>TV</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Snaps!$C$95:$Q$95</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Snaps!$C$96:$Q$96</c:f>
              <c:numCache>
                <c:formatCode>_-* #,##0_-;\-* #,##0_-;_-* "-"??_-;_-@_-</c:formatCode>
                <c:ptCount val="15"/>
                <c:pt idx="0">
                  <c:v>55.442703881499199</c:v>
                </c:pt>
                <c:pt idx="1">
                  <c:v>54.71832377829594</c:v>
                </c:pt>
                <c:pt idx="2">
                  <c:v>53.954918910497966</c:v>
                </c:pt>
                <c:pt idx="3">
                  <c:v>54.122868099290528</c:v>
                </c:pt>
                <c:pt idx="4">
                  <c:v>51.919214072674734</c:v>
                </c:pt>
                <c:pt idx="5">
                  <c:v>51.517371855537057</c:v>
                </c:pt>
                <c:pt idx="6">
                  <c:v>49.624679108510875</c:v>
                </c:pt>
                <c:pt idx="7">
                  <c:v>49.468719118758628</c:v>
                </c:pt>
                <c:pt idx="8">
                  <c:v>48</c:v>
                </c:pt>
                <c:pt idx="9">
                  <c:v>47.252212876031059</c:v>
                </c:pt>
                <c:pt idx="10">
                  <c:v>46.812067869309523</c:v>
                </c:pt>
                <c:pt idx="11">
                  <c:v>46.646748323812822</c:v>
                </c:pt>
                <c:pt idx="12">
                  <c:v>44</c:v>
                </c:pt>
                <c:pt idx="13">
                  <c:v>40.799999999999997</c:v>
                </c:pt>
                <c:pt idx="14">
                  <c:v>30.2</c:v>
                </c:pt>
              </c:numCache>
            </c:numRef>
          </c:val>
          <c:extLst>
            <c:ext xmlns:c16="http://schemas.microsoft.com/office/drawing/2014/chart" uri="{C3380CC4-5D6E-409C-BE32-E72D297353CC}">
              <c16:uniqueId val="{00000000-D23E-4EA2-8FF8-F0D6F0C106DF}"/>
            </c:ext>
          </c:extLst>
        </c:ser>
        <c:ser>
          <c:idx val="1"/>
          <c:order val="1"/>
          <c:tx>
            <c:strRef>
              <c:f>Snaps!$B$97</c:f>
              <c:strCache>
                <c:ptCount val="1"/>
                <c:pt idx="0">
                  <c:v>Internet &amp; Telephony</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Snaps!$C$95:$Q$95</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Snaps!$C$97:$Q$97</c:f>
              <c:numCache>
                <c:formatCode>_-* #,##0_-;\-* #,##0_-;_-* "-"??_-;_-@_-</c:formatCode>
                <c:ptCount val="15"/>
                <c:pt idx="0">
                  <c:v>37.297041499999999</c:v>
                </c:pt>
                <c:pt idx="1">
                  <c:v>37.558685179999991</c:v>
                </c:pt>
                <c:pt idx="2">
                  <c:v>37.575876399999991</c:v>
                </c:pt>
                <c:pt idx="3">
                  <c:v>38.428227079999999</c:v>
                </c:pt>
                <c:pt idx="4">
                  <c:v>38.743665390000004</c:v>
                </c:pt>
                <c:pt idx="5">
                  <c:v>39.336580330000004</c:v>
                </c:pt>
                <c:pt idx="6">
                  <c:v>39.462188670000003</c:v>
                </c:pt>
                <c:pt idx="7">
                  <c:v>40.000788719999981</c:v>
                </c:pt>
                <c:pt idx="8">
                  <c:v>40.799999999999997</c:v>
                </c:pt>
                <c:pt idx="9">
                  <c:v>41.017910769999986</c:v>
                </c:pt>
                <c:pt idx="10">
                  <c:v>42.455206420000032</c:v>
                </c:pt>
                <c:pt idx="11">
                  <c:v>43.857880809999976</c:v>
                </c:pt>
                <c:pt idx="12">
                  <c:v>45</c:v>
                </c:pt>
                <c:pt idx="13">
                  <c:v>46</c:v>
                </c:pt>
                <c:pt idx="14">
                  <c:v>47.5</c:v>
                </c:pt>
              </c:numCache>
            </c:numRef>
          </c:val>
          <c:extLst>
            <c:ext xmlns:c16="http://schemas.microsoft.com/office/drawing/2014/chart" uri="{C3380CC4-5D6E-409C-BE32-E72D297353CC}">
              <c16:uniqueId val="{00000001-D23E-4EA2-8FF8-F0D6F0C106DF}"/>
            </c:ext>
          </c:extLst>
        </c:ser>
        <c:ser>
          <c:idx val="2"/>
          <c:order val="2"/>
          <c:tx>
            <c:strRef>
              <c:f>Snaps!$B$98</c:f>
              <c:strCache>
                <c:ptCount val="1"/>
                <c:pt idx="0">
                  <c:v>B2B</c:v>
                </c:pt>
              </c:strCache>
            </c:strRef>
          </c:tx>
          <c:spPr>
            <a:solidFill>
              <a:srgbClr val="F9663E"/>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Snaps!$C$95:$Q$95</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Snaps!$C$98:$Q$98</c:f>
              <c:numCache>
                <c:formatCode>_-* #,##0_-;\-* #,##0_-;_-* "-"??_-;_-@_-</c:formatCode>
                <c:ptCount val="15"/>
                <c:pt idx="0">
                  <c:v>18.680568119999997</c:v>
                </c:pt>
                <c:pt idx="1">
                  <c:v>15.05306946</c:v>
                </c:pt>
                <c:pt idx="2">
                  <c:v>13.409018740000008</c:v>
                </c:pt>
                <c:pt idx="3">
                  <c:v>3.1987176899999903</c:v>
                </c:pt>
                <c:pt idx="4">
                  <c:v>10.4278718</c:v>
                </c:pt>
                <c:pt idx="5">
                  <c:v>11.436752669999999</c:v>
                </c:pt>
                <c:pt idx="6">
                  <c:v>11.189002300000004</c:v>
                </c:pt>
                <c:pt idx="7">
                  <c:v>12.320141900000003</c:v>
                </c:pt>
                <c:pt idx="8">
                  <c:v>11.4</c:v>
                </c:pt>
                <c:pt idx="9">
                  <c:v>11.601689829999998</c:v>
                </c:pt>
                <c:pt idx="10">
                  <c:v>10.90991373</c:v>
                </c:pt>
                <c:pt idx="11">
                  <c:v>10.831201150000009</c:v>
                </c:pt>
                <c:pt idx="12">
                  <c:v>11</c:v>
                </c:pt>
                <c:pt idx="13">
                  <c:v>11.3</c:v>
                </c:pt>
                <c:pt idx="14">
                  <c:v>11.6</c:v>
                </c:pt>
              </c:numCache>
            </c:numRef>
          </c:val>
          <c:extLst>
            <c:ext xmlns:c16="http://schemas.microsoft.com/office/drawing/2014/chart" uri="{C3380CC4-5D6E-409C-BE32-E72D297353CC}">
              <c16:uniqueId val="{00000002-D23E-4EA2-8FF8-F0D6F0C106DF}"/>
            </c:ext>
          </c:extLst>
        </c:ser>
        <c:ser>
          <c:idx val="3"/>
          <c:order val="3"/>
          <c:tx>
            <c:strRef>
              <c:f>Snaps!$B$99</c:f>
              <c:strCache>
                <c:ptCount val="1"/>
                <c:pt idx="0">
                  <c:v>Other revenue</c:v>
                </c:pt>
              </c:strCache>
            </c:strRef>
          </c:tx>
          <c:spPr>
            <a:solidFill>
              <a:srgbClr val="C7FE0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Snaps!$C$95:$Q$95</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Snaps!$C$99:$Q$99</c:f>
              <c:numCache>
                <c:formatCode>_-* #,##0_-;\-* #,##0_-;_-* "-"??_-;_-@_-</c:formatCode>
                <c:ptCount val="15"/>
                <c:pt idx="0">
                  <c:v>8.8970947585008062</c:v>
                </c:pt>
                <c:pt idx="1">
                  <c:v>9.5685351117040582</c:v>
                </c:pt>
                <c:pt idx="2">
                  <c:v>9.6846759595020337</c:v>
                </c:pt>
                <c:pt idx="3">
                  <c:v>15.253338380709467</c:v>
                </c:pt>
                <c:pt idx="4">
                  <c:v>10.358437927325255</c:v>
                </c:pt>
                <c:pt idx="5">
                  <c:v>10.293509564462951</c:v>
                </c:pt>
                <c:pt idx="6">
                  <c:v>10.149688341489144</c:v>
                </c:pt>
                <c:pt idx="7">
                  <c:v>10.287589521241337</c:v>
                </c:pt>
                <c:pt idx="8">
                  <c:v>10.6</c:v>
                </c:pt>
                <c:pt idx="9">
                  <c:v>10.537117713968938</c:v>
                </c:pt>
                <c:pt idx="10">
                  <c:v>11.204113690690457</c:v>
                </c:pt>
                <c:pt idx="11">
                  <c:v>18.135148376187196</c:v>
                </c:pt>
                <c:pt idx="12">
                  <c:v>12.3</c:v>
                </c:pt>
                <c:pt idx="13">
                  <c:v>12.3</c:v>
                </c:pt>
                <c:pt idx="14">
                  <c:v>13.1</c:v>
                </c:pt>
              </c:numCache>
            </c:numRef>
          </c:val>
          <c:extLst>
            <c:ext xmlns:c16="http://schemas.microsoft.com/office/drawing/2014/chart" uri="{C3380CC4-5D6E-409C-BE32-E72D297353CC}">
              <c16:uniqueId val="{00000003-D23E-4EA2-8FF8-F0D6F0C106DF}"/>
            </c:ext>
          </c:extLst>
        </c:ser>
        <c:dLbls>
          <c:showLegendKey val="0"/>
          <c:showVal val="0"/>
          <c:showCatName val="0"/>
          <c:showSerName val="0"/>
          <c:showPercent val="0"/>
          <c:showBubbleSize val="0"/>
        </c:dLbls>
        <c:gapWidth val="30"/>
        <c:overlap val="100"/>
        <c:axId val="469817728"/>
        <c:axId val="469790848"/>
      </c:barChart>
      <c:catAx>
        <c:axId val="469817728"/>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790848"/>
        <c:crosses val="autoZero"/>
        <c:auto val="1"/>
        <c:lblAlgn val="ctr"/>
        <c:lblOffset val="100"/>
        <c:noMultiLvlLbl val="0"/>
      </c:catAx>
      <c:valAx>
        <c:axId val="469790848"/>
        <c:scaling>
          <c:orientation val="minMax"/>
        </c:scaling>
        <c:delete val="0"/>
        <c:axPos val="l"/>
        <c:numFmt formatCode="_-* #,##0_-;\-* #,##0_-;_-* &quot;-&quot;??_-;_-@_-" sourceLinked="1"/>
        <c:majorTickMark val="out"/>
        <c:minorTickMark val="none"/>
        <c:tickLblPos val="none"/>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1772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Snaps!$B$103</c:f>
              <c:strCache>
                <c:ptCount val="1"/>
                <c:pt idx="0">
                  <c:v>TV</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Snaps!$C$102:$Q$102</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Snaps!$C$103:$Q$103</c:f>
              <c:numCache>
                <c:formatCode>0.0%</c:formatCode>
                <c:ptCount val="15"/>
                <c:pt idx="0">
                  <c:v>-2.7512137707812245E-2</c:v>
                </c:pt>
                <c:pt idx="1">
                  <c:v>-2.6642896053087672E-2</c:v>
                </c:pt>
                <c:pt idx="2">
                  <c:v>-3.4112705866790494E-2</c:v>
                </c:pt>
                <c:pt idx="3">
                  <c:v>1.9762137504073296E-2</c:v>
                </c:pt>
                <c:pt idx="4">
                  <c:v>-6.3551911471623312E-2</c:v>
                </c:pt>
                <c:pt idx="5">
                  <c:v>-5.8498720387128222E-2</c:v>
                </c:pt>
                <c:pt idx="6">
                  <c:v>-8.025662700318803E-2</c:v>
                </c:pt>
                <c:pt idx="7">
                  <c:v>-8.5992282818302956E-2</c:v>
                </c:pt>
                <c:pt idx="8">
                  <c:v>-7.5486775804979533E-2</c:v>
                </c:pt>
                <c:pt idx="9">
                  <c:v>-8.2790694204397441E-2</c:v>
                </c:pt>
                <c:pt idx="10">
                  <c:v>-5.6677671064657376E-2</c:v>
                </c:pt>
                <c:pt idx="11">
                  <c:v>-5.7045560208889845E-2</c:v>
                </c:pt>
                <c:pt idx="12">
                  <c:v>-8.333333333333337E-2</c:v>
                </c:pt>
                <c:pt idx="13">
                  <c:v>-0.1365483748445564</c:v>
                </c:pt>
                <c:pt idx="14">
                  <c:v>-0.3548672089361079</c:v>
                </c:pt>
              </c:numCache>
            </c:numRef>
          </c:val>
          <c:smooth val="0"/>
          <c:extLst>
            <c:ext xmlns:c16="http://schemas.microsoft.com/office/drawing/2014/chart" uri="{C3380CC4-5D6E-409C-BE32-E72D297353CC}">
              <c16:uniqueId val="{00000000-6728-41EF-9544-8F43EE7D4AEC}"/>
            </c:ext>
          </c:extLst>
        </c:ser>
        <c:ser>
          <c:idx val="1"/>
          <c:order val="1"/>
          <c:tx>
            <c:strRef>
              <c:f>Snaps!$B$104</c:f>
              <c:strCache>
                <c:ptCount val="1"/>
                <c:pt idx="0">
                  <c:v>Internet &amp; Telephony</c:v>
                </c:pt>
              </c:strCache>
            </c:strRef>
          </c:tx>
          <c:spPr>
            <a:ln w="25400" cap="rnd">
              <a:solidFill>
                <a:srgbClr val="F9663E"/>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Snaps!$C$102:$Q$102</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Snaps!$C$104:$Q$104</c:f>
              <c:numCache>
                <c:formatCode>0.0%</c:formatCode>
                <c:ptCount val="15"/>
                <c:pt idx="0">
                  <c:v>4.5683256115179427E-2</c:v>
                </c:pt>
                <c:pt idx="1">
                  <c:v>3.1926578632625047E-2</c:v>
                </c:pt>
                <c:pt idx="2">
                  <c:v>2.6098303610264884E-2</c:v>
                </c:pt>
                <c:pt idx="3">
                  <c:v>4.4846258438491438E-2</c:v>
                </c:pt>
                <c:pt idx="4">
                  <c:v>3.8786558714047237E-2</c:v>
                </c:pt>
                <c:pt idx="5">
                  <c:v>4.733645870401082E-2</c:v>
                </c:pt>
                <c:pt idx="6">
                  <c:v>5.020008714953117E-2</c:v>
                </c:pt>
                <c:pt idx="7">
                  <c:v>4.0922045056260847E-2</c:v>
                </c:pt>
                <c:pt idx="8">
                  <c:v>5.3075376046654243E-2</c:v>
                </c:pt>
                <c:pt idx="9">
                  <c:v>4.2742160754571712E-2</c:v>
                </c:pt>
                <c:pt idx="10">
                  <c:v>7.5845204000947408E-2</c:v>
                </c:pt>
                <c:pt idx="11">
                  <c:v>9.642540093394425E-2</c:v>
                </c:pt>
                <c:pt idx="12">
                  <c:v>0.10294117647058831</c:v>
                </c:pt>
                <c:pt idx="13">
                  <c:v>0.12146131132655968</c:v>
                </c:pt>
                <c:pt idx="14">
                  <c:v>0.11882626432416643</c:v>
                </c:pt>
              </c:numCache>
            </c:numRef>
          </c:val>
          <c:smooth val="0"/>
          <c:extLst>
            <c:ext xmlns:c16="http://schemas.microsoft.com/office/drawing/2014/chart" uri="{C3380CC4-5D6E-409C-BE32-E72D297353CC}">
              <c16:uniqueId val="{00000001-6728-41EF-9544-8F43EE7D4AEC}"/>
            </c:ext>
          </c:extLst>
        </c:ser>
        <c:ser>
          <c:idx val="4"/>
          <c:order val="2"/>
          <c:tx>
            <c:strRef>
              <c:f>Snaps!$B$107</c:f>
              <c:strCache>
                <c:ptCount val="1"/>
                <c:pt idx="0">
                  <c:v>Total revenue</c:v>
                </c:pt>
              </c:strCache>
            </c:strRef>
          </c:tx>
          <c:spPr>
            <a:ln w="25400" cap="rnd">
              <a:solidFill>
                <a:srgbClr val="C7FE02"/>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Snaps!$C$102:$Q$102</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Snaps!$C$107:$Q$107</c:f>
              <c:numCache>
                <c:formatCode>0.0%</c:formatCode>
                <c:ptCount val="15"/>
                <c:pt idx="0">
                  <c:v>1.5824682846180549E-2</c:v>
                </c:pt>
                <c:pt idx="1">
                  <c:v>-2.543005607628035E-2</c:v>
                </c:pt>
                <c:pt idx="2">
                  <c:v>-4.5756818795571474E-2</c:v>
                </c:pt>
                <c:pt idx="3">
                  <c:v>-3.2875064444062518E-2</c:v>
                </c:pt>
                <c:pt idx="4">
                  <c:v>-7.3706865849671788E-2</c:v>
                </c:pt>
                <c:pt idx="5">
                  <c:v>-3.6907188030017024E-2</c:v>
                </c:pt>
                <c:pt idx="6">
                  <c:v>-3.6632063441535467E-2</c:v>
                </c:pt>
                <c:pt idx="7">
                  <c:v>9.6761938549014825E-3</c:v>
                </c:pt>
                <c:pt idx="8">
                  <c:v>-5.8249790305181515E-3</c:v>
                </c:pt>
                <c:pt idx="9">
                  <c:v>-1.9321387471649021E-2</c:v>
                </c:pt>
                <c:pt idx="10">
                  <c:v>8.6550913001939289E-3</c:v>
                </c:pt>
                <c:pt idx="11">
                  <c:v>1.2435525796337998E-2</c:v>
                </c:pt>
                <c:pt idx="12">
                  <c:v>1.3537906137184086E-2</c:v>
                </c:pt>
                <c:pt idx="13">
                  <c:v>-8.0891916113379203E-5</c:v>
                </c:pt>
                <c:pt idx="14">
                  <c:v>-8.0635632481512509E-2</c:v>
                </c:pt>
              </c:numCache>
            </c:numRef>
          </c:val>
          <c:smooth val="0"/>
          <c:extLst>
            <c:ext xmlns:c16="http://schemas.microsoft.com/office/drawing/2014/chart" uri="{C3380CC4-5D6E-409C-BE32-E72D297353CC}">
              <c16:uniqueId val="{00000004-6728-41EF-9544-8F43EE7D4AEC}"/>
            </c:ext>
          </c:extLst>
        </c:ser>
        <c:dLbls>
          <c:showLegendKey val="0"/>
          <c:showVal val="0"/>
          <c:showCatName val="0"/>
          <c:showSerName val="0"/>
          <c:showPercent val="0"/>
          <c:showBubbleSize val="0"/>
        </c:dLbls>
        <c:smooth val="0"/>
        <c:axId val="469803328"/>
        <c:axId val="469818688"/>
      </c:lineChart>
      <c:catAx>
        <c:axId val="469803328"/>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18688"/>
        <c:crosses val="autoZero"/>
        <c:auto val="1"/>
        <c:lblAlgn val="ctr"/>
        <c:lblOffset val="100"/>
        <c:noMultiLvlLbl val="0"/>
      </c:catAx>
      <c:valAx>
        <c:axId val="469818688"/>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r>
                  <a:rPr lang="en-GB"/>
                  <a:t>YoY</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title>
        <c:numFmt formatCode="0%" sourceLinked="0"/>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0332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Snaps!$B$129</c:f>
              <c:strCache>
                <c:ptCount val="1"/>
                <c:pt idx="0">
                  <c:v>TV</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Snaps!$C$128:$J$128</c:f>
              <c:strCache>
                <c:ptCount val="8"/>
                <c:pt idx="0">
                  <c:v>1Q21</c:v>
                </c:pt>
                <c:pt idx="1">
                  <c:v>2Q21</c:v>
                </c:pt>
                <c:pt idx="2">
                  <c:v>3Q21</c:v>
                </c:pt>
                <c:pt idx="3">
                  <c:v>4Q21</c:v>
                </c:pt>
                <c:pt idx="4">
                  <c:v>1Q22</c:v>
                </c:pt>
                <c:pt idx="5">
                  <c:v>2Q22</c:v>
                </c:pt>
                <c:pt idx="6">
                  <c:v>3Q22</c:v>
                </c:pt>
                <c:pt idx="7">
                  <c:v>4Q22</c:v>
                </c:pt>
              </c:strCache>
            </c:strRef>
          </c:cat>
          <c:val>
            <c:numRef>
              <c:f>Snaps!$C$129:$J$129</c:f>
              <c:numCache>
                <c:formatCode>_-* #,##0_-;\-* #,##0_-;_-* "-"??_-;_-@_-</c:formatCode>
                <c:ptCount val="8"/>
                <c:pt idx="0">
                  <c:v>33.700000000000003</c:v>
                </c:pt>
                <c:pt idx="1">
                  <c:v>32.203999999999994</c:v>
                </c:pt>
                <c:pt idx="2">
                  <c:v>33.319000000000003</c:v>
                </c:pt>
                <c:pt idx="3">
                  <c:v>35.304999999999993</c:v>
                </c:pt>
                <c:pt idx="4">
                  <c:v>30.58</c:v>
                </c:pt>
                <c:pt idx="5">
                  <c:v>30.064</c:v>
                </c:pt>
                <c:pt idx="6">
                  <c:v>30.809999999999995</c:v>
                </c:pt>
                <c:pt idx="7">
                  <c:v>28.546000000000006</c:v>
                </c:pt>
              </c:numCache>
            </c:numRef>
          </c:val>
          <c:extLst>
            <c:ext xmlns:c16="http://schemas.microsoft.com/office/drawing/2014/chart" uri="{C3380CC4-5D6E-409C-BE32-E72D297353CC}">
              <c16:uniqueId val="{00000000-3111-418B-AF6B-679A34C08F93}"/>
            </c:ext>
          </c:extLst>
        </c:ser>
        <c:ser>
          <c:idx val="1"/>
          <c:order val="1"/>
          <c:tx>
            <c:strRef>
              <c:f>Snaps!$B$130</c:f>
              <c:strCache>
                <c:ptCount val="1"/>
                <c:pt idx="0">
                  <c:v>Internet &amp; Telephony</c:v>
                </c:pt>
              </c:strCache>
            </c:strRef>
          </c:tx>
          <c:spPr>
            <a:solidFill>
              <a:srgbClr val="F9663E"/>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Snaps!$C$128:$J$128</c:f>
              <c:strCache>
                <c:ptCount val="8"/>
                <c:pt idx="0">
                  <c:v>1Q21</c:v>
                </c:pt>
                <c:pt idx="1">
                  <c:v>2Q21</c:v>
                </c:pt>
                <c:pt idx="2">
                  <c:v>3Q21</c:v>
                </c:pt>
                <c:pt idx="3">
                  <c:v>4Q21</c:v>
                </c:pt>
                <c:pt idx="4">
                  <c:v>1Q22</c:v>
                </c:pt>
                <c:pt idx="5">
                  <c:v>2Q22</c:v>
                </c:pt>
                <c:pt idx="6">
                  <c:v>3Q22</c:v>
                </c:pt>
                <c:pt idx="7">
                  <c:v>4Q22</c:v>
                </c:pt>
              </c:strCache>
            </c:strRef>
          </c:cat>
          <c:val>
            <c:numRef>
              <c:f>Snaps!$C$130:$J$130</c:f>
              <c:numCache>
                <c:formatCode>_-* #,##0_-;\-* #,##0_-;_-* "-"??_-;_-@_-</c:formatCode>
                <c:ptCount val="8"/>
                <c:pt idx="0">
                  <c:v>30.67</c:v>
                </c:pt>
                <c:pt idx="1">
                  <c:v>29.617999999999995</c:v>
                </c:pt>
                <c:pt idx="2">
                  <c:v>31.555999999999997</c:v>
                </c:pt>
                <c:pt idx="3">
                  <c:v>31.117000000000004</c:v>
                </c:pt>
                <c:pt idx="4">
                  <c:v>30.097999999999999</c:v>
                </c:pt>
                <c:pt idx="5">
                  <c:v>29.889000000000003</c:v>
                </c:pt>
                <c:pt idx="6">
                  <c:v>29.258000000000003</c:v>
                </c:pt>
                <c:pt idx="7">
                  <c:v>27.114999999999995</c:v>
                </c:pt>
              </c:numCache>
            </c:numRef>
          </c:val>
          <c:extLst>
            <c:ext xmlns:c16="http://schemas.microsoft.com/office/drawing/2014/chart" uri="{C3380CC4-5D6E-409C-BE32-E72D297353CC}">
              <c16:uniqueId val="{00000001-3111-418B-AF6B-679A34C08F93}"/>
            </c:ext>
          </c:extLst>
        </c:ser>
        <c:ser>
          <c:idx val="2"/>
          <c:order val="2"/>
          <c:tx>
            <c:strRef>
              <c:f>Snaps!$B$131</c:f>
              <c:strCache>
                <c:ptCount val="1"/>
                <c:pt idx="0">
                  <c:v>Other</c:v>
                </c:pt>
              </c:strCache>
            </c:strRef>
          </c:tx>
          <c:spPr>
            <a:solidFill>
              <a:srgbClr val="C7FE0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Snaps!$C$128:$J$128</c:f>
              <c:strCache>
                <c:ptCount val="8"/>
                <c:pt idx="0">
                  <c:v>1Q21</c:v>
                </c:pt>
                <c:pt idx="1">
                  <c:v>2Q21</c:v>
                </c:pt>
                <c:pt idx="2">
                  <c:v>3Q21</c:v>
                </c:pt>
                <c:pt idx="3">
                  <c:v>4Q21</c:v>
                </c:pt>
                <c:pt idx="4">
                  <c:v>1Q22</c:v>
                </c:pt>
                <c:pt idx="5">
                  <c:v>2Q22</c:v>
                </c:pt>
                <c:pt idx="6">
                  <c:v>3Q22</c:v>
                </c:pt>
                <c:pt idx="7">
                  <c:v>4Q22</c:v>
                </c:pt>
              </c:strCache>
            </c:strRef>
          </c:cat>
          <c:val>
            <c:numRef>
              <c:f>Snaps!$C$131:$J$131</c:f>
              <c:numCache>
                <c:formatCode>_-* #,##0_-;\-* #,##0_-;_-* "-"??_-;_-@_-</c:formatCode>
                <c:ptCount val="8"/>
                <c:pt idx="0">
                  <c:v>-2.3420000000000059</c:v>
                </c:pt>
                <c:pt idx="1">
                  <c:v>-4.4799999999999827</c:v>
                </c:pt>
                <c:pt idx="2">
                  <c:v>-6.5970000000000155</c:v>
                </c:pt>
                <c:pt idx="3">
                  <c:v>-17.616999999999997</c:v>
                </c:pt>
                <c:pt idx="4">
                  <c:v>-11.711</c:v>
                </c:pt>
                <c:pt idx="5">
                  <c:v>-11.383000000000001</c:v>
                </c:pt>
                <c:pt idx="6">
                  <c:v>-11.722</c:v>
                </c:pt>
                <c:pt idx="7">
                  <c:v>-19.983999999999995</c:v>
                </c:pt>
              </c:numCache>
            </c:numRef>
          </c:val>
          <c:extLst>
            <c:ext xmlns:c16="http://schemas.microsoft.com/office/drawing/2014/chart" uri="{C3380CC4-5D6E-409C-BE32-E72D297353CC}">
              <c16:uniqueId val="{00000002-3111-418B-AF6B-679A34C08F93}"/>
            </c:ext>
          </c:extLst>
        </c:ser>
        <c:dLbls>
          <c:showLegendKey val="0"/>
          <c:showVal val="0"/>
          <c:showCatName val="0"/>
          <c:showSerName val="0"/>
          <c:showPercent val="0"/>
          <c:showBubbleSize val="0"/>
        </c:dLbls>
        <c:gapWidth val="30"/>
        <c:overlap val="100"/>
        <c:axId val="469798528"/>
        <c:axId val="469808608"/>
      </c:barChart>
      <c:catAx>
        <c:axId val="469798528"/>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08608"/>
        <c:crosses val="autoZero"/>
        <c:auto val="1"/>
        <c:lblAlgn val="ctr"/>
        <c:lblOffset val="100"/>
        <c:noMultiLvlLbl val="0"/>
      </c:catAx>
      <c:valAx>
        <c:axId val="469808608"/>
        <c:scaling>
          <c:orientation val="minMax"/>
        </c:scaling>
        <c:delete val="0"/>
        <c:axPos val="l"/>
        <c:numFmt formatCode="_-* #,##0_-;\-* #,##0_-;_-* &quot;-&quot;??_-;_-@_-" sourceLinked="1"/>
        <c:majorTickMark val="out"/>
        <c:minorTickMark val="none"/>
        <c:tickLblPos val="none"/>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79852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Snaps!$F$135</c:f>
              <c:strCache>
                <c:ptCount val="1"/>
                <c:pt idx="0">
                  <c:v>TV</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Snaps!$G$134:$J$134</c:f>
              <c:strCache>
                <c:ptCount val="4"/>
                <c:pt idx="0">
                  <c:v>1Q22</c:v>
                </c:pt>
                <c:pt idx="1">
                  <c:v>2Q22</c:v>
                </c:pt>
                <c:pt idx="2">
                  <c:v>3Q22</c:v>
                </c:pt>
                <c:pt idx="3">
                  <c:v>4Q22</c:v>
                </c:pt>
              </c:strCache>
            </c:strRef>
          </c:cat>
          <c:val>
            <c:numRef>
              <c:f>Snaps!$G$135:$J$135</c:f>
              <c:numCache>
                <c:formatCode>0.0%</c:formatCode>
                <c:ptCount val="4"/>
                <c:pt idx="0">
                  <c:v>-9.2581602373887351E-2</c:v>
                </c:pt>
                <c:pt idx="1">
                  <c:v>-6.6451372500310302E-2</c:v>
                </c:pt>
                <c:pt idx="2">
                  <c:v>-7.5302380023410276E-2</c:v>
                </c:pt>
                <c:pt idx="3">
                  <c:v>-0.19144597082566173</c:v>
                </c:pt>
              </c:numCache>
            </c:numRef>
          </c:val>
          <c:smooth val="0"/>
          <c:extLst>
            <c:ext xmlns:c16="http://schemas.microsoft.com/office/drawing/2014/chart" uri="{C3380CC4-5D6E-409C-BE32-E72D297353CC}">
              <c16:uniqueId val="{00000000-B8E1-4904-94CD-70708588E6D8}"/>
            </c:ext>
          </c:extLst>
        </c:ser>
        <c:ser>
          <c:idx val="1"/>
          <c:order val="1"/>
          <c:tx>
            <c:strRef>
              <c:f>Snaps!$F$136</c:f>
              <c:strCache>
                <c:ptCount val="1"/>
                <c:pt idx="0">
                  <c:v>Internet &amp; Telephony</c:v>
                </c:pt>
              </c:strCache>
            </c:strRef>
          </c:tx>
          <c:spPr>
            <a:ln w="25400" cap="rnd">
              <a:solidFill>
                <a:srgbClr val="F9663E"/>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Snaps!$G$134:$J$134</c:f>
              <c:strCache>
                <c:ptCount val="4"/>
                <c:pt idx="0">
                  <c:v>1Q22</c:v>
                </c:pt>
                <c:pt idx="1">
                  <c:v>2Q22</c:v>
                </c:pt>
                <c:pt idx="2">
                  <c:v>3Q22</c:v>
                </c:pt>
                <c:pt idx="3">
                  <c:v>4Q22</c:v>
                </c:pt>
              </c:strCache>
            </c:strRef>
          </c:cat>
          <c:val>
            <c:numRef>
              <c:f>Snaps!$G$136:$J$136</c:f>
              <c:numCache>
                <c:formatCode>0.0%</c:formatCode>
                <c:ptCount val="4"/>
                <c:pt idx="0">
                  <c:v>-1.8650146723182326E-2</c:v>
                </c:pt>
                <c:pt idx="1">
                  <c:v>9.1498413127155676E-3</c:v>
                </c:pt>
                <c:pt idx="2">
                  <c:v>-7.2822917987070412E-2</c:v>
                </c:pt>
                <c:pt idx="3">
                  <c:v>-0.12861136999068068</c:v>
                </c:pt>
              </c:numCache>
            </c:numRef>
          </c:val>
          <c:smooth val="0"/>
          <c:extLst>
            <c:ext xmlns:c16="http://schemas.microsoft.com/office/drawing/2014/chart" uri="{C3380CC4-5D6E-409C-BE32-E72D297353CC}">
              <c16:uniqueId val="{00000001-B8E1-4904-94CD-70708588E6D8}"/>
            </c:ext>
          </c:extLst>
        </c:ser>
        <c:ser>
          <c:idx val="3"/>
          <c:order val="2"/>
          <c:tx>
            <c:strRef>
              <c:f>Snaps!$F$138</c:f>
              <c:strCache>
                <c:ptCount val="1"/>
                <c:pt idx="0">
                  <c:v>Normalised EBITDA</c:v>
                </c:pt>
              </c:strCache>
            </c:strRef>
          </c:tx>
          <c:spPr>
            <a:ln w="25400" cap="rnd">
              <a:solidFill>
                <a:srgbClr val="C7FE02"/>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Snaps!$G$134:$J$134</c:f>
              <c:strCache>
                <c:ptCount val="4"/>
                <c:pt idx="0">
                  <c:v>1Q22</c:v>
                </c:pt>
                <c:pt idx="1">
                  <c:v>2Q22</c:v>
                </c:pt>
                <c:pt idx="2">
                  <c:v>3Q22</c:v>
                </c:pt>
                <c:pt idx="3">
                  <c:v>4Q22</c:v>
                </c:pt>
              </c:strCache>
            </c:strRef>
          </c:cat>
          <c:val>
            <c:numRef>
              <c:f>Snaps!$G$138:$J$138</c:f>
              <c:numCache>
                <c:formatCode>0.0%</c:formatCode>
                <c:ptCount val="4"/>
                <c:pt idx="0">
                  <c:v>-0.21056619591152381</c:v>
                </c:pt>
                <c:pt idx="1">
                  <c:v>-0.15297687558857387</c:v>
                </c:pt>
                <c:pt idx="2">
                  <c:v>-0.17042451697038319</c:v>
                </c:pt>
                <c:pt idx="3">
                  <c:v>-0.26898883311136135</c:v>
                </c:pt>
              </c:numCache>
            </c:numRef>
          </c:val>
          <c:smooth val="0"/>
          <c:extLst>
            <c:ext xmlns:c16="http://schemas.microsoft.com/office/drawing/2014/chart" uri="{C3380CC4-5D6E-409C-BE32-E72D297353CC}">
              <c16:uniqueId val="{00000003-B8E1-4904-94CD-70708588E6D8}"/>
            </c:ext>
          </c:extLst>
        </c:ser>
        <c:dLbls>
          <c:showLegendKey val="0"/>
          <c:showVal val="0"/>
          <c:showCatName val="0"/>
          <c:showSerName val="0"/>
          <c:showPercent val="0"/>
          <c:showBubbleSize val="0"/>
        </c:dLbls>
        <c:smooth val="0"/>
        <c:axId val="469792768"/>
        <c:axId val="469812928"/>
      </c:lineChart>
      <c:catAx>
        <c:axId val="469792768"/>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12928"/>
        <c:crosses val="autoZero"/>
        <c:auto val="1"/>
        <c:lblAlgn val="ctr"/>
        <c:lblOffset val="100"/>
        <c:noMultiLvlLbl val="0"/>
      </c:catAx>
      <c:valAx>
        <c:axId val="469812928"/>
        <c:scaling>
          <c:orientation val="minMax"/>
        </c:scaling>
        <c:delete val="0"/>
        <c:axPos val="l"/>
        <c:numFmt formatCode="0.0%" sourceLinked="1"/>
        <c:majorTickMark val="out"/>
        <c:minorTickMark val="none"/>
        <c:tickLblPos val="none"/>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79276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Snaps!$B$168</c:f>
              <c:strCache>
                <c:ptCount val="1"/>
                <c:pt idx="0">
                  <c:v>Normalised EBITDA</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Snaps!$C$167:$O$167</c:f>
              <c:strCache>
                <c:ptCount val="13"/>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strCache>
            </c:strRef>
          </c:cat>
          <c:val>
            <c:numRef>
              <c:f>Snaps!$C$168:$O$168</c:f>
              <c:numCache>
                <c:formatCode>0</c:formatCode>
                <c:ptCount val="13"/>
                <c:pt idx="0">
                  <c:v>62.027999999999999</c:v>
                </c:pt>
                <c:pt idx="1">
                  <c:v>57.342000000000006</c:v>
                </c:pt>
                <c:pt idx="2">
                  <c:v>58.277999999999984</c:v>
                </c:pt>
                <c:pt idx="3">
                  <c:v>48.805</c:v>
                </c:pt>
                <c:pt idx="4">
                  <c:v>48.966999999999999</c:v>
                </c:pt>
                <c:pt idx="5">
                  <c:v>48.57</c:v>
                </c:pt>
                <c:pt idx="6">
                  <c:v>48.345999999999997</c:v>
                </c:pt>
                <c:pt idx="7">
                  <c:v>35.677000000000007</c:v>
                </c:pt>
                <c:pt idx="8">
                  <c:v>44.160000000000004</c:v>
                </c:pt>
                <c:pt idx="9">
                  <c:v>48.670860909999988</c:v>
                </c:pt>
                <c:pt idx="10">
                  <c:v>48.622492620000024</c:v>
                </c:pt>
                <c:pt idx="11">
                  <c:v>51.6</c:v>
                </c:pt>
                <c:pt idx="12">
                  <c:v>47.9</c:v>
                </c:pt>
              </c:numCache>
            </c:numRef>
          </c:val>
          <c:extLst>
            <c:ext xmlns:c16="http://schemas.microsoft.com/office/drawing/2014/chart" uri="{C3380CC4-5D6E-409C-BE32-E72D297353CC}">
              <c16:uniqueId val="{00000000-077B-4F18-A684-874FA314069B}"/>
            </c:ext>
          </c:extLst>
        </c:ser>
        <c:ser>
          <c:idx val="1"/>
          <c:order val="1"/>
          <c:tx>
            <c:strRef>
              <c:f>Snaps!$B$169</c:f>
              <c:strCache>
                <c:ptCount val="1"/>
                <c:pt idx="0">
                  <c:v>Non-recurring items</c:v>
                </c:pt>
              </c:strCache>
            </c:strRef>
          </c:tx>
          <c:spPr>
            <a:solidFill>
              <a:srgbClr val="F9663E"/>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Snaps!$C$167:$O$167</c:f>
              <c:strCache>
                <c:ptCount val="13"/>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strCache>
            </c:strRef>
          </c:cat>
          <c:val>
            <c:numRef>
              <c:f>Snaps!$C$169:$O$169</c:f>
              <c:numCache>
                <c:formatCode>0</c:formatCode>
                <c:ptCount val="13"/>
                <c:pt idx="0">
                  <c:v>-13.729999999999997</c:v>
                </c:pt>
                <c:pt idx="1">
                  <c:v>-2.6130000000000067</c:v>
                </c:pt>
                <c:pt idx="2">
                  <c:v>-5.4579999999999771</c:v>
                </c:pt>
                <c:pt idx="3">
                  <c:v>-2.2889999999999944</c:v>
                </c:pt>
                <c:pt idx="4">
                  <c:v>-1.6629999999999967</c:v>
                </c:pt>
                <c:pt idx="5">
                  <c:v>-2.1180000000000021</c:v>
                </c:pt>
                <c:pt idx="6">
                  <c:v>-3.4010000000000034</c:v>
                </c:pt>
                <c:pt idx="7">
                  <c:v>-11.077999999999989</c:v>
                </c:pt>
                <c:pt idx="8">
                  <c:v>-3.159000000000006</c:v>
                </c:pt>
                <c:pt idx="9">
                  <c:v>-2.8940786100000011</c:v>
                </c:pt>
                <c:pt idx="10">
                  <c:v>-12.526047049999995</c:v>
                </c:pt>
                <c:pt idx="11">
                  <c:v>-31.1</c:v>
                </c:pt>
                <c:pt idx="12">
                  <c:v>-15.799999999999997</c:v>
                </c:pt>
              </c:numCache>
            </c:numRef>
          </c:val>
          <c:extLst>
            <c:ext xmlns:c16="http://schemas.microsoft.com/office/drawing/2014/chart" uri="{C3380CC4-5D6E-409C-BE32-E72D297353CC}">
              <c16:uniqueId val="{00000001-077B-4F18-A684-874FA314069B}"/>
            </c:ext>
          </c:extLst>
        </c:ser>
        <c:ser>
          <c:idx val="2"/>
          <c:order val="2"/>
          <c:tx>
            <c:strRef>
              <c:f>Snaps!$B$170</c:f>
              <c:strCache>
                <c:ptCount val="1"/>
                <c:pt idx="0">
                  <c:v>Reported EBITDA</c:v>
                </c:pt>
              </c:strCache>
            </c:strRef>
          </c:tx>
          <c:spPr>
            <a:solidFill>
              <a:srgbClr val="C7FE0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Snaps!$C$167:$O$167</c:f>
              <c:strCache>
                <c:ptCount val="13"/>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strCache>
            </c:strRef>
          </c:cat>
          <c:val>
            <c:numRef>
              <c:f>Snaps!$C$170:$O$170</c:f>
              <c:numCache>
                <c:formatCode>0</c:formatCode>
                <c:ptCount val="13"/>
                <c:pt idx="0">
                  <c:v>48.298000000000002</c:v>
                </c:pt>
                <c:pt idx="1">
                  <c:v>54.728999999999999</c:v>
                </c:pt>
                <c:pt idx="2">
                  <c:v>52.820000000000007</c:v>
                </c:pt>
                <c:pt idx="3">
                  <c:v>46.516000000000005</c:v>
                </c:pt>
                <c:pt idx="4">
                  <c:v>47.304000000000002</c:v>
                </c:pt>
                <c:pt idx="5">
                  <c:v>46.451999999999998</c:v>
                </c:pt>
                <c:pt idx="6">
                  <c:v>44.944999999999993</c:v>
                </c:pt>
                <c:pt idx="7">
                  <c:v>24.599000000000018</c:v>
                </c:pt>
                <c:pt idx="8">
                  <c:v>41.000999999999998</c:v>
                </c:pt>
                <c:pt idx="9">
                  <c:v>45.776782299999986</c:v>
                </c:pt>
                <c:pt idx="10">
                  <c:v>36.096445570000029</c:v>
                </c:pt>
                <c:pt idx="11">
                  <c:v>20.5</c:v>
                </c:pt>
                <c:pt idx="12">
                  <c:v>32.1</c:v>
                </c:pt>
              </c:numCache>
            </c:numRef>
          </c:val>
          <c:extLst>
            <c:ext xmlns:c16="http://schemas.microsoft.com/office/drawing/2014/chart" uri="{C3380CC4-5D6E-409C-BE32-E72D297353CC}">
              <c16:uniqueId val="{00000002-077B-4F18-A684-874FA314069B}"/>
            </c:ext>
          </c:extLst>
        </c:ser>
        <c:dLbls>
          <c:showLegendKey val="0"/>
          <c:showVal val="0"/>
          <c:showCatName val="0"/>
          <c:showSerName val="0"/>
          <c:showPercent val="0"/>
          <c:showBubbleSize val="0"/>
        </c:dLbls>
        <c:gapWidth val="30"/>
        <c:overlap val="-27"/>
        <c:axId val="578836400"/>
        <c:axId val="578818160"/>
      </c:barChart>
      <c:catAx>
        <c:axId val="578836400"/>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578818160"/>
        <c:crosses val="autoZero"/>
        <c:auto val="1"/>
        <c:lblAlgn val="ctr"/>
        <c:lblOffset val="100"/>
        <c:noMultiLvlLbl val="0"/>
      </c:catAx>
      <c:valAx>
        <c:axId val="578818160"/>
        <c:scaling>
          <c:orientation val="minMax"/>
        </c:scaling>
        <c:delete val="0"/>
        <c:axPos val="l"/>
        <c:numFmt formatCode="0" sourceLinked="1"/>
        <c:majorTickMark val="out"/>
        <c:minorTickMark val="none"/>
        <c:tickLblPos val="none"/>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57883640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Snaps!$B$195</c:f>
              <c:strCache>
                <c:ptCount val="1"/>
                <c:pt idx="0">
                  <c:v>Reported EBITDA</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Snaps!$C$194:$J$194</c:f>
              <c:strCache>
                <c:ptCount val="8"/>
                <c:pt idx="0">
                  <c:v>1Q21</c:v>
                </c:pt>
                <c:pt idx="1">
                  <c:v>2Q21</c:v>
                </c:pt>
                <c:pt idx="2">
                  <c:v>3Q21</c:v>
                </c:pt>
                <c:pt idx="3">
                  <c:v>4Q21</c:v>
                </c:pt>
                <c:pt idx="4">
                  <c:v>1Q22</c:v>
                </c:pt>
                <c:pt idx="5">
                  <c:v>2Q22</c:v>
                </c:pt>
                <c:pt idx="6">
                  <c:v>3Q22</c:v>
                </c:pt>
                <c:pt idx="7">
                  <c:v>4Q22</c:v>
                </c:pt>
              </c:strCache>
            </c:strRef>
          </c:cat>
          <c:val>
            <c:numRef>
              <c:f>Snaps!$C$195:$J$195</c:f>
              <c:numCache>
                <c:formatCode>_-* #,##0_-;\-* #,##0_-;_-* "-"??_-;_-@_-</c:formatCode>
                <c:ptCount val="8"/>
                <c:pt idx="0">
                  <c:v>48.298000000000002</c:v>
                </c:pt>
                <c:pt idx="1">
                  <c:v>54.728999999999999</c:v>
                </c:pt>
                <c:pt idx="2">
                  <c:v>52.820000000000007</c:v>
                </c:pt>
                <c:pt idx="3">
                  <c:v>46.516000000000005</c:v>
                </c:pt>
                <c:pt idx="4">
                  <c:v>47.304000000000002</c:v>
                </c:pt>
                <c:pt idx="5">
                  <c:v>46.451999999999998</c:v>
                </c:pt>
                <c:pt idx="6">
                  <c:v>44.944999999999993</c:v>
                </c:pt>
                <c:pt idx="7">
                  <c:v>24.599000000000018</c:v>
                </c:pt>
              </c:numCache>
            </c:numRef>
          </c:val>
          <c:extLst>
            <c:ext xmlns:c16="http://schemas.microsoft.com/office/drawing/2014/chart" uri="{C3380CC4-5D6E-409C-BE32-E72D297353CC}">
              <c16:uniqueId val="{00000000-3963-4B18-876E-45CE944839BB}"/>
            </c:ext>
          </c:extLst>
        </c:ser>
        <c:ser>
          <c:idx val="1"/>
          <c:order val="1"/>
          <c:tx>
            <c:strRef>
              <c:f>Snaps!$B$196</c:f>
              <c:strCache>
                <c:ptCount val="1"/>
                <c:pt idx="0">
                  <c:v>Cash capex</c:v>
                </c:pt>
              </c:strCache>
            </c:strRef>
          </c:tx>
          <c:spPr>
            <a:solidFill>
              <a:srgbClr val="F9663E"/>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Snaps!$C$194:$J$194</c:f>
              <c:strCache>
                <c:ptCount val="8"/>
                <c:pt idx="0">
                  <c:v>1Q21</c:v>
                </c:pt>
                <c:pt idx="1">
                  <c:v>2Q21</c:v>
                </c:pt>
                <c:pt idx="2">
                  <c:v>3Q21</c:v>
                </c:pt>
                <c:pt idx="3">
                  <c:v>4Q21</c:v>
                </c:pt>
                <c:pt idx="4">
                  <c:v>1Q22</c:v>
                </c:pt>
                <c:pt idx="5">
                  <c:v>2Q22</c:v>
                </c:pt>
                <c:pt idx="6">
                  <c:v>3Q22</c:v>
                </c:pt>
                <c:pt idx="7">
                  <c:v>4Q22</c:v>
                </c:pt>
              </c:strCache>
            </c:strRef>
          </c:cat>
          <c:val>
            <c:numRef>
              <c:f>Snaps!$C$196:$J$196</c:f>
              <c:numCache>
                <c:formatCode>_-* #,##0_-;\-* #,##0_-;_-* "-"??_-;_-@_-</c:formatCode>
                <c:ptCount val="8"/>
                <c:pt idx="0">
                  <c:v>20.439</c:v>
                </c:pt>
                <c:pt idx="1">
                  <c:v>27.762999999999998</c:v>
                </c:pt>
                <c:pt idx="2">
                  <c:v>32.528000000000006</c:v>
                </c:pt>
                <c:pt idx="3">
                  <c:v>53.439000000000014</c:v>
                </c:pt>
                <c:pt idx="4">
                  <c:v>26.881</c:v>
                </c:pt>
                <c:pt idx="5">
                  <c:v>44.837999999999994</c:v>
                </c:pt>
                <c:pt idx="6">
                  <c:v>53.212000000000003</c:v>
                </c:pt>
                <c:pt idx="7">
                  <c:v>49.94</c:v>
                </c:pt>
              </c:numCache>
            </c:numRef>
          </c:val>
          <c:extLst>
            <c:ext xmlns:c16="http://schemas.microsoft.com/office/drawing/2014/chart" uri="{C3380CC4-5D6E-409C-BE32-E72D297353CC}">
              <c16:uniqueId val="{00000001-3963-4B18-876E-45CE944839BB}"/>
            </c:ext>
          </c:extLst>
        </c:ser>
        <c:ser>
          <c:idx val="2"/>
          <c:order val="2"/>
          <c:tx>
            <c:strRef>
              <c:f>Snaps!$B$197</c:f>
              <c:strCache>
                <c:ptCount val="1"/>
                <c:pt idx="0">
                  <c:v>Cash OpFCF</c:v>
                </c:pt>
              </c:strCache>
            </c:strRef>
          </c:tx>
          <c:spPr>
            <a:solidFill>
              <a:srgbClr val="C7FE0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Snaps!$C$194:$J$194</c:f>
              <c:strCache>
                <c:ptCount val="8"/>
                <c:pt idx="0">
                  <c:v>1Q21</c:v>
                </c:pt>
                <c:pt idx="1">
                  <c:v>2Q21</c:v>
                </c:pt>
                <c:pt idx="2">
                  <c:v>3Q21</c:v>
                </c:pt>
                <c:pt idx="3">
                  <c:v>4Q21</c:v>
                </c:pt>
                <c:pt idx="4">
                  <c:v>1Q22</c:v>
                </c:pt>
                <c:pt idx="5">
                  <c:v>2Q22</c:v>
                </c:pt>
                <c:pt idx="6">
                  <c:v>3Q22</c:v>
                </c:pt>
                <c:pt idx="7">
                  <c:v>4Q22</c:v>
                </c:pt>
              </c:strCache>
            </c:strRef>
          </c:cat>
          <c:val>
            <c:numRef>
              <c:f>Snaps!$C$197:$J$197</c:f>
              <c:numCache>
                <c:formatCode>_-* #,##0_-;\-* #,##0_-;_-* "-"??_-;_-@_-</c:formatCode>
                <c:ptCount val="8"/>
                <c:pt idx="0">
                  <c:v>27.859000000000002</c:v>
                </c:pt>
                <c:pt idx="1">
                  <c:v>26.966000000000001</c:v>
                </c:pt>
                <c:pt idx="2">
                  <c:v>20.292000000000002</c:v>
                </c:pt>
                <c:pt idx="3">
                  <c:v>-6.9230000000000089</c:v>
                </c:pt>
                <c:pt idx="4">
                  <c:v>20.423000000000002</c:v>
                </c:pt>
                <c:pt idx="5">
                  <c:v>1.6140000000000043</c:v>
                </c:pt>
                <c:pt idx="6">
                  <c:v>-8.2670000000000101</c:v>
                </c:pt>
                <c:pt idx="7">
                  <c:v>-25.34099999999998</c:v>
                </c:pt>
              </c:numCache>
            </c:numRef>
          </c:val>
          <c:extLst>
            <c:ext xmlns:c16="http://schemas.microsoft.com/office/drawing/2014/chart" uri="{C3380CC4-5D6E-409C-BE32-E72D297353CC}">
              <c16:uniqueId val="{00000002-3963-4B18-876E-45CE944839BB}"/>
            </c:ext>
          </c:extLst>
        </c:ser>
        <c:dLbls>
          <c:showLegendKey val="0"/>
          <c:showVal val="0"/>
          <c:showCatName val="0"/>
          <c:showSerName val="0"/>
          <c:showPercent val="0"/>
          <c:showBubbleSize val="0"/>
        </c:dLbls>
        <c:gapWidth val="30"/>
        <c:overlap val="-27"/>
        <c:axId val="578827280"/>
        <c:axId val="578821040"/>
      </c:barChart>
      <c:catAx>
        <c:axId val="578827280"/>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578821040"/>
        <c:crosses val="autoZero"/>
        <c:auto val="1"/>
        <c:lblAlgn val="ctr"/>
        <c:lblOffset val="100"/>
        <c:noMultiLvlLbl val="0"/>
      </c:catAx>
      <c:valAx>
        <c:axId val="578821040"/>
        <c:scaling>
          <c:orientation val="minMax"/>
        </c:scaling>
        <c:delete val="0"/>
        <c:axPos val="l"/>
        <c:numFmt formatCode="_-* #,##0_-;\-* #,##0_-;_-* &quot;-&quot;??_-;_-@_-" sourceLinked="1"/>
        <c:majorTickMark val="out"/>
        <c:minorTickMark val="none"/>
        <c:tickLblPos val="none"/>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57882728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Workings!$Z$34</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Workings!$AA$34:$AI$34</c:f>
              <c:numCache>
                <c:formatCode>0.0%</c:formatCode>
                <c:ptCount val="9"/>
                <c:pt idx="0">
                  <c:v>9.7920207170025808E-3</c:v>
                </c:pt>
                <c:pt idx="1">
                  <c:v>-1.8111876903350588E-3</c:v>
                </c:pt>
                <c:pt idx="2">
                  <c:v>-8.10893267177204E-4</c:v>
                </c:pt>
                <c:pt idx="3">
                  <c:v>9.851108450579682E-3</c:v>
                </c:pt>
                <c:pt idx="4">
                  <c:v>5.283301108379268E-3</c:v>
                </c:pt>
                <c:pt idx="5">
                  <c:v>6.2528197050886192E-3</c:v>
                </c:pt>
                <c:pt idx="6">
                  <c:v>1.5731556716194195E-3</c:v>
                </c:pt>
                <c:pt idx="7">
                  <c:v>1.5706847400123181E-3</c:v>
                </c:pt>
                <c:pt idx="8">
                  <c:v>1.568221558341687E-3</c:v>
                </c:pt>
              </c:numCache>
            </c:numRef>
          </c:val>
          <c:smooth val="0"/>
          <c:extLst>
            <c:ext xmlns:c16="http://schemas.microsoft.com/office/drawing/2014/chart" uri="{C3380CC4-5D6E-409C-BE32-E72D297353CC}">
              <c16:uniqueId val="{00000000-7107-4332-941C-97C711CD23EB}"/>
            </c:ext>
          </c:extLst>
        </c:ser>
        <c:ser>
          <c:idx val="1"/>
          <c:order val="1"/>
          <c:tx>
            <c:strRef>
              <c:f>Workings!$Z$35</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Workings!$AA$35:$AI$35</c:f>
              <c:numCache>
                <c:formatCode>0.0%</c:formatCode>
                <c:ptCount val="9"/>
                <c:pt idx="0">
                  <c:v>0</c:v>
                </c:pt>
                <c:pt idx="1">
                  <c:v>-6.5388966266066717E-6</c:v>
                </c:pt>
                <c:pt idx="2">
                  <c:v>6.5389393839598853E-6</c:v>
                </c:pt>
                <c:pt idx="3">
                  <c:v>0</c:v>
                </c:pt>
                <c:pt idx="4">
                  <c:v>-3.9298768725765099E-3</c:v>
                </c:pt>
                <c:pt idx="5">
                  <c:v>0</c:v>
                </c:pt>
                <c:pt idx="6">
                  <c:v>0</c:v>
                </c:pt>
                <c:pt idx="7">
                  <c:v>0</c:v>
                </c:pt>
                <c:pt idx="8">
                  <c:v>0</c:v>
                </c:pt>
              </c:numCache>
            </c:numRef>
          </c:val>
          <c:smooth val="0"/>
          <c:extLst>
            <c:ext xmlns:c16="http://schemas.microsoft.com/office/drawing/2014/chart" uri="{C3380CC4-5D6E-409C-BE32-E72D297353CC}">
              <c16:uniqueId val="{00000001-7107-4332-941C-97C711CD23EB}"/>
            </c:ext>
          </c:extLst>
        </c:ser>
        <c:ser>
          <c:idx val="2"/>
          <c:order val="2"/>
          <c:tx>
            <c:strRef>
              <c:f>Workings!$Z$36</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Workings!$AA$36:$AI$36</c:f>
              <c:numCache>
                <c:formatCode>0.0%</c:formatCode>
                <c:ptCount val="9"/>
                <c:pt idx="3">
                  <c:v>0</c:v>
                </c:pt>
                <c:pt idx="4">
                  <c:v>0</c:v>
                </c:pt>
                <c:pt idx="5">
                  <c:v>0</c:v>
                </c:pt>
                <c:pt idx="6">
                  <c:v>0</c:v>
                </c:pt>
                <c:pt idx="7">
                  <c:v>0</c:v>
                </c:pt>
                <c:pt idx="8">
                  <c:v>0</c:v>
                </c:pt>
              </c:numCache>
            </c:numRef>
          </c:val>
          <c:smooth val="0"/>
          <c:extLst>
            <c:ext xmlns:c16="http://schemas.microsoft.com/office/drawing/2014/chart" uri="{C3380CC4-5D6E-409C-BE32-E72D297353CC}">
              <c16:uniqueId val="{00000002-7107-4332-941C-97C711CD23EB}"/>
            </c:ext>
          </c:extLst>
        </c:ser>
        <c:dLbls>
          <c:showLegendKey val="0"/>
          <c:showVal val="0"/>
          <c:showCatName val="0"/>
          <c:showSerName val="0"/>
          <c:showPercent val="0"/>
          <c:showBubbleSize val="0"/>
        </c:dLbls>
        <c:smooth val="0"/>
        <c:axId val="243063808"/>
        <c:axId val="243069696"/>
      </c:lineChart>
      <c:catAx>
        <c:axId val="243063808"/>
        <c:scaling>
          <c:orientation val="minMax"/>
        </c:scaling>
        <c:delete val="0"/>
        <c:axPos val="b"/>
        <c:numFmt formatCode="General" sourceLinked="1"/>
        <c:majorTickMark val="out"/>
        <c:minorTickMark val="none"/>
        <c:tickLblPos val="low"/>
        <c:crossAx val="243069696"/>
        <c:crosses val="autoZero"/>
        <c:auto val="1"/>
        <c:lblAlgn val="ctr"/>
        <c:lblOffset val="100"/>
        <c:noMultiLvlLbl val="0"/>
      </c:catAx>
      <c:valAx>
        <c:axId val="243069696"/>
        <c:scaling>
          <c:orientation val="minMax"/>
        </c:scaling>
        <c:delete val="0"/>
        <c:axPos val="l"/>
        <c:majorGridlines>
          <c:spPr>
            <a:ln w="3175">
              <a:solidFill>
                <a:srgbClr val="C0C0C0"/>
              </a:solidFill>
              <a:prstDash val="solid"/>
            </a:ln>
          </c:spPr>
        </c:majorGridlines>
        <c:title>
          <c:tx>
            <c:strRef>
              <c:f>Workings!$Z$33</c:f>
              <c:strCache>
                <c:ptCount val="1"/>
                <c:pt idx="0">
                  <c:v>HP change</c:v>
                </c:pt>
              </c:strCache>
            </c:strRef>
          </c:tx>
          <c:overlay val="0"/>
          <c:txPr>
            <a:bodyPr rot="-5400000" vert="horz"/>
            <a:lstStyle/>
            <a:p>
              <a:pPr>
                <a:defRPr/>
              </a:pPr>
              <a:endParaRPr lang="en-US"/>
            </a:p>
          </c:txPr>
        </c:title>
        <c:numFmt formatCode="0.0%" sourceLinked="1"/>
        <c:majorTickMark val="out"/>
        <c:minorTickMark val="none"/>
        <c:tickLblPos val="nextTo"/>
        <c:crossAx val="243063808"/>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Snaps!$B$4</c:f>
              <c:strCache>
                <c:ptCount val="1"/>
                <c:pt idx="0">
                  <c:v>Internet RGU % of TV RGU</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Snaps!$C$3:$L$3</c:f>
              <c:strCache>
                <c:ptCount val="10"/>
                <c:pt idx="0">
                  <c:v>1Q21</c:v>
                </c:pt>
                <c:pt idx="1">
                  <c:v>2Q21</c:v>
                </c:pt>
                <c:pt idx="2">
                  <c:v>3Q21</c:v>
                </c:pt>
                <c:pt idx="3">
                  <c:v>4Q21</c:v>
                </c:pt>
                <c:pt idx="4">
                  <c:v>1Q22</c:v>
                </c:pt>
                <c:pt idx="5">
                  <c:v>2Q22</c:v>
                </c:pt>
                <c:pt idx="6">
                  <c:v>3Q22</c:v>
                </c:pt>
                <c:pt idx="7">
                  <c:v>4Q22</c:v>
                </c:pt>
                <c:pt idx="8">
                  <c:v>1Q23</c:v>
                </c:pt>
                <c:pt idx="9">
                  <c:v>2Q23</c:v>
                </c:pt>
              </c:strCache>
            </c:strRef>
          </c:cat>
          <c:val>
            <c:numRef>
              <c:f>Snaps!$C$4:$L$4</c:f>
              <c:numCache>
                <c:formatCode>0.0%</c:formatCode>
                <c:ptCount val="10"/>
                <c:pt idx="0">
                  <c:v>0.28718959123373156</c:v>
                </c:pt>
                <c:pt idx="1">
                  <c:v>0.29301844232035318</c:v>
                </c:pt>
                <c:pt idx="2">
                  <c:v>0.29822029822029822</c:v>
                </c:pt>
                <c:pt idx="3">
                  <c:v>0.30924287118977384</c:v>
                </c:pt>
                <c:pt idx="4">
                  <c:v>0.31476877175534562</c:v>
                </c:pt>
                <c:pt idx="5">
                  <c:v>0.32112393376818865</c:v>
                </c:pt>
                <c:pt idx="6">
                  <c:v>0.33264675592173015</c:v>
                </c:pt>
                <c:pt idx="7">
                  <c:v>0.34647739221871715</c:v>
                </c:pt>
                <c:pt idx="8">
                  <c:v>0.35260115606936415</c:v>
                </c:pt>
                <c:pt idx="9">
                  <c:v>0.36364410796962254</c:v>
                </c:pt>
              </c:numCache>
            </c:numRef>
          </c:val>
          <c:smooth val="0"/>
          <c:extLst>
            <c:ext xmlns:c16="http://schemas.microsoft.com/office/drawing/2014/chart" uri="{C3380CC4-5D6E-409C-BE32-E72D297353CC}">
              <c16:uniqueId val="{00000000-6095-4EFC-BD82-86D4466FCDAA}"/>
            </c:ext>
          </c:extLst>
        </c:ser>
        <c:dLbls>
          <c:showLegendKey val="0"/>
          <c:showVal val="0"/>
          <c:showCatName val="0"/>
          <c:showSerName val="0"/>
          <c:showPercent val="0"/>
          <c:showBubbleSize val="0"/>
        </c:dLbls>
        <c:smooth val="0"/>
        <c:axId val="640045424"/>
        <c:axId val="640045904"/>
      </c:lineChart>
      <c:catAx>
        <c:axId val="640045424"/>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640045904"/>
        <c:crosses val="autoZero"/>
        <c:auto val="1"/>
        <c:lblAlgn val="ctr"/>
        <c:lblOffset val="100"/>
        <c:noMultiLvlLbl val="0"/>
      </c:catAx>
      <c:valAx>
        <c:axId val="640045904"/>
        <c:scaling>
          <c:orientation val="minMax"/>
        </c:scaling>
        <c:delete val="0"/>
        <c:axPos val="l"/>
        <c:numFmt formatCode="0.0%"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64004542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Snaps!$B$28</c:f>
              <c:strCache>
                <c:ptCount val="1"/>
                <c:pt idx="0">
                  <c:v>CATV </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Snaps!$C$27:$Q$27</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Snaps!$C$28:$Q$28</c:f>
              <c:numCache>
                <c:formatCode>_-* #,##0_-;\-* #,##0_-;_-* "-"??_-;_-@_-</c:formatCode>
                <c:ptCount val="15"/>
                <c:pt idx="0">
                  <c:v>-14.188999999999851</c:v>
                </c:pt>
                <c:pt idx="1">
                  <c:v>-22.384000000000015</c:v>
                </c:pt>
                <c:pt idx="2">
                  <c:v>-21.663000000000011</c:v>
                </c:pt>
                <c:pt idx="3">
                  <c:v>-45</c:v>
                </c:pt>
                <c:pt idx="4">
                  <c:v>-23</c:v>
                </c:pt>
                <c:pt idx="5">
                  <c:v>-18</c:v>
                </c:pt>
                <c:pt idx="6">
                  <c:v>-7</c:v>
                </c:pt>
                <c:pt idx="7">
                  <c:v>-23</c:v>
                </c:pt>
                <c:pt idx="8">
                  <c:v>1</c:v>
                </c:pt>
                <c:pt idx="9">
                  <c:v>-24.768000000000029</c:v>
                </c:pt>
                <c:pt idx="10">
                  <c:v>-6.9300000000000637</c:v>
                </c:pt>
                <c:pt idx="11">
                  <c:v>-81.760999999999967</c:v>
                </c:pt>
                <c:pt idx="12">
                  <c:v>-2</c:v>
                </c:pt>
                <c:pt idx="13">
                  <c:v>-682</c:v>
                </c:pt>
                <c:pt idx="14">
                  <c:v>10</c:v>
                </c:pt>
              </c:numCache>
            </c:numRef>
          </c:val>
          <c:extLst>
            <c:ext xmlns:c16="http://schemas.microsoft.com/office/drawing/2014/chart" uri="{C3380CC4-5D6E-409C-BE32-E72D297353CC}">
              <c16:uniqueId val="{00000000-FD2D-4F40-8646-1063212E6BED}"/>
            </c:ext>
          </c:extLst>
        </c:ser>
        <c:ser>
          <c:idx val="1"/>
          <c:order val="1"/>
          <c:tx>
            <c:strRef>
              <c:f>Snaps!$B$29</c:f>
              <c:strCache>
                <c:ptCount val="1"/>
                <c:pt idx="0">
                  <c:v>Premium TV</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cat>
            <c:strRef>
              <c:f>Snaps!$C$27:$Q$27</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Snaps!$C$29:$Q$29</c:f>
              <c:numCache>
                <c:formatCode>_-* #,##0_-;\-* #,##0_-;_-* "-"??_-;_-@_-</c:formatCode>
                <c:ptCount val="15"/>
                <c:pt idx="0">
                  <c:v>3.8290002000001095</c:v>
                </c:pt>
                <c:pt idx="1">
                  <c:v>-0.67099999999993543</c:v>
                </c:pt>
                <c:pt idx="2">
                  <c:v>-0.8060005000000956</c:v>
                </c:pt>
                <c:pt idx="3">
                  <c:v>-4</c:v>
                </c:pt>
                <c:pt idx="4">
                  <c:v>-41</c:v>
                </c:pt>
                <c:pt idx="5">
                  <c:v>-5</c:v>
                </c:pt>
                <c:pt idx="6">
                  <c:v>-2</c:v>
                </c:pt>
                <c:pt idx="7">
                  <c:v>5</c:v>
                </c:pt>
                <c:pt idx="8">
                  <c:v>4</c:v>
                </c:pt>
                <c:pt idx="9">
                  <c:v>-2.9710006000000249</c:v>
                </c:pt>
                <c:pt idx="10">
                  <c:v>0.90600040000003901</c:v>
                </c:pt>
                <c:pt idx="11">
                  <c:v>7.7349998999999912</c:v>
                </c:pt>
                <c:pt idx="12">
                  <c:v>12</c:v>
                </c:pt>
                <c:pt idx="13">
                  <c:v>-25</c:v>
                </c:pt>
                <c:pt idx="14">
                  <c:v>12</c:v>
                </c:pt>
              </c:numCache>
            </c:numRef>
          </c:val>
          <c:extLst>
            <c:ext xmlns:c16="http://schemas.microsoft.com/office/drawing/2014/chart" uri="{C3380CC4-5D6E-409C-BE32-E72D297353CC}">
              <c16:uniqueId val="{00000001-FD2D-4F40-8646-1063212E6BED}"/>
            </c:ext>
          </c:extLst>
        </c:ser>
        <c:dLbls>
          <c:showLegendKey val="0"/>
          <c:showVal val="0"/>
          <c:showCatName val="0"/>
          <c:showSerName val="0"/>
          <c:showPercent val="0"/>
          <c:showBubbleSize val="0"/>
        </c:dLbls>
        <c:gapWidth val="100"/>
        <c:axId val="469890208"/>
        <c:axId val="469895968"/>
      </c:barChart>
      <c:catAx>
        <c:axId val="469890208"/>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95968"/>
        <c:crosses val="autoZero"/>
        <c:auto val="1"/>
        <c:lblAlgn val="ctr"/>
        <c:lblOffset val="100"/>
        <c:noMultiLvlLbl val="0"/>
      </c:catAx>
      <c:valAx>
        <c:axId val="469895968"/>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r>
                  <a:rPr lang="en-GB"/>
                  <a:t>Net adds (k)</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title>
        <c:numFmt formatCode="_-* #,##0_-;\-* #,##0_-;_-* &quot;-&quot;??_-;_-@_-"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9020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Snaps!$B$30</c:f>
              <c:strCache>
                <c:ptCount val="1"/>
                <c:pt idx="0">
                  <c:v>Internet</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Snaps!$C$27:$Q$27</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Snaps!$C$30:$Q$30</c:f>
              <c:numCache>
                <c:formatCode>_-* #,##0_-;\-* #,##0_-;_-* "-"??_-;_-@_-</c:formatCode>
                <c:ptCount val="15"/>
                <c:pt idx="0">
                  <c:v>8.0660000000000309</c:v>
                </c:pt>
                <c:pt idx="1">
                  <c:v>5.8160000000000309</c:v>
                </c:pt>
                <c:pt idx="2">
                  <c:v>4.4669998999999052</c:v>
                </c:pt>
                <c:pt idx="3">
                  <c:v>9</c:v>
                </c:pt>
                <c:pt idx="4">
                  <c:v>4</c:v>
                </c:pt>
                <c:pt idx="5">
                  <c:v>7</c:v>
                </c:pt>
                <c:pt idx="6">
                  <c:v>6</c:v>
                </c:pt>
                <c:pt idx="7">
                  <c:v>13</c:v>
                </c:pt>
                <c:pt idx="8">
                  <c:v>12</c:v>
                </c:pt>
                <c:pt idx="9">
                  <c:v>12.008000200000083</c:v>
                </c:pt>
                <c:pt idx="10">
                  <c:v>10.038999999999874</c:v>
                </c:pt>
                <c:pt idx="11">
                  <c:v>25.15400000000011</c:v>
                </c:pt>
                <c:pt idx="12">
                  <c:v>14.732000000000085</c:v>
                </c:pt>
                <c:pt idx="13">
                  <c:v>-26.732000000000085</c:v>
                </c:pt>
                <c:pt idx="14">
                  <c:v>22</c:v>
                </c:pt>
              </c:numCache>
            </c:numRef>
          </c:val>
          <c:extLst>
            <c:ext xmlns:c16="http://schemas.microsoft.com/office/drawing/2014/chart" uri="{C3380CC4-5D6E-409C-BE32-E72D297353CC}">
              <c16:uniqueId val="{00000000-D123-4DAF-B9E0-657CCE678C6D}"/>
            </c:ext>
          </c:extLst>
        </c:ser>
        <c:dLbls>
          <c:showLegendKey val="0"/>
          <c:showVal val="0"/>
          <c:showCatName val="0"/>
          <c:showSerName val="0"/>
          <c:showPercent val="0"/>
          <c:showBubbleSize val="0"/>
        </c:dLbls>
        <c:gapWidth val="100"/>
        <c:axId val="469890208"/>
        <c:axId val="469895968"/>
      </c:barChart>
      <c:catAx>
        <c:axId val="469890208"/>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95968"/>
        <c:crosses val="autoZero"/>
        <c:auto val="1"/>
        <c:lblAlgn val="ctr"/>
        <c:lblOffset val="100"/>
        <c:noMultiLvlLbl val="0"/>
      </c:catAx>
      <c:valAx>
        <c:axId val="469895968"/>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r>
                  <a:rPr lang="en-GB"/>
                  <a:t>Net adds (k)</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title>
        <c:numFmt formatCode="_-* #,##0_-;\-* #,##0_-;_-* &quot;-&quot;??_-;_-@_-"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9020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Snaps!$B$248</c:f>
              <c:strCache>
                <c:ptCount val="1"/>
                <c:pt idx="0">
                  <c:v>Internet</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Snaps!$K$247:$Q$247</c:f>
              <c:strCache>
                <c:ptCount val="7"/>
                <c:pt idx="0">
                  <c:v>1Q23</c:v>
                </c:pt>
                <c:pt idx="1">
                  <c:v>2Q23</c:v>
                </c:pt>
                <c:pt idx="2">
                  <c:v>3Q23</c:v>
                </c:pt>
                <c:pt idx="3">
                  <c:v>4Q23</c:v>
                </c:pt>
                <c:pt idx="4">
                  <c:v>1Q24</c:v>
                </c:pt>
                <c:pt idx="5">
                  <c:v>2Q24</c:v>
                </c:pt>
                <c:pt idx="6">
                  <c:v>3Q24</c:v>
                </c:pt>
              </c:strCache>
            </c:strRef>
          </c:cat>
          <c:val>
            <c:numRef>
              <c:f>Snaps!$K$248:$Q$248</c:f>
              <c:numCache>
                <c:formatCode>\€#,##0</c:formatCode>
                <c:ptCount val="7"/>
                <c:pt idx="0">
                  <c:v>227.98643910129434</c:v>
                </c:pt>
                <c:pt idx="1">
                  <c:v>225.68644002198548</c:v>
                </c:pt>
                <c:pt idx="2">
                  <c:v>219.84037368887567</c:v>
                </c:pt>
                <c:pt idx="3">
                  <c:v>239.14370487385943</c:v>
                </c:pt>
                <c:pt idx="4">
                  <c:v>224.2734382168409</c:v>
                </c:pt>
                <c:pt idx="5">
                  <c:v>306.80122808037908</c:v>
                </c:pt>
                <c:pt idx="6">
                  <c:v>244</c:v>
                </c:pt>
              </c:numCache>
            </c:numRef>
          </c:val>
          <c:extLst>
            <c:ext xmlns:c16="http://schemas.microsoft.com/office/drawing/2014/chart" uri="{C3380CC4-5D6E-409C-BE32-E72D297353CC}">
              <c16:uniqueId val="{00000000-A83B-4689-B413-CF6A03DDDFDE}"/>
            </c:ext>
          </c:extLst>
        </c:ser>
        <c:dLbls>
          <c:showLegendKey val="0"/>
          <c:showVal val="0"/>
          <c:showCatName val="0"/>
          <c:showSerName val="0"/>
          <c:showPercent val="0"/>
          <c:showBubbleSize val="0"/>
        </c:dLbls>
        <c:gapWidth val="30"/>
        <c:overlap val="-27"/>
        <c:axId val="1140448096"/>
        <c:axId val="1140446656"/>
      </c:barChart>
      <c:catAx>
        <c:axId val="1140448096"/>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1140446656"/>
        <c:crosses val="autoZero"/>
        <c:auto val="1"/>
        <c:lblAlgn val="ctr"/>
        <c:lblOffset val="100"/>
        <c:noMultiLvlLbl val="0"/>
      </c:catAx>
      <c:valAx>
        <c:axId val="1140446656"/>
        <c:scaling>
          <c:orientation val="minMax"/>
        </c:scaling>
        <c:delete val="0"/>
        <c:axPos val="l"/>
        <c:title>
          <c:tx>
            <c:strRef>
              <c:f>Snaps!$B$247</c:f>
              <c:strCache>
                <c:ptCount val="1"/>
                <c:pt idx="0">
                  <c:v>SAC (commissions and marketing)</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title>
        <c:numFmt formatCode="\€#,##0" sourceLinked="1"/>
        <c:majorTickMark val="out"/>
        <c:minorTickMark val="none"/>
        <c:tickLblPos val="nextTo"/>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114044809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Snaps!$B$36</c:f>
              <c:strCache>
                <c:ptCount val="1"/>
                <c:pt idx="0">
                  <c:v>Internet individual</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Snaps!$C$27:$Q$27</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Snaps!$C$36:$Q$36</c:f>
              <c:numCache>
                <c:formatCode>_-* #,##0_-;\-* #,##0_-;_-* "-"??_-;_-@_-</c:formatCode>
                <c:ptCount val="15"/>
                <c:pt idx="0">
                  <c:v>8.0660000000000309</c:v>
                </c:pt>
                <c:pt idx="1">
                  <c:v>5.8810000000000286</c:v>
                </c:pt>
                <c:pt idx="2">
                  <c:v>4.4689997999999065</c:v>
                </c:pt>
                <c:pt idx="3">
                  <c:v>9.2090001000000115</c:v>
                </c:pt>
                <c:pt idx="4">
                  <c:v>3.9940000999999938</c:v>
                </c:pt>
                <c:pt idx="5">
                  <c:v>7.0960000000000036</c:v>
                </c:pt>
                <c:pt idx="6">
                  <c:v>5.9470000000000027</c:v>
                </c:pt>
                <c:pt idx="7">
                  <c:v>13.315999899999994</c:v>
                </c:pt>
                <c:pt idx="8">
                  <c:v>12.077999900000009</c:v>
                </c:pt>
                <c:pt idx="9">
                  <c:v>11.887000200000088</c:v>
                </c:pt>
                <c:pt idx="10">
                  <c:v>10.176999999999865</c:v>
                </c:pt>
                <c:pt idx="11">
                  <c:v>25.40400000000011</c:v>
                </c:pt>
                <c:pt idx="12">
                  <c:v>14.789999900000083</c:v>
                </c:pt>
                <c:pt idx="13">
                  <c:v>19.068000299999916</c:v>
                </c:pt>
                <c:pt idx="14">
                  <c:v>22.119999999999997</c:v>
                </c:pt>
              </c:numCache>
            </c:numRef>
          </c:val>
          <c:extLst>
            <c:ext xmlns:c16="http://schemas.microsoft.com/office/drawing/2014/chart" uri="{C3380CC4-5D6E-409C-BE32-E72D297353CC}">
              <c16:uniqueId val="{00000000-9877-411F-8451-7C6C31087ED0}"/>
            </c:ext>
          </c:extLst>
        </c:ser>
        <c:dLbls>
          <c:showLegendKey val="0"/>
          <c:showVal val="0"/>
          <c:showCatName val="0"/>
          <c:showSerName val="0"/>
          <c:showPercent val="0"/>
          <c:showBubbleSize val="0"/>
        </c:dLbls>
        <c:gapWidth val="30"/>
        <c:overlap val="100"/>
        <c:axId val="469890208"/>
        <c:axId val="469895968"/>
      </c:barChart>
      <c:lineChart>
        <c:grouping val="standard"/>
        <c:varyColors val="0"/>
        <c:ser>
          <c:idx val="2"/>
          <c:order val="1"/>
          <c:tx>
            <c:strRef>
              <c:f>Snaps!$B$38</c:f>
              <c:strCache>
                <c:ptCount val="1"/>
                <c:pt idx="0">
                  <c:v>Internet individual YoY</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Snaps!$C$27:$Q$27</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Snaps!$C$38:$Q$38</c:f>
              <c:numCache>
                <c:formatCode>0%</c:formatCode>
                <c:ptCount val="15"/>
                <c:pt idx="0">
                  <c:v>5.1543685552587037E-2</c:v>
                </c:pt>
                <c:pt idx="1">
                  <c:v>5.4444227156328573E-2</c:v>
                </c:pt>
                <c:pt idx="2">
                  <c:v>4.752004102621199E-2</c:v>
                </c:pt>
                <c:pt idx="3">
                  <c:v>5.5402736564782007E-2</c:v>
                </c:pt>
                <c:pt idx="4">
                  <c:v>4.5059481099894105E-2</c:v>
                </c:pt>
                <c:pt idx="5">
                  <c:v>4.6823836763070448E-2</c:v>
                </c:pt>
                <c:pt idx="6">
                  <c:v>4.933586337760909E-2</c:v>
                </c:pt>
                <c:pt idx="7">
                  <c:v>5.5970149253731449E-2</c:v>
                </c:pt>
                <c:pt idx="8">
                  <c:v>7.0370370370370416E-2</c:v>
                </c:pt>
                <c:pt idx="9">
                  <c:v>7.862522888482637E-2</c:v>
                </c:pt>
                <c:pt idx="10">
                  <c:v>8.5075949728752098E-2</c:v>
                </c:pt>
                <c:pt idx="11">
                  <c:v>0.10459540671378109</c:v>
                </c:pt>
                <c:pt idx="12">
                  <c:v>0.10680276816609013</c:v>
                </c:pt>
                <c:pt idx="13">
                  <c:v>0.11693400729585557</c:v>
                </c:pt>
                <c:pt idx="14">
                  <c:v>0.13491109825233338</c:v>
                </c:pt>
              </c:numCache>
            </c:numRef>
          </c:val>
          <c:smooth val="0"/>
          <c:extLst>
            <c:ext xmlns:c16="http://schemas.microsoft.com/office/drawing/2014/chart" uri="{C3380CC4-5D6E-409C-BE32-E72D297353CC}">
              <c16:uniqueId val="{00000000-98F3-4634-82E2-8A4E4B3BFD31}"/>
            </c:ext>
          </c:extLst>
        </c:ser>
        <c:dLbls>
          <c:showLegendKey val="0"/>
          <c:showVal val="0"/>
          <c:showCatName val="0"/>
          <c:showSerName val="0"/>
          <c:showPercent val="0"/>
          <c:showBubbleSize val="0"/>
        </c:dLbls>
        <c:marker val="1"/>
        <c:smooth val="0"/>
        <c:axId val="1857787440"/>
        <c:axId val="1857763920"/>
      </c:lineChart>
      <c:catAx>
        <c:axId val="469890208"/>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95968"/>
        <c:crosses val="autoZero"/>
        <c:auto val="1"/>
        <c:lblAlgn val="ctr"/>
        <c:lblOffset val="100"/>
        <c:noMultiLvlLbl val="0"/>
      </c:catAx>
      <c:valAx>
        <c:axId val="469895968"/>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r>
                  <a:rPr lang="en-GB"/>
                  <a:t>Net adds (k)</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title>
        <c:numFmt formatCode="_-* #,##0_-;\-* #,##0_-;_-* &quot;-&quot;??_-;_-@_-"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90208"/>
        <c:crosses val="autoZero"/>
        <c:crossBetween val="between"/>
      </c:valAx>
      <c:valAx>
        <c:axId val="1857763920"/>
        <c:scaling>
          <c:orientation val="minMax"/>
          <c:max val="0.2"/>
          <c:min val="-0.38000000000000006"/>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bg1"/>
                </a:solidFill>
                <a:latin typeface="Roboto"/>
                <a:ea typeface="Roboto"/>
                <a:cs typeface="Roboto"/>
              </a:defRPr>
            </a:pPr>
            <a:endParaRPr lang="en-US"/>
          </a:p>
        </c:txPr>
        <c:crossAx val="1857787440"/>
        <c:crosses val="max"/>
        <c:crossBetween val="between"/>
      </c:valAx>
      <c:catAx>
        <c:axId val="1857787440"/>
        <c:scaling>
          <c:orientation val="minMax"/>
        </c:scaling>
        <c:delete val="1"/>
        <c:axPos val="b"/>
        <c:numFmt formatCode="General" sourceLinked="1"/>
        <c:majorTickMark val="out"/>
        <c:minorTickMark val="none"/>
        <c:tickLblPos val="nextTo"/>
        <c:crossAx val="1857763920"/>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28575">
              <a:noFill/>
            </a:ln>
          </c:spPr>
          <c:dPt>
            <c:idx val="0"/>
            <c:marker>
              <c:spPr>
                <a:solidFill>
                  <a:schemeClr val="accent2"/>
                </a:solidFill>
              </c:spPr>
            </c:marker>
            <c:bubble3D val="0"/>
            <c:extLst>
              <c:ext xmlns:c16="http://schemas.microsoft.com/office/drawing/2014/chart" uri="{C3380CC4-5D6E-409C-BE32-E72D297353CC}">
                <c16:uniqueId val="{00000000-5B18-4BE4-9DB6-B07C83A2EA86}"/>
              </c:ext>
            </c:extLst>
          </c:dPt>
          <c:dLbls>
            <c:dLbl>
              <c:idx val="0"/>
              <c:tx>
                <c:strRef>
                  <c:f>MultsComp!$A$125</c:f>
                  <c:strCache>
                    <c:ptCount val="1"/>
                    <c:pt idx="0">
                      <c:v>TCOL MID</c:v>
                    </c:pt>
                  </c:strCache>
                </c:strRef>
              </c:tx>
              <c:spPr/>
              <c:txPr>
                <a:bodyPr/>
                <a:lstStyle/>
                <a:p>
                  <a:pPr>
                    <a:defRPr b="0" i="1" baseline="0"/>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{BCB7E7A4-6213-4086-BD17-9138CE2C2325}</c15:txfldGUID>
                      <c15:f>MultsComp!$A$125</c15:f>
                      <c15:dlblFieldTableCache>
                        <c:ptCount val="1"/>
                        <c:pt idx="0">
                          <c:v>TCOL MID</c:v>
                        </c:pt>
                      </c15:dlblFieldTableCache>
                    </c15:dlblFTEntry>
                  </c15:dlblFieldTable>
                  <c15:showDataLabelsRange val="0"/>
                </c:ext>
                <c:ext xmlns:c16="http://schemas.microsoft.com/office/drawing/2014/chart" uri="{C3380CC4-5D6E-409C-BE32-E72D297353CC}">
                  <c16:uniqueId val="{00000000-5B18-4BE4-9DB6-B07C83A2EA86}"/>
                </c:ext>
              </c:extLst>
            </c:dLbl>
            <c:dLbl>
              <c:idx val="1"/>
              <c:tx>
                <c:strRef>
                  <c:f>MultsComp!$A$126</c:f>
                  <c:strCache>
                    <c:ptCount val="1"/>
                    <c:pt idx="0">
                      <c:v>DT</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{12749AF3-FB7A-4299-9891-C99A60B188EA}</c15:txfldGUID>
                      <c15:f>MultsComp!$A$126</c15:f>
                      <c15:dlblFieldTableCache>
                        <c:ptCount val="1"/>
                        <c:pt idx="0">
                          <c:v>DT</c:v>
                        </c:pt>
                      </c15:dlblFieldTableCache>
                    </c15:dlblFTEntry>
                  </c15:dlblFieldTable>
                  <c15:showDataLabelsRange val="0"/>
                </c:ext>
                <c:ext xmlns:c16="http://schemas.microsoft.com/office/drawing/2014/chart" uri="{C3380CC4-5D6E-409C-BE32-E72D297353CC}">
                  <c16:uniqueId val="{00000001-5B18-4BE4-9DB6-B07C83A2EA86}"/>
                </c:ext>
              </c:extLst>
            </c:dLbl>
            <c:dLbl>
              <c:idx val="2"/>
              <c:tx>
                <c:strRef>
                  <c:f>MultsComp!$A$127</c:f>
                  <c:strCache>
                    <c:ptCount val="1"/>
                    <c:pt idx="0">
                      <c:v>TEFD</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{2AB66C85-4522-4A44-AC68-E1AAAE87F2CC}</c15:txfldGUID>
                      <c15:f>MultsComp!$A$127</c15:f>
                      <c15:dlblFieldTableCache>
                        <c:ptCount val="1"/>
                        <c:pt idx="0">
                          <c:v>TEFD</c:v>
                        </c:pt>
                      </c15:dlblFieldTableCache>
                    </c15:dlblFTEntry>
                  </c15:dlblFieldTable>
                  <c15:showDataLabelsRange val="0"/>
                </c:ext>
                <c:ext xmlns:c16="http://schemas.microsoft.com/office/drawing/2014/chart" uri="{C3380CC4-5D6E-409C-BE32-E72D297353CC}">
                  <c16:uniqueId val="{00000002-5B18-4BE4-9DB6-B07C83A2EA86}"/>
                </c:ext>
              </c:extLst>
            </c:dLbl>
            <c:dLbl>
              <c:idx val="3"/>
              <c:tx>
                <c:strRef>
                  <c:f>MultsComp!$A$128</c:f>
                  <c:strCache>
                    <c:ptCount val="1"/>
                    <c:pt idx="0">
                      <c:v>ComH</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{0F1B7308-E5BF-4BB1-9897-C559D84AD593}</c15:txfldGUID>
                      <c15:f>MultsComp!$A$128</c15:f>
                      <c15:dlblFieldTableCache>
                        <c:ptCount val="1"/>
                        <c:pt idx="0">
                          <c:v>ComH</c:v>
                        </c:pt>
                      </c15:dlblFieldTableCache>
                    </c15:dlblFTEntry>
                  </c15:dlblFieldTable>
                  <c15:showDataLabelsRange val="0"/>
                </c:ext>
                <c:ext xmlns:c16="http://schemas.microsoft.com/office/drawing/2014/chart" uri="{C3380CC4-5D6E-409C-BE32-E72D297353CC}">
                  <c16:uniqueId val="{00000003-5B18-4BE4-9DB6-B07C83A2EA86}"/>
                </c:ext>
              </c:extLst>
            </c:dLbl>
            <c:dLbl>
              <c:idx val="4"/>
              <c:tx>
                <c:strRef>
                  <c:f>MultsComp!$A$129</c:f>
                  <c:strCache>
                    <c:ptCount val="1"/>
                    <c:pt idx="0">
                      <c:v>KDG</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{4B2837B6-A35B-451F-8294-D257233D3056}</c15:txfldGUID>
                      <c15:f>MultsComp!$A$129</c15:f>
                      <c15:dlblFieldTableCache>
                        <c:ptCount val="1"/>
                        <c:pt idx="0">
                          <c:v>KDG</c:v>
                        </c:pt>
                      </c15:dlblFieldTableCache>
                    </c15:dlblFTEntry>
                  </c15:dlblFieldTable>
                  <c15:showDataLabelsRange val="0"/>
                </c:ext>
                <c:ext xmlns:c16="http://schemas.microsoft.com/office/drawing/2014/chart" uri="{C3380CC4-5D6E-409C-BE32-E72D297353CC}">
                  <c16:uniqueId val="{00000004-5B18-4BE4-9DB6-B07C83A2EA86}"/>
                </c:ext>
              </c:extLst>
            </c:dLbl>
            <c:dLbl>
              <c:idx val="5"/>
              <c:tx>
                <c:strRef>
                  <c:f>MultsComp!$A$130</c:f>
                  <c:strCache>
                    <c:ptCount val="1"/>
                    <c:pt idx="0">
                      <c:v>LBTY</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{F1AF0F25-8DF7-4C34-9DAC-D3535BBBF28F}</c15:txfldGUID>
                      <c15:f>MultsComp!$A$130</c15:f>
                      <c15:dlblFieldTableCache>
                        <c:ptCount val="1"/>
                        <c:pt idx="0">
                          <c:v>LBTY</c:v>
                        </c:pt>
                      </c15:dlblFieldTableCache>
                    </c15:dlblFTEntry>
                  </c15:dlblFieldTable>
                  <c15:showDataLabelsRange val="0"/>
                </c:ext>
                <c:ext xmlns:c16="http://schemas.microsoft.com/office/drawing/2014/chart" uri="{C3380CC4-5D6E-409C-BE32-E72D297353CC}">
                  <c16:uniqueId val="{00000005-5B18-4BE4-9DB6-B07C83A2EA86}"/>
                </c:ext>
              </c:extLst>
            </c:dLbl>
            <c:dLbl>
              <c:idx val="6"/>
              <c:tx>
                <c:strRef>
                  <c:f>MultsComp!$A$131</c:f>
                  <c:strCache>
                    <c:ptCount val="1"/>
                    <c:pt idx="0">
                      <c:v>NUM</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{58DE2E5F-CA8A-47C5-BF38-8CDF8B68C2EC}</c15:txfldGUID>
                      <c15:f>MultsComp!$A$131</c15:f>
                      <c15:dlblFieldTableCache>
                        <c:ptCount val="1"/>
                        <c:pt idx="0">
                          <c:v>NUM</c:v>
                        </c:pt>
                      </c15:dlblFieldTableCache>
                    </c15:dlblFTEntry>
                  </c15:dlblFieldTable>
                  <c15:showDataLabelsRange val="0"/>
                </c:ext>
                <c:ext xmlns:c16="http://schemas.microsoft.com/office/drawing/2014/chart" uri="{C3380CC4-5D6E-409C-BE32-E72D297353CC}">
                  <c16:uniqueId val="{00000006-5B18-4BE4-9DB6-B07C83A2EA86}"/>
                </c:ext>
              </c:extLst>
            </c:dLbl>
            <c:dLbl>
              <c:idx val="7"/>
              <c:tx>
                <c:strRef>
                  <c:f>MultsComp!$A$132</c:f>
                  <c:strCache>
                    <c:ptCount val="1"/>
                    <c:pt idx="0">
                      <c:v>TNET</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{766B5A76-F451-4C78-9FD8-FFC5AEA7D922}</c15:txfldGUID>
                      <c15:f>MultsComp!$A$132</c15:f>
                      <c15:dlblFieldTableCache>
                        <c:ptCount val="1"/>
                        <c:pt idx="0">
                          <c:v>TNET</c:v>
                        </c:pt>
                      </c15:dlblFieldTableCache>
                    </c15:dlblFTEntry>
                  </c15:dlblFieldTable>
                  <c15:showDataLabelsRange val="0"/>
                </c:ext>
                <c:ext xmlns:c16="http://schemas.microsoft.com/office/drawing/2014/chart" uri="{C3380CC4-5D6E-409C-BE32-E72D297353CC}">
                  <c16:uniqueId val="{00000007-5B18-4BE4-9DB6-B07C83A2EA86}"/>
                </c:ext>
              </c:extLst>
            </c:dLbl>
            <c:dLbl>
              <c:idx val="8"/>
              <c:tx>
                <c:strRef>
                  <c:f>MultsComp!$A$133</c:f>
                  <c:strCache>
                    <c:ptCount val="1"/>
                    <c:pt idx="0">
                      <c:v>ZIGGO</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{7391467D-4B85-4E06-97B8-05BFF0D1E477}</c15:txfldGUID>
                      <c15:f>MultsComp!$A$133</c15:f>
                      <c15:dlblFieldTableCache>
                        <c:ptCount val="1"/>
                        <c:pt idx="0">
                          <c:v>ZIGGO</c:v>
                        </c:pt>
                      </c15:dlblFieldTableCache>
                    </c15:dlblFTEntry>
                  </c15:dlblFieldTable>
                  <c15:showDataLabelsRange val="0"/>
                </c:ext>
                <c:ext xmlns:c16="http://schemas.microsoft.com/office/drawing/2014/chart" uri="{C3380CC4-5D6E-409C-BE32-E72D297353CC}">
                  <c16:uniqueId val="{00000008-5B18-4BE4-9DB6-B07C83A2EA86}"/>
                </c:ext>
              </c:extLst>
            </c:dLbl>
            <c:dLbl>
              <c:idx val="9"/>
              <c:layout>
                <c:manualLayout>
                  <c:x val="-9.1324200913241727E-3"/>
                  <c:y val="0.04"/>
                </c:manualLayout>
              </c:layout>
              <c:tx>
                <c:strRef>
                  <c:f>MultsComp!$A$134</c:f>
                  <c:strCache>
                    <c:ptCount val="1"/>
                    <c:pt idx="0">
                      <c:v>NOS</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{EF1273B6-8856-4256-A1BF-B1711D0B7339}</c15:txfldGUID>
                      <c15:f>MultsComp!$A$134</c15:f>
                      <c15:dlblFieldTableCache>
                        <c:ptCount val="1"/>
                        <c:pt idx="0">
                          <c:v>NOS</c:v>
                        </c:pt>
                      </c15:dlblFieldTableCache>
                    </c15:dlblFTEntry>
                  </c15:dlblFieldTable>
                  <c15:showDataLabelsRange val="0"/>
                </c:ext>
                <c:ext xmlns:c16="http://schemas.microsoft.com/office/drawing/2014/chart" uri="{C3380CC4-5D6E-409C-BE32-E72D297353CC}">
                  <c16:uniqueId val="{00000009-5B18-4BE4-9DB6-B07C83A2EA86}"/>
                </c:ext>
              </c:extLst>
            </c:dLbl>
            <c:dLbl>
              <c:idx val="10"/>
              <c:layout>
                <c:manualLayout>
                  <c:x val="-2.4353120243531201E-2"/>
                  <c:y val="0.05"/>
                </c:manualLayout>
              </c:layout>
              <c:tx>
                <c:strRef>
                  <c:f>MultsComp!$A$135</c:f>
                  <c:strCache>
                    <c:ptCount val="1"/>
                    <c:pt idx="0">
                      <c:v>W Eur Incum.</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{D58F80B8-B5FD-4465-8654-D795CBA5C454}</c15:txfldGUID>
                      <c15:f>MultsComp!$A$135</c15:f>
                      <c15:dlblFieldTableCache>
                        <c:ptCount val="1"/>
                        <c:pt idx="0">
                          <c:v>W Eur Incum.</c:v>
                        </c:pt>
                      </c15:dlblFieldTableCache>
                    </c15:dlblFTEntry>
                  </c15:dlblFieldTable>
                  <c15:showDataLabelsRange val="0"/>
                </c:ext>
                <c:ext xmlns:c16="http://schemas.microsoft.com/office/drawing/2014/chart" uri="{C3380CC4-5D6E-409C-BE32-E72D297353CC}">
                  <c16:uniqueId val="{0000000A-5B18-4BE4-9DB6-B07C83A2EA86}"/>
                </c:ext>
              </c:extLst>
            </c:dLbl>
            <c:dLbl>
              <c:idx val="11"/>
              <c:layout>
                <c:manualLayout>
                  <c:x val="-5.1750380517503802E-2"/>
                  <c:y val="-5.5000000000000049E-2"/>
                </c:manualLayout>
              </c:layout>
              <c:tx>
                <c:strRef>
                  <c:f>MultsComp!$A$136</c:f>
                  <c:strCache>
                    <c:ptCount val="1"/>
                    <c:pt idx="0">
                      <c:v>US CATV</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{8CE13441-0011-4B3F-A2BE-C8A0DFE3AE4D}</c15:txfldGUID>
                      <c15:f>MultsComp!$A$136</c15:f>
                      <c15:dlblFieldTableCache>
                        <c:ptCount val="1"/>
                        <c:pt idx="0">
                          <c:v>US CATV</c:v>
                        </c:pt>
                      </c15:dlblFieldTableCache>
                    </c15:dlblFTEntry>
                  </c15:dlblFieldTable>
                  <c15:showDataLabelsRange val="0"/>
                </c:ext>
                <c:ext xmlns:c16="http://schemas.microsoft.com/office/drawing/2014/chart" uri="{C3380CC4-5D6E-409C-BE32-E72D297353CC}">
                  <c16:uniqueId val="{0000000B-5B18-4BE4-9DB6-B07C83A2EA8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MultsComp!$B$125:$B$136</c:f>
              <c:numCache>
                <c:formatCode>0.0</c:formatCode>
                <c:ptCount val="12"/>
                <c:pt idx="0">
                  <c:v>3.9049819088930726</c:v>
                </c:pt>
                <c:pt idx="1">
                  <c:v>6.6610670612758511</c:v>
                </c:pt>
                <c:pt idx="2">
                  <c:v>9.6363789620070417</c:v>
                </c:pt>
                <c:pt idx="3">
                  <c:v>9.4554594443168494</c:v>
                </c:pt>
                <c:pt idx="4">
                  <c:v>9.0032554251336343</c:v>
                </c:pt>
                <c:pt idx="5">
                  <c:v>9.007358852106945</c:v>
                </c:pt>
                <c:pt idx="6">
                  <c:v>9.6035048526844271</c:v>
                </c:pt>
                <c:pt idx="7">
                  <c:v>7.2500986439881707</c:v>
                </c:pt>
                <c:pt idx="8">
                  <c:v>0</c:v>
                </c:pt>
                <c:pt idx="9">
                  <c:v>0</c:v>
                </c:pt>
                <c:pt idx="10">
                  <c:v>6.7647921002061357</c:v>
                </c:pt>
                <c:pt idx="11">
                  <c:v>7.7818146277104727</c:v>
                </c:pt>
              </c:numCache>
            </c:numRef>
          </c:xVal>
          <c:yVal>
            <c:numRef>
              <c:f>MultsComp!$C$125:$C$136</c:f>
              <c:numCache>
                <c:formatCode>0%</c:formatCode>
                <c:ptCount val="12"/>
                <c:pt idx="0">
                  <c:v>0.41606675189834874</c:v>
                </c:pt>
                <c:pt idx="1">
                  <c:v>6.9313597512240532E-2</c:v>
                </c:pt>
                <c:pt idx="2">
                  <c:v>0.19467095656949995</c:v>
                </c:pt>
                <c:pt idx="3">
                  <c:v>5.9362193894482163E-2</c:v>
                </c:pt>
                <c:pt idx="4">
                  <c:v>2.5428490617417365E-2</c:v>
                </c:pt>
                <c:pt idx="5">
                  <c:v>4.9127094997548415E-2</c:v>
                </c:pt>
                <c:pt idx="6">
                  <c:v>3.499181228310011E-2</c:v>
                </c:pt>
                <c:pt idx="7">
                  <c:v>5.3155768155796146E-2</c:v>
                </c:pt>
                <c:pt idx="8">
                  <c:v>0</c:v>
                </c:pt>
                <c:pt idx="9">
                  <c:v>0</c:v>
                </c:pt>
                <c:pt idx="10">
                  <c:v>1.3079348127107648E-2</c:v>
                </c:pt>
                <c:pt idx="11">
                  <c:v>5.9654081016333516E-2</c:v>
                </c:pt>
              </c:numCache>
            </c:numRef>
          </c:yVal>
          <c:smooth val="1"/>
          <c:extLst>
            <c:ext xmlns:c16="http://schemas.microsoft.com/office/drawing/2014/chart" uri="{C3380CC4-5D6E-409C-BE32-E72D297353CC}">
              <c16:uniqueId val="{0000000C-5B18-4BE4-9DB6-B07C83A2EA86}"/>
            </c:ext>
          </c:extLst>
        </c:ser>
        <c:dLbls>
          <c:showLegendKey val="0"/>
          <c:showVal val="0"/>
          <c:showCatName val="0"/>
          <c:showSerName val="0"/>
          <c:showPercent val="0"/>
          <c:showBubbleSize val="0"/>
        </c:dLbls>
        <c:axId val="238952448"/>
        <c:axId val="238953984"/>
      </c:scatterChart>
      <c:valAx>
        <c:axId val="238952448"/>
        <c:scaling>
          <c:orientation val="minMax"/>
          <c:min val="5"/>
        </c:scaling>
        <c:delete val="0"/>
        <c:axPos val="b"/>
        <c:numFmt formatCode="0.0" sourceLinked="1"/>
        <c:majorTickMark val="out"/>
        <c:minorTickMark val="none"/>
        <c:tickLblPos val="low"/>
        <c:crossAx val="238953984"/>
        <c:crosses val="autoZero"/>
        <c:crossBetween val="midCat"/>
      </c:valAx>
      <c:valAx>
        <c:axId val="238953984"/>
        <c:scaling>
          <c:orientation val="minMax"/>
        </c:scaling>
        <c:delete val="0"/>
        <c:axPos val="l"/>
        <c:numFmt formatCode="0%" sourceLinked="1"/>
        <c:majorTickMark val="out"/>
        <c:minorTickMark val="none"/>
        <c:tickLblPos val="nextTo"/>
        <c:crossAx val="238952448"/>
        <c:crosses val="autoZero"/>
        <c:crossBetween val="midCat"/>
      </c:valAx>
      <c:spPr>
        <a:ln>
          <a:noFill/>
        </a:ln>
      </c:spPr>
    </c:plotArea>
    <c:plotVisOnly val="1"/>
    <c:dispBlanksAs val="gap"/>
    <c:showDLblsOverMax val="0"/>
  </c:chart>
  <c:spPr>
    <a:ln>
      <a:noFill/>
    </a:ln>
  </c:spPr>
  <c:txPr>
    <a:bodyPr/>
    <a:lstStyle/>
    <a:p>
      <a:pPr>
        <a:defRPr>
          <a:latin typeface="Trebuchet MS" panose="020B0603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28575">
              <a:noFill/>
            </a:ln>
          </c:spPr>
          <c:dPt>
            <c:idx val="0"/>
            <c:marker>
              <c:spPr>
                <a:solidFill>
                  <a:schemeClr val="accent2"/>
                </a:solidFill>
              </c:spPr>
            </c:marker>
            <c:bubble3D val="0"/>
            <c:extLst>
              <c:ext xmlns:c16="http://schemas.microsoft.com/office/drawing/2014/chart" uri="{C3380CC4-5D6E-409C-BE32-E72D297353CC}">
                <c16:uniqueId val="{00000000-496C-41B7-90AD-D877D7FCCF89}"/>
              </c:ext>
            </c:extLst>
          </c:dPt>
          <c:dLbls>
            <c:dLbl>
              <c:idx val="0"/>
              <c:tx>
                <c:strRef>
                  <c:f>MultsComp!$A$125</c:f>
                  <c:strCache>
                    <c:ptCount val="1"/>
                    <c:pt idx="0">
                      <c:v>TCOL MID</c:v>
                    </c:pt>
                  </c:strCache>
                </c:strRef>
              </c:tx>
              <c:spPr/>
              <c:txPr>
                <a:bodyPr/>
                <a:lstStyle/>
                <a:p>
                  <a:pPr>
                    <a:defRPr b="0" i="1" baseline="0"/>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{BF199F24-7DB8-473D-A48D-3F81E2067450}</c15:txfldGUID>
                      <c15:f>MultsComp!$A$125</c15:f>
                      <c15:dlblFieldTableCache>
                        <c:ptCount val="1"/>
                        <c:pt idx="0">
                          <c:v>TCOL MID</c:v>
                        </c:pt>
                      </c15:dlblFieldTableCache>
                    </c15:dlblFTEntry>
                  </c15:dlblFieldTable>
                  <c15:showDataLabelsRange val="0"/>
                </c:ext>
                <c:ext xmlns:c16="http://schemas.microsoft.com/office/drawing/2014/chart" uri="{C3380CC4-5D6E-409C-BE32-E72D297353CC}">
                  <c16:uniqueId val="{00000000-496C-41B7-90AD-D877D7FCCF89}"/>
                </c:ext>
              </c:extLst>
            </c:dLbl>
            <c:dLbl>
              <c:idx val="1"/>
              <c:layout>
                <c:manualLayout>
                  <c:x val="-1.5273003126997066E-2"/>
                  <c:y val="-1.4589662860079389E-2"/>
                </c:manualLayout>
              </c:layout>
              <c:tx>
                <c:strRef>
                  <c:f>MultsComp!$A$126</c:f>
                  <c:strCache>
                    <c:ptCount val="1"/>
                    <c:pt idx="0">
                      <c:v>DT</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{EB177B33-18CF-4B31-BCE3-38EE15EC4A5D}</c15:txfldGUID>
                      <c15:f>MultsComp!$A$126</c15:f>
                      <c15:dlblFieldTableCache>
                        <c:ptCount val="1"/>
                        <c:pt idx="0">
                          <c:v>DT</c:v>
                        </c:pt>
                      </c15:dlblFieldTableCache>
                    </c15:dlblFTEntry>
                  </c15:dlblFieldTable>
                  <c15:showDataLabelsRange val="0"/>
                </c:ext>
                <c:ext xmlns:c16="http://schemas.microsoft.com/office/drawing/2014/chart" uri="{C3380CC4-5D6E-409C-BE32-E72D297353CC}">
                  <c16:uniqueId val="{00000001-496C-41B7-90AD-D877D7FCCF89}"/>
                </c:ext>
              </c:extLst>
            </c:dLbl>
            <c:dLbl>
              <c:idx val="2"/>
              <c:tx>
                <c:strRef>
                  <c:f>MultsComp!$A$127</c:f>
                  <c:strCache>
                    <c:ptCount val="1"/>
                    <c:pt idx="0">
                      <c:v>TEFD</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{270181AF-6885-4CB2-AFB8-78A9D183CD05}</c15:txfldGUID>
                      <c15:f>MultsComp!$A$127</c15:f>
                      <c15:dlblFieldTableCache>
                        <c:ptCount val="1"/>
                        <c:pt idx="0">
                          <c:v>TEFD</c:v>
                        </c:pt>
                      </c15:dlblFieldTableCache>
                    </c15:dlblFTEntry>
                  </c15:dlblFieldTable>
                  <c15:showDataLabelsRange val="0"/>
                </c:ext>
                <c:ext xmlns:c16="http://schemas.microsoft.com/office/drawing/2014/chart" uri="{C3380CC4-5D6E-409C-BE32-E72D297353CC}">
                  <c16:uniqueId val="{00000002-496C-41B7-90AD-D877D7FCCF89}"/>
                </c:ext>
              </c:extLst>
            </c:dLbl>
            <c:dLbl>
              <c:idx val="3"/>
              <c:layout>
                <c:manualLayout>
                  <c:x val="0"/>
                  <c:y val="-1.4589662860079435E-2"/>
                </c:manualLayout>
              </c:layout>
              <c:tx>
                <c:strRef>
                  <c:f>MultsComp!$A$128</c:f>
                  <c:strCache>
                    <c:ptCount val="1"/>
                    <c:pt idx="0">
                      <c:v>ComH</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{9399CA9F-54D9-42CB-982C-1ADBF5B25ADB}</c15:txfldGUID>
                      <c15:f>MultsComp!$A$128</c15:f>
                      <c15:dlblFieldTableCache>
                        <c:ptCount val="1"/>
                        <c:pt idx="0">
                          <c:v>ComH</c:v>
                        </c:pt>
                      </c15:dlblFieldTableCache>
                    </c15:dlblFTEntry>
                  </c15:dlblFieldTable>
                  <c15:showDataLabelsRange val="0"/>
                </c:ext>
                <c:ext xmlns:c16="http://schemas.microsoft.com/office/drawing/2014/chart" uri="{C3380CC4-5D6E-409C-BE32-E72D297353CC}">
                  <c16:uniqueId val="{00000003-496C-41B7-90AD-D877D7FCCF89}"/>
                </c:ext>
              </c:extLst>
            </c:dLbl>
            <c:dLbl>
              <c:idx val="4"/>
              <c:tx>
                <c:strRef>
                  <c:f>MultsComp!$A$129</c:f>
                  <c:strCache>
                    <c:ptCount val="1"/>
                    <c:pt idx="0">
                      <c:v>KDG</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{9724D453-DCA8-4DC8-975C-32AAB258F92A}</c15:txfldGUID>
                      <c15:f>MultsComp!$A$129</c15:f>
                      <c15:dlblFieldTableCache>
                        <c:ptCount val="1"/>
                        <c:pt idx="0">
                          <c:v>KDG</c:v>
                        </c:pt>
                      </c15:dlblFieldTableCache>
                    </c15:dlblFTEntry>
                  </c15:dlblFieldTable>
                  <c15:showDataLabelsRange val="0"/>
                </c:ext>
                <c:ext xmlns:c16="http://schemas.microsoft.com/office/drawing/2014/chart" uri="{C3380CC4-5D6E-409C-BE32-E72D297353CC}">
                  <c16:uniqueId val="{00000004-496C-41B7-90AD-D877D7FCCF89}"/>
                </c:ext>
              </c:extLst>
            </c:dLbl>
            <c:dLbl>
              <c:idx val="5"/>
              <c:tx>
                <c:strRef>
                  <c:f>MultsComp!$A$130</c:f>
                  <c:strCache>
                    <c:ptCount val="1"/>
                    <c:pt idx="0">
                      <c:v>LBTY</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{F5663D0C-0370-4CF6-8F94-D37714FE0B6D}</c15:txfldGUID>
                      <c15:f>MultsComp!$A$130</c15:f>
                      <c15:dlblFieldTableCache>
                        <c:ptCount val="1"/>
                        <c:pt idx="0">
                          <c:v>LBTY</c:v>
                        </c:pt>
                      </c15:dlblFieldTableCache>
                    </c15:dlblFTEntry>
                  </c15:dlblFieldTable>
                  <c15:showDataLabelsRange val="0"/>
                </c:ext>
                <c:ext xmlns:c16="http://schemas.microsoft.com/office/drawing/2014/chart" uri="{C3380CC4-5D6E-409C-BE32-E72D297353CC}">
                  <c16:uniqueId val="{00000005-496C-41B7-90AD-D877D7FCCF89}"/>
                </c:ext>
              </c:extLst>
            </c:dLbl>
            <c:dLbl>
              <c:idx val="6"/>
              <c:layout>
                <c:manualLayout>
                  <c:x val="-9.1324200913242004E-3"/>
                  <c:y val="-2.5000000000000012E-2"/>
                </c:manualLayout>
              </c:layout>
              <c:tx>
                <c:strRef>
                  <c:f>MultsComp!$A$131</c:f>
                  <c:strCache>
                    <c:ptCount val="1"/>
                    <c:pt idx="0">
                      <c:v>NUM</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{84DB3D96-B6A3-4DBF-9127-61BA1D6139AA}</c15:txfldGUID>
                      <c15:f>MultsComp!$A$131</c15:f>
                      <c15:dlblFieldTableCache>
                        <c:ptCount val="1"/>
                        <c:pt idx="0">
                          <c:v>NUM</c:v>
                        </c:pt>
                      </c15:dlblFieldTableCache>
                    </c15:dlblFTEntry>
                  </c15:dlblFieldTable>
                  <c15:showDataLabelsRange val="0"/>
                </c:ext>
                <c:ext xmlns:c16="http://schemas.microsoft.com/office/drawing/2014/chart" uri="{C3380CC4-5D6E-409C-BE32-E72D297353CC}">
                  <c16:uniqueId val="{00000006-496C-41B7-90AD-D877D7FCCF89}"/>
                </c:ext>
              </c:extLst>
            </c:dLbl>
            <c:dLbl>
              <c:idx val="7"/>
              <c:layout>
                <c:manualLayout>
                  <c:x val="-1.5273003126997066E-2"/>
                  <c:y val="-4.8632209533598009E-2"/>
                </c:manualLayout>
              </c:layout>
              <c:tx>
                <c:strRef>
                  <c:f>MultsComp!$A$132</c:f>
                  <c:strCache>
                    <c:ptCount val="1"/>
                    <c:pt idx="0">
                      <c:v>TNET</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{6B442D40-6328-4F42-9E7D-063BF32C7E1A}</c15:txfldGUID>
                      <c15:f>MultsComp!$A$132</c15:f>
                      <c15:dlblFieldTableCache>
                        <c:ptCount val="1"/>
                        <c:pt idx="0">
                          <c:v>TNET</c:v>
                        </c:pt>
                      </c15:dlblFieldTableCache>
                    </c15:dlblFTEntry>
                  </c15:dlblFieldTable>
                  <c15:showDataLabelsRange val="0"/>
                </c:ext>
                <c:ext xmlns:c16="http://schemas.microsoft.com/office/drawing/2014/chart" uri="{C3380CC4-5D6E-409C-BE32-E72D297353CC}">
                  <c16:uniqueId val="{00000007-496C-41B7-90AD-D877D7FCCF89}"/>
                </c:ext>
              </c:extLst>
            </c:dLbl>
            <c:dLbl>
              <c:idx val="8"/>
              <c:tx>
                <c:strRef>
                  <c:f>MultsComp!$A$133</c:f>
                  <c:strCache>
                    <c:ptCount val="1"/>
                    <c:pt idx="0">
                      <c:v>ZIGGO</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{659B56CA-4BCA-4A31-9838-C196EA9E8F0D}</c15:txfldGUID>
                      <c15:f>MultsComp!$A$133</c15:f>
                      <c15:dlblFieldTableCache>
                        <c:ptCount val="1"/>
                        <c:pt idx="0">
                          <c:v>ZIGGO</c:v>
                        </c:pt>
                      </c15:dlblFieldTableCache>
                    </c15:dlblFTEntry>
                  </c15:dlblFieldTable>
                  <c15:showDataLabelsRange val="0"/>
                </c:ext>
                <c:ext xmlns:c16="http://schemas.microsoft.com/office/drawing/2014/chart" uri="{C3380CC4-5D6E-409C-BE32-E72D297353CC}">
                  <c16:uniqueId val="{00000008-496C-41B7-90AD-D877D7FCCF89}"/>
                </c:ext>
              </c:extLst>
            </c:dLbl>
            <c:dLbl>
              <c:idx val="9"/>
              <c:layout>
                <c:manualLayout>
                  <c:x val="-3.9678540564735527E-2"/>
                  <c:y val="0.10808527715381334"/>
                </c:manualLayout>
              </c:layout>
              <c:tx>
                <c:strRef>
                  <c:f>MultsComp!$A$134</c:f>
                  <c:strCache>
                    <c:ptCount val="1"/>
                    <c:pt idx="0">
                      <c:v>NOS</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{BE7DD34A-04C3-46C5-A97D-F987FDD9B33D}</c15:txfldGUID>
                      <c15:f>MultsComp!$A$134</c15:f>
                      <c15:dlblFieldTableCache>
                        <c:ptCount val="1"/>
                        <c:pt idx="0">
                          <c:v>NOS</c:v>
                        </c:pt>
                      </c15:dlblFieldTableCache>
                    </c15:dlblFTEntry>
                  </c15:dlblFieldTable>
                  <c15:showDataLabelsRange val="0"/>
                </c:ext>
                <c:ext xmlns:c16="http://schemas.microsoft.com/office/drawing/2014/chart" uri="{C3380CC4-5D6E-409C-BE32-E72D297353CC}">
                  <c16:uniqueId val="{00000009-496C-41B7-90AD-D877D7FCCF89}"/>
                </c:ext>
              </c:extLst>
            </c:dLbl>
            <c:dLbl>
              <c:idx val="10"/>
              <c:layout>
                <c:manualLayout>
                  <c:x val="-0.1097041775632128"/>
                  <c:y val="-7.9589482882611043E-2"/>
                </c:manualLayout>
              </c:layout>
              <c:tx>
                <c:strRef>
                  <c:f>MultsComp!$A$135</c:f>
                  <c:strCache>
                    <c:ptCount val="1"/>
                    <c:pt idx="0">
                      <c:v>W Eur Incum.</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{AA8D5503-E6B5-42DA-926F-5640A7DE9397}</c15:txfldGUID>
                      <c15:f>MultsComp!$A$135</c15:f>
                      <c15:dlblFieldTableCache>
                        <c:ptCount val="1"/>
                        <c:pt idx="0">
                          <c:v>W Eur Incum.</c:v>
                        </c:pt>
                      </c15:dlblFieldTableCache>
                    </c15:dlblFTEntry>
                  </c15:dlblFieldTable>
                  <c15:showDataLabelsRange val="0"/>
                </c:ext>
                <c:ext xmlns:c16="http://schemas.microsoft.com/office/drawing/2014/chart" uri="{C3380CC4-5D6E-409C-BE32-E72D297353CC}">
                  <c16:uniqueId val="{0000000A-496C-41B7-90AD-D877D7FCCF89}"/>
                </c:ext>
              </c:extLst>
            </c:dLbl>
            <c:dLbl>
              <c:idx val="11"/>
              <c:layout>
                <c:manualLayout>
                  <c:x val="-0.14356622939377239"/>
                  <c:y val="-4.3768988580238165E-2"/>
                </c:manualLayout>
              </c:layout>
              <c:tx>
                <c:strRef>
                  <c:f>MultsComp!$A$136</c:f>
                  <c:strCache>
                    <c:ptCount val="1"/>
                    <c:pt idx="0">
                      <c:v>US CATV</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{CE23F7A3-0D0A-4040-A324-176EF9584DC0}</c15:txfldGUID>
                      <c15:f>MultsComp!$A$136</c15:f>
                      <c15:dlblFieldTableCache>
                        <c:ptCount val="1"/>
                        <c:pt idx="0">
                          <c:v>US CATV</c:v>
                        </c:pt>
                      </c15:dlblFieldTableCache>
                    </c15:dlblFTEntry>
                  </c15:dlblFieldTable>
                  <c15:showDataLabelsRange val="0"/>
                </c:ext>
                <c:ext xmlns:c16="http://schemas.microsoft.com/office/drawing/2014/chart" uri="{C3380CC4-5D6E-409C-BE32-E72D297353CC}">
                  <c16:uniqueId val="{0000000B-496C-41B7-90AD-D877D7FCCF8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MultsComp!$D$125:$D$136</c:f>
              <c:numCache>
                <c:formatCode>0</c:formatCode>
                <c:ptCount val="12"/>
                <c:pt idx="0">
                  <c:v>9.4031520242112485</c:v>
                </c:pt>
                <c:pt idx="1">
                  <c:v>13.898581195559803</c:v>
                </c:pt>
                <c:pt idx="2">
                  <c:v>25.952490649922634</c:v>
                </c:pt>
                <c:pt idx="3">
                  <c:v>17.887583538740568</c:v>
                </c:pt>
                <c:pt idx="4">
                  <c:v>16.876700896292949</c:v>
                </c:pt>
                <c:pt idx="5">
                  <c:v>16.63718407137107</c:v>
                </c:pt>
                <c:pt idx="6">
                  <c:v>15.280042314455635</c:v>
                </c:pt>
                <c:pt idx="7">
                  <c:v>18.336152679657364</c:v>
                </c:pt>
                <c:pt idx="8">
                  <c:v>0</c:v>
                </c:pt>
                <c:pt idx="9">
                  <c:v>0</c:v>
                </c:pt>
                <c:pt idx="10">
                  <c:v>12.855874014429762</c:v>
                </c:pt>
                <c:pt idx="11">
                  <c:v>12.760170875193285</c:v>
                </c:pt>
              </c:numCache>
            </c:numRef>
          </c:xVal>
          <c:yVal>
            <c:numRef>
              <c:f>MultsComp!$E$125:$E$136</c:f>
              <c:numCache>
                <c:formatCode>0%</c:formatCode>
                <c:ptCount val="12"/>
                <c:pt idx="0">
                  <c:v>0.42677791711644586</c:v>
                </c:pt>
                <c:pt idx="1">
                  <c:v>0.10777343578992116</c:v>
                </c:pt>
                <c:pt idx="2">
                  <c:v>0.41083942024070597</c:v>
                </c:pt>
                <c:pt idx="3">
                  <c:v>0.19660972640363461</c:v>
                </c:pt>
                <c:pt idx="4">
                  <c:v>5.7507710396432321E-2</c:v>
                </c:pt>
                <c:pt idx="5">
                  <c:v>7.9136202913069997E-2</c:v>
                </c:pt>
                <c:pt idx="6">
                  <c:v>5.7330510402978208E-2</c:v>
                </c:pt>
                <c:pt idx="7">
                  <c:v>0.27998480482972377</c:v>
                </c:pt>
                <c:pt idx="8">
                  <c:v>0</c:v>
                </c:pt>
                <c:pt idx="9">
                  <c:v>0</c:v>
                </c:pt>
                <c:pt idx="10">
                  <c:v>3.2179669703899405E-2</c:v>
                </c:pt>
                <c:pt idx="11">
                  <c:v>9.0433032238274702E-2</c:v>
                </c:pt>
              </c:numCache>
            </c:numRef>
          </c:yVal>
          <c:smooth val="1"/>
          <c:extLst>
            <c:ext xmlns:c16="http://schemas.microsoft.com/office/drawing/2014/chart" uri="{C3380CC4-5D6E-409C-BE32-E72D297353CC}">
              <c16:uniqueId val="{0000000C-496C-41B7-90AD-D877D7FCCF89}"/>
            </c:ext>
          </c:extLst>
        </c:ser>
        <c:dLbls>
          <c:showLegendKey val="0"/>
          <c:showVal val="0"/>
          <c:showCatName val="0"/>
          <c:showSerName val="0"/>
          <c:showPercent val="0"/>
          <c:showBubbleSize val="0"/>
        </c:dLbls>
        <c:axId val="239009152"/>
        <c:axId val="242685056"/>
      </c:scatterChart>
      <c:valAx>
        <c:axId val="239009152"/>
        <c:scaling>
          <c:orientation val="minMax"/>
          <c:min val="5"/>
        </c:scaling>
        <c:delete val="0"/>
        <c:axPos val="b"/>
        <c:numFmt formatCode="0" sourceLinked="1"/>
        <c:majorTickMark val="out"/>
        <c:minorTickMark val="none"/>
        <c:tickLblPos val="low"/>
        <c:crossAx val="242685056"/>
        <c:crosses val="autoZero"/>
        <c:crossBetween val="midCat"/>
      </c:valAx>
      <c:valAx>
        <c:axId val="242685056"/>
        <c:scaling>
          <c:orientation val="minMax"/>
        </c:scaling>
        <c:delete val="0"/>
        <c:axPos val="l"/>
        <c:numFmt formatCode="0%" sourceLinked="1"/>
        <c:majorTickMark val="out"/>
        <c:minorTickMark val="none"/>
        <c:tickLblPos val="nextTo"/>
        <c:crossAx val="239009152"/>
        <c:crosses val="autoZero"/>
        <c:crossBetween val="midCat"/>
      </c:valAx>
      <c:spPr>
        <a:ln>
          <a:noFill/>
        </a:ln>
      </c:spPr>
    </c:plotArea>
    <c:plotVisOnly val="1"/>
    <c:dispBlanksAs val="gap"/>
    <c:showDLblsOverMax val="0"/>
  </c:chart>
  <c:spPr>
    <a:ln>
      <a:noFill/>
    </a:ln>
  </c:spPr>
  <c:txPr>
    <a:bodyPr/>
    <a:lstStyle/>
    <a:p>
      <a:pPr>
        <a:defRPr>
          <a:latin typeface="Trebuchet MS" panose="020B0603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'Model Old'!$A$36</c:f>
              <c:strCache>
                <c:ptCount val="1"/>
                <c:pt idx="0">
                  <c:v>TV</c:v>
                </c:pt>
              </c:strCache>
            </c:strRef>
          </c:tx>
          <c:spPr>
            <a:solidFill>
              <a:srgbClr val="000080"/>
            </a:solidFill>
            <a:ln w="25400">
              <a:noFill/>
            </a:ln>
          </c:spPr>
          <c:invertIfNegative val="0"/>
          <c:cat>
            <c:strRef>
              <c:f>'Model Old'!$B$34:$O$34</c:f>
              <c:strCache>
                <c:ptCount val="14"/>
                <c:pt idx="0">
                  <c:v>2011A</c:v>
                </c:pt>
                <c:pt idx="1">
                  <c:v>2012A</c:v>
                </c:pt>
                <c:pt idx="2">
                  <c:v>2013A</c:v>
                </c:pt>
                <c:pt idx="3">
                  <c:v>2014A</c:v>
                </c:pt>
                <c:pt idx="4">
                  <c:v>2015E</c:v>
                </c:pt>
                <c:pt idx="12">
                  <c:v>2016E</c:v>
                </c:pt>
                <c:pt idx="13">
                  <c:v>2017E</c:v>
                </c:pt>
              </c:strCache>
            </c:strRef>
          </c:cat>
          <c:val>
            <c:numRef>
              <c:f>'Model Old'!$B$36:$O$36</c:f>
              <c:numCache>
                <c:formatCode>#,##0.0_);\(#,##0.0\);#,##0.0_);@_)</c:formatCode>
                <c:ptCount val="14"/>
                <c:pt idx="0">
                  <c:v>159.80000000000001</c:v>
                </c:pt>
                <c:pt idx="1">
                  <c:v>151.9</c:v>
                </c:pt>
                <c:pt idx="2">
                  <c:v>145</c:v>
                </c:pt>
                <c:pt idx="3">
                  <c:v>142.5</c:v>
                </c:pt>
                <c:pt idx="4">
                  <c:v>143.94501383067166</c:v>
                </c:pt>
                <c:pt idx="12">
                  <c:v>321.01087069046878</c:v>
                </c:pt>
                <c:pt idx="13">
                  <c:v>336.43496455200301</c:v>
                </c:pt>
              </c:numCache>
            </c:numRef>
          </c:val>
          <c:extLst>
            <c:ext xmlns:c16="http://schemas.microsoft.com/office/drawing/2014/chart" uri="{C3380CC4-5D6E-409C-BE32-E72D297353CC}">
              <c16:uniqueId val="{00000000-B13E-4F39-8BD7-2BEBAA326BF5}"/>
            </c:ext>
          </c:extLst>
        </c:ser>
        <c:ser>
          <c:idx val="1"/>
          <c:order val="1"/>
          <c:tx>
            <c:strRef>
              <c:f>'Model Old'!$A$37</c:f>
              <c:strCache>
                <c:ptCount val="1"/>
                <c:pt idx="0">
                  <c:v>Internet &amp; Telephony</c:v>
                </c:pt>
              </c:strCache>
            </c:strRef>
          </c:tx>
          <c:spPr>
            <a:solidFill>
              <a:srgbClr val="9999FF"/>
            </a:solidFill>
            <a:ln w="25400">
              <a:noFill/>
            </a:ln>
          </c:spPr>
          <c:invertIfNegative val="0"/>
          <c:cat>
            <c:strRef>
              <c:f>'Model Old'!$B$34:$O$34</c:f>
              <c:strCache>
                <c:ptCount val="14"/>
                <c:pt idx="0">
                  <c:v>2011A</c:v>
                </c:pt>
                <c:pt idx="1">
                  <c:v>2012A</c:v>
                </c:pt>
                <c:pt idx="2">
                  <c:v>2013A</c:v>
                </c:pt>
                <c:pt idx="3">
                  <c:v>2014A</c:v>
                </c:pt>
                <c:pt idx="4">
                  <c:v>2015E</c:v>
                </c:pt>
                <c:pt idx="12">
                  <c:v>2016E</c:v>
                </c:pt>
                <c:pt idx="13">
                  <c:v>2017E</c:v>
                </c:pt>
              </c:strCache>
            </c:strRef>
          </c:cat>
          <c:val>
            <c:numRef>
              <c:f>'Model Old'!$B$37:$O$37</c:f>
              <c:numCache>
                <c:formatCode>#,##0.0_);\(#,##0.0\);#,##0.0_);@_)</c:formatCode>
                <c:ptCount val="14"/>
                <c:pt idx="0">
                  <c:v>27</c:v>
                </c:pt>
                <c:pt idx="1">
                  <c:v>32.299999999999997</c:v>
                </c:pt>
                <c:pt idx="2">
                  <c:v>41.6</c:v>
                </c:pt>
                <c:pt idx="3">
                  <c:v>50.4</c:v>
                </c:pt>
                <c:pt idx="4">
                  <c:v>60.246208092485546</c:v>
                </c:pt>
                <c:pt idx="12">
                  <c:v>144.28341572254334</c:v>
                </c:pt>
                <c:pt idx="13">
                  <c:v>153.60537255606934</c:v>
                </c:pt>
              </c:numCache>
            </c:numRef>
          </c:val>
          <c:extLst>
            <c:ext xmlns:c16="http://schemas.microsoft.com/office/drawing/2014/chart" uri="{C3380CC4-5D6E-409C-BE32-E72D297353CC}">
              <c16:uniqueId val="{00000001-B13E-4F39-8BD7-2BEBAA326BF5}"/>
            </c:ext>
          </c:extLst>
        </c:ser>
        <c:ser>
          <c:idx val="2"/>
          <c:order val="2"/>
          <c:tx>
            <c:strRef>
              <c:f>'Model Old'!$A$38</c:f>
              <c:strCache>
                <c:ptCount val="1"/>
                <c:pt idx="0">
                  <c:v>Other revenue</c:v>
                </c:pt>
              </c:strCache>
            </c:strRef>
          </c:tx>
          <c:spPr>
            <a:solidFill>
              <a:srgbClr val="3366FF"/>
            </a:solidFill>
            <a:ln w="25400">
              <a:noFill/>
            </a:ln>
          </c:spPr>
          <c:invertIfNegative val="0"/>
          <c:cat>
            <c:strRef>
              <c:f>'Model Old'!$B$34:$O$34</c:f>
              <c:strCache>
                <c:ptCount val="14"/>
                <c:pt idx="0">
                  <c:v>2011A</c:v>
                </c:pt>
                <c:pt idx="1">
                  <c:v>2012A</c:v>
                </c:pt>
                <c:pt idx="2">
                  <c:v>2013A</c:v>
                </c:pt>
                <c:pt idx="3">
                  <c:v>2014A</c:v>
                </c:pt>
                <c:pt idx="4">
                  <c:v>2015E</c:v>
                </c:pt>
                <c:pt idx="12">
                  <c:v>2016E</c:v>
                </c:pt>
                <c:pt idx="13">
                  <c:v>2017E</c:v>
                </c:pt>
              </c:strCache>
            </c:strRef>
          </c:cat>
          <c:val>
            <c:numRef>
              <c:f>'Model Old'!$B$38:$O$38</c:f>
              <c:numCache>
                <c:formatCode>#,##0.0_);\(#,##0.0\);#,##0.0_);@_)</c:formatCode>
                <c:ptCount val="14"/>
                <c:pt idx="0">
                  <c:v>17.899999999999999</c:v>
                </c:pt>
                <c:pt idx="1">
                  <c:v>21.2</c:v>
                </c:pt>
                <c:pt idx="2">
                  <c:v>19.7</c:v>
                </c:pt>
                <c:pt idx="3">
                  <c:v>20.100000000000001</c:v>
                </c:pt>
                <c:pt idx="4">
                  <c:v>18</c:v>
                </c:pt>
                <c:pt idx="12">
                  <c:v>25</c:v>
                </c:pt>
                <c:pt idx="13">
                  <c:v>25</c:v>
                </c:pt>
              </c:numCache>
            </c:numRef>
          </c:val>
          <c:extLst>
            <c:ext xmlns:c16="http://schemas.microsoft.com/office/drawing/2014/chart" uri="{C3380CC4-5D6E-409C-BE32-E72D297353CC}">
              <c16:uniqueId val="{00000002-B13E-4F39-8BD7-2BEBAA326BF5}"/>
            </c:ext>
          </c:extLst>
        </c:ser>
        <c:dLbls>
          <c:showLegendKey val="0"/>
          <c:showVal val="0"/>
          <c:showCatName val="0"/>
          <c:showSerName val="0"/>
          <c:showPercent val="0"/>
          <c:showBubbleSize val="0"/>
        </c:dLbls>
        <c:gapWidth val="150"/>
        <c:overlap val="100"/>
        <c:axId val="242596096"/>
        <c:axId val="242610176"/>
      </c:barChart>
      <c:lineChart>
        <c:grouping val="standard"/>
        <c:varyColors val="0"/>
        <c:ser>
          <c:idx val="4"/>
          <c:order val="3"/>
          <c:tx>
            <c:strRef>
              <c:f>'Model Old'!$A$40</c:f>
              <c:strCache>
                <c:ptCount val="1"/>
                <c:pt idx="0">
                  <c:v>YoY growth</c:v>
                </c:pt>
              </c:strCache>
            </c:strRef>
          </c:tx>
          <c:marker>
            <c:symbol val="none"/>
          </c:marker>
          <c:cat>
            <c:strRef>
              <c:f>'Model Old'!$B$34:$O$34</c:f>
              <c:strCache>
                <c:ptCount val="14"/>
                <c:pt idx="0">
                  <c:v>2011A</c:v>
                </c:pt>
                <c:pt idx="1">
                  <c:v>2012A</c:v>
                </c:pt>
                <c:pt idx="2">
                  <c:v>2013A</c:v>
                </c:pt>
                <c:pt idx="3">
                  <c:v>2014A</c:v>
                </c:pt>
                <c:pt idx="4">
                  <c:v>2015E</c:v>
                </c:pt>
                <c:pt idx="12">
                  <c:v>2016E</c:v>
                </c:pt>
                <c:pt idx="13">
                  <c:v>2017E</c:v>
                </c:pt>
              </c:strCache>
            </c:strRef>
          </c:cat>
          <c:val>
            <c:numRef>
              <c:f>'Model Old'!$B$40:$O$40</c:f>
              <c:numCache>
                <c:formatCode>0.0%</c:formatCode>
                <c:ptCount val="14"/>
                <c:pt idx="1">
                  <c:v>2.9311187103078229E-3</c:v>
                </c:pt>
                <c:pt idx="2">
                  <c:v>4.3838285435946478E-3</c:v>
                </c:pt>
                <c:pt idx="3">
                  <c:v>3.2977691561590694E-2</c:v>
                </c:pt>
                <c:pt idx="4">
                  <c:v>4.3151276634540769E-2</c:v>
                </c:pt>
                <c:pt idx="12">
                  <c:v>8.8596452478514109E-2</c:v>
                </c:pt>
                <c:pt idx="13">
                  <c:v>5.0471831675017231E-2</c:v>
                </c:pt>
              </c:numCache>
            </c:numRef>
          </c:val>
          <c:smooth val="0"/>
          <c:extLst>
            <c:ext xmlns:c16="http://schemas.microsoft.com/office/drawing/2014/chart" uri="{C3380CC4-5D6E-409C-BE32-E72D297353CC}">
              <c16:uniqueId val="{00000003-B13E-4F39-8BD7-2BEBAA326BF5}"/>
            </c:ext>
          </c:extLst>
        </c:ser>
        <c:dLbls>
          <c:showLegendKey val="0"/>
          <c:showVal val="0"/>
          <c:showCatName val="0"/>
          <c:showSerName val="0"/>
          <c:showPercent val="0"/>
          <c:showBubbleSize val="0"/>
        </c:dLbls>
        <c:marker val="1"/>
        <c:smooth val="0"/>
        <c:axId val="242613632"/>
        <c:axId val="242612096"/>
      </c:lineChart>
      <c:catAx>
        <c:axId val="242596096"/>
        <c:scaling>
          <c:orientation val="minMax"/>
        </c:scaling>
        <c:delete val="0"/>
        <c:axPos val="b"/>
        <c:numFmt formatCode="General" sourceLinked="0"/>
        <c:majorTickMark val="out"/>
        <c:minorTickMark val="none"/>
        <c:tickLblPos val="nextTo"/>
        <c:crossAx val="242610176"/>
        <c:crosses val="autoZero"/>
        <c:auto val="1"/>
        <c:lblAlgn val="ctr"/>
        <c:lblOffset val="100"/>
        <c:noMultiLvlLbl val="0"/>
      </c:catAx>
      <c:valAx>
        <c:axId val="242610176"/>
        <c:scaling>
          <c:orientation val="minMax"/>
        </c:scaling>
        <c:delete val="0"/>
        <c:axPos val="l"/>
        <c:majorGridlines>
          <c:spPr>
            <a:ln w="3175">
              <a:solidFill>
                <a:srgbClr val="C0C0C0"/>
              </a:solidFill>
              <a:prstDash val="solid"/>
            </a:ln>
          </c:spPr>
        </c:majorGridlines>
        <c:title>
          <c:tx>
            <c:rich>
              <a:bodyPr rot="-5400000" vert="horz"/>
              <a:lstStyle/>
              <a:p>
                <a:pPr>
                  <a:defRPr/>
                </a:pPr>
                <a:r>
                  <a:rPr lang="en-US"/>
                  <a:t>Revenues € millions</a:t>
                </a:r>
              </a:p>
            </c:rich>
          </c:tx>
          <c:overlay val="0"/>
        </c:title>
        <c:numFmt formatCode="#,##0" sourceLinked="0"/>
        <c:majorTickMark val="out"/>
        <c:minorTickMark val="none"/>
        <c:tickLblPos val="nextTo"/>
        <c:crossAx val="242596096"/>
        <c:crosses val="autoZero"/>
        <c:crossBetween val="between"/>
      </c:valAx>
      <c:valAx>
        <c:axId val="242612096"/>
        <c:scaling>
          <c:orientation val="minMax"/>
        </c:scaling>
        <c:delete val="0"/>
        <c:axPos val="r"/>
        <c:numFmt formatCode="0%" sourceLinked="0"/>
        <c:majorTickMark val="out"/>
        <c:minorTickMark val="none"/>
        <c:tickLblPos val="nextTo"/>
        <c:crossAx val="242613632"/>
        <c:crosses val="max"/>
        <c:crossBetween val="between"/>
      </c:valAx>
      <c:catAx>
        <c:axId val="242613632"/>
        <c:scaling>
          <c:orientation val="minMax"/>
        </c:scaling>
        <c:delete val="1"/>
        <c:axPos val="b"/>
        <c:numFmt formatCode="General" sourceLinked="1"/>
        <c:majorTickMark val="out"/>
        <c:minorTickMark val="none"/>
        <c:tickLblPos val="nextTo"/>
        <c:crossAx val="242612096"/>
        <c:crosses val="autoZero"/>
        <c:auto val="1"/>
        <c:lblAlgn val="ctr"/>
        <c:lblOffset val="100"/>
        <c:noMultiLvlLbl val="0"/>
      </c:cat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'Model Old'!$A$55</c:f>
              <c:strCache>
                <c:ptCount val="1"/>
                <c:pt idx="0">
                  <c:v>Normalised EBITDA</c:v>
                </c:pt>
              </c:strCache>
            </c:strRef>
          </c:tx>
          <c:spPr>
            <a:solidFill>
              <a:srgbClr val="000080"/>
            </a:solidFill>
            <a:ln w="25400">
              <a:noFill/>
            </a:ln>
          </c:spPr>
          <c:invertIfNegative val="0"/>
          <c:cat>
            <c:strRef>
              <c:f>'Model Old'!$B$34:$O$34</c:f>
              <c:strCache>
                <c:ptCount val="14"/>
                <c:pt idx="0">
                  <c:v>2011A</c:v>
                </c:pt>
                <c:pt idx="1">
                  <c:v>2012A</c:v>
                </c:pt>
                <c:pt idx="2">
                  <c:v>2013A</c:v>
                </c:pt>
                <c:pt idx="3">
                  <c:v>2014A</c:v>
                </c:pt>
                <c:pt idx="4">
                  <c:v>2015E</c:v>
                </c:pt>
                <c:pt idx="12">
                  <c:v>2016E</c:v>
                </c:pt>
                <c:pt idx="13">
                  <c:v>2017E</c:v>
                </c:pt>
              </c:strCache>
            </c:strRef>
          </c:cat>
          <c:val>
            <c:numRef>
              <c:f>'Model Old'!$B$55:$O$55</c:f>
              <c:numCache>
                <c:formatCode>#,##0.0_);\(#,##0.0\);#,##0.0_);@_)</c:formatCode>
                <c:ptCount val="14"/>
                <c:pt idx="0">
                  <c:v>78.400000000000006</c:v>
                </c:pt>
                <c:pt idx="1">
                  <c:v>87.1</c:v>
                </c:pt>
                <c:pt idx="2">
                  <c:v>88.1</c:v>
                </c:pt>
                <c:pt idx="3">
                  <c:v>99.032977691561598</c:v>
                </c:pt>
                <c:pt idx="4">
                  <c:v>105.42774962306055</c:v>
                </c:pt>
                <c:pt idx="12">
                  <c:v>262.42972608363169</c:v>
                </c:pt>
                <c:pt idx="13">
                  <c:v>283.36291791583903</c:v>
                </c:pt>
              </c:numCache>
            </c:numRef>
          </c:val>
          <c:extLst>
            <c:ext xmlns:c16="http://schemas.microsoft.com/office/drawing/2014/chart" uri="{C3380CC4-5D6E-409C-BE32-E72D297353CC}">
              <c16:uniqueId val="{00000000-5615-466F-9727-7B3129D652A0}"/>
            </c:ext>
          </c:extLst>
        </c:ser>
        <c:dLbls>
          <c:showLegendKey val="0"/>
          <c:showVal val="0"/>
          <c:showCatName val="0"/>
          <c:showSerName val="0"/>
          <c:showPercent val="0"/>
          <c:showBubbleSize val="0"/>
        </c:dLbls>
        <c:gapWidth val="150"/>
        <c:overlap val="100"/>
        <c:axId val="246122368"/>
        <c:axId val="246123904"/>
      </c:barChart>
      <c:lineChart>
        <c:grouping val="standard"/>
        <c:varyColors val="0"/>
        <c:ser>
          <c:idx val="4"/>
          <c:order val="1"/>
          <c:tx>
            <c:strRef>
              <c:f>'Model Old'!$A$56</c:f>
              <c:strCache>
                <c:ptCount val="1"/>
                <c:pt idx="0">
                  <c:v>% margin</c:v>
                </c:pt>
              </c:strCache>
            </c:strRef>
          </c:tx>
          <c:marker>
            <c:symbol val="none"/>
          </c:marker>
          <c:cat>
            <c:strRef>
              <c:f>'Model Old'!$B$34:$O$34</c:f>
              <c:strCache>
                <c:ptCount val="14"/>
                <c:pt idx="0">
                  <c:v>2011A</c:v>
                </c:pt>
                <c:pt idx="1">
                  <c:v>2012A</c:v>
                </c:pt>
                <c:pt idx="2">
                  <c:v>2013A</c:v>
                </c:pt>
                <c:pt idx="3">
                  <c:v>2014A</c:v>
                </c:pt>
                <c:pt idx="4">
                  <c:v>2015E</c:v>
                </c:pt>
                <c:pt idx="12">
                  <c:v>2016E</c:v>
                </c:pt>
                <c:pt idx="13">
                  <c:v>2017E</c:v>
                </c:pt>
              </c:strCache>
            </c:strRef>
          </c:cat>
          <c:val>
            <c:numRef>
              <c:f>'Model Old'!$B$56:$O$56</c:f>
              <c:numCache>
                <c:formatCode>0.0%_);\(0.0%\);0.0%_);@_)</c:formatCode>
                <c:ptCount val="14"/>
                <c:pt idx="0">
                  <c:v>0.38300000000000001</c:v>
                </c:pt>
                <c:pt idx="1">
                  <c:v>0.42399999999999999</c:v>
                </c:pt>
                <c:pt idx="2">
                  <c:v>0.42699999999999999</c:v>
                </c:pt>
                <c:pt idx="3">
                  <c:v>0.4649435572373784</c:v>
                </c:pt>
                <c:pt idx="4">
                  <c:v>0.47449106544596875</c:v>
                </c:pt>
                <c:pt idx="12">
                  <c:v>0.53524940705217028</c:v>
                </c:pt>
                <c:pt idx="13">
                  <c:v>0.55017616582597917</c:v>
                </c:pt>
              </c:numCache>
            </c:numRef>
          </c:val>
          <c:smooth val="0"/>
          <c:extLst>
            <c:ext xmlns:c16="http://schemas.microsoft.com/office/drawing/2014/chart" uri="{C3380CC4-5D6E-409C-BE32-E72D297353CC}">
              <c16:uniqueId val="{00000001-5615-466F-9727-7B3129D652A0}"/>
            </c:ext>
          </c:extLst>
        </c:ser>
        <c:dLbls>
          <c:showLegendKey val="0"/>
          <c:showVal val="0"/>
          <c:showCatName val="0"/>
          <c:showSerName val="0"/>
          <c:showPercent val="0"/>
          <c:showBubbleSize val="0"/>
        </c:dLbls>
        <c:marker val="1"/>
        <c:smooth val="0"/>
        <c:axId val="246139904"/>
        <c:axId val="246138368"/>
      </c:lineChart>
      <c:catAx>
        <c:axId val="246122368"/>
        <c:scaling>
          <c:orientation val="minMax"/>
        </c:scaling>
        <c:delete val="0"/>
        <c:axPos val="b"/>
        <c:numFmt formatCode="General" sourceLinked="0"/>
        <c:majorTickMark val="out"/>
        <c:minorTickMark val="none"/>
        <c:tickLblPos val="nextTo"/>
        <c:crossAx val="246123904"/>
        <c:crosses val="autoZero"/>
        <c:auto val="1"/>
        <c:lblAlgn val="ctr"/>
        <c:lblOffset val="100"/>
        <c:noMultiLvlLbl val="0"/>
      </c:catAx>
      <c:valAx>
        <c:axId val="246123904"/>
        <c:scaling>
          <c:orientation val="minMax"/>
        </c:scaling>
        <c:delete val="0"/>
        <c:axPos val="l"/>
        <c:majorGridlines>
          <c:spPr>
            <a:ln w="3175">
              <a:solidFill>
                <a:srgbClr val="C0C0C0"/>
              </a:solidFill>
              <a:prstDash val="solid"/>
            </a:ln>
          </c:spPr>
        </c:majorGridlines>
        <c:title>
          <c:tx>
            <c:rich>
              <a:bodyPr rot="-5400000" vert="horz"/>
              <a:lstStyle/>
              <a:p>
                <a:pPr>
                  <a:defRPr/>
                </a:pPr>
                <a:r>
                  <a:rPr lang="en-US"/>
                  <a:t>EBITDA € millions</a:t>
                </a:r>
              </a:p>
            </c:rich>
          </c:tx>
          <c:overlay val="0"/>
        </c:title>
        <c:numFmt formatCode="#,##0" sourceLinked="0"/>
        <c:majorTickMark val="out"/>
        <c:minorTickMark val="none"/>
        <c:tickLblPos val="nextTo"/>
        <c:crossAx val="246122368"/>
        <c:crosses val="autoZero"/>
        <c:crossBetween val="between"/>
      </c:valAx>
      <c:valAx>
        <c:axId val="246138368"/>
        <c:scaling>
          <c:orientation val="minMax"/>
        </c:scaling>
        <c:delete val="0"/>
        <c:axPos val="r"/>
        <c:numFmt formatCode="0%" sourceLinked="0"/>
        <c:majorTickMark val="out"/>
        <c:minorTickMark val="none"/>
        <c:tickLblPos val="nextTo"/>
        <c:crossAx val="246139904"/>
        <c:crosses val="max"/>
        <c:crossBetween val="between"/>
      </c:valAx>
      <c:catAx>
        <c:axId val="246139904"/>
        <c:scaling>
          <c:orientation val="minMax"/>
        </c:scaling>
        <c:delete val="1"/>
        <c:axPos val="b"/>
        <c:numFmt formatCode="General" sourceLinked="1"/>
        <c:majorTickMark val="out"/>
        <c:minorTickMark val="none"/>
        <c:tickLblPos val="nextTo"/>
        <c:crossAx val="246138368"/>
        <c:crosses val="autoZero"/>
        <c:auto val="1"/>
        <c:lblAlgn val="ctr"/>
        <c:lblOffset val="100"/>
        <c:noMultiLvlLbl val="0"/>
      </c:cat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'Model Old'!$A$197</c:f>
              <c:strCache>
                <c:ptCount val="1"/>
                <c:pt idx="0">
                  <c:v>Total capital expenditures</c:v>
                </c:pt>
              </c:strCache>
            </c:strRef>
          </c:tx>
          <c:spPr>
            <a:solidFill>
              <a:srgbClr val="000080"/>
            </a:solidFill>
            <a:ln w="25400">
              <a:noFill/>
            </a:ln>
          </c:spPr>
          <c:invertIfNegative val="0"/>
          <c:cat>
            <c:strRef>
              <c:f>'Model Old'!$B$189:$O$189</c:f>
              <c:strCache>
                <c:ptCount val="14"/>
                <c:pt idx="0">
                  <c:v>2011A</c:v>
                </c:pt>
                <c:pt idx="1">
                  <c:v>2012A</c:v>
                </c:pt>
                <c:pt idx="2">
                  <c:v>2013A</c:v>
                </c:pt>
                <c:pt idx="3">
                  <c:v>2014A</c:v>
                </c:pt>
                <c:pt idx="4">
                  <c:v>2015E</c:v>
                </c:pt>
                <c:pt idx="12">
                  <c:v>2016E</c:v>
                </c:pt>
                <c:pt idx="13">
                  <c:v>2017E</c:v>
                </c:pt>
              </c:strCache>
            </c:strRef>
          </c:cat>
          <c:val>
            <c:numRef>
              <c:f>'Model Old'!$B$197:$O$197</c:f>
              <c:numCache>
                <c:formatCode>#,##0.0_);\(#,##0.0\);#,##0.0_);@_)</c:formatCode>
                <c:ptCount val="14"/>
                <c:pt idx="0">
                  <c:v>68.099999999999994</c:v>
                </c:pt>
                <c:pt idx="1">
                  <c:v>59.6</c:v>
                </c:pt>
                <c:pt idx="2">
                  <c:v>51.5</c:v>
                </c:pt>
                <c:pt idx="3">
                  <c:v>84.1</c:v>
                </c:pt>
                <c:pt idx="4">
                  <c:v>115</c:v>
                </c:pt>
                <c:pt idx="12">
                  <c:v>147.08828592390364</c:v>
                </c:pt>
                <c:pt idx="13">
                  <c:v>128.76008427701808</c:v>
                </c:pt>
              </c:numCache>
            </c:numRef>
          </c:val>
          <c:extLst>
            <c:ext xmlns:c16="http://schemas.microsoft.com/office/drawing/2014/chart" uri="{C3380CC4-5D6E-409C-BE32-E72D297353CC}">
              <c16:uniqueId val="{00000000-26E0-4231-94E4-E79F040298DF}"/>
            </c:ext>
          </c:extLst>
        </c:ser>
        <c:dLbls>
          <c:showLegendKey val="0"/>
          <c:showVal val="0"/>
          <c:showCatName val="0"/>
          <c:showSerName val="0"/>
          <c:showPercent val="0"/>
          <c:showBubbleSize val="0"/>
        </c:dLbls>
        <c:gapWidth val="150"/>
        <c:axId val="246167040"/>
        <c:axId val="246168576"/>
      </c:barChart>
      <c:lineChart>
        <c:grouping val="standard"/>
        <c:varyColors val="0"/>
        <c:ser>
          <c:idx val="1"/>
          <c:order val="1"/>
          <c:tx>
            <c:strRef>
              <c:f>'Model Old'!$A$199</c:f>
              <c:strCache>
                <c:ptCount val="1"/>
                <c:pt idx="0">
                  <c:v>% revenues</c:v>
                </c:pt>
              </c:strCache>
            </c:strRef>
          </c:tx>
          <c:spPr>
            <a:ln>
              <a:solidFill>
                <a:schemeClr val="accent1"/>
              </a:solidFill>
            </a:ln>
          </c:spPr>
          <c:marker>
            <c:symbol val="none"/>
          </c:marker>
          <c:cat>
            <c:strRef>
              <c:f>'Model Old'!$B$189:$O$189</c:f>
              <c:strCache>
                <c:ptCount val="14"/>
                <c:pt idx="0">
                  <c:v>2011A</c:v>
                </c:pt>
                <c:pt idx="1">
                  <c:v>2012A</c:v>
                </c:pt>
                <c:pt idx="2">
                  <c:v>2013A</c:v>
                </c:pt>
                <c:pt idx="3">
                  <c:v>2014A</c:v>
                </c:pt>
                <c:pt idx="4">
                  <c:v>2015E</c:v>
                </c:pt>
                <c:pt idx="12">
                  <c:v>2016E</c:v>
                </c:pt>
                <c:pt idx="13">
                  <c:v>2017E</c:v>
                </c:pt>
              </c:strCache>
            </c:strRef>
          </c:cat>
          <c:val>
            <c:numRef>
              <c:f>'Model Old'!$B$199:$O$199</c:f>
              <c:numCache>
                <c:formatCode>0%</c:formatCode>
                <c:ptCount val="14"/>
                <c:pt idx="0">
                  <c:v>0.33268197361993157</c:v>
                </c:pt>
                <c:pt idx="1">
                  <c:v>0.29030686799805161</c:v>
                </c:pt>
                <c:pt idx="2">
                  <c:v>0.24975751697381185</c:v>
                </c:pt>
                <c:pt idx="3">
                  <c:v>0.3948356807511737</c:v>
                </c:pt>
                <c:pt idx="4">
                  <c:v>0.51757220201872645</c:v>
                </c:pt>
                <c:pt idx="12">
                  <c:v>0.3</c:v>
                </c:pt>
                <c:pt idx="13">
                  <c:v>0.25</c:v>
                </c:pt>
              </c:numCache>
            </c:numRef>
          </c:val>
          <c:smooth val="0"/>
          <c:extLst>
            <c:ext xmlns:c16="http://schemas.microsoft.com/office/drawing/2014/chart" uri="{C3380CC4-5D6E-409C-BE32-E72D297353CC}">
              <c16:uniqueId val="{00000001-26E0-4231-94E4-E79F040298DF}"/>
            </c:ext>
          </c:extLst>
        </c:ser>
        <c:dLbls>
          <c:showLegendKey val="0"/>
          <c:showVal val="0"/>
          <c:showCatName val="0"/>
          <c:showSerName val="0"/>
          <c:showPercent val="0"/>
          <c:showBubbleSize val="0"/>
        </c:dLbls>
        <c:marker val="1"/>
        <c:smooth val="0"/>
        <c:axId val="246176000"/>
        <c:axId val="246174464"/>
      </c:lineChart>
      <c:catAx>
        <c:axId val="246167040"/>
        <c:scaling>
          <c:orientation val="minMax"/>
        </c:scaling>
        <c:delete val="0"/>
        <c:axPos val="b"/>
        <c:numFmt formatCode="General" sourceLinked="0"/>
        <c:majorTickMark val="out"/>
        <c:minorTickMark val="none"/>
        <c:tickLblPos val="nextTo"/>
        <c:crossAx val="246168576"/>
        <c:crosses val="autoZero"/>
        <c:auto val="1"/>
        <c:lblAlgn val="ctr"/>
        <c:lblOffset val="100"/>
        <c:noMultiLvlLbl val="0"/>
      </c:catAx>
      <c:valAx>
        <c:axId val="24616857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crossAx val="246167040"/>
        <c:crosses val="autoZero"/>
        <c:crossBetween val="between"/>
      </c:valAx>
      <c:valAx>
        <c:axId val="246174464"/>
        <c:scaling>
          <c:orientation val="minMax"/>
        </c:scaling>
        <c:delete val="0"/>
        <c:axPos val="r"/>
        <c:numFmt formatCode="0%" sourceLinked="1"/>
        <c:majorTickMark val="out"/>
        <c:minorTickMark val="none"/>
        <c:tickLblPos val="nextTo"/>
        <c:crossAx val="246176000"/>
        <c:crosses val="max"/>
        <c:crossBetween val="between"/>
      </c:valAx>
      <c:catAx>
        <c:axId val="246176000"/>
        <c:scaling>
          <c:orientation val="minMax"/>
        </c:scaling>
        <c:delete val="1"/>
        <c:axPos val="b"/>
        <c:numFmt formatCode="General" sourceLinked="1"/>
        <c:majorTickMark val="out"/>
        <c:minorTickMark val="none"/>
        <c:tickLblPos val="nextTo"/>
        <c:crossAx val="246174464"/>
        <c:crosses val="autoZero"/>
        <c:auto val="1"/>
        <c:lblAlgn val="ctr"/>
        <c:lblOffset val="100"/>
        <c:noMultiLvlLbl val="0"/>
      </c:cat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Workings!$Z$39</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Workings!$AA$39:$AI$39</c:f>
              <c:numCache>
                <c:formatCode>0.0%</c:formatCode>
                <c:ptCount val="9"/>
                <c:pt idx="0">
                  <c:v>0.92995672383394778</c:v>
                </c:pt>
                <c:pt idx="1">
                  <c:v>0.95372288324742682</c:v>
                </c:pt>
                <c:pt idx="2">
                  <c:v>0.96699155504487633</c:v>
                </c:pt>
                <c:pt idx="3">
                  <c:v>0.96773526205650906</c:v>
                </c:pt>
                <c:pt idx="4">
                  <c:v>0.97316036503803149</c:v>
                </c:pt>
                <c:pt idx="5">
                  <c:v>0.97550596619288465</c:v>
                </c:pt>
                <c:pt idx="6">
                  <c:v>0.97750596619288477</c:v>
                </c:pt>
                <c:pt idx="7">
                  <c:v>0.97950596619288466</c:v>
                </c:pt>
                <c:pt idx="8">
                  <c:v>0.98150596619288466</c:v>
                </c:pt>
              </c:numCache>
            </c:numRef>
          </c:val>
          <c:smooth val="0"/>
          <c:extLst>
            <c:ext xmlns:c16="http://schemas.microsoft.com/office/drawing/2014/chart" uri="{C3380CC4-5D6E-409C-BE32-E72D297353CC}">
              <c16:uniqueId val="{00000000-E398-439B-9A04-24B691EDBA7C}"/>
            </c:ext>
          </c:extLst>
        </c:ser>
        <c:ser>
          <c:idx val="1"/>
          <c:order val="1"/>
          <c:tx>
            <c:strRef>
              <c:f>Workings!$Z$40</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Workings!$AA$40:$AI$40</c:f>
              <c:numCache>
                <c:formatCode>0.0%</c:formatCode>
                <c:ptCount val="9"/>
                <c:pt idx="0">
                  <c:v>0.79227233196670388</c:v>
                </c:pt>
                <c:pt idx="1">
                  <c:v>0.82442947753874318</c:v>
                </c:pt>
                <c:pt idx="2">
                  <c:v>0.82926287018328526</c:v>
                </c:pt>
                <c:pt idx="3">
                  <c:v>0.87189647618860788</c:v>
                </c:pt>
                <c:pt idx="4">
                  <c:v>0.93205540602639003</c:v>
                </c:pt>
                <c:pt idx="5">
                  <c:v>0.95</c:v>
                </c:pt>
                <c:pt idx="6">
                  <c:v>0.98</c:v>
                </c:pt>
                <c:pt idx="7">
                  <c:v>0.98</c:v>
                </c:pt>
                <c:pt idx="8">
                  <c:v>0.98</c:v>
                </c:pt>
              </c:numCache>
            </c:numRef>
          </c:val>
          <c:smooth val="0"/>
          <c:extLst>
            <c:ext xmlns:c16="http://schemas.microsoft.com/office/drawing/2014/chart" uri="{C3380CC4-5D6E-409C-BE32-E72D297353CC}">
              <c16:uniqueId val="{00000001-E398-439B-9A04-24B691EDBA7C}"/>
            </c:ext>
          </c:extLst>
        </c:ser>
        <c:ser>
          <c:idx val="2"/>
          <c:order val="2"/>
          <c:tx>
            <c:strRef>
              <c:f>Workings!$Z$41</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Workings!$AA$41:$AI$41</c:f>
              <c:numCache>
                <c:formatCode>0.0%</c:formatCode>
                <c:ptCount val="9"/>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E398-439B-9A04-24B691EDBA7C}"/>
            </c:ext>
          </c:extLst>
        </c:ser>
        <c:dLbls>
          <c:showLegendKey val="0"/>
          <c:showVal val="0"/>
          <c:showCatName val="0"/>
          <c:showSerName val="0"/>
          <c:showPercent val="0"/>
          <c:showBubbleSize val="0"/>
        </c:dLbls>
        <c:smooth val="0"/>
        <c:axId val="243105152"/>
        <c:axId val="243119232"/>
      </c:lineChart>
      <c:catAx>
        <c:axId val="243105152"/>
        <c:scaling>
          <c:orientation val="minMax"/>
        </c:scaling>
        <c:delete val="0"/>
        <c:axPos val="b"/>
        <c:numFmt formatCode="General" sourceLinked="1"/>
        <c:majorTickMark val="out"/>
        <c:minorTickMark val="none"/>
        <c:tickLblPos val="low"/>
        <c:crossAx val="243119232"/>
        <c:crosses val="autoZero"/>
        <c:auto val="1"/>
        <c:lblAlgn val="ctr"/>
        <c:lblOffset val="100"/>
        <c:noMultiLvlLbl val="0"/>
      </c:catAx>
      <c:valAx>
        <c:axId val="243119232"/>
        <c:scaling>
          <c:orientation val="minMax"/>
        </c:scaling>
        <c:delete val="0"/>
        <c:axPos val="l"/>
        <c:majorGridlines>
          <c:spPr>
            <a:ln w="3175">
              <a:solidFill>
                <a:srgbClr val="C0C0C0"/>
              </a:solidFill>
              <a:prstDash val="solid"/>
            </a:ln>
          </c:spPr>
        </c:majorGridlines>
        <c:title>
          <c:tx>
            <c:strRef>
              <c:f>Workings!$Z$38</c:f>
              <c:strCache>
                <c:ptCount val="1"/>
                <c:pt idx="0">
                  <c:v>HU % HC</c:v>
                </c:pt>
              </c:strCache>
            </c:strRef>
          </c:tx>
          <c:overlay val="0"/>
          <c:txPr>
            <a:bodyPr rot="-5400000" vert="horz"/>
            <a:lstStyle/>
            <a:p>
              <a:pPr>
                <a:defRPr/>
              </a:pPr>
              <a:endParaRPr lang="en-US"/>
            </a:p>
          </c:txPr>
        </c:title>
        <c:numFmt formatCode="0.0%" sourceLinked="1"/>
        <c:majorTickMark val="out"/>
        <c:minorTickMark val="none"/>
        <c:tickLblPos val="nextTo"/>
        <c:crossAx val="243105152"/>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Homes connected</c:v>
          </c:tx>
          <c:spPr>
            <a:solidFill>
              <a:srgbClr val="000080"/>
            </a:solidFill>
            <a:ln w="25400">
              <a:noFill/>
            </a:ln>
          </c:spPr>
          <c:invertIfNegative val="0"/>
          <c:cat>
            <c:strRef>
              <c:f>'Model Old'!$B$244:$O$244</c:f>
              <c:strCache>
                <c:ptCount val="14"/>
                <c:pt idx="0">
                  <c:v>2011A</c:v>
                </c:pt>
                <c:pt idx="1">
                  <c:v>2012A</c:v>
                </c:pt>
                <c:pt idx="2">
                  <c:v>2013A</c:v>
                </c:pt>
                <c:pt idx="3">
                  <c:v>2014A</c:v>
                </c:pt>
                <c:pt idx="4">
                  <c:v>2015E</c:v>
                </c:pt>
                <c:pt idx="12">
                  <c:v>2016E</c:v>
                </c:pt>
                <c:pt idx="13">
                  <c:v>2017E</c:v>
                </c:pt>
              </c:strCache>
            </c:strRef>
          </c:cat>
          <c:val>
            <c:numRef>
              <c:f>'Model Old'!$B$245:$O$245</c:f>
              <c:numCache>
                <c:formatCode>#,##0_);\(#,##0\);#,##0_);@_)</c:formatCode>
                <c:ptCount val="14"/>
                <c:pt idx="0">
                  <c:v>1963</c:v>
                </c:pt>
                <c:pt idx="1">
                  <c:v>1856</c:v>
                </c:pt>
                <c:pt idx="2">
                  <c:v>1749</c:v>
                </c:pt>
                <c:pt idx="3">
                  <c:v>1697</c:v>
                </c:pt>
                <c:pt idx="4">
                  <c:v>1687</c:v>
                </c:pt>
                <c:pt idx="6">
                  <c:v>1152</c:v>
                </c:pt>
                <c:pt idx="8">
                  <c:v>787</c:v>
                </c:pt>
                <c:pt idx="10">
                  <c:v>3626</c:v>
                </c:pt>
                <c:pt idx="12">
                  <c:v>3616</c:v>
                </c:pt>
                <c:pt idx="13">
                  <c:v>3606</c:v>
                </c:pt>
              </c:numCache>
            </c:numRef>
          </c:val>
          <c:extLst>
            <c:ext xmlns:c16="http://schemas.microsoft.com/office/drawing/2014/chart" uri="{C3380CC4-5D6E-409C-BE32-E72D297353CC}">
              <c16:uniqueId val="{00000000-0141-45B9-A29F-DFBD97B31486}"/>
            </c:ext>
          </c:extLst>
        </c:ser>
        <c:ser>
          <c:idx val="1"/>
          <c:order val="1"/>
          <c:tx>
            <c:v>Own network</c:v>
          </c:tx>
          <c:spPr>
            <a:solidFill>
              <a:srgbClr val="9999FF"/>
            </a:solidFill>
            <a:ln w="25400">
              <a:noFill/>
            </a:ln>
          </c:spPr>
          <c:invertIfNegative val="0"/>
          <c:cat>
            <c:strRef>
              <c:f>'Model Old'!$B$244:$O$244</c:f>
              <c:strCache>
                <c:ptCount val="14"/>
                <c:pt idx="0">
                  <c:v>2011A</c:v>
                </c:pt>
                <c:pt idx="1">
                  <c:v>2012A</c:v>
                </c:pt>
                <c:pt idx="2">
                  <c:v>2013A</c:v>
                </c:pt>
                <c:pt idx="3">
                  <c:v>2014A</c:v>
                </c:pt>
                <c:pt idx="4">
                  <c:v>2015E</c:v>
                </c:pt>
                <c:pt idx="12">
                  <c:v>2016E</c:v>
                </c:pt>
                <c:pt idx="13">
                  <c:v>2017E</c:v>
                </c:pt>
              </c:strCache>
            </c:strRef>
          </c:cat>
          <c:val>
            <c:numRef>
              <c:f>'Model Old'!$B$246:$O$246</c:f>
              <c:numCache>
                <c:formatCode>#,##0_);\(#,##0\);#,##0_);@_)</c:formatCode>
                <c:ptCount val="14"/>
                <c:pt idx="0">
                  <c:v>1273</c:v>
                </c:pt>
                <c:pt idx="1">
                  <c:v>1250</c:v>
                </c:pt>
                <c:pt idx="2">
                  <c:v>1197</c:v>
                </c:pt>
                <c:pt idx="3">
                  <c:v>1195.3516638078904</c:v>
                </c:pt>
                <c:pt idx="4">
                  <c:v>1238.9177530017155</c:v>
                </c:pt>
                <c:pt idx="12">
                  <c:v>2764.0381475128647</c:v>
                </c:pt>
                <c:pt idx="13">
                  <c:v>2864.57423670669</c:v>
                </c:pt>
              </c:numCache>
            </c:numRef>
          </c:val>
          <c:extLst>
            <c:ext xmlns:c16="http://schemas.microsoft.com/office/drawing/2014/chart" uri="{C3380CC4-5D6E-409C-BE32-E72D297353CC}">
              <c16:uniqueId val="{00000001-0141-45B9-A29F-DFBD97B31486}"/>
            </c:ext>
          </c:extLst>
        </c:ser>
        <c:ser>
          <c:idx val="2"/>
          <c:order val="2"/>
          <c:tx>
            <c:v>Own network upgraded</c:v>
          </c:tx>
          <c:spPr>
            <a:solidFill>
              <a:srgbClr val="3366FF"/>
            </a:solidFill>
            <a:ln w="25400">
              <a:noFill/>
            </a:ln>
          </c:spPr>
          <c:invertIfNegative val="0"/>
          <c:cat>
            <c:strRef>
              <c:f>'Model Old'!$B$244:$O$244</c:f>
              <c:strCache>
                <c:ptCount val="14"/>
                <c:pt idx="0">
                  <c:v>2011A</c:v>
                </c:pt>
                <c:pt idx="1">
                  <c:v>2012A</c:v>
                </c:pt>
                <c:pt idx="2">
                  <c:v>2013A</c:v>
                </c:pt>
                <c:pt idx="3">
                  <c:v>2014A</c:v>
                </c:pt>
                <c:pt idx="4">
                  <c:v>2015E</c:v>
                </c:pt>
                <c:pt idx="12">
                  <c:v>2016E</c:v>
                </c:pt>
                <c:pt idx="13">
                  <c:v>2017E</c:v>
                </c:pt>
              </c:strCache>
            </c:strRef>
          </c:cat>
          <c:val>
            <c:numRef>
              <c:f>'Model Old'!$B$249:$O$249</c:f>
              <c:numCache>
                <c:formatCode>#,##0_);\(#,##0\);#,##0_);@_)</c:formatCode>
                <c:ptCount val="14"/>
                <c:pt idx="0">
                  <c:v>789</c:v>
                </c:pt>
                <c:pt idx="1">
                  <c:v>881</c:v>
                </c:pt>
                <c:pt idx="2">
                  <c:v>891</c:v>
                </c:pt>
                <c:pt idx="3">
                  <c:v>933</c:v>
                </c:pt>
                <c:pt idx="4">
                  <c:v>996.53700162498899</c:v>
                </c:pt>
                <c:pt idx="6">
                  <c:v>634</c:v>
                </c:pt>
                <c:pt idx="8">
                  <c:v>555</c:v>
                </c:pt>
                <c:pt idx="10">
                  <c:v>2185.537001624989</c:v>
                </c:pt>
                <c:pt idx="12">
                  <c:v>2306.2053626278393</c:v>
                </c:pt>
                <c:pt idx="13">
                  <c:v>2476.0259718180537</c:v>
                </c:pt>
              </c:numCache>
            </c:numRef>
          </c:val>
          <c:extLst>
            <c:ext xmlns:c16="http://schemas.microsoft.com/office/drawing/2014/chart" uri="{C3380CC4-5D6E-409C-BE32-E72D297353CC}">
              <c16:uniqueId val="{00000002-0141-45B9-A29F-DFBD97B31486}"/>
            </c:ext>
          </c:extLst>
        </c:ser>
        <c:dLbls>
          <c:showLegendKey val="0"/>
          <c:showVal val="0"/>
          <c:showCatName val="0"/>
          <c:showSerName val="0"/>
          <c:showPercent val="0"/>
          <c:showBubbleSize val="0"/>
        </c:dLbls>
        <c:gapWidth val="150"/>
        <c:axId val="246211328"/>
        <c:axId val="246212864"/>
      </c:barChart>
      <c:catAx>
        <c:axId val="246211328"/>
        <c:scaling>
          <c:orientation val="minMax"/>
        </c:scaling>
        <c:delete val="0"/>
        <c:axPos val="b"/>
        <c:numFmt formatCode="General" sourceLinked="0"/>
        <c:majorTickMark val="out"/>
        <c:minorTickMark val="none"/>
        <c:tickLblPos val="nextTo"/>
        <c:crossAx val="246212864"/>
        <c:crosses val="autoZero"/>
        <c:auto val="1"/>
        <c:lblAlgn val="ctr"/>
        <c:lblOffset val="100"/>
        <c:noMultiLvlLbl val="0"/>
      </c:catAx>
      <c:valAx>
        <c:axId val="246212864"/>
        <c:scaling>
          <c:orientation val="minMax"/>
          <c:max val="2000"/>
        </c:scaling>
        <c:delete val="0"/>
        <c:axPos val="l"/>
        <c:majorGridlines>
          <c:spPr>
            <a:ln w="3175">
              <a:solidFill>
                <a:srgbClr val="C0C0C0"/>
              </a:solidFill>
              <a:prstDash val="solid"/>
            </a:ln>
          </c:spPr>
        </c:majorGridlines>
        <c:numFmt formatCode="#,##0_);\(#,##0\);#,##0_);@_)" sourceLinked="1"/>
        <c:majorTickMark val="out"/>
        <c:minorTickMark val="none"/>
        <c:tickLblPos val="nextTo"/>
        <c:crossAx val="246211328"/>
        <c:crosses val="autoZero"/>
        <c:crossBetween val="between"/>
        <c:majorUnit val="500"/>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'Model Old'!$A$285</c:f>
              <c:strCache>
                <c:ptCount val="1"/>
                <c:pt idx="0">
                  <c:v>CATV ('000)</c:v>
                </c:pt>
              </c:strCache>
            </c:strRef>
          </c:tx>
          <c:spPr>
            <a:solidFill>
              <a:srgbClr val="000080"/>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'Model Old'!$C$276:$O$276</c:f>
              <c:strCache>
                <c:ptCount val="13"/>
                <c:pt idx="0">
                  <c:v>2012A</c:v>
                </c:pt>
                <c:pt idx="1">
                  <c:v>2013A</c:v>
                </c:pt>
                <c:pt idx="2">
                  <c:v>2014A</c:v>
                </c:pt>
                <c:pt idx="3">
                  <c:v>2015E</c:v>
                </c:pt>
                <c:pt idx="11">
                  <c:v>2016E</c:v>
                </c:pt>
                <c:pt idx="12">
                  <c:v>2017E</c:v>
                </c:pt>
              </c:strCache>
            </c:strRef>
          </c:cat>
          <c:val>
            <c:numRef>
              <c:f>'Model Old'!$C$285:$O$285</c:f>
              <c:numCache>
                <c:formatCode>#,##0_);\(#,##0\);#,##0_);@_)</c:formatCode>
                <c:ptCount val="13"/>
                <c:pt idx="0">
                  <c:v>-122</c:v>
                </c:pt>
                <c:pt idx="1">
                  <c:v>-78</c:v>
                </c:pt>
                <c:pt idx="2">
                  <c:v>-27</c:v>
                </c:pt>
                <c:pt idx="3">
                  <c:v>-30</c:v>
                </c:pt>
                <c:pt idx="11">
                  <c:v>-20</c:v>
                </c:pt>
                <c:pt idx="12">
                  <c:v>-20</c:v>
                </c:pt>
              </c:numCache>
            </c:numRef>
          </c:val>
          <c:extLst>
            <c:ext xmlns:c16="http://schemas.microsoft.com/office/drawing/2014/chart" uri="{C3380CC4-5D6E-409C-BE32-E72D297353CC}">
              <c16:uniqueId val="{00000000-5366-4DC4-A0A6-509B3457318F}"/>
            </c:ext>
          </c:extLst>
        </c:ser>
        <c:ser>
          <c:idx val="1"/>
          <c:order val="1"/>
          <c:tx>
            <c:strRef>
              <c:f>'Model Old'!$A$287</c:f>
              <c:strCache>
                <c:ptCount val="1"/>
                <c:pt idx="0">
                  <c:v>Premium TV ('000)</c:v>
                </c:pt>
              </c:strCache>
            </c:strRef>
          </c:tx>
          <c:spPr>
            <a:solidFill>
              <a:srgbClr val="9999FF"/>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'Model Old'!$C$276:$O$276</c:f>
              <c:strCache>
                <c:ptCount val="13"/>
                <c:pt idx="0">
                  <c:v>2012A</c:v>
                </c:pt>
                <c:pt idx="1">
                  <c:v>2013A</c:v>
                </c:pt>
                <c:pt idx="2">
                  <c:v>2014A</c:v>
                </c:pt>
                <c:pt idx="3">
                  <c:v>2015E</c:v>
                </c:pt>
                <c:pt idx="11">
                  <c:v>2016E</c:v>
                </c:pt>
                <c:pt idx="12">
                  <c:v>2017E</c:v>
                </c:pt>
              </c:strCache>
            </c:strRef>
          </c:cat>
          <c:val>
            <c:numRef>
              <c:f>'Model Old'!$C$287:$O$287</c:f>
              <c:numCache>
                <c:formatCode>#,##0_);\(#,##0\);#,##0_);@_)</c:formatCode>
                <c:ptCount val="13"/>
                <c:pt idx="0">
                  <c:v>11</c:v>
                </c:pt>
                <c:pt idx="1">
                  <c:v>11</c:v>
                </c:pt>
                <c:pt idx="2">
                  <c:v>-3</c:v>
                </c:pt>
                <c:pt idx="3">
                  <c:v>20</c:v>
                </c:pt>
                <c:pt idx="11">
                  <c:v>60</c:v>
                </c:pt>
                <c:pt idx="12">
                  <c:v>60</c:v>
                </c:pt>
              </c:numCache>
            </c:numRef>
          </c:val>
          <c:extLst>
            <c:ext xmlns:c16="http://schemas.microsoft.com/office/drawing/2014/chart" uri="{C3380CC4-5D6E-409C-BE32-E72D297353CC}">
              <c16:uniqueId val="{00000001-5366-4DC4-A0A6-509B3457318F}"/>
            </c:ext>
          </c:extLst>
        </c:ser>
        <c:ser>
          <c:idx val="2"/>
          <c:order val="2"/>
          <c:tx>
            <c:strRef>
              <c:f>'Model Old'!$A$292</c:f>
              <c:strCache>
                <c:ptCount val="1"/>
                <c:pt idx="0">
                  <c:v>2-P RGUs</c:v>
                </c:pt>
              </c:strCache>
            </c:strRef>
          </c:tx>
          <c:spPr>
            <a:solidFill>
              <a:srgbClr val="3366FF"/>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'Model Old'!$C$276:$O$276</c:f>
              <c:strCache>
                <c:ptCount val="13"/>
                <c:pt idx="0">
                  <c:v>2012A</c:v>
                </c:pt>
                <c:pt idx="1">
                  <c:v>2013A</c:v>
                </c:pt>
                <c:pt idx="2">
                  <c:v>2014A</c:v>
                </c:pt>
                <c:pt idx="3">
                  <c:v>2015E</c:v>
                </c:pt>
                <c:pt idx="11">
                  <c:v>2016E</c:v>
                </c:pt>
                <c:pt idx="12">
                  <c:v>2017E</c:v>
                </c:pt>
              </c:strCache>
            </c:strRef>
          </c:cat>
          <c:val>
            <c:numRef>
              <c:f>'Model Old'!$C$292:$O$292</c:f>
              <c:numCache>
                <c:formatCode>#,##0_);\(#,##0\);#,##0_);@_)</c:formatCode>
                <c:ptCount val="13"/>
                <c:pt idx="0">
                  <c:v>45</c:v>
                </c:pt>
                <c:pt idx="1">
                  <c:v>73</c:v>
                </c:pt>
                <c:pt idx="2">
                  <c:v>52</c:v>
                </c:pt>
                <c:pt idx="3">
                  <c:v>75</c:v>
                </c:pt>
                <c:pt idx="11">
                  <c:v>105</c:v>
                </c:pt>
                <c:pt idx="12">
                  <c:v>105</c:v>
                </c:pt>
              </c:numCache>
            </c:numRef>
          </c:val>
          <c:extLst>
            <c:ext xmlns:c16="http://schemas.microsoft.com/office/drawing/2014/chart" uri="{C3380CC4-5D6E-409C-BE32-E72D297353CC}">
              <c16:uniqueId val="{00000002-5366-4DC4-A0A6-509B3457318F}"/>
            </c:ext>
          </c:extLst>
        </c:ser>
        <c:dLbls>
          <c:dLblPos val="outEnd"/>
          <c:showLegendKey val="0"/>
          <c:showVal val="1"/>
          <c:showCatName val="0"/>
          <c:showSerName val="0"/>
          <c:showPercent val="0"/>
          <c:showBubbleSize val="0"/>
        </c:dLbls>
        <c:gapWidth val="150"/>
        <c:axId val="246323072"/>
        <c:axId val="246324608"/>
      </c:barChart>
      <c:catAx>
        <c:axId val="246323072"/>
        <c:scaling>
          <c:orientation val="minMax"/>
        </c:scaling>
        <c:delete val="0"/>
        <c:axPos val="b"/>
        <c:numFmt formatCode="General" sourceLinked="0"/>
        <c:majorTickMark val="out"/>
        <c:minorTickMark val="none"/>
        <c:tickLblPos val="low"/>
        <c:crossAx val="246324608"/>
        <c:crosses val="autoZero"/>
        <c:auto val="1"/>
        <c:lblAlgn val="ctr"/>
        <c:lblOffset val="100"/>
        <c:noMultiLvlLbl val="0"/>
      </c:catAx>
      <c:valAx>
        <c:axId val="246324608"/>
        <c:scaling>
          <c:orientation val="minMax"/>
          <c:max val="80"/>
          <c:min val="-140"/>
        </c:scaling>
        <c:delete val="1"/>
        <c:axPos val="l"/>
        <c:numFmt formatCode="#,##0_);\(#,##0\);#,##0_);@_)" sourceLinked="1"/>
        <c:majorTickMark val="out"/>
        <c:minorTickMark val="none"/>
        <c:tickLblPos val="nextTo"/>
        <c:crossAx val="246323072"/>
        <c:crosses val="autoZero"/>
        <c:crossBetween val="between"/>
        <c:majorUnit val="40"/>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'Model Old'!$A$267</c:f>
              <c:strCache>
                <c:ptCount val="1"/>
                <c:pt idx="0">
                  <c:v>Premium TV ('000)</c:v>
                </c:pt>
              </c:strCache>
            </c:strRef>
          </c:tx>
          <c:spPr>
            <a:solidFill>
              <a:srgbClr val="000080"/>
            </a:solidFill>
            <a:ln w="25400">
              <a:noFill/>
            </a:ln>
          </c:spPr>
          <c:invertIfNegative val="0"/>
          <c:cat>
            <c:strRef>
              <c:f>'Model Old'!$B$244:$O$244</c:f>
              <c:strCache>
                <c:ptCount val="14"/>
                <c:pt idx="0">
                  <c:v>2011A</c:v>
                </c:pt>
                <c:pt idx="1">
                  <c:v>2012A</c:v>
                </c:pt>
                <c:pt idx="2">
                  <c:v>2013A</c:v>
                </c:pt>
                <c:pt idx="3">
                  <c:v>2014A</c:v>
                </c:pt>
                <c:pt idx="4">
                  <c:v>2015E</c:v>
                </c:pt>
                <c:pt idx="12">
                  <c:v>2016E</c:v>
                </c:pt>
                <c:pt idx="13">
                  <c:v>2017E</c:v>
                </c:pt>
              </c:strCache>
            </c:strRef>
          </c:cat>
          <c:val>
            <c:numRef>
              <c:f>'Model Old'!$B$267:$O$267</c:f>
              <c:numCache>
                <c:formatCode>#,##0_);\(#,##0\);#,##0_);@_)</c:formatCode>
                <c:ptCount val="14"/>
                <c:pt idx="0">
                  <c:v>142</c:v>
                </c:pt>
                <c:pt idx="1">
                  <c:v>153</c:v>
                </c:pt>
                <c:pt idx="2">
                  <c:v>164</c:v>
                </c:pt>
                <c:pt idx="3">
                  <c:v>161</c:v>
                </c:pt>
                <c:pt idx="4">
                  <c:v>181</c:v>
                </c:pt>
                <c:pt idx="6">
                  <c:v>233</c:v>
                </c:pt>
                <c:pt idx="8">
                  <c:v>21</c:v>
                </c:pt>
                <c:pt idx="10">
                  <c:v>435</c:v>
                </c:pt>
                <c:pt idx="12">
                  <c:v>495</c:v>
                </c:pt>
                <c:pt idx="13">
                  <c:v>555</c:v>
                </c:pt>
              </c:numCache>
            </c:numRef>
          </c:val>
          <c:extLst>
            <c:ext xmlns:c16="http://schemas.microsoft.com/office/drawing/2014/chart" uri="{C3380CC4-5D6E-409C-BE32-E72D297353CC}">
              <c16:uniqueId val="{00000000-F561-405B-BA49-3A86D5B7102E}"/>
            </c:ext>
          </c:extLst>
        </c:ser>
        <c:dLbls>
          <c:showLegendKey val="0"/>
          <c:showVal val="0"/>
          <c:showCatName val="0"/>
          <c:showSerName val="0"/>
          <c:showPercent val="0"/>
          <c:showBubbleSize val="0"/>
        </c:dLbls>
        <c:gapWidth val="150"/>
        <c:axId val="246418816"/>
        <c:axId val="246436992"/>
      </c:barChart>
      <c:catAx>
        <c:axId val="246418816"/>
        <c:scaling>
          <c:orientation val="minMax"/>
        </c:scaling>
        <c:delete val="0"/>
        <c:axPos val="b"/>
        <c:numFmt formatCode="General" sourceLinked="0"/>
        <c:majorTickMark val="out"/>
        <c:minorTickMark val="none"/>
        <c:tickLblPos val="nextTo"/>
        <c:crossAx val="246436992"/>
        <c:crosses val="autoZero"/>
        <c:auto val="1"/>
        <c:lblAlgn val="ctr"/>
        <c:lblOffset val="100"/>
        <c:noMultiLvlLbl val="0"/>
      </c:catAx>
      <c:valAx>
        <c:axId val="246436992"/>
        <c:scaling>
          <c:orientation val="minMax"/>
        </c:scaling>
        <c:delete val="0"/>
        <c:axPos val="l"/>
        <c:majorGridlines>
          <c:spPr>
            <a:ln w="3175">
              <a:solidFill>
                <a:srgbClr val="C0C0C0"/>
              </a:solidFill>
              <a:prstDash val="solid"/>
            </a:ln>
          </c:spPr>
        </c:majorGridlines>
        <c:numFmt formatCode="#,##0_);\(#,##0\);#,##0_);@_)" sourceLinked="1"/>
        <c:majorTickMark val="out"/>
        <c:minorTickMark val="none"/>
        <c:tickLblPos val="nextTo"/>
        <c:crossAx val="246418816"/>
        <c:crosses val="autoZero"/>
        <c:crossBetween val="between"/>
      </c:valAx>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'Model Old'!$A$299</c:f>
              <c:strCache>
                <c:ptCount val="1"/>
                <c:pt idx="0">
                  <c:v>Premium TV Services (as % of CATV - own infrastructure)</c:v>
                </c:pt>
              </c:strCache>
            </c:strRef>
          </c:tx>
          <c:spPr>
            <a:solidFill>
              <a:srgbClr val="000080"/>
            </a:solidFill>
            <a:ln w="25400">
              <a:noFill/>
            </a:ln>
          </c:spPr>
          <c:invertIfNegative val="0"/>
          <c:cat>
            <c:strRef>
              <c:f>'Model Old'!$B$244:$O$244</c:f>
              <c:strCache>
                <c:ptCount val="14"/>
                <c:pt idx="0">
                  <c:v>2011A</c:v>
                </c:pt>
                <c:pt idx="1">
                  <c:v>2012A</c:v>
                </c:pt>
                <c:pt idx="2">
                  <c:v>2013A</c:v>
                </c:pt>
                <c:pt idx="3">
                  <c:v>2014A</c:v>
                </c:pt>
                <c:pt idx="4">
                  <c:v>2015E</c:v>
                </c:pt>
                <c:pt idx="12">
                  <c:v>2016E</c:v>
                </c:pt>
                <c:pt idx="13">
                  <c:v>2017E</c:v>
                </c:pt>
              </c:strCache>
            </c:strRef>
          </c:cat>
          <c:val>
            <c:numRef>
              <c:f>'Model Old'!$B$299:$O$299</c:f>
              <c:numCache>
                <c:formatCode>0.0%_);\(0.0%\);0.0%_);@_)</c:formatCode>
                <c:ptCount val="14"/>
                <c:pt idx="0">
                  <c:v>0.14599999999999999</c:v>
                </c:pt>
                <c:pt idx="1">
                  <c:v>0.161</c:v>
                </c:pt>
                <c:pt idx="2">
                  <c:v>0.17899999999999999</c:v>
                </c:pt>
                <c:pt idx="3">
                  <c:v>0.17288209739984658</c:v>
                </c:pt>
                <c:pt idx="4">
                  <c:v>0.19346288327853609</c:v>
                </c:pt>
                <c:pt idx="12">
                  <c:v>0.26546922600575507</c:v>
                </c:pt>
                <c:pt idx="13">
                  <c:v>0.29227203020746489</c:v>
                </c:pt>
              </c:numCache>
            </c:numRef>
          </c:val>
          <c:extLst>
            <c:ext xmlns:c16="http://schemas.microsoft.com/office/drawing/2014/chart" uri="{C3380CC4-5D6E-409C-BE32-E72D297353CC}">
              <c16:uniqueId val="{00000000-5687-4C8E-ABED-E24536B4B7CD}"/>
            </c:ext>
          </c:extLst>
        </c:ser>
        <c:dLbls>
          <c:showLegendKey val="0"/>
          <c:showVal val="0"/>
          <c:showCatName val="0"/>
          <c:showSerName val="0"/>
          <c:showPercent val="0"/>
          <c:showBubbleSize val="0"/>
        </c:dLbls>
        <c:gapWidth val="150"/>
        <c:axId val="246453760"/>
        <c:axId val="246455296"/>
      </c:barChart>
      <c:catAx>
        <c:axId val="246453760"/>
        <c:scaling>
          <c:orientation val="minMax"/>
        </c:scaling>
        <c:delete val="0"/>
        <c:axPos val="b"/>
        <c:numFmt formatCode="General" sourceLinked="0"/>
        <c:majorTickMark val="out"/>
        <c:minorTickMark val="none"/>
        <c:tickLblPos val="nextTo"/>
        <c:crossAx val="246455296"/>
        <c:crosses val="autoZero"/>
        <c:auto val="1"/>
        <c:lblAlgn val="ctr"/>
        <c:lblOffset val="100"/>
        <c:noMultiLvlLbl val="0"/>
      </c:catAx>
      <c:valAx>
        <c:axId val="246455296"/>
        <c:scaling>
          <c:orientation val="minMax"/>
        </c:scaling>
        <c:delete val="0"/>
        <c:axPos val="l"/>
        <c:majorGridlines>
          <c:spPr>
            <a:ln w="3175">
              <a:solidFill>
                <a:srgbClr val="C0C0C0"/>
              </a:solidFill>
              <a:prstDash val="solid"/>
            </a:ln>
          </c:spPr>
        </c:majorGridlines>
        <c:numFmt formatCode="0.0%_);\(0.0%\);0.0%_);@_)" sourceLinked="1"/>
        <c:majorTickMark val="out"/>
        <c:minorTickMark val="none"/>
        <c:tickLblPos val="nextTo"/>
        <c:crossAx val="246453760"/>
        <c:crosses val="autoZero"/>
        <c:crossBetween val="between"/>
      </c:valAx>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EBITDA margin</c:v>
          </c:tx>
          <c:spPr>
            <a:ln w="25400">
              <a:solidFill>
                <a:srgbClr val="333399"/>
              </a:solidFill>
              <a:prstDash val="solid"/>
            </a:ln>
            <a:effectLst/>
          </c:spPr>
          <c:marker>
            <c:symbol val="none"/>
          </c:marker>
          <c:cat>
            <c:strRef>
              <c:f>'Model Old'!$B$3:$O$3</c:f>
              <c:strCache>
                <c:ptCount val="14"/>
                <c:pt idx="0">
                  <c:v>2011A</c:v>
                </c:pt>
                <c:pt idx="1">
                  <c:v>2012A</c:v>
                </c:pt>
                <c:pt idx="2">
                  <c:v>2013A</c:v>
                </c:pt>
                <c:pt idx="3">
                  <c:v>2014A</c:v>
                </c:pt>
                <c:pt idx="4">
                  <c:v>2015E</c:v>
                </c:pt>
                <c:pt idx="5">
                  <c:v>Prima 14A</c:v>
                </c:pt>
                <c:pt idx="6">
                  <c:v>Prima 15E</c:v>
                </c:pt>
                <c:pt idx="7">
                  <c:v>pep 14A</c:v>
                </c:pt>
                <c:pt idx="8">
                  <c:v>pep 15E</c:v>
                </c:pt>
                <c:pt idx="9">
                  <c:v>Adj.</c:v>
                </c:pt>
                <c:pt idx="10">
                  <c:v>PF 2015E</c:v>
                </c:pt>
                <c:pt idx="12">
                  <c:v>2016E</c:v>
                </c:pt>
                <c:pt idx="13">
                  <c:v>2017E</c:v>
                </c:pt>
              </c:strCache>
            </c:strRef>
          </c:cat>
          <c:val>
            <c:numRef>
              <c:f>'Model Old'!$B$8:$O$8</c:f>
              <c:numCache>
                <c:formatCode>0%</c:formatCode>
                <c:ptCount val="14"/>
                <c:pt idx="0">
                  <c:v>0.38299951148021499</c:v>
                </c:pt>
                <c:pt idx="1">
                  <c:v>0.42425718460789086</c:v>
                </c:pt>
                <c:pt idx="2">
                  <c:v>0.42725509214354995</c:v>
                </c:pt>
                <c:pt idx="3" formatCode="0.0%">
                  <c:v>0.4649435572373784</c:v>
                </c:pt>
                <c:pt idx="4" formatCode="0.0%">
                  <c:v>0.47449106544596875</c:v>
                </c:pt>
                <c:pt idx="10" formatCode="0.0%">
                  <c:v>0.47853452539053365</c:v>
                </c:pt>
                <c:pt idx="12">
                  <c:v>0.53524940705217028</c:v>
                </c:pt>
                <c:pt idx="13">
                  <c:v>0.55017616582597917</c:v>
                </c:pt>
              </c:numCache>
            </c:numRef>
          </c:val>
          <c:smooth val="0"/>
          <c:extLst>
            <c:ext xmlns:c16="http://schemas.microsoft.com/office/drawing/2014/chart" uri="{C3380CC4-5D6E-409C-BE32-E72D297353CC}">
              <c16:uniqueId val="{00000000-5A45-4AE5-A78C-C7DD238BD2F6}"/>
            </c:ext>
          </c:extLst>
        </c:ser>
        <c:ser>
          <c:idx val="1"/>
          <c:order val="1"/>
          <c:tx>
            <c:v>Capex % revenues</c:v>
          </c:tx>
          <c:spPr>
            <a:ln w="25400">
              <a:solidFill>
                <a:srgbClr val="99CCFF"/>
              </a:solidFill>
              <a:prstDash val="solid"/>
            </a:ln>
            <a:effectLst/>
          </c:spPr>
          <c:marker>
            <c:symbol val="none"/>
          </c:marker>
          <c:cat>
            <c:strRef>
              <c:f>'Model Old'!$B$3:$O$3</c:f>
              <c:strCache>
                <c:ptCount val="14"/>
                <c:pt idx="0">
                  <c:v>2011A</c:v>
                </c:pt>
                <c:pt idx="1">
                  <c:v>2012A</c:v>
                </c:pt>
                <c:pt idx="2">
                  <c:v>2013A</c:v>
                </c:pt>
                <c:pt idx="3">
                  <c:v>2014A</c:v>
                </c:pt>
                <c:pt idx="4">
                  <c:v>2015E</c:v>
                </c:pt>
                <c:pt idx="5">
                  <c:v>Prima 14A</c:v>
                </c:pt>
                <c:pt idx="6">
                  <c:v>Prima 15E</c:v>
                </c:pt>
                <c:pt idx="7">
                  <c:v>pep 14A</c:v>
                </c:pt>
                <c:pt idx="8">
                  <c:v>pep 15E</c:v>
                </c:pt>
                <c:pt idx="9">
                  <c:v>Adj.</c:v>
                </c:pt>
                <c:pt idx="10">
                  <c:v>PF 2015E</c:v>
                </c:pt>
                <c:pt idx="12">
                  <c:v>2016E</c:v>
                </c:pt>
                <c:pt idx="13">
                  <c:v>2017E</c:v>
                </c:pt>
              </c:strCache>
            </c:strRef>
          </c:cat>
          <c:val>
            <c:numRef>
              <c:f>'Model Old'!$B$10:$O$10</c:f>
              <c:numCache>
                <c:formatCode>0%</c:formatCode>
                <c:ptCount val="14"/>
                <c:pt idx="0">
                  <c:v>0.33268197361993157</c:v>
                </c:pt>
                <c:pt idx="1">
                  <c:v>0.29030686799805161</c:v>
                </c:pt>
                <c:pt idx="2">
                  <c:v>0.24975751697381185</c:v>
                </c:pt>
                <c:pt idx="3">
                  <c:v>0.3948356807511737</c:v>
                </c:pt>
                <c:pt idx="4">
                  <c:v>0.51757220201872645</c:v>
                </c:pt>
                <c:pt idx="10">
                  <c:v>0.37744962984426078</c:v>
                </c:pt>
                <c:pt idx="12">
                  <c:v>0.3</c:v>
                </c:pt>
                <c:pt idx="13">
                  <c:v>0.25</c:v>
                </c:pt>
              </c:numCache>
            </c:numRef>
          </c:val>
          <c:smooth val="0"/>
          <c:extLst>
            <c:ext xmlns:c16="http://schemas.microsoft.com/office/drawing/2014/chart" uri="{C3380CC4-5D6E-409C-BE32-E72D297353CC}">
              <c16:uniqueId val="{00000001-5A45-4AE5-A78C-C7DD238BD2F6}"/>
            </c:ext>
          </c:extLst>
        </c:ser>
        <c:dLbls>
          <c:showLegendKey val="0"/>
          <c:showVal val="0"/>
          <c:showCatName val="0"/>
          <c:showSerName val="0"/>
          <c:showPercent val="0"/>
          <c:showBubbleSize val="0"/>
        </c:dLbls>
        <c:smooth val="0"/>
        <c:axId val="246833920"/>
        <c:axId val="246835456"/>
      </c:lineChart>
      <c:catAx>
        <c:axId val="246833920"/>
        <c:scaling>
          <c:orientation val="minMax"/>
        </c:scaling>
        <c:delete val="0"/>
        <c:axPos val="b"/>
        <c:numFmt formatCode="General" sourceLinked="0"/>
        <c:majorTickMark val="out"/>
        <c:minorTickMark val="none"/>
        <c:tickLblPos val="low"/>
        <c:crossAx val="246835456"/>
        <c:crosses val="autoZero"/>
        <c:auto val="1"/>
        <c:lblAlgn val="ctr"/>
        <c:lblOffset val="100"/>
        <c:tickLblSkip val="2"/>
        <c:noMultiLvlLbl val="0"/>
      </c:catAx>
      <c:valAx>
        <c:axId val="246835456"/>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crossAx val="246833920"/>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2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Workings!$Z$44</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Workings!$AA$44:$AI$44</c:f>
              <c:numCache>
                <c:formatCode>0.0%</c:formatCode>
                <c:ptCount val="9"/>
                <c:pt idx="0">
                  <c:v>-1.1133603238866363E-2</c:v>
                </c:pt>
                <c:pt idx="1">
                  <c:v>1.0059950285129515E-2</c:v>
                </c:pt>
                <c:pt idx="2">
                  <c:v>3.5467153073336366E-3</c:v>
                </c:pt>
                <c:pt idx="3">
                  <c:v>1.6848664945256386E-2</c:v>
                </c:pt>
                <c:pt idx="4">
                  <c:v>2.9365450908627189E-3</c:v>
                </c:pt>
                <c:pt idx="5">
                  <c:v>8.0624628702368195E-3</c:v>
                </c:pt>
                <c:pt idx="6">
                  <c:v>2.9999999999998916E-3</c:v>
                </c:pt>
                <c:pt idx="7">
                  <c:v>2.9999999999998916E-3</c:v>
                </c:pt>
                <c:pt idx="8">
                  <c:v>2.9999999999998916E-3</c:v>
                </c:pt>
              </c:numCache>
            </c:numRef>
          </c:val>
          <c:smooth val="0"/>
          <c:extLst>
            <c:ext xmlns:c16="http://schemas.microsoft.com/office/drawing/2014/chart" uri="{C3380CC4-5D6E-409C-BE32-E72D297353CC}">
              <c16:uniqueId val="{00000000-E541-4B6C-82A5-D6E6AFB63B27}"/>
            </c:ext>
          </c:extLst>
        </c:ser>
        <c:ser>
          <c:idx val="1"/>
          <c:order val="1"/>
          <c:tx>
            <c:strRef>
              <c:f>Workings!$Z$45</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Workings!$AA$45:$AI$45</c:f>
              <c:numCache>
                <c:formatCode>0.0%</c:formatCode>
                <c:ptCount val="9"/>
                <c:pt idx="0">
                  <c:v>-2.2217837843762522E-2</c:v>
                </c:pt>
                <c:pt idx="1">
                  <c:v>-1.9684774566733232E-2</c:v>
                </c:pt>
                <c:pt idx="2">
                  <c:v>-2.2847341337907334E-2</c:v>
                </c:pt>
                <c:pt idx="3">
                  <c:v>-8.4491878481487426E-3</c:v>
                </c:pt>
                <c:pt idx="4">
                  <c:v>-1.5224831818718254E-2</c:v>
                </c:pt>
                <c:pt idx="5">
                  <c:v>1.4847920281875204E-3</c:v>
                </c:pt>
                <c:pt idx="6">
                  <c:v>2.2006041668032328E-3</c:v>
                </c:pt>
                <c:pt idx="7">
                  <c:v>2.9122090249409371E-3</c:v>
                </c:pt>
                <c:pt idx="8">
                  <c:v>3.6181092180844754E-3</c:v>
                </c:pt>
              </c:numCache>
            </c:numRef>
          </c:val>
          <c:smooth val="0"/>
          <c:extLst>
            <c:ext xmlns:c16="http://schemas.microsoft.com/office/drawing/2014/chart" uri="{C3380CC4-5D6E-409C-BE32-E72D297353CC}">
              <c16:uniqueId val="{00000001-E541-4B6C-82A5-D6E6AFB63B27}"/>
            </c:ext>
          </c:extLst>
        </c:ser>
        <c:ser>
          <c:idx val="2"/>
          <c:order val="2"/>
          <c:tx>
            <c:strRef>
              <c:f>Workings!$Z$46</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Workings!$AA$46:$AI$46</c:f>
              <c:numCache>
                <c:formatCode>0.0%</c:formatCode>
                <c:ptCount val="9"/>
                <c:pt idx="3">
                  <c:v>0</c:v>
                </c:pt>
                <c:pt idx="4">
                  <c:v>0</c:v>
                </c:pt>
                <c:pt idx="5">
                  <c:v>0</c:v>
                </c:pt>
                <c:pt idx="6">
                  <c:v>0</c:v>
                </c:pt>
                <c:pt idx="7">
                  <c:v>0</c:v>
                </c:pt>
                <c:pt idx="8">
                  <c:v>0</c:v>
                </c:pt>
              </c:numCache>
            </c:numRef>
          </c:val>
          <c:smooth val="0"/>
          <c:extLst>
            <c:ext xmlns:c16="http://schemas.microsoft.com/office/drawing/2014/chart" uri="{C3380CC4-5D6E-409C-BE32-E72D297353CC}">
              <c16:uniqueId val="{00000002-E541-4B6C-82A5-D6E6AFB63B27}"/>
            </c:ext>
          </c:extLst>
        </c:ser>
        <c:dLbls>
          <c:showLegendKey val="0"/>
          <c:showVal val="0"/>
          <c:showCatName val="0"/>
          <c:showSerName val="0"/>
          <c:showPercent val="0"/>
          <c:showBubbleSize val="0"/>
        </c:dLbls>
        <c:smooth val="0"/>
        <c:axId val="243167232"/>
        <c:axId val="243168768"/>
      </c:lineChart>
      <c:catAx>
        <c:axId val="243167232"/>
        <c:scaling>
          <c:orientation val="minMax"/>
        </c:scaling>
        <c:delete val="0"/>
        <c:axPos val="b"/>
        <c:numFmt formatCode="General" sourceLinked="1"/>
        <c:majorTickMark val="out"/>
        <c:minorTickMark val="none"/>
        <c:tickLblPos val="low"/>
        <c:crossAx val="243168768"/>
        <c:crosses val="autoZero"/>
        <c:auto val="1"/>
        <c:lblAlgn val="ctr"/>
        <c:lblOffset val="100"/>
        <c:noMultiLvlLbl val="0"/>
      </c:catAx>
      <c:valAx>
        <c:axId val="243168768"/>
        <c:scaling>
          <c:orientation val="minMax"/>
        </c:scaling>
        <c:delete val="0"/>
        <c:axPos val="l"/>
        <c:majorGridlines>
          <c:spPr>
            <a:ln w="3175">
              <a:solidFill>
                <a:srgbClr val="C0C0C0"/>
              </a:solidFill>
              <a:prstDash val="solid"/>
            </a:ln>
          </c:spPr>
        </c:majorGridlines>
        <c:title>
          <c:tx>
            <c:strRef>
              <c:f>Workings!$Z$43</c:f>
              <c:strCache>
                <c:ptCount val="1"/>
                <c:pt idx="0">
                  <c:v>Customer change</c:v>
                </c:pt>
              </c:strCache>
            </c:strRef>
          </c:tx>
          <c:overlay val="0"/>
          <c:txPr>
            <a:bodyPr rot="-5400000" vert="horz"/>
            <a:lstStyle/>
            <a:p>
              <a:pPr>
                <a:defRPr/>
              </a:pPr>
              <a:endParaRPr lang="en-US"/>
            </a:p>
          </c:txPr>
        </c:title>
        <c:numFmt formatCode="0.0%" sourceLinked="1"/>
        <c:majorTickMark val="out"/>
        <c:minorTickMark val="none"/>
        <c:tickLblPos val="nextTo"/>
        <c:crossAx val="243167232"/>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Workings!$Z$49</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Workings!$AA$49:$AI$49</c:f>
              <c:numCache>
                <c:formatCode>0.0%</c:formatCode>
                <c:ptCount val="9"/>
                <c:pt idx="0">
                  <c:v>-1.186857721812129E-2</c:v>
                </c:pt>
                <c:pt idx="1">
                  <c:v>-3.3689761242127192E-3</c:v>
                </c:pt>
                <c:pt idx="2">
                  <c:v>-7.5837742504408778E-3</c:v>
                </c:pt>
                <c:pt idx="3">
                  <c:v>-9.3152064451158534E-3</c:v>
                </c:pt>
                <c:pt idx="4">
                  <c:v>-1.3169893116077525E-2</c:v>
                </c:pt>
                <c:pt idx="5">
                  <c:v>-6.5895113157813379E-3</c:v>
                </c:pt>
                <c:pt idx="6">
                  <c:v>-1.0000000000000009E-2</c:v>
                </c:pt>
                <c:pt idx="7">
                  <c:v>-1.0000000000000009E-2</c:v>
                </c:pt>
                <c:pt idx="8">
                  <c:v>-1.0000000000000009E-2</c:v>
                </c:pt>
              </c:numCache>
            </c:numRef>
          </c:val>
          <c:smooth val="0"/>
          <c:extLst>
            <c:ext xmlns:c16="http://schemas.microsoft.com/office/drawing/2014/chart" uri="{C3380CC4-5D6E-409C-BE32-E72D297353CC}">
              <c16:uniqueId val="{00000000-A0D2-4686-9719-B36B4DE63F54}"/>
            </c:ext>
          </c:extLst>
        </c:ser>
        <c:ser>
          <c:idx val="1"/>
          <c:order val="1"/>
          <c:tx>
            <c:strRef>
              <c:f>Workings!$Z$50</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Workings!$AA$50:$AI$50</c:f>
              <c:numCache>
                <c:formatCode>0.0%</c:formatCode>
                <c:ptCount val="9"/>
                <c:pt idx="0">
                  <c:v>-2.6475037821482639E-2</c:v>
                </c:pt>
                <c:pt idx="1">
                  <c:v>-1.454101454101453E-2</c:v>
                </c:pt>
                <c:pt idx="2">
                  <c:v>-1.9846812345122866E-2</c:v>
                </c:pt>
                <c:pt idx="3">
                  <c:v>-9.7451102070834628E-3</c:v>
                </c:pt>
                <c:pt idx="4">
                  <c:v>-3.6671695485667843E-2</c:v>
                </c:pt>
                <c:pt idx="5">
                  <c:v>-6.9907986443815684E-3</c:v>
                </c:pt>
                <c:pt idx="6">
                  <c:v>-7.0925627017287551E-3</c:v>
                </c:pt>
                <c:pt idx="7">
                  <c:v>-7.196150588254735E-3</c:v>
                </c:pt>
                <c:pt idx="8">
                  <c:v>-7.3016182374286975E-3</c:v>
                </c:pt>
              </c:numCache>
            </c:numRef>
          </c:val>
          <c:smooth val="0"/>
          <c:extLst>
            <c:ext xmlns:c16="http://schemas.microsoft.com/office/drawing/2014/chart" uri="{C3380CC4-5D6E-409C-BE32-E72D297353CC}">
              <c16:uniqueId val="{00000001-A0D2-4686-9719-B36B4DE63F54}"/>
            </c:ext>
          </c:extLst>
        </c:ser>
        <c:ser>
          <c:idx val="2"/>
          <c:order val="2"/>
          <c:tx>
            <c:strRef>
              <c:f>Workings!$Z$51</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Workings!$AA$51:$AI$51</c:f>
              <c:numCache>
                <c:formatCode>0.0%</c:formatCode>
                <c:ptCount val="9"/>
                <c:pt idx="3">
                  <c:v>0</c:v>
                </c:pt>
                <c:pt idx="4">
                  <c:v>0</c:v>
                </c:pt>
                <c:pt idx="5">
                  <c:v>0</c:v>
                </c:pt>
                <c:pt idx="6">
                  <c:v>0</c:v>
                </c:pt>
                <c:pt idx="7">
                  <c:v>0</c:v>
                </c:pt>
                <c:pt idx="8">
                  <c:v>0</c:v>
                </c:pt>
              </c:numCache>
            </c:numRef>
          </c:val>
          <c:smooth val="0"/>
          <c:extLst>
            <c:ext xmlns:c16="http://schemas.microsoft.com/office/drawing/2014/chart" uri="{C3380CC4-5D6E-409C-BE32-E72D297353CC}">
              <c16:uniqueId val="{00000002-A0D2-4686-9719-B36B4DE63F54}"/>
            </c:ext>
          </c:extLst>
        </c:ser>
        <c:dLbls>
          <c:showLegendKey val="0"/>
          <c:showVal val="0"/>
          <c:showCatName val="0"/>
          <c:showSerName val="0"/>
          <c:showPercent val="0"/>
          <c:showBubbleSize val="0"/>
        </c:dLbls>
        <c:smooth val="0"/>
        <c:axId val="243401088"/>
        <c:axId val="243402624"/>
      </c:lineChart>
      <c:catAx>
        <c:axId val="243401088"/>
        <c:scaling>
          <c:orientation val="minMax"/>
        </c:scaling>
        <c:delete val="0"/>
        <c:axPos val="b"/>
        <c:numFmt formatCode="General" sourceLinked="1"/>
        <c:majorTickMark val="out"/>
        <c:minorTickMark val="none"/>
        <c:tickLblPos val="low"/>
        <c:crossAx val="243402624"/>
        <c:crosses val="autoZero"/>
        <c:auto val="1"/>
        <c:lblAlgn val="ctr"/>
        <c:lblOffset val="100"/>
        <c:noMultiLvlLbl val="0"/>
      </c:catAx>
      <c:valAx>
        <c:axId val="243402624"/>
        <c:scaling>
          <c:orientation val="minMax"/>
        </c:scaling>
        <c:delete val="0"/>
        <c:axPos val="l"/>
        <c:majorGridlines>
          <c:spPr>
            <a:ln w="3175">
              <a:solidFill>
                <a:srgbClr val="C0C0C0"/>
              </a:solidFill>
              <a:prstDash val="solid"/>
            </a:ln>
          </c:spPr>
        </c:majorGridlines>
        <c:title>
          <c:tx>
            <c:strRef>
              <c:f>Workings!$Z$48</c:f>
              <c:strCache>
                <c:ptCount val="1"/>
                <c:pt idx="0">
                  <c:v>Video RGU loss</c:v>
                </c:pt>
              </c:strCache>
            </c:strRef>
          </c:tx>
          <c:overlay val="0"/>
          <c:txPr>
            <a:bodyPr rot="-5400000" vert="horz"/>
            <a:lstStyle/>
            <a:p>
              <a:pPr>
                <a:defRPr/>
              </a:pPr>
              <a:endParaRPr lang="en-US"/>
            </a:p>
          </c:txPr>
        </c:title>
        <c:numFmt formatCode="0.0%" sourceLinked="1"/>
        <c:majorTickMark val="out"/>
        <c:minorTickMark val="none"/>
        <c:tickLblPos val="nextTo"/>
        <c:crossAx val="243401088"/>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1.png"/><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 Id="rId9"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chart" Target="../charts/chart17.xml"/><Relationship Id="rId18" Type="http://schemas.openxmlformats.org/officeDocument/2006/relationships/chart" Target="../charts/chart22.xml"/><Relationship Id="rId26" Type="http://schemas.openxmlformats.org/officeDocument/2006/relationships/chart" Target="../charts/chart30.xml"/><Relationship Id="rId39" Type="http://schemas.openxmlformats.org/officeDocument/2006/relationships/chart" Target="../charts/chart42.xml"/><Relationship Id="rId21" Type="http://schemas.openxmlformats.org/officeDocument/2006/relationships/chart" Target="../charts/chart25.xml"/><Relationship Id="rId34" Type="http://schemas.openxmlformats.org/officeDocument/2006/relationships/image" Target="../media/image2.png"/><Relationship Id="rId42" Type="http://schemas.openxmlformats.org/officeDocument/2006/relationships/chart" Target="../charts/chart45.xml"/><Relationship Id="rId47" Type="http://schemas.openxmlformats.org/officeDocument/2006/relationships/chart" Target="../charts/chart50.xml"/><Relationship Id="rId7" Type="http://schemas.openxmlformats.org/officeDocument/2006/relationships/chart" Target="../charts/chart11.xml"/><Relationship Id="rId2" Type="http://schemas.openxmlformats.org/officeDocument/2006/relationships/chart" Target="../charts/chart6.xml"/><Relationship Id="rId16" Type="http://schemas.openxmlformats.org/officeDocument/2006/relationships/chart" Target="../charts/chart20.xml"/><Relationship Id="rId29" Type="http://schemas.openxmlformats.org/officeDocument/2006/relationships/chart" Target="../charts/chart33.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24" Type="http://schemas.openxmlformats.org/officeDocument/2006/relationships/chart" Target="../charts/chart28.xml"/><Relationship Id="rId32" Type="http://schemas.openxmlformats.org/officeDocument/2006/relationships/chart" Target="../charts/chart36.xml"/><Relationship Id="rId37" Type="http://schemas.openxmlformats.org/officeDocument/2006/relationships/chart" Target="../charts/chart40.xml"/><Relationship Id="rId40" Type="http://schemas.openxmlformats.org/officeDocument/2006/relationships/chart" Target="../charts/chart43.xml"/><Relationship Id="rId45" Type="http://schemas.openxmlformats.org/officeDocument/2006/relationships/chart" Target="../charts/chart48.xml"/><Relationship Id="rId5" Type="http://schemas.openxmlformats.org/officeDocument/2006/relationships/chart" Target="../charts/chart9.xml"/><Relationship Id="rId15" Type="http://schemas.openxmlformats.org/officeDocument/2006/relationships/chart" Target="../charts/chart19.xml"/><Relationship Id="rId23" Type="http://schemas.openxmlformats.org/officeDocument/2006/relationships/chart" Target="../charts/chart27.xml"/><Relationship Id="rId28" Type="http://schemas.openxmlformats.org/officeDocument/2006/relationships/chart" Target="../charts/chart32.xml"/><Relationship Id="rId36" Type="http://schemas.openxmlformats.org/officeDocument/2006/relationships/chart" Target="../charts/chart39.xml"/><Relationship Id="rId10" Type="http://schemas.openxmlformats.org/officeDocument/2006/relationships/chart" Target="../charts/chart14.xml"/><Relationship Id="rId19" Type="http://schemas.openxmlformats.org/officeDocument/2006/relationships/chart" Target="../charts/chart23.xml"/><Relationship Id="rId31" Type="http://schemas.openxmlformats.org/officeDocument/2006/relationships/chart" Target="../charts/chart35.xml"/><Relationship Id="rId44" Type="http://schemas.openxmlformats.org/officeDocument/2006/relationships/chart" Target="../charts/chart47.xml"/><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8.xml"/><Relationship Id="rId22" Type="http://schemas.openxmlformats.org/officeDocument/2006/relationships/chart" Target="../charts/chart26.xml"/><Relationship Id="rId27" Type="http://schemas.openxmlformats.org/officeDocument/2006/relationships/chart" Target="../charts/chart31.xml"/><Relationship Id="rId30" Type="http://schemas.openxmlformats.org/officeDocument/2006/relationships/chart" Target="../charts/chart34.xml"/><Relationship Id="rId35" Type="http://schemas.openxmlformats.org/officeDocument/2006/relationships/chart" Target="../charts/chart38.xml"/><Relationship Id="rId43" Type="http://schemas.openxmlformats.org/officeDocument/2006/relationships/chart" Target="../charts/chart46.xml"/><Relationship Id="rId8" Type="http://schemas.openxmlformats.org/officeDocument/2006/relationships/chart" Target="../charts/chart12.xml"/><Relationship Id="rId3" Type="http://schemas.openxmlformats.org/officeDocument/2006/relationships/chart" Target="../charts/chart7.xml"/><Relationship Id="rId12" Type="http://schemas.openxmlformats.org/officeDocument/2006/relationships/chart" Target="../charts/chart16.xml"/><Relationship Id="rId17" Type="http://schemas.openxmlformats.org/officeDocument/2006/relationships/chart" Target="../charts/chart21.xml"/><Relationship Id="rId25" Type="http://schemas.openxmlformats.org/officeDocument/2006/relationships/chart" Target="../charts/chart29.xml"/><Relationship Id="rId33" Type="http://schemas.openxmlformats.org/officeDocument/2006/relationships/chart" Target="../charts/chart37.xml"/><Relationship Id="rId38" Type="http://schemas.openxmlformats.org/officeDocument/2006/relationships/chart" Target="../charts/chart41.xml"/><Relationship Id="rId46" Type="http://schemas.openxmlformats.org/officeDocument/2006/relationships/chart" Target="../charts/chart49.xml"/><Relationship Id="rId20" Type="http://schemas.openxmlformats.org/officeDocument/2006/relationships/chart" Target="../charts/chart24.xml"/><Relationship Id="rId41" Type="http://schemas.openxmlformats.org/officeDocument/2006/relationships/chart" Target="../charts/chart44.xm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8" Type="http://schemas.openxmlformats.org/officeDocument/2006/relationships/chart" Target="../charts/chart58.xml"/><Relationship Id="rId13" Type="http://schemas.openxmlformats.org/officeDocument/2006/relationships/chart" Target="../charts/chart63.xml"/><Relationship Id="rId3" Type="http://schemas.openxmlformats.org/officeDocument/2006/relationships/chart" Target="../charts/chart53.xml"/><Relationship Id="rId7" Type="http://schemas.openxmlformats.org/officeDocument/2006/relationships/chart" Target="../charts/chart57.xml"/><Relationship Id="rId12" Type="http://schemas.openxmlformats.org/officeDocument/2006/relationships/chart" Target="../charts/chart62.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11" Type="http://schemas.openxmlformats.org/officeDocument/2006/relationships/chart" Target="../charts/chart61.xml"/><Relationship Id="rId5" Type="http://schemas.openxmlformats.org/officeDocument/2006/relationships/chart" Target="../charts/chart55.xml"/><Relationship Id="rId10" Type="http://schemas.openxmlformats.org/officeDocument/2006/relationships/chart" Target="../charts/chart60.xml"/><Relationship Id="rId4" Type="http://schemas.openxmlformats.org/officeDocument/2006/relationships/chart" Target="../charts/chart54.xml"/><Relationship Id="rId9" Type="http://schemas.openxmlformats.org/officeDocument/2006/relationships/chart" Target="../charts/chart59.xml"/><Relationship Id="rId14" Type="http://schemas.openxmlformats.org/officeDocument/2006/relationships/chart" Target="../charts/chart6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26</xdr:col>
      <xdr:colOff>104775</xdr:colOff>
      <xdr:row>87</xdr:row>
      <xdr:rowOff>0</xdr:rowOff>
    </xdr:from>
    <xdr:to>
      <xdr:col>33</xdr:col>
      <xdr:colOff>200025</xdr:colOff>
      <xdr:row>100</xdr:row>
      <xdr:rowOff>47625</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0</xdr:colOff>
      <xdr:row>104</xdr:row>
      <xdr:rowOff>0</xdr:rowOff>
    </xdr:from>
    <xdr:to>
      <xdr:col>33</xdr:col>
      <xdr:colOff>95250</xdr:colOff>
      <xdr:row>124</xdr:row>
      <xdr:rowOff>133350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114300</xdr:colOff>
      <xdr:row>199</xdr:row>
      <xdr:rowOff>171450</xdr:rowOff>
    </xdr:from>
    <xdr:to>
      <xdr:col>33</xdr:col>
      <xdr:colOff>209550</xdr:colOff>
      <xdr:row>214</xdr:row>
      <xdr:rowOff>57150</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111124</xdr:colOff>
      <xdr:row>3</xdr:row>
      <xdr:rowOff>51857</xdr:rowOff>
    </xdr:from>
    <xdr:to>
      <xdr:col>31</xdr:col>
      <xdr:colOff>148167</xdr:colOff>
      <xdr:row>17</xdr:row>
      <xdr:rowOff>128057</xdr:rowOff>
    </xdr:to>
    <xdr:graphicFrame macro="">
      <xdr:nvGraphicFramePr>
        <xdr:cNvPr id="10" name="Chart 9">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42</xdr:col>
      <xdr:colOff>232833</xdr:colOff>
      <xdr:row>16</xdr:row>
      <xdr:rowOff>102265</xdr:rowOff>
    </xdr:from>
    <xdr:to>
      <xdr:col>47</xdr:col>
      <xdr:colOff>530238</xdr:colOff>
      <xdr:row>37</xdr:row>
      <xdr:rowOff>100905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25696333" y="3266682"/>
          <a:ext cx="6012405" cy="39991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104775</xdr:colOff>
      <xdr:row>31</xdr:row>
      <xdr:rowOff>85725</xdr:rowOff>
    </xdr:from>
    <xdr:to>
      <xdr:col>32</xdr:col>
      <xdr:colOff>200025</xdr:colOff>
      <xdr:row>46</xdr:row>
      <xdr:rowOff>47625</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0</xdr:colOff>
      <xdr:row>48</xdr:row>
      <xdr:rowOff>0</xdr:rowOff>
    </xdr:from>
    <xdr:to>
      <xdr:col>32</xdr:col>
      <xdr:colOff>95250</xdr:colOff>
      <xdr:row>62</xdr:row>
      <xdr:rowOff>133350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114300</xdr:colOff>
      <xdr:row>184</xdr:row>
      <xdr:rowOff>171450</xdr:rowOff>
    </xdr:from>
    <xdr:to>
      <xdr:col>32</xdr:col>
      <xdr:colOff>209550</xdr:colOff>
      <xdr:row>199</xdr:row>
      <xdr:rowOff>57150</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152400</xdr:colOff>
      <xdr:row>245</xdr:row>
      <xdr:rowOff>142875</xdr:rowOff>
    </xdr:from>
    <xdr:to>
      <xdr:col>32</xdr:col>
      <xdr:colOff>247650</xdr:colOff>
      <xdr:row>260</xdr:row>
      <xdr:rowOff>28575</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95250</xdr:colOff>
      <xdr:row>265</xdr:row>
      <xdr:rowOff>25401</xdr:rowOff>
    </xdr:from>
    <xdr:to>
      <xdr:col>32</xdr:col>
      <xdr:colOff>158750</xdr:colOff>
      <xdr:row>279</xdr:row>
      <xdr:rowOff>101601</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523874</xdr:colOff>
      <xdr:row>245</xdr:row>
      <xdr:rowOff>94190</xdr:rowOff>
    </xdr:from>
    <xdr:to>
      <xdr:col>40</xdr:col>
      <xdr:colOff>185208</xdr:colOff>
      <xdr:row>259</xdr:row>
      <xdr:rowOff>170390</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539749</xdr:colOff>
      <xdr:row>260</xdr:row>
      <xdr:rowOff>42333</xdr:rowOff>
    </xdr:from>
    <xdr:to>
      <xdr:col>40</xdr:col>
      <xdr:colOff>201083</xdr:colOff>
      <xdr:row>274</xdr:row>
      <xdr:rowOff>118533</xdr:rowOff>
    </xdr:to>
    <xdr:graphicFrame macro="">
      <xdr:nvGraphicFramePr>
        <xdr:cNvPr id="8" name="Chart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111124</xdr:colOff>
      <xdr:row>3</xdr:row>
      <xdr:rowOff>51857</xdr:rowOff>
    </xdr:from>
    <xdr:to>
      <xdr:col>30</xdr:col>
      <xdr:colOff>148167</xdr:colOff>
      <xdr:row>17</xdr:row>
      <xdr:rowOff>128057</xdr:rowOff>
    </xdr:to>
    <xdr:graphicFrame macro="">
      <xdr:nvGraphicFramePr>
        <xdr:cNvPr id="9" name="Chart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41</xdr:col>
      <xdr:colOff>232833</xdr:colOff>
      <xdr:row>16</xdr:row>
      <xdr:rowOff>102265</xdr:rowOff>
    </xdr:from>
    <xdr:to>
      <xdr:col>46</xdr:col>
      <xdr:colOff>530238</xdr:colOff>
      <xdr:row>37</xdr:row>
      <xdr:rowOff>100905</xdr:rowOff>
    </xdr:to>
    <xdr:pic>
      <xdr:nvPicPr>
        <xdr:cNvPr id="10" name="Picture 9">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9"/>
        <a:stretch>
          <a:fillRect/>
        </a:stretch>
      </xdr:blipFill>
      <xdr:spPr>
        <a:xfrm>
          <a:off x="30131808" y="3255040"/>
          <a:ext cx="6002880" cy="3999140"/>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0.58818</cdr:x>
      <cdr:y>0.0544</cdr:y>
    </cdr:from>
    <cdr:to>
      <cdr:x>0.59048</cdr:x>
      <cdr:y>0.77971</cdr:y>
    </cdr:to>
    <cdr:cxnSp macro="">
      <cdr:nvCxnSpPr>
        <cdr:cNvPr id="3" name="Straight Connector 2">
          <a:extLst xmlns:a="http://schemas.openxmlformats.org/drawingml/2006/main">
            <a:ext uri="{FF2B5EF4-FFF2-40B4-BE49-F238E27FC236}">
              <a16:creationId xmlns:a16="http://schemas.microsoft.com/office/drawing/2014/main" id="{9E810685-B167-4F79-9651-8D7691BEDF8F}"/>
            </a:ext>
          </a:extLst>
        </cdr:cNvPr>
        <cdr:cNvCxnSpPr/>
      </cdr:nvCxnSpPr>
      <cdr:spPr>
        <a:xfrm xmlns:a="http://schemas.openxmlformats.org/drawingml/2006/main" flipV="1">
          <a:off x="2669217" y="149230"/>
          <a:ext cx="10483" cy="198967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0.46644</cdr:x>
      <cdr:y>0.0544</cdr:y>
    </cdr:from>
    <cdr:to>
      <cdr:x>0.46875</cdr:x>
      <cdr:y>0.77971</cdr:y>
    </cdr:to>
    <cdr:cxnSp macro="">
      <cdr:nvCxnSpPr>
        <cdr:cNvPr id="3" name="Straight Connector 2">
          <a:extLst xmlns:a="http://schemas.openxmlformats.org/drawingml/2006/main">
            <a:ext uri="{FF2B5EF4-FFF2-40B4-BE49-F238E27FC236}">
              <a16:creationId xmlns:a16="http://schemas.microsoft.com/office/drawing/2014/main" id="{A45527A3-7313-42D9-9F78-89991AF786F0}"/>
            </a:ext>
          </a:extLst>
        </cdr:cNvPr>
        <cdr:cNvCxnSpPr/>
      </cdr:nvCxnSpPr>
      <cdr:spPr>
        <a:xfrm xmlns:a="http://schemas.openxmlformats.org/drawingml/2006/main" flipV="1">
          <a:off x="2132542" y="149226"/>
          <a:ext cx="10584" cy="1989667"/>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xdr:wsDr xmlns:xdr="http://schemas.openxmlformats.org/drawingml/2006/spreadsheetDrawing" xmlns:a="http://schemas.openxmlformats.org/drawingml/2006/main">
  <xdr:twoCellAnchor>
    <xdr:from>
      <xdr:col>3</xdr:col>
      <xdr:colOff>590550</xdr:colOff>
      <xdr:row>13</xdr:row>
      <xdr:rowOff>57150</xdr:rowOff>
    </xdr:from>
    <xdr:to>
      <xdr:col>11</xdr:col>
      <xdr:colOff>285750</xdr:colOff>
      <xdr:row>27</xdr:row>
      <xdr:rowOff>133350</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23813</xdr:colOff>
      <xdr:row>28</xdr:row>
      <xdr:rowOff>33337</xdr:rowOff>
    </xdr:from>
    <xdr:to>
      <xdr:col>44</xdr:col>
      <xdr:colOff>345282</xdr:colOff>
      <xdr:row>42</xdr:row>
      <xdr:rowOff>109537</xdr:rowOff>
    </xdr:to>
    <xdr:graphicFrame macro="">
      <xdr:nvGraphicFramePr>
        <xdr:cNvPr id="5" name="Chart 4">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0</xdr:colOff>
      <xdr:row>28</xdr:row>
      <xdr:rowOff>0</xdr:rowOff>
    </xdr:from>
    <xdr:to>
      <xdr:col>52</xdr:col>
      <xdr:colOff>321469</xdr:colOff>
      <xdr:row>42</xdr:row>
      <xdr:rowOff>76200</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44</xdr:row>
      <xdr:rowOff>0</xdr:rowOff>
    </xdr:from>
    <xdr:to>
      <xdr:col>44</xdr:col>
      <xdr:colOff>321469</xdr:colOff>
      <xdr:row>58</xdr:row>
      <xdr:rowOff>76200</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0</xdr:colOff>
      <xdr:row>44</xdr:row>
      <xdr:rowOff>0</xdr:rowOff>
    </xdr:from>
    <xdr:to>
      <xdr:col>52</xdr:col>
      <xdr:colOff>321469</xdr:colOff>
      <xdr:row>58</xdr:row>
      <xdr:rowOff>76200</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0</xdr:colOff>
      <xdr:row>60</xdr:row>
      <xdr:rowOff>0</xdr:rowOff>
    </xdr:from>
    <xdr:to>
      <xdr:col>44</xdr:col>
      <xdr:colOff>321469</xdr:colOff>
      <xdr:row>74</xdr:row>
      <xdr:rowOff>76200</xdr:rowOff>
    </xdr:to>
    <xdr:graphicFrame macro="">
      <xdr:nvGraphicFramePr>
        <xdr:cNvPr id="10" name="Chart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45</xdr:col>
      <xdr:colOff>0</xdr:colOff>
      <xdr:row>60</xdr:row>
      <xdr:rowOff>0</xdr:rowOff>
    </xdr:from>
    <xdr:to>
      <xdr:col>52</xdr:col>
      <xdr:colOff>321469</xdr:colOff>
      <xdr:row>74</xdr:row>
      <xdr:rowOff>76200</xdr:rowOff>
    </xdr:to>
    <xdr:graphicFrame macro="">
      <xdr:nvGraphicFramePr>
        <xdr:cNvPr id="11" name="Chart 10">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37</xdr:col>
      <xdr:colOff>0</xdr:colOff>
      <xdr:row>76</xdr:row>
      <xdr:rowOff>0</xdr:rowOff>
    </xdr:from>
    <xdr:to>
      <xdr:col>44</xdr:col>
      <xdr:colOff>321469</xdr:colOff>
      <xdr:row>90</xdr:row>
      <xdr:rowOff>76200</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0</xdr:colOff>
      <xdr:row>76</xdr:row>
      <xdr:rowOff>0</xdr:rowOff>
    </xdr:from>
    <xdr:to>
      <xdr:col>52</xdr:col>
      <xdr:colOff>321469</xdr:colOff>
      <xdr:row>90</xdr:row>
      <xdr:rowOff>76200</xdr:rowOff>
    </xdr:to>
    <xdr:graphicFrame macro="">
      <xdr:nvGraphicFramePr>
        <xdr:cNvPr id="13" name="Chart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92</xdr:row>
      <xdr:rowOff>0</xdr:rowOff>
    </xdr:from>
    <xdr:to>
      <xdr:col>44</xdr:col>
      <xdr:colOff>321469</xdr:colOff>
      <xdr:row>106</xdr:row>
      <xdr:rowOff>76200</xdr:rowOff>
    </xdr:to>
    <xdr:graphicFrame macro="">
      <xdr:nvGraphicFramePr>
        <xdr:cNvPr id="14" name="Chart 13">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45</xdr:col>
      <xdr:colOff>0</xdr:colOff>
      <xdr:row>92</xdr:row>
      <xdr:rowOff>0</xdr:rowOff>
    </xdr:from>
    <xdr:to>
      <xdr:col>52</xdr:col>
      <xdr:colOff>321469</xdr:colOff>
      <xdr:row>106</xdr:row>
      <xdr:rowOff>76200</xdr:rowOff>
    </xdr:to>
    <xdr:graphicFrame macro="">
      <xdr:nvGraphicFramePr>
        <xdr:cNvPr id="15" name="Chart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37</xdr:col>
      <xdr:colOff>0</xdr:colOff>
      <xdr:row>108</xdr:row>
      <xdr:rowOff>0</xdr:rowOff>
    </xdr:from>
    <xdr:to>
      <xdr:col>44</xdr:col>
      <xdr:colOff>321469</xdr:colOff>
      <xdr:row>122</xdr:row>
      <xdr:rowOff>76200</xdr:rowOff>
    </xdr:to>
    <xdr:graphicFrame macro="">
      <xdr:nvGraphicFramePr>
        <xdr:cNvPr id="16" name="Chart 15">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45</xdr:col>
      <xdr:colOff>0</xdr:colOff>
      <xdr:row>108</xdr:row>
      <xdr:rowOff>0</xdr:rowOff>
    </xdr:from>
    <xdr:to>
      <xdr:col>52</xdr:col>
      <xdr:colOff>321469</xdr:colOff>
      <xdr:row>122</xdr:row>
      <xdr:rowOff>76200</xdr:rowOff>
    </xdr:to>
    <xdr:graphicFrame macro="">
      <xdr:nvGraphicFramePr>
        <xdr:cNvPr id="17" name="Chart 16">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595314</xdr:colOff>
      <xdr:row>107</xdr:row>
      <xdr:rowOff>178592</xdr:rowOff>
    </xdr:from>
    <xdr:to>
      <xdr:col>12</xdr:col>
      <xdr:colOff>226219</xdr:colOff>
      <xdr:row>121</xdr:row>
      <xdr:rowOff>73817</xdr:rowOff>
    </xdr:to>
    <xdr:graphicFrame macro="">
      <xdr:nvGraphicFramePr>
        <xdr:cNvPr id="18" name="Chart 17">
          <a:extLst>
            <a:ext uri="{FF2B5EF4-FFF2-40B4-BE49-F238E27FC236}">
              <a16:creationId xmlns:a16="http://schemas.microsoft.com/office/drawing/2014/main" id="{00000000-0008-0000-08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0</xdr:colOff>
      <xdr:row>108</xdr:row>
      <xdr:rowOff>0</xdr:rowOff>
    </xdr:from>
    <xdr:to>
      <xdr:col>16</xdr:col>
      <xdr:colOff>47624</xdr:colOff>
      <xdr:row>121</xdr:row>
      <xdr:rowOff>85725</xdr:rowOff>
    </xdr:to>
    <xdr:graphicFrame macro="">
      <xdr:nvGraphicFramePr>
        <xdr:cNvPr id="19" name="Chart 18">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166688</xdr:colOff>
      <xdr:row>108</xdr:row>
      <xdr:rowOff>9525</xdr:rowOff>
    </xdr:from>
    <xdr:to>
      <xdr:col>20</xdr:col>
      <xdr:colOff>369094</xdr:colOff>
      <xdr:row>121</xdr:row>
      <xdr:rowOff>130969</xdr:rowOff>
    </xdr:to>
    <xdr:graphicFrame macro="">
      <xdr:nvGraphicFramePr>
        <xdr:cNvPr id="23" name="Chart 22">
          <a:extLst>
            <a:ext uri="{FF2B5EF4-FFF2-40B4-BE49-F238E27FC236}">
              <a16:creationId xmlns:a16="http://schemas.microsoft.com/office/drawing/2014/main" id="{00000000-0008-0000-08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107156</xdr:colOff>
      <xdr:row>127</xdr:row>
      <xdr:rowOff>9524</xdr:rowOff>
    </xdr:from>
    <xdr:to>
      <xdr:col>14</xdr:col>
      <xdr:colOff>488156</xdr:colOff>
      <xdr:row>141</xdr:row>
      <xdr:rowOff>85724</xdr:rowOff>
    </xdr:to>
    <xdr:graphicFrame macro="">
      <xdr:nvGraphicFramePr>
        <xdr:cNvPr id="24" name="Chart 23">
          <a:extLst>
            <a:ext uri="{FF2B5EF4-FFF2-40B4-BE49-F238E27FC236}">
              <a16:creationId xmlns:a16="http://schemas.microsoft.com/office/drawing/2014/main" id="{00000000-0008-0000-08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583406</xdr:colOff>
      <xdr:row>127</xdr:row>
      <xdr:rowOff>0</xdr:rowOff>
    </xdr:from>
    <xdr:to>
      <xdr:col>19</xdr:col>
      <xdr:colOff>547687</xdr:colOff>
      <xdr:row>141</xdr:row>
      <xdr:rowOff>76200</xdr:rowOff>
    </xdr:to>
    <xdr:graphicFrame macro="">
      <xdr:nvGraphicFramePr>
        <xdr:cNvPr id="25" name="Chart 24">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142874</xdr:colOff>
      <xdr:row>145</xdr:row>
      <xdr:rowOff>188119</xdr:rowOff>
    </xdr:from>
    <xdr:to>
      <xdr:col>14</xdr:col>
      <xdr:colOff>595312</xdr:colOff>
      <xdr:row>160</xdr:row>
      <xdr:rowOff>73819</xdr:rowOff>
    </xdr:to>
    <xdr:graphicFrame macro="">
      <xdr:nvGraphicFramePr>
        <xdr:cNvPr id="26" name="Chart 25">
          <a:extLst>
            <a:ext uri="{FF2B5EF4-FFF2-40B4-BE49-F238E27FC236}">
              <a16:creationId xmlns:a16="http://schemas.microsoft.com/office/drawing/2014/main" id="{00000000-0008-0000-08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0</xdr:colOff>
      <xdr:row>162</xdr:row>
      <xdr:rowOff>0</xdr:rowOff>
    </xdr:from>
    <xdr:to>
      <xdr:col>14</xdr:col>
      <xdr:colOff>452438</xdr:colOff>
      <xdr:row>176</xdr:row>
      <xdr:rowOff>76200</xdr:rowOff>
    </xdr:to>
    <xdr:graphicFrame macro="">
      <xdr:nvGraphicFramePr>
        <xdr:cNvPr id="27" name="Chart 26">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583406</xdr:colOff>
      <xdr:row>161</xdr:row>
      <xdr:rowOff>166687</xdr:rowOff>
    </xdr:from>
    <xdr:to>
      <xdr:col>20</xdr:col>
      <xdr:colOff>11906</xdr:colOff>
      <xdr:row>176</xdr:row>
      <xdr:rowOff>52387</xdr:rowOff>
    </xdr:to>
    <xdr:graphicFrame macro="">
      <xdr:nvGraphicFramePr>
        <xdr:cNvPr id="28" name="Chart 27">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0</xdr:colOff>
      <xdr:row>124</xdr:row>
      <xdr:rowOff>0</xdr:rowOff>
    </xdr:from>
    <xdr:to>
      <xdr:col>44</xdr:col>
      <xdr:colOff>321469</xdr:colOff>
      <xdr:row>138</xdr:row>
      <xdr:rowOff>76200</xdr:rowOff>
    </xdr:to>
    <xdr:graphicFrame macro="">
      <xdr:nvGraphicFramePr>
        <xdr:cNvPr id="31" name="Chart 30">
          <a:extLst>
            <a:ext uri="{FF2B5EF4-FFF2-40B4-BE49-F238E27FC236}">
              <a16:creationId xmlns:a16="http://schemas.microsoft.com/office/drawing/2014/main" id="{00000000-0008-0000-0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0</xdr:colOff>
      <xdr:row>162</xdr:row>
      <xdr:rowOff>0</xdr:rowOff>
    </xdr:from>
    <xdr:to>
      <xdr:col>25</xdr:col>
      <xdr:colOff>642938</xdr:colOff>
      <xdr:row>176</xdr:row>
      <xdr:rowOff>76200</xdr:rowOff>
    </xdr:to>
    <xdr:graphicFrame macro="">
      <xdr:nvGraphicFramePr>
        <xdr:cNvPr id="32" name="Chart 31">
          <a:extLst>
            <a:ext uri="{FF2B5EF4-FFF2-40B4-BE49-F238E27FC236}">
              <a16:creationId xmlns:a16="http://schemas.microsoft.com/office/drawing/2014/main"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45</xdr:col>
      <xdr:colOff>0</xdr:colOff>
      <xdr:row>124</xdr:row>
      <xdr:rowOff>0</xdr:rowOff>
    </xdr:from>
    <xdr:to>
      <xdr:col>52</xdr:col>
      <xdr:colOff>321469</xdr:colOff>
      <xdr:row>138</xdr:row>
      <xdr:rowOff>76200</xdr:rowOff>
    </xdr:to>
    <xdr:graphicFrame macro="">
      <xdr:nvGraphicFramePr>
        <xdr:cNvPr id="33" name="Chart 32">
          <a:extLst>
            <a:ext uri="{FF2B5EF4-FFF2-40B4-BE49-F238E27FC236}">
              <a16:creationId xmlns:a16="http://schemas.microsoft.com/office/drawing/2014/main" id="{00000000-0008-0000-08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53</xdr:col>
      <xdr:colOff>0</xdr:colOff>
      <xdr:row>124</xdr:row>
      <xdr:rowOff>0</xdr:rowOff>
    </xdr:from>
    <xdr:to>
      <xdr:col>60</xdr:col>
      <xdr:colOff>321469</xdr:colOff>
      <xdr:row>138</xdr:row>
      <xdr:rowOff>76200</xdr:rowOff>
    </xdr:to>
    <xdr:graphicFrame macro="">
      <xdr:nvGraphicFramePr>
        <xdr:cNvPr id="34" name="Chart 33">
          <a:extLst>
            <a:ext uri="{FF2B5EF4-FFF2-40B4-BE49-F238E27FC236}">
              <a16:creationId xmlns:a16="http://schemas.microsoft.com/office/drawing/2014/main"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2315765</xdr:colOff>
      <xdr:row>194</xdr:row>
      <xdr:rowOff>170259</xdr:rowOff>
    </xdr:from>
    <xdr:to>
      <xdr:col>8</xdr:col>
      <xdr:colOff>470296</xdr:colOff>
      <xdr:row>209</xdr:row>
      <xdr:rowOff>55959</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29765</xdr:colOff>
      <xdr:row>9</xdr:row>
      <xdr:rowOff>51197</xdr:rowOff>
    </xdr:from>
    <xdr:to>
      <xdr:col>17</xdr:col>
      <xdr:colOff>202407</xdr:colOff>
      <xdr:row>23</xdr:row>
      <xdr:rowOff>127397</xdr:rowOff>
    </xdr:to>
    <xdr:graphicFrame macro="">
      <xdr:nvGraphicFramePr>
        <xdr:cNvPr id="4" name="Chart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8</xdr:col>
      <xdr:colOff>172639</xdr:colOff>
      <xdr:row>220</xdr:row>
      <xdr:rowOff>146446</xdr:rowOff>
    </xdr:from>
    <xdr:to>
      <xdr:col>14</xdr:col>
      <xdr:colOff>345281</xdr:colOff>
      <xdr:row>235</xdr:row>
      <xdr:rowOff>32146</xdr:rowOff>
    </xdr:to>
    <xdr:graphicFrame macro="">
      <xdr:nvGraphicFramePr>
        <xdr:cNvPr id="8" name="Chart 7">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488156</xdr:colOff>
      <xdr:row>254</xdr:row>
      <xdr:rowOff>21431</xdr:rowOff>
    </xdr:from>
    <xdr:to>
      <xdr:col>10</xdr:col>
      <xdr:colOff>428625</xdr:colOff>
      <xdr:row>268</xdr:row>
      <xdr:rowOff>97631</xdr:rowOff>
    </xdr:to>
    <xdr:graphicFrame macro="">
      <xdr:nvGraphicFramePr>
        <xdr:cNvPr id="20" name="Chart 19">
          <a:extLst>
            <a:ext uri="{FF2B5EF4-FFF2-40B4-BE49-F238E27FC236}">
              <a16:creationId xmlns:a16="http://schemas.microsoft.com/office/drawing/2014/main" id="{00000000-0008-0000-08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8</xdr:col>
      <xdr:colOff>35719</xdr:colOff>
      <xdr:row>269</xdr:row>
      <xdr:rowOff>45243</xdr:rowOff>
    </xdr:from>
    <xdr:to>
      <xdr:col>12</xdr:col>
      <xdr:colOff>559593</xdr:colOff>
      <xdr:row>283</xdr:row>
      <xdr:rowOff>121443</xdr:rowOff>
    </xdr:to>
    <xdr:graphicFrame macro="">
      <xdr:nvGraphicFramePr>
        <xdr:cNvPr id="21" name="Chart 20">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24</xdr:col>
      <xdr:colOff>196452</xdr:colOff>
      <xdr:row>15</xdr:row>
      <xdr:rowOff>122634</xdr:rowOff>
    </xdr:from>
    <xdr:to>
      <xdr:col>30</xdr:col>
      <xdr:colOff>517921</xdr:colOff>
      <xdr:row>30</xdr:row>
      <xdr:rowOff>8334</xdr:rowOff>
    </xdr:to>
    <xdr:graphicFrame macro="">
      <xdr:nvGraphicFramePr>
        <xdr:cNvPr id="35" name="Chart 34">
          <a:extLst>
            <a:ext uri="{FF2B5EF4-FFF2-40B4-BE49-F238E27FC236}">
              <a16:creationId xmlns:a16="http://schemas.microsoft.com/office/drawing/2014/main" id="{00000000-0008-0000-08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38</xdr:col>
      <xdr:colOff>17858</xdr:colOff>
      <xdr:row>12</xdr:row>
      <xdr:rowOff>134540</xdr:rowOff>
    </xdr:from>
    <xdr:to>
      <xdr:col>44</xdr:col>
      <xdr:colOff>11906</xdr:colOff>
      <xdr:row>27</xdr:row>
      <xdr:rowOff>20240</xdr:rowOff>
    </xdr:to>
    <xdr:graphicFrame macro="">
      <xdr:nvGraphicFramePr>
        <xdr:cNvPr id="36" name="Chart 35">
          <a:extLst>
            <a:ext uri="{FF2B5EF4-FFF2-40B4-BE49-F238E27FC236}">
              <a16:creationId xmlns:a16="http://schemas.microsoft.com/office/drawing/2014/main" id="{00000000-0008-0000-08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31</xdr:col>
      <xdr:colOff>232171</xdr:colOff>
      <xdr:row>14</xdr:row>
      <xdr:rowOff>122634</xdr:rowOff>
    </xdr:from>
    <xdr:to>
      <xdr:col>37</xdr:col>
      <xdr:colOff>35719</xdr:colOff>
      <xdr:row>29</xdr:row>
      <xdr:rowOff>8334</xdr:rowOff>
    </xdr:to>
    <xdr:graphicFrame macro="">
      <xdr:nvGraphicFramePr>
        <xdr:cNvPr id="37" name="Chart 36">
          <a:extLst>
            <a:ext uri="{FF2B5EF4-FFF2-40B4-BE49-F238E27FC236}">
              <a16:creationId xmlns:a16="http://schemas.microsoft.com/office/drawing/2014/main" id="{00000000-0008-0000-08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476250</xdr:colOff>
      <xdr:row>144</xdr:row>
      <xdr:rowOff>11906</xdr:rowOff>
    </xdr:from>
    <xdr:to>
      <xdr:col>11</xdr:col>
      <xdr:colOff>112058</xdr:colOff>
      <xdr:row>159</xdr:row>
      <xdr:rowOff>49663</xdr:rowOff>
    </xdr:to>
    <xdr:pic>
      <xdr:nvPicPr>
        <xdr:cNvPr id="22" name="Picture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34"/>
        <a:stretch>
          <a:fillRect/>
        </a:stretch>
      </xdr:blipFill>
      <xdr:spPr>
        <a:xfrm>
          <a:off x="7500938" y="27443906"/>
          <a:ext cx="4600000" cy="2742857"/>
        </a:xfrm>
        <a:prstGeom prst="rect">
          <a:avLst/>
        </a:prstGeom>
      </xdr:spPr>
    </xdr:pic>
    <xdr:clientData/>
  </xdr:twoCellAnchor>
  <xdr:twoCellAnchor>
    <xdr:from>
      <xdr:col>7</xdr:col>
      <xdr:colOff>231321</xdr:colOff>
      <xdr:row>303</xdr:row>
      <xdr:rowOff>84364</xdr:rowOff>
    </xdr:from>
    <xdr:to>
      <xdr:col>13</xdr:col>
      <xdr:colOff>81643</xdr:colOff>
      <xdr:row>317</xdr:row>
      <xdr:rowOff>160564</xdr:rowOff>
    </xdr:to>
    <xdr:graphicFrame macro="">
      <xdr:nvGraphicFramePr>
        <xdr:cNvPr id="29" name="Chart 28">
          <a:extLst>
            <a:ext uri="{FF2B5EF4-FFF2-40B4-BE49-F238E27FC236}">
              <a16:creationId xmlns:a16="http://schemas.microsoft.com/office/drawing/2014/main" id="{00000000-0008-0000-08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xdr:col>
      <xdr:colOff>29765</xdr:colOff>
      <xdr:row>386</xdr:row>
      <xdr:rowOff>51197</xdr:rowOff>
    </xdr:from>
    <xdr:to>
      <xdr:col>6</xdr:col>
      <xdr:colOff>202407</xdr:colOff>
      <xdr:row>400</xdr:row>
      <xdr:rowOff>127397</xdr:rowOff>
    </xdr:to>
    <xdr:graphicFrame macro="">
      <xdr:nvGraphicFramePr>
        <xdr:cNvPr id="39" name="Chart 38">
          <a:extLst>
            <a:ext uri="{FF2B5EF4-FFF2-40B4-BE49-F238E27FC236}">
              <a16:creationId xmlns:a16="http://schemas.microsoft.com/office/drawing/2014/main" id="{00000000-0008-0000-08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571499</xdr:colOff>
      <xdr:row>386</xdr:row>
      <xdr:rowOff>95249</xdr:rowOff>
    </xdr:from>
    <xdr:to>
      <xdr:col>13</xdr:col>
      <xdr:colOff>68035</xdr:colOff>
      <xdr:row>403</xdr:row>
      <xdr:rowOff>13606</xdr:rowOff>
    </xdr:to>
    <xdr:graphicFrame macro="">
      <xdr:nvGraphicFramePr>
        <xdr:cNvPr id="40" name="Chart 39">
          <a:extLst>
            <a:ext uri="{FF2B5EF4-FFF2-40B4-BE49-F238E27FC236}">
              <a16:creationId xmlns:a16="http://schemas.microsoft.com/office/drawing/2014/main" id="{00000000-0008-0000-08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43</xdr:col>
      <xdr:colOff>299356</xdr:colOff>
      <xdr:row>139</xdr:row>
      <xdr:rowOff>190499</xdr:rowOff>
    </xdr:from>
    <xdr:to>
      <xdr:col>54</xdr:col>
      <xdr:colOff>95249</xdr:colOff>
      <xdr:row>158</xdr:row>
      <xdr:rowOff>122464</xdr:rowOff>
    </xdr:to>
    <xdr:graphicFrame macro="">
      <xdr:nvGraphicFramePr>
        <xdr:cNvPr id="41" name="Chart 40">
          <a:extLst>
            <a:ext uri="{FF2B5EF4-FFF2-40B4-BE49-F238E27FC236}">
              <a16:creationId xmlns:a16="http://schemas.microsoft.com/office/drawing/2014/main" id="{00000000-0008-0000-08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20</xdr:col>
      <xdr:colOff>135732</xdr:colOff>
      <xdr:row>519</xdr:row>
      <xdr:rowOff>64294</xdr:rowOff>
    </xdr:from>
    <xdr:to>
      <xdr:col>28</xdr:col>
      <xdr:colOff>256931</xdr:colOff>
      <xdr:row>541</xdr:row>
      <xdr:rowOff>29644</xdr:rowOff>
    </xdr:to>
    <xdr:graphicFrame macro="">
      <xdr:nvGraphicFramePr>
        <xdr:cNvPr id="38" name="Chart 37">
          <a:extLst>
            <a:ext uri="{FF2B5EF4-FFF2-40B4-BE49-F238E27FC236}">
              <a16:creationId xmlns:a16="http://schemas.microsoft.com/office/drawing/2014/main" id="{3C72A127-45A9-944D-0FFD-019B7C2C92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576263</xdr:colOff>
      <xdr:row>608</xdr:row>
      <xdr:rowOff>85725</xdr:rowOff>
    </xdr:from>
    <xdr:to>
      <xdr:col>6</xdr:col>
      <xdr:colOff>304800</xdr:colOff>
      <xdr:row>624</xdr:row>
      <xdr:rowOff>142875</xdr:rowOff>
    </xdr:to>
    <xdr:graphicFrame macro="">
      <xdr:nvGraphicFramePr>
        <xdr:cNvPr id="45" name="Chart 44">
          <a:extLst>
            <a:ext uri="{FF2B5EF4-FFF2-40B4-BE49-F238E27FC236}">
              <a16:creationId xmlns:a16="http://schemas.microsoft.com/office/drawing/2014/main" id="{F8A7DAFB-0793-86A7-3442-147DEEA0AE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266700</xdr:colOff>
      <xdr:row>608</xdr:row>
      <xdr:rowOff>57150</xdr:rowOff>
    </xdr:from>
    <xdr:to>
      <xdr:col>13</xdr:col>
      <xdr:colOff>595312</xdr:colOff>
      <xdr:row>624</xdr:row>
      <xdr:rowOff>114300</xdr:rowOff>
    </xdr:to>
    <xdr:graphicFrame macro="">
      <xdr:nvGraphicFramePr>
        <xdr:cNvPr id="46" name="Chart 45">
          <a:extLst>
            <a:ext uri="{FF2B5EF4-FFF2-40B4-BE49-F238E27FC236}">
              <a16:creationId xmlns:a16="http://schemas.microsoft.com/office/drawing/2014/main" id="{713FFF21-82CC-46CF-9F1F-ED0F8A4557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xdr:col>
      <xdr:colOff>142875</xdr:colOff>
      <xdr:row>628</xdr:row>
      <xdr:rowOff>28575</xdr:rowOff>
    </xdr:from>
    <xdr:to>
      <xdr:col>11</xdr:col>
      <xdr:colOff>447675</xdr:colOff>
      <xdr:row>644</xdr:row>
      <xdr:rowOff>28575</xdr:rowOff>
    </xdr:to>
    <xdr:graphicFrame macro="">
      <xdr:nvGraphicFramePr>
        <xdr:cNvPr id="49" name="Chart 48">
          <a:extLst>
            <a:ext uri="{FF2B5EF4-FFF2-40B4-BE49-F238E27FC236}">
              <a16:creationId xmlns:a16="http://schemas.microsoft.com/office/drawing/2014/main" id="{E9BBB86A-BAC0-5307-B4CA-2F43A7C61B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11</xdr:col>
      <xdr:colOff>547688</xdr:colOff>
      <xdr:row>518</xdr:row>
      <xdr:rowOff>128588</xdr:rowOff>
    </xdr:from>
    <xdr:to>
      <xdr:col>19</xdr:col>
      <xdr:colOff>242888</xdr:colOff>
      <xdr:row>534</xdr:row>
      <xdr:rowOff>128588</xdr:rowOff>
    </xdr:to>
    <xdr:graphicFrame macro="">
      <xdr:nvGraphicFramePr>
        <xdr:cNvPr id="43" name="Chart 42">
          <a:extLst>
            <a:ext uri="{FF2B5EF4-FFF2-40B4-BE49-F238E27FC236}">
              <a16:creationId xmlns:a16="http://schemas.microsoft.com/office/drawing/2014/main" id="{5609BE14-AF85-AABD-AB80-D02E6DA6E4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285750</xdr:colOff>
      <xdr:row>678</xdr:row>
      <xdr:rowOff>0</xdr:rowOff>
    </xdr:from>
    <xdr:to>
      <xdr:col>10</xdr:col>
      <xdr:colOff>314325</xdr:colOff>
      <xdr:row>694</xdr:row>
      <xdr:rowOff>0</xdr:rowOff>
    </xdr:to>
    <xdr:graphicFrame macro="">
      <xdr:nvGraphicFramePr>
        <xdr:cNvPr id="42" name="Chart 41">
          <a:extLst>
            <a:ext uri="{FF2B5EF4-FFF2-40B4-BE49-F238E27FC236}">
              <a16:creationId xmlns:a16="http://schemas.microsoft.com/office/drawing/2014/main" id="{EF63377F-3CA2-456A-9CFC-D90B02049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14</xdr:col>
      <xdr:colOff>208358</xdr:colOff>
      <xdr:row>716</xdr:row>
      <xdr:rowOff>48217</xdr:rowOff>
    </xdr:from>
    <xdr:to>
      <xdr:col>23</xdr:col>
      <xdr:colOff>5953</xdr:colOff>
      <xdr:row>735</xdr:row>
      <xdr:rowOff>113108</xdr:rowOff>
    </xdr:to>
    <xdr:graphicFrame macro="">
      <xdr:nvGraphicFramePr>
        <xdr:cNvPr id="44" name="Chart 43">
          <a:extLst>
            <a:ext uri="{FF2B5EF4-FFF2-40B4-BE49-F238E27FC236}">
              <a16:creationId xmlns:a16="http://schemas.microsoft.com/office/drawing/2014/main" id="{68780E04-A761-F4B8-5943-B95B83FC35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9</xdr:col>
      <xdr:colOff>333375</xdr:colOff>
      <xdr:row>758</xdr:row>
      <xdr:rowOff>154781</xdr:rowOff>
    </xdr:from>
    <xdr:to>
      <xdr:col>17</xdr:col>
      <xdr:colOff>202406</xdr:colOff>
      <xdr:row>776</xdr:row>
      <xdr:rowOff>65484</xdr:rowOff>
    </xdr:to>
    <xdr:graphicFrame macro="">
      <xdr:nvGraphicFramePr>
        <xdr:cNvPr id="30" name="Chart 29">
          <a:extLst>
            <a:ext uri="{FF2B5EF4-FFF2-40B4-BE49-F238E27FC236}">
              <a16:creationId xmlns:a16="http://schemas.microsoft.com/office/drawing/2014/main" id="{A948A144-0D6F-B564-6EC2-1FFB603DBA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18</xdr:col>
      <xdr:colOff>422670</xdr:colOff>
      <xdr:row>755</xdr:row>
      <xdr:rowOff>30359</xdr:rowOff>
    </xdr:from>
    <xdr:to>
      <xdr:col>25</xdr:col>
      <xdr:colOff>333374</xdr:colOff>
      <xdr:row>819</xdr:row>
      <xdr:rowOff>125015</xdr:rowOff>
    </xdr:to>
    <xdr:graphicFrame macro="">
      <xdr:nvGraphicFramePr>
        <xdr:cNvPr id="47" name="Chart 46">
          <a:extLst>
            <a:ext uri="{FF2B5EF4-FFF2-40B4-BE49-F238E27FC236}">
              <a16:creationId xmlns:a16="http://schemas.microsoft.com/office/drawing/2014/main" id="{B819842B-B658-2DE7-64CA-64BCECEF32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0.83542</cdr:x>
      <cdr:y>0.07986</cdr:y>
    </cdr:from>
    <cdr:to>
      <cdr:x>0.93958</cdr:x>
      <cdr:y>0.17361</cdr:y>
    </cdr:to>
    <cdr:sp macro="" textlink="Workings!$H$9">
      <cdr:nvSpPr>
        <cdr:cNvPr id="2" name="TextBox 1">
          <a:extLst xmlns:a="http://schemas.openxmlformats.org/drawingml/2006/main">
            <a:ext uri="{FF2B5EF4-FFF2-40B4-BE49-F238E27FC236}">
              <a16:creationId xmlns:a16="http://schemas.microsoft.com/office/drawing/2014/main" id="{7A0FBAA0-04A6-4ADE-83AF-36915D7CB746}"/>
            </a:ext>
          </a:extLst>
        </cdr:cNvPr>
        <cdr:cNvSpPr txBox="1"/>
      </cdr:nvSpPr>
      <cdr:spPr>
        <a:xfrm xmlns:a="http://schemas.openxmlformats.org/drawingml/2006/main">
          <a:off x="3819526" y="219074"/>
          <a:ext cx="47625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CE318F9-D60A-4BEE-A9D6-CEEC1E1F4938}" type="TxLink">
            <a:rPr lang="en-US" sz="1000" b="0" i="0" u="none" strike="noStrike">
              <a:solidFill>
                <a:srgbClr val="000000"/>
              </a:solidFill>
              <a:latin typeface="Trebuchet MS"/>
            </a:rPr>
            <a:pPr/>
            <a:t>2.8%</a:t>
          </a:fld>
          <a:endParaRPr lang="en-GB" sz="1100"/>
        </a:p>
      </cdr:txBody>
    </cdr:sp>
  </cdr:relSizeAnchor>
  <cdr:relSizeAnchor xmlns:cdr="http://schemas.openxmlformats.org/drawingml/2006/chartDrawing">
    <cdr:from>
      <cdr:x>0.82986</cdr:x>
      <cdr:y>0.18866</cdr:y>
    </cdr:from>
    <cdr:to>
      <cdr:x>0.9625</cdr:x>
      <cdr:y>0.28241</cdr:y>
    </cdr:to>
    <cdr:sp macro="" textlink="Workings!$H$8">
      <cdr:nvSpPr>
        <cdr:cNvPr id="3" name="TextBox 1">
          <a:extLst xmlns:a="http://schemas.openxmlformats.org/drawingml/2006/main">
            <a:ext uri="{FF2B5EF4-FFF2-40B4-BE49-F238E27FC236}">
              <a16:creationId xmlns:a16="http://schemas.microsoft.com/office/drawing/2014/main" id="{39D72C4F-1E70-4AB8-B93B-DBF61AA4AE24}"/>
            </a:ext>
          </a:extLst>
        </cdr:cNvPr>
        <cdr:cNvSpPr txBox="1"/>
      </cdr:nvSpPr>
      <cdr:spPr>
        <a:xfrm xmlns:a="http://schemas.openxmlformats.org/drawingml/2006/main">
          <a:off x="3794124" y="517525"/>
          <a:ext cx="60642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C0D3EC-7561-424A-BDEA-66EA9FE00496}" type="TxLink">
            <a:rPr lang="en-US" sz="1000" b="0" i="0" u="none" strike="noStrike">
              <a:solidFill>
                <a:srgbClr val="000000"/>
              </a:solidFill>
              <a:latin typeface="Trebuchet MS"/>
            </a:rPr>
            <a:pPr/>
            <a:t>-2.5%</a:t>
          </a:fld>
          <a:endParaRPr lang="en-GB" sz="1100"/>
        </a:p>
      </cdr:txBody>
    </cdr:sp>
  </cdr:relSizeAnchor>
  <cdr:relSizeAnchor xmlns:cdr="http://schemas.openxmlformats.org/drawingml/2006/chartDrawing">
    <cdr:from>
      <cdr:x>0.83403</cdr:x>
      <cdr:y>0.60532</cdr:y>
    </cdr:from>
    <cdr:to>
      <cdr:x>0.95833</cdr:x>
      <cdr:y>0.69907</cdr:y>
    </cdr:to>
    <cdr:sp macro="" textlink="Workings!$H$10">
      <cdr:nvSpPr>
        <cdr:cNvPr id="4" name="TextBox 1">
          <a:extLst xmlns:a="http://schemas.openxmlformats.org/drawingml/2006/main">
            <a:ext uri="{FF2B5EF4-FFF2-40B4-BE49-F238E27FC236}">
              <a16:creationId xmlns:a16="http://schemas.microsoft.com/office/drawing/2014/main" id="{7B9E8862-21A5-47AD-B58B-0724D588207D}"/>
            </a:ext>
          </a:extLst>
        </cdr:cNvPr>
        <cdr:cNvSpPr txBox="1"/>
      </cdr:nvSpPr>
      <cdr:spPr>
        <a:xfrm xmlns:a="http://schemas.openxmlformats.org/drawingml/2006/main">
          <a:off x="3813174" y="1660525"/>
          <a:ext cx="56832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0CC76C1-451A-4575-9948-0897192A28CC}" type="TxLink">
            <a:rPr lang="en-US" sz="1000" b="0" i="0" u="none" strike="noStrike">
              <a:solidFill>
                <a:srgbClr val="000000"/>
              </a:solidFill>
              <a:latin typeface="Trebuchet MS"/>
            </a:rPr>
            <a:pPr/>
            <a:t>-7.1%</a:t>
          </a:fld>
          <a:endParaRPr lang="en-GB" sz="1100"/>
        </a:p>
      </cdr:txBody>
    </cdr:sp>
  </cdr:relSizeAnchor>
  <cdr:relSizeAnchor xmlns:cdr="http://schemas.openxmlformats.org/drawingml/2006/chartDrawing">
    <cdr:from>
      <cdr:x>0.84236</cdr:x>
      <cdr:y>0.70255</cdr:y>
    </cdr:from>
    <cdr:to>
      <cdr:x>0.96667</cdr:x>
      <cdr:y>0.7963</cdr:y>
    </cdr:to>
    <cdr:sp macro="" textlink="Workings!$H$11">
      <cdr:nvSpPr>
        <cdr:cNvPr id="5" name="TextBox 1">
          <a:extLst xmlns:a="http://schemas.openxmlformats.org/drawingml/2006/main">
            <a:ext uri="{FF2B5EF4-FFF2-40B4-BE49-F238E27FC236}">
              <a16:creationId xmlns:a16="http://schemas.microsoft.com/office/drawing/2014/main" id="{9A692214-E928-4D95-A10C-5AA06079C774}"/>
            </a:ext>
          </a:extLst>
        </cdr:cNvPr>
        <cdr:cNvSpPr txBox="1"/>
      </cdr:nvSpPr>
      <cdr:spPr>
        <a:xfrm xmlns:a="http://schemas.openxmlformats.org/drawingml/2006/main">
          <a:off x="3851274" y="1927225"/>
          <a:ext cx="56832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EB49E5-FA10-40C1-9A7B-41FEABC59403}" type="TxLink">
            <a:rPr lang="en-US" sz="1000" b="0" i="0" u="none" strike="noStrike">
              <a:solidFill>
                <a:srgbClr val="000000"/>
              </a:solidFill>
              <a:latin typeface="Trebuchet MS"/>
            </a:rPr>
            <a:pPr/>
            <a:t>47.0%</a:t>
          </a:fld>
          <a:endParaRPr lang="en-GB" sz="1100"/>
        </a:p>
      </cdr:txBody>
    </cdr:sp>
  </cdr:relSizeAnchor>
  <cdr:relSizeAnchor xmlns:cdr="http://schemas.openxmlformats.org/drawingml/2006/chartDrawing">
    <cdr:from>
      <cdr:x>0.82708</cdr:x>
      <cdr:y>0.02083</cdr:y>
    </cdr:from>
    <cdr:to>
      <cdr:x>0.97708</cdr:x>
      <cdr:y>0.09375</cdr:y>
    </cdr:to>
    <cdr:sp macro="" textlink="">
      <cdr:nvSpPr>
        <cdr:cNvPr id="6" name="TextBox 5">
          <a:extLst xmlns:a="http://schemas.openxmlformats.org/drawingml/2006/main">
            <a:ext uri="{FF2B5EF4-FFF2-40B4-BE49-F238E27FC236}">
              <a16:creationId xmlns:a16="http://schemas.microsoft.com/office/drawing/2014/main" id="{4CD75C31-5924-49E6-863F-C9D4B1AC9054}"/>
            </a:ext>
          </a:extLst>
        </cdr:cNvPr>
        <cdr:cNvSpPr txBox="1"/>
      </cdr:nvSpPr>
      <cdr:spPr>
        <a:xfrm xmlns:a="http://schemas.openxmlformats.org/drawingml/2006/main">
          <a:off x="3781425" y="57150"/>
          <a:ext cx="6858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t>CAGR %</a:t>
          </a:r>
        </a:p>
      </cdr:txBody>
    </cdr:sp>
  </cdr:relSizeAnchor>
</c:userShapes>
</file>

<file path=xl/drawings/drawing4.xml><?xml version="1.0" encoding="utf-8"?>
<c:userShapes xmlns:c="http://schemas.openxmlformats.org/drawingml/2006/chart">
  <cdr:relSizeAnchor xmlns:cdr="http://schemas.openxmlformats.org/drawingml/2006/chartDrawing">
    <cdr:from>
      <cdr:x>0.60677</cdr:x>
      <cdr:y>0.0434</cdr:y>
    </cdr:from>
    <cdr:to>
      <cdr:x>0.60677</cdr:x>
      <cdr:y>0.78559</cdr:y>
    </cdr:to>
    <cdr:cxnSp macro="">
      <cdr:nvCxnSpPr>
        <cdr:cNvPr id="3" name="Straight Connector 2">
          <a:extLst xmlns:a="http://schemas.openxmlformats.org/drawingml/2006/main">
            <a:ext uri="{FF2B5EF4-FFF2-40B4-BE49-F238E27FC236}">
              <a16:creationId xmlns:a16="http://schemas.microsoft.com/office/drawing/2014/main" id="{11ED7FA5-93EC-4654-A391-88274A92A30D}"/>
            </a:ext>
          </a:extLst>
        </cdr:cNvPr>
        <cdr:cNvCxnSpPr/>
      </cdr:nvCxnSpPr>
      <cdr:spPr>
        <a:xfrm xmlns:a="http://schemas.openxmlformats.org/drawingml/2006/main" flipV="1">
          <a:off x="2774156" y="119063"/>
          <a:ext cx="0" cy="2035968"/>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0.61589</cdr:x>
      <cdr:y>0.05512</cdr:y>
    </cdr:from>
    <cdr:to>
      <cdr:x>0.6237</cdr:x>
      <cdr:y>0.77561</cdr:y>
    </cdr:to>
    <cdr:cxnSp macro="">
      <cdr:nvCxnSpPr>
        <cdr:cNvPr id="3" name="Straight Connector 2">
          <a:extLst xmlns:a="http://schemas.openxmlformats.org/drawingml/2006/main">
            <a:ext uri="{FF2B5EF4-FFF2-40B4-BE49-F238E27FC236}">
              <a16:creationId xmlns:a16="http://schemas.microsoft.com/office/drawing/2014/main" id="{654D1065-F5CA-46AE-81D0-E3D81B9D153B}"/>
            </a:ext>
          </a:extLst>
        </cdr:cNvPr>
        <cdr:cNvCxnSpPr/>
      </cdr:nvCxnSpPr>
      <cdr:spPr>
        <a:xfrm xmlns:a="http://schemas.openxmlformats.org/drawingml/2006/main" flipV="1">
          <a:off x="2815829" y="151210"/>
          <a:ext cx="35719" cy="1976437"/>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0.11984</cdr:x>
      <cdr:y>0.57975</cdr:y>
    </cdr:from>
    <cdr:to>
      <cdr:x>0.88016</cdr:x>
      <cdr:y>1</cdr:y>
    </cdr:to>
    <cdr:sp macro="" textlink="">
      <cdr:nvSpPr>
        <cdr:cNvPr id="2" name="TextBox 1">
          <a:extLst xmlns:a="http://schemas.openxmlformats.org/drawingml/2006/main">
            <a:ext uri="{FF2B5EF4-FFF2-40B4-BE49-F238E27FC236}">
              <a16:creationId xmlns:a16="http://schemas.microsoft.com/office/drawing/2014/main" id="{5082E38D-1214-81D5-9619-CD9617F2D3E6}"/>
            </a:ext>
          </a:extLst>
        </cdr:cNvPr>
        <cdr:cNvSpPr txBox="1"/>
      </cdr:nvSpPr>
      <cdr:spPr>
        <a:xfrm xmlns:a="http://schemas.openxmlformats.org/drawingml/2006/main">
          <a:off x="535783" y="2953986"/>
          <a:ext cx="3399234" cy="214129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t>- Ubiquitous</a:t>
          </a:r>
          <a:r>
            <a:rPr lang="en-GB" sz="1100" b="1" baseline="0"/>
            <a:t> 1Gb/s speeds vs. DT at max 250Mb/s</a:t>
          </a:r>
          <a:endParaRPr lang="en-GB" sz="1100" b="1"/>
        </a:p>
        <a:p xmlns:a="http://schemas.openxmlformats.org/drawingml/2006/main">
          <a:r>
            <a:rPr lang="en-GB" sz="1100"/>
            <a:t>- Only 300 homes per cluster</a:t>
          </a:r>
        </a:p>
        <a:p xmlns:a="http://schemas.openxmlformats.org/drawingml/2006/main">
          <a:r>
            <a:rPr lang="en-GB" sz="1100"/>
            <a:t>-</a:t>
          </a:r>
          <a:r>
            <a:rPr lang="en-GB" sz="1100" baseline="0"/>
            <a:t> </a:t>
          </a:r>
          <a:r>
            <a:rPr lang="en-GB" sz="1100"/>
            <a:t>Plans to move from</a:t>
          </a:r>
          <a:r>
            <a:rPr lang="en-GB" sz="1100" baseline="0"/>
            <a:t> 1.2GHz to 1.8GHz in Q1 25</a:t>
          </a:r>
        </a:p>
        <a:p xmlns:a="http://schemas.openxmlformats.org/drawingml/2006/main">
          <a:r>
            <a:rPr lang="en-GB" sz="1100" baseline="0"/>
            <a:t>- Will allow high-split with higher upload speeds</a:t>
          </a:r>
        </a:p>
        <a:p xmlns:a="http://schemas.openxmlformats.org/drawingml/2006/main">
          <a:r>
            <a:rPr lang="en-GB" sz="1100" baseline="0"/>
            <a:t>- Plans to move to 2Gb/s</a:t>
          </a:r>
        </a:p>
        <a:p xmlns:a="http://schemas.openxmlformats.org/drawingml/2006/main">
          <a:r>
            <a:rPr lang="en-GB" sz="1100" baseline="0"/>
            <a:t>- No plans for DOCSIS4.0 in core network</a:t>
          </a:r>
        </a:p>
        <a:p xmlns:a="http://schemas.openxmlformats.org/drawingml/2006/main">
          <a:endParaRPr lang="en-GB" sz="1100" baseline="0"/>
        </a:p>
        <a:p xmlns:a="http://schemas.openxmlformats.org/drawingml/2006/main">
          <a:r>
            <a:rPr lang="en-GB" sz="1100" b="1" baseline="0"/>
            <a:t>Future options for DOCSIS speed upgrades</a:t>
          </a:r>
        </a:p>
        <a:p xmlns:a="http://schemas.openxmlformats.org/drawingml/2006/main">
          <a:endParaRPr lang="en-GB" sz="1100" b="1" baseline="0"/>
        </a:p>
        <a:p xmlns:a="http://schemas.openxmlformats.org/drawingml/2006/main">
          <a:r>
            <a:rPr lang="en-GB" sz="1100" baseline="0"/>
            <a:t>- Offer DOCSIS4.0 modems over DOCSIS3.1 network</a:t>
          </a:r>
        </a:p>
        <a:p xmlns:a="http://schemas.openxmlformats.org/drawingml/2006/main">
          <a:r>
            <a:rPr lang="en-GB" sz="1100" baseline="0"/>
            <a:t>- Longer-term to move video to IP</a:t>
          </a:r>
        </a:p>
        <a:p xmlns:a="http://schemas.openxmlformats.org/drawingml/2006/main">
          <a:r>
            <a:rPr lang="en-GB" sz="1100" baseline="0"/>
            <a:t>- Could see speeds up to 5-10Gb/s</a:t>
          </a:r>
        </a:p>
        <a:p xmlns:a="http://schemas.openxmlformats.org/drawingml/2006/main">
          <a:endParaRPr lang="en-GB" sz="1100" baseline="0"/>
        </a:p>
        <a:p xmlns:a="http://schemas.openxmlformats.org/drawingml/2006/main">
          <a:endParaRPr lang="en-GB" sz="1100"/>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19</xdr:col>
      <xdr:colOff>246629</xdr:colOff>
      <xdr:row>18</xdr:row>
      <xdr:rowOff>104357</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7191375" y="190500"/>
          <a:ext cx="8171429" cy="3342857"/>
        </a:xfrm>
        <a:prstGeom prst="rect">
          <a:avLst/>
        </a:prstGeom>
      </xdr:spPr>
    </xdr:pic>
    <xdr:clientData/>
  </xdr:twoCellAnchor>
  <xdr:twoCellAnchor editAs="oneCell">
    <xdr:from>
      <xdr:col>6</xdr:col>
      <xdr:colOff>0</xdr:colOff>
      <xdr:row>20</xdr:row>
      <xdr:rowOff>0</xdr:rowOff>
    </xdr:from>
    <xdr:to>
      <xdr:col>15</xdr:col>
      <xdr:colOff>516480</xdr:colOff>
      <xdr:row>40</xdr:row>
      <xdr:rowOff>181520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7505700" y="3810000"/>
          <a:ext cx="6002880" cy="39991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620484</xdr:colOff>
      <xdr:row>43</xdr:row>
      <xdr:rowOff>79601</xdr:rowOff>
    </xdr:from>
    <xdr:to>
      <xdr:col>8</xdr:col>
      <xdr:colOff>295370</xdr:colOff>
      <xdr:row>61</xdr:row>
      <xdr:rowOff>20458</xdr:rowOff>
    </xdr:to>
    <xdr:graphicFrame macro="">
      <xdr:nvGraphicFramePr>
        <xdr:cNvPr id="2" name="Chart 1">
          <a:extLst>
            <a:ext uri="{FF2B5EF4-FFF2-40B4-BE49-F238E27FC236}">
              <a16:creationId xmlns:a16="http://schemas.microsoft.com/office/drawing/2014/main" id="{12F8AB48-79F9-0611-4F86-D58309D9D1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371476</xdr:colOff>
      <xdr:row>74</xdr:row>
      <xdr:rowOff>100012</xdr:rowOff>
    </xdr:from>
    <xdr:to>
      <xdr:col>7</xdr:col>
      <xdr:colOff>46362</xdr:colOff>
      <xdr:row>92</xdr:row>
      <xdr:rowOff>40869</xdr:rowOff>
    </xdr:to>
    <xdr:graphicFrame macro="">
      <xdr:nvGraphicFramePr>
        <xdr:cNvPr id="3" name="Chart 2">
          <a:extLst>
            <a:ext uri="{FF2B5EF4-FFF2-40B4-BE49-F238E27FC236}">
              <a16:creationId xmlns:a16="http://schemas.microsoft.com/office/drawing/2014/main" id="{1346117C-8909-688A-E57E-EBAA6FEFF2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426544</xdr:colOff>
      <xdr:row>75</xdr:row>
      <xdr:rowOff>54667</xdr:rowOff>
    </xdr:from>
    <xdr:to>
      <xdr:col>19</xdr:col>
      <xdr:colOff>28575</xdr:colOff>
      <xdr:row>92</xdr:row>
      <xdr:rowOff>137270</xdr:rowOff>
    </xdr:to>
    <xdr:graphicFrame macro="">
      <xdr:nvGraphicFramePr>
        <xdr:cNvPr id="4" name="Chart 3">
          <a:extLst>
            <a:ext uri="{FF2B5EF4-FFF2-40B4-BE49-F238E27FC236}">
              <a16:creationId xmlns:a16="http://schemas.microsoft.com/office/drawing/2014/main" id="{22C7FC8B-4B5E-1862-8F68-A0BC511D44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330572</xdr:colOff>
      <xdr:row>107</xdr:row>
      <xdr:rowOff>90766</xdr:rowOff>
    </xdr:from>
    <xdr:to>
      <xdr:col>7</xdr:col>
      <xdr:colOff>521072</xdr:colOff>
      <xdr:row>125</xdr:row>
      <xdr:rowOff>10084</xdr:rowOff>
    </xdr:to>
    <xdr:graphicFrame macro="">
      <xdr:nvGraphicFramePr>
        <xdr:cNvPr id="6" name="Chart 5">
          <a:extLst>
            <a:ext uri="{FF2B5EF4-FFF2-40B4-BE49-F238E27FC236}">
              <a16:creationId xmlns:a16="http://schemas.microsoft.com/office/drawing/2014/main" id="{4916B980-8D88-3B70-EC06-18419AB820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466643</xdr:colOff>
      <xdr:row>102</xdr:row>
      <xdr:rowOff>112777</xdr:rowOff>
    </xdr:from>
    <xdr:to>
      <xdr:col>27</xdr:col>
      <xdr:colOff>130643</xdr:colOff>
      <xdr:row>120</xdr:row>
      <xdr:rowOff>53634</xdr:rowOff>
    </xdr:to>
    <xdr:graphicFrame macro="">
      <xdr:nvGraphicFramePr>
        <xdr:cNvPr id="7" name="Chart 6">
          <a:extLst>
            <a:ext uri="{FF2B5EF4-FFF2-40B4-BE49-F238E27FC236}">
              <a16:creationId xmlns:a16="http://schemas.microsoft.com/office/drawing/2014/main" id="{5311909E-AE21-33D4-42B1-6DC4641A8F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50426</xdr:colOff>
      <xdr:row>146</xdr:row>
      <xdr:rowOff>57150</xdr:rowOff>
    </xdr:from>
    <xdr:to>
      <xdr:col>8</xdr:col>
      <xdr:colOff>240926</xdr:colOff>
      <xdr:row>163</xdr:row>
      <xdr:rowOff>133350</xdr:rowOff>
    </xdr:to>
    <xdr:graphicFrame macro="">
      <xdr:nvGraphicFramePr>
        <xdr:cNvPr id="8" name="Chart 7">
          <a:extLst>
            <a:ext uri="{FF2B5EF4-FFF2-40B4-BE49-F238E27FC236}">
              <a16:creationId xmlns:a16="http://schemas.microsoft.com/office/drawing/2014/main" id="{9971A8CF-D3AB-E257-10EB-AA347A00A6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61632</xdr:colOff>
      <xdr:row>146</xdr:row>
      <xdr:rowOff>124384</xdr:rowOff>
    </xdr:from>
    <xdr:to>
      <xdr:col>16</xdr:col>
      <xdr:colOff>397808</xdr:colOff>
      <xdr:row>164</xdr:row>
      <xdr:rowOff>43701</xdr:rowOff>
    </xdr:to>
    <xdr:graphicFrame macro="">
      <xdr:nvGraphicFramePr>
        <xdr:cNvPr id="9" name="Chart 8">
          <a:extLst>
            <a:ext uri="{FF2B5EF4-FFF2-40B4-BE49-F238E27FC236}">
              <a16:creationId xmlns:a16="http://schemas.microsoft.com/office/drawing/2014/main" id="{3E50C7B1-4701-6EAF-7257-FEFFA5D2C1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196101</xdr:colOff>
      <xdr:row>172</xdr:row>
      <xdr:rowOff>23532</xdr:rowOff>
    </xdr:from>
    <xdr:to>
      <xdr:col>7</xdr:col>
      <xdr:colOff>258535</xdr:colOff>
      <xdr:row>189</xdr:row>
      <xdr:rowOff>99732</xdr:rowOff>
    </xdr:to>
    <xdr:graphicFrame macro="">
      <xdr:nvGraphicFramePr>
        <xdr:cNvPr id="10" name="Chart 9">
          <a:extLst>
            <a:ext uri="{FF2B5EF4-FFF2-40B4-BE49-F238E27FC236}">
              <a16:creationId xmlns:a16="http://schemas.microsoft.com/office/drawing/2014/main" id="{3BD33224-15DA-C189-6FFD-57975295CE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212912</xdr:colOff>
      <xdr:row>199</xdr:row>
      <xdr:rowOff>79561</xdr:rowOff>
    </xdr:from>
    <xdr:to>
      <xdr:col>8</xdr:col>
      <xdr:colOff>403412</xdr:colOff>
      <xdr:row>216</xdr:row>
      <xdr:rowOff>155761</xdr:rowOff>
    </xdr:to>
    <xdr:graphicFrame macro="">
      <xdr:nvGraphicFramePr>
        <xdr:cNvPr id="11" name="Chart 10">
          <a:extLst>
            <a:ext uri="{FF2B5EF4-FFF2-40B4-BE49-F238E27FC236}">
              <a16:creationId xmlns:a16="http://schemas.microsoft.com/office/drawing/2014/main" id="{08AF843C-E8AF-3DA7-2035-31C5311B76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2177943</xdr:colOff>
      <xdr:row>5</xdr:row>
      <xdr:rowOff>121183</xdr:rowOff>
    </xdr:from>
    <xdr:to>
      <xdr:col>11</xdr:col>
      <xdr:colOff>24029</xdr:colOff>
      <xdr:row>23</xdr:row>
      <xdr:rowOff>62041</xdr:rowOff>
    </xdr:to>
    <xdr:graphicFrame macro="">
      <xdr:nvGraphicFramePr>
        <xdr:cNvPr id="12" name="Chart 11">
          <a:extLst>
            <a:ext uri="{FF2B5EF4-FFF2-40B4-BE49-F238E27FC236}">
              <a16:creationId xmlns:a16="http://schemas.microsoft.com/office/drawing/2014/main" id="{0C173B7C-5475-90A6-5A6B-88FFDB5594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598713</xdr:colOff>
      <xdr:row>44</xdr:row>
      <xdr:rowOff>10886</xdr:rowOff>
    </xdr:from>
    <xdr:to>
      <xdr:col>18</xdr:col>
      <xdr:colOff>262713</xdr:colOff>
      <xdr:row>61</xdr:row>
      <xdr:rowOff>115029</xdr:rowOff>
    </xdr:to>
    <xdr:graphicFrame macro="">
      <xdr:nvGraphicFramePr>
        <xdr:cNvPr id="5" name="Chart 4">
          <a:extLst>
            <a:ext uri="{FF2B5EF4-FFF2-40B4-BE49-F238E27FC236}">
              <a16:creationId xmlns:a16="http://schemas.microsoft.com/office/drawing/2014/main" id="{D0C93E41-0ED7-47A3-8013-A4BE1A0563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97971</xdr:colOff>
      <xdr:row>41</xdr:row>
      <xdr:rowOff>152400</xdr:rowOff>
    </xdr:from>
    <xdr:to>
      <xdr:col>28</xdr:col>
      <xdr:colOff>371571</xdr:colOff>
      <xdr:row>59</xdr:row>
      <xdr:rowOff>93257</xdr:rowOff>
    </xdr:to>
    <xdr:graphicFrame macro="">
      <xdr:nvGraphicFramePr>
        <xdr:cNvPr id="13" name="Chart 12">
          <a:extLst>
            <a:ext uri="{FF2B5EF4-FFF2-40B4-BE49-F238E27FC236}">
              <a16:creationId xmlns:a16="http://schemas.microsoft.com/office/drawing/2014/main" id="{4AC7C17D-0E08-45D4-8789-DDD9AECDDA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489857</xdr:colOff>
      <xdr:row>250</xdr:row>
      <xdr:rowOff>76199</xdr:rowOff>
    </xdr:from>
    <xdr:to>
      <xdr:col>13</xdr:col>
      <xdr:colOff>283028</xdr:colOff>
      <xdr:row>267</xdr:row>
      <xdr:rowOff>152399</xdr:rowOff>
    </xdr:to>
    <xdr:graphicFrame macro="">
      <xdr:nvGraphicFramePr>
        <xdr:cNvPr id="14" name="Chart 13">
          <a:extLst>
            <a:ext uri="{FF2B5EF4-FFF2-40B4-BE49-F238E27FC236}">
              <a16:creationId xmlns:a16="http://schemas.microsoft.com/office/drawing/2014/main" id="{999B1C10-D81A-7E64-5CB2-8625DD1733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10885</xdr:colOff>
      <xdr:row>21</xdr:row>
      <xdr:rowOff>34018</xdr:rowOff>
    </xdr:from>
    <xdr:to>
      <xdr:col>27</xdr:col>
      <xdr:colOff>224517</xdr:colOff>
      <xdr:row>41</xdr:row>
      <xdr:rowOff>49714</xdr:rowOff>
    </xdr:to>
    <xdr:graphicFrame macro="">
      <xdr:nvGraphicFramePr>
        <xdr:cNvPr id="18" name="Chart 17">
          <a:extLst>
            <a:ext uri="{FF2B5EF4-FFF2-40B4-BE49-F238E27FC236}">
              <a16:creationId xmlns:a16="http://schemas.microsoft.com/office/drawing/2014/main" id="{57D798C8-F4D2-4BE4-877D-5B17CA8A66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600075</xdr:colOff>
      <xdr:row>124</xdr:row>
      <xdr:rowOff>0</xdr:rowOff>
    </xdr:from>
    <xdr:to>
      <xdr:col>12</xdr:col>
      <xdr:colOff>504825</xdr:colOff>
      <xdr:row>139</xdr:row>
      <xdr:rowOff>111125</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124</xdr:row>
      <xdr:rowOff>0</xdr:rowOff>
    </xdr:from>
    <xdr:to>
      <xdr:col>19</xdr:col>
      <xdr:colOff>514350</xdr:colOff>
      <xdr:row>139</xdr:row>
      <xdr:rowOff>111125</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dnpfs009\shared\cfs\Acquisition%20Finance\DaLim\Templates\Model\00_08_16b%20LBO.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M:\Freeserve\FreeServe.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corpfin\EMPLOYEE\HIBOU\PROJECTS\Catherine\Models\Template.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ldnpfs009\shared\cfs\Acquisition%20Finance\AnRan\2004\AMSTERDAM\MODELS\Amsterdam%20model%2029.9.04v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TALOTTA_SRV\Infoteam\IOL%20BP\Profitability\Cost%20Allocation%20(3.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corpfin\PROJECTS\Maserati\Valuation\BPLAN_VAL_jan14_97-adj.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s://newstreet1385.sharepoint.com/TELECOMS/STOCKS/EUROPE/Germany/Tele%20Columbus/1%20-%20Models/1%20-%20Current/TELECOMS/STOCKS/EUROPE/France/Numericable/Models/Current/BUDGET%202009/Mod&#232;le%20Complet/Ypso%20Reforecast%202008%20v136.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newstreet1385.sharepoint.com/TELECOMS/STOCKS/EUROPE/Germany/Tele%20Columbus/1%20-%20Models/1%20-%20Current/TELECOMS/STOCKS/EUROPE/France/Numericable/Models/Current/1active/Eriks/Model/model%2018.xls" TargetMode="External"/></Relationships>
</file>

<file path=xl/externalLinks/_rels/externalLink107.xml.rels><?xml version="1.0" encoding="UTF-8" standalone="yes"?>
<Relationships xmlns="http://schemas.openxmlformats.org/package/2006/relationships"><Relationship Id="rId1" Type="http://schemas.microsoft.com/office/2006/relationships/xlExternalLinkPath/xlPathMissing" Target="HIPOTESIS%20FINANCIERAS" TargetMode="External"/></Relationships>
</file>

<file path=xl/externalLinks/_rels/externalLink108.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ALEXANDRE/YPSO/2008%20Q1/LIASSE/G&#233;n&#233;rateur/2005/Liasses/Param&#233;trage/Liasses%20excel/liasse%20IFRS%202005%20APE.xls?CB362218" TargetMode="External"/><Relationship Id="rId1" Type="http://schemas.openxmlformats.org/officeDocument/2006/relationships/externalLinkPath" Target="file:///\\CB362218\liasse%20IFRS%202005%20APE.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newstreet1385.sharepoint.com/TELECOMS/STOCKS/EUROPE/Germany/Tele%20Columbus/1%20-%20Models/1%20-%20Current/TELECOMS/STOCKS/EUROPE/France/Numericable/Models/Current/MMNOTE/WeeklyData/tel&amp;med12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Catherine\FINANCING\NEW%20BANK%20FACILITY%202001\OUT%20TO%20THE%20BANKS\WINWORD\PRESENTA\TELECOMS\PROJECTS\E9\VALUATIO\DCF\AUDIO.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industry\TELECOM\Novaxess\Benchmark\Bchmrked%20Cies%20-%20Xls%20Models\QSC.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newstreet1385.sharepoint.com/TELECOMS/STOCKS/EUROPE/Germany/Tele%20Columbus/1%20-%20Models/1%20-%20Current/TELECOMS/STOCKS/EUROPE/France/Numericable/Models/Current/DATA/Mercury/mercmod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oditel-09\Home%20Directories\TEMP\p.lotus.data\Documents%20and%20Settings\hockmach\Local%20Settings\Temporary%20Internet%20Files\OLK2\Altice%20no%20Telephony%20(Newcourt%20amended)29502.xls" TargetMode="External"/></Relationships>
</file>

<file path=xl/externalLinks/_rels/externalLink113.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personnel/Documents/Forecast/0710/0709/Opex%20Forecast%20-%20Sept%20with%20Actuals.xls?3E748DCF" TargetMode="External"/><Relationship Id="rId1" Type="http://schemas.openxmlformats.org/officeDocument/2006/relationships/externalLinkPath" Target="file:///\\3E748DCF\Opex%20Forecast%20-%20Sept%20with%20Actual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401_MTF_BJ02\68.%20BGN2%2001\model\Model%20Bird%20master%2022Sept05%20-%20Mgt%20cas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eueqt08\TELECOM\EXCEL\FIXED\PT.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CLOTURE%202009-02/GE/Capex/BUDGET%202009/Mod&#232;le%20Complet/Reforecast%202008%20Bel%20+%20Lux.xls?B0F6688B" TargetMode="External"/><Relationship Id="rId1" Type="http://schemas.openxmlformats.org/officeDocument/2006/relationships/externalLinkPath" Target="file:///\\B0F6688B\Reforecast%202008%20Bel%20+%20Lu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DOCUME~1\lina\LOCALS~1\Temp\Documents%20and%20Settings\hockmach\Local%20Settings\Temporary%20Internet%20Files\OLK2\Altice%20no%20Telephony%20(Newcourt%20amended)295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Documents%20and%20Settings\damienmartin\My%20Documents\Planning%20Archiv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eueqt04\TELECOM\EXCEL\FIXED\KPN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sr-pdc\shared\Analyser\Incumbents\Thegeorg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92.168.187.2\shared\TELECOMS\Analyser\Incumbents\TheGeorge.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Temp\Altice%20Banks%20%20Investors%20Case%20Quarterly%2017%2012%20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187.1\shared\Analyser\Incumbents\TheGeorg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401_MTF_BJ02\68.%20BGN2%2001\model\Model%20Bird%20master%2022Sept05%20-%20Mgt%20cas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yfic01\d.a.f\BUDGET%202009\Bel%20+%20Lux\Reforecast%202008%20Bel%20+%20Lux%20wim%20%202%2011%202008%20(Capex%20Revues)%2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Documents%20and%20Settings\hockmach\Local%20Settings\Temporary%20Internet%20Files\OLK2\Altice%20no%20Telephony%20(Newcourt%20amended)29502.xls" TargetMode="External"/></Relationships>
</file>

<file path=xl/externalLinks/_rels/externalLink25.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401_MTF_BJ02/68.%20BGN2%2001/model/Model%20Bird%20master%2022Sept05%20-%20Mgt%20case.xls?33C1AA5E" TargetMode="External"/><Relationship Id="rId1" Type="http://schemas.openxmlformats.org/officeDocument/2006/relationships/externalLinkPath" Target="file:///\\33C1AA5E\Model%20Bird%20master%2022Sept05%20-%20Mgt%20case.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A" TargetMode="External"/></Relationships>
</file>

<file path=xl/externalLinks/_rels/externalLink27.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MEDIA%20&amp;%20TELECOM/Silvia/Fastweb/Update%20May%2006/Spreadsheets/LBO%20Model%2013-12-05%20no%20iteration.xls?7CF7902A" TargetMode="External"/><Relationship Id="rId1" Type="http://schemas.openxmlformats.org/officeDocument/2006/relationships/externalLinkPath" Target="file:///\\7CF7902A\LBO%20Model%2013-12-05%20no%20iteration.xls"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ATRIOM/clients%20Atriom/Ypso/2008%20Q1/Covenants/EBITDA%20cd/Liasses/V3/200803%20BE%20CODITELB%20-%20liasse%20conso%208Q1.xls?467AF100" TargetMode="External"/><Relationship Id="rId1" Type="http://schemas.openxmlformats.org/officeDocument/2006/relationships/externalLinkPath" Target="file:///\\467AF100\200803%20BE%20CODITELB%20-%20liasse%20conso%208Q1.xls"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Users/06BTA/Desktop/M5K/42%20-%20Modelling/Op%20Noos%2004%20-%20In%20progressV3bisLAL.xls?CF9E5152" TargetMode="External"/><Relationship Id="rId1" Type="http://schemas.openxmlformats.org/officeDocument/2006/relationships/externalLinkPath" Target="file:///\\CF9E5152\Op%20Noos%2004%20-%20In%20progressV3bisL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ewstreet1385.sharepoint.com/TELECOMS/STOCKS/EUROPE/Germany/Tele%20Columbus/1%20-%20Models/1%20-%20Current/TELECOMS/STOCKS/EUROPE/France/Numericable/Models/Current/SB/M&amp;A_AB.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V:\WINDOWS\TEMP\ann&#233;e2002\vero%20perso%20depenses20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SOPHIE\projects\Completel%20New\Models\BP%20Feb01\At%20Company\industry\TELECOM\Ono\Model%20Jan%2001\ONO%20BP%20-%20Jan%202001%20-%20memo_no_mkt.xls" TargetMode="External"/></Relationships>
</file>

<file path=xl/externalLinks/_rels/externalLink32.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CLOTURE%202009-02/GE/Capex/CLOTURE%202008-07/GE/Capex/Reporting%20Capex%2007-2008.xls?C61595F2" TargetMode="External"/><Relationship Id="rId1" Type="http://schemas.openxmlformats.org/officeDocument/2006/relationships/externalLinkPath" Target="file:///\\C61595F2\Reporting%20Capex%2007-2008.xls" TargetMode="External"/></Relationships>
</file>

<file path=xl/externalLinks/_rels/externalLink33.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Documents%20and%20Settings/Patrick%20Drahi/Local%20Settings/Temporary%20Internet%20Files/OLKBEE/040215%20A1cd%20received%2015%203.xls?CFCACB4A" TargetMode="External"/><Relationship Id="rId1" Type="http://schemas.openxmlformats.org/officeDocument/2006/relationships/externalLinkPath" Target="file:///\\CFCACB4A\040215%20A1cd%20received%2015%203.xls" TargetMode="External"/></Relationships>
</file>

<file path=xl/externalLinks/_rels/externalLink34.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WIM/altice%20one/145%20m%20EUR%20refinancing%203%20may%202004/A1%20conso%20refinancing%20banks%2020%2005%202004%20including%20cash%20flow.xls?B72FC456" TargetMode="External"/><Relationship Id="rId1" Type="http://schemas.openxmlformats.org/officeDocument/2006/relationships/externalLinkPath" Target="file:///\\B72FC456\A1%20conso%20refinancing%20banks%2020%2005%202004%20including%20cash%20flow.xls" TargetMode="External"/></Relationships>
</file>

<file path=xl/externalLinks/_rels/externalLink35.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Documents%20and%20Settings/All%20Users/Documents/WIM/budget%202004/lux/040210%20wdn%20budget%20LUX%202004.xls?B3576975" TargetMode="External"/><Relationship Id="rId1" Type="http://schemas.openxmlformats.org/officeDocument/2006/relationships/externalLinkPath" Target="file:///\\B3576975\040210%20wdn%20budget%20LUX%202004.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H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industry\TELECOM\CELLULAR\COMPS\ASIA0398.XLS" TargetMode="External"/></Relationships>
</file>

<file path=xl/externalLinks/_rels/externalLink38.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CONSEIL/ABRIAL%20Kevin/Pegasus/Pegasus_DCF_Draft%20Version%20V01.xls?932B6E68" TargetMode="External"/><Relationship Id="rId1" Type="http://schemas.openxmlformats.org/officeDocument/2006/relationships/externalLinkPath" Target="file:///\\932B6E68\Pegasus_DCF_Draft%20Version%20V01.xls"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WIM/Reporting%20monthly/9%20september/september%20lux/p.lotus.data/Mes%20documents/RCF/PlanNewco/NEWCO301.XLS?3B91C312" TargetMode="External"/><Relationship Id="rId1" Type="http://schemas.openxmlformats.org/officeDocument/2006/relationships/externalLinkPath" Target="file:///\\3B91C312\NEWCO3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ocuments%20and%20Settings\damienmartin\My%20Documents\Planning%20Archives.xls" TargetMode="External"/></Relationships>
</file>

<file path=xl/externalLinks/_rels/externalLink40.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Projects/w/WINE_W3E2002/IBD/Model/Merlot/Model%2010.12.2002/Format%20PC%20v4.xls?148661B9" TargetMode="External"/><Relationship Id="rId1" Type="http://schemas.openxmlformats.org/officeDocument/2006/relationships/externalLinkPath" Target="file:///\\148661B9\Format%20PC%20v4.xls" TargetMode="External"/></Relationships>
</file>

<file path=xl/externalLinks/_rels/externalLink41.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Catherine/FINANCING/NEW%20BANK%20FACILITY%202001/OUT%20TO%20THE%20BANKS/Piermario/jazzBP21-4-99.xls?6A747DE4" TargetMode="External"/><Relationship Id="rId1" Type="http://schemas.openxmlformats.org/officeDocument/2006/relationships/externalLinkPath" Target="file:///\\6A747DE4\jazzBP21-4-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r092w02\Finance_Europe\Projects\Mannesmann2.xls" TargetMode="External"/></Relationships>
</file>

<file path=xl/externalLinks/_rels/externalLink43.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401_Media_Telecom/04.%20Transactions/Calypso/Recap/Model/BNP%20Paribas/02.%20used%20for%20FC1/Master/Recap%20Master%20201005.xls?8C808D5F" TargetMode="External"/><Relationship Id="rId1" Type="http://schemas.openxmlformats.org/officeDocument/2006/relationships/externalLinkPath" Target="file:///\\8C808D5F\Recap%20Master%202010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newstreet1385.sharepoint.com/TELECOMS/STOCKS/EUROPE/Germany/Tele%20Columbus/1%20-%20Models/1%20-%20Current/TELECOMS/STOCKS/EUROPE/France/Numericable/Models/Current/TEMP/sheet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oditel-09\Home%20Directories\TEMP\p.lotus.data\Mes%20documents\RCF\PlanNewco\NEWCO301.XLS" TargetMode="External"/></Relationships>
</file>

<file path=xl/externalLinks/_rels/externalLink46.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Altice/Pablo/Business%20Plan/COMPLETEL%20BP%20AGREED%20BASE%20CASE%20BACKUP%2018%2009%202007.xls?241440EA" TargetMode="External"/><Relationship Id="rId1" Type="http://schemas.openxmlformats.org/officeDocument/2006/relationships/externalLinkPath" Target="file:///\\241440EA\COMPLETEL%20BP%20AGREED%20BASE%20CASE%20BACKUP%2018%2009%20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newstreet1385.sharepoint.com/TELECOMS/STOCKS/EUROPE/Germany/Tele%20Columbus/1%20-%20Models/1%20-%20Current/TELECOMS/STOCKS/EUROPE/France/Numericable/Models/Current/401_MTF_Tango/16.%20NGW/05.%20Model/NGW_07020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newstreet1385.sharepoint.com/TELECOMS/STOCKS/EUROPE/Germany/Tele%20Columbus/1%20-%20Models/1%20-%20Current/TELECOMS/STOCKS/EUROPE/France/Numericable/Models/Current/Altice/Pablo/Business%20Plan/Pablo%20BP%20draft%2008%2010%202007.xls" TargetMode="External"/></Relationships>
</file>

<file path=xl/externalLinks/_rels/externalLink49.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TEMP/c.progra~1.$config.notes.data/Current%20Deals/Chiquita/chiquita%20LBO%201-24HM.xls?7C3259E4" TargetMode="External"/><Relationship Id="rId1" Type="http://schemas.openxmlformats.org/officeDocument/2006/relationships/externalLinkPath" Target="file:///\\7C3259E4\chiquita%20LBO%201-24H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USERS\NEUMAMI\Templates\COMPANY\FINALCAP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dta2sbc\MARTIN\CATV\comtel.xls" TargetMode="External"/></Relationships>
</file>

<file path=xl/externalLinks/_rels/externalLink51.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WIM/Reporting%20monthly/9%20september/september%20lux/%201%20PL%20Reporting%20BXL%2030%2006%2020042.xls?E61C3348" TargetMode="External"/><Relationship Id="rId1" Type="http://schemas.openxmlformats.org/officeDocument/2006/relationships/externalLinkPath" Target="file:///\\E61C3348\%201%20PL%20Reporting%20BXL%2030%2006%2020042.xls" TargetMode="External"/></Relationships>
</file>

<file path=xl/externalLinks/_rels/externalLink52.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Catherine/FINANCING/NEW%20BANK%20FACILITY%202001/OUT%20TO%20THE%20BANKS/WINWORD/PRESENTA/TELECOMS/PROJECTS/E9/VALUATIO/DCF/AUDIO.XLS?3C44675F" TargetMode="External"/><Relationship Id="rId1" Type="http://schemas.openxmlformats.org/officeDocument/2006/relationships/externalLinkPath" Target="file:///\\3C44675F\AUDIO.XLS" TargetMode="External"/></Relationships>
</file>

<file path=xl/externalLinks/_rels/externalLink53.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DOCUME~1/324436/LOCALS~1/Temp/notes5FE41E/Radio%20538%20-%20Staple%20Fin%20model%20-%2011may05%20modif%20market%20HC.xls?D7A3BAB6" TargetMode="External"/><Relationship Id="rId1" Type="http://schemas.openxmlformats.org/officeDocument/2006/relationships/externalLinkPath" Target="file:///\\D7A3BAB6\Radio%20538%20-%20Staple%20Fin%20model%20-%2011may05%20modif%20market%20HC.xls" TargetMode="External"/></Relationships>
</file>

<file path=xl/externalLinks/_rels/externalLink54.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business%20plan/februari%20trial/040202%20CODITEL%20CONSO%20final%20closing%2002%2011%2020031.xls?DDA57F68" TargetMode="External"/><Relationship Id="rId1" Type="http://schemas.openxmlformats.org/officeDocument/2006/relationships/externalLinkPath" Target="file:///\\DDA57F68\040202%20CODITEL%20CONSO%20final%20closing%2002%2011%202003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MEDIA%20&amp;%20TELECOM\Silvia\Fastweb\Update%20May%2006\Spreadsheets\LBO%20Model%2013-12-05%20no%20iteratio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TEMP\sheet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Catherine\FINANCING\NEW%20BANK%20FACILITY%202001\BANK%20PLANS\sent%20out%20to%20banks\FOCUS%20ON%20CAPEX\DCF%20and%20LBO%20Model%20Version%201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92.168.187.2\shared\Analyser\Incumbents\TheGeorg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H:\401_MTF_BJ02\68.%20BGN2%2001\model\NSK%20model%20Oct04.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Temp/Altice%20Banks%20%20Investors%20Case%20Quarterly%2017%2012%202002.xls?8BA04C6C" TargetMode="External"/><Relationship Id="rId1" Type="http://schemas.openxmlformats.org/officeDocument/2006/relationships/externalLinkPath" Target="file:///\\8BA04C6C\Altice%20Banks%20%20Investors%20Case%20Quarterly%2017%2012%2020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Catherine\FINANCING\NEW%20BANK%20FACILITY%202001\BANK%20PLANS\sent%20out%20to%20banks\FOCUS%20ON%20CAPEX\KP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SOPHIE\projects\Completel%20New\Models\BP%20Feb01\At%20Company\industry\TELECOM\Numericable\Financing%20July2000\Model\Model%20with%20S&amp;U%200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Catherine\FINANCING\NEW%20BANK%20FACILITY%202001\BANK%20PLANS\sent%20out%20to%20banks\FOCUS%20ON%20CAPEX\T'fonic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R:\MMNOTE\WeeklyData\tel&amp;med12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H:\Media&amp;Telecoms\Working%20Part\Projects\E%20-%20F\Fastweb%20II\Update%20May%2006\Spreadsheets\Models\BNPP%20Fastweb%20banking-case%202106200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newstreet1385.sharepoint.com/TELECOMS/STOCKS/EUROPE/Germany/Tele%20Columbus/1%20-%20Models/1%20-%20Current/TELECOMS/STOCKS/EUROPE/France/Numericable/Models/Current/REPORTING/2005-05/2005-05%20GROUPE%20YPSO%20V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Catherine\FINANCING\NEW%20BANK%20FACILITY%202001\BANK%20PLANS\sent%20out%20to%20banks\FOCUS%20ON%20CAPEX\P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industry\TELECOM\Numericable\Models\Nov00\Final%20Valuation%20Model%20and%20Report\Model%20Used%20For%20VALUATION%20REPORT%20FINAL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industry\TELECOM\Novaxess\Models\Valo%20Oct00\Financial%20Sheets%2010%20year.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Media%20Telecoms\Aurelie\Luc\Fastweb\Valuation\Trading%20Multiples\Pres%20Fastweb%20Multiples%20Data%20Base%2024-11-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Catherine\FINANCING\NEW%20BANK%20FACILITY%202001\BANK%20PLANS\sent%20out%20to%20banks\FOCUS%20ON%20CAPEX\TELECOMM\ALLFIX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industry\TELECOM\Numericable\Models\Nov00\Final%20Valuation%20Model%20and%20Report\From%20Philip\Ono%20Model%20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M&amp;A%20UK\Employee\Floyd\Models\Interbrew\financing%20scenario%20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industry\TELECOM\Infostrada\Info%20Company%2013April00\Modello%20Dati%20rel.7.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Gyfic01\D.A.F\BUDGET%202006\Mod&#232;le%20P&amp;L\Ypso-Budget%20V15.xls" TargetMode="External"/></Relationships>
</file>

<file path=xl/externalLinks/_rels/externalLink74.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REPORTING/2006-04/2006-04%20PL%20YPSO%20format%20EV%2018-05-2006%2012h00%20JLA.xls?9E8B8561" TargetMode="External"/><Relationship Id="rId1" Type="http://schemas.openxmlformats.org/officeDocument/2006/relationships/externalLinkPath" Target="file:///\\9E8B8561\2006-04%20PL%20YPSO%20format%20EV%2018-05-2006%2012h00%20JL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H:\401_MTF_BJ02\68.%20BGN2%2001\model\Bird%20Model%20Mg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sfbmad\vol1\WINWORD\PRESENTA\TELECOMS\PROJECTS\TINTO\FINANC\AIRTEL0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program%20files\qualcomm\eudora\attach\Revenues%20v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H:\401_MTF_Tango\16.%20NGW\05.%20Model\NGW_070207.xls" TargetMode="External"/></Relationships>
</file>

<file path=xl/externalLinks/_rels/externalLink79.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Documents%20and%20Settings/dukic.EV/Bureau/PACK%20BUDGET%202007%20V1.xls?9C800437" TargetMode="External"/><Relationship Id="rId1" Type="http://schemas.openxmlformats.org/officeDocument/2006/relationships/externalLinkPath" Target="file:///\\9C800437\PACK%20BUDGET%202007%20V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ueqt04\TELECOM\EXCEL\ALT\ENERGISpn.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INDUSTRY\TELECOM\NOVAXESS\MODELS\VALO%20OCT00\Sensitivities%20Model%201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H:\DOCUME~1\324436\LOCALS~1\Temp\notes5FE41E\Radio%20538%20-%20Staple%20Fin%20model%20-%2011may05%20modif%20market%20H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H:\Documents%20and%20Settings\ssanfilippo\Local%20Settings\Temporary%20Internet%20Files\OLKA\Lenders%20e%20Availability%20Case%20New%20Business%20Plan%2028%20nov%202003_ppq_quadrato.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H:\Catherine\FINANCING\NEW%20BANK%20FACILITY%202001\OUT%20TO%20THE%20BANKS\Piermario\jazzBP21-4-99.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H:\MEDIA%20&amp;%20TELECOM\Silvia\Fastweb\Update%20May%2006\Spreadsheets\Multiples%20and%20SPP\Pres%20Fastweb%20Multiples%20Data%20Base_update.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M:\DATA\Mercury\mercmod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TALOTTA_SRV\Infoteam\IOL%20BP\Profitability\Dati%20Allocation.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KPN.XLS" TargetMode="External"/></Relationships>
</file>

<file path=xl/externalLinks/_rels/externalLink88.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Documents%20and%20Settings/LAVELOTJ/Local%20Settings/Temporary%20Internet%20Files/OLK4A/Personnel%2030.05.xls?C712D584" TargetMode="External"/><Relationship Id="rId1" Type="http://schemas.openxmlformats.org/officeDocument/2006/relationships/externalLinkPath" Target="file:///\\C712D584\Personnel%2030.0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newstreet1385.sharepoint.com/TELECOMS/STOCKS/EUROPE/Germany/Tele%20Columbus/1%20-%20Models/1%20-%20Current/TELECOMS/STOCKS/EUROPE/France/Numericable/Models/Current/CLOTURE%202006-08/Forecast%20Mai%20V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ueqt08\TELECOM\EXCEL\ALT\ENERGISpn.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reueqt08\TELECOM\EXCEL\FIXED\BT.XLS" TargetMode="External"/></Relationships>
</file>

<file path=xl/externalLinks/_rels/externalLink91.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Reporting%20banques%20Ypso/Quaterly%20reports/Q4%202008/Q4%20YPSO%20Main%20-%20ajustment%20MD%20Check.xls?F2E86FB0" TargetMode="External"/><Relationship Id="rId1" Type="http://schemas.openxmlformats.org/officeDocument/2006/relationships/externalLinkPath" Target="file:///\\F2E86FB0\Q4%20YPSO%20Main%20-%20ajustment%20MD%20Check.xls" TargetMode="External"/></Relationships>
</file>

<file path=xl/externalLinks/_rels/externalLink92.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5-PERSO/Nathalie/VOLUMETRIE/MATRICE%20CONSO/YpsoEnoUpcNoos%20Reporting%20Package%202007%20St&#233;.xls?73DA1111" TargetMode="External"/><Relationship Id="rId1" Type="http://schemas.openxmlformats.org/officeDocument/2006/relationships/externalLinkPath" Target="file:///\\73DA1111\YpsoEnoUpcNoos%20Reporting%20Package%202007%20St&#23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SOPHIE\projects\Completel%20New\Models\BP%20Feb01\At%20Company\industry\TELECOM\Novaxess\Models\Valo%20Oct00\Sensitivities%20Model%201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newstreet1385.sharepoint.com/TELECOMS/STOCKS/EUROPE/Germany/Tele%20Columbus/1%20-%20Models/1%20-%20Current/TELECOMS/STOCKS/EUROPE/France/Numericable/Models/Current/A_WORK/CIR_ORG.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401_Media_Telecom\04.%20Transactions\Calypso\Recap\07.%20Model\Modele%20commun\BP%20YPSO-RECAP%20Agreed%20Business%20Plan%20final.xls" TargetMode="External"/></Relationships>
</file>

<file path=xl/externalLinks/_rels/externalLink96.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Documents/2.%20Projets/2.%20ALTICE%20II/D.%20Budget/4.%20RECAP/Reviewed%20Agreed%20BP%20RECAP%20YPSO.xls?9285F6D2" TargetMode="External"/><Relationship Id="rId1" Type="http://schemas.openxmlformats.org/officeDocument/2006/relationships/externalLinkPath" Target="file:///\\9285F6D2\Reviewed%20Agreed%20BP%20RECAP%20YPSO.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reueqt04\TELECOM\EXCEL\FIXED\BT.XLS" TargetMode="External"/></Relationships>
</file>

<file path=xl/externalLinks/_rels/externalLink98.xml.rels><?xml version="1.0" encoding="UTF-8" standalone="yes"?>
<Relationships xmlns="http://schemas.openxmlformats.org/package/2006/relationships"><Relationship Id="rId2" Type="http://schemas.microsoft.com/office/2019/04/relationships/externalLinkLongPath" Target="https://newstreet1385.sharepoint.com/TELECOMS/STOCKS/EUROPE/Germany/Tele%20Columbus/1%20-%20Models/1%20-%20Current/TELECOMS/STOCKS/EUROPE/France/Numericable/Models/Current/Documents%20and%20Settings/LAVELOTJ/Local%20Settings/Temporary%20Internet%20Files/OLK4A/CAPEX%20format%20YPSO%20032006%20valeurs.xls?C712D584" TargetMode="External"/><Relationship Id="rId1" Type="http://schemas.openxmlformats.org/officeDocument/2006/relationships/externalLinkPath" Target="file:///\\C712D584\CAPEX%20format%20YPSO%20032006%20valeur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Catherine\FINANCING\NEW%20BANK%20FACILITY%202001\OUT%20TO%20THE%20BANKS\WINWORD\PRESENTA\TELECOMS\PROJECTS\E9\VALUATIO\DCF\MOBI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
      <sheetName val="Model"/>
      <sheetName val="Douglas Perfumerie"/>
      <sheetName val="Inactifs N+N 2008"/>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
      <sheetName val="Offer"/>
      <sheetName val="MBO"/>
      <sheetName val="Interest &amp; Tax"/>
      <sheetName val="Net debt"/>
      <sheetName val="Debt"/>
      <sheetName val="B"/>
      <sheetName val="P&amp;L-Post"/>
      <sheetName val="Balance-Post"/>
      <sheetName val="Fixed assets"/>
      <sheetName val="Cashflow-Post"/>
      <sheetName val="P&amp;L-Pre"/>
      <sheetName val="Balance-Pre"/>
      <sheetName val="Cashflow-Pre"/>
      <sheetName val="DCF"/>
      <sheetName val="Group WACC"/>
      <sheetName val="Summary"/>
      <sheetName val="Macros"/>
      <sheetName val="#REF"/>
      <sheetName val="00_08_16b LBO"/>
    </sheetNames>
    <sheetDataSet>
      <sheetData sheetId="0" refreshError="1"/>
      <sheetData sheetId="1" refreshError="1">
        <row r="14">
          <cell r="C14" t="str">
            <v>Project Intelligence</v>
          </cell>
        </row>
        <row r="15">
          <cell r="C15" t="str">
            <v>1.   Group leveraged buy-out model</v>
          </cell>
        </row>
      </sheetData>
      <sheetData sheetId="2" refreshError="1">
        <row r="1">
          <cell r="A1" t="str">
            <v>Project Intelligence</v>
          </cell>
          <cell r="K1" t="str">
            <v>BUY-OUT ASSUMPTIONS</v>
          </cell>
        </row>
        <row r="5">
          <cell r="A5" t="str">
            <v>BASIC INFORMATION</v>
          </cell>
        </row>
        <row r="9">
          <cell r="A9" t="str">
            <v>Target name</v>
          </cell>
          <cell r="B9" t="str">
            <v>Inmarsat</v>
          </cell>
          <cell r="D9" t="str">
            <v>Depreciation years</v>
          </cell>
          <cell r="F9">
            <v>10</v>
          </cell>
        </row>
        <row r="10">
          <cell r="A10" t="str">
            <v>Bidder name</v>
          </cell>
          <cell r="B10" t="str">
            <v>NewCo</v>
          </cell>
          <cell r="D10" t="str">
            <v>Tax rate</v>
          </cell>
          <cell r="F10">
            <v>0.3</v>
          </cell>
        </row>
        <row r="11">
          <cell r="A11" t="str">
            <v>Project name</v>
          </cell>
          <cell r="B11" t="str">
            <v>Intelligence</v>
          </cell>
          <cell r="D11" t="str">
            <v>Warrants</v>
          </cell>
          <cell r="F11">
            <v>0.05</v>
          </cell>
        </row>
        <row r="12">
          <cell r="A12" t="str">
            <v>Last historic year</v>
          </cell>
          <cell r="B12">
            <v>37256</v>
          </cell>
          <cell r="D12" t="str">
            <v xml:space="preserve">Cash sweep </v>
          </cell>
          <cell r="F12">
            <v>0.5</v>
          </cell>
        </row>
        <row r="13">
          <cell r="A13" t="str">
            <v>Assumed acquisition date</v>
          </cell>
          <cell r="B13">
            <v>37621</v>
          </cell>
          <cell r="D13" t="str">
            <v>Estimate IPO value</v>
          </cell>
          <cell r="F13">
            <v>470.3</v>
          </cell>
        </row>
        <row r="14">
          <cell r="A14" t="str">
            <v>Currency</v>
          </cell>
          <cell r="B14" t="str">
            <v>USD</v>
          </cell>
          <cell r="C14" t="str">
            <v>Project Intelligence</v>
          </cell>
          <cell r="D14" t="str">
            <v>% acquired</v>
          </cell>
          <cell r="F14">
            <v>0.75</v>
          </cell>
        </row>
        <row r="15">
          <cell r="C15" t="str">
            <v>1.   Group leveraged buy-out model</v>
          </cell>
          <cell r="D15" t="str">
            <v>EV of offer</v>
          </cell>
          <cell r="F15">
            <v>1771.5</v>
          </cell>
        </row>
        <row r="17">
          <cell r="A17" t="str">
            <v>OFFER</v>
          </cell>
          <cell r="F17" t="str">
            <v>VALUATION OF EXISTING SHARE OPTIONS</v>
          </cell>
        </row>
        <row r="19">
          <cell r="G19" t="str">
            <v>No.</v>
          </cell>
          <cell r="H19" t="str">
            <v>Avge</v>
          </cell>
          <cell r="I19" t="str">
            <v>USDm</v>
          </cell>
        </row>
        <row r="21">
          <cell r="A21" t="str">
            <v>Current share price</v>
          </cell>
          <cell r="B21" t="str">
            <v>USD</v>
          </cell>
          <cell r="F21" t="str">
            <v>[Director]</v>
          </cell>
          <cell r="I21">
            <v>0</v>
          </cell>
        </row>
        <row r="22">
          <cell r="A22" t="str">
            <v>Assumed offer premium</v>
          </cell>
          <cell r="B22" t="str">
            <v>(%)</v>
          </cell>
          <cell r="F22" t="str">
            <v>[Director]</v>
          </cell>
          <cell r="I22">
            <v>0</v>
          </cell>
        </row>
        <row r="23">
          <cell r="A23" t="str">
            <v>Assumed offer price per share</v>
          </cell>
          <cell r="B23" t="str">
            <v>USD</v>
          </cell>
          <cell r="F23" t="str">
            <v>[Director]</v>
          </cell>
          <cell r="I23">
            <v>0</v>
          </cell>
        </row>
        <row r="24">
          <cell r="A24" t="str">
            <v>Number of shares</v>
          </cell>
          <cell r="B24" t="str">
            <v>(m)</v>
          </cell>
          <cell r="F24" t="str">
            <v>[Director]</v>
          </cell>
          <cell r="I24">
            <v>0</v>
          </cell>
        </row>
        <row r="25">
          <cell r="A25" t="str">
            <v>Equity value of offer</v>
          </cell>
          <cell r="B25" t="str">
            <v>USDm</v>
          </cell>
          <cell r="C25">
            <v>1057.125</v>
          </cell>
          <cell r="F25" t="str">
            <v>[Director]</v>
          </cell>
          <cell r="I25">
            <v>0</v>
          </cell>
        </row>
        <row r="26">
          <cell r="F26" t="str">
            <v>[Director]</v>
          </cell>
          <cell r="I26">
            <v>0</v>
          </cell>
        </row>
        <row r="27">
          <cell r="A27" t="str">
            <v>Net debt/(cash)</v>
          </cell>
          <cell r="B27" t="str">
            <v>USDm</v>
          </cell>
          <cell r="C27">
            <v>231.5</v>
          </cell>
          <cell r="F27" t="str">
            <v>[Director]</v>
          </cell>
          <cell r="I27">
            <v>0</v>
          </cell>
        </row>
        <row r="28">
          <cell r="A28" t="str">
            <v>Net cost of outstanding options</v>
          </cell>
          <cell r="B28" t="str">
            <v>USDm</v>
          </cell>
          <cell r="C28">
            <v>0</v>
          </cell>
          <cell r="F28" t="str">
            <v>Total share options</v>
          </cell>
          <cell r="I28">
            <v>0</v>
          </cell>
        </row>
        <row r="29">
          <cell r="A29" t="str">
            <v>Minority buy-out costs</v>
          </cell>
          <cell r="B29" t="str">
            <v>USDm</v>
          </cell>
          <cell r="C29">
            <v>0</v>
          </cell>
        </row>
        <row r="30">
          <cell r="A30" t="str">
            <v>Acquisition / financing costs</v>
          </cell>
          <cell r="B30" t="str">
            <v>USDm</v>
          </cell>
          <cell r="C30">
            <v>40</v>
          </cell>
        </row>
        <row r="32">
          <cell r="A32" t="str">
            <v>Enterprise value of offer</v>
          </cell>
          <cell r="B32" t="str">
            <v>USDm</v>
          </cell>
          <cell r="C32">
            <v>1328.625</v>
          </cell>
        </row>
        <row r="34">
          <cell r="A34" t="str">
            <v>DEBT STRUCTURE</v>
          </cell>
          <cell r="F34" t="str">
            <v>DEBT TERMS</v>
          </cell>
        </row>
        <row r="36">
          <cell r="B36" t="str">
            <v>USDm</v>
          </cell>
          <cell r="C36" t="str">
            <v>%</v>
          </cell>
          <cell r="G36" t="str">
            <v>Term</v>
          </cell>
          <cell r="I36" t="str">
            <v>Type</v>
          </cell>
          <cell r="J36" t="str">
            <v>Margin</v>
          </cell>
          <cell r="K36" t="str">
            <v>Rate</v>
          </cell>
        </row>
        <row r="38">
          <cell r="A38" t="str">
            <v>Senior term loan A</v>
          </cell>
          <cell r="B38">
            <v>390.61574999999999</v>
          </cell>
          <cell r="C38">
            <v>0.42</v>
          </cell>
          <cell r="D38">
            <v>0.6</v>
          </cell>
          <cell r="F38" t="str">
            <v>Senior term loan A</v>
          </cell>
          <cell r="G38">
            <v>7</v>
          </cell>
          <cell r="I38" t="str">
            <v>Custom</v>
          </cell>
          <cell r="J38">
            <v>2.2499999999999999E-2</v>
          </cell>
          <cell r="K38">
            <v>7.3499999999999996E-2</v>
          </cell>
        </row>
        <row r="39">
          <cell r="A39" t="str">
            <v>Senior term loan B</v>
          </cell>
          <cell r="B39">
            <v>130.20524999999998</v>
          </cell>
          <cell r="C39">
            <v>0.13999999999999999</v>
          </cell>
          <cell r="D39">
            <v>0.2</v>
          </cell>
          <cell r="F39" t="str">
            <v>Senior term loan B</v>
          </cell>
          <cell r="G39">
            <v>8</v>
          </cell>
          <cell r="I39" t="str">
            <v>Bullet</v>
          </cell>
          <cell r="J39">
            <v>2.75E-2</v>
          </cell>
          <cell r="K39">
            <v>7.85E-2</v>
          </cell>
        </row>
        <row r="40">
          <cell r="A40" t="str">
            <v>Senior term loan C</v>
          </cell>
          <cell r="B40">
            <v>130.20524999999998</v>
          </cell>
          <cell r="C40">
            <v>0.13999999999999999</v>
          </cell>
          <cell r="D40">
            <v>0.2</v>
          </cell>
          <cell r="F40" t="str">
            <v>Senior term loan C</v>
          </cell>
          <cell r="G40">
            <v>9</v>
          </cell>
          <cell r="I40" t="str">
            <v>Bullet</v>
          </cell>
          <cell r="J40">
            <v>3.2500000000000001E-2</v>
          </cell>
          <cell r="K40">
            <v>8.3499999999999991E-2</v>
          </cell>
        </row>
        <row r="41">
          <cell r="A41" t="str">
            <v>High yield</v>
          </cell>
          <cell r="B41">
            <v>279.01125000000002</v>
          </cell>
          <cell r="C41">
            <v>0.3</v>
          </cell>
          <cell r="D41">
            <v>1</v>
          </cell>
          <cell r="F41" t="str">
            <v>High yield</v>
          </cell>
          <cell r="G41">
            <v>9</v>
          </cell>
          <cell r="I41" t="str">
            <v>Custom</v>
          </cell>
          <cell r="J41">
            <v>6.7000000000000004E-2</v>
          </cell>
          <cell r="K41">
            <v>0.11799999999999999</v>
          </cell>
        </row>
        <row r="42">
          <cell r="A42" t="str">
            <v>Mezzanine</v>
          </cell>
          <cell r="B42">
            <v>0</v>
          </cell>
          <cell r="C42">
            <v>0</v>
          </cell>
          <cell r="F42" t="str">
            <v>Mezzanine - cash pay</v>
          </cell>
          <cell r="G42">
            <v>10</v>
          </cell>
          <cell r="I42" t="str">
            <v>Bullet</v>
          </cell>
          <cell r="J42">
            <v>0.03</v>
          </cell>
          <cell r="K42">
            <v>8.0999999999999989E-2</v>
          </cell>
        </row>
        <row r="43">
          <cell r="A43" t="str">
            <v>Vendor loan notes</v>
          </cell>
          <cell r="B43">
            <v>0</v>
          </cell>
          <cell r="C43">
            <v>0</v>
          </cell>
          <cell r="F43" t="str">
            <v>Mezzanine - PIK</v>
          </cell>
          <cell r="G43">
            <v>10</v>
          </cell>
          <cell r="I43" t="str">
            <v>Roll-up</v>
          </cell>
          <cell r="K43">
            <v>3.5000000000000003E-2</v>
          </cell>
        </row>
        <row r="44">
          <cell r="A44" t="str">
            <v>Revolving credit facility</v>
          </cell>
          <cell r="B44">
            <v>0</v>
          </cell>
          <cell r="C44">
            <v>0</v>
          </cell>
          <cell r="F44" t="str">
            <v>Vendor loan note</v>
          </cell>
          <cell r="G44">
            <v>10</v>
          </cell>
          <cell r="I44" t="str">
            <v>Custom</v>
          </cell>
          <cell r="J44">
            <v>2.2499999999999999E-2</v>
          </cell>
          <cell r="K44">
            <v>7.3499999999999996E-2</v>
          </cell>
        </row>
        <row r="45">
          <cell r="A45" t="str">
            <v>Cash</v>
          </cell>
          <cell r="B45">
            <v>0</v>
          </cell>
          <cell r="C45">
            <v>0</v>
          </cell>
          <cell r="F45" t="str">
            <v>Revolving credit / overdraft</v>
          </cell>
          <cell r="G45">
            <v>4</v>
          </cell>
          <cell r="I45" t="str">
            <v>-</v>
          </cell>
          <cell r="K45">
            <v>7.3499999999999996E-2</v>
          </cell>
        </row>
        <row r="46">
          <cell r="F46" t="str">
            <v>Existing Revolving Credit Facility</v>
          </cell>
          <cell r="G46">
            <v>8</v>
          </cell>
          <cell r="I46" t="str">
            <v>Bullet</v>
          </cell>
          <cell r="J46">
            <v>9.4999999999999998E-3</v>
          </cell>
          <cell r="K46">
            <v>6.0499999999999998E-2</v>
          </cell>
        </row>
        <row r="47">
          <cell r="A47" t="str">
            <v>Total acquisition debt</v>
          </cell>
          <cell r="B47">
            <v>930.03750000000002</v>
          </cell>
          <cell r="C47">
            <v>1</v>
          </cell>
          <cell r="F47" t="str">
            <v>Cash balance</v>
          </cell>
          <cell r="I47" t="str">
            <v>-</v>
          </cell>
          <cell r="K47">
            <v>0.05</v>
          </cell>
        </row>
        <row r="48">
          <cell r="F48" t="str">
            <v>LIBOR 12 months to August 02</v>
          </cell>
          <cell r="K48">
            <v>5.0999999999999997E-2</v>
          </cell>
        </row>
        <row r="49">
          <cell r="A49" t="str">
            <v>FINANCING STRUCTURE</v>
          </cell>
        </row>
        <row r="51">
          <cell r="A51" t="str">
            <v>Sources of funds</v>
          </cell>
          <cell r="B51" t="str">
            <v>USDm</v>
          </cell>
          <cell r="C51" t="str">
            <v xml:space="preserve">%  </v>
          </cell>
          <cell r="F51" t="str">
            <v>Uses of funds</v>
          </cell>
          <cell r="G51" t="str">
            <v>USDm</v>
          </cell>
        </row>
        <row r="53">
          <cell r="A53" t="str">
            <v>Ordinary shares  -  Equity provider</v>
          </cell>
          <cell r="B53">
            <v>398.58749999999998</v>
          </cell>
          <cell r="C53">
            <v>0.3</v>
          </cell>
          <cell r="F53" t="str">
            <v>Purchase of equity (inc. options)</v>
          </cell>
          <cell r="G53">
            <v>1057.125</v>
          </cell>
        </row>
      </sheetData>
      <sheetData sheetId="3" refreshError="1">
        <row r="1">
          <cell r="A1" t="str">
            <v>Project Intelligence</v>
          </cell>
          <cell r="K1" t="str">
            <v>BUY-OUT ASSUMPTIONS</v>
          </cell>
          <cell r="R1" t="str">
            <v>BUY-OUT ASSUMPTIONS</v>
          </cell>
        </row>
        <row r="5">
          <cell r="A5" t="str">
            <v>KEY RATIOS</v>
          </cell>
        </row>
        <row r="7">
          <cell r="D7">
            <v>36525</v>
          </cell>
          <cell r="E7">
            <v>36890</v>
          </cell>
          <cell r="F7">
            <v>37256</v>
          </cell>
          <cell r="G7">
            <v>37621</v>
          </cell>
          <cell r="H7">
            <v>37986</v>
          </cell>
          <cell r="I7">
            <v>38351</v>
          </cell>
          <cell r="J7">
            <v>38716</v>
          </cell>
          <cell r="K7">
            <v>39081</v>
          </cell>
          <cell r="L7">
            <v>39446</v>
          </cell>
          <cell r="M7">
            <v>39811</v>
          </cell>
          <cell r="N7">
            <v>40176</v>
          </cell>
          <cell r="O7">
            <v>40541</v>
          </cell>
          <cell r="P7">
            <v>40906</v>
          </cell>
          <cell r="Q7">
            <v>41271</v>
          </cell>
          <cell r="R7">
            <v>41636</v>
          </cell>
        </row>
        <row r="8">
          <cell r="A8" t="str">
            <v>Year</v>
          </cell>
          <cell r="B8" t="str">
            <v>(No.)</v>
          </cell>
          <cell r="D8">
            <v>0</v>
          </cell>
          <cell r="E8">
            <v>0</v>
          </cell>
          <cell r="F8">
            <v>0</v>
          </cell>
          <cell r="G8">
            <v>1</v>
          </cell>
          <cell r="H8">
            <v>2</v>
          </cell>
          <cell r="I8">
            <v>3</v>
          </cell>
          <cell r="J8">
            <v>4</v>
          </cell>
          <cell r="K8">
            <v>5</v>
          </cell>
          <cell r="L8">
            <v>6</v>
          </cell>
          <cell r="M8">
            <v>7</v>
          </cell>
          <cell r="N8">
            <v>8</v>
          </cell>
          <cell r="O8">
            <v>9</v>
          </cell>
          <cell r="P8">
            <v>10</v>
          </cell>
          <cell r="Q8">
            <v>11</v>
          </cell>
          <cell r="R8">
            <v>12</v>
          </cell>
        </row>
        <row r="9">
          <cell r="A9" t="str">
            <v>Target name</v>
          </cell>
          <cell r="B9" t="str">
            <v>Inmarsat</v>
          </cell>
          <cell r="D9" t="str">
            <v>Depreciation years</v>
          </cell>
          <cell r="F9">
            <v>10</v>
          </cell>
        </row>
        <row r="10">
          <cell r="A10" t="str">
            <v>Turnover</v>
          </cell>
          <cell r="B10" t="str">
            <v>USDm</v>
          </cell>
          <cell r="D10">
            <v>406.2</v>
          </cell>
          <cell r="E10">
            <v>416.88499999999999</v>
          </cell>
          <cell r="F10">
            <v>444.6</v>
          </cell>
          <cell r="G10">
            <v>529.5</v>
          </cell>
          <cell r="H10">
            <v>651.20000000000005</v>
          </cell>
          <cell r="I10">
            <v>732.4</v>
          </cell>
          <cell r="J10">
            <v>854.5</v>
          </cell>
          <cell r="K10">
            <v>1039.5999999999999</v>
          </cell>
          <cell r="L10">
            <v>1195.5399999999997</v>
          </cell>
          <cell r="M10">
            <v>1315.0939999999998</v>
          </cell>
          <cell r="N10">
            <v>1380.8486999999998</v>
          </cell>
          <cell r="O10">
            <v>1449.8911349999998</v>
          </cell>
          <cell r="P10">
            <v>1522.38569175</v>
          </cell>
          <cell r="Q10">
            <v>1598.5049763375</v>
          </cell>
          <cell r="R10">
            <v>1678.4302251543752</v>
          </cell>
        </row>
        <row r="11">
          <cell r="A11" t="str">
            <v>EBITDA</v>
          </cell>
          <cell r="B11" t="str">
            <v>USDm</v>
          </cell>
          <cell r="D11">
            <v>313.5</v>
          </cell>
          <cell r="E11">
            <v>289.73199999999997</v>
          </cell>
          <cell r="F11">
            <v>264.3</v>
          </cell>
          <cell r="G11">
            <v>313.8</v>
          </cell>
          <cell r="H11">
            <v>392.6</v>
          </cell>
          <cell r="I11">
            <v>448.4</v>
          </cell>
          <cell r="J11">
            <v>580.79999999999995</v>
          </cell>
          <cell r="K11">
            <v>752.99999999999989</v>
          </cell>
          <cell r="L11">
            <v>865.94999999999982</v>
          </cell>
          <cell r="M11">
            <v>952.54499999999985</v>
          </cell>
          <cell r="N11">
            <v>1000.1722499999998</v>
          </cell>
          <cell r="O11">
            <v>1050.1808624999999</v>
          </cell>
          <cell r="P11">
            <v>1102.6899056249999</v>
          </cell>
          <cell r="Q11">
            <v>1157.82440090625</v>
          </cell>
          <cell r="R11">
            <v>1215.7156209515626</v>
          </cell>
        </row>
        <row r="12">
          <cell r="A12" t="str">
            <v>Total net debt/(cash) before vendor loan notes</v>
          </cell>
          <cell r="B12" t="str">
            <v>USDm</v>
          </cell>
          <cell r="D12">
            <v>0</v>
          </cell>
          <cell r="E12">
            <v>0</v>
          </cell>
          <cell r="F12">
            <v>930.03749999999991</v>
          </cell>
          <cell r="G12">
            <v>1222.5832582221828</v>
          </cell>
          <cell r="H12">
            <v>1492.4542161790455</v>
          </cell>
          <cell r="I12">
            <v>1410.2164447030557</v>
          </cell>
          <cell r="J12">
            <v>1037.4962488149897</v>
          </cell>
          <cell r="K12">
            <v>501.04618032845383</v>
          </cell>
          <cell r="L12">
            <v>-124.92759644125465</v>
          </cell>
          <cell r="M12">
            <v>-840.81472322274783</v>
          </cell>
          <cell r="N12">
            <v>-1620.6826707063728</v>
          </cell>
          <cell r="O12">
            <v>-2468.4431623132305</v>
          </cell>
          <cell r="P12">
            <v>-3385.9050856581957</v>
          </cell>
          <cell r="Q12">
            <v>-4377.5265090208177</v>
          </cell>
          <cell r="R12">
            <v>-5448.0230655544101</v>
          </cell>
        </row>
        <row r="13">
          <cell r="A13" t="str">
            <v>Total senior debt</v>
          </cell>
          <cell r="B13" t="str">
            <v>USDm</v>
          </cell>
          <cell r="D13">
            <v>0</v>
          </cell>
          <cell r="E13">
            <v>0</v>
          </cell>
          <cell r="F13">
            <v>651.02624999999989</v>
          </cell>
          <cell r="G13">
            <v>651.02625</v>
          </cell>
          <cell r="H13">
            <v>608.05851749999999</v>
          </cell>
          <cell r="I13">
            <v>557.27847049999991</v>
          </cell>
          <cell r="J13">
            <v>362.82704615749498</v>
          </cell>
          <cell r="K13">
            <v>85.67365221047946</v>
          </cell>
          <cell r="L13">
            <v>0</v>
          </cell>
          <cell r="M13">
            <v>0</v>
          </cell>
          <cell r="N13">
            <v>0</v>
          </cell>
          <cell r="O13">
            <v>0</v>
          </cell>
          <cell r="P13">
            <v>0</v>
          </cell>
          <cell r="Q13">
            <v>0</v>
          </cell>
          <cell r="R13">
            <v>0</v>
          </cell>
        </row>
        <row r="14">
          <cell r="A14" t="str">
            <v>Closing vendor loan notes</v>
          </cell>
          <cell r="B14" t="str">
            <v>USDm</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Total interest (P&amp;L)</v>
          </cell>
          <cell r="B15" t="str">
            <v>USDm</v>
          </cell>
          <cell r="D15">
            <v>0</v>
          </cell>
          <cell r="E15">
            <v>0</v>
          </cell>
          <cell r="F15">
            <v>0</v>
          </cell>
          <cell r="G15">
            <v>-81.245285887500003</v>
          </cell>
          <cell r="H15">
            <v>-76.373889027124989</v>
          </cell>
          <cell r="I15">
            <v>-68.977858907875003</v>
          </cell>
          <cell r="J15">
            <v>-55.169830544898666</v>
          </cell>
          <cell r="K15">
            <v>-19.78591798662427</v>
          </cell>
          <cell r="L15">
            <v>17.376127265582006</v>
          </cell>
          <cell r="M15">
            <v>55.593735038600066</v>
          </cell>
          <cell r="N15">
            <v>78.187445804478017</v>
          </cell>
          <cell r="O15">
            <v>102.22814582549009</v>
          </cell>
          <cell r="P15">
            <v>146.35870619928565</v>
          </cell>
          <cell r="Q15">
            <v>194.08578986697535</v>
          </cell>
          <cell r="R15">
            <v>245.63873936438068</v>
          </cell>
        </row>
        <row r="16">
          <cell r="A16" t="str">
            <v>Senior interest (P&amp;L)</v>
          </cell>
          <cell r="B16" t="str">
            <v>USDm</v>
          </cell>
          <cell r="D16">
            <v>0</v>
          </cell>
          <cell r="E16">
            <v>0</v>
          </cell>
          <cell r="F16">
            <v>0</v>
          </cell>
          <cell r="G16">
            <v>-49.803508125</v>
          </cell>
          <cell r="H16">
            <v>-48.224443955624999</v>
          </cell>
          <cell r="I16">
            <v>-44.779213077374997</v>
          </cell>
          <cell r="J16">
            <v>-35.498142186648671</v>
          </cell>
          <cell r="K16">
            <v>-5.1350370426242726</v>
          </cell>
          <cell r="L16">
            <v>26.594659172082004</v>
          </cell>
          <cell r="M16">
            <v>58.803759735350063</v>
          </cell>
          <cell r="N16">
            <v>78.187445804478017</v>
          </cell>
          <cell r="O16">
            <v>102.22814582549009</v>
          </cell>
          <cell r="P16">
            <v>146.35870619928565</v>
          </cell>
          <cell r="Q16">
            <v>194.08578986697535</v>
          </cell>
          <cell r="R16">
            <v>245.63873936438068</v>
          </cell>
        </row>
        <row r="17">
          <cell r="A17" t="str">
            <v>Cashflow (pre-financing and tax)</v>
          </cell>
          <cell r="B17" t="str">
            <v>USDm</v>
          </cell>
          <cell r="D17">
            <v>0</v>
          </cell>
          <cell r="E17">
            <v>31.021000000000001</v>
          </cell>
          <cell r="F17">
            <v>-187.29999999999998</v>
          </cell>
          <cell r="G17">
            <v>-211.30047233468278</v>
          </cell>
          <cell r="H17">
            <v>-125.96381016644168</v>
          </cell>
          <cell r="I17">
            <v>234.52546108861898</v>
          </cell>
          <cell r="J17">
            <v>531.94419703103915</v>
          </cell>
          <cell r="K17">
            <v>727.00533063427793</v>
          </cell>
          <cell r="L17">
            <v>800.30160593792164</v>
          </cell>
          <cell r="M17">
            <v>879.2912312190731</v>
          </cell>
          <cell r="N17">
            <v>922.05917717049022</v>
          </cell>
          <cell r="O17">
            <v>968.16213602901473</v>
          </cell>
          <cell r="P17">
            <v>1016.5702428304654</v>
          </cell>
          <cell r="Q17">
            <v>1067.3987549719889</v>
          </cell>
          <cell r="R17">
            <v>1120.7686927205887</v>
          </cell>
        </row>
        <row r="18">
          <cell r="A18" t="str">
            <v>Total debt service</v>
          </cell>
          <cell r="B18" t="str">
            <v>USDm</v>
          </cell>
          <cell r="D18">
            <v>0</v>
          </cell>
          <cell r="E18">
            <v>0</v>
          </cell>
          <cell r="F18">
            <v>0</v>
          </cell>
          <cell r="G18">
            <v>-106.3562983875</v>
          </cell>
          <cell r="H18">
            <v>-150.03285902712497</v>
          </cell>
          <cell r="I18">
            <v>-156.02936890787501</v>
          </cell>
          <cell r="J18">
            <v>-152.26574554489866</v>
          </cell>
          <cell r="K18">
            <v>-126.92623798662427</v>
          </cell>
          <cell r="L18">
            <v>-61.892047234418008</v>
          </cell>
          <cell r="M18">
            <v>1.1865412886000755</v>
          </cell>
          <cell r="N18">
            <v>78.187445804478017</v>
          </cell>
          <cell r="O18">
            <v>102.22814582549009</v>
          </cell>
          <cell r="P18">
            <v>146.35870619928565</v>
          </cell>
          <cell r="Q18">
            <v>194.08578986697535</v>
          </cell>
          <cell r="R18">
            <v>245.63873936438068</v>
          </cell>
        </row>
        <row r="19">
          <cell r="G19" t="str">
            <v>No.</v>
          </cell>
          <cell r="H19" t="str">
            <v>Avge</v>
          </cell>
          <cell r="I19" t="str">
            <v>USDm</v>
          </cell>
        </row>
        <row r="21">
          <cell r="A21" t="str">
            <v>Total net debt (before loan notes) / EBITDA</v>
          </cell>
          <cell r="B21" t="str">
            <v>USD</v>
          </cell>
          <cell r="F21">
            <v>3.5188706015891027</v>
          </cell>
          <cell r="G21">
            <v>3.8960588216130745</v>
          </cell>
          <cell r="H21">
            <v>3.8014625985202377</v>
          </cell>
          <cell r="I21">
            <v>3.144996531451953</v>
          </cell>
          <cell r="J21">
            <v>1.7863227424500514</v>
          </cell>
          <cell r="K21">
            <v>0.66539997387576877</v>
          </cell>
          <cell r="L21">
            <v>-0.14426652398089343</v>
          </cell>
          <cell r="M21">
            <v>-0.88270341372087191</v>
          </cell>
          <cell r="N21">
            <v>-1.6204035561938186</v>
          </cell>
          <cell r="O21">
            <v>-2.350493377337878</v>
          </cell>
          <cell r="P21">
            <v>-3.0705868153740639</v>
          </cell>
          <cell r="Q21">
            <v>-3.7808207406878354</v>
          </cell>
          <cell r="R21">
            <v>-4.4813301496365936</v>
          </cell>
        </row>
        <row r="22">
          <cell r="A22" t="str">
            <v>Covenant</v>
          </cell>
          <cell r="B22" t="str">
            <v>(%)</v>
          </cell>
          <cell r="F22">
            <v>5.5</v>
          </cell>
          <cell r="G22">
            <v>5</v>
          </cell>
          <cell r="H22">
            <v>4.5</v>
          </cell>
          <cell r="I22">
            <v>4.5</v>
          </cell>
          <cell r="J22">
            <v>4</v>
          </cell>
          <cell r="K22">
            <v>4</v>
          </cell>
          <cell r="L22">
            <v>3</v>
          </cell>
          <cell r="M22">
            <v>3</v>
          </cell>
          <cell r="N22">
            <v>2.5</v>
          </cell>
          <cell r="O22">
            <v>2</v>
          </cell>
          <cell r="P22">
            <v>1.5</v>
          </cell>
          <cell r="Q22">
            <v>1.5</v>
          </cell>
          <cell r="R22">
            <v>1.5</v>
          </cell>
        </row>
        <row r="23">
          <cell r="A23" t="str">
            <v>Breached?</v>
          </cell>
          <cell r="B23" t="str">
            <v>USD</v>
          </cell>
          <cell r="F23" t="str">
            <v>NO</v>
          </cell>
          <cell r="G23" t="str">
            <v>NO</v>
          </cell>
          <cell r="H23" t="str">
            <v>NO</v>
          </cell>
          <cell r="I23" t="str">
            <v>NO</v>
          </cell>
          <cell r="J23" t="str">
            <v>NO</v>
          </cell>
          <cell r="K23" t="str">
            <v>NO</v>
          </cell>
          <cell r="L23" t="str">
            <v>N/A</v>
          </cell>
          <cell r="M23" t="str">
            <v>N/A</v>
          </cell>
          <cell r="N23" t="str">
            <v>N/A</v>
          </cell>
          <cell r="O23" t="str">
            <v>N/A</v>
          </cell>
          <cell r="P23" t="str">
            <v>N/A</v>
          </cell>
          <cell r="Q23" t="str">
            <v>N/A</v>
          </cell>
          <cell r="R23" t="str">
            <v>N/A</v>
          </cell>
        </row>
        <row r="24">
          <cell r="A24" t="str">
            <v>Number of shares</v>
          </cell>
          <cell r="B24" t="str">
            <v>(m)</v>
          </cell>
          <cell r="F24" t="str">
            <v>[Director]</v>
          </cell>
          <cell r="I24">
            <v>0</v>
          </cell>
        </row>
        <row r="25">
          <cell r="A25" t="str">
            <v>Net senior debt / EBITDA</v>
          </cell>
          <cell r="B25" t="str">
            <v>USDm</v>
          </cell>
          <cell r="C25">
            <v>1057.125</v>
          </cell>
          <cell r="F25">
            <v>2.4632094211123716</v>
          </cell>
          <cell r="G25">
            <v>2.0746534416826004</v>
          </cell>
          <cell r="H25">
            <v>1.5487990766683646</v>
          </cell>
          <cell r="I25">
            <v>1.2428155006690453</v>
          </cell>
          <cell r="J25">
            <v>0.62470221445849694</v>
          </cell>
          <cell r="K25">
            <v>0.11377643055840568</v>
          </cell>
          <cell r="L25">
            <v>0</v>
          </cell>
          <cell r="M25">
            <v>0</v>
          </cell>
          <cell r="N25">
            <v>0</v>
          </cell>
          <cell r="O25">
            <v>0</v>
          </cell>
          <cell r="P25">
            <v>0</v>
          </cell>
          <cell r="Q25">
            <v>0</v>
          </cell>
          <cell r="R25">
            <v>0</v>
          </cell>
        </row>
        <row r="26">
          <cell r="A26" t="str">
            <v>Covenant</v>
          </cell>
          <cell r="F26">
            <v>4.5</v>
          </cell>
          <cell r="G26">
            <v>4</v>
          </cell>
          <cell r="H26">
            <v>3.5</v>
          </cell>
          <cell r="I26">
            <v>3</v>
          </cell>
          <cell r="J26">
            <v>2.5</v>
          </cell>
          <cell r="K26">
            <v>2</v>
          </cell>
          <cell r="L26">
            <v>1.5</v>
          </cell>
          <cell r="M26">
            <v>1.5</v>
          </cell>
          <cell r="N26">
            <v>1.5</v>
          </cell>
          <cell r="O26">
            <v>1.5</v>
          </cell>
          <cell r="P26">
            <v>1.5</v>
          </cell>
          <cell r="Q26">
            <v>1.5</v>
          </cell>
          <cell r="R26">
            <v>1.5</v>
          </cell>
        </row>
        <row r="27">
          <cell r="A27" t="str">
            <v>Breached?</v>
          </cell>
          <cell r="B27" t="str">
            <v>USDm</v>
          </cell>
          <cell r="C27">
            <v>231.5</v>
          </cell>
          <cell r="F27" t="str">
            <v>NO</v>
          </cell>
          <cell r="G27" t="str">
            <v>NO</v>
          </cell>
          <cell r="H27" t="str">
            <v>NO</v>
          </cell>
          <cell r="I27" t="str">
            <v>NO</v>
          </cell>
          <cell r="J27" t="str">
            <v>NO</v>
          </cell>
          <cell r="K27" t="str">
            <v>NO</v>
          </cell>
          <cell r="L27" t="str">
            <v>NO</v>
          </cell>
          <cell r="M27" t="str">
            <v>NO</v>
          </cell>
          <cell r="N27" t="str">
            <v>NO</v>
          </cell>
          <cell r="O27" t="str">
            <v>NO</v>
          </cell>
          <cell r="P27" t="str">
            <v>NO</v>
          </cell>
          <cell r="Q27" t="str">
            <v>NO</v>
          </cell>
          <cell r="R27" t="str">
            <v>NO</v>
          </cell>
        </row>
        <row r="28">
          <cell r="A28" t="str">
            <v>Net cost of outstanding options</v>
          </cell>
          <cell r="B28" t="str">
            <v>USDm</v>
          </cell>
          <cell r="C28">
            <v>0</v>
          </cell>
          <cell r="F28" t="str">
            <v>Total share options</v>
          </cell>
          <cell r="I28">
            <v>0</v>
          </cell>
        </row>
        <row r="29">
          <cell r="A29" t="str">
            <v>EBITDA / total interest (P&amp;L)</v>
          </cell>
          <cell r="B29" t="str">
            <v>USDm</v>
          </cell>
          <cell r="C29">
            <v>0</v>
          </cell>
          <cell r="G29">
            <v>3.8623779407277552</v>
          </cell>
          <cell r="H29">
            <v>5.140500307121509</v>
          </cell>
          <cell r="I29">
            <v>6.5006366839955287</v>
          </cell>
          <cell r="J29">
            <v>10.527492911679865</v>
          </cell>
          <cell r="K29">
            <v>38.057369918800077</v>
          </cell>
          <cell r="L29" t="str">
            <v>-</v>
          </cell>
          <cell r="M29" t="str">
            <v>-</v>
          </cell>
          <cell r="N29" t="str">
            <v>-</v>
          </cell>
          <cell r="O29" t="str">
            <v>-</v>
          </cell>
          <cell r="P29" t="str">
            <v>-</v>
          </cell>
          <cell r="Q29" t="str">
            <v>-</v>
          </cell>
          <cell r="R29" t="str">
            <v>-</v>
          </cell>
        </row>
        <row r="30">
          <cell r="A30" t="str">
            <v>Covenant</v>
          </cell>
          <cell r="B30" t="str">
            <v>USDm</v>
          </cell>
          <cell r="C30">
            <v>40</v>
          </cell>
          <cell r="G30">
            <v>2.25</v>
          </cell>
          <cell r="H30">
            <v>2.5</v>
          </cell>
          <cell r="I30">
            <v>3</v>
          </cell>
          <cell r="J30">
            <v>3.5</v>
          </cell>
          <cell r="K30">
            <v>4</v>
          </cell>
          <cell r="L30">
            <v>4</v>
          </cell>
          <cell r="M30">
            <v>4</v>
          </cell>
          <cell r="N30">
            <v>4</v>
          </cell>
          <cell r="O30">
            <v>4</v>
          </cell>
          <cell r="P30">
            <v>4</v>
          </cell>
          <cell r="Q30">
            <v>4</v>
          </cell>
          <cell r="R30">
            <v>4</v>
          </cell>
        </row>
        <row r="31">
          <cell r="A31" t="str">
            <v>Breached?</v>
          </cell>
          <cell r="G31" t="str">
            <v>NO</v>
          </cell>
          <cell r="H31" t="str">
            <v>NO</v>
          </cell>
          <cell r="I31" t="str">
            <v>NO</v>
          </cell>
          <cell r="J31" t="str">
            <v>NO</v>
          </cell>
          <cell r="K31" t="str">
            <v>NO</v>
          </cell>
          <cell r="L31" t="str">
            <v>NO</v>
          </cell>
          <cell r="M31" t="str">
            <v>NO</v>
          </cell>
          <cell r="N31" t="str">
            <v>NO</v>
          </cell>
          <cell r="O31" t="str">
            <v>NO</v>
          </cell>
          <cell r="P31" t="str">
            <v>NO</v>
          </cell>
          <cell r="Q31" t="str">
            <v>NO</v>
          </cell>
          <cell r="R31" t="str">
            <v>NO</v>
          </cell>
        </row>
        <row r="32">
          <cell r="A32" t="str">
            <v>Enterprise value of offer</v>
          </cell>
          <cell r="B32" t="str">
            <v>USDm</v>
          </cell>
          <cell r="C32">
            <v>1328.625</v>
          </cell>
        </row>
        <row r="33">
          <cell r="A33" t="str">
            <v>EBITDA / senior interest (P&amp;L)</v>
          </cell>
          <cell r="G33">
            <v>6.3007609667255746</v>
          </cell>
          <cell r="H33">
            <v>8.1410995710238012</v>
          </cell>
          <cell r="I33">
            <v>10.01357480814144</v>
          </cell>
          <cell r="J33">
            <v>16.361419618698992</v>
          </cell>
          <cell r="K33">
            <v>146.63964324883963</v>
          </cell>
          <cell r="L33" t="str">
            <v>-</v>
          </cell>
          <cell r="M33" t="str">
            <v>-</v>
          </cell>
          <cell r="N33" t="str">
            <v>-</v>
          </cell>
          <cell r="O33" t="str">
            <v>-</v>
          </cell>
          <cell r="P33" t="str">
            <v>-</v>
          </cell>
          <cell r="Q33" t="str">
            <v>-</v>
          </cell>
          <cell r="R33" t="str">
            <v>-</v>
          </cell>
        </row>
        <row r="34">
          <cell r="A34" t="str">
            <v>Covenant</v>
          </cell>
          <cell r="F34" t="str">
            <v>DEBT TERMS</v>
          </cell>
          <cell r="G34">
            <v>2.75</v>
          </cell>
          <cell r="H34">
            <v>3</v>
          </cell>
          <cell r="I34">
            <v>3.5</v>
          </cell>
          <cell r="J34">
            <v>4</v>
          </cell>
          <cell r="K34">
            <v>4</v>
          </cell>
          <cell r="L34">
            <v>4</v>
          </cell>
          <cell r="M34">
            <v>4</v>
          </cell>
          <cell r="N34">
            <v>4</v>
          </cell>
          <cell r="O34">
            <v>4</v>
          </cell>
          <cell r="P34">
            <v>4</v>
          </cell>
          <cell r="Q34">
            <v>4</v>
          </cell>
          <cell r="R34">
            <v>4</v>
          </cell>
        </row>
        <row r="35">
          <cell r="A35" t="str">
            <v>Breached?</v>
          </cell>
          <cell r="G35" t="str">
            <v>NO</v>
          </cell>
          <cell r="H35" t="str">
            <v>NO</v>
          </cell>
          <cell r="I35" t="str">
            <v>NO</v>
          </cell>
          <cell r="J35" t="str">
            <v>NO</v>
          </cell>
          <cell r="K35" t="str">
            <v>NO</v>
          </cell>
          <cell r="L35" t="str">
            <v>NO</v>
          </cell>
          <cell r="M35" t="str">
            <v>NO</v>
          </cell>
          <cell r="N35" t="str">
            <v>NO</v>
          </cell>
          <cell r="O35" t="str">
            <v>NO</v>
          </cell>
          <cell r="P35" t="str">
            <v>NO</v>
          </cell>
          <cell r="Q35" t="str">
            <v>NO</v>
          </cell>
          <cell r="R35" t="str">
            <v>NO</v>
          </cell>
        </row>
        <row r="36">
          <cell r="B36" t="str">
            <v>USDm</v>
          </cell>
          <cell r="C36" t="str">
            <v>%</v>
          </cell>
          <cell r="G36" t="str">
            <v>Term</v>
          </cell>
          <cell r="I36" t="str">
            <v>Type</v>
          </cell>
          <cell r="J36" t="str">
            <v>Margin</v>
          </cell>
          <cell r="K36" t="str">
            <v>Rate</v>
          </cell>
        </row>
        <row r="37">
          <cell r="A37" t="str">
            <v>Cash cover</v>
          </cell>
          <cell r="G37">
            <v>-1.9867227003785684</v>
          </cell>
          <cell r="H37">
            <v>-0.83957481703170256</v>
          </cell>
          <cell r="I37">
            <v>1.5030853661088042</v>
          </cell>
          <cell r="J37">
            <v>3.4935250546826668</v>
          </cell>
          <cell r="K37">
            <v>5.7277781345011674</v>
          </cell>
          <cell r="L37">
            <v>12.930604846641362</v>
          </cell>
          <cell r="M37" t="str">
            <v>-</v>
          </cell>
          <cell r="N37" t="str">
            <v>-</v>
          </cell>
          <cell r="O37" t="str">
            <v>-</v>
          </cell>
          <cell r="P37" t="str">
            <v>-</v>
          </cell>
          <cell r="Q37" t="str">
            <v>-</v>
          </cell>
          <cell r="R37" t="str">
            <v>-</v>
          </cell>
        </row>
        <row r="38">
          <cell r="A38" t="str">
            <v>Covenant</v>
          </cell>
          <cell r="B38">
            <v>390.61574999999999</v>
          </cell>
          <cell r="C38">
            <v>0.42</v>
          </cell>
          <cell r="D38">
            <v>0.6</v>
          </cell>
          <cell r="F38" t="str">
            <v>Senior term loan A</v>
          </cell>
          <cell r="G38">
            <v>1</v>
          </cell>
          <cell r="H38">
            <v>1</v>
          </cell>
          <cell r="I38">
            <v>1</v>
          </cell>
          <cell r="J38">
            <v>1</v>
          </cell>
          <cell r="K38">
            <v>1</v>
          </cell>
          <cell r="L38">
            <v>1</v>
          </cell>
          <cell r="M38">
            <v>1</v>
          </cell>
          <cell r="N38">
            <v>1</v>
          </cell>
          <cell r="O38">
            <v>1</v>
          </cell>
          <cell r="P38">
            <v>1</v>
          </cell>
          <cell r="Q38">
            <v>1</v>
          </cell>
          <cell r="R38">
            <v>1</v>
          </cell>
        </row>
        <row r="39">
          <cell r="A39" t="str">
            <v>Breached?</v>
          </cell>
          <cell r="B39">
            <v>130.20524999999998</v>
          </cell>
          <cell r="C39">
            <v>0.13999999999999999</v>
          </cell>
          <cell r="D39">
            <v>0.2</v>
          </cell>
          <cell r="F39" t="str">
            <v>Senior term loan B</v>
          </cell>
          <cell r="G39" t="str">
            <v>N/A</v>
          </cell>
          <cell r="H39" t="str">
            <v>N/A</v>
          </cell>
          <cell r="I39" t="str">
            <v>NO</v>
          </cell>
          <cell r="J39" t="str">
            <v>NO</v>
          </cell>
          <cell r="K39" t="str">
            <v>NO</v>
          </cell>
          <cell r="L39" t="str">
            <v>NO</v>
          </cell>
          <cell r="M39" t="str">
            <v>NO</v>
          </cell>
          <cell r="N39" t="str">
            <v>NO</v>
          </cell>
          <cell r="O39" t="str">
            <v>NO</v>
          </cell>
          <cell r="P39" t="str">
            <v>NO</v>
          </cell>
          <cell r="Q39" t="str">
            <v>NO</v>
          </cell>
          <cell r="R39" t="str">
            <v>NO</v>
          </cell>
        </row>
        <row r="40">
          <cell r="A40" t="str">
            <v>Senior term loan C</v>
          </cell>
          <cell r="B40">
            <v>130.20524999999998</v>
          </cell>
          <cell r="C40">
            <v>0.13999999999999999</v>
          </cell>
          <cell r="D40">
            <v>0.2</v>
          </cell>
          <cell r="F40" t="str">
            <v>Senior term loan C</v>
          </cell>
          <cell r="G40">
            <v>9</v>
          </cell>
          <cell r="I40" t="str">
            <v>Bullet</v>
          </cell>
          <cell r="J40">
            <v>3.2500000000000001E-2</v>
          </cell>
          <cell r="K40">
            <v>8.3499999999999991E-2</v>
          </cell>
        </row>
        <row r="41">
          <cell r="A41" t="str">
            <v>High yield</v>
          </cell>
          <cell r="B41">
            <v>279.01125000000002</v>
          </cell>
          <cell r="C41">
            <v>0.3</v>
          </cell>
          <cell r="D41">
            <v>1</v>
          </cell>
          <cell r="F41" t="str">
            <v>High yield</v>
          </cell>
          <cell r="G41">
            <v>9</v>
          </cell>
          <cell r="I41" t="str">
            <v>Custom</v>
          </cell>
          <cell r="J41">
            <v>6.7000000000000004E-2</v>
          </cell>
          <cell r="K41">
            <v>0.11799999999999999</v>
          </cell>
        </row>
        <row r="42">
          <cell r="A42" t="str">
            <v>EXIT ASSUMPTIONS</v>
          </cell>
          <cell r="B42">
            <v>0</v>
          </cell>
          <cell r="C42">
            <v>0</v>
          </cell>
          <cell r="E42" t="str">
            <v>MULTIPLES COMPARISON</v>
          </cell>
          <cell r="F42" t="str">
            <v>Mezzanine - cash pay</v>
          </cell>
          <cell r="G42">
            <v>10</v>
          </cell>
          <cell r="I42" t="str">
            <v>Bullet</v>
          </cell>
          <cell r="J42">
            <v>0.03</v>
          </cell>
          <cell r="K42">
            <v>8.0999999999999989E-2</v>
          </cell>
        </row>
        <row r="43">
          <cell r="A43" t="str">
            <v>Vendor loan notes</v>
          </cell>
          <cell r="B43">
            <v>0</v>
          </cell>
          <cell r="C43">
            <v>0</v>
          </cell>
          <cell r="F43" t="str">
            <v>Mezzanine - PIK</v>
          </cell>
          <cell r="G43">
            <v>10</v>
          </cell>
          <cell r="I43" t="str">
            <v>Roll-up</v>
          </cell>
          <cell r="K43">
            <v>3.5000000000000003E-2</v>
          </cell>
        </row>
        <row r="44">
          <cell r="A44" t="str">
            <v>Revolving credit facility</v>
          </cell>
          <cell r="B44">
            <v>0</v>
          </cell>
          <cell r="C44">
            <v>0</v>
          </cell>
          <cell r="F44" t="str">
            <v>Vendor loan note</v>
          </cell>
          <cell r="G44">
            <v>10</v>
          </cell>
          <cell r="I44" t="str">
            <v>Custom</v>
          </cell>
          <cell r="J44" t="str">
            <v>Offer</v>
          </cell>
          <cell r="K44" t="str">
            <v xml:space="preserve">Exit </v>
          </cell>
          <cell r="L44" t="str">
            <v>Uplift</v>
          </cell>
        </row>
        <row r="45">
          <cell r="A45" t="str">
            <v>Cash</v>
          </cell>
          <cell r="B45">
            <v>0</v>
          </cell>
          <cell r="C45">
            <v>0</v>
          </cell>
          <cell r="F45" t="str">
            <v>Revolving credit / overdraft</v>
          </cell>
          <cell r="G45">
            <v>4</v>
          </cell>
          <cell r="I45" t="str">
            <v>-</v>
          </cell>
          <cell r="K45">
            <v>7.3499999999999996E-2</v>
          </cell>
        </row>
        <row r="46">
          <cell r="A46" t="str">
            <v>Years to exit</v>
          </cell>
          <cell r="B46" t="str">
            <v>(No.)</v>
          </cell>
          <cell r="C46">
            <v>3</v>
          </cell>
          <cell r="E46" t="str">
            <v>Sales</v>
          </cell>
          <cell r="F46" t="str">
            <v>Existing Revolving Credit Facility</v>
          </cell>
          <cell r="G46">
            <v>8</v>
          </cell>
          <cell r="I46" t="str">
            <v>USDm</v>
          </cell>
          <cell r="J46">
            <v>444.6</v>
          </cell>
          <cell r="K46">
            <v>732.4</v>
          </cell>
        </row>
        <row r="47">
          <cell r="A47" t="str">
            <v>Exit enterprise value based on EBTDA multiple</v>
          </cell>
          <cell r="B47" t="str">
            <v>USDm</v>
          </cell>
          <cell r="C47">
            <v>3005.5</v>
          </cell>
          <cell r="E47" t="str">
            <v>EV / Sales</v>
          </cell>
          <cell r="F47" t="str">
            <v>Cash balance</v>
          </cell>
          <cell r="I47" t="str">
            <v>(x)</v>
          </cell>
          <cell r="J47">
            <v>2.9883603238866394</v>
          </cell>
          <cell r="K47">
            <v>4.1036318951392685</v>
          </cell>
          <cell r="L47">
            <v>0.37320518624812782</v>
          </cell>
        </row>
        <row r="48">
          <cell r="A48" t="str">
            <v>Less closing debt before vendor loan notes</v>
          </cell>
          <cell r="B48" t="str">
            <v>USDm</v>
          </cell>
          <cell r="C48">
            <v>-1410.2164447030557</v>
          </cell>
          <cell r="E48" t="str">
            <v>EBITDA</v>
          </cell>
          <cell r="F48" t="str">
            <v>LIBOR 12 months to August 02</v>
          </cell>
          <cell r="I48" t="str">
            <v>USDm</v>
          </cell>
          <cell r="J48">
            <v>264.3</v>
          </cell>
          <cell r="K48">
            <v>448.4</v>
          </cell>
        </row>
        <row r="49">
          <cell r="A49" t="str">
            <v>Less closing vendor loan notes</v>
          </cell>
          <cell r="B49" t="str">
            <v>USDm</v>
          </cell>
          <cell r="C49">
            <v>0</v>
          </cell>
          <cell r="E49" t="str">
            <v>EV / EBITDA (100%)</v>
          </cell>
          <cell r="I49" t="str">
            <v>(x)</v>
          </cell>
          <cell r="J49">
            <v>6.7026106696935299</v>
          </cell>
          <cell r="K49">
            <v>6.7026106696935299</v>
          </cell>
          <cell r="L49">
            <v>0</v>
          </cell>
        </row>
        <row r="50">
          <cell r="A50" t="str">
            <v>Warrants at 5.0%</v>
          </cell>
          <cell r="B50" t="str">
            <v>USDm</v>
          </cell>
          <cell r="C50">
            <v>0</v>
          </cell>
        </row>
        <row r="51">
          <cell r="A51" t="str">
            <v>Value of ordinary share capital</v>
          </cell>
          <cell r="B51" t="str">
            <v>USDm</v>
          </cell>
          <cell r="C51">
            <v>1595.2835552969443</v>
          </cell>
          <cell r="F51" t="str">
            <v>Uses of funds</v>
          </cell>
          <cell r="G51" t="str">
            <v>USDm</v>
          </cell>
        </row>
        <row r="53">
          <cell r="A53" t="str">
            <v>ORDINARY SHARES</v>
          </cell>
          <cell r="B53">
            <v>398.58749999999998</v>
          </cell>
          <cell r="C53">
            <v>0.3</v>
          </cell>
          <cell r="F53" t="str">
            <v>Purchase of equity (inc. options)</v>
          </cell>
          <cell r="G53">
            <v>1057.125</v>
          </cell>
        </row>
      </sheetData>
      <sheetData sheetId="4" refreshError="1">
        <row r="1">
          <cell r="A1" t="str">
            <v>Project Intelligence</v>
          </cell>
          <cell r="R1" t="str">
            <v>BUY-OUT FORECASTS</v>
          </cell>
        </row>
        <row r="5">
          <cell r="A5" t="str">
            <v>INTEREST CALCULATION - P&amp;L</v>
          </cell>
        </row>
        <row r="7">
          <cell r="D7">
            <v>36525</v>
          </cell>
          <cell r="E7">
            <v>36890</v>
          </cell>
          <cell r="F7">
            <v>37256</v>
          </cell>
          <cell r="G7">
            <v>37621</v>
          </cell>
          <cell r="H7">
            <v>37986</v>
          </cell>
          <cell r="I7">
            <v>38351</v>
          </cell>
          <cell r="J7">
            <v>38716</v>
          </cell>
          <cell r="K7">
            <v>39081</v>
          </cell>
          <cell r="L7">
            <v>39446</v>
          </cell>
          <cell r="M7">
            <v>39811</v>
          </cell>
          <cell r="N7">
            <v>40176</v>
          </cell>
          <cell r="O7">
            <v>40541</v>
          </cell>
          <cell r="P7">
            <v>40906</v>
          </cell>
          <cell r="Q7">
            <v>41271</v>
          </cell>
          <cell r="R7">
            <v>41636</v>
          </cell>
        </row>
        <row r="8">
          <cell r="A8" t="str">
            <v>Year</v>
          </cell>
          <cell r="B8" t="str">
            <v>(No.)</v>
          </cell>
          <cell r="D8">
            <v>0</v>
          </cell>
          <cell r="E8">
            <v>0</v>
          </cell>
          <cell r="F8">
            <v>0</v>
          </cell>
          <cell r="G8">
            <v>1</v>
          </cell>
          <cell r="H8">
            <v>2</v>
          </cell>
          <cell r="I8">
            <v>3</v>
          </cell>
          <cell r="J8">
            <v>4</v>
          </cell>
          <cell r="K8">
            <v>5</v>
          </cell>
          <cell r="L8">
            <v>6</v>
          </cell>
          <cell r="M8">
            <v>7</v>
          </cell>
          <cell r="N8">
            <v>8</v>
          </cell>
          <cell r="O8">
            <v>9</v>
          </cell>
          <cell r="P8">
            <v>10</v>
          </cell>
          <cell r="Q8">
            <v>11</v>
          </cell>
          <cell r="R8">
            <v>12</v>
          </cell>
        </row>
        <row r="10">
          <cell r="A10" t="str">
            <v>Interest  -  Existing debt facility</v>
          </cell>
          <cell r="B10" t="str">
            <v>USDm</v>
          </cell>
          <cell r="D10">
            <v>0</v>
          </cell>
          <cell r="E10">
            <v>0</v>
          </cell>
          <cell r="F10">
            <v>0</v>
          </cell>
          <cell r="G10">
            <v>0</v>
          </cell>
          <cell r="H10">
            <v>-29.610014942666126</v>
          </cell>
          <cell r="I10">
            <v>-40.147410794517434</v>
          </cell>
          <cell r="J10">
            <v>-40.293026378</v>
          </cell>
          <cell r="K10">
            <v>-40.293026378</v>
          </cell>
          <cell r="L10">
            <v>-40.293026378</v>
          </cell>
          <cell r="M10">
            <v>-40.293026378</v>
          </cell>
          <cell r="N10">
            <v>-20.1465</v>
          </cell>
          <cell r="O10">
            <v>0</v>
          </cell>
          <cell r="P10">
            <v>0</v>
          </cell>
          <cell r="Q10">
            <v>0</v>
          </cell>
          <cell r="R10">
            <v>0</v>
          </cell>
        </row>
        <row r="11">
          <cell r="A11" t="str">
            <v>Interest  -  Senior term loan A</v>
          </cell>
          <cell r="B11" t="str">
            <v>USDm</v>
          </cell>
          <cell r="D11">
            <v>0</v>
          </cell>
          <cell r="E11">
            <v>0</v>
          </cell>
          <cell r="F11">
            <v>0</v>
          </cell>
          <cell r="G11">
            <v>-28.710257624999997</v>
          </cell>
          <cell r="H11">
            <v>-27.131193455624999</v>
          </cell>
          <cell r="I11">
            <v>-23.685962577374998</v>
          </cell>
          <cell r="J11">
            <v>-17.308086330652792</v>
          </cell>
          <cell r="K11">
            <v>-7.5681710401614275</v>
          </cell>
          <cell r="L11">
            <v>-1.1699826284999999</v>
          </cell>
          <cell r="M11">
            <v>0</v>
          </cell>
          <cell r="N11">
            <v>0</v>
          </cell>
          <cell r="O11">
            <v>0</v>
          </cell>
          <cell r="P11">
            <v>0</v>
          </cell>
          <cell r="Q11">
            <v>0</v>
          </cell>
          <cell r="R11">
            <v>0</v>
          </cell>
        </row>
        <row r="12">
          <cell r="A12" t="str">
            <v>Interest  -  Senior term loan B</v>
          </cell>
          <cell r="B12" t="str">
            <v>USDm</v>
          </cell>
          <cell r="D12">
            <v>0</v>
          </cell>
          <cell r="E12">
            <v>0</v>
          </cell>
          <cell r="F12">
            <v>0</v>
          </cell>
          <cell r="G12">
            <v>-10.221112125000001</v>
          </cell>
          <cell r="H12">
            <v>-10.221112125000001</v>
          </cell>
          <cell r="I12">
            <v>-10.221112125000001</v>
          </cell>
          <cell r="J12">
            <v>-8.8143171894794854</v>
          </cell>
          <cell r="K12">
            <v>-4.7603199182459859</v>
          </cell>
          <cell r="L12">
            <v>-1.0565587787499999</v>
          </cell>
          <cell r="M12">
            <v>0</v>
          </cell>
          <cell r="N12">
            <v>0</v>
          </cell>
          <cell r="O12">
            <v>0</v>
          </cell>
          <cell r="P12">
            <v>0</v>
          </cell>
          <cell r="Q12">
            <v>0</v>
          </cell>
          <cell r="R12">
            <v>0</v>
          </cell>
        </row>
        <row r="13">
          <cell r="A13" t="str">
            <v>Interest  -  Senior term loan C</v>
          </cell>
          <cell r="B13" t="str">
            <v>USDm</v>
          </cell>
          <cell r="D13">
            <v>0</v>
          </cell>
          <cell r="E13">
            <v>0</v>
          </cell>
          <cell r="F13">
            <v>0</v>
          </cell>
          <cell r="G13">
            <v>-10.872138374999999</v>
          </cell>
          <cell r="H13">
            <v>-10.872138374999999</v>
          </cell>
          <cell r="I13">
            <v>-10.872138374999999</v>
          </cell>
          <cell r="J13">
            <v>-9.3757386665163942</v>
          </cell>
          <cell r="K13">
            <v>-5.0635250085801244</v>
          </cell>
          <cell r="L13">
            <v>-1.1238555162499999</v>
          </cell>
          <cell r="M13">
            <v>0</v>
          </cell>
          <cell r="N13">
            <v>0</v>
          </cell>
          <cell r="O13">
            <v>0</v>
          </cell>
          <cell r="P13">
            <v>0</v>
          </cell>
          <cell r="Q13">
            <v>0</v>
          </cell>
          <cell r="R13">
            <v>0</v>
          </cell>
        </row>
        <row r="14">
          <cell r="A14" t="str">
            <v>Interest  -  High yield bond</v>
          </cell>
          <cell r="B14" t="str">
            <v>USDm</v>
          </cell>
          <cell r="D14">
            <v>0</v>
          </cell>
          <cell r="E14">
            <v>0</v>
          </cell>
          <cell r="F14">
            <v>0</v>
          </cell>
          <cell r="G14">
            <v>-31.441777762499999</v>
          </cell>
          <cell r="H14">
            <v>-28.149445071499997</v>
          </cell>
          <cell r="I14">
            <v>-24.198645830499999</v>
          </cell>
          <cell r="J14">
            <v>-19.671688358249995</v>
          </cell>
          <cell r="K14">
            <v>-14.650880943999999</v>
          </cell>
          <cell r="L14">
            <v>-9.2185319064999991</v>
          </cell>
          <cell r="M14">
            <v>-3.2100246967500001</v>
          </cell>
          <cell r="N14">
            <v>0</v>
          </cell>
          <cell r="O14">
            <v>0</v>
          </cell>
          <cell r="P14">
            <v>0</v>
          </cell>
          <cell r="Q14">
            <v>0</v>
          </cell>
          <cell r="R14">
            <v>0</v>
          </cell>
        </row>
        <row r="15">
          <cell r="A15" t="str">
            <v>Interest  - Mezzanine</v>
          </cell>
          <cell r="B15" t="str">
            <v>USDm</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Interest  -  Vendor loan notes</v>
          </cell>
          <cell r="B16" t="str">
            <v>USDm</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Interest  -  Cash balance / revolving credit / overdraft</v>
          </cell>
          <cell r="B17" t="str">
            <v>USDm</v>
          </cell>
          <cell r="D17">
            <v>0</v>
          </cell>
          <cell r="E17">
            <v>0</v>
          </cell>
          <cell r="F17">
            <v>0</v>
          </cell>
          <cell r="G17">
            <v>0</v>
          </cell>
          <cell r="H17">
            <v>0</v>
          </cell>
          <cell r="I17">
            <v>0</v>
          </cell>
          <cell r="J17">
            <v>0</v>
          </cell>
          <cell r="K17">
            <v>12.256978924363267</v>
          </cell>
          <cell r="L17">
            <v>29.945056095582004</v>
          </cell>
          <cell r="M17">
            <v>58.803759735350063</v>
          </cell>
          <cell r="N17">
            <v>78.187445804478017</v>
          </cell>
          <cell r="O17">
            <v>102.22814582549009</v>
          </cell>
          <cell r="P17">
            <v>146.35870619928565</v>
          </cell>
          <cell r="Q17">
            <v>194.08578986697535</v>
          </cell>
          <cell r="R17">
            <v>245.63873936438068</v>
          </cell>
        </row>
        <row r="18">
          <cell r="A18" t="str">
            <v>Interest - pre-acquisition debt</v>
          </cell>
          <cell r="B18" t="str">
            <v>USDm</v>
          </cell>
          <cell r="D18">
            <v>0</v>
          </cell>
          <cell r="E18">
            <v>-9.8520000000000003</v>
          </cell>
          <cell r="F18">
            <v>-20.8</v>
          </cell>
          <cell r="G18">
            <v>-106.3562983875</v>
          </cell>
          <cell r="H18">
            <v>-150.03285902712497</v>
          </cell>
          <cell r="I18">
            <v>-156.02936890787501</v>
          </cell>
          <cell r="J18">
            <v>-152.26574554489866</v>
          </cell>
          <cell r="K18">
            <v>-126.92623798662427</v>
          </cell>
          <cell r="L18">
            <v>-61.892047234418008</v>
          </cell>
          <cell r="M18">
            <v>1.1865412886000755</v>
          </cell>
          <cell r="N18">
            <v>78.187445804478017</v>
          </cell>
          <cell r="O18">
            <v>102.22814582549009</v>
          </cell>
          <cell r="P18">
            <v>146.35870619928565</v>
          </cell>
          <cell r="Q18">
            <v>194.08578986697535</v>
          </cell>
          <cell r="R18">
            <v>245.63873936438068</v>
          </cell>
        </row>
        <row r="19">
          <cell r="A19" t="str">
            <v>Total</v>
          </cell>
          <cell r="B19" t="str">
            <v>USDm</v>
          </cell>
          <cell r="D19">
            <v>0</v>
          </cell>
          <cell r="E19">
            <v>-9.8520000000000003</v>
          </cell>
          <cell r="F19">
            <v>-20.8</v>
          </cell>
          <cell r="G19">
            <v>-81.245285887500003</v>
          </cell>
          <cell r="H19">
            <v>-105.98390396979113</v>
          </cell>
          <cell r="I19">
            <v>-109.12526970239244</v>
          </cell>
          <cell r="J19">
            <v>-95.462856922898666</v>
          </cell>
          <cell r="K19">
            <v>-60.078944364624263</v>
          </cell>
          <cell r="L19">
            <v>-22.916899112418001</v>
          </cell>
          <cell r="M19">
            <v>15.300708660600066</v>
          </cell>
          <cell r="N19">
            <v>58.040945804478014</v>
          </cell>
          <cell r="O19">
            <v>102.22814582549009</v>
          </cell>
          <cell r="P19">
            <v>146.35870619928565</v>
          </cell>
          <cell r="Q19">
            <v>194.08578986697535</v>
          </cell>
          <cell r="R19">
            <v>245.63873936438068</v>
          </cell>
        </row>
        <row r="21">
          <cell r="A21" t="str">
            <v>GROUP TAX CALCULATION FORECASTS</v>
          </cell>
          <cell r="F21">
            <v>3.5188706015891027</v>
          </cell>
          <cell r="G21">
            <v>3.8960588216130745</v>
          </cell>
          <cell r="H21">
            <v>3.8014625985202377</v>
          </cell>
          <cell r="I21">
            <v>3.144996531451953</v>
          </cell>
          <cell r="J21">
            <v>1.7863227424500514</v>
          </cell>
          <cell r="K21">
            <v>0.66539997387576877</v>
          </cell>
          <cell r="L21">
            <v>-0.14426652398089343</v>
          </cell>
          <cell r="M21">
            <v>-0.88270341372087191</v>
          </cell>
          <cell r="N21">
            <v>-1.6204035561938186</v>
          </cell>
          <cell r="O21">
            <v>-2.350493377337878</v>
          </cell>
          <cell r="P21">
            <v>-3.0705868153740639</v>
          </cell>
          <cell r="Q21">
            <v>-3.7808207406878354</v>
          </cell>
          <cell r="R21">
            <v>-4.4813301496365936</v>
          </cell>
        </row>
        <row r="22">
          <cell r="A22" t="str">
            <v>Covenant</v>
          </cell>
          <cell r="F22">
            <v>5.5</v>
          </cell>
          <cell r="G22">
            <v>5</v>
          </cell>
          <cell r="H22">
            <v>4.5</v>
          </cell>
          <cell r="I22">
            <v>4.5</v>
          </cell>
          <cell r="J22">
            <v>4</v>
          </cell>
          <cell r="K22">
            <v>4</v>
          </cell>
          <cell r="L22">
            <v>3</v>
          </cell>
          <cell r="M22">
            <v>3</v>
          </cell>
          <cell r="N22">
            <v>2.5</v>
          </cell>
          <cell r="O22">
            <v>2</v>
          </cell>
          <cell r="P22">
            <v>1.5</v>
          </cell>
          <cell r="Q22">
            <v>1.5</v>
          </cell>
          <cell r="R22">
            <v>1.5</v>
          </cell>
        </row>
        <row r="23">
          <cell r="A23" t="str">
            <v>Breached?</v>
          </cell>
          <cell r="D23">
            <v>36525</v>
          </cell>
          <cell r="E23">
            <v>36890</v>
          </cell>
          <cell r="F23">
            <v>37256</v>
          </cell>
          <cell r="G23">
            <v>37621</v>
          </cell>
          <cell r="H23">
            <v>37986</v>
          </cell>
          <cell r="I23">
            <v>38351</v>
          </cell>
          <cell r="J23">
            <v>38716</v>
          </cell>
          <cell r="K23">
            <v>39081</v>
          </cell>
          <cell r="L23">
            <v>39446</v>
          </cell>
          <cell r="M23">
            <v>39811</v>
          </cell>
          <cell r="N23">
            <v>40176</v>
          </cell>
          <cell r="O23">
            <v>40541</v>
          </cell>
          <cell r="P23">
            <v>40906</v>
          </cell>
          <cell r="Q23">
            <v>41271</v>
          </cell>
          <cell r="R23">
            <v>41636</v>
          </cell>
        </row>
        <row r="24">
          <cell r="A24" t="str">
            <v>Year</v>
          </cell>
          <cell r="D24">
            <v>0</v>
          </cell>
          <cell r="E24">
            <v>0</v>
          </cell>
          <cell r="F24">
            <v>0</v>
          </cell>
          <cell r="G24">
            <v>1</v>
          </cell>
          <cell r="H24">
            <v>2</v>
          </cell>
          <cell r="I24">
            <v>3</v>
          </cell>
          <cell r="J24">
            <v>4</v>
          </cell>
          <cell r="K24">
            <v>5</v>
          </cell>
          <cell r="L24">
            <v>6</v>
          </cell>
          <cell r="M24">
            <v>7</v>
          </cell>
          <cell r="N24">
            <v>8</v>
          </cell>
          <cell r="O24">
            <v>9</v>
          </cell>
          <cell r="P24">
            <v>10</v>
          </cell>
          <cell r="Q24">
            <v>11</v>
          </cell>
          <cell r="R24">
            <v>12</v>
          </cell>
        </row>
        <row r="25">
          <cell r="A25" t="str">
            <v>Net senior debt / EBITDA</v>
          </cell>
          <cell r="F25">
            <v>2.4632094211123716</v>
          </cell>
          <cell r="G25">
            <v>2.0746534416826004</v>
          </cell>
          <cell r="H25">
            <v>1.5487990766683646</v>
          </cell>
          <cell r="I25">
            <v>1.2428155006690453</v>
          </cell>
          <cell r="J25">
            <v>0.62470221445849694</v>
          </cell>
          <cell r="K25">
            <v>0.11377643055840568</v>
          </cell>
          <cell r="L25">
            <v>0</v>
          </cell>
          <cell r="M25">
            <v>0</v>
          </cell>
          <cell r="N25">
            <v>0</v>
          </cell>
          <cell r="O25">
            <v>0</v>
          </cell>
          <cell r="P25">
            <v>0</v>
          </cell>
          <cell r="Q25">
            <v>0</v>
          </cell>
          <cell r="R25">
            <v>0</v>
          </cell>
        </row>
        <row r="26">
          <cell r="A26" t="str">
            <v>Pre-tax profit</v>
          </cell>
          <cell r="B26" t="str">
            <v>USDm</v>
          </cell>
          <cell r="D26">
            <v>-15.507000000000005</v>
          </cell>
          <cell r="E26">
            <v>93.056999999999974</v>
          </cell>
          <cell r="F26">
            <v>59.90000000000002</v>
          </cell>
          <cell r="G26">
            <v>-9.7052858874999401</v>
          </cell>
          <cell r="H26">
            <v>56.45609603020894</v>
          </cell>
          <cell r="I26">
            <v>64.214730297607559</v>
          </cell>
          <cell r="J26">
            <v>132.87714307710135</v>
          </cell>
          <cell r="K26">
            <v>355.26105563537567</v>
          </cell>
          <cell r="L26">
            <v>425.04310088758194</v>
          </cell>
          <cell r="M26">
            <v>516.02270866059996</v>
          </cell>
          <cell r="N26">
            <v>587.78204580447789</v>
          </cell>
          <cell r="O26">
            <v>662.43930082548991</v>
          </cell>
          <cell r="P26">
            <v>738.56341894928551</v>
          </cell>
          <cell r="Q26">
            <v>819.88373825447536</v>
          </cell>
          <cell r="R26">
            <v>906.70958517125587</v>
          </cell>
          <cell r="S26">
            <v>937.08738809721854</v>
          </cell>
        </row>
        <row r="27">
          <cell r="A27" t="str">
            <v>Goodwill amortisation</v>
          </cell>
          <cell r="B27" t="str">
            <v>USDm</v>
          </cell>
          <cell r="D27">
            <v>0</v>
          </cell>
          <cell r="E27">
            <v>0</v>
          </cell>
          <cell r="F27">
            <v>0</v>
          </cell>
          <cell r="G27">
            <v>79.659999999999968</v>
          </cell>
          <cell r="H27">
            <v>79.659999999999968</v>
          </cell>
          <cell r="I27">
            <v>79.659999999999968</v>
          </cell>
          <cell r="J27">
            <v>79.659999999999968</v>
          </cell>
          <cell r="K27">
            <v>79.659999999999968</v>
          </cell>
          <cell r="L27">
            <v>79.659999999999968</v>
          </cell>
          <cell r="M27">
            <v>79.66</v>
          </cell>
          <cell r="N27">
            <v>79.66</v>
          </cell>
          <cell r="O27">
            <v>79.66</v>
          </cell>
          <cell r="P27">
            <v>79.66</v>
          </cell>
          <cell r="Q27">
            <v>79.66</v>
          </cell>
          <cell r="R27">
            <v>79.66</v>
          </cell>
          <cell r="S27">
            <v>-159.31999999999988</v>
          </cell>
        </row>
        <row r="28">
          <cell r="A28" t="str">
            <v>Tax losses utilised</v>
          </cell>
          <cell r="B28" t="str">
            <v>USDm</v>
          </cell>
          <cell r="D28">
            <v>0</v>
          </cell>
          <cell r="E28">
            <v>-15.507000000000005</v>
          </cell>
          <cell r="F28">
            <v>0</v>
          </cell>
          <cell r="G28">
            <v>0</v>
          </cell>
          <cell r="H28">
            <v>-9.7052858874999401</v>
          </cell>
          <cell r="I28">
            <v>0</v>
          </cell>
          <cell r="J28">
            <v>0</v>
          </cell>
          <cell r="K28">
            <v>0</v>
          </cell>
          <cell r="L28">
            <v>0</v>
          </cell>
          <cell r="M28">
            <v>0</v>
          </cell>
          <cell r="N28">
            <v>0</v>
          </cell>
          <cell r="O28">
            <v>0</v>
          </cell>
          <cell r="P28">
            <v>0</v>
          </cell>
          <cell r="Q28">
            <v>0</v>
          </cell>
          <cell r="R28">
            <v>0</v>
          </cell>
          <cell r="S28">
            <v>0</v>
          </cell>
        </row>
        <row r="29">
          <cell r="A29" t="str">
            <v>Taxable income</v>
          </cell>
          <cell r="B29" t="str">
            <v>USDm</v>
          </cell>
          <cell r="D29">
            <v>0</v>
          </cell>
          <cell r="E29">
            <v>77.549999999999969</v>
          </cell>
          <cell r="F29">
            <v>59.90000000000002</v>
          </cell>
          <cell r="G29">
            <v>0</v>
          </cell>
          <cell r="H29">
            <v>126.41081014270895</v>
          </cell>
          <cell r="I29">
            <v>143.87473029760753</v>
          </cell>
          <cell r="J29">
            <v>212.53714307710132</v>
          </cell>
          <cell r="K29">
            <v>434.92105563537564</v>
          </cell>
          <cell r="L29">
            <v>504.70310088758191</v>
          </cell>
          <cell r="M29">
            <v>595.68270866059993</v>
          </cell>
          <cell r="N29">
            <v>667.44204580447786</v>
          </cell>
          <cell r="O29">
            <v>742.09930082548988</v>
          </cell>
          <cell r="P29">
            <v>818.22341894928547</v>
          </cell>
          <cell r="Q29">
            <v>899.54373825447533</v>
          </cell>
          <cell r="R29">
            <v>986.36958517125584</v>
          </cell>
          <cell r="S29">
            <v>777.7673880972186</v>
          </cell>
        </row>
        <row r="30">
          <cell r="A30" t="str">
            <v>Tax rate</v>
          </cell>
          <cell r="B30" t="str">
            <v>USDm</v>
          </cell>
          <cell r="D30">
            <v>0</v>
          </cell>
          <cell r="E30">
            <v>0.33335482553703655</v>
          </cell>
          <cell r="F30">
            <v>0.40400667779632704</v>
          </cell>
          <cell r="G30">
            <v>0.3</v>
          </cell>
          <cell r="H30">
            <v>0.3</v>
          </cell>
          <cell r="I30">
            <v>0.3</v>
          </cell>
          <cell r="J30">
            <v>0.3</v>
          </cell>
          <cell r="K30">
            <v>0.3</v>
          </cell>
          <cell r="L30">
            <v>0.3</v>
          </cell>
          <cell r="M30">
            <v>0.3</v>
          </cell>
          <cell r="N30">
            <v>0.3</v>
          </cell>
          <cell r="O30">
            <v>0.3</v>
          </cell>
          <cell r="P30">
            <v>0.3</v>
          </cell>
          <cell r="Q30">
            <v>0.3</v>
          </cell>
          <cell r="R30">
            <v>0.3</v>
          </cell>
          <cell r="S30">
            <v>0.3</v>
          </cell>
        </row>
        <row r="31">
          <cell r="A31" t="str">
            <v>Assumed tax charge</v>
          </cell>
          <cell r="B31" t="str">
            <v>USDm</v>
          </cell>
          <cell r="D31">
            <v>0</v>
          </cell>
          <cell r="E31">
            <v>-31.021000000000001</v>
          </cell>
          <cell r="F31">
            <v>-24.2</v>
          </cell>
          <cell r="G31">
            <v>0</v>
          </cell>
          <cell r="H31">
            <v>-37.923243042812686</v>
          </cell>
          <cell r="I31">
            <v>-43.16241908928226</v>
          </cell>
          <cell r="J31">
            <v>-63.761142923130393</v>
          </cell>
          <cell r="K31">
            <v>-130.47631669061269</v>
          </cell>
          <cell r="L31">
            <v>-151.41093026627456</v>
          </cell>
          <cell r="M31">
            <v>-178.70481259817998</v>
          </cell>
          <cell r="N31">
            <v>-200.23261374134336</v>
          </cell>
          <cell r="O31">
            <v>-222.62979024764695</v>
          </cell>
          <cell r="P31">
            <v>-245.46702568478563</v>
          </cell>
          <cell r="Q31">
            <v>-269.8631214763426</v>
          </cell>
          <cell r="R31">
            <v>-295.91087555137676</v>
          </cell>
          <cell r="S31">
            <v>-233.33021642916557</v>
          </cell>
        </row>
        <row r="32">
          <cell r="B32" t="str">
            <v>USDm</v>
          </cell>
        </row>
        <row r="33">
          <cell r="A33" t="str">
            <v>Opening tax losses</v>
          </cell>
          <cell r="B33" t="str">
            <v>USDm</v>
          </cell>
          <cell r="D33">
            <v>0</v>
          </cell>
          <cell r="E33">
            <v>15.507000000000005</v>
          </cell>
          <cell r="F33">
            <v>0</v>
          </cell>
          <cell r="G33">
            <v>0</v>
          </cell>
          <cell r="H33">
            <v>9.7052858874999401</v>
          </cell>
          <cell r="I33">
            <v>0</v>
          </cell>
          <cell r="J33">
            <v>0</v>
          </cell>
          <cell r="K33">
            <v>0</v>
          </cell>
          <cell r="L33">
            <v>0</v>
          </cell>
          <cell r="M33">
            <v>0</v>
          </cell>
          <cell r="N33">
            <v>0</v>
          </cell>
          <cell r="O33">
            <v>0</v>
          </cell>
          <cell r="P33">
            <v>0</v>
          </cell>
          <cell r="Q33">
            <v>0</v>
          </cell>
          <cell r="R33">
            <v>0</v>
          </cell>
          <cell r="S33">
            <v>0</v>
          </cell>
        </row>
        <row r="34">
          <cell r="A34" t="str">
            <v>Increase</v>
          </cell>
          <cell r="B34" t="str">
            <v>USDm</v>
          </cell>
          <cell r="D34">
            <v>15.507000000000005</v>
          </cell>
          <cell r="E34">
            <v>0</v>
          </cell>
          <cell r="F34">
            <v>0</v>
          </cell>
          <cell r="G34">
            <v>9.7052858874999401</v>
          </cell>
          <cell r="H34">
            <v>0</v>
          </cell>
          <cell r="I34">
            <v>0</v>
          </cell>
          <cell r="J34">
            <v>0</v>
          </cell>
          <cell r="K34">
            <v>0</v>
          </cell>
          <cell r="L34">
            <v>0</v>
          </cell>
          <cell r="M34">
            <v>0</v>
          </cell>
          <cell r="N34">
            <v>0</v>
          </cell>
          <cell r="O34">
            <v>0</v>
          </cell>
          <cell r="P34">
            <v>0</v>
          </cell>
          <cell r="Q34">
            <v>0</v>
          </cell>
          <cell r="R34">
            <v>0</v>
          </cell>
          <cell r="S34">
            <v>0</v>
          </cell>
        </row>
        <row r="35">
          <cell r="A35" t="str">
            <v>Used</v>
          </cell>
          <cell r="B35" t="str">
            <v>USDm</v>
          </cell>
          <cell r="D35">
            <v>0</v>
          </cell>
          <cell r="E35">
            <v>-15.507000000000005</v>
          </cell>
          <cell r="F35">
            <v>0</v>
          </cell>
          <cell r="G35">
            <v>0</v>
          </cell>
          <cell r="H35">
            <v>-9.7052858874999401</v>
          </cell>
          <cell r="I35">
            <v>0</v>
          </cell>
          <cell r="J35">
            <v>0</v>
          </cell>
          <cell r="K35">
            <v>0</v>
          </cell>
          <cell r="L35">
            <v>0</v>
          </cell>
          <cell r="M35">
            <v>0</v>
          </cell>
          <cell r="N35">
            <v>0</v>
          </cell>
          <cell r="O35">
            <v>0</v>
          </cell>
          <cell r="P35">
            <v>0</v>
          </cell>
          <cell r="Q35">
            <v>0</v>
          </cell>
          <cell r="R35">
            <v>0</v>
          </cell>
          <cell r="S35">
            <v>0</v>
          </cell>
        </row>
        <row r="36">
          <cell r="A36" t="str">
            <v>Closing tax losses</v>
          </cell>
          <cell r="B36" t="str">
            <v>USDm</v>
          </cell>
          <cell r="D36">
            <v>15.507000000000005</v>
          </cell>
          <cell r="E36">
            <v>0</v>
          </cell>
          <cell r="F36">
            <v>0</v>
          </cell>
          <cell r="G36">
            <v>9.7052858874999401</v>
          </cell>
          <cell r="H36">
            <v>0</v>
          </cell>
          <cell r="I36">
            <v>0</v>
          </cell>
          <cell r="J36">
            <v>0</v>
          </cell>
          <cell r="K36">
            <v>0</v>
          </cell>
          <cell r="L36">
            <v>0</v>
          </cell>
          <cell r="M36">
            <v>0</v>
          </cell>
          <cell r="N36">
            <v>0</v>
          </cell>
          <cell r="O36">
            <v>0</v>
          </cell>
          <cell r="P36">
            <v>0</v>
          </cell>
          <cell r="Q36">
            <v>0</v>
          </cell>
          <cell r="R36">
            <v>0</v>
          </cell>
          <cell r="S36">
            <v>0</v>
          </cell>
        </row>
        <row r="37">
          <cell r="A37" t="str">
            <v>Cash cover</v>
          </cell>
          <cell r="G37">
            <v>-1.9867227003785684</v>
          </cell>
          <cell r="H37">
            <v>-0.83957481703170256</v>
          </cell>
          <cell r="I37">
            <v>1.5030853661088042</v>
          </cell>
          <cell r="J37">
            <v>3.4935250546826668</v>
          </cell>
          <cell r="K37">
            <v>5.7277781345011674</v>
          </cell>
          <cell r="L37">
            <v>12.930604846641362</v>
          </cell>
          <cell r="M37" t="str">
            <v>-</v>
          </cell>
          <cell r="N37" t="str">
            <v>-</v>
          </cell>
          <cell r="O37" t="str">
            <v>-</v>
          </cell>
          <cell r="P37" t="str">
            <v>-</v>
          </cell>
          <cell r="Q37" t="str">
            <v>-</v>
          </cell>
          <cell r="R37" t="str">
            <v>-</v>
          </cell>
        </row>
        <row r="38">
          <cell r="A38" t="str">
            <v>Covenant</v>
          </cell>
          <cell r="G38">
            <v>1</v>
          </cell>
          <cell r="H38">
            <v>1</v>
          </cell>
          <cell r="I38">
            <v>1</v>
          </cell>
          <cell r="J38">
            <v>1</v>
          </cell>
          <cell r="K38">
            <v>1</v>
          </cell>
          <cell r="L38">
            <v>1</v>
          </cell>
          <cell r="M38">
            <v>1</v>
          </cell>
          <cell r="N38">
            <v>1</v>
          </cell>
          <cell r="O38">
            <v>1</v>
          </cell>
          <cell r="P38">
            <v>1</v>
          </cell>
          <cell r="Q38">
            <v>1</v>
          </cell>
          <cell r="R38">
            <v>1</v>
          </cell>
        </row>
        <row r="39">
          <cell r="A39" t="str">
            <v>Note: Assumed no tax losses carried forward from date of acquisition</v>
          </cell>
          <cell r="G39" t="str">
            <v>N/A</v>
          </cell>
          <cell r="H39" t="str">
            <v>N/A</v>
          </cell>
          <cell r="I39" t="str">
            <v>NO</v>
          </cell>
          <cell r="J39" t="str">
            <v>NO</v>
          </cell>
          <cell r="K39" t="str">
            <v>NO</v>
          </cell>
          <cell r="L39" t="str">
            <v>NO</v>
          </cell>
          <cell r="M39" t="str">
            <v>NO</v>
          </cell>
          <cell r="N39" t="str">
            <v>NO</v>
          </cell>
          <cell r="O39" t="str">
            <v>NO</v>
          </cell>
          <cell r="P39" t="str">
            <v>NO</v>
          </cell>
          <cell r="Q39" t="str">
            <v>NO</v>
          </cell>
          <cell r="R39" t="str">
            <v>NO</v>
          </cell>
        </row>
        <row r="42">
          <cell r="A42" t="str">
            <v>EXIT ASSUMPTIONS</v>
          </cell>
          <cell r="E42" t="str">
            <v>MULTIPLES COMPARISON</v>
          </cell>
        </row>
        <row r="44">
          <cell r="J44" t="str">
            <v>Offer</v>
          </cell>
          <cell r="K44" t="str">
            <v xml:space="preserve">Exit </v>
          </cell>
          <cell r="L44" t="str">
            <v>Uplift</v>
          </cell>
        </row>
        <row r="46">
          <cell r="A46" t="str">
            <v>Years to exit</v>
          </cell>
          <cell r="B46" t="str">
            <v>(No.)</v>
          </cell>
          <cell r="C46">
            <v>3</v>
          </cell>
          <cell r="E46" t="str">
            <v>Sales</v>
          </cell>
          <cell r="I46" t="str">
            <v>USDm</v>
          </cell>
          <cell r="J46">
            <v>444.6</v>
          </cell>
          <cell r="K46">
            <v>732.4</v>
          </cell>
        </row>
        <row r="47">
          <cell r="A47" t="str">
            <v>Exit enterprise value based on EBTDA multiple</v>
          </cell>
          <cell r="B47" t="str">
            <v>USDm</v>
          </cell>
          <cell r="C47">
            <v>3005.5</v>
          </cell>
          <cell r="E47" t="str">
            <v>EV / Sales</v>
          </cell>
          <cell r="I47" t="str">
            <v>(x)</v>
          </cell>
          <cell r="J47">
            <v>2.9883603238866394</v>
          </cell>
          <cell r="K47">
            <v>4.1036318951392685</v>
          </cell>
          <cell r="L47">
            <v>0.37320518624812782</v>
          </cell>
        </row>
        <row r="48">
          <cell r="A48" t="str">
            <v>Less closing debt before vendor loan notes</v>
          </cell>
          <cell r="B48" t="str">
            <v>USDm</v>
          </cell>
          <cell r="C48">
            <v>-1410.2164447030557</v>
          </cell>
          <cell r="E48" t="str">
            <v>EBITDA</v>
          </cell>
          <cell r="I48" t="str">
            <v>USDm</v>
          </cell>
          <cell r="J48">
            <v>264.3</v>
          </cell>
          <cell r="K48">
            <v>448.4</v>
          </cell>
        </row>
        <row r="49">
          <cell r="A49" t="str">
            <v>Less closing vendor loan notes</v>
          </cell>
          <cell r="B49" t="str">
            <v>USDm</v>
          </cell>
          <cell r="C49">
            <v>0</v>
          </cell>
          <cell r="E49" t="str">
            <v>EV / EBITDA (100%)</v>
          </cell>
          <cell r="I49" t="str">
            <v>(x)</v>
          </cell>
          <cell r="J49">
            <v>6.7026106696935299</v>
          </cell>
          <cell r="K49">
            <v>6.7026106696935299</v>
          </cell>
          <cell r="L49">
            <v>0</v>
          </cell>
        </row>
        <row r="50">
          <cell r="A50" t="str">
            <v>Warrants at 5.0%</v>
          </cell>
          <cell r="B50" t="str">
            <v>USDm</v>
          </cell>
          <cell r="C50">
            <v>0</v>
          </cell>
        </row>
        <row r="51">
          <cell r="A51" t="str">
            <v>Value of ordinary share capital</v>
          </cell>
          <cell r="B51" t="str">
            <v>USDm</v>
          </cell>
          <cell r="C51">
            <v>1595.2835552969443</v>
          </cell>
        </row>
        <row r="53">
          <cell r="A53" t="str">
            <v>ORDINARY SHARES</v>
          </cell>
        </row>
      </sheetData>
      <sheetData sheetId="5" refreshError="1">
        <row r="1">
          <cell r="A1" t="str">
            <v>Project Intelligence</v>
          </cell>
          <cell r="R1" t="str">
            <v>BUY-OUT FORECASTS</v>
          </cell>
        </row>
        <row r="5">
          <cell r="A5" t="str">
            <v>GROUP OPENING NET DEBT</v>
          </cell>
        </row>
        <row r="7">
          <cell r="D7">
            <v>36525</v>
          </cell>
          <cell r="E7">
            <v>36890</v>
          </cell>
          <cell r="F7">
            <v>37256</v>
          </cell>
          <cell r="G7">
            <v>37621</v>
          </cell>
          <cell r="H7">
            <v>37986</v>
          </cell>
          <cell r="I7">
            <v>38351</v>
          </cell>
          <cell r="J7">
            <v>38716</v>
          </cell>
          <cell r="K7">
            <v>39081</v>
          </cell>
          <cell r="L7">
            <v>39446</v>
          </cell>
          <cell r="M7">
            <v>39811</v>
          </cell>
          <cell r="N7">
            <v>40176</v>
          </cell>
          <cell r="O7">
            <v>40541</v>
          </cell>
          <cell r="P7">
            <v>40906</v>
          </cell>
          <cell r="Q7">
            <v>41271</v>
          </cell>
          <cell r="R7">
            <v>41636</v>
          </cell>
        </row>
        <row r="8">
          <cell r="A8" t="str">
            <v>Year</v>
          </cell>
          <cell r="D8">
            <v>0</v>
          </cell>
          <cell r="E8">
            <v>0</v>
          </cell>
          <cell r="F8">
            <v>0</v>
          </cell>
          <cell r="G8">
            <v>1</v>
          </cell>
          <cell r="H8">
            <v>2</v>
          </cell>
          <cell r="I8">
            <v>3</v>
          </cell>
          <cell r="J8">
            <v>4</v>
          </cell>
          <cell r="K8">
            <v>5</v>
          </cell>
          <cell r="L8">
            <v>6</v>
          </cell>
          <cell r="M8">
            <v>7</v>
          </cell>
          <cell r="N8">
            <v>8</v>
          </cell>
          <cell r="O8">
            <v>9</v>
          </cell>
          <cell r="P8">
            <v>10</v>
          </cell>
          <cell r="Q8">
            <v>11</v>
          </cell>
          <cell r="R8">
            <v>12</v>
          </cell>
        </row>
        <row r="10">
          <cell r="A10" t="str">
            <v>Existing facility</v>
          </cell>
          <cell r="B10" t="str">
            <v>USDm</v>
          </cell>
          <cell r="D10">
            <v>0</v>
          </cell>
          <cell r="E10">
            <v>0</v>
          </cell>
          <cell r="F10">
            <v>0</v>
          </cell>
          <cell r="G10">
            <v>0</v>
          </cell>
          <cell r="H10">
            <v>317.65677099999999</v>
          </cell>
          <cell r="I10">
            <v>661.18669799999998</v>
          </cell>
          <cell r="J10">
            <v>666.00043600000004</v>
          </cell>
          <cell r="K10">
            <v>666.00043600000004</v>
          </cell>
          <cell r="L10">
            <v>666.00043600000004</v>
          </cell>
          <cell r="M10">
            <v>666.00043600000004</v>
          </cell>
          <cell r="N10">
            <v>666</v>
          </cell>
          <cell r="O10">
            <v>0</v>
          </cell>
          <cell r="P10">
            <v>0</v>
          </cell>
          <cell r="Q10">
            <v>0</v>
          </cell>
          <cell r="R10">
            <v>0</v>
          </cell>
        </row>
        <row r="11">
          <cell r="A11" t="str">
            <v>Senior term loan A</v>
          </cell>
          <cell r="B11" t="str">
            <v>USDm</v>
          </cell>
          <cell r="D11">
            <v>0</v>
          </cell>
          <cell r="E11">
            <v>0</v>
          </cell>
          <cell r="F11">
            <v>0</v>
          </cell>
          <cell r="G11">
            <v>390.61574999999999</v>
          </cell>
          <cell r="H11">
            <v>390.61574999999999</v>
          </cell>
          <cell r="I11">
            <v>347.64801799999998</v>
          </cell>
          <cell r="J11">
            <v>296.86797100000001</v>
          </cell>
          <cell r="K11">
            <v>174.10036500000001</v>
          </cell>
          <cell r="L11">
            <v>31.836262000000001</v>
          </cell>
          <cell r="M11">
            <v>0</v>
          </cell>
          <cell r="N11">
            <v>0</v>
          </cell>
          <cell r="O11">
            <v>0</v>
          </cell>
          <cell r="P11">
            <v>0</v>
          </cell>
          <cell r="Q11">
            <v>0</v>
          </cell>
          <cell r="R11">
            <v>0</v>
          </cell>
        </row>
        <row r="12">
          <cell r="A12" t="str">
            <v>Senior term loan B</v>
          </cell>
          <cell r="B12" t="str">
            <v>USDm</v>
          </cell>
          <cell r="D12">
            <v>0</v>
          </cell>
          <cell r="E12">
            <v>0</v>
          </cell>
          <cell r="F12">
            <v>0</v>
          </cell>
          <cell r="G12">
            <v>130.20525000000001</v>
          </cell>
          <cell r="H12">
            <v>130.20525000000001</v>
          </cell>
          <cell r="I12">
            <v>130.20525000000001</v>
          </cell>
          <cell r="J12">
            <v>130.20525000000001</v>
          </cell>
          <cell r="K12">
            <v>94.363341000000005</v>
          </cell>
          <cell r="L12">
            <v>26.918695</v>
          </cell>
          <cell r="M12">
            <v>0</v>
          </cell>
          <cell r="N12">
            <v>0</v>
          </cell>
          <cell r="O12">
            <v>0</v>
          </cell>
          <cell r="P12">
            <v>0</v>
          </cell>
          <cell r="Q12">
            <v>0</v>
          </cell>
          <cell r="R12">
            <v>0</v>
          </cell>
        </row>
        <row r="13">
          <cell r="A13" t="str">
            <v>Senior term loan C</v>
          </cell>
          <cell r="B13" t="str">
            <v>USDm</v>
          </cell>
          <cell r="D13">
            <v>0</v>
          </cell>
          <cell r="E13">
            <v>0</v>
          </cell>
          <cell r="F13">
            <v>0</v>
          </cell>
          <cell r="G13">
            <v>130.20525000000001</v>
          </cell>
          <cell r="H13">
            <v>130.20525000000001</v>
          </cell>
          <cell r="I13">
            <v>130.20525000000001</v>
          </cell>
          <cell r="J13">
            <v>130.20525000000001</v>
          </cell>
          <cell r="K13">
            <v>94.363341000000005</v>
          </cell>
          <cell r="L13">
            <v>26.918695</v>
          </cell>
          <cell r="M13">
            <v>0</v>
          </cell>
          <cell r="N13">
            <v>0</v>
          </cell>
          <cell r="O13">
            <v>0</v>
          </cell>
          <cell r="P13">
            <v>0</v>
          </cell>
          <cell r="Q13">
            <v>0</v>
          </cell>
          <cell r="R13">
            <v>0</v>
          </cell>
        </row>
        <row r="14">
          <cell r="A14" t="str">
            <v>High yield bond</v>
          </cell>
          <cell r="B14" t="str">
            <v>USDm</v>
          </cell>
          <cell r="D14">
            <v>0</v>
          </cell>
          <cell r="E14">
            <v>0</v>
          </cell>
          <cell r="F14">
            <v>0</v>
          </cell>
          <cell r="G14">
            <v>279.01125000000002</v>
          </cell>
          <cell r="H14">
            <v>253.900238</v>
          </cell>
          <cell r="I14">
            <v>223.209001</v>
          </cell>
          <cell r="J14">
            <v>186.93753899999999</v>
          </cell>
          <cell r="K14">
            <v>146.480908</v>
          </cell>
          <cell r="L14">
            <v>101.839108</v>
          </cell>
          <cell r="M14">
            <v>54.407195999999999</v>
          </cell>
          <cell r="N14">
            <v>0</v>
          </cell>
          <cell r="O14">
            <v>0</v>
          </cell>
          <cell r="P14">
            <v>0</v>
          </cell>
          <cell r="Q14">
            <v>0</v>
          </cell>
          <cell r="R14">
            <v>0</v>
          </cell>
        </row>
        <row r="15">
          <cell r="A15" t="str">
            <v>Mezzanine</v>
          </cell>
          <cell r="B15" t="str">
            <v>USDm</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(Cash balance) / revolving credit / overdraft</v>
          </cell>
          <cell r="B16" t="str">
            <v>USDm</v>
          </cell>
          <cell r="D16">
            <v>0</v>
          </cell>
          <cell r="E16">
            <v>0</v>
          </cell>
          <cell r="F16">
            <v>0</v>
          </cell>
          <cell r="G16">
            <v>0</v>
          </cell>
          <cell r="H16">
            <v>0</v>
          </cell>
          <cell r="I16">
            <v>0</v>
          </cell>
          <cell r="J16">
            <v>0</v>
          </cell>
          <cell r="K16">
            <v>-137.81214109250507</v>
          </cell>
          <cell r="L16">
            <v>-352.46701588202563</v>
          </cell>
          <cell r="M16">
            <v>-845.33522794125463</v>
          </cell>
          <cell r="N16">
            <v>-1506.8151614727478</v>
          </cell>
          <cell r="O16">
            <v>-1620.6826707063728</v>
          </cell>
          <cell r="P16">
            <v>-2468.4431623132305</v>
          </cell>
          <cell r="Q16">
            <v>-3385.9050856581957</v>
          </cell>
          <cell r="R16">
            <v>-4377.5265090208177</v>
          </cell>
        </row>
        <row r="17">
          <cell r="A17" t="str">
            <v>Opening net debt / (cash) before loan notes</v>
          </cell>
          <cell r="B17" t="str">
            <v>USDm</v>
          </cell>
          <cell r="D17">
            <v>0</v>
          </cell>
          <cell r="E17">
            <v>0</v>
          </cell>
          <cell r="F17">
            <v>0</v>
          </cell>
          <cell r="G17">
            <v>930.03750000000002</v>
          </cell>
          <cell r="H17">
            <v>1222.583259</v>
          </cell>
          <cell r="I17">
            <v>1492.454217</v>
          </cell>
          <cell r="J17">
            <v>1410.2164460000001</v>
          </cell>
          <cell r="K17">
            <v>1037.496249907495</v>
          </cell>
          <cell r="L17">
            <v>501.04618011797436</v>
          </cell>
          <cell r="M17">
            <v>-124.92759594125459</v>
          </cell>
          <cell r="N17">
            <v>-840.81516147274783</v>
          </cell>
          <cell r="O17">
            <v>-1620.6826707063728</v>
          </cell>
          <cell r="P17">
            <v>-2468.4431623132305</v>
          </cell>
          <cell r="Q17">
            <v>-3385.9050856581957</v>
          </cell>
          <cell r="R17">
            <v>-4377.5265090208177</v>
          </cell>
        </row>
        <row r="18">
          <cell r="A18" t="str">
            <v>Interest - pre-acquisition debt</v>
          </cell>
          <cell r="B18" t="str">
            <v>USDm</v>
          </cell>
          <cell r="D18">
            <v>0</v>
          </cell>
          <cell r="E18">
            <v>-9.8520000000000003</v>
          </cell>
          <cell r="F18">
            <v>-20.8</v>
          </cell>
        </row>
        <row r="19">
          <cell r="A19" t="str">
            <v>GROUP CLOSING NET DEBT</v>
          </cell>
          <cell r="B19" t="str">
            <v>USDm</v>
          </cell>
          <cell r="D19">
            <v>0</v>
          </cell>
          <cell r="E19">
            <v>-9.8520000000000003</v>
          </cell>
          <cell r="F19">
            <v>-20.8</v>
          </cell>
          <cell r="G19">
            <v>-81.245285887500003</v>
          </cell>
          <cell r="H19">
            <v>-105.98390396979113</v>
          </cell>
          <cell r="I19">
            <v>-109.12526970239244</v>
          </cell>
          <cell r="J19">
            <v>-95.462856922898666</v>
          </cell>
          <cell r="K19">
            <v>-60.078944364624263</v>
          </cell>
          <cell r="L19">
            <v>-22.916899112418001</v>
          </cell>
          <cell r="M19">
            <v>15.300708660600066</v>
          </cell>
          <cell r="N19">
            <v>58.040945804478014</v>
          </cell>
          <cell r="O19">
            <v>102.22814582549009</v>
          </cell>
          <cell r="P19">
            <v>146.35870619928565</v>
          </cell>
          <cell r="Q19">
            <v>194.08578986697535</v>
          </cell>
          <cell r="R19">
            <v>245.63873936438068</v>
          </cell>
        </row>
        <row r="21">
          <cell r="A21" t="str">
            <v>GROUP TAX CALCULATION FORECASTS</v>
          </cell>
          <cell r="D21">
            <v>36525</v>
          </cell>
          <cell r="E21">
            <v>36890</v>
          </cell>
          <cell r="F21">
            <v>37256</v>
          </cell>
          <cell r="G21">
            <v>37621</v>
          </cell>
          <cell r="H21">
            <v>37986</v>
          </cell>
          <cell r="I21">
            <v>38351</v>
          </cell>
          <cell r="J21">
            <v>38716</v>
          </cell>
          <cell r="K21">
            <v>39081</v>
          </cell>
          <cell r="L21">
            <v>39446</v>
          </cell>
          <cell r="M21">
            <v>39811</v>
          </cell>
          <cell r="N21">
            <v>40176</v>
          </cell>
          <cell r="O21">
            <v>40541</v>
          </cell>
          <cell r="P21">
            <v>40906</v>
          </cell>
          <cell r="Q21">
            <v>41271</v>
          </cell>
          <cell r="R21">
            <v>41636</v>
          </cell>
        </row>
        <row r="22">
          <cell r="A22" t="str">
            <v>Year</v>
          </cell>
          <cell r="D22">
            <v>0</v>
          </cell>
          <cell r="E22">
            <v>0</v>
          </cell>
          <cell r="F22">
            <v>0</v>
          </cell>
          <cell r="G22">
            <v>1</v>
          </cell>
          <cell r="H22">
            <v>2</v>
          </cell>
          <cell r="I22">
            <v>3</v>
          </cell>
          <cell r="J22">
            <v>4</v>
          </cell>
          <cell r="K22">
            <v>5</v>
          </cell>
          <cell r="L22">
            <v>6</v>
          </cell>
          <cell r="M22">
            <v>7</v>
          </cell>
          <cell r="N22">
            <v>8</v>
          </cell>
          <cell r="O22">
            <v>9</v>
          </cell>
          <cell r="P22">
            <v>10</v>
          </cell>
          <cell r="Q22">
            <v>11</v>
          </cell>
          <cell r="R22">
            <v>12</v>
          </cell>
        </row>
        <row r="23">
          <cell r="D23">
            <v>36525</v>
          </cell>
          <cell r="E23">
            <v>36890</v>
          </cell>
          <cell r="F23">
            <v>37256</v>
          </cell>
          <cell r="G23">
            <v>37621</v>
          </cell>
          <cell r="H23">
            <v>37986</v>
          </cell>
          <cell r="I23">
            <v>38351</v>
          </cell>
          <cell r="J23">
            <v>38716</v>
          </cell>
          <cell r="K23">
            <v>39081</v>
          </cell>
          <cell r="L23">
            <v>39446</v>
          </cell>
          <cell r="M23">
            <v>39811</v>
          </cell>
          <cell r="N23">
            <v>40176</v>
          </cell>
          <cell r="O23">
            <v>40541</v>
          </cell>
          <cell r="P23">
            <v>40906</v>
          </cell>
          <cell r="Q23">
            <v>41271</v>
          </cell>
          <cell r="R23">
            <v>41636</v>
          </cell>
        </row>
        <row r="24">
          <cell r="A24" t="str">
            <v>Existing facility</v>
          </cell>
          <cell r="B24" t="str">
            <v>USDm</v>
          </cell>
          <cell r="D24">
            <v>0</v>
          </cell>
          <cell r="E24">
            <v>0</v>
          </cell>
          <cell r="F24">
            <v>0</v>
          </cell>
          <cell r="G24">
            <v>317.65677072218278</v>
          </cell>
          <cell r="H24">
            <v>661.18669817904549</v>
          </cell>
          <cell r="I24">
            <v>666.0004357030557</v>
          </cell>
          <cell r="J24">
            <v>666.00043600000004</v>
          </cell>
          <cell r="K24">
            <v>666.00043600000004</v>
          </cell>
          <cell r="L24">
            <v>666.00043600000004</v>
          </cell>
          <cell r="M24">
            <v>666.00043600000004</v>
          </cell>
          <cell r="N24">
            <v>0</v>
          </cell>
          <cell r="O24">
            <v>0</v>
          </cell>
          <cell r="P24">
            <v>0</v>
          </cell>
          <cell r="Q24">
            <v>0</v>
          </cell>
          <cell r="R24">
            <v>0</v>
          </cell>
        </row>
        <row r="25">
          <cell r="A25" t="str">
            <v>Senior term loan A</v>
          </cell>
          <cell r="B25" t="str">
            <v>USDm</v>
          </cell>
          <cell r="D25">
            <v>0</v>
          </cell>
          <cell r="E25">
            <v>0</v>
          </cell>
          <cell r="F25">
            <v>390.61574999999999</v>
          </cell>
          <cell r="G25">
            <v>390.61574999999999</v>
          </cell>
          <cell r="H25">
            <v>347.64801749999998</v>
          </cell>
          <cell r="I25">
            <v>296.86797049999996</v>
          </cell>
          <cell r="J25">
            <v>174.10036452796709</v>
          </cell>
          <cell r="K25">
            <v>31.836261943168111</v>
          </cell>
          <cell r="L25">
            <v>0</v>
          </cell>
          <cell r="M25">
            <v>0</v>
          </cell>
          <cell r="N25">
            <v>0</v>
          </cell>
          <cell r="O25">
            <v>0</v>
          </cell>
          <cell r="P25">
            <v>0</v>
          </cell>
          <cell r="Q25">
            <v>0</v>
          </cell>
          <cell r="R25">
            <v>0</v>
          </cell>
        </row>
        <row r="26">
          <cell r="A26" t="str">
            <v>Senior term loan B</v>
          </cell>
          <cell r="B26" t="str">
            <v>USDm</v>
          </cell>
          <cell r="D26">
            <v>0</v>
          </cell>
          <cell r="E26">
            <v>0</v>
          </cell>
          <cell r="F26">
            <v>130.20524999999998</v>
          </cell>
          <cell r="G26">
            <v>130.20525000000001</v>
          </cell>
          <cell r="H26">
            <v>130.20525000000001</v>
          </cell>
          <cell r="I26">
            <v>130.20525000000001</v>
          </cell>
          <cell r="J26">
            <v>94.363340814763944</v>
          </cell>
          <cell r="K26">
            <v>26.918695133655675</v>
          </cell>
          <cell r="L26">
            <v>0</v>
          </cell>
          <cell r="M26">
            <v>0</v>
          </cell>
          <cell r="N26">
            <v>0</v>
          </cell>
          <cell r="O26">
            <v>0</v>
          </cell>
          <cell r="P26">
            <v>0</v>
          </cell>
          <cell r="Q26">
            <v>0</v>
          </cell>
          <cell r="R26">
            <v>0</v>
          </cell>
          <cell r="S26">
            <v>937.08738809721854</v>
          </cell>
        </row>
        <row r="27">
          <cell r="A27" t="str">
            <v>Senior term loan C</v>
          </cell>
          <cell r="B27" t="str">
            <v>USDm</v>
          </cell>
          <cell r="D27">
            <v>0</v>
          </cell>
          <cell r="E27">
            <v>0</v>
          </cell>
          <cell r="F27">
            <v>130.20524999999998</v>
          </cell>
          <cell r="G27">
            <v>130.20525000000001</v>
          </cell>
          <cell r="H27">
            <v>130.20525000000001</v>
          </cell>
          <cell r="I27">
            <v>130.20525000000001</v>
          </cell>
          <cell r="J27">
            <v>94.363340814763944</v>
          </cell>
          <cell r="K27">
            <v>26.918695133655675</v>
          </cell>
          <cell r="L27">
            <v>0</v>
          </cell>
          <cell r="M27">
            <v>0</v>
          </cell>
          <cell r="N27">
            <v>0</v>
          </cell>
          <cell r="O27">
            <v>0</v>
          </cell>
          <cell r="P27">
            <v>0</v>
          </cell>
          <cell r="Q27">
            <v>0</v>
          </cell>
          <cell r="R27">
            <v>0</v>
          </cell>
          <cell r="S27">
            <v>-159.31999999999988</v>
          </cell>
        </row>
        <row r="28">
          <cell r="A28" t="str">
            <v>High yield bond</v>
          </cell>
          <cell r="B28" t="str">
            <v>USDm</v>
          </cell>
          <cell r="D28">
            <v>0</v>
          </cell>
          <cell r="E28">
            <v>0</v>
          </cell>
          <cell r="F28">
            <v>279.01125000000002</v>
          </cell>
          <cell r="G28">
            <v>253.9002375</v>
          </cell>
          <cell r="H28">
            <v>223.2090005</v>
          </cell>
          <cell r="I28">
            <v>186.93753849999999</v>
          </cell>
          <cell r="J28">
            <v>146.48090774999997</v>
          </cell>
          <cell r="K28">
            <v>101.839108</v>
          </cell>
          <cell r="L28">
            <v>54.407195499999986</v>
          </cell>
          <cell r="M28">
            <v>2.2500000085301508E-6</v>
          </cell>
          <cell r="N28">
            <v>0</v>
          </cell>
          <cell r="O28">
            <v>0</v>
          </cell>
          <cell r="P28">
            <v>0</v>
          </cell>
          <cell r="Q28">
            <v>0</v>
          </cell>
          <cell r="R28">
            <v>0</v>
          </cell>
          <cell r="S28">
            <v>0</v>
          </cell>
        </row>
        <row r="29">
          <cell r="A29" t="str">
            <v>Mezzanine</v>
          </cell>
          <cell r="B29" t="str">
            <v>USDm</v>
          </cell>
          <cell r="D29">
            <v>0</v>
          </cell>
          <cell r="E29">
            <v>77.549999999999969</v>
          </cell>
          <cell r="F29">
            <v>0</v>
          </cell>
          <cell r="G29">
            <v>0</v>
          </cell>
          <cell r="H29">
            <v>0</v>
          </cell>
          <cell r="I29">
            <v>0</v>
          </cell>
          <cell r="J29">
            <v>0</v>
          </cell>
          <cell r="K29">
            <v>0</v>
          </cell>
          <cell r="L29">
            <v>0</v>
          </cell>
          <cell r="M29">
            <v>0</v>
          </cell>
          <cell r="N29">
            <v>0</v>
          </cell>
          <cell r="O29">
            <v>0</v>
          </cell>
          <cell r="P29">
            <v>0</v>
          </cell>
          <cell r="Q29">
            <v>0</v>
          </cell>
          <cell r="R29">
            <v>0</v>
          </cell>
          <cell r="S29">
            <v>777.7673880972186</v>
          </cell>
        </row>
        <row r="30">
          <cell r="A30" t="str">
            <v>(Cash balance) / revolving credit / overdraft</v>
          </cell>
          <cell r="B30" t="str">
            <v>USDm</v>
          </cell>
          <cell r="D30">
            <v>0</v>
          </cell>
          <cell r="E30">
            <v>0</v>
          </cell>
          <cell r="F30">
            <v>0</v>
          </cell>
          <cell r="G30">
            <v>0</v>
          </cell>
          <cell r="H30">
            <v>0</v>
          </cell>
          <cell r="I30">
            <v>0</v>
          </cell>
          <cell r="J30">
            <v>-137.81214109250507</v>
          </cell>
          <cell r="K30">
            <v>-352.46701588202563</v>
          </cell>
          <cell r="L30">
            <v>-845.33522794125463</v>
          </cell>
          <cell r="M30">
            <v>-1506.8151614727478</v>
          </cell>
          <cell r="N30">
            <v>-1620.6826707063728</v>
          </cell>
          <cell r="O30">
            <v>-2468.4431623132305</v>
          </cell>
          <cell r="P30">
            <v>-3385.9050856581957</v>
          </cell>
          <cell r="Q30">
            <v>-4377.5265090208177</v>
          </cell>
          <cell r="R30">
            <v>-5448.0230655544101</v>
          </cell>
          <cell r="S30">
            <v>0.3</v>
          </cell>
        </row>
        <row r="31">
          <cell r="A31" t="str">
            <v>Closing net debt / (cash) before loan notes</v>
          </cell>
          <cell r="B31" t="str">
            <v>USDm</v>
          </cell>
          <cell r="D31">
            <v>0</v>
          </cell>
          <cell r="E31">
            <v>0</v>
          </cell>
          <cell r="F31">
            <v>930.03749999999991</v>
          </cell>
          <cell r="G31">
            <v>1222.5832582221828</v>
          </cell>
          <cell r="H31">
            <v>1492.4542161790455</v>
          </cell>
          <cell r="I31">
            <v>1410.2164447030557</v>
          </cell>
          <cell r="J31">
            <v>1037.4962488149897</v>
          </cell>
          <cell r="K31">
            <v>501.04618032845383</v>
          </cell>
          <cell r="L31">
            <v>-124.92759644125465</v>
          </cell>
          <cell r="M31">
            <v>-840.81472322274783</v>
          </cell>
          <cell r="N31">
            <v>-1620.6826707063728</v>
          </cell>
          <cell r="O31">
            <v>-2468.4431623132305</v>
          </cell>
          <cell r="P31">
            <v>-3385.9050856581957</v>
          </cell>
          <cell r="Q31">
            <v>-4377.5265090208177</v>
          </cell>
          <cell r="R31">
            <v>-5448.0230655544101</v>
          </cell>
          <cell r="S31">
            <v>-233.33021642916557</v>
          </cell>
        </row>
        <row r="32">
          <cell r="B32" t="str">
            <v>USDm</v>
          </cell>
        </row>
        <row r="33">
          <cell r="A33" t="str">
            <v>Opening tax losses</v>
          </cell>
          <cell r="B33" t="str">
            <v>USDm</v>
          </cell>
          <cell r="D33">
            <v>0</v>
          </cell>
          <cell r="E33">
            <v>15.507000000000005</v>
          </cell>
          <cell r="F33">
            <v>0</v>
          </cell>
          <cell r="G33">
            <v>0</v>
          </cell>
          <cell r="H33">
            <v>9.7052858874999401</v>
          </cell>
          <cell r="I33">
            <v>0</v>
          </cell>
          <cell r="J33">
            <v>0</v>
          </cell>
          <cell r="K33">
            <v>0</v>
          </cell>
          <cell r="L33">
            <v>0</v>
          </cell>
          <cell r="M33">
            <v>0</v>
          </cell>
          <cell r="N33">
            <v>0</v>
          </cell>
          <cell r="O33">
            <v>0</v>
          </cell>
          <cell r="P33">
            <v>0</v>
          </cell>
          <cell r="Q33">
            <v>0</v>
          </cell>
          <cell r="R33">
            <v>0</v>
          </cell>
          <cell r="S33">
            <v>0</v>
          </cell>
        </row>
        <row r="34">
          <cell r="A34" t="str">
            <v>Increase</v>
          </cell>
          <cell r="B34" t="str">
            <v>USDm</v>
          </cell>
          <cell r="D34">
            <v>15.507000000000005</v>
          </cell>
          <cell r="E34">
            <v>0</v>
          </cell>
          <cell r="F34">
            <v>0</v>
          </cell>
          <cell r="G34">
            <v>9.7052858874999401</v>
          </cell>
          <cell r="H34">
            <v>0</v>
          </cell>
          <cell r="I34">
            <v>0</v>
          </cell>
          <cell r="J34">
            <v>0</v>
          </cell>
          <cell r="K34">
            <v>0</v>
          </cell>
          <cell r="L34">
            <v>0</v>
          </cell>
          <cell r="M34">
            <v>0</v>
          </cell>
          <cell r="N34">
            <v>0</v>
          </cell>
          <cell r="O34">
            <v>0</v>
          </cell>
          <cell r="P34">
            <v>0</v>
          </cell>
          <cell r="Q34">
            <v>0</v>
          </cell>
          <cell r="R34">
            <v>0</v>
          </cell>
          <cell r="S34">
            <v>0</v>
          </cell>
        </row>
        <row r="35">
          <cell r="A35" t="str">
            <v>Used</v>
          </cell>
          <cell r="B35" t="str">
            <v>USDm</v>
          </cell>
          <cell r="D35">
            <v>0</v>
          </cell>
          <cell r="E35">
            <v>-15.507000000000005</v>
          </cell>
          <cell r="F35">
            <v>0</v>
          </cell>
          <cell r="G35">
            <v>0</v>
          </cell>
          <cell r="H35">
            <v>-9.7052858874999401</v>
          </cell>
          <cell r="I35">
            <v>0</v>
          </cell>
          <cell r="J35">
            <v>0</v>
          </cell>
          <cell r="K35">
            <v>0</v>
          </cell>
          <cell r="L35">
            <v>0</v>
          </cell>
          <cell r="M35">
            <v>0</v>
          </cell>
          <cell r="N35">
            <v>0</v>
          </cell>
          <cell r="O35">
            <v>0</v>
          </cell>
          <cell r="P35">
            <v>0</v>
          </cell>
          <cell r="Q35">
            <v>0</v>
          </cell>
          <cell r="R35">
            <v>0</v>
          </cell>
          <cell r="S35">
            <v>0</v>
          </cell>
        </row>
        <row r="36">
          <cell r="A36" t="str">
            <v>Closing tax losses</v>
          </cell>
          <cell r="B36" t="str">
            <v>USDm</v>
          </cell>
          <cell r="D36">
            <v>15.507000000000005</v>
          </cell>
          <cell r="E36">
            <v>0</v>
          </cell>
          <cell r="F36">
            <v>0</v>
          </cell>
          <cell r="G36">
            <v>9.7052858874999401</v>
          </cell>
          <cell r="H36">
            <v>0</v>
          </cell>
          <cell r="I36">
            <v>0</v>
          </cell>
          <cell r="J36">
            <v>0</v>
          </cell>
          <cell r="K36">
            <v>0</v>
          </cell>
          <cell r="L36">
            <v>0</v>
          </cell>
          <cell r="M36">
            <v>0</v>
          </cell>
          <cell r="N36">
            <v>0</v>
          </cell>
          <cell r="O36">
            <v>0</v>
          </cell>
          <cell r="P36">
            <v>0</v>
          </cell>
          <cell r="Q36">
            <v>0</v>
          </cell>
          <cell r="R36">
            <v>0</v>
          </cell>
          <cell r="S36">
            <v>0</v>
          </cell>
        </row>
        <row r="39">
          <cell r="A39" t="str">
            <v>Note: Assumed no tax losses carried forward from date of acquisition</v>
          </cell>
        </row>
      </sheetData>
      <sheetData sheetId="6" refreshError="1">
        <row r="1">
          <cell r="A1" t="str">
            <v>Project Intelligence</v>
          </cell>
          <cell r="R1" t="str">
            <v>BUY-OUT DEBT SERVICING SCHEDULES</v>
          </cell>
        </row>
        <row r="5">
          <cell r="A5" t="str">
            <v>EXISTING REVOLVING CREDIT FACILITY - CUSTOM</v>
          </cell>
        </row>
        <row r="7">
          <cell r="D7">
            <v>36525</v>
          </cell>
          <cell r="E7">
            <v>36890</v>
          </cell>
          <cell r="F7">
            <v>37256</v>
          </cell>
          <cell r="G7">
            <v>37621</v>
          </cell>
          <cell r="H7">
            <v>37986</v>
          </cell>
          <cell r="I7">
            <v>38351</v>
          </cell>
          <cell r="J7">
            <v>38716</v>
          </cell>
          <cell r="K7">
            <v>39081</v>
          </cell>
          <cell r="L7">
            <v>39446</v>
          </cell>
          <cell r="M7">
            <v>39811</v>
          </cell>
          <cell r="N7">
            <v>40176</v>
          </cell>
          <cell r="O7">
            <v>40541</v>
          </cell>
          <cell r="P7">
            <v>40906</v>
          </cell>
          <cell r="Q7">
            <v>41271</v>
          </cell>
          <cell r="R7">
            <v>41636</v>
          </cell>
        </row>
        <row r="8">
          <cell r="A8" t="str">
            <v>Year</v>
          </cell>
          <cell r="D8">
            <v>0</v>
          </cell>
          <cell r="E8">
            <v>0</v>
          </cell>
          <cell r="F8">
            <v>0</v>
          </cell>
          <cell r="G8">
            <v>1</v>
          </cell>
          <cell r="H8">
            <v>2</v>
          </cell>
          <cell r="I8">
            <v>3</v>
          </cell>
          <cell r="J8">
            <v>4</v>
          </cell>
          <cell r="K8">
            <v>5</v>
          </cell>
          <cell r="L8">
            <v>6</v>
          </cell>
          <cell r="M8">
            <v>7</v>
          </cell>
          <cell r="N8">
            <v>8</v>
          </cell>
          <cell r="O8">
            <v>9</v>
          </cell>
          <cell r="P8">
            <v>10</v>
          </cell>
          <cell r="Q8">
            <v>11</v>
          </cell>
          <cell r="R8">
            <v>12</v>
          </cell>
        </row>
        <row r="10">
          <cell r="A10" t="str">
            <v>Opening balance</v>
          </cell>
          <cell r="B10" t="str">
            <v>USDm</v>
          </cell>
          <cell r="D10">
            <v>0</v>
          </cell>
          <cell r="E10">
            <v>0</v>
          </cell>
          <cell r="F10">
            <v>0</v>
          </cell>
          <cell r="G10">
            <v>0</v>
          </cell>
          <cell r="H10">
            <v>317.65677099999999</v>
          </cell>
          <cell r="I10">
            <v>661.18669799999998</v>
          </cell>
          <cell r="J10">
            <v>666.00043600000004</v>
          </cell>
          <cell r="K10">
            <v>666.00043600000004</v>
          </cell>
          <cell r="L10">
            <v>666.00043600000004</v>
          </cell>
          <cell r="M10">
            <v>666.00043600000004</v>
          </cell>
          <cell r="N10">
            <v>666</v>
          </cell>
          <cell r="O10">
            <v>0</v>
          </cell>
          <cell r="P10">
            <v>0</v>
          </cell>
          <cell r="Q10">
            <v>0</v>
          </cell>
          <cell r="R10">
            <v>0</v>
          </cell>
        </row>
        <row r="11">
          <cell r="A11" t="str">
            <v>Additional drawdown</v>
          </cell>
          <cell r="B11" t="str">
            <v>USDm</v>
          </cell>
          <cell r="D11">
            <v>0</v>
          </cell>
          <cell r="E11">
            <v>0</v>
          </cell>
          <cell r="F11">
            <v>0</v>
          </cell>
          <cell r="G11">
            <v>317.65677072218278</v>
          </cell>
          <cell r="H11">
            <v>343.5299271790455</v>
          </cell>
          <cell r="I11">
            <v>4.8137377030557218</v>
          </cell>
          <cell r="J11">
            <v>0</v>
          </cell>
          <cell r="K11">
            <v>0</v>
          </cell>
          <cell r="L11">
            <v>0</v>
          </cell>
          <cell r="M11">
            <v>0</v>
          </cell>
          <cell r="N11">
            <v>0</v>
          </cell>
          <cell r="O11">
            <v>0</v>
          </cell>
          <cell r="P11">
            <v>0</v>
          </cell>
          <cell r="Q11">
            <v>0</v>
          </cell>
          <cell r="R11">
            <v>0</v>
          </cell>
        </row>
        <row r="12">
          <cell r="A12" t="str">
            <v>Capitalised interest</v>
          </cell>
          <cell r="B12" t="str">
            <v>USDm</v>
          </cell>
          <cell r="D12">
            <v>0</v>
          </cell>
          <cell r="E12">
            <v>0</v>
          </cell>
          <cell r="F12">
            <v>0</v>
          </cell>
          <cell r="G12">
            <v>130.20525000000001</v>
          </cell>
          <cell r="H12">
            <v>130.20525000000001</v>
          </cell>
          <cell r="I12">
            <v>130.20525000000001</v>
          </cell>
          <cell r="J12">
            <v>130.20525000000001</v>
          </cell>
          <cell r="K12">
            <v>94.363341000000005</v>
          </cell>
          <cell r="L12">
            <v>26.918695</v>
          </cell>
          <cell r="M12">
            <v>0</v>
          </cell>
          <cell r="N12">
            <v>0</v>
          </cell>
          <cell r="O12">
            <v>0</v>
          </cell>
          <cell r="P12">
            <v>0</v>
          </cell>
          <cell r="Q12">
            <v>0</v>
          </cell>
          <cell r="R12">
            <v>0</v>
          </cell>
        </row>
        <row r="13">
          <cell r="A13" t="str">
            <v>Amortisation - Bullet</v>
          </cell>
          <cell r="B13" t="str">
            <v>USDm</v>
          </cell>
          <cell r="D13">
            <v>0</v>
          </cell>
          <cell r="E13">
            <v>0</v>
          </cell>
          <cell r="F13">
            <v>0</v>
          </cell>
          <cell r="G13">
            <v>0</v>
          </cell>
          <cell r="H13">
            <v>0</v>
          </cell>
          <cell r="I13">
            <v>0</v>
          </cell>
          <cell r="J13">
            <v>0</v>
          </cell>
          <cell r="K13">
            <v>0</v>
          </cell>
          <cell r="L13">
            <v>0</v>
          </cell>
          <cell r="M13">
            <v>0</v>
          </cell>
          <cell r="N13">
            <v>-666</v>
          </cell>
          <cell r="O13">
            <v>0</v>
          </cell>
          <cell r="P13">
            <v>0</v>
          </cell>
          <cell r="Q13">
            <v>0</v>
          </cell>
          <cell r="R13">
            <v>0</v>
          </cell>
        </row>
        <row r="14">
          <cell r="A14" t="str">
            <v>Amortisation - Straight</v>
          </cell>
          <cell r="B14" t="str">
            <v>USDm</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Amortisation - Roll-up</v>
          </cell>
          <cell r="B15" t="str">
            <v>USDm</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Amortisation - Custom</v>
          </cell>
          <cell r="B16" t="str">
            <v>USDm</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Cash sweep</v>
          </cell>
          <cell r="B17" t="str">
            <v>USDm</v>
          </cell>
          <cell r="D17">
            <v>0</v>
          </cell>
          <cell r="E17">
            <v>0</v>
          </cell>
          <cell r="F17">
            <v>0</v>
          </cell>
          <cell r="G17">
            <v>930.03750000000002</v>
          </cell>
          <cell r="H17">
            <v>1222.583259</v>
          </cell>
          <cell r="I17">
            <v>1492.454217</v>
          </cell>
          <cell r="J17">
            <v>1410.2164460000001</v>
          </cell>
          <cell r="K17">
            <v>1037.496249907495</v>
          </cell>
          <cell r="L17">
            <v>501.04618011797436</v>
          </cell>
          <cell r="M17">
            <v>-124.92759594125459</v>
          </cell>
          <cell r="N17">
            <v>-840.81516147274783</v>
          </cell>
          <cell r="O17">
            <v>-1620.6826707063728</v>
          </cell>
          <cell r="P17">
            <v>-2468.4431623132305</v>
          </cell>
          <cell r="Q17">
            <v>-3385.9050856581957</v>
          </cell>
          <cell r="R17">
            <v>-4377.5265090208177</v>
          </cell>
        </row>
        <row r="18">
          <cell r="A18" t="str">
            <v>Closing balance</v>
          </cell>
          <cell r="B18" t="str">
            <v>USDm</v>
          </cell>
          <cell r="D18">
            <v>0</v>
          </cell>
          <cell r="E18">
            <v>0</v>
          </cell>
          <cell r="F18">
            <v>0</v>
          </cell>
          <cell r="G18">
            <v>317.65677072218278</v>
          </cell>
          <cell r="H18">
            <v>661.18669817904549</v>
          </cell>
          <cell r="I18">
            <v>666.0004357030557</v>
          </cell>
          <cell r="J18">
            <v>666.00043600000004</v>
          </cell>
          <cell r="K18">
            <v>666.00043600000004</v>
          </cell>
          <cell r="L18">
            <v>666.00043600000004</v>
          </cell>
          <cell r="M18">
            <v>666.00043600000004</v>
          </cell>
          <cell r="N18">
            <v>0</v>
          </cell>
          <cell r="O18">
            <v>0</v>
          </cell>
          <cell r="P18">
            <v>0</v>
          </cell>
          <cell r="Q18">
            <v>0</v>
          </cell>
          <cell r="R18">
            <v>0</v>
          </cell>
        </row>
        <row r="19">
          <cell r="A19" t="str">
            <v>Interest rate</v>
          </cell>
          <cell r="B19" t="str">
            <v>(%)</v>
          </cell>
          <cell r="D19">
            <v>0</v>
          </cell>
          <cell r="E19">
            <v>0</v>
          </cell>
          <cell r="F19">
            <v>0</v>
          </cell>
          <cell r="G19">
            <v>0</v>
          </cell>
          <cell r="H19">
            <v>6.0499999999999998E-2</v>
          </cell>
          <cell r="I19">
            <v>6.0499999999999998E-2</v>
          </cell>
          <cell r="J19">
            <v>6.0499999999999998E-2</v>
          </cell>
          <cell r="K19">
            <v>6.0499999999999998E-2</v>
          </cell>
          <cell r="L19">
            <v>6.0499999999999998E-2</v>
          </cell>
          <cell r="M19">
            <v>6.0499999999999998E-2</v>
          </cell>
          <cell r="N19">
            <v>6.0499999999999998E-2</v>
          </cell>
          <cell r="O19">
            <v>0</v>
          </cell>
          <cell r="P19">
            <v>0</v>
          </cell>
          <cell r="Q19">
            <v>0</v>
          </cell>
          <cell r="R19">
            <v>0</v>
          </cell>
        </row>
        <row r="20">
          <cell r="A20" t="str">
            <v>Interest charge - Profit &amp; loss</v>
          </cell>
          <cell r="B20" t="str">
            <v>USDm</v>
          </cell>
          <cell r="D20">
            <v>0</v>
          </cell>
          <cell r="E20">
            <v>0</v>
          </cell>
          <cell r="F20">
            <v>0</v>
          </cell>
          <cell r="G20">
            <v>0</v>
          </cell>
          <cell r="H20">
            <v>-29.610014942666126</v>
          </cell>
          <cell r="I20">
            <v>-40.147410794517434</v>
          </cell>
          <cell r="J20">
            <v>-40.293026378</v>
          </cell>
          <cell r="K20">
            <v>-40.293026378</v>
          </cell>
          <cell r="L20">
            <v>-40.293026378</v>
          </cell>
          <cell r="M20">
            <v>-40.293026378</v>
          </cell>
          <cell r="N20">
            <v>-20.1465</v>
          </cell>
          <cell r="O20">
            <v>0</v>
          </cell>
          <cell r="P20">
            <v>0</v>
          </cell>
          <cell r="Q20">
            <v>0</v>
          </cell>
          <cell r="R20">
            <v>0</v>
          </cell>
        </row>
        <row r="21">
          <cell r="A21" t="str">
            <v>Interest charge - Cashflow</v>
          </cell>
          <cell r="B21" t="str">
            <v>USDm</v>
          </cell>
          <cell r="D21">
            <v>0</v>
          </cell>
          <cell r="E21">
            <v>0</v>
          </cell>
          <cell r="F21">
            <v>0</v>
          </cell>
          <cell r="G21">
            <v>0</v>
          </cell>
          <cell r="H21">
            <v>-29.610014942666126</v>
          </cell>
          <cell r="I21">
            <v>-40.147410794517434</v>
          </cell>
          <cell r="J21">
            <v>-40.293026378</v>
          </cell>
          <cell r="K21">
            <v>-40.293026378</v>
          </cell>
          <cell r="L21">
            <v>-40.293026378</v>
          </cell>
          <cell r="M21">
            <v>-40.293026378</v>
          </cell>
          <cell r="N21">
            <v>-20.1465</v>
          </cell>
          <cell r="O21">
            <v>0</v>
          </cell>
          <cell r="P21">
            <v>0</v>
          </cell>
          <cell r="Q21">
            <v>0</v>
          </cell>
          <cell r="R21">
            <v>0</v>
          </cell>
        </row>
        <row r="22">
          <cell r="A22" t="str">
            <v>Scheduled repayment - Cashflow</v>
          </cell>
          <cell r="B22" t="str">
            <v>USDm</v>
          </cell>
          <cell r="D22">
            <v>0</v>
          </cell>
          <cell r="E22">
            <v>0</v>
          </cell>
          <cell r="F22">
            <v>0</v>
          </cell>
          <cell r="G22">
            <v>0</v>
          </cell>
          <cell r="H22">
            <v>0</v>
          </cell>
          <cell r="I22">
            <v>0</v>
          </cell>
          <cell r="J22">
            <v>0</v>
          </cell>
          <cell r="K22">
            <v>0</v>
          </cell>
          <cell r="L22">
            <v>0</v>
          </cell>
          <cell r="M22">
            <v>0</v>
          </cell>
          <cell r="N22">
            <v>-666</v>
          </cell>
          <cell r="O22">
            <v>0</v>
          </cell>
          <cell r="P22">
            <v>0</v>
          </cell>
          <cell r="Q22">
            <v>0</v>
          </cell>
          <cell r="R22">
            <v>0</v>
          </cell>
        </row>
        <row r="23">
          <cell r="A23" t="str">
            <v>Amortisation profile</v>
          </cell>
          <cell r="G23">
            <v>0.09</v>
          </cell>
          <cell r="H23">
            <v>0.11</v>
          </cell>
          <cell r="I23">
            <v>0.13</v>
          </cell>
          <cell r="J23">
            <v>0.14499999999999999</v>
          </cell>
          <cell r="K23">
            <v>0.16</v>
          </cell>
          <cell r="L23">
            <v>0.17</v>
          </cell>
          <cell r="M23">
            <v>0.19499999999999995</v>
          </cell>
        </row>
        <row r="24">
          <cell r="A24" t="str">
            <v>Existing facility</v>
          </cell>
          <cell r="B24" t="str">
            <v>USDm</v>
          </cell>
          <cell r="D24">
            <v>0</v>
          </cell>
          <cell r="E24">
            <v>0</v>
          </cell>
          <cell r="F24">
            <v>0</v>
          </cell>
          <cell r="G24">
            <v>317.65677072218278</v>
          </cell>
          <cell r="H24">
            <v>661.18669817904549</v>
          </cell>
          <cell r="I24">
            <v>666.0004357030557</v>
          </cell>
          <cell r="J24">
            <v>666.00043600000004</v>
          </cell>
          <cell r="K24">
            <v>666.00043600000004</v>
          </cell>
          <cell r="L24">
            <v>666.00043600000004</v>
          </cell>
          <cell r="M24">
            <v>666.00043600000004</v>
          </cell>
          <cell r="N24">
            <v>0</v>
          </cell>
          <cell r="O24">
            <v>0</v>
          </cell>
          <cell r="P24">
            <v>0</v>
          </cell>
          <cell r="Q24">
            <v>0</v>
          </cell>
          <cell r="R24">
            <v>0</v>
          </cell>
        </row>
        <row r="25">
          <cell r="A25" t="str">
            <v>Senior term loan A</v>
          </cell>
          <cell r="B25" t="str">
            <v>USDm</v>
          </cell>
          <cell r="D25">
            <v>0</v>
          </cell>
          <cell r="E25">
            <v>0</v>
          </cell>
          <cell r="F25">
            <v>390.61574999999999</v>
          </cell>
          <cell r="G25">
            <v>390.61574999999999</v>
          </cell>
          <cell r="H25">
            <v>347.64801749999998</v>
          </cell>
          <cell r="I25">
            <v>296.86797049999996</v>
          </cell>
          <cell r="J25">
            <v>174.10036452796709</v>
          </cell>
          <cell r="K25">
            <v>31.836261943168111</v>
          </cell>
          <cell r="L25">
            <v>0</v>
          </cell>
          <cell r="M25">
            <v>0</v>
          </cell>
          <cell r="N25">
            <v>0</v>
          </cell>
          <cell r="O25">
            <v>0</v>
          </cell>
          <cell r="P25">
            <v>0</v>
          </cell>
          <cell r="Q25">
            <v>0</v>
          </cell>
          <cell r="R25">
            <v>0</v>
          </cell>
        </row>
        <row r="26">
          <cell r="A26" t="str">
            <v>SENIOR TERM LOAN A - CUSTOM</v>
          </cell>
          <cell r="B26" t="str">
            <v>USDm</v>
          </cell>
          <cell r="D26">
            <v>0</v>
          </cell>
          <cell r="E26">
            <v>0</v>
          </cell>
          <cell r="F26">
            <v>130.20524999999998</v>
          </cell>
          <cell r="G26">
            <v>130.20525000000001</v>
          </cell>
          <cell r="H26">
            <v>130.20525000000001</v>
          </cell>
          <cell r="I26">
            <v>130.20525000000001</v>
          </cell>
          <cell r="J26">
            <v>94.363340814763944</v>
          </cell>
          <cell r="K26">
            <v>26.918695133655675</v>
          </cell>
          <cell r="L26">
            <v>0</v>
          </cell>
          <cell r="M26">
            <v>0</v>
          </cell>
          <cell r="N26">
            <v>0</v>
          </cell>
          <cell r="O26">
            <v>0</v>
          </cell>
          <cell r="P26">
            <v>0</v>
          </cell>
          <cell r="Q26">
            <v>0</v>
          </cell>
          <cell r="R26">
            <v>0</v>
          </cell>
        </row>
        <row r="27">
          <cell r="A27" t="str">
            <v>Senior term loan C</v>
          </cell>
          <cell r="B27" t="str">
            <v>USDm</v>
          </cell>
          <cell r="D27">
            <v>0</v>
          </cell>
          <cell r="E27">
            <v>0</v>
          </cell>
          <cell r="F27">
            <v>130.20524999999998</v>
          </cell>
          <cell r="G27">
            <v>130.20525000000001</v>
          </cell>
          <cell r="H27">
            <v>130.20525000000001</v>
          </cell>
          <cell r="I27">
            <v>130.20525000000001</v>
          </cell>
          <cell r="J27">
            <v>94.363340814763944</v>
          </cell>
          <cell r="K27">
            <v>26.918695133655675</v>
          </cell>
          <cell r="L27">
            <v>0</v>
          </cell>
          <cell r="M27">
            <v>0</v>
          </cell>
          <cell r="N27">
            <v>0</v>
          </cell>
          <cell r="O27">
            <v>0</v>
          </cell>
          <cell r="P27">
            <v>0</v>
          </cell>
          <cell r="Q27">
            <v>0</v>
          </cell>
          <cell r="R27">
            <v>0</v>
          </cell>
        </row>
        <row r="28">
          <cell r="A28" t="str">
            <v>High yield bond</v>
          </cell>
          <cell r="B28" t="str">
            <v>USDm</v>
          </cell>
          <cell r="D28">
            <v>36525</v>
          </cell>
          <cell r="E28">
            <v>36890</v>
          </cell>
          <cell r="F28">
            <v>37256</v>
          </cell>
          <cell r="G28">
            <v>37621</v>
          </cell>
          <cell r="H28">
            <v>37986</v>
          </cell>
          <cell r="I28">
            <v>38351</v>
          </cell>
          <cell r="J28">
            <v>38716</v>
          </cell>
          <cell r="K28">
            <v>39081</v>
          </cell>
          <cell r="L28">
            <v>39446</v>
          </cell>
          <cell r="M28">
            <v>39811</v>
          </cell>
          <cell r="N28">
            <v>40176</v>
          </cell>
          <cell r="O28">
            <v>40541</v>
          </cell>
          <cell r="P28">
            <v>40906</v>
          </cell>
          <cell r="Q28">
            <v>41271</v>
          </cell>
          <cell r="R28">
            <v>41636</v>
          </cell>
        </row>
        <row r="29">
          <cell r="A29" t="str">
            <v>Year</v>
          </cell>
          <cell r="B29" t="str">
            <v>USDm</v>
          </cell>
          <cell r="D29">
            <v>0</v>
          </cell>
          <cell r="E29">
            <v>0</v>
          </cell>
          <cell r="F29">
            <v>0</v>
          </cell>
          <cell r="G29">
            <v>1</v>
          </cell>
          <cell r="H29">
            <v>2</v>
          </cell>
          <cell r="I29">
            <v>3</v>
          </cell>
          <cell r="J29">
            <v>4</v>
          </cell>
          <cell r="K29">
            <v>5</v>
          </cell>
          <cell r="L29">
            <v>6</v>
          </cell>
          <cell r="M29">
            <v>7</v>
          </cell>
          <cell r="N29">
            <v>8</v>
          </cell>
          <cell r="O29">
            <v>9</v>
          </cell>
          <cell r="P29">
            <v>10</v>
          </cell>
          <cell r="Q29">
            <v>11</v>
          </cell>
          <cell r="R29">
            <v>12</v>
          </cell>
        </row>
        <row r="30">
          <cell r="A30" t="str">
            <v>(Cash balance) / revolving credit / overdraft</v>
          </cell>
          <cell r="B30" t="str">
            <v>USDm</v>
          </cell>
          <cell r="D30">
            <v>0</v>
          </cell>
          <cell r="E30">
            <v>0</v>
          </cell>
          <cell r="F30">
            <v>0</v>
          </cell>
          <cell r="G30">
            <v>0</v>
          </cell>
          <cell r="H30">
            <v>0</v>
          </cell>
          <cell r="I30">
            <v>0</v>
          </cell>
          <cell r="J30">
            <v>-137.81214109250507</v>
          </cell>
          <cell r="K30">
            <v>-352.46701588202563</v>
          </cell>
          <cell r="L30">
            <v>-845.33522794125463</v>
          </cell>
          <cell r="M30">
            <v>-1506.8151614727478</v>
          </cell>
          <cell r="N30">
            <v>-1620.6826707063728</v>
          </cell>
          <cell r="O30">
            <v>-2468.4431623132305</v>
          </cell>
          <cell r="P30">
            <v>-3385.9050856581957</v>
          </cell>
          <cell r="Q30">
            <v>-4377.5265090208177</v>
          </cell>
          <cell r="R30">
            <v>-5448.0230655544101</v>
          </cell>
        </row>
        <row r="31">
          <cell r="A31" t="str">
            <v>Opening balance</v>
          </cell>
          <cell r="B31" t="str">
            <v>USDm</v>
          </cell>
          <cell r="D31">
            <v>0</v>
          </cell>
          <cell r="E31">
            <v>0</v>
          </cell>
          <cell r="F31">
            <v>0</v>
          </cell>
          <cell r="G31">
            <v>390.61574999999999</v>
          </cell>
          <cell r="H31">
            <v>390.61574999999999</v>
          </cell>
          <cell r="I31">
            <v>347.64801799999998</v>
          </cell>
          <cell r="J31">
            <v>296.86797100000001</v>
          </cell>
          <cell r="K31">
            <v>174.10036500000001</v>
          </cell>
          <cell r="L31">
            <v>31.836262000000001</v>
          </cell>
          <cell r="M31">
            <v>0</v>
          </cell>
          <cell r="N31">
            <v>0</v>
          </cell>
          <cell r="O31">
            <v>0</v>
          </cell>
          <cell r="P31">
            <v>0</v>
          </cell>
          <cell r="Q31">
            <v>0</v>
          </cell>
          <cell r="R31">
            <v>0</v>
          </cell>
        </row>
        <row r="32">
          <cell r="A32" t="str">
            <v>Capitalised interest</v>
          </cell>
          <cell r="B32" t="str">
            <v>USDm</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Amortisation - Bullet</v>
          </cell>
          <cell r="B33" t="str">
            <v>USDm</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Amortisation - Straight</v>
          </cell>
          <cell r="B34" t="str">
            <v>USDm</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Amortisation - Roll-up</v>
          </cell>
          <cell r="B35" t="str">
            <v>USDm</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6">
          <cell r="A36" t="str">
            <v>Amortisation - Custom</v>
          </cell>
          <cell r="B36" t="str">
            <v>USDm</v>
          </cell>
          <cell r="D36">
            <v>0</v>
          </cell>
          <cell r="E36">
            <v>0</v>
          </cell>
          <cell r="F36">
            <v>0</v>
          </cell>
          <cell r="G36">
            <v>0</v>
          </cell>
          <cell r="H36">
            <v>-42.967732499999997</v>
          </cell>
          <cell r="I36">
            <v>-50.780047500000002</v>
          </cell>
          <cell r="J36">
            <v>-56.639283749999997</v>
          </cell>
          <cell r="K36">
            <v>-62.498519999999999</v>
          </cell>
          <cell r="L36">
            <v>-31.836262000000001</v>
          </cell>
          <cell r="M36">
            <v>0</v>
          </cell>
          <cell r="N36">
            <v>0</v>
          </cell>
          <cell r="O36">
            <v>0</v>
          </cell>
          <cell r="P36">
            <v>0</v>
          </cell>
          <cell r="Q36">
            <v>0</v>
          </cell>
          <cell r="R36">
            <v>0</v>
          </cell>
        </row>
        <row r="37">
          <cell r="A37" t="str">
            <v>Cash sweep</v>
          </cell>
          <cell r="B37" t="str">
            <v>USDm</v>
          </cell>
          <cell r="D37">
            <v>0</v>
          </cell>
          <cell r="E37">
            <v>0</v>
          </cell>
          <cell r="F37">
            <v>0</v>
          </cell>
          <cell r="G37">
            <v>0</v>
          </cell>
          <cell r="H37">
            <v>0</v>
          </cell>
          <cell r="I37">
            <v>0</v>
          </cell>
          <cell r="J37">
            <v>-66.128322722032934</v>
          </cell>
          <cell r="K37">
            <v>-79.7655830568319</v>
          </cell>
          <cell r="L37">
            <v>0</v>
          </cell>
          <cell r="M37">
            <v>0</v>
          </cell>
          <cell r="N37">
            <v>0</v>
          </cell>
          <cell r="O37">
            <v>0</v>
          </cell>
          <cell r="P37">
            <v>0</v>
          </cell>
          <cell r="Q37">
            <v>0</v>
          </cell>
          <cell r="R37">
            <v>0</v>
          </cell>
        </row>
        <row r="38">
          <cell r="A38" t="str">
            <v>Closing balance</v>
          </cell>
          <cell r="B38" t="str">
            <v>USDm</v>
          </cell>
          <cell r="D38">
            <v>0</v>
          </cell>
          <cell r="E38">
            <v>0</v>
          </cell>
          <cell r="F38">
            <v>390.61574999999999</v>
          </cell>
          <cell r="G38">
            <v>390.61574999999999</v>
          </cell>
          <cell r="H38">
            <v>347.64801749999998</v>
          </cell>
          <cell r="I38">
            <v>296.86797049999996</v>
          </cell>
          <cell r="J38">
            <v>174.10036452796709</v>
          </cell>
          <cell r="K38">
            <v>31.836261943168111</v>
          </cell>
          <cell r="L38">
            <v>0</v>
          </cell>
          <cell r="M38">
            <v>0</v>
          </cell>
          <cell r="N38">
            <v>0</v>
          </cell>
          <cell r="O38">
            <v>0</v>
          </cell>
          <cell r="P38">
            <v>0</v>
          </cell>
          <cell r="Q38">
            <v>0</v>
          </cell>
          <cell r="R38">
            <v>0</v>
          </cell>
        </row>
        <row r="39">
          <cell r="A39" t="str">
            <v>Interest rate</v>
          </cell>
          <cell r="B39" t="str">
            <v>(%)</v>
          </cell>
          <cell r="D39">
            <v>0</v>
          </cell>
          <cell r="E39">
            <v>0</v>
          </cell>
          <cell r="F39">
            <v>0</v>
          </cell>
          <cell r="G39">
            <v>7.3499999999999996E-2</v>
          </cell>
          <cell r="H39">
            <v>7.3499999999999996E-2</v>
          </cell>
          <cell r="I39">
            <v>7.3499999999999996E-2</v>
          </cell>
          <cell r="J39">
            <v>7.3499999999999996E-2</v>
          </cell>
          <cell r="K39">
            <v>7.3499999999999996E-2</v>
          </cell>
          <cell r="L39">
            <v>7.3499999999999996E-2</v>
          </cell>
          <cell r="M39">
            <v>0</v>
          </cell>
          <cell r="N39">
            <v>0</v>
          </cell>
          <cell r="O39">
            <v>0</v>
          </cell>
          <cell r="P39">
            <v>0</v>
          </cell>
          <cell r="Q39">
            <v>0</v>
          </cell>
          <cell r="R39">
            <v>0</v>
          </cell>
        </row>
        <row r="40">
          <cell r="A40" t="str">
            <v>Interest charge - Profit &amp; loss</v>
          </cell>
          <cell r="B40" t="str">
            <v>USDm</v>
          </cell>
          <cell r="D40">
            <v>0</v>
          </cell>
          <cell r="E40">
            <v>0</v>
          </cell>
          <cell r="F40">
            <v>0</v>
          </cell>
          <cell r="G40">
            <v>-28.710257624999997</v>
          </cell>
          <cell r="H40">
            <v>-27.131193455624999</v>
          </cell>
          <cell r="I40">
            <v>-23.685962577374998</v>
          </cell>
          <cell r="J40">
            <v>-17.308086330652792</v>
          </cell>
          <cell r="K40">
            <v>-7.5681710401614275</v>
          </cell>
          <cell r="L40">
            <v>-1.1699826284999999</v>
          </cell>
          <cell r="M40">
            <v>0</v>
          </cell>
          <cell r="N40">
            <v>0</v>
          </cell>
          <cell r="O40">
            <v>0</v>
          </cell>
          <cell r="P40">
            <v>0</v>
          </cell>
          <cell r="Q40">
            <v>0</v>
          </cell>
          <cell r="R40">
            <v>0</v>
          </cell>
        </row>
        <row r="41">
          <cell r="A41" t="str">
            <v>Interest charge - Cashflow</v>
          </cell>
          <cell r="B41" t="str">
            <v>USDm</v>
          </cell>
          <cell r="D41">
            <v>0</v>
          </cell>
          <cell r="E41">
            <v>0</v>
          </cell>
          <cell r="F41">
            <v>0</v>
          </cell>
          <cell r="G41">
            <v>-28.710257624999997</v>
          </cell>
          <cell r="H41">
            <v>-27.131193455624999</v>
          </cell>
          <cell r="I41">
            <v>-23.685962577374998</v>
          </cell>
          <cell r="J41">
            <v>-17.308086330652792</v>
          </cell>
          <cell r="K41">
            <v>-7.5681710401614275</v>
          </cell>
          <cell r="L41">
            <v>-1.1699826284999999</v>
          </cell>
          <cell r="M41">
            <v>0</v>
          </cell>
          <cell r="N41">
            <v>0</v>
          </cell>
          <cell r="O41">
            <v>0</v>
          </cell>
          <cell r="P41">
            <v>0</v>
          </cell>
          <cell r="Q41">
            <v>0</v>
          </cell>
          <cell r="R41">
            <v>0</v>
          </cell>
        </row>
        <row r="42">
          <cell r="A42" t="str">
            <v>Scheduled repayment - Cashflow</v>
          </cell>
          <cell r="B42" t="str">
            <v>USDm</v>
          </cell>
          <cell r="D42">
            <v>0</v>
          </cell>
          <cell r="E42">
            <v>0</v>
          </cell>
          <cell r="F42">
            <v>0</v>
          </cell>
          <cell r="G42">
            <v>0</v>
          </cell>
          <cell r="H42">
            <v>-42.967732499999997</v>
          </cell>
          <cell r="I42">
            <v>-50.780047500000002</v>
          </cell>
          <cell r="J42">
            <v>-56.639283749999997</v>
          </cell>
          <cell r="K42">
            <v>-62.498519999999999</v>
          </cell>
          <cell r="L42">
            <v>-31.836262000000001</v>
          </cell>
          <cell r="M42">
            <v>0</v>
          </cell>
          <cell r="N42">
            <v>0</v>
          </cell>
          <cell r="O42">
            <v>0</v>
          </cell>
          <cell r="P42">
            <v>0</v>
          </cell>
          <cell r="Q42">
            <v>0</v>
          </cell>
          <cell r="R42">
            <v>0</v>
          </cell>
        </row>
        <row r="43">
          <cell r="A43" t="str">
            <v>Amortisation profile</v>
          </cell>
          <cell r="G43">
            <v>0</v>
          </cell>
          <cell r="H43">
            <v>0.11</v>
          </cell>
          <cell r="I43">
            <v>0.13</v>
          </cell>
          <cell r="J43">
            <v>0.14499999999999999</v>
          </cell>
          <cell r="K43">
            <v>0.16</v>
          </cell>
          <cell r="L43">
            <v>0.17</v>
          </cell>
          <cell r="M43">
            <v>0.28499999999999992</v>
          </cell>
          <cell r="S43">
            <v>1</v>
          </cell>
        </row>
        <row r="45">
          <cell r="A45" t="str">
            <v>SENIOR TERM LOAN B - BULLET</v>
          </cell>
        </row>
        <row r="47">
          <cell r="D47">
            <v>36525</v>
          </cell>
          <cell r="E47">
            <v>36890</v>
          </cell>
          <cell r="F47">
            <v>37256</v>
          </cell>
          <cell r="G47">
            <v>37621</v>
          </cell>
          <cell r="H47">
            <v>37986</v>
          </cell>
          <cell r="I47">
            <v>38351</v>
          </cell>
          <cell r="J47">
            <v>38716</v>
          </cell>
          <cell r="K47">
            <v>39081</v>
          </cell>
          <cell r="L47">
            <v>39446</v>
          </cell>
          <cell r="M47">
            <v>39811</v>
          </cell>
          <cell r="N47">
            <v>40176</v>
          </cell>
          <cell r="O47">
            <v>40541</v>
          </cell>
          <cell r="P47">
            <v>40906</v>
          </cell>
          <cell r="Q47">
            <v>41271</v>
          </cell>
          <cell r="R47">
            <v>41636</v>
          </cell>
        </row>
        <row r="48">
          <cell r="A48" t="str">
            <v>Year</v>
          </cell>
          <cell r="D48">
            <v>0</v>
          </cell>
          <cell r="E48">
            <v>0</v>
          </cell>
          <cell r="F48">
            <v>0</v>
          </cell>
          <cell r="G48">
            <v>1</v>
          </cell>
          <cell r="H48">
            <v>2</v>
          </cell>
          <cell r="I48">
            <v>3</v>
          </cell>
          <cell r="J48">
            <v>4</v>
          </cell>
          <cell r="K48">
            <v>5</v>
          </cell>
          <cell r="L48">
            <v>6</v>
          </cell>
          <cell r="M48">
            <v>7</v>
          </cell>
          <cell r="N48">
            <v>8</v>
          </cell>
          <cell r="O48">
            <v>9</v>
          </cell>
          <cell r="P48">
            <v>10</v>
          </cell>
          <cell r="Q48">
            <v>11</v>
          </cell>
          <cell r="R48">
            <v>12</v>
          </cell>
        </row>
        <row r="50">
          <cell r="A50" t="str">
            <v>Opening balance</v>
          </cell>
          <cell r="B50" t="str">
            <v>USDm</v>
          </cell>
          <cell r="D50">
            <v>0</v>
          </cell>
          <cell r="E50">
            <v>0</v>
          </cell>
          <cell r="F50">
            <v>0</v>
          </cell>
          <cell r="G50">
            <v>130.20525000000001</v>
          </cell>
          <cell r="H50">
            <v>130.20525000000001</v>
          </cell>
          <cell r="I50">
            <v>130.20525000000001</v>
          </cell>
          <cell r="J50">
            <v>130.20525000000001</v>
          </cell>
          <cell r="K50">
            <v>94.363341000000005</v>
          </cell>
          <cell r="L50">
            <v>26.918695</v>
          </cell>
          <cell r="M50">
            <v>0</v>
          </cell>
          <cell r="N50">
            <v>0</v>
          </cell>
          <cell r="O50">
            <v>0</v>
          </cell>
          <cell r="P50">
            <v>0</v>
          </cell>
          <cell r="Q50">
            <v>0</v>
          </cell>
          <cell r="R50">
            <v>0</v>
          </cell>
        </row>
      </sheetData>
      <sheetData sheetId="7" refreshError="1">
        <row r="29">
          <cell r="A29" t="str">
            <v>Year</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A8" t="str">
            <v>Company</v>
          </cell>
        </row>
      </sheetData>
      <sheetData sheetId="17" refreshError="1"/>
      <sheetData sheetId="18" refreshError="1"/>
      <sheetData sheetId="19" refreshError="1"/>
      <sheetData sheetId="2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 1"/>
      <sheetName val="Assumption 2"/>
      <sheetName val="Market"/>
      <sheetName val="Revenue-1"/>
      <sheetName val="Opex-1"/>
      <sheetName val="Opex-2"/>
      <sheetName val="SG&amp;A"/>
      <sheetName val="P&amp;L"/>
      <sheetName val="Capex"/>
      <sheetName val="Depreciation"/>
      <sheetName val="FCF &amp; Valuation"/>
      <sheetName val="FreeServe"/>
      <sheetName val="IRR"/>
    </sheetNames>
    <definedNames>
      <definedName name="Sensitivity"/>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utput"/>
      <sheetName val="Subscriber Projections"/>
      <sheetName val="Tariff packages"/>
      <sheetName val="Revenues"/>
      <sheetName val="Operating Expenditures"/>
      <sheetName val="Capital Expenditures"/>
      <sheetName val="Depreciation &amp; Amortisation"/>
      <sheetName val="Income Statement"/>
      <sheetName val="Balance Sheet"/>
      <sheetName val="Cash Flow"/>
      <sheetName val="Financing"/>
      <sheetName val="Valuation"/>
      <sheetName val="WACC"/>
      <sheetName val="Key Assumptions"/>
      <sheetName val="Sensitivities"/>
      <sheetName val="Infomemo"/>
      <sheetName val="Graphs"/>
      <sheetName val="ARPU analysis"/>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M table"/>
      <sheetName val="Frontsheet"/>
      <sheetName val="Sources &amp; Uses"/>
      <sheetName val="S&amp;U Summ"/>
      <sheetName val="Summary"/>
      <sheetName val="Base"/>
      <sheetName val="Sensitivity"/>
      <sheetName val="NOT USED"/>
      <sheetName val="Debt"/>
      <sheetName val="Exit Assumptions"/>
      <sheetName val="Exit"/>
      <sheetName val="Module1"/>
      <sheetName val="Module2"/>
      <sheetName val="Module3"/>
      <sheetName val="Module4"/>
      <sheetName val="Module5"/>
      <sheetName val="Module6"/>
      <sheetName val="Module7"/>
      <sheetName val="Module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Allocation (3.1)"/>
      <sheetName val="SintesiC1a"/>
      <sheetName val="Financing"/>
      <sheetName val="Cost%20Allocation%20(3.1).xls"/>
    </sheetNames>
    <definedNames>
      <definedName name="sum_loc_mins"/>
      <definedName name="sum_mins"/>
    </definedNames>
    <sheetDataSet>
      <sheetData sheetId="0" refreshError="1"/>
      <sheetData sheetId="1" refreshError="1"/>
      <sheetData sheetId="2" refreshError="1"/>
      <sheetData sheetId="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inta Comp"/>
      <sheetName val="Pres Summary"/>
      <sheetName val="Assumptions"/>
      <sheetName val="Sum-of-Channels"/>
      <sheetName val="ValConsolidated"/>
      <sheetName val="Perpsum"/>
      <sheetName val="WACC"/>
      <sheetName val="Add Sum (All Cases)"/>
      <sheetName val="Terminal Value"/>
      <sheetName val="Add Sum (Mmt v. Lehman)"/>
      <sheetName val="Case Sums (Mmt &amp; LB)"/>
      <sheetName val="Lehman Case Summaries "/>
      <sheetName val="Corpfin_v_Research"/>
      <sheetName val="MTHFlexcomparison"/>
      <sheetName val="MTHvFLEX"/>
      <sheetName val="Forward Valuations 1997 IPO"/>
      <sheetName val="Forward Valuations 1998 IPO"/>
      <sheetName val="Combined Channels"/>
      <sheetName val="Global Summary"/>
      <sheetName val="Consolidated"/>
      <sheetName val="France"/>
      <sheetName val="Poland"/>
      <sheetName val="Spain"/>
      <sheetName val="Germany"/>
      <sheetName val="Italy"/>
      <sheetName val="Scandinavia"/>
      <sheetName val="Japan"/>
      <sheetName val="Consolidation Adjustments"/>
      <sheetName val="Flextech"/>
      <sheetName val="ValFrance"/>
      <sheetName val="ValPoland"/>
      <sheetName val="ValSpain"/>
      <sheetName val="ValGermany"/>
      <sheetName val="ValItaly"/>
      <sheetName val="ValScandinavia"/>
      <sheetName val="ValJapan"/>
      <sheetName val="BPLAN_VAL_jan14_97-adj"/>
    </sheetNames>
    <sheetDataSet>
      <sheetData sheetId="0" refreshError="1"/>
      <sheetData sheetId="1" refreshError="1"/>
      <sheetData sheetId="2" refreshError="1"/>
      <sheetData sheetId="3" refreshError="1">
        <row r="31">
          <cell r="N31">
            <v>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Key Statistics"/>
      <sheetName val="Ypso Business Plan"/>
      <sheetName val="Financial Statements - Quarter"/>
      <sheetName val="Financial Statements - Month"/>
      <sheetName val="CASH CONSO"/>
      <sheetName val="Interests 2008 - 2009"/>
      <sheetName val="Balance Sheet Conso"/>
      <sheetName val="Triple Play Cable"/>
      <sheetName val="STATEMENTS FRANCE"/>
      <sheetName val="Sensibilité"/>
      <sheetName val="STATS FRANCE 2008"/>
      <sheetName val="CPE FRANCE 2008"/>
      <sheetName val="STATEMENTS BEL"/>
      <sheetName val="STATEMENTS LUX"/>
      <sheetName val="ADSL"/>
      <sheetName val="VOD"/>
      <sheetName val="STATS VOD"/>
      <sheetName val="MOBILITY"/>
      <sheetName val="SOHO CABLE"/>
      <sheetName val="FIBRE WHOLESALE"/>
      <sheetName val="FTTh"/>
      <sheetName val="DSP 92"/>
      <sheetName val="Auchan P&amp;L Num"/>
      <sheetName val="Darty P&amp;L NUM"/>
      <sheetName val="Augmentations tarifs"/>
      <sheetName val="Récap final EV 2008"/>
      <sheetName val="Récap final NN 2008"/>
      <sheetName val="Cout VNR"/>
      <sheetName val="Bulk France"/>
      <sheetName val="BANK"/>
      <sheetName val="Statist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sheetName val="Financial Model"/>
      <sheetName val="Acquisitions"/>
      <sheetName val="Acquisitions Targets"/>
      <sheetName val="Returns"/>
      <sheetName val="Consensus Check"/>
      <sheetName val="--&gt; Comps"/>
      <sheetName val="Trading Input"/>
      <sheetName val="Trading Output"/>
      <sheetName val="Acq Input"/>
      <sheetName val="--&gt; History"/>
      <sheetName val="10 year historical"/>
      <sheetName val="Memo --&gt;"/>
      <sheetName val="markets"/>
      <sheetName val="Table for presentation"/>
      <sheetName val="Sheets for memo"/>
      <sheetName val="--&gt; Takeover premiums"/>
      <sheetName val="DUTCH TENDR OFFERS"/>
      <sheetName val="Sheet1"/>
    </sheetNames>
    <sheetDataSet>
      <sheetData sheetId="0"/>
      <sheetData sheetId="1" refreshError="1"/>
      <sheetData sheetId="2"/>
      <sheetData sheetId="3" refreshError="1"/>
      <sheetData sheetId="4" refreshError="1"/>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New"/>
      <sheetName val="HIPOTESIS FINANCIERAS"/>
      <sheetName val="Comentarios"/>
      <sheetName val="C&amp;FNew"/>
      <sheetName val="B&amp;SNew"/>
      <sheetName val="capex"/>
      <sheetName val="Costs"/>
      <sheetName val="costs hypotesis"/>
      <sheetName val="costs per region"/>
      <sheetName val="Financial hypotesis"/>
      <sheetName val="New Interconnection"/>
      <sheetName val="Interconexion"/>
      <sheetName val="IRU Renfe"/>
      <sheetName val="VAT"/>
      <sheetName val="Resumen"/>
      <sheetName val="Covenants"/>
      <sheetName val="Network"/>
      <sheetName val="Project Return"/>
      <sheetName val="Módulo1"/>
      <sheetName val="SG&amp;A"/>
      <sheetName val="Hypotheses"/>
      <sheetName val="STM Calc."/>
      <sheetName val="Q-hipotesis"/>
      <sheetName val="QAproxSplitup"/>
      <sheetName val="QDistribution"/>
      <sheetName val="Senior Loan&amp;Carmen"/>
      <sheetName val="Financing Sheet"/>
      <sheetName val="Other Services Revenues"/>
      <sheetName val="Drivers"/>
      <sheetName val="Drivers2"/>
      <sheetName val="CBComps"/>
      <sheetName val="TABLES"/>
      <sheetName val="Switch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ONSO_SOCIAL"/>
      <sheetName val="COHERENCE"/>
      <sheetName val="C_IG"/>
      <sheetName val="HELP"/>
      <sheetName val="SUIVI"/>
      <sheetName val="TC_AN"/>
      <sheetName val="TC"/>
      <sheetName val="OUTPUT_03"/>
      <sheetName val="VIERGE IG"/>
      <sheetName val="FILIALES"/>
      <sheetName val="ACTIF"/>
      <sheetName val="PASSIF"/>
      <sheetName val="BIL_2003"/>
      <sheetName val="CR_2003"/>
      <sheetName val="BIL_2004"/>
      <sheetName val="CR_2004"/>
      <sheetName val="Actif_Non_Courant"/>
      <sheetName val="Actif_Courant"/>
      <sheetName val="Passif_HB"/>
      <sheetName val="Passif_Non_Courant"/>
      <sheetName val="Passif_Courant"/>
      <sheetName val="AN_Actif_Non_Cour"/>
      <sheetName val="AN_Actif_Cour"/>
      <sheetName val="AN_Passif_HB"/>
      <sheetName val="AN_Passif_Non_Cour"/>
      <sheetName val="AN_Passif_Cour"/>
      <sheetName val="R01"/>
      <sheetName val="R02"/>
      <sheetName val="A10"/>
      <sheetName val="A11"/>
      <sheetName val="A11-1"/>
      <sheetName val="A11-2"/>
      <sheetName val="A12"/>
      <sheetName val="A12-1"/>
      <sheetName val="A12-2"/>
      <sheetName val="A15"/>
      <sheetName val="A20(SUPPR)"/>
      <sheetName val="A21-1"/>
      <sheetName val="A21-2"/>
      <sheetName val="A21-3"/>
      <sheetName val="A21-4"/>
      <sheetName val="A22-1"/>
      <sheetName val="A22-2"/>
      <sheetName val="A22-3"/>
      <sheetName val="A22-4"/>
      <sheetName val="A35"/>
      <sheetName val="A38(old)"/>
      <sheetName val="A38"/>
      <sheetName val="A39"/>
      <sheetName val="A40"/>
      <sheetName val="A41"/>
      <sheetName val="A50A"/>
      <sheetName val="A50B"/>
      <sheetName val="A51A"/>
      <sheetName val="A51B"/>
      <sheetName val="A60"/>
      <sheetName val="P10(old)"/>
      <sheetName val="A61"/>
      <sheetName val="P10"/>
      <sheetName val="P15"/>
      <sheetName val="P20"/>
      <sheetName val="P40"/>
      <sheetName val="P50"/>
      <sheetName val="P51"/>
      <sheetName val="P51-B"/>
      <sheetName val="P51-C"/>
      <sheetName val="P52"/>
      <sheetName val="P60"/>
      <sheetName val="IG_01"/>
      <sheetName val="IG_02"/>
      <sheetName val="IG_03"/>
      <sheetName val="IG_04"/>
      <sheetName val="IG_05"/>
      <sheetName val="IG_06"/>
      <sheetName val="IG_07"/>
      <sheetName val="IG_08"/>
      <sheetName val="IG_09"/>
      <sheetName val="IG_10"/>
      <sheetName val="IG_11"/>
      <sheetName val="IG_12"/>
      <sheetName val="IG_13"/>
      <sheetName val="IG_14"/>
      <sheetName val="IG_15"/>
      <sheetName val="IG_16"/>
      <sheetName val="IG_17"/>
      <sheetName val="IG_18"/>
      <sheetName val="IG_19"/>
      <sheetName val="IG_20"/>
      <sheetName val="IG_21"/>
      <sheetName val="ELIM_01"/>
      <sheetName val="ELIM_02"/>
      <sheetName val="ELIM_03"/>
      <sheetName val="ELIM_04"/>
      <sheetName val="ELIM_05"/>
      <sheetName val="ELIM_06"/>
      <sheetName val="C_01"/>
      <sheetName val="C_02"/>
      <sheetName val="C_03"/>
      <sheetName val="C_04"/>
      <sheetName val="C_05"/>
      <sheetName val="C_06"/>
      <sheetName val="C_07"/>
      <sheetName val="INFO_01"/>
      <sheetName val="INFO_02"/>
      <sheetName val="INFO_03"/>
      <sheetName val="OUTPUT_02"/>
      <sheetName val="Actif_NC_048"/>
      <sheetName val="Actif_Courant_048"/>
      <sheetName val="Passif_HB_048"/>
      <sheetName val="Passif_NC_048"/>
      <sheetName val="Passif_Courant_048"/>
      <sheetName val="CR"/>
      <sheetName val="R10"/>
      <sheetName val="R11"/>
      <sheetName val="R20"/>
      <sheetName val="R30"/>
      <sheetName val="R32"/>
      <sheetName val="R33"/>
      <sheetName val="R34"/>
      <sheetName val="R38"/>
      <sheetName val="R61"/>
      <sheetName val="R7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1">
          <cell r="E31">
            <v>0</v>
          </cell>
        </row>
        <row r="33">
          <cell r="E33">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28">
          <cell r="H28">
            <v>0</v>
          </cell>
          <cell r="I28">
            <v>0</v>
          </cell>
        </row>
        <row r="31">
          <cell r="H31" t="str">
            <v>ACTUALISAT°</v>
          </cell>
          <cell r="I31" t="str">
            <v>JUSTE VALEUR</v>
          </cell>
        </row>
        <row r="32">
          <cell r="H32" t="str">
            <v>MVTS</v>
          </cell>
          <cell r="I32" t="str">
            <v>MVTS</v>
          </cell>
        </row>
        <row r="33">
          <cell r="H33" t="str">
            <v>055</v>
          </cell>
          <cell r="I33" t="str">
            <v>065</v>
          </cell>
        </row>
        <row r="40">
          <cell r="H40">
            <v>0</v>
          </cell>
          <cell r="I40">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row r="19">
          <cell r="E19">
            <v>0</v>
          </cell>
          <cell r="H19">
            <v>0</v>
          </cell>
        </row>
        <row r="35">
          <cell r="E35">
            <v>0</v>
          </cell>
          <cell r="H35">
            <v>0</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ed"/>
      <sheetName val="Fixed Comparisons"/>
      <sheetName val="Cellular "/>
      <sheetName val="Cellular Comparisons"/>
      <sheetName val="Equip"/>
    </sheetNames>
    <sheetDataSet>
      <sheetData sheetId="0" refreshError="1"/>
      <sheetData sheetId="1" refreshError="1"/>
      <sheetData sheetId="2" refreshError="1">
        <row r="9">
          <cell r="A9">
            <v>252.47694298343779</v>
          </cell>
        </row>
        <row r="29">
          <cell r="A29">
            <v>609</v>
          </cell>
        </row>
        <row r="30">
          <cell r="K30">
            <v>13.127118579802534</v>
          </cell>
        </row>
      </sheetData>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gresos"/>
      <sheetName val="DCF"/>
      <sheetName val="WACC"/>
      <sheetName val="Cover"/>
      <sheetName val="Pliego"/>
      <sheetName val="Output fin"/>
      <sheetName val="Output Val"/>
      <sheetName val="Costes Operativos"/>
      <sheetName val="Inversiones"/>
      <sheetName val="Cuenta"/>
      <sheetName val="Coacqs"/>
      <sheetName val="Flujos de Caja"/>
      <sheetName val="Balance"/>
      <sheetName val="Digital"/>
      <sheetName val="Hispasat"/>
      <sheetName val="Graphs"/>
      <sheetName val="Sensitiv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sheetName val="German-Lines"/>
      <sheetName val="Benelux-Lines"/>
      <sheetName val="Total-Lines"/>
      <sheetName val="Quarterly"/>
      <sheetName val="Service offering"/>
      <sheetName val="Questions"/>
      <sheetName val="Calculations"/>
      <sheetName val="DCF"/>
      <sheetName val="Valuation"/>
      <sheetName val="Web - CoView"/>
      <sheetName val="Web - OpComp"/>
      <sheetName val="Data Page"/>
      <sheetName val="Millennium_Equities(D@QSC)"/>
      <sheetName val="HIPOTESIS FINANCIER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
          <cell r="A3" t="str">
            <v>(EUR '000)</v>
          </cell>
          <cell r="C3">
            <v>1999</v>
          </cell>
          <cell r="D3" t="str">
            <v>2000E</v>
          </cell>
          <cell r="E3" t="str">
            <v>2001E</v>
          </cell>
          <cell r="F3" t="str">
            <v>2002E</v>
          </cell>
          <cell r="G3" t="str">
            <v>2003E</v>
          </cell>
          <cell r="H3" t="str">
            <v>2004E</v>
          </cell>
          <cell r="I3" t="str">
            <v>2005E</v>
          </cell>
          <cell r="J3" t="str">
            <v>2006E</v>
          </cell>
          <cell r="K3" t="str">
            <v>2007E</v>
          </cell>
          <cell r="L3" t="str">
            <v>2008E</v>
          </cell>
          <cell r="M3" t="str">
            <v>2009E</v>
          </cell>
          <cell r="N3" t="str">
            <v>2010E</v>
          </cell>
        </row>
        <row r="4">
          <cell r="A4" t="str">
            <v>Revenues</v>
          </cell>
          <cell r="C4">
            <v>1594.7438388383271</v>
          </cell>
          <cell r="D4">
            <v>7219.5652173913049</v>
          </cell>
          <cell r="E4">
            <v>59903.374102512578</v>
          </cell>
          <cell r="F4">
            <v>135498.51727588908</v>
          </cell>
          <cell r="G4">
            <v>252303.68970615571</v>
          </cell>
          <cell r="H4">
            <v>352459.8024698731</v>
          </cell>
          <cell r="I4">
            <v>436826.08235130145</v>
          </cell>
          <cell r="J4">
            <v>519700.68327929021</v>
          </cell>
          <cell r="K4">
            <v>629977.96192399669</v>
          </cell>
          <cell r="L4">
            <v>738417.53217152914</v>
          </cell>
          <cell r="M4">
            <v>816159.57195128733</v>
          </cell>
          <cell r="N4">
            <v>866273.32127062511</v>
          </cell>
        </row>
        <row r="5">
          <cell r="A5" t="str">
            <v>% growth</v>
          </cell>
          <cell r="D5">
            <v>3.5271002411586769</v>
          </cell>
          <cell r="E5">
            <v>7.2973658799023742</v>
          </cell>
          <cell r="F5">
            <v>1.2619513392352593</v>
          </cell>
          <cell r="G5">
            <v>0.86204022581619211</v>
          </cell>
          <cell r="H5">
            <v>0.39696650049138693</v>
          </cell>
          <cell r="I5">
            <v>0.23936426023685264</v>
          </cell>
          <cell r="J5">
            <v>0.18971990061101685</v>
          </cell>
          <cell r="K5">
            <v>0.21219383039649165</v>
          </cell>
          <cell r="L5">
            <v>0.17213232335358275</v>
          </cell>
          <cell r="M5">
            <v>0.1052819528148734</v>
          </cell>
          <cell r="N5">
            <v>6.1401901100694101E-2</v>
          </cell>
        </row>
        <row r="7">
          <cell r="A7" t="str">
            <v>Cost of goods sold</v>
          </cell>
          <cell r="C7">
            <v>-2667.9619593005418</v>
          </cell>
          <cell r="D7">
            <v>-63532.17391304348</v>
          </cell>
          <cell r="E7">
            <v>-134782.59173065331</v>
          </cell>
          <cell r="F7">
            <v>-128723.59141209463</v>
          </cell>
          <cell r="G7">
            <v>-158951.3245148781</v>
          </cell>
          <cell r="H7">
            <v>-176229.90123493655</v>
          </cell>
          <cell r="I7">
            <v>-218413.04117565072</v>
          </cell>
          <cell r="J7">
            <v>-259850.34163964511</v>
          </cell>
          <cell r="K7">
            <v>-314988.98096199834</v>
          </cell>
          <cell r="L7">
            <v>-369208.76608576457</v>
          </cell>
          <cell r="M7">
            <v>-408079.78597564367</v>
          </cell>
          <cell r="N7">
            <v>-433136.66063531255</v>
          </cell>
        </row>
        <row r="8">
          <cell r="A8" t="str">
            <v>Gross profit</v>
          </cell>
          <cell r="C8">
            <v>-1073.2181204622148</v>
          </cell>
          <cell r="D8">
            <v>-56312.608695652176</v>
          </cell>
          <cell r="E8">
            <v>-74879.21762814073</v>
          </cell>
          <cell r="F8">
            <v>6774.9258637944549</v>
          </cell>
          <cell r="G8">
            <v>93352.365191277611</v>
          </cell>
          <cell r="H8">
            <v>176229.90123493655</v>
          </cell>
          <cell r="I8">
            <v>218413.04117565072</v>
          </cell>
          <cell r="J8">
            <v>259850.34163964511</v>
          </cell>
          <cell r="K8">
            <v>314988.98096199834</v>
          </cell>
          <cell r="L8">
            <v>369208.76608576457</v>
          </cell>
          <cell r="M8">
            <v>408079.78597564367</v>
          </cell>
          <cell r="N8">
            <v>433136.66063531255</v>
          </cell>
        </row>
        <row r="9">
          <cell r="A9" t="str">
            <v>% of revenues</v>
          </cell>
          <cell r="C9">
            <v>-0.67297210644437311</v>
          </cell>
          <cell r="D9">
            <v>-7.8</v>
          </cell>
          <cell r="E9">
            <v>-1.25</v>
          </cell>
          <cell r="F9">
            <v>0.05</v>
          </cell>
          <cell r="G9">
            <v>0.37</v>
          </cell>
          <cell r="H9">
            <v>0.5</v>
          </cell>
          <cell r="I9">
            <v>0.5</v>
          </cell>
          <cell r="J9">
            <v>0.5</v>
          </cell>
          <cell r="K9">
            <v>0.5</v>
          </cell>
          <cell r="L9">
            <v>0.5</v>
          </cell>
          <cell r="M9">
            <v>0.5</v>
          </cell>
          <cell r="N9">
            <v>0.5</v>
          </cell>
        </row>
        <row r="11">
          <cell r="A11" t="str">
            <v>SG&amp;A costs</v>
          </cell>
          <cell r="C11">
            <v>-5630.9438592903161</v>
          </cell>
          <cell r="D11">
            <v>-46205.217391304352</v>
          </cell>
          <cell r="E11">
            <v>-68888.880217889455</v>
          </cell>
          <cell r="F11">
            <v>-67749.258637944542</v>
          </cell>
          <cell r="G11">
            <v>-60552.885529477368</v>
          </cell>
          <cell r="H11">
            <v>-70491.96049397462</v>
          </cell>
          <cell r="I11">
            <v>-87365.216470260289</v>
          </cell>
          <cell r="J11">
            <v>-103940.13665585805</v>
          </cell>
          <cell r="K11">
            <v>-125995.59238479934</v>
          </cell>
          <cell r="L11">
            <v>-147683.50643430583</v>
          </cell>
          <cell r="M11">
            <v>-163231.91439025747</v>
          </cell>
          <cell r="N11">
            <v>-173254.66425412503</v>
          </cell>
        </row>
        <row r="12">
          <cell r="A12" t="str">
            <v>% of revenues</v>
          </cell>
          <cell r="C12">
            <v>3.5309394036550175</v>
          </cell>
          <cell r="D12">
            <v>6.4</v>
          </cell>
          <cell r="E12">
            <v>1.1499999999999999</v>
          </cell>
          <cell r="F12">
            <v>0.5</v>
          </cell>
          <cell r="G12">
            <v>0.24</v>
          </cell>
          <cell r="H12">
            <v>0.2</v>
          </cell>
          <cell r="I12">
            <v>0.2</v>
          </cell>
          <cell r="J12">
            <v>0.2</v>
          </cell>
          <cell r="K12">
            <v>0.2</v>
          </cell>
          <cell r="L12">
            <v>0.2</v>
          </cell>
          <cell r="M12">
            <v>0.2</v>
          </cell>
          <cell r="N12">
            <v>0.2</v>
          </cell>
        </row>
        <row r="14">
          <cell r="A14" t="str">
            <v>EBITDA</v>
          </cell>
          <cell r="C14">
            <v>-6704.1619797525309</v>
          </cell>
          <cell r="D14">
            <v>-102517.82608695653</v>
          </cell>
          <cell r="E14">
            <v>-143768.0978460302</v>
          </cell>
          <cell r="F14">
            <v>-60974.332774150083</v>
          </cell>
          <cell r="G14">
            <v>32799.479661800244</v>
          </cell>
          <cell r="H14">
            <v>105737.94074096193</v>
          </cell>
          <cell r="I14">
            <v>131047.82470539043</v>
          </cell>
          <cell r="J14">
            <v>155910.20498378706</v>
          </cell>
          <cell r="K14">
            <v>188993.38857719902</v>
          </cell>
          <cell r="L14">
            <v>221525.25965145873</v>
          </cell>
          <cell r="M14">
            <v>244847.87158538619</v>
          </cell>
          <cell r="N14">
            <v>259881.99638118752</v>
          </cell>
        </row>
        <row r="15">
          <cell r="A15" t="str">
            <v>EBITDA margin</v>
          </cell>
          <cell r="C15">
            <v>-4.2039115100993909</v>
          </cell>
          <cell r="D15">
            <v>-14.2</v>
          </cell>
          <cell r="E15">
            <v>-2.4000000000000004</v>
          </cell>
          <cell r="F15">
            <v>-0.44999999999999996</v>
          </cell>
          <cell r="G15">
            <v>0.13</v>
          </cell>
          <cell r="H15">
            <v>0.3</v>
          </cell>
          <cell r="I15">
            <v>0.3</v>
          </cell>
          <cell r="J15">
            <v>0.3</v>
          </cell>
          <cell r="K15">
            <v>0.30000000000000004</v>
          </cell>
          <cell r="L15">
            <v>0.3</v>
          </cell>
          <cell r="M15">
            <v>0.3</v>
          </cell>
          <cell r="N15">
            <v>0.3</v>
          </cell>
        </row>
        <row r="17">
          <cell r="A17" t="str">
            <v>Depreciation</v>
          </cell>
          <cell r="C17">
            <v>-487.77993659883424</v>
          </cell>
          <cell r="D17">
            <v>-11458.695652173914</v>
          </cell>
          <cell r="E17">
            <v>-28775.1001984002</v>
          </cell>
          <cell r="F17">
            <v>-43108.768408823118</v>
          </cell>
          <cell r="G17">
            <v>-59153.838416378334</v>
          </cell>
          <cell r="H17">
            <v>-72009.846144611103</v>
          </cell>
          <cell r="I17">
            <v>-72390.438764754799</v>
          </cell>
          <cell r="J17">
            <v>-69421.935702987394</v>
          </cell>
          <cell r="K17">
            <v>-67293.623475221801</v>
          </cell>
          <cell r="L17">
            <v>-60827.321926335273</v>
          </cell>
          <cell r="M17">
            <v>-58853.35392696222</v>
          </cell>
          <cell r="N17">
            <v>-58791.095907197989</v>
          </cell>
        </row>
        <row r="18">
          <cell r="A18" t="str">
            <v>Deferred compensation</v>
          </cell>
          <cell r="C18">
            <v>0</v>
          </cell>
          <cell r="D18">
            <v>-9000</v>
          </cell>
          <cell r="E18">
            <v>-9700</v>
          </cell>
          <cell r="F18">
            <v>-9700</v>
          </cell>
          <cell r="G18">
            <v>-8000</v>
          </cell>
          <cell r="H18">
            <v>0</v>
          </cell>
          <cell r="I18">
            <v>0</v>
          </cell>
          <cell r="J18">
            <v>0</v>
          </cell>
          <cell r="K18">
            <v>0</v>
          </cell>
          <cell r="L18">
            <v>0</v>
          </cell>
          <cell r="M18">
            <v>0</v>
          </cell>
          <cell r="N18">
            <v>0</v>
          </cell>
        </row>
        <row r="19">
          <cell r="A19" t="str">
            <v>EBIT</v>
          </cell>
          <cell r="C19">
            <v>-7191.9419163513649</v>
          </cell>
          <cell r="D19">
            <v>-122976.52173913045</v>
          </cell>
          <cell r="E19">
            <v>-182243.19804443041</v>
          </cell>
          <cell r="F19">
            <v>-113783.1011829732</v>
          </cell>
          <cell r="G19">
            <v>-34354.35875457809</v>
          </cell>
          <cell r="H19">
            <v>33728.094596350827</v>
          </cell>
          <cell r="I19">
            <v>58657.385940635635</v>
          </cell>
          <cell r="J19">
            <v>86488.269280799665</v>
          </cell>
          <cell r="K19">
            <v>121699.76510197722</v>
          </cell>
          <cell r="L19">
            <v>160697.93772512345</v>
          </cell>
          <cell r="M19">
            <v>185994.51765842398</v>
          </cell>
          <cell r="N19">
            <v>201090.90047398955</v>
          </cell>
        </row>
        <row r="20">
          <cell r="A20" t="str">
            <v>EBIT margin</v>
          </cell>
          <cell r="C20">
            <v>-4.5097787752484768</v>
          </cell>
          <cell r="D20">
            <v>-17.033785004516712</v>
          </cell>
          <cell r="E20">
            <v>-3.0422860277045132</v>
          </cell>
          <cell r="F20">
            <v>-0.83973687292311072</v>
          </cell>
          <cell r="G20">
            <v>-0.13616272831597798</v>
          </cell>
          <cell r="H20">
            <v>9.5693450316887627E-2</v>
          </cell>
          <cell r="I20">
            <v>0.13428086900145897</v>
          </cell>
          <cell r="J20">
            <v>0.16641938728089059</v>
          </cell>
          <cell r="K20">
            <v>0.19318098799884623</v>
          </cell>
          <cell r="L20">
            <v>0.21762475933168182</v>
          </cell>
          <cell r="M20">
            <v>0.2278898931660451</v>
          </cell>
          <cell r="N20">
            <v>0.23213331812993515</v>
          </cell>
        </row>
        <row r="22">
          <cell r="A22" t="str">
            <v>Interest income/(expenses)</v>
          </cell>
          <cell r="C22">
            <v>649.35064935064941</v>
          </cell>
          <cell r="D22">
            <v>10107.06708126975</v>
          </cell>
          <cell r="E22">
            <v>5417.1512753981924</v>
          </cell>
          <cell r="F22">
            <v>-6606.9332870092558</v>
          </cell>
          <cell r="G22">
            <v>-14749.211962343965</v>
          </cell>
          <cell r="H22">
            <v>-19446.165173740472</v>
          </cell>
          <cell r="I22">
            <v>-17595.44099759647</v>
          </cell>
          <cell r="J22">
            <v>-11600.750826435687</v>
          </cell>
          <cell r="K22">
            <v>-2206.3453855763428</v>
          </cell>
          <cell r="L22">
            <v>8056.3359464935656</v>
          </cell>
          <cell r="M22">
            <v>16027.911734627054</v>
          </cell>
          <cell r="N22">
            <v>23163.255173704383</v>
          </cell>
        </row>
        <row r="23">
          <cell r="A23" t="str">
            <v>Foreign exchange (loss)/gain</v>
          </cell>
        </row>
        <row r="24">
          <cell r="A24" t="str">
            <v>Profit before tax</v>
          </cell>
          <cell r="C24">
            <v>-6542.5912670007156</v>
          </cell>
          <cell r="D24">
            <v>-112869.4546578607</v>
          </cell>
          <cell r="E24">
            <v>-176826.04676903223</v>
          </cell>
          <cell r="F24">
            <v>-120390.03446998246</v>
          </cell>
          <cell r="G24">
            <v>-49103.570716922055</v>
          </cell>
          <cell r="H24">
            <v>14281.929422610354</v>
          </cell>
          <cell r="I24">
            <v>41061.944943039161</v>
          </cell>
          <cell r="J24">
            <v>74887.518454363977</v>
          </cell>
          <cell r="K24">
            <v>119493.41971640088</v>
          </cell>
          <cell r="L24">
            <v>168754.27367161703</v>
          </cell>
          <cell r="M24">
            <v>202022.42939305105</v>
          </cell>
          <cell r="N24">
            <v>224254.15564769393</v>
          </cell>
        </row>
        <row r="26">
          <cell r="A26" t="str">
            <v>Taxes</v>
          </cell>
          <cell r="C26">
            <v>0</v>
          </cell>
          <cell r="D26">
            <v>0</v>
          </cell>
          <cell r="E26">
            <v>0</v>
          </cell>
          <cell r="F26">
            <v>0</v>
          </cell>
          <cell r="G26">
            <v>0</v>
          </cell>
          <cell r="H26">
            <v>0</v>
          </cell>
          <cell r="I26">
            <v>0</v>
          </cell>
          <cell r="J26">
            <v>0</v>
          </cell>
          <cell r="K26">
            <v>0</v>
          </cell>
          <cell r="L26">
            <v>0</v>
          </cell>
          <cell r="M26">
            <v>-56459.343145549741</v>
          </cell>
          <cell r="N26">
            <v>-78488.954476692874</v>
          </cell>
        </row>
        <row r="28">
          <cell r="A28" t="str">
            <v>Net Income</v>
          </cell>
          <cell r="C28">
            <v>-6542.5912670007156</v>
          </cell>
          <cell r="D28">
            <v>-112869.4546578607</v>
          </cell>
          <cell r="E28">
            <v>-176826.04676903223</v>
          </cell>
          <cell r="F28">
            <v>-120390.03446998246</v>
          </cell>
          <cell r="G28">
            <v>-49103.570716922055</v>
          </cell>
          <cell r="H28">
            <v>14281.929422610354</v>
          </cell>
          <cell r="I28">
            <v>41061.944943039161</v>
          </cell>
          <cell r="J28">
            <v>74887.518454363977</v>
          </cell>
          <cell r="K28">
            <v>119493.41971640088</v>
          </cell>
          <cell r="L28">
            <v>168754.27367161703</v>
          </cell>
          <cell r="M28">
            <v>145563.08624750131</v>
          </cell>
          <cell r="N28">
            <v>145765.20117100107</v>
          </cell>
        </row>
        <row r="33">
          <cell r="A33" t="str">
            <v>(EUR '000)</v>
          </cell>
          <cell r="C33">
            <v>1999</v>
          </cell>
          <cell r="D33" t="str">
            <v>2000E</v>
          </cell>
          <cell r="E33" t="str">
            <v>2001E</v>
          </cell>
          <cell r="F33" t="str">
            <v>2002E</v>
          </cell>
          <cell r="G33" t="str">
            <v>2003E</v>
          </cell>
          <cell r="H33" t="str">
            <v>2004E</v>
          </cell>
          <cell r="I33" t="str">
            <v>2005E</v>
          </cell>
          <cell r="J33" t="str">
            <v>2006E</v>
          </cell>
          <cell r="K33" t="str">
            <v>2007E</v>
          </cell>
          <cell r="L33" t="str">
            <v>2008E</v>
          </cell>
          <cell r="M33" t="str">
            <v>2009E</v>
          </cell>
          <cell r="N33" t="str">
            <v>2010E</v>
          </cell>
        </row>
        <row r="34">
          <cell r="A34" t="str">
            <v>EBITDA</v>
          </cell>
          <cell r="D34">
            <v>-102517.82608695653</v>
          </cell>
          <cell r="E34">
            <v>-143768.0978460302</v>
          </cell>
          <cell r="F34">
            <v>-60974.332774150083</v>
          </cell>
          <cell r="G34">
            <v>32799.479661800244</v>
          </cell>
          <cell r="H34">
            <v>105737.94074096193</v>
          </cell>
          <cell r="I34">
            <v>131047.82470539043</v>
          </cell>
          <cell r="J34">
            <v>155910.20498378706</v>
          </cell>
          <cell r="K34">
            <v>188993.38857719902</v>
          </cell>
          <cell r="L34">
            <v>221525.25965145873</v>
          </cell>
          <cell r="M34">
            <v>244847.87158538619</v>
          </cell>
          <cell r="N34">
            <v>259881.99638118752</v>
          </cell>
        </row>
        <row r="35">
          <cell r="A35" t="str">
            <v>Capital expenditure</v>
          </cell>
          <cell r="D35">
            <v>-114586.95652173914</v>
          </cell>
          <cell r="E35">
            <v>-58577.088940523739</v>
          </cell>
          <cell r="F35">
            <v>-84759.593163705416</v>
          </cell>
          <cell r="G35">
            <v>-75691.106911846713</v>
          </cell>
          <cell r="H35">
            <v>-52868.970370480965</v>
          </cell>
          <cell r="I35">
            <v>-65523.912352695217</v>
          </cell>
          <cell r="J35">
            <v>-77955.102491893529</v>
          </cell>
          <cell r="K35">
            <v>-44098.45733467977</v>
          </cell>
          <cell r="L35">
            <v>-51689.227252007047</v>
          </cell>
          <cell r="M35">
            <v>-57131.17003659012</v>
          </cell>
          <cell r="N35">
            <v>-60639.13248894376</v>
          </cell>
        </row>
        <row r="36">
          <cell r="A36" t="str">
            <v>Acquisitions/disposals</v>
          </cell>
        </row>
        <row r="37">
          <cell r="A37" t="str">
            <v>Change in WC</v>
          </cell>
          <cell r="D37">
            <v>53881.175953796293</v>
          </cell>
          <cell r="E37">
            <v>3527.993392413613</v>
          </cell>
          <cell r="F37">
            <v>-9242.4543365284771</v>
          </cell>
          <cell r="G37">
            <v>-16090.004959574682</v>
          </cell>
          <cell r="H37">
            <v>-45091.110322893699</v>
          </cell>
          <cell r="I37">
            <v>-2610.6357536001306</v>
          </cell>
          <cell r="J37">
            <v>-2677.8205185785337</v>
          </cell>
          <cell r="K37">
            <v>-4666.502621554544</v>
          </cell>
          <cell r="L37">
            <v>-3072.9641743882094</v>
          </cell>
          <cell r="M37">
            <v>-3241.6427840908946</v>
          </cell>
          <cell r="N37">
            <v>-2547.0543799447623</v>
          </cell>
        </row>
        <row r="38">
          <cell r="A38" t="str">
            <v>Taxes</v>
          </cell>
          <cell r="D38">
            <v>0</v>
          </cell>
          <cell r="E38">
            <v>0</v>
          </cell>
          <cell r="F38">
            <v>0</v>
          </cell>
          <cell r="G38">
            <v>0</v>
          </cell>
          <cell r="H38">
            <v>0</v>
          </cell>
          <cell r="I38">
            <v>0</v>
          </cell>
          <cell r="J38">
            <v>0</v>
          </cell>
          <cell r="K38">
            <v>0</v>
          </cell>
          <cell r="L38">
            <v>0</v>
          </cell>
          <cell r="M38">
            <v>-56459.343145549741</v>
          </cell>
          <cell r="N38">
            <v>-78488.954476692874</v>
          </cell>
        </row>
        <row r="39">
          <cell r="A39" t="str">
            <v>CF before financing</v>
          </cell>
          <cell r="D39">
            <v>-163223.60665489937</v>
          </cell>
          <cell r="E39">
            <v>-198817.19339414034</v>
          </cell>
          <cell r="F39">
            <v>-154976.38027438399</v>
          </cell>
          <cell r="G39">
            <v>-58981.632209621152</v>
          </cell>
          <cell r="H39">
            <v>7777.8600475872663</v>
          </cell>
          <cell r="I39">
            <v>62913.276599095087</v>
          </cell>
          <cell r="J39">
            <v>75277.281973314995</v>
          </cell>
          <cell r="K39">
            <v>140228.4286209647</v>
          </cell>
          <cell r="L39">
            <v>166763.06822506347</v>
          </cell>
          <cell r="M39">
            <v>128015.71561915547</v>
          </cell>
          <cell r="N39">
            <v>118206.85503560615</v>
          </cell>
        </row>
        <row r="40">
          <cell r="A40" t="str">
            <v>Net interest expenses</v>
          </cell>
          <cell r="D40">
            <v>10107.06708126975</v>
          </cell>
          <cell r="E40">
            <v>5417.1512753981924</v>
          </cell>
          <cell r="F40">
            <v>-6606.9332870092558</v>
          </cell>
          <cell r="G40">
            <v>-14749.211962343965</v>
          </cell>
          <cell r="H40">
            <v>-19446.165173740472</v>
          </cell>
          <cell r="I40">
            <v>-17595.44099759647</v>
          </cell>
          <cell r="J40">
            <v>-11600.750826435687</v>
          </cell>
          <cell r="K40">
            <v>-2206.3453855763428</v>
          </cell>
          <cell r="L40">
            <v>8056.3359464935656</v>
          </cell>
          <cell r="M40">
            <v>16027.911734627054</v>
          </cell>
          <cell r="N40">
            <v>23163.255173704383</v>
          </cell>
        </row>
        <row r="41">
          <cell r="A41" t="str">
            <v>New Equity</v>
          </cell>
          <cell r="D41">
            <v>283000</v>
          </cell>
          <cell r="E41">
            <v>0</v>
          </cell>
          <cell r="F41">
            <v>0</v>
          </cell>
          <cell r="G41">
            <v>0</v>
          </cell>
          <cell r="H41">
            <v>0</v>
          </cell>
          <cell r="I41">
            <v>0</v>
          </cell>
          <cell r="J41">
            <v>0</v>
          </cell>
          <cell r="K41">
            <v>0</v>
          </cell>
          <cell r="L41">
            <v>0</v>
          </cell>
          <cell r="M41">
            <v>0</v>
          </cell>
          <cell r="N41">
            <v>0</v>
          </cell>
        </row>
        <row r="42">
          <cell r="A42" t="str">
            <v>New Debt</v>
          </cell>
        </row>
        <row r="43">
          <cell r="A43" t="str">
            <v>CF after financing</v>
          </cell>
          <cell r="D43">
            <v>129883.46042637038</v>
          </cell>
          <cell r="E43">
            <v>-193399.8240523272</v>
          </cell>
          <cell r="F43">
            <v>-161583.53406955136</v>
          </cell>
          <cell r="G43">
            <v>-73731.46358731018</v>
          </cell>
          <cell r="H43">
            <v>-11669.436995342921</v>
          </cell>
          <cell r="I43">
            <v>45324.924365787781</v>
          </cell>
          <cell r="J43">
            <v>63676.727671461122</v>
          </cell>
          <cell r="K43">
            <v>138022.94606073148</v>
          </cell>
          <cell r="L43">
            <v>174819.59339595231</v>
          </cell>
          <cell r="M43">
            <v>144043.39500406015</v>
          </cell>
          <cell r="N43">
            <v>141370.03358699477</v>
          </cell>
        </row>
        <row r="46">
          <cell r="A46" t="str">
            <v>(EUR '000)</v>
          </cell>
          <cell r="C46">
            <v>1999</v>
          </cell>
          <cell r="D46" t="str">
            <v>2000E</v>
          </cell>
          <cell r="E46" t="str">
            <v>2001E</v>
          </cell>
          <cell r="F46" t="str">
            <v>2002E</v>
          </cell>
          <cell r="G46" t="str">
            <v>2003E</v>
          </cell>
          <cell r="H46" t="str">
            <v>2004E</v>
          </cell>
          <cell r="I46" t="str">
            <v>2005E</v>
          </cell>
          <cell r="J46" t="str">
            <v>2006E</v>
          </cell>
          <cell r="K46" t="str">
            <v>2007E</v>
          </cell>
          <cell r="L46" t="str">
            <v>2008E</v>
          </cell>
          <cell r="M46" t="str">
            <v>2009E</v>
          </cell>
          <cell r="N46" t="str">
            <v>2010E</v>
          </cell>
        </row>
        <row r="47">
          <cell r="A47" t="str">
            <v>Cash &amp; equivalents</v>
          </cell>
          <cell r="C47">
            <v>137199.61141220984</v>
          </cell>
          <cell r="D47">
            <v>267083.07183858019</v>
          </cell>
          <cell r="E47">
            <v>177083.07183858019</v>
          </cell>
          <cell r="F47">
            <v>17083.071838580188</v>
          </cell>
          <cell r="G47">
            <v>17083.071838580188</v>
          </cell>
          <cell r="H47">
            <v>17083.071838580188</v>
          </cell>
          <cell r="I47">
            <v>17083.071838580188</v>
          </cell>
          <cell r="J47">
            <v>17083.071838580188</v>
          </cell>
          <cell r="K47">
            <v>73717.016844092781</v>
          </cell>
          <cell r="L47">
            <v>248536.42101564983</v>
          </cell>
          <cell r="M47">
            <v>392580.04836943233</v>
          </cell>
          <cell r="N47">
            <v>533950.15857874288</v>
          </cell>
        </row>
        <row r="48">
          <cell r="A48" t="str">
            <v>Current assets</v>
          </cell>
          <cell r="C48">
            <v>16346.252173023826</v>
          </cell>
          <cell r="D48">
            <v>2817.391304347826</v>
          </cell>
          <cell r="E48">
            <v>16412.23742389484</v>
          </cell>
          <cell r="F48">
            <v>20860.638172720512</v>
          </cell>
          <cell r="G48">
            <v>25180.232665117361</v>
          </cell>
          <cell r="H48">
            <v>34585.382184795919</v>
          </cell>
          <cell r="I48">
            <v>43606.547846998226</v>
          </cell>
          <cell r="J48">
            <v>51819.108203870492</v>
          </cell>
          <cell r="K48">
            <v>63239.845123240404</v>
          </cell>
          <cell r="L48">
            <v>73750.541773871169</v>
          </cell>
          <cell r="M48">
            <v>81464.583370031556</v>
          </cell>
          <cell r="N48">
            <v>86489.213869228872</v>
          </cell>
        </row>
        <row r="49">
          <cell r="A49" t="str">
            <v>PP&amp;E</v>
          </cell>
          <cell r="C49">
            <v>7545.2500255649866</v>
          </cell>
          <cell r="D49">
            <v>110673.5108951302</v>
          </cell>
          <cell r="E49">
            <v>140475.49963725373</v>
          </cell>
          <cell r="F49">
            <v>182126.32439213601</v>
          </cell>
          <cell r="G49">
            <v>198663.59288760441</v>
          </cell>
          <cell r="H49">
            <v>179522.71711347427</v>
          </cell>
          <cell r="I49">
            <v>172656.19070141469</v>
          </cell>
          <cell r="J49">
            <v>181189.35749032084</v>
          </cell>
          <cell r="K49">
            <v>157994.19134977879</v>
          </cell>
          <cell r="L49">
            <v>148856.09667545056</v>
          </cell>
          <cell r="M49">
            <v>147133.91278507849</v>
          </cell>
          <cell r="N49">
            <v>148981.94936682424</v>
          </cell>
        </row>
        <row r="52">
          <cell r="A52" t="str">
            <v>Total assets</v>
          </cell>
          <cell r="C52">
            <v>161091.11361079864</v>
          </cell>
          <cell r="D52">
            <v>380573.97403805819</v>
          </cell>
          <cell r="E52">
            <v>333970.80889972876</v>
          </cell>
          <cell r="F52">
            <v>220070.0344034367</v>
          </cell>
          <cell r="G52">
            <v>240926.89739130196</v>
          </cell>
          <cell r="H52">
            <v>231191.17113685037</v>
          </cell>
          <cell r="I52">
            <v>233345.81038699311</v>
          </cell>
          <cell r="J52">
            <v>250091.53753277153</v>
          </cell>
          <cell r="K52">
            <v>294951.05331711198</v>
          </cell>
          <cell r="L52">
            <v>471143.05946497153</v>
          </cell>
          <cell r="M52">
            <v>621178.54452454241</v>
          </cell>
          <cell r="N52">
            <v>769421.32181479596</v>
          </cell>
        </row>
        <row r="54">
          <cell r="A54" t="str">
            <v>Current liabilities</v>
          </cell>
          <cell r="C54">
            <v>30994.9892627058</v>
          </cell>
          <cell r="D54">
            <v>71347.304347826095</v>
          </cell>
          <cell r="E54">
            <v>88470.143859786724</v>
          </cell>
          <cell r="F54">
            <v>83676.090272083922</v>
          </cell>
          <cell r="G54">
            <v>71905.679804906089</v>
          </cell>
          <cell r="H54">
            <v>36219.719001690944</v>
          </cell>
          <cell r="I54">
            <v>42630.248910293121</v>
          </cell>
          <cell r="J54">
            <v>48164.988748586853</v>
          </cell>
          <cell r="K54">
            <v>54919.223046402221</v>
          </cell>
          <cell r="L54">
            <v>62356.955522644777</v>
          </cell>
          <cell r="M54">
            <v>66829.354334714269</v>
          </cell>
          <cell r="N54">
            <v>69306.930453966823</v>
          </cell>
        </row>
        <row r="55">
          <cell r="A55" t="str">
            <v>Debt</v>
          </cell>
          <cell r="C55">
            <v>0</v>
          </cell>
          <cell r="D55">
            <v>0</v>
          </cell>
          <cell r="E55">
            <v>103400.04211874215</v>
          </cell>
          <cell r="F55">
            <v>104983.3556801354</v>
          </cell>
          <cell r="G55">
            <v>178714.19985210052</v>
          </cell>
          <cell r="H55">
            <v>190382.50497825371</v>
          </cell>
          <cell r="I55">
            <v>145064.66937675508</v>
          </cell>
          <cell r="J55">
            <v>81388.138229875767</v>
          </cell>
          <cell r="K55">
            <v>0</v>
          </cell>
          <cell r="L55">
            <v>0</v>
          </cell>
          <cell r="M55">
            <v>0</v>
          </cell>
          <cell r="N55">
            <v>0</v>
          </cell>
        </row>
        <row r="56">
          <cell r="A56" t="str">
            <v>Retained earnings</v>
          </cell>
          <cell r="C56">
            <v>-6531.8539727988546</v>
          </cell>
          <cell r="D56">
            <v>-119401.30863065955</v>
          </cell>
          <cell r="E56">
            <v>-296227.35539969179</v>
          </cell>
          <cell r="F56">
            <v>-416617.38986967423</v>
          </cell>
          <cell r="G56">
            <v>-465720.96058659628</v>
          </cell>
          <cell r="H56">
            <v>-451439.0311639859</v>
          </cell>
          <cell r="I56">
            <v>-410377.08622094675</v>
          </cell>
          <cell r="J56">
            <v>-335489.56776658277</v>
          </cell>
          <cell r="K56">
            <v>-215996.14805018189</v>
          </cell>
          <cell r="L56">
            <v>-47241.874378564855</v>
          </cell>
          <cell r="M56">
            <v>98321.211868936458</v>
          </cell>
          <cell r="N56">
            <v>244086.41303993753</v>
          </cell>
        </row>
        <row r="57">
          <cell r="A57" t="str">
            <v>Share capital &amp; reserves</v>
          </cell>
          <cell r="C57">
            <v>136627.97832089168</v>
          </cell>
          <cell r="D57">
            <v>428627.97832089168</v>
          </cell>
          <cell r="E57">
            <v>438327.97832089168</v>
          </cell>
          <cell r="F57">
            <v>448027.97832089168</v>
          </cell>
          <cell r="G57">
            <v>456027.97832089168</v>
          </cell>
          <cell r="H57">
            <v>456027.97832089168</v>
          </cell>
          <cell r="I57">
            <v>456027.97832089168</v>
          </cell>
          <cell r="J57">
            <v>456027.97832089168</v>
          </cell>
          <cell r="K57">
            <v>456027.97832089168</v>
          </cell>
          <cell r="L57">
            <v>456027.97832089168</v>
          </cell>
          <cell r="M57">
            <v>456027.97832089168</v>
          </cell>
          <cell r="N57">
            <v>456027.97832089168</v>
          </cell>
        </row>
        <row r="58">
          <cell r="A58" t="str">
            <v>Total liabilities</v>
          </cell>
          <cell r="C58">
            <v>161091.11361079861</v>
          </cell>
          <cell r="D58">
            <v>380573.97403805819</v>
          </cell>
          <cell r="E58">
            <v>333970.80889972876</v>
          </cell>
          <cell r="F58">
            <v>220070.03440343676</v>
          </cell>
          <cell r="G58">
            <v>240926.89739130199</v>
          </cell>
          <cell r="H58">
            <v>231191.17113685043</v>
          </cell>
          <cell r="I58">
            <v>233345.81038699314</v>
          </cell>
          <cell r="J58">
            <v>250091.53753277153</v>
          </cell>
          <cell r="K58">
            <v>294951.05331711203</v>
          </cell>
          <cell r="L58">
            <v>471143.05946497159</v>
          </cell>
          <cell r="M58">
            <v>621178.54452454241</v>
          </cell>
          <cell r="N58">
            <v>769421.32181479596</v>
          </cell>
        </row>
        <row r="63">
          <cell r="A63" t="str">
            <v>(EUR '000)</v>
          </cell>
          <cell r="C63">
            <v>1999</v>
          </cell>
          <cell r="D63" t="str">
            <v>2000E</v>
          </cell>
          <cell r="E63" t="str">
            <v>2001E</v>
          </cell>
          <cell r="F63" t="str">
            <v>2002E</v>
          </cell>
          <cell r="G63" t="str">
            <v>2003E</v>
          </cell>
          <cell r="H63" t="str">
            <v>2004E</v>
          </cell>
          <cell r="I63" t="str">
            <v>2005E</v>
          </cell>
          <cell r="J63" t="str">
            <v>2006E</v>
          </cell>
          <cell r="K63" t="str">
            <v>2007E</v>
          </cell>
          <cell r="L63" t="str">
            <v>2008E</v>
          </cell>
          <cell r="M63" t="str">
            <v>2009E</v>
          </cell>
          <cell r="N63" t="str">
            <v>2010E</v>
          </cell>
        </row>
        <row r="64">
          <cell r="A64" t="str">
            <v xml:space="preserve">EBITDA </v>
          </cell>
          <cell r="D64">
            <v>-102517.82608695653</v>
          </cell>
          <cell r="E64">
            <v>-143768.0978460302</v>
          </cell>
          <cell r="F64">
            <v>-60974.332774150083</v>
          </cell>
          <cell r="G64">
            <v>32799.479661800244</v>
          </cell>
          <cell r="H64">
            <v>105737.94074096193</v>
          </cell>
          <cell r="I64">
            <v>131047.82470539043</v>
          </cell>
          <cell r="J64">
            <v>155910.20498378706</v>
          </cell>
          <cell r="K64">
            <v>188993.38857719902</v>
          </cell>
          <cell r="L64">
            <v>221525.25965145873</v>
          </cell>
          <cell r="M64">
            <v>244847.87158538619</v>
          </cell>
          <cell r="N64">
            <v>259881.99638118752</v>
          </cell>
        </row>
        <row r="65">
          <cell r="A65" t="str">
            <v>EBITDA margin %</v>
          </cell>
          <cell r="D65">
            <v>-14.2</v>
          </cell>
          <cell r="E65">
            <v>-2.4000000000000004</v>
          </cell>
          <cell r="F65">
            <v>-0.44999999999999996</v>
          </cell>
          <cell r="G65">
            <v>0.13</v>
          </cell>
          <cell r="H65">
            <v>0.3</v>
          </cell>
          <cell r="I65">
            <v>0.3</v>
          </cell>
          <cell r="J65">
            <v>0.3</v>
          </cell>
          <cell r="K65">
            <v>0.30000000000000004</v>
          </cell>
          <cell r="L65">
            <v>0.3</v>
          </cell>
          <cell r="M65">
            <v>0.3</v>
          </cell>
          <cell r="N65">
            <v>0.3</v>
          </cell>
        </row>
        <row r="67">
          <cell r="A67" t="str">
            <v xml:space="preserve">Adj. for working capital </v>
          </cell>
          <cell r="D67">
            <v>53881.175953796293</v>
          </cell>
          <cell r="E67">
            <v>3527.993392413613</v>
          </cell>
          <cell r="F67">
            <v>-9242.4543365284771</v>
          </cell>
          <cell r="G67">
            <v>-16090.004959574682</v>
          </cell>
          <cell r="H67">
            <v>-45091.110322893699</v>
          </cell>
          <cell r="I67">
            <v>-2610.6357536001306</v>
          </cell>
          <cell r="J67">
            <v>-2677.8205185785337</v>
          </cell>
          <cell r="K67">
            <v>-4666.502621554544</v>
          </cell>
          <cell r="L67">
            <v>-3072.9641743882094</v>
          </cell>
          <cell r="M67">
            <v>-3241.6427840908946</v>
          </cell>
          <cell r="N67">
            <v>-2547.0543799447623</v>
          </cell>
        </row>
        <row r="68">
          <cell r="A68" t="str">
            <v>Taxes on EBIT</v>
          </cell>
          <cell r="D68">
            <v>0</v>
          </cell>
          <cell r="E68">
            <v>0</v>
          </cell>
          <cell r="F68">
            <v>0</v>
          </cell>
          <cell r="G68">
            <v>0</v>
          </cell>
          <cell r="H68" t="e">
            <v>#REF!</v>
          </cell>
          <cell r="I68" t="e">
            <v>#REF!</v>
          </cell>
          <cell r="J68" t="e">
            <v>#REF!</v>
          </cell>
          <cell r="K68" t="e">
            <v>#REF!</v>
          </cell>
          <cell r="L68" t="e">
            <v>#REF!</v>
          </cell>
          <cell r="M68" t="e">
            <v>#REF!</v>
          </cell>
          <cell r="N68" t="e">
            <v>#REF!</v>
          </cell>
        </row>
        <row r="69">
          <cell r="A69" t="str">
            <v>CAPEX</v>
          </cell>
          <cell r="D69">
            <v>-114586.95652173914</v>
          </cell>
          <cell r="E69">
            <v>-58577.088940523739</v>
          </cell>
          <cell r="F69">
            <v>-84759.593163705416</v>
          </cell>
          <cell r="G69">
            <v>-75691.106911846713</v>
          </cell>
          <cell r="H69">
            <v>-52868.970370480965</v>
          </cell>
          <cell r="I69">
            <v>-65523.912352695217</v>
          </cell>
          <cell r="J69">
            <v>-77955.102491893529</v>
          </cell>
          <cell r="K69">
            <v>-44098.45733467977</v>
          </cell>
          <cell r="L69">
            <v>-51689.227252007047</v>
          </cell>
          <cell r="M69">
            <v>-57131.17003659012</v>
          </cell>
          <cell r="N69">
            <v>-60639.13248894376</v>
          </cell>
        </row>
        <row r="70">
          <cell r="A70" t="str">
            <v>Capex as % revenue</v>
          </cell>
          <cell r="D70">
            <v>15.871725383920506</v>
          </cell>
          <cell r="E70">
            <v>0.97785959168645209</v>
          </cell>
          <cell r="F70">
            <v>0.62553889789897898</v>
          </cell>
          <cell r="G70">
            <v>0.3</v>
          </cell>
          <cell r="H70">
            <v>0.15</v>
          </cell>
          <cell r="I70">
            <v>0.15</v>
          </cell>
          <cell r="J70">
            <v>0.15</v>
          </cell>
          <cell r="K70">
            <v>7.0000000000000007E-2</v>
          </cell>
          <cell r="L70">
            <v>7.0000000000000007E-2</v>
          </cell>
          <cell r="M70">
            <v>7.0000000000000007E-2</v>
          </cell>
          <cell r="N70">
            <v>7.0000000000000007E-2</v>
          </cell>
        </row>
        <row r="71">
          <cell r="A71" t="str">
            <v>Acquisitions</v>
          </cell>
          <cell r="D71">
            <v>0</v>
          </cell>
          <cell r="E71">
            <v>0</v>
          </cell>
          <cell r="F71">
            <v>0</v>
          </cell>
          <cell r="G71">
            <v>0</v>
          </cell>
          <cell r="H71">
            <v>0</v>
          </cell>
          <cell r="I71">
            <v>0</v>
          </cell>
          <cell r="J71">
            <v>0</v>
          </cell>
          <cell r="K71">
            <v>0</v>
          </cell>
          <cell r="L71">
            <v>0</v>
          </cell>
          <cell r="M71">
            <v>0</v>
          </cell>
          <cell r="N71">
            <v>0</v>
          </cell>
        </row>
        <row r="72">
          <cell r="A72" t="str">
            <v>FCF</v>
          </cell>
          <cell r="D72">
            <v>-163223.60665489937</v>
          </cell>
          <cell r="E72">
            <v>-198816.79102244234</v>
          </cell>
          <cell r="F72">
            <v>-154976.95615850785</v>
          </cell>
          <cell r="G72">
            <v>-58983.170132353051</v>
          </cell>
          <cell r="H72" t="e">
            <v>#REF!</v>
          </cell>
          <cell r="I72" t="e">
            <v>#REF!</v>
          </cell>
          <cell r="J72" t="e">
            <v>#REF!</v>
          </cell>
          <cell r="K72" t="e">
            <v>#REF!</v>
          </cell>
          <cell r="L72" t="e">
            <v>#REF!</v>
          </cell>
          <cell r="M72" t="e">
            <v>#REF!</v>
          </cell>
          <cell r="N72" t="e">
            <v>#REF!</v>
          </cell>
        </row>
        <row r="73">
          <cell r="A73" t="str">
            <v>% growth</v>
          </cell>
          <cell r="D73">
            <v>0</v>
          </cell>
          <cell r="E73">
            <v>0.21806394979861565</v>
          </cell>
          <cell r="F73">
            <v>-0.22050368401221143</v>
          </cell>
          <cell r="G73">
            <v>-0.61940683573610744</v>
          </cell>
          <cell r="H73" t="e">
            <v>#REF!</v>
          </cell>
          <cell r="I73" t="e">
            <v>#REF!</v>
          </cell>
          <cell r="J73" t="e">
            <v>#REF!</v>
          </cell>
          <cell r="K73" t="e">
            <v>#REF!</v>
          </cell>
          <cell r="L73" t="e">
            <v>#REF!</v>
          </cell>
          <cell r="M73" t="e">
            <v>#REF!</v>
          </cell>
          <cell r="N73" t="e">
            <v>#REF!</v>
          </cell>
        </row>
        <row r="75">
          <cell r="A75" t="str">
            <v>Valuation</v>
          </cell>
        </row>
        <row r="77">
          <cell r="A77" t="str">
            <v>Discount rate</v>
          </cell>
          <cell r="B77">
            <v>8.5000000000000006E-2</v>
          </cell>
        </row>
        <row r="78">
          <cell r="A78" t="str">
            <v>Perpetual growth rate</v>
          </cell>
          <cell r="B78">
            <v>0.04</v>
          </cell>
        </row>
        <row r="80">
          <cell r="A80" t="str">
            <v>Sum 2001-2010</v>
          </cell>
          <cell r="B80" t="e">
            <v>#REF!</v>
          </cell>
        </row>
        <row r="81">
          <cell r="A81" t="str">
            <v>Terminal value 2010</v>
          </cell>
          <cell r="B81" t="e">
            <v>#REF!</v>
          </cell>
        </row>
        <row r="82">
          <cell r="A82" t="str">
            <v>Enterprise value</v>
          </cell>
          <cell r="B82" t="e">
            <v>#REF!</v>
          </cell>
        </row>
        <row r="84">
          <cell r="A84" t="str">
            <v>Number of shares ('000)</v>
          </cell>
          <cell r="B84">
            <v>107400</v>
          </cell>
        </row>
        <row r="86">
          <cell r="A86" t="str">
            <v>Terminal value/EBITDA</v>
          </cell>
          <cell r="B86" t="e">
            <v>#REF!</v>
          </cell>
        </row>
        <row r="88">
          <cell r="A88" t="str">
            <v>Sum of parts</v>
          </cell>
          <cell r="D88" t="str">
            <v>EUR mn</v>
          </cell>
          <cell r="E88" t="str">
            <v>EUR/share</v>
          </cell>
          <cell r="F88" t="str">
            <v>% EV</v>
          </cell>
          <cell r="G88" t="str">
            <v>% FV</v>
          </cell>
          <cell r="H88" t="str">
            <v>FV/Rev. '01</v>
          </cell>
          <cell r="I88" t="str">
            <v>FV/Rev. '02</v>
          </cell>
          <cell r="J88" t="str">
            <v>Valuation method</v>
          </cell>
        </row>
        <row r="89">
          <cell r="A89" t="str">
            <v>Germany (100% owned)</v>
          </cell>
          <cell r="D89" t="e">
            <v>#REF!</v>
          </cell>
          <cell r="E89" t="e">
            <v>#REF!</v>
          </cell>
          <cell r="F89" t="e">
            <v>#REF!</v>
          </cell>
          <cell r="G89" t="e">
            <v>#REF!</v>
          </cell>
          <cell r="H89" t="e">
            <v>#REF!</v>
          </cell>
          <cell r="I89" t="e">
            <v>#REF!</v>
          </cell>
          <cell r="J89" t="str">
            <v>Discounted cash flow</v>
          </cell>
        </row>
        <row r="90">
          <cell r="A90" t="str">
            <v>Benelux (50% owned)*</v>
          </cell>
          <cell r="D90" t="e">
            <v>#REF!</v>
          </cell>
          <cell r="E90" t="e">
            <v>#REF!</v>
          </cell>
          <cell r="F90" t="e">
            <v>#REF!</v>
          </cell>
          <cell r="G90" t="e">
            <v>#REF!</v>
          </cell>
          <cell r="H90" t="str">
            <v>n/a</v>
          </cell>
          <cell r="I90" t="e">
            <v>#REF!</v>
          </cell>
          <cell r="J90" t="str">
            <v>Proportionate value based on rev. projections</v>
          </cell>
        </row>
        <row r="91">
          <cell r="A91" t="str">
            <v>Firm value</v>
          </cell>
          <cell r="D91" t="e">
            <v>#REF!</v>
          </cell>
          <cell r="E91" t="e">
            <v>#REF!</v>
          </cell>
          <cell r="F91" t="e">
            <v>#REF!</v>
          </cell>
          <cell r="G91" t="e">
            <v>#REF!</v>
          </cell>
        </row>
        <row r="92">
          <cell r="A92" t="str">
            <v>Group net (debt)/cash</v>
          </cell>
          <cell r="D92">
            <v>267.08307183858017</v>
          </cell>
          <cell r="E92">
            <v>2.4868070003592191</v>
          </cell>
          <cell r="F92" t="e">
            <v>#REF!</v>
          </cell>
        </row>
        <row r="93">
          <cell r="A93" t="str">
            <v>Equity value</v>
          </cell>
          <cell r="D93" t="e">
            <v>#REF!</v>
          </cell>
          <cell r="E93" t="e">
            <v>#REF!</v>
          </cell>
          <cell r="F93" t="e">
            <v>#REF!</v>
          </cell>
        </row>
        <row r="94">
          <cell r="A94" t="str">
            <v>Current market value</v>
          </cell>
          <cell r="D94">
            <v>1256.58</v>
          </cell>
          <cell r="E94">
            <v>11.7</v>
          </cell>
        </row>
        <row r="95">
          <cell r="A95" t="str">
            <v>Implied upside/(downside) to market value</v>
          </cell>
          <cell r="E95" t="e">
            <v>#REF!</v>
          </cell>
        </row>
        <row r="97">
          <cell r="A97" t="str">
            <v>* JV with Stirlink B.V.  Not consolidated</v>
          </cell>
          <cell r="F97" t="str">
            <v>Sensivities - WACC and perpetual growth rate</v>
          </cell>
        </row>
        <row r="107">
          <cell r="A107" t="str">
            <v>Operational Statistics</v>
          </cell>
          <cell r="C107">
            <v>1999</v>
          </cell>
          <cell r="D107" t="str">
            <v>2000E</v>
          </cell>
          <cell r="E107" t="str">
            <v>2001E</v>
          </cell>
          <cell r="F107" t="str">
            <v>2002E</v>
          </cell>
          <cell r="G107" t="str">
            <v>2003E</v>
          </cell>
          <cell r="H107" t="str">
            <v>2004E</v>
          </cell>
          <cell r="I107" t="str">
            <v>2005E</v>
          </cell>
          <cell r="J107" t="str">
            <v>2006E</v>
          </cell>
          <cell r="K107" t="str">
            <v>2007E</v>
          </cell>
          <cell r="L107" t="str">
            <v>2008E</v>
          </cell>
          <cell r="M107" t="str">
            <v>2009E</v>
          </cell>
          <cell r="N107" t="str">
            <v>2010E</v>
          </cell>
        </row>
        <row r="108">
          <cell r="A108" t="str">
            <v>Roll-out of central offices</v>
          </cell>
        </row>
        <row r="109">
          <cell r="A109" t="str">
            <v>Germany</v>
          </cell>
          <cell r="C109">
            <v>300</v>
          </cell>
          <cell r="D109">
            <v>900</v>
          </cell>
          <cell r="E109">
            <v>1080</v>
          </cell>
          <cell r="F109">
            <v>1150</v>
          </cell>
          <cell r="G109">
            <v>1220</v>
          </cell>
          <cell r="H109">
            <v>1290</v>
          </cell>
          <cell r="I109">
            <v>1360</v>
          </cell>
          <cell r="J109">
            <v>1430</v>
          </cell>
          <cell r="K109">
            <v>1500</v>
          </cell>
          <cell r="L109">
            <v>1500</v>
          </cell>
          <cell r="M109">
            <v>1500</v>
          </cell>
          <cell r="N109">
            <v>1500</v>
          </cell>
        </row>
        <row r="110">
          <cell r="A110" t="str">
            <v>Netherlands</v>
          </cell>
          <cell r="C110">
            <v>0</v>
          </cell>
          <cell r="D110">
            <v>150</v>
          </cell>
          <cell r="E110">
            <v>300</v>
          </cell>
          <cell r="F110">
            <v>330</v>
          </cell>
          <cell r="G110">
            <v>360</v>
          </cell>
          <cell r="H110">
            <v>400</v>
          </cell>
          <cell r="I110">
            <v>400</v>
          </cell>
          <cell r="J110">
            <v>400</v>
          </cell>
          <cell r="K110">
            <v>400</v>
          </cell>
          <cell r="L110">
            <v>400</v>
          </cell>
          <cell r="M110">
            <v>400</v>
          </cell>
          <cell r="N110">
            <v>400</v>
          </cell>
        </row>
        <row r="111">
          <cell r="A111" t="str">
            <v>Total</v>
          </cell>
          <cell r="C111">
            <v>300</v>
          </cell>
          <cell r="D111">
            <v>1050</v>
          </cell>
          <cell r="E111">
            <v>1380</v>
          </cell>
          <cell r="F111">
            <v>1480</v>
          </cell>
          <cell r="G111">
            <v>1580</v>
          </cell>
          <cell r="H111">
            <v>1690</v>
          </cell>
          <cell r="I111">
            <v>1760</v>
          </cell>
          <cell r="J111">
            <v>1830</v>
          </cell>
          <cell r="K111">
            <v>1900</v>
          </cell>
          <cell r="L111">
            <v>1900</v>
          </cell>
          <cell r="M111">
            <v>1900</v>
          </cell>
          <cell r="N111">
            <v>1900</v>
          </cell>
        </row>
        <row r="113">
          <cell r="A113" t="str">
            <v>DSL lines</v>
          </cell>
        </row>
        <row r="114">
          <cell r="A114" t="str">
            <v>Germany</v>
          </cell>
          <cell r="D114">
            <v>9000</v>
          </cell>
          <cell r="E114">
            <v>40623.066523846574</v>
          </cell>
          <cell r="F114">
            <v>140202.5744924231</v>
          </cell>
          <cell r="G114">
            <v>279042.03794616688</v>
          </cell>
          <cell r="H114">
            <v>414095.59436279372</v>
          </cell>
          <cell r="I114">
            <v>567226.52156308969</v>
          </cell>
          <cell r="J114">
            <v>698199.37648618245</v>
          </cell>
          <cell r="K114">
            <v>872755.96497034119</v>
          </cell>
          <cell r="L114">
            <v>1054478.4157762332</v>
          </cell>
          <cell r="M114">
            <v>1232610.8462658753</v>
          </cell>
          <cell r="N114">
            <v>1347845.0549277773</v>
          </cell>
        </row>
        <row r="115">
          <cell r="A115" t="str">
            <v>Netherlands</v>
          </cell>
          <cell r="D115">
            <v>0</v>
          </cell>
          <cell r="E115">
            <v>0</v>
          </cell>
          <cell r="F115">
            <v>10136.779430571794</v>
          </cell>
          <cell r="G115">
            <v>33119.213144000329</v>
          </cell>
          <cell r="H115">
            <v>66905.123611635106</v>
          </cell>
          <cell r="I115">
            <v>98452.954868502507</v>
          </cell>
          <cell r="J115">
            <v>133325.28502045435</v>
          </cell>
          <cell r="K115">
            <v>162752.40674521172</v>
          </cell>
          <cell r="L115">
            <v>202291.33664808518</v>
          </cell>
          <cell r="M115">
            <v>243443.54065920447</v>
          </cell>
          <cell r="N115">
            <v>283278.49632893258</v>
          </cell>
        </row>
        <row r="116">
          <cell r="A116" t="str">
            <v>Total</v>
          </cell>
          <cell r="D116">
            <v>9000</v>
          </cell>
          <cell r="E116">
            <v>40623.066523846574</v>
          </cell>
          <cell r="F116">
            <v>150339.35392299489</v>
          </cell>
          <cell r="G116">
            <v>312161.25109016721</v>
          </cell>
          <cell r="H116">
            <v>481000.71797442884</v>
          </cell>
          <cell r="I116">
            <v>665679.47643159213</v>
          </cell>
          <cell r="J116">
            <v>831524.66150663677</v>
          </cell>
          <cell r="K116">
            <v>1035508.3717155529</v>
          </cell>
          <cell r="L116">
            <v>1256769.7524243183</v>
          </cell>
          <cell r="M116">
            <v>1476054.3869250799</v>
          </cell>
          <cell r="N116">
            <v>1631123.5512567097</v>
          </cell>
        </row>
        <row r="118">
          <cell r="A118" t="str">
            <v>ARPU/month (EUR)</v>
          </cell>
        </row>
        <row r="119">
          <cell r="A119" t="str">
            <v>Business</v>
          </cell>
          <cell r="C119" t="str">
            <v>n/a</v>
          </cell>
          <cell r="D119">
            <v>260.86956521739131</v>
          </cell>
          <cell r="E119">
            <v>212.5</v>
          </cell>
          <cell r="F119">
            <v>180.625</v>
          </cell>
          <cell r="G119">
            <v>162.5625</v>
          </cell>
          <cell r="H119">
            <v>151.18312499999999</v>
          </cell>
          <cell r="I119">
            <v>143.62396874999999</v>
          </cell>
          <cell r="J119">
            <v>143.62396874999999</v>
          </cell>
          <cell r="K119">
            <v>143.62396874999999</v>
          </cell>
          <cell r="L119">
            <v>143.62396874999999</v>
          </cell>
          <cell r="M119">
            <v>143.62396874999999</v>
          </cell>
          <cell r="N119">
            <v>143.62396874999999</v>
          </cell>
        </row>
        <row r="120">
          <cell r="A120" t="str">
            <v>RLAN</v>
          </cell>
          <cell r="C120" t="str">
            <v>n/a</v>
          </cell>
          <cell r="D120">
            <v>69.565217391304358</v>
          </cell>
          <cell r="E120">
            <v>60</v>
          </cell>
          <cell r="F120">
            <v>51</v>
          </cell>
          <cell r="G120">
            <v>45.9</v>
          </cell>
          <cell r="H120">
            <v>42.686999999999998</v>
          </cell>
          <cell r="I120">
            <v>40.55265</v>
          </cell>
          <cell r="J120">
            <v>38.525017499999997</v>
          </cell>
          <cell r="K120">
            <v>38.525017499999997</v>
          </cell>
          <cell r="L120">
            <v>38.525017499999997</v>
          </cell>
          <cell r="M120">
            <v>38.525017499999997</v>
          </cell>
          <cell r="N120">
            <v>38.525017499999997</v>
          </cell>
        </row>
        <row r="121">
          <cell r="A121" t="str">
            <v>Residential</v>
          </cell>
          <cell r="C121" t="str">
            <v>n/a</v>
          </cell>
          <cell r="D121">
            <v>47.10144927536232</v>
          </cell>
          <cell r="E121">
            <v>40.625</v>
          </cell>
          <cell r="F121">
            <v>34.53125</v>
          </cell>
          <cell r="G121">
            <v>31.078125</v>
          </cell>
          <cell r="H121">
            <v>28.90265625</v>
          </cell>
          <cell r="I121">
            <v>27.457523437500001</v>
          </cell>
          <cell r="J121">
            <v>26.084647265624998</v>
          </cell>
          <cell r="K121">
            <v>26.084647265624998</v>
          </cell>
          <cell r="L121">
            <v>26.084647265624998</v>
          </cell>
          <cell r="M121">
            <v>26.084647265624998</v>
          </cell>
          <cell r="N121">
            <v>26.084647265624998</v>
          </cell>
        </row>
        <row r="124">
          <cell r="A124" t="str">
            <v>Valuation drivers**</v>
          </cell>
          <cell r="C124">
            <v>1999</v>
          </cell>
          <cell r="D124" t="str">
            <v>2000E</v>
          </cell>
          <cell r="E124" t="str">
            <v>2001E</v>
          </cell>
          <cell r="F124" t="str">
            <v>2002E</v>
          </cell>
          <cell r="G124" t="str">
            <v>2003E</v>
          </cell>
          <cell r="H124" t="str">
            <v>2004E</v>
          </cell>
          <cell r="I124" t="str">
            <v>2005E</v>
          </cell>
          <cell r="J124" t="str">
            <v>2006E</v>
          </cell>
          <cell r="K124" t="str">
            <v>2007E</v>
          </cell>
          <cell r="L124" t="str">
            <v>2008E</v>
          </cell>
          <cell r="M124" t="str">
            <v>2009E</v>
          </cell>
          <cell r="N124" t="str">
            <v>2010E</v>
          </cell>
        </row>
        <row r="125">
          <cell r="A125" t="str">
            <v>Valuation drivers**</v>
          </cell>
        </row>
        <row r="126">
          <cell r="A126" t="str">
            <v>Customers</v>
          </cell>
          <cell r="C126" t="str">
            <v>n/a</v>
          </cell>
          <cell r="D126">
            <v>9000</v>
          </cell>
          <cell r="E126">
            <v>40623.066523846574</v>
          </cell>
          <cell r="F126">
            <v>140202.5744924231</v>
          </cell>
          <cell r="G126">
            <v>279042.03794616688</v>
          </cell>
          <cell r="H126">
            <v>414095.59436279372</v>
          </cell>
          <cell r="I126">
            <v>567226.52156308969</v>
          </cell>
          <cell r="J126">
            <v>698199.37648618245</v>
          </cell>
          <cell r="K126">
            <v>872755.96497034119</v>
          </cell>
          <cell r="L126">
            <v>1054478.4157762332</v>
          </cell>
          <cell r="M126">
            <v>1232610.8462658753</v>
          </cell>
          <cell r="N126">
            <v>1347845.0549277773</v>
          </cell>
        </row>
        <row r="127">
          <cell r="A127" t="str">
            <v>ARPU/month (EUR)</v>
          </cell>
          <cell r="C127" t="str">
            <v>n/a</v>
          </cell>
          <cell r="D127">
            <v>260.86956521739131</v>
          </cell>
          <cell r="E127">
            <v>176.62546177957219</v>
          </cell>
          <cell r="F127">
            <v>111.75309342670164</v>
          </cell>
          <cell r="G127">
            <v>91.333024176383049</v>
          </cell>
          <cell r="H127">
            <v>80.150640297816878</v>
          </cell>
          <cell r="I127">
            <v>72.192641565008344</v>
          </cell>
          <cell r="J127">
            <v>67.198748590695743</v>
          </cell>
          <cell r="K127">
            <v>65.732465984832899</v>
          </cell>
          <cell r="L127">
            <v>62.828183043517726</v>
          </cell>
          <cell r="M127">
            <v>58.784740973272143</v>
          </cell>
          <cell r="N127">
            <v>55.525354315773107</v>
          </cell>
        </row>
        <row r="128">
          <cell r="A128" t="str">
            <v>Revenues (EUR '000)</v>
          </cell>
          <cell r="C128">
            <v>1594.7438388383271</v>
          </cell>
          <cell r="D128">
            <v>7219.5652173913049</v>
          </cell>
          <cell r="E128">
            <v>59903.374102512578</v>
          </cell>
          <cell r="F128">
            <v>135498.51727588908</v>
          </cell>
          <cell r="G128">
            <v>252303.68970615571</v>
          </cell>
          <cell r="H128">
            <v>352459.8024698731</v>
          </cell>
          <cell r="I128">
            <v>436826.08235130145</v>
          </cell>
          <cell r="J128">
            <v>519700.68327929021</v>
          </cell>
          <cell r="K128">
            <v>629977.96192399669</v>
          </cell>
          <cell r="L128">
            <v>738417.53217152914</v>
          </cell>
          <cell r="M128">
            <v>816159.57195128733</v>
          </cell>
          <cell r="N128">
            <v>866273.32127062511</v>
          </cell>
        </row>
        <row r="129">
          <cell r="A129" t="str">
            <v>% data revenue</v>
          </cell>
          <cell r="C129" t="str">
            <v>n/a</v>
          </cell>
          <cell r="D129" t="str">
            <v>n/a</v>
          </cell>
          <cell r="E129" t="str">
            <v>n/a</v>
          </cell>
          <cell r="F129" t="str">
            <v>n/a</v>
          </cell>
          <cell r="G129" t="str">
            <v>n/a</v>
          </cell>
          <cell r="H129" t="str">
            <v>n/a</v>
          </cell>
          <cell r="I129" t="str">
            <v>n/a</v>
          </cell>
          <cell r="J129" t="str">
            <v>n/a</v>
          </cell>
          <cell r="K129" t="str">
            <v>n/a</v>
          </cell>
          <cell r="L129" t="str">
            <v>n/a</v>
          </cell>
          <cell r="M129" t="str">
            <v>n/a</v>
          </cell>
          <cell r="N129" t="str">
            <v>n/a</v>
          </cell>
        </row>
        <row r="130">
          <cell r="A130" t="str">
            <v>Implied market share*</v>
          </cell>
          <cell r="C130" t="str">
            <v>n/a</v>
          </cell>
          <cell r="D130">
            <v>3.5075119180604179E-2</v>
          </cell>
          <cell r="E130">
            <v>7.1692377139785782E-2</v>
          </cell>
          <cell r="F130">
            <v>0.13273253157144166</v>
          </cell>
          <cell r="G130">
            <v>0.12170225683199004</v>
          </cell>
          <cell r="H130">
            <v>9.4212856620460153E-2</v>
          </cell>
          <cell r="I130">
            <v>8.6155582858862337E-2</v>
          </cell>
          <cell r="J130">
            <v>8.0978304199790657E-2</v>
          </cell>
          <cell r="K130">
            <v>8.456581524542664E-2</v>
          </cell>
          <cell r="L130">
            <v>8.811350838337044E-2</v>
          </cell>
          <cell r="M130">
            <v>9.0251213431861599E-2</v>
          </cell>
          <cell r="N130">
            <v>9.3047040097232109E-2</v>
          </cell>
        </row>
        <row r="131">
          <cell r="A131" t="str">
            <v>Gross PP&amp;E</v>
          </cell>
        </row>
        <row r="132">
          <cell r="A132" t="str">
            <v>* note:  relates to market share of DSL lines in Germany</v>
          </cell>
        </row>
        <row r="133">
          <cell r="A133" t="str">
            <v>* Germany only</v>
          </cell>
        </row>
        <row r="135">
          <cell r="A135" t="str">
            <v>Gross margin</v>
          </cell>
          <cell r="C135">
            <v>-0.67297210644437311</v>
          </cell>
          <cell r="D135">
            <v>-7.8</v>
          </cell>
          <cell r="E135">
            <v>-1.25</v>
          </cell>
          <cell r="F135">
            <v>0.05</v>
          </cell>
          <cell r="G135">
            <v>0.37</v>
          </cell>
          <cell r="H135">
            <v>0.5</v>
          </cell>
          <cell r="I135">
            <v>0.5</v>
          </cell>
          <cell r="J135">
            <v>0.5</v>
          </cell>
          <cell r="K135">
            <v>0.5</v>
          </cell>
          <cell r="L135">
            <v>0.5</v>
          </cell>
          <cell r="M135">
            <v>0.5</v>
          </cell>
          <cell r="N135">
            <v>0.5</v>
          </cell>
        </row>
        <row r="136">
          <cell r="A136" t="str">
            <v>SG&amp;A as % revenue</v>
          </cell>
          <cell r="C136">
            <v>3.5309394036550175</v>
          </cell>
          <cell r="D136">
            <v>6.4</v>
          </cell>
          <cell r="E136">
            <v>1.1499999999999999</v>
          </cell>
          <cell r="F136">
            <v>0.5</v>
          </cell>
          <cell r="G136">
            <v>0.24</v>
          </cell>
          <cell r="H136">
            <v>0.2</v>
          </cell>
          <cell r="I136">
            <v>0.2</v>
          </cell>
          <cell r="J136">
            <v>0.2</v>
          </cell>
          <cell r="K136">
            <v>0.2</v>
          </cell>
          <cell r="L136">
            <v>0.2</v>
          </cell>
          <cell r="M136">
            <v>0.2</v>
          </cell>
          <cell r="N136">
            <v>0.2</v>
          </cell>
        </row>
        <row r="137">
          <cell r="A137" t="str">
            <v>EBITDA margin</v>
          </cell>
          <cell r="C137">
            <v>-4.2039115100993909</v>
          </cell>
          <cell r="D137">
            <v>-14.2</v>
          </cell>
          <cell r="E137">
            <v>-2.4000000000000004</v>
          </cell>
          <cell r="F137">
            <v>-0.44999999999999996</v>
          </cell>
          <cell r="G137">
            <v>0.13</v>
          </cell>
          <cell r="H137">
            <v>0.3</v>
          </cell>
          <cell r="I137">
            <v>0.3</v>
          </cell>
          <cell r="J137">
            <v>0.3</v>
          </cell>
          <cell r="K137">
            <v>0.30000000000000004</v>
          </cell>
          <cell r="L137">
            <v>0.3</v>
          </cell>
          <cell r="M137">
            <v>0.3</v>
          </cell>
          <cell r="N137">
            <v>0.3</v>
          </cell>
        </row>
        <row r="138">
          <cell r="A138" t="str">
            <v>EBIT margin</v>
          </cell>
          <cell r="C138">
            <v>-4.5097787752484768</v>
          </cell>
          <cell r="D138">
            <v>-17.033785004516712</v>
          </cell>
          <cell r="E138">
            <v>-3.0422860277045132</v>
          </cell>
          <cell r="F138">
            <v>-0.83973687292311072</v>
          </cell>
          <cell r="G138">
            <v>-0.13616272831597798</v>
          </cell>
          <cell r="H138">
            <v>9.5693450316887627E-2</v>
          </cell>
          <cell r="I138">
            <v>0.13428086900145897</v>
          </cell>
          <cell r="J138">
            <v>0.16641938728089059</v>
          </cell>
          <cell r="K138">
            <v>0.19318098799884623</v>
          </cell>
          <cell r="L138">
            <v>0.21762475933168182</v>
          </cell>
          <cell r="M138">
            <v>0.2278898931660451</v>
          </cell>
          <cell r="N138">
            <v>0.23213331812993515</v>
          </cell>
        </row>
        <row r="139">
          <cell r="A139" t="str">
            <v>Capex as % revenue</v>
          </cell>
          <cell r="C139">
            <v>0</v>
          </cell>
          <cell r="D139">
            <v>15.871725383920506</v>
          </cell>
          <cell r="E139">
            <v>0.97785959168645209</v>
          </cell>
          <cell r="F139">
            <v>0.62553889789897898</v>
          </cell>
          <cell r="G139">
            <v>0.3</v>
          </cell>
          <cell r="H139">
            <v>0.15</v>
          </cell>
          <cell r="I139">
            <v>0.15</v>
          </cell>
          <cell r="J139">
            <v>0.15</v>
          </cell>
          <cell r="K139">
            <v>7.0000000000000007E-2</v>
          </cell>
          <cell r="L139">
            <v>7.0000000000000007E-2</v>
          </cell>
          <cell r="M139">
            <v>7.0000000000000007E-2</v>
          </cell>
          <cell r="N139">
            <v>7.0000000000000007E-2</v>
          </cell>
        </row>
        <row r="140">
          <cell r="A140" t="str">
            <v>Net Debt/ (cash)</v>
          </cell>
          <cell r="C140">
            <v>0</v>
          </cell>
          <cell r="D140">
            <v>-267083.07183858019</v>
          </cell>
          <cell r="E140">
            <v>-73683.029719838043</v>
          </cell>
          <cell r="F140">
            <v>87900.283841555211</v>
          </cell>
          <cell r="G140">
            <v>161631.12801352033</v>
          </cell>
          <cell r="H140">
            <v>173299.43313967352</v>
          </cell>
          <cell r="I140">
            <v>127981.59753817489</v>
          </cell>
          <cell r="J140">
            <v>64305.066391295579</v>
          </cell>
          <cell r="K140">
            <v>-73717.016844092781</v>
          </cell>
          <cell r="L140">
            <v>-248536.42101564983</v>
          </cell>
          <cell r="M140">
            <v>-392580.04836943233</v>
          </cell>
          <cell r="N140">
            <v>-533950.15857874288</v>
          </cell>
        </row>
        <row r="141">
          <cell r="A141" t="str">
            <v>Gearing</v>
          </cell>
          <cell r="C141">
            <v>0</v>
          </cell>
          <cell r="D141">
            <v>0</v>
          </cell>
          <cell r="E141">
            <v>0.23589651410078349</v>
          </cell>
          <cell r="F141">
            <v>0.23432321363855324</v>
          </cell>
          <cell r="G141">
            <v>0.39189305996121426</v>
          </cell>
          <cell r="H141">
            <v>0.41747987849177071</v>
          </cell>
          <cell r="I141">
            <v>0.31810475732407345</v>
          </cell>
          <cell r="J141">
            <v>0.17847180896564563</v>
          </cell>
          <cell r="K141">
            <v>0</v>
          </cell>
          <cell r="L141">
            <v>0</v>
          </cell>
          <cell r="M141">
            <v>0</v>
          </cell>
          <cell r="N141">
            <v>0</v>
          </cell>
        </row>
        <row r="142">
          <cell r="A142" t="str">
            <v>ROCE</v>
          </cell>
        </row>
        <row r="143">
          <cell r="A143" t="str">
            <v>EPS</v>
          </cell>
        </row>
      </sheetData>
      <sheetData sheetId="11" refreshError="1"/>
      <sheetData sheetId="12" refreshError="1"/>
      <sheetData sheetId="13" refreshError="1"/>
      <sheetData sheetId="1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
      <sheetName val="Rev Breakout"/>
      <sheetName val="Income"/>
    </sheetNames>
    <sheetDataSet>
      <sheetData sheetId="0" refreshError="1"/>
      <sheetData sheetId="1" refreshError="1"/>
      <sheetData sheetId="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creen Output"/>
      <sheetName val="Summary"/>
      <sheetName val="Statistics operations"/>
      <sheetName val="Financing Operations "/>
      <sheetName val="Statements operations"/>
      <sheetName val="Statements Holding"/>
      <sheetName val="Tax integration"/>
      <sheetName val="Actualisations"/>
    </sheetNames>
    <sheetDataSet>
      <sheetData sheetId="0" refreshError="1"/>
      <sheetData sheetId="1" refreshError="1"/>
      <sheetData sheetId="2" refreshError="1">
        <row r="129">
          <cell r="A129">
            <v>129</v>
          </cell>
          <cell r="D129" t="str">
            <v>Ending</v>
          </cell>
          <cell r="G129" t="str">
            <v>NbResIPTelEnd</v>
          </cell>
          <cell r="I129">
            <v>0</v>
          </cell>
          <cell r="J129">
            <v>0</v>
          </cell>
          <cell r="K129">
            <v>0</v>
          </cell>
          <cell r="L129">
            <v>0</v>
          </cell>
          <cell r="M129">
            <v>0</v>
          </cell>
          <cell r="N129">
            <v>0</v>
          </cell>
          <cell r="O129">
            <v>0</v>
          </cell>
          <cell r="P129">
            <v>0</v>
          </cell>
          <cell r="Q129">
            <v>0</v>
          </cell>
          <cell r="R129">
            <v>0</v>
          </cell>
          <cell r="S129">
            <v>0</v>
          </cell>
          <cell r="T129">
            <v>0</v>
          </cell>
        </row>
      </sheetData>
      <sheetData sheetId="3" refreshError="1"/>
      <sheetData sheetId="4" refreshError="1"/>
      <sheetData sheetId="5" refreshError="1"/>
      <sheetData sheetId="6" refreshError="1"/>
      <sheetData sheetId="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1"/>
      <sheetName val="002"/>
      <sheetName val="003"/>
      <sheetName val="004"/>
      <sheetName val="013"/>
      <sheetName val="020"/>
      <sheetName val="027"/>
      <sheetName val="028"/>
      <sheetName val="029"/>
      <sheetName val="030"/>
      <sheetName val="031"/>
      <sheetName val="032"/>
      <sheetName val="033"/>
      <sheetName val="034"/>
      <sheetName val="040"/>
      <sheetName val="049"/>
      <sheetName val="Actuals"/>
      <sheetName val="CONSO"/>
      <sheetName val="RECAP"/>
      <sheetName val="SYNTHESE"/>
      <sheetName val="COMMENTS"/>
    </sheetNames>
    <sheetDataSet>
      <sheetData sheetId="0" refreshError="1">
        <row r="4">
          <cell r="S4">
            <v>0</v>
          </cell>
          <cell r="T4">
            <v>0</v>
          </cell>
          <cell r="U4">
            <v>0</v>
          </cell>
          <cell r="V4">
            <v>0</v>
          </cell>
        </row>
        <row r="5">
          <cell r="F5">
            <v>441.82771682000015</v>
          </cell>
          <cell r="G5">
            <v>447.32184182000015</v>
          </cell>
          <cell r="H5">
            <v>436.59187841500011</v>
          </cell>
          <cell r="I5">
            <v>420.36098660500011</v>
          </cell>
          <cell r="J5">
            <v>418.68370068000019</v>
          </cell>
          <cell r="K5">
            <v>419.70927068000015</v>
          </cell>
          <cell r="L5">
            <v>410.40082826750017</v>
          </cell>
          <cell r="M5">
            <v>394.97880812250008</v>
          </cell>
          <cell r="N5">
            <v>388.08721439250007</v>
          </cell>
          <cell r="O5">
            <v>433.13870692750015</v>
          </cell>
          <cell r="P5">
            <v>465.10042692750017</v>
          </cell>
          <cell r="Q5">
            <v>476.61273192750025</v>
          </cell>
          <cell r="R5">
            <v>5152.8141115850012</v>
          </cell>
          <cell r="S5">
            <v>1325.7414370550005</v>
          </cell>
          <cell r="T5">
            <v>1258.7539579650004</v>
          </cell>
          <cell r="U5">
            <v>1193.4668507825004</v>
          </cell>
          <cell r="V5">
            <v>1374.8518657825007</v>
          </cell>
        </row>
        <row r="6">
          <cell r="F6">
            <v>8.8365543364000025</v>
          </cell>
          <cell r="G6">
            <v>8.9464368364000038</v>
          </cell>
          <cell r="H6">
            <v>8.7318375683000031</v>
          </cell>
          <cell r="I6">
            <v>8.4072197321000015</v>
          </cell>
          <cell r="J6">
            <v>8.3736740136000041</v>
          </cell>
          <cell r="K6">
            <v>8.3941854136000025</v>
          </cell>
          <cell r="L6">
            <v>8.2080165653500039</v>
          </cell>
          <cell r="M6">
            <v>7.8995761624500016</v>
          </cell>
          <cell r="N6">
            <v>7.7617442878500018</v>
          </cell>
          <cell r="O6">
            <v>8.6627741385500041</v>
          </cell>
          <cell r="P6">
            <v>9.3020085385500035</v>
          </cell>
          <cell r="Q6">
            <v>9.5322546385500058</v>
          </cell>
          <cell r="R6">
            <v>103.05628223170004</v>
          </cell>
          <cell r="S6">
            <v>26.514828741100011</v>
          </cell>
          <cell r="T6">
            <v>25.175079159300008</v>
          </cell>
          <cell r="U6">
            <v>23.869337015650004</v>
          </cell>
          <cell r="V6">
            <v>27.497037315650012</v>
          </cell>
        </row>
        <row r="7">
          <cell r="F7">
            <v>4</v>
          </cell>
          <cell r="G7">
            <v>4</v>
          </cell>
          <cell r="H7">
            <v>4</v>
          </cell>
          <cell r="I7">
            <v>4</v>
          </cell>
          <cell r="J7">
            <v>4</v>
          </cell>
          <cell r="K7">
            <v>4</v>
          </cell>
          <cell r="L7">
            <v>4</v>
          </cell>
          <cell r="M7">
            <v>4</v>
          </cell>
          <cell r="N7">
            <v>4</v>
          </cell>
          <cell r="O7">
            <v>4</v>
          </cell>
          <cell r="P7">
            <v>4</v>
          </cell>
          <cell r="Q7">
            <v>4</v>
          </cell>
          <cell r="R7">
            <v>48</v>
          </cell>
          <cell r="S7">
            <v>12</v>
          </cell>
          <cell r="T7">
            <v>12</v>
          </cell>
          <cell r="U7">
            <v>12</v>
          </cell>
          <cell r="V7">
            <v>12</v>
          </cell>
        </row>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row>
        <row r="10">
          <cell r="F10">
            <v>12.836554336400003</v>
          </cell>
          <cell r="G10">
            <v>12.946436836400004</v>
          </cell>
          <cell r="H10">
            <v>12.731837568300003</v>
          </cell>
          <cell r="I10">
            <v>12.407219732100002</v>
          </cell>
          <cell r="J10">
            <v>12.373674013600004</v>
          </cell>
          <cell r="K10">
            <v>12.394185413600002</v>
          </cell>
          <cell r="L10">
            <v>12.208016565350004</v>
          </cell>
          <cell r="M10">
            <v>11.899576162450002</v>
          </cell>
          <cell r="N10">
            <v>11.761744287850002</v>
          </cell>
          <cell r="O10">
            <v>12.662774138550004</v>
          </cell>
          <cell r="P10">
            <v>13.302008538550004</v>
          </cell>
          <cell r="Q10">
            <v>13.532254638550006</v>
          </cell>
          <cell r="R10">
            <v>151.05628223170004</v>
          </cell>
          <cell r="S10">
            <v>38.514828741100011</v>
          </cell>
          <cell r="T10">
            <v>37.175079159300012</v>
          </cell>
          <cell r="U10">
            <v>35.869337015650004</v>
          </cell>
          <cell r="V10">
            <v>39.497037315650012</v>
          </cell>
        </row>
        <row r="11">
          <cell r="F11">
            <v>-212.56895364389999</v>
          </cell>
          <cell r="G11">
            <v>-212.56895364389999</v>
          </cell>
          <cell r="H11">
            <v>-212.56895364389999</v>
          </cell>
          <cell r="I11">
            <v>-212.56895364389999</v>
          </cell>
          <cell r="J11">
            <v>-212.56895364389999</v>
          </cell>
          <cell r="K11">
            <v>-212.56895364389999</v>
          </cell>
          <cell r="L11">
            <v>-212.56895364389999</v>
          </cell>
          <cell r="M11">
            <v>-212.56895364389999</v>
          </cell>
          <cell r="N11">
            <v>-212.56895364389999</v>
          </cell>
          <cell r="O11">
            <v>-212.56895364389999</v>
          </cell>
          <cell r="P11">
            <v>-212.56895364389999</v>
          </cell>
          <cell r="Q11">
            <v>-212.56895364389999</v>
          </cell>
          <cell r="R11">
            <v>-2550.8274437267996</v>
          </cell>
          <cell r="S11">
            <v>-637.70686093170002</v>
          </cell>
          <cell r="T11">
            <v>-637.70686093170002</v>
          </cell>
          <cell r="U11">
            <v>-637.70686093170002</v>
          </cell>
          <cell r="V11">
            <v>-637.70686093170002</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row>
        <row r="13">
          <cell r="F13">
            <v>242.09531751250017</v>
          </cell>
          <cell r="G13">
            <v>247.69932501250014</v>
          </cell>
          <cell r="H13">
            <v>236.75476233940014</v>
          </cell>
          <cell r="I13">
            <v>220.19925269320009</v>
          </cell>
          <cell r="J13">
            <v>218.48842104970021</v>
          </cell>
          <cell r="K13">
            <v>219.53450244970014</v>
          </cell>
          <cell r="L13">
            <v>210.03989118895021</v>
          </cell>
          <cell r="M13">
            <v>194.30943064105008</v>
          </cell>
          <cell r="N13">
            <v>187.28000503645006</v>
          </cell>
          <cell r="O13">
            <v>233.23252742215016</v>
          </cell>
          <cell r="P13">
            <v>265.83348182215019</v>
          </cell>
          <cell r="Q13">
            <v>277.57603292215026</v>
          </cell>
          <cell r="R13">
            <v>2753.0429500899018</v>
          </cell>
          <cell r="S13">
            <v>726.54940486440046</v>
          </cell>
          <cell r="T13">
            <v>658.2221761926005</v>
          </cell>
          <cell r="U13">
            <v>591.62932686645036</v>
          </cell>
          <cell r="V13">
            <v>776.64204216645066</v>
          </cell>
        </row>
        <row r="14">
          <cell r="F14">
            <v>140</v>
          </cell>
          <cell r="G14">
            <v>140</v>
          </cell>
          <cell r="H14">
            <v>140</v>
          </cell>
          <cell r="I14">
            <v>60</v>
          </cell>
          <cell r="J14">
            <v>60</v>
          </cell>
          <cell r="K14">
            <v>60</v>
          </cell>
          <cell r="L14">
            <v>60</v>
          </cell>
          <cell r="M14">
            <v>60</v>
          </cell>
          <cell r="N14">
            <v>60</v>
          </cell>
          <cell r="O14">
            <v>60</v>
          </cell>
          <cell r="P14">
            <v>60</v>
          </cell>
          <cell r="Q14">
            <v>60</v>
          </cell>
          <cell r="R14">
            <v>960</v>
          </cell>
          <cell r="S14">
            <v>420</v>
          </cell>
          <cell r="T14">
            <v>180</v>
          </cell>
          <cell r="U14">
            <v>180</v>
          </cell>
          <cell r="V14">
            <v>180</v>
          </cell>
        </row>
        <row r="15">
          <cell r="F15">
            <v>-140</v>
          </cell>
          <cell r="G15">
            <v>-140</v>
          </cell>
          <cell r="H15">
            <v>-140</v>
          </cell>
          <cell r="I15">
            <v>-60</v>
          </cell>
          <cell r="J15">
            <v>-60</v>
          </cell>
          <cell r="K15">
            <v>-60</v>
          </cell>
          <cell r="L15">
            <v>-60</v>
          </cell>
          <cell r="M15">
            <v>-60</v>
          </cell>
          <cell r="N15">
            <v>-60</v>
          </cell>
          <cell r="O15">
            <v>-60</v>
          </cell>
          <cell r="P15">
            <v>-60</v>
          </cell>
          <cell r="Q15">
            <v>-60</v>
          </cell>
          <cell r="R15">
            <v>-960</v>
          </cell>
          <cell r="S15">
            <v>-420</v>
          </cell>
          <cell r="T15">
            <v>-180</v>
          </cell>
          <cell r="U15">
            <v>-180</v>
          </cell>
          <cell r="V15">
            <v>-180</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F17">
            <v>242.09531751250017</v>
          </cell>
          <cell r="G17">
            <v>247.69932501250014</v>
          </cell>
          <cell r="H17">
            <v>236.75476233940014</v>
          </cell>
          <cell r="I17">
            <v>220.19925269320009</v>
          </cell>
          <cell r="J17">
            <v>218.48842104970021</v>
          </cell>
          <cell r="K17">
            <v>219.53450244970014</v>
          </cell>
          <cell r="L17">
            <v>210.03989118895021</v>
          </cell>
          <cell r="M17">
            <v>194.30943064105008</v>
          </cell>
          <cell r="N17">
            <v>187.28000503645006</v>
          </cell>
          <cell r="O17">
            <v>233.23252742215016</v>
          </cell>
          <cell r="P17">
            <v>265.83348182215019</v>
          </cell>
          <cell r="Q17">
            <v>277.57603292215026</v>
          </cell>
          <cell r="R17">
            <v>2753.0429500899018</v>
          </cell>
          <cell r="S17">
            <v>726.54940486440046</v>
          </cell>
          <cell r="T17">
            <v>658.2221761926005</v>
          </cell>
          <cell r="U17">
            <v>591.62932686645036</v>
          </cell>
          <cell r="V17">
            <v>776.64204216645066</v>
          </cell>
        </row>
        <row r="18">
          <cell r="F18">
            <v>58</v>
          </cell>
          <cell r="G18">
            <v>57</v>
          </cell>
          <cell r="H18">
            <v>55</v>
          </cell>
          <cell r="I18">
            <v>55</v>
          </cell>
          <cell r="J18">
            <v>54</v>
          </cell>
          <cell r="K18">
            <v>54</v>
          </cell>
          <cell r="L18">
            <v>52</v>
          </cell>
          <cell r="M18">
            <v>50</v>
          </cell>
          <cell r="N18">
            <v>54</v>
          </cell>
          <cell r="O18">
            <v>61</v>
          </cell>
          <cell r="P18">
            <v>65</v>
          </cell>
          <cell r="Q18">
            <v>67</v>
          </cell>
          <cell r="R18">
            <v>67</v>
          </cell>
        </row>
        <row r="19">
          <cell r="S19">
            <v>0</v>
          </cell>
          <cell r="T19">
            <v>0</v>
          </cell>
          <cell r="U19">
            <v>0</v>
          </cell>
          <cell r="V19">
            <v>0</v>
          </cell>
        </row>
        <row r="20">
          <cell r="F20">
            <v>238.70727401129943</v>
          </cell>
          <cell r="G20">
            <v>243.06461864406776</v>
          </cell>
          <cell r="H20">
            <v>247.42196327683615</v>
          </cell>
          <cell r="I20">
            <v>286.68997175141243</v>
          </cell>
          <cell r="J20">
            <v>291.04731638418076</v>
          </cell>
          <cell r="K20">
            <v>295.40466101694915</v>
          </cell>
          <cell r="L20">
            <v>299.76200564971748</v>
          </cell>
          <cell r="M20">
            <v>304.11935028248587</v>
          </cell>
          <cell r="N20">
            <v>408.47669491525397</v>
          </cell>
          <cell r="O20">
            <v>411.74470338983002</v>
          </cell>
          <cell r="P20">
            <v>416.10204802259898</v>
          </cell>
          <cell r="Q20">
            <v>420.45939265536703</v>
          </cell>
          <cell r="R20">
            <v>3862.9999999999991</v>
          </cell>
          <cell r="S20">
            <v>729.19385593220341</v>
          </cell>
          <cell r="T20">
            <v>873.14194915254234</v>
          </cell>
          <cell r="U20">
            <v>1012.3580508474574</v>
          </cell>
          <cell r="V20">
            <v>1248.3061440677961</v>
          </cell>
        </row>
        <row r="21">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row>
        <row r="22">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row>
        <row r="23">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row>
        <row r="24">
          <cell r="F24">
            <v>238.70727401129943</v>
          </cell>
          <cell r="G24">
            <v>243.06461864406776</v>
          </cell>
          <cell r="H24">
            <v>247.42196327683615</v>
          </cell>
          <cell r="I24">
            <v>286.68997175141243</v>
          </cell>
          <cell r="J24">
            <v>291.04731638418076</v>
          </cell>
          <cell r="K24">
            <v>295.40466101694915</v>
          </cell>
          <cell r="L24">
            <v>299.76200564971748</v>
          </cell>
          <cell r="M24">
            <v>304.11935028248587</v>
          </cell>
          <cell r="N24">
            <v>408.47669491525397</v>
          </cell>
          <cell r="O24">
            <v>411.74470338983002</v>
          </cell>
          <cell r="P24">
            <v>416.10204802259898</v>
          </cell>
          <cell r="Q24">
            <v>420.45939265536703</v>
          </cell>
          <cell r="R24">
            <v>3862.9999999999991</v>
          </cell>
          <cell r="S24">
            <v>729.19385593220341</v>
          </cell>
          <cell r="T24">
            <v>873.14194915254234</v>
          </cell>
          <cell r="U24">
            <v>1012.3580508474574</v>
          </cell>
          <cell r="V24">
            <v>1248.3061440677961</v>
          </cell>
        </row>
        <row r="25">
          <cell r="S25">
            <v>0</v>
          </cell>
          <cell r="T25">
            <v>0</v>
          </cell>
          <cell r="U25">
            <v>0</v>
          </cell>
          <cell r="V25">
            <v>0</v>
          </cell>
        </row>
        <row r="26">
          <cell r="F26">
            <v>132</v>
          </cell>
          <cell r="G26">
            <v>130</v>
          </cell>
          <cell r="H26">
            <v>132</v>
          </cell>
          <cell r="I26">
            <v>134</v>
          </cell>
          <cell r="J26">
            <v>136</v>
          </cell>
          <cell r="K26">
            <v>137</v>
          </cell>
          <cell r="L26">
            <v>141</v>
          </cell>
          <cell r="M26">
            <v>143</v>
          </cell>
          <cell r="N26">
            <v>143</v>
          </cell>
          <cell r="O26">
            <v>145</v>
          </cell>
          <cell r="P26">
            <v>147</v>
          </cell>
          <cell r="Q26">
            <v>147</v>
          </cell>
          <cell r="R26">
            <v>1667</v>
          </cell>
          <cell r="S26">
            <v>394</v>
          </cell>
          <cell r="T26">
            <v>407</v>
          </cell>
          <cell r="U26">
            <v>427</v>
          </cell>
          <cell r="V26">
            <v>439</v>
          </cell>
        </row>
        <row r="27">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row>
        <row r="28">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row>
        <row r="29">
          <cell r="F29">
            <v>132</v>
          </cell>
          <cell r="G29">
            <v>130</v>
          </cell>
          <cell r="H29">
            <v>132</v>
          </cell>
          <cell r="I29">
            <v>134</v>
          </cell>
          <cell r="J29">
            <v>136</v>
          </cell>
          <cell r="K29">
            <v>137</v>
          </cell>
          <cell r="L29">
            <v>141</v>
          </cell>
          <cell r="M29">
            <v>143</v>
          </cell>
          <cell r="N29">
            <v>143</v>
          </cell>
          <cell r="O29">
            <v>145</v>
          </cell>
          <cell r="P29">
            <v>147</v>
          </cell>
          <cell r="Q29">
            <v>147</v>
          </cell>
          <cell r="R29">
            <v>1667</v>
          </cell>
          <cell r="S29">
            <v>394</v>
          </cell>
          <cell r="T29">
            <v>407</v>
          </cell>
          <cell r="U29">
            <v>427</v>
          </cell>
          <cell r="V29">
            <v>439</v>
          </cell>
        </row>
        <row r="30">
          <cell r="S30">
            <v>0</v>
          </cell>
          <cell r="T30">
            <v>0</v>
          </cell>
          <cell r="U30">
            <v>0</v>
          </cell>
          <cell r="V30">
            <v>0</v>
          </cell>
        </row>
        <row r="31">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row>
        <row r="33">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row>
        <row r="35">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row>
        <row r="36">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row>
        <row r="39">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row>
        <row r="41">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row>
        <row r="43">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row>
        <row r="45">
          <cell r="F45">
            <v>612.80259152379961</v>
          </cell>
          <cell r="G45">
            <v>620.7639436565679</v>
          </cell>
          <cell r="H45">
            <v>616.17672561623635</v>
          </cell>
          <cell r="I45">
            <v>640.88922444461252</v>
          </cell>
          <cell r="J45">
            <v>645.53573743388097</v>
          </cell>
          <cell r="K45">
            <v>651.93916346664923</v>
          </cell>
          <cell r="L45">
            <v>650.80189683866774</v>
          </cell>
          <cell r="M45">
            <v>641.4287809235359</v>
          </cell>
          <cell r="N45">
            <v>738.75669995170404</v>
          </cell>
          <cell r="O45">
            <v>789.97723081198023</v>
          </cell>
          <cell r="P45">
            <v>828.93552984474923</v>
          </cell>
          <cell r="Q45">
            <v>845.03542557751734</v>
          </cell>
          <cell r="R45">
            <v>8283.0429500899008</v>
          </cell>
          <cell r="S45">
            <v>1849.7432607966039</v>
          </cell>
          <cell r="T45">
            <v>1938.3641253451426</v>
          </cell>
          <cell r="U45">
            <v>2030.9873777139078</v>
          </cell>
          <cell r="V45">
            <v>2463.9481862342468</v>
          </cell>
        </row>
        <row r="51">
          <cell r="F51">
            <v>16</v>
          </cell>
          <cell r="G51">
            <v>15</v>
          </cell>
          <cell r="H51">
            <v>15</v>
          </cell>
          <cell r="I51">
            <v>14</v>
          </cell>
          <cell r="J51">
            <v>14</v>
          </cell>
          <cell r="K51">
            <v>14</v>
          </cell>
          <cell r="L51">
            <v>14</v>
          </cell>
          <cell r="M51">
            <v>14</v>
          </cell>
          <cell r="N51">
            <v>15</v>
          </cell>
          <cell r="O51">
            <v>17</v>
          </cell>
          <cell r="P51">
            <v>18</v>
          </cell>
          <cell r="Q51">
            <v>17</v>
          </cell>
          <cell r="R51">
            <v>17</v>
          </cell>
        </row>
        <row r="52">
          <cell r="F52">
            <v>121.40170983499999</v>
          </cell>
          <cell r="G52">
            <v>121.63038671</v>
          </cell>
          <cell r="H52">
            <v>121.63038671</v>
          </cell>
          <cell r="I52">
            <v>111.91107672500002</v>
          </cell>
          <cell r="J52">
            <v>111.91107672500002</v>
          </cell>
          <cell r="K52">
            <v>111.91107672500002</v>
          </cell>
          <cell r="L52">
            <v>111.91107672500002</v>
          </cell>
          <cell r="M52">
            <v>120.29007672500002</v>
          </cell>
          <cell r="N52">
            <v>120.29007672500002</v>
          </cell>
          <cell r="O52">
            <v>136.03986472999998</v>
          </cell>
          <cell r="P52">
            <v>145.36891985</v>
          </cell>
          <cell r="Q52">
            <v>138.23500985000001</v>
          </cell>
          <cell r="R52">
            <v>1472.5307380350005</v>
          </cell>
          <cell r="S52">
            <v>364.66248325499998</v>
          </cell>
          <cell r="T52">
            <v>335.73323017500002</v>
          </cell>
          <cell r="U52">
            <v>352.49123017500006</v>
          </cell>
          <cell r="V52">
            <v>419.64379442999996</v>
          </cell>
        </row>
        <row r="53">
          <cell r="F53">
            <v>4.1098298587499995</v>
          </cell>
          <cell r="G53">
            <v>4.1931834524999996</v>
          </cell>
          <cell r="H53">
            <v>4.1931834524999996</v>
          </cell>
          <cell r="I53">
            <v>3.8762494312499993</v>
          </cell>
          <cell r="J53">
            <v>3.8762494312499993</v>
          </cell>
          <cell r="K53">
            <v>3.8762494312499993</v>
          </cell>
          <cell r="L53">
            <v>3.8762494312499993</v>
          </cell>
          <cell r="M53">
            <v>4.2253744312499997</v>
          </cell>
          <cell r="N53">
            <v>4.2253744312499997</v>
          </cell>
          <cell r="O53">
            <v>4.7431714574999999</v>
          </cell>
          <cell r="P53">
            <v>5.1318820875000002</v>
          </cell>
          <cell r="Q53">
            <v>4.8992545874999998</v>
          </cell>
          <cell r="R53">
            <v>51.226251483749991</v>
          </cell>
          <cell r="S53">
            <v>12.496196763749998</v>
          </cell>
          <cell r="T53">
            <v>11.628748293749998</v>
          </cell>
          <cell r="U53">
            <v>12.326998293749998</v>
          </cell>
          <cell r="V53">
            <v>14.7743081325</v>
          </cell>
        </row>
        <row r="54">
          <cell r="F54">
            <v>4.39290388928125</v>
          </cell>
          <cell r="G54">
            <v>4.4038249556875</v>
          </cell>
          <cell r="H54">
            <v>4.4038249556875</v>
          </cell>
          <cell r="I54">
            <v>4.052556415468751</v>
          </cell>
          <cell r="J54">
            <v>4.052556415468751</v>
          </cell>
          <cell r="K54">
            <v>4.052556415468751</v>
          </cell>
          <cell r="L54">
            <v>4.052556415468751</v>
          </cell>
          <cell r="M54">
            <v>4.3580407904687508</v>
          </cell>
          <cell r="N54">
            <v>4.3580407904687508</v>
          </cell>
          <cell r="O54">
            <v>4.9274062665625005</v>
          </cell>
          <cell r="P54">
            <v>5.2675280678125009</v>
          </cell>
          <cell r="Q54">
            <v>5.0096992553125004</v>
          </cell>
          <cell r="R54">
            <v>53.331494633156247</v>
          </cell>
          <cell r="S54">
            <v>13.200553800656252</v>
          </cell>
          <cell r="T54">
            <v>12.157669246406254</v>
          </cell>
          <cell r="U54">
            <v>12.768637996406254</v>
          </cell>
          <cell r="V54">
            <v>15.204633589687504</v>
          </cell>
        </row>
        <row r="55">
          <cell r="F55">
            <v>0.5</v>
          </cell>
          <cell r="G55">
            <v>0.5</v>
          </cell>
          <cell r="H55">
            <v>0.5</v>
          </cell>
          <cell r="I55">
            <v>0.5</v>
          </cell>
          <cell r="J55">
            <v>0.5</v>
          </cell>
          <cell r="K55">
            <v>0.5</v>
          </cell>
          <cell r="L55">
            <v>0.5</v>
          </cell>
          <cell r="M55">
            <v>0.5</v>
          </cell>
          <cell r="N55">
            <v>0.5</v>
          </cell>
          <cell r="O55">
            <v>0.5</v>
          </cell>
          <cell r="P55">
            <v>0.5</v>
          </cell>
          <cell r="Q55">
            <v>0.5</v>
          </cell>
          <cell r="R55">
            <v>6</v>
          </cell>
          <cell r="S55">
            <v>1.5</v>
          </cell>
          <cell r="T55">
            <v>1.5</v>
          </cell>
          <cell r="U55">
            <v>1.5</v>
          </cell>
          <cell r="V55">
            <v>1.5</v>
          </cell>
        </row>
        <row r="56">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row>
        <row r="57">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58">
          <cell r="F58">
            <v>4.89290388928125</v>
          </cell>
          <cell r="G58">
            <v>4.9038249556875</v>
          </cell>
          <cell r="H58">
            <v>4.9038249556875</v>
          </cell>
          <cell r="I58">
            <v>4.552556415468751</v>
          </cell>
          <cell r="J58">
            <v>4.552556415468751</v>
          </cell>
          <cell r="K58">
            <v>4.552556415468751</v>
          </cell>
          <cell r="L58">
            <v>4.552556415468751</v>
          </cell>
          <cell r="M58">
            <v>4.8580407904687508</v>
          </cell>
          <cell r="N58">
            <v>4.8580407904687508</v>
          </cell>
          <cell r="O58">
            <v>5.4274062665625005</v>
          </cell>
          <cell r="P58">
            <v>5.7675280678125009</v>
          </cell>
          <cell r="Q58">
            <v>5.5096992553125004</v>
          </cell>
          <cell r="R58">
            <v>59.331494633156247</v>
          </cell>
          <cell r="S58">
            <v>14.700553800656252</v>
          </cell>
          <cell r="T58">
            <v>13.657669246406254</v>
          </cell>
          <cell r="U58">
            <v>14.268637996406254</v>
          </cell>
          <cell r="V58">
            <v>16.704633589687504</v>
          </cell>
        </row>
        <row r="59">
          <cell r="F59">
            <v>0</v>
          </cell>
          <cell r="G59">
            <v>0</v>
          </cell>
          <cell r="H59">
            <v>0</v>
          </cell>
          <cell r="I59">
            <v>3.3333333333333002</v>
          </cell>
          <cell r="J59">
            <v>3.3333333333333002</v>
          </cell>
          <cell r="K59">
            <v>3.3333333333333002</v>
          </cell>
          <cell r="L59">
            <v>0</v>
          </cell>
          <cell r="M59">
            <v>0</v>
          </cell>
          <cell r="N59">
            <v>0</v>
          </cell>
          <cell r="O59">
            <v>0</v>
          </cell>
          <cell r="P59">
            <v>0</v>
          </cell>
          <cell r="Q59">
            <v>0</v>
          </cell>
          <cell r="R59">
            <v>9.9999999999999005</v>
          </cell>
          <cell r="S59">
            <v>0</v>
          </cell>
          <cell r="T59">
            <v>9.9999999999999005</v>
          </cell>
          <cell r="U59">
            <v>0</v>
          </cell>
          <cell r="V59">
            <v>0</v>
          </cell>
        </row>
        <row r="60">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row>
        <row r="61">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row>
        <row r="62">
          <cell r="F62">
            <v>130.40444358303125</v>
          </cell>
          <cell r="G62">
            <v>130.7273951181875</v>
          </cell>
          <cell r="H62">
            <v>130.7273951181875</v>
          </cell>
          <cell r="I62">
            <v>123.67321590505207</v>
          </cell>
          <cell r="J62">
            <v>123.67321590505207</v>
          </cell>
          <cell r="K62">
            <v>123.67321590505207</v>
          </cell>
          <cell r="L62">
            <v>120.33988257171877</v>
          </cell>
          <cell r="M62">
            <v>129.37349194671879</v>
          </cell>
          <cell r="N62">
            <v>129.37349194671879</v>
          </cell>
          <cell r="O62">
            <v>146.2104424540625</v>
          </cell>
          <cell r="P62">
            <v>156.26833000531249</v>
          </cell>
          <cell r="Q62">
            <v>148.64396369281252</v>
          </cell>
          <cell r="R62">
            <v>1593.0884841519064</v>
          </cell>
          <cell r="S62">
            <v>391.8592338194062</v>
          </cell>
          <cell r="T62">
            <v>371.01964771515622</v>
          </cell>
          <cell r="U62">
            <v>379.08686646515633</v>
          </cell>
          <cell r="V62">
            <v>451.12273615218754</v>
          </cell>
        </row>
        <row r="65">
          <cell r="F65">
            <v>6</v>
          </cell>
          <cell r="G65">
            <v>6</v>
          </cell>
          <cell r="H65">
            <v>6</v>
          </cell>
          <cell r="I65">
            <v>6</v>
          </cell>
          <cell r="J65">
            <v>6</v>
          </cell>
          <cell r="K65">
            <v>6</v>
          </cell>
          <cell r="L65">
            <v>5</v>
          </cell>
          <cell r="M65">
            <v>5</v>
          </cell>
          <cell r="N65">
            <v>5</v>
          </cell>
          <cell r="O65">
            <v>6</v>
          </cell>
          <cell r="P65">
            <v>6</v>
          </cell>
          <cell r="Q65">
            <v>6</v>
          </cell>
          <cell r="R65">
            <v>6</v>
          </cell>
        </row>
        <row r="66">
          <cell r="F66">
            <v>38.759755849499996</v>
          </cell>
          <cell r="G66">
            <v>38.759755849499996</v>
          </cell>
          <cell r="H66">
            <v>38.759755849499996</v>
          </cell>
          <cell r="I66">
            <v>38.759755849499996</v>
          </cell>
          <cell r="J66">
            <v>38.759755849499996</v>
          </cell>
          <cell r="K66">
            <v>30.209457337499998</v>
          </cell>
          <cell r="L66">
            <v>29.939991025000001</v>
          </cell>
          <cell r="M66">
            <v>29.939991025000001</v>
          </cell>
          <cell r="N66">
            <v>29.939991025000001</v>
          </cell>
          <cell r="O66">
            <v>32.865989275000004</v>
          </cell>
          <cell r="P66">
            <v>32.865989275000004</v>
          </cell>
          <cell r="Q66">
            <v>32.865989275000004</v>
          </cell>
          <cell r="R66">
            <v>412.42617748499998</v>
          </cell>
          <cell r="S66">
            <v>116.27926754849999</v>
          </cell>
          <cell r="T66">
            <v>107.72896903649999</v>
          </cell>
          <cell r="U66">
            <v>89.819973075000007</v>
          </cell>
          <cell r="V66">
            <v>98.597967825000012</v>
          </cell>
        </row>
        <row r="67">
          <cell r="F67">
            <v>8.2810519154999973</v>
          </cell>
          <cell r="G67">
            <v>8.2810519154999973</v>
          </cell>
          <cell r="H67">
            <v>8.2810519154999973</v>
          </cell>
          <cell r="I67">
            <v>8.2810519154999973</v>
          </cell>
          <cell r="J67">
            <v>8.2810519154999973</v>
          </cell>
          <cell r="K67">
            <v>6.1434772874999997</v>
          </cell>
          <cell r="L67">
            <v>6.1164017249999985</v>
          </cell>
          <cell r="M67">
            <v>6.1164017249999985</v>
          </cell>
          <cell r="N67">
            <v>6.1164017249999985</v>
          </cell>
          <cell r="O67">
            <v>6.3152559749999995</v>
          </cell>
          <cell r="P67">
            <v>6.3152559749999995</v>
          </cell>
          <cell r="Q67">
            <v>6.3152559749999995</v>
          </cell>
          <cell r="R67">
            <v>84.843709964999974</v>
          </cell>
          <cell r="S67">
            <v>24.843155746499992</v>
          </cell>
          <cell r="T67">
            <v>22.705581118499992</v>
          </cell>
          <cell r="U67">
            <v>18.349205174999994</v>
          </cell>
          <cell r="V67">
            <v>18.945767924999998</v>
          </cell>
        </row>
        <row r="68">
          <cell r="F68">
            <v>2.3255853509699995</v>
          </cell>
          <cell r="G68">
            <v>2.3255853509699995</v>
          </cell>
          <cell r="H68">
            <v>2.3255853509699995</v>
          </cell>
          <cell r="I68">
            <v>2.3255853509699995</v>
          </cell>
          <cell r="J68">
            <v>2.3255853509699995</v>
          </cell>
          <cell r="K68">
            <v>1.8125674402499998</v>
          </cell>
          <cell r="L68">
            <v>1.7963994615000001</v>
          </cell>
          <cell r="M68">
            <v>1.7963994615000001</v>
          </cell>
          <cell r="N68">
            <v>1.7963994615000001</v>
          </cell>
          <cell r="O68">
            <v>1.9719593565000002</v>
          </cell>
          <cell r="P68">
            <v>1.9719593565000002</v>
          </cell>
          <cell r="Q68">
            <v>1.9719593565000002</v>
          </cell>
          <cell r="R68">
            <v>24.745570649100003</v>
          </cell>
          <cell r="S68">
            <v>6.9767560529099981</v>
          </cell>
          <cell r="T68">
            <v>6.4637381421899986</v>
          </cell>
          <cell r="U68">
            <v>5.3891983845000002</v>
          </cell>
          <cell r="V68">
            <v>5.9158780695000006</v>
          </cell>
        </row>
        <row r="69">
          <cell r="F69">
            <v>1.5</v>
          </cell>
          <cell r="G69">
            <v>1.5</v>
          </cell>
          <cell r="H69">
            <v>1.5</v>
          </cell>
          <cell r="I69">
            <v>1.5</v>
          </cell>
          <cell r="J69">
            <v>1.5</v>
          </cell>
          <cell r="K69">
            <v>1.5</v>
          </cell>
          <cell r="L69">
            <v>1.5</v>
          </cell>
          <cell r="M69">
            <v>1.5</v>
          </cell>
          <cell r="N69">
            <v>1.5</v>
          </cell>
          <cell r="O69">
            <v>1.5</v>
          </cell>
          <cell r="P69">
            <v>1.5</v>
          </cell>
          <cell r="Q69">
            <v>1.5</v>
          </cell>
          <cell r="R69">
            <v>18</v>
          </cell>
          <cell r="S69">
            <v>4.5</v>
          </cell>
          <cell r="T69">
            <v>4.5</v>
          </cell>
          <cell r="U69">
            <v>4.5</v>
          </cell>
          <cell r="V69">
            <v>4.5</v>
          </cell>
        </row>
        <row r="70">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row>
        <row r="71">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row>
        <row r="72">
          <cell r="F72">
            <v>3.8255853509699995</v>
          </cell>
          <cell r="G72">
            <v>3.8255853509699995</v>
          </cell>
          <cell r="H72">
            <v>3.8255853509699995</v>
          </cell>
          <cell r="I72">
            <v>3.8255853509699995</v>
          </cell>
          <cell r="J72">
            <v>3.8255853509699995</v>
          </cell>
          <cell r="K72">
            <v>3.3125674402499996</v>
          </cell>
          <cell r="L72">
            <v>3.2963994615000001</v>
          </cell>
          <cell r="M72">
            <v>3.2963994615000001</v>
          </cell>
          <cell r="N72">
            <v>3.2963994615000001</v>
          </cell>
          <cell r="O72">
            <v>3.4719593565000002</v>
          </cell>
          <cell r="P72">
            <v>3.4719593565000002</v>
          </cell>
          <cell r="Q72">
            <v>3.4719593565000002</v>
          </cell>
          <cell r="R72">
            <v>42.745570649100003</v>
          </cell>
          <cell r="S72">
            <v>11.476756052909998</v>
          </cell>
          <cell r="T72">
            <v>10.96373814219</v>
          </cell>
          <cell r="U72">
            <v>9.8891983845000002</v>
          </cell>
          <cell r="V72">
            <v>10.4158780695</v>
          </cell>
        </row>
        <row r="73">
          <cell r="F73">
            <v>0.41666666666666669</v>
          </cell>
          <cell r="G73">
            <v>0.41666666666666669</v>
          </cell>
          <cell r="H73">
            <v>0.41666666666666669</v>
          </cell>
          <cell r="I73">
            <v>0.41666666666666669</v>
          </cell>
          <cell r="J73">
            <v>0.41666666666666669</v>
          </cell>
          <cell r="K73">
            <v>0.41666666666666669</v>
          </cell>
          <cell r="L73">
            <v>0.41666666666666669</v>
          </cell>
          <cell r="M73">
            <v>0.41666666666666669</v>
          </cell>
          <cell r="N73">
            <v>0.41666666666666669</v>
          </cell>
          <cell r="O73">
            <v>0.41666666666666669</v>
          </cell>
          <cell r="P73">
            <v>0.41666666666666669</v>
          </cell>
          <cell r="Q73">
            <v>0.41666666666666669</v>
          </cell>
          <cell r="R73">
            <v>5</v>
          </cell>
          <cell r="S73">
            <v>1.25</v>
          </cell>
          <cell r="T73">
            <v>1.25</v>
          </cell>
          <cell r="U73">
            <v>1.25</v>
          </cell>
          <cell r="V73">
            <v>1.25</v>
          </cell>
        </row>
        <row r="74">
          <cell r="F74">
            <v>23.5</v>
          </cell>
          <cell r="G74">
            <v>23.5</v>
          </cell>
          <cell r="H74">
            <v>23.5</v>
          </cell>
          <cell r="I74">
            <v>23.5</v>
          </cell>
          <cell r="J74">
            <v>23.5</v>
          </cell>
          <cell r="K74">
            <v>23.5</v>
          </cell>
          <cell r="L74">
            <v>23.5</v>
          </cell>
          <cell r="M74">
            <v>23.5</v>
          </cell>
          <cell r="N74">
            <v>37.799999999999997</v>
          </cell>
          <cell r="O74">
            <v>29.5</v>
          </cell>
          <cell r="P74">
            <v>29.5</v>
          </cell>
          <cell r="Q74">
            <v>29.5</v>
          </cell>
          <cell r="R74">
            <v>314.3</v>
          </cell>
          <cell r="S74">
            <v>70.5</v>
          </cell>
          <cell r="T74">
            <v>70.5</v>
          </cell>
          <cell r="U74">
            <v>84.8</v>
          </cell>
          <cell r="V74">
            <v>88.5</v>
          </cell>
        </row>
        <row r="75">
          <cell r="F75">
            <v>0.5</v>
          </cell>
          <cell r="G75">
            <v>0.5</v>
          </cell>
          <cell r="H75">
            <v>0.5</v>
          </cell>
          <cell r="I75">
            <v>0.5</v>
          </cell>
          <cell r="J75">
            <v>0.5</v>
          </cell>
          <cell r="K75">
            <v>0.5</v>
          </cell>
          <cell r="L75">
            <v>0.5</v>
          </cell>
          <cell r="M75">
            <v>0.5</v>
          </cell>
          <cell r="N75">
            <v>0.5</v>
          </cell>
          <cell r="O75">
            <v>0.5</v>
          </cell>
          <cell r="P75">
            <v>0.5</v>
          </cell>
          <cell r="Q75">
            <v>0.5</v>
          </cell>
          <cell r="R75">
            <v>6</v>
          </cell>
          <cell r="S75">
            <v>1.5</v>
          </cell>
          <cell r="T75">
            <v>1.5</v>
          </cell>
          <cell r="U75">
            <v>1.5</v>
          </cell>
          <cell r="V75">
            <v>1.5</v>
          </cell>
        </row>
        <row r="76">
          <cell r="F76">
            <v>75.283059782636656</v>
          </cell>
          <cell r="G76">
            <v>75.283059782636656</v>
          </cell>
          <cell r="H76">
            <v>75.283059782636656</v>
          </cell>
          <cell r="I76">
            <v>75.283059782636656</v>
          </cell>
          <cell r="J76">
            <v>75.283059782636656</v>
          </cell>
          <cell r="K76">
            <v>64.082168731916653</v>
          </cell>
          <cell r="L76">
            <v>63.769458878166667</v>
          </cell>
          <cell r="M76">
            <v>63.769458878166667</v>
          </cell>
          <cell r="N76">
            <v>78.069458878166671</v>
          </cell>
          <cell r="O76">
            <v>73.069871273166669</v>
          </cell>
          <cell r="P76">
            <v>73.069871273166669</v>
          </cell>
          <cell r="Q76">
            <v>73.069871273166669</v>
          </cell>
          <cell r="R76">
            <v>865.31545809909994</v>
          </cell>
          <cell r="S76">
            <v>225.84917934790997</v>
          </cell>
          <cell r="T76">
            <v>214.64828829718996</v>
          </cell>
          <cell r="U76">
            <v>205.60837663450002</v>
          </cell>
          <cell r="V76">
            <v>219.20961381950002</v>
          </cell>
        </row>
        <row r="79">
          <cell r="F79">
            <v>3</v>
          </cell>
          <cell r="G79">
            <v>3</v>
          </cell>
          <cell r="H79">
            <v>3</v>
          </cell>
          <cell r="I79">
            <v>3</v>
          </cell>
          <cell r="J79">
            <v>3</v>
          </cell>
          <cell r="K79">
            <v>3</v>
          </cell>
          <cell r="L79">
            <v>3</v>
          </cell>
          <cell r="M79">
            <v>3</v>
          </cell>
          <cell r="N79">
            <v>0</v>
          </cell>
          <cell r="O79">
            <v>0</v>
          </cell>
          <cell r="P79">
            <v>0</v>
          </cell>
          <cell r="Q79">
            <v>0</v>
          </cell>
          <cell r="R79">
            <v>0</v>
          </cell>
        </row>
        <row r="80">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row>
        <row r="81">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row>
        <row r="82">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row>
        <row r="83">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row>
        <row r="84">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row>
        <row r="85">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row>
        <row r="86">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row>
        <row r="87">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row>
        <row r="88">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91">
          <cell r="F91">
            <v>22</v>
          </cell>
          <cell r="G91">
            <v>23</v>
          </cell>
          <cell r="H91">
            <v>23</v>
          </cell>
          <cell r="I91">
            <v>23</v>
          </cell>
          <cell r="J91">
            <v>23</v>
          </cell>
          <cell r="K91">
            <v>24</v>
          </cell>
          <cell r="L91">
            <v>23</v>
          </cell>
          <cell r="M91">
            <v>22</v>
          </cell>
          <cell r="N91">
            <v>23</v>
          </cell>
          <cell r="O91">
            <v>25</v>
          </cell>
          <cell r="P91">
            <v>24</v>
          </cell>
          <cell r="Q91">
            <v>23</v>
          </cell>
          <cell r="R91">
            <v>23</v>
          </cell>
        </row>
        <row r="92">
          <cell r="F92">
            <v>113.62757979999999</v>
          </cell>
          <cell r="G92">
            <v>120.36561879999999</v>
          </cell>
          <cell r="H92">
            <v>120.36561879999999</v>
          </cell>
          <cell r="I92">
            <v>109.24217951499998</v>
          </cell>
          <cell r="J92">
            <v>121.63917951499998</v>
          </cell>
          <cell r="K92">
            <v>121.63917951499998</v>
          </cell>
          <cell r="L92">
            <v>121.95253990499998</v>
          </cell>
          <cell r="M92">
            <v>119.72250090499998</v>
          </cell>
          <cell r="N92">
            <v>119.72250090499998</v>
          </cell>
          <cell r="O92">
            <v>130.01980411</v>
          </cell>
          <cell r="P92">
            <v>124.89930410999999</v>
          </cell>
          <cell r="Q92">
            <v>119.955250905</v>
          </cell>
          <cell r="R92">
            <v>1443.1512567849998</v>
          </cell>
          <cell r="S92">
            <v>354.35881739999996</v>
          </cell>
          <cell r="T92">
            <v>352.52053854499991</v>
          </cell>
          <cell r="U92">
            <v>361.39754171499993</v>
          </cell>
          <cell r="V92">
            <v>374.87435912500001</v>
          </cell>
        </row>
        <row r="93">
          <cell r="F93">
            <v>0.568137899</v>
          </cell>
          <cell r="G93">
            <v>0.60182809399999992</v>
          </cell>
          <cell r="H93">
            <v>0.60182809399999992</v>
          </cell>
          <cell r="I93">
            <v>0.54621089757499985</v>
          </cell>
          <cell r="J93">
            <v>0.60819589757499992</v>
          </cell>
          <cell r="K93">
            <v>0.60819589757499992</v>
          </cell>
          <cell r="L93">
            <v>0.60976269952499995</v>
          </cell>
          <cell r="M93">
            <v>0.59861250452499992</v>
          </cell>
          <cell r="N93">
            <v>0.59861250452499992</v>
          </cell>
          <cell r="O93">
            <v>0.65009902055000002</v>
          </cell>
          <cell r="P93">
            <v>0.62449652054999993</v>
          </cell>
          <cell r="Q93">
            <v>0.59977625452500005</v>
          </cell>
          <cell r="R93">
            <v>7.2157562839249998</v>
          </cell>
          <cell r="S93">
            <v>1.771794087</v>
          </cell>
          <cell r="T93">
            <v>1.7626026927249998</v>
          </cell>
          <cell r="U93">
            <v>1.8069877085749997</v>
          </cell>
          <cell r="V93">
            <v>1.8743717956250001</v>
          </cell>
        </row>
        <row r="94">
          <cell r="F94">
            <v>0.5</v>
          </cell>
          <cell r="G94">
            <v>0.5</v>
          </cell>
          <cell r="H94">
            <v>0.5</v>
          </cell>
          <cell r="I94">
            <v>0.5</v>
          </cell>
          <cell r="J94">
            <v>0.5</v>
          </cell>
          <cell r="K94">
            <v>0.5</v>
          </cell>
          <cell r="L94">
            <v>0.5</v>
          </cell>
          <cell r="M94">
            <v>0.5</v>
          </cell>
          <cell r="N94">
            <v>0.5</v>
          </cell>
          <cell r="O94">
            <v>0.5</v>
          </cell>
          <cell r="P94">
            <v>0.5</v>
          </cell>
          <cell r="Q94">
            <v>0.5</v>
          </cell>
          <cell r="R94">
            <v>6</v>
          </cell>
          <cell r="S94">
            <v>1.5</v>
          </cell>
          <cell r="T94">
            <v>1.5</v>
          </cell>
          <cell r="U94">
            <v>1.5</v>
          </cell>
          <cell r="V94">
            <v>1.5</v>
          </cell>
        </row>
        <row r="95">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row>
        <row r="96">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row>
        <row r="97">
          <cell r="F97">
            <v>1.0681378989999999</v>
          </cell>
          <cell r="G97">
            <v>1.101828094</v>
          </cell>
          <cell r="H97">
            <v>1.101828094</v>
          </cell>
          <cell r="I97">
            <v>1.046210897575</v>
          </cell>
          <cell r="J97">
            <v>1.1081958975749999</v>
          </cell>
          <cell r="K97">
            <v>1.1081958975749999</v>
          </cell>
          <cell r="L97">
            <v>1.1097626995250001</v>
          </cell>
          <cell r="M97">
            <v>1.0986125045249999</v>
          </cell>
          <cell r="N97">
            <v>1.0986125045249999</v>
          </cell>
          <cell r="O97">
            <v>1.1500990205499999</v>
          </cell>
          <cell r="P97">
            <v>1.1244965205499999</v>
          </cell>
          <cell r="Q97">
            <v>1.0997762545250001</v>
          </cell>
          <cell r="R97">
            <v>13.215756283925</v>
          </cell>
          <cell r="S97">
            <v>3.271794087</v>
          </cell>
          <cell r="T97">
            <v>3.2626026927249998</v>
          </cell>
          <cell r="U97">
            <v>3.3069877085749999</v>
          </cell>
          <cell r="V97">
            <v>3.3743717956250001</v>
          </cell>
        </row>
        <row r="98">
          <cell r="F98">
            <v>0</v>
          </cell>
          <cell r="G98">
            <v>30</v>
          </cell>
          <cell r="H98">
            <v>30</v>
          </cell>
          <cell r="I98">
            <v>0</v>
          </cell>
          <cell r="J98">
            <v>0</v>
          </cell>
          <cell r="K98">
            <v>0</v>
          </cell>
          <cell r="L98">
            <v>0</v>
          </cell>
          <cell r="M98">
            <v>0</v>
          </cell>
          <cell r="N98">
            <v>0</v>
          </cell>
          <cell r="O98">
            <v>0</v>
          </cell>
          <cell r="P98">
            <v>0</v>
          </cell>
          <cell r="Q98">
            <v>0</v>
          </cell>
          <cell r="R98">
            <v>60</v>
          </cell>
          <cell r="S98">
            <v>60</v>
          </cell>
          <cell r="T98">
            <v>0</v>
          </cell>
          <cell r="U98">
            <v>0</v>
          </cell>
          <cell r="V98">
            <v>0</v>
          </cell>
        </row>
        <row r="99">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row>
        <row r="100">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row>
        <row r="102">
          <cell r="F102">
            <v>0.5</v>
          </cell>
          <cell r="G102">
            <v>0.5</v>
          </cell>
          <cell r="H102">
            <v>0.5</v>
          </cell>
          <cell r="I102">
            <v>0.5</v>
          </cell>
          <cell r="J102">
            <v>0.5</v>
          </cell>
          <cell r="K102">
            <v>0.5</v>
          </cell>
          <cell r="L102">
            <v>0.5</v>
          </cell>
          <cell r="M102">
            <v>0.5</v>
          </cell>
          <cell r="N102">
            <v>0.5</v>
          </cell>
          <cell r="O102">
            <v>0.5</v>
          </cell>
          <cell r="P102">
            <v>0.5</v>
          </cell>
          <cell r="Q102">
            <v>0.5</v>
          </cell>
          <cell r="R102">
            <v>6</v>
          </cell>
          <cell r="S102">
            <v>1.5</v>
          </cell>
          <cell r="T102">
            <v>1.5</v>
          </cell>
          <cell r="U102">
            <v>1.5</v>
          </cell>
          <cell r="V102">
            <v>1.5</v>
          </cell>
        </row>
        <row r="103">
          <cell r="F103">
            <v>115.195717699</v>
          </cell>
          <cell r="G103">
            <v>151.96744689399998</v>
          </cell>
          <cell r="H103">
            <v>151.96744689399998</v>
          </cell>
          <cell r="I103">
            <v>110.78839041257497</v>
          </cell>
          <cell r="J103">
            <v>123.24737541257498</v>
          </cell>
          <cell r="K103">
            <v>123.24737541257498</v>
          </cell>
          <cell r="L103">
            <v>123.56230260452499</v>
          </cell>
          <cell r="M103">
            <v>121.32111340952497</v>
          </cell>
          <cell r="N103">
            <v>121.32111340952497</v>
          </cell>
          <cell r="O103">
            <v>131.66990313054998</v>
          </cell>
          <cell r="P103">
            <v>126.52380063054999</v>
          </cell>
          <cell r="Q103">
            <v>121.555027159525</v>
          </cell>
          <cell r="R103">
            <v>1522.3670130689247</v>
          </cell>
          <cell r="S103">
            <v>419.13061148699995</v>
          </cell>
          <cell r="T103">
            <v>357.28314123772492</v>
          </cell>
          <cell r="U103">
            <v>366.20452942357491</v>
          </cell>
          <cell r="V103">
            <v>379.74873092062501</v>
          </cell>
        </row>
        <row r="106">
          <cell r="F106">
            <v>3</v>
          </cell>
          <cell r="G106">
            <v>3</v>
          </cell>
          <cell r="H106">
            <v>3</v>
          </cell>
          <cell r="I106">
            <v>3</v>
          </cell>
          <cell r="J106">
            <v>3</v>
          </cell>
          <cell r="K106">
            <v>3</v>
          </cell>
          <cell r="L106">
            <v>3</v>
          </cell>
          <cell r="M106">
            <v>3</v>
          </cell>
          <cell r="N106">
            <v>3</v>
          </cell>
          <cell r="O106">
            <v>3</v>
          </cell>
          <cell r="P106">
            <v>3</v>
          </cell>
          <cell r="Q106">
            <v>3</v>
          </cell>
          <cell r="R106">
            <v>3</v>
          </cell>
        </row>
        <row r="107">
          <cell r="F107">
            <v>31.807671104999997</v>
          </cell>
          <cell r="G107">
            <v>31.807671104999997</v>
          </cell>
          <cell r="H107">
            <v>31.807671104999997</v>
          </cell>
          <cell r="I107">
            <v>31.807671104999997</v>
          </cell>
          <cell r="J107">
            <v>31.807671104999997</v>
          </cell>
          <cell r="K107">
            <v>31.807671104999997</v>
          </cell>
          <cell r="L107">
            <v>31.807671104999997</v>
          </cell>
          <cell r="M107">
            <v>31.807671104999997</v>
          </cell>
          <cell r="N107">
            <v>31.807671104999997</v>
          </cell>
          <cell r="O107">
            <v>31.807671104999997</v>
          </cell>
          <cell r="P107">
            <v>31.807671104999997</v>
          </cell>
          <cell r="Q107">
            <v>31.807671104999997</v>
          </cell>
          <cell r="R107">
            <v>381.69205325999997</v>
          </cell>
          <cell r="S107">
            <v>95.423013314999992</v>
          </cell>
          <cell r="T107">
            <v>95.423013314999992</v>
          </cell>
          <cell r="U107">
            <v>95.423013314999992</v>
          </cell>
          <cell r="V107">
            <v>95.423013314999992</v>
          </cell>
        </row>
        <row r="108">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row>
        <row r="109">
          <cell r="F109">
            <v>0.5</v>
          </cell>
          <cell r="G109">
            <v>0.5</v>
          </cell>
          <cell r="H109">
            <v>0.5</v>
          </cell>
          <cell r="I109">
            <v>0.5</v>
          </cell>
          <cell r="J109">
            <v>0.5</v>
          </cell>
          <cell r="K109">
            <v>0.5</v>
          </cell>
          <cell r="L109">
            <v>0.5</v>
          </cell>
          <cell r="M109">
            <v>0.5</v>
          </cell>
          <cell r="N109">
            <v>0.5</v>
          </cell>
          <cell r="O109">
            <v>0.5</v>
          </cell>
          <cell r="P109">
            <v>0.5</v>
          </cell>
          <cell r="Q109">
            <v>0.5</v>
          </cell>
          <cell r="R109">
            <v>6</v>
          </cell>
          <cell r="S109">
            <v>1.5</v>
          </cell>
          <cell r="T109">
            <v>1.5</v>
          </cell>
          <cell r="U109">
            <v>1.5</v>
          </cell>
          <cell r="V109">
            <v>1.5</v>
          </cell>
        </row>
        <row r="110">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row>
        <row r="111">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row>
        <row r="112">
          <cell r="F112">
            <v>0.5</v>
          </cell>
          <cell r="G112">
            <v>0.5</v>
          </cell>
          <cell r="H112">
            <v>0.5</v>
          </cell>
          <cell r="I112">
            <v>0.5</v>
          </cell>
          <cell r="J112">
            <v>0.5</v>
          </cell>
          <cell r="K112">
            <v>0.5</v>
          </cell>
          <cell r="L112">
            <v>0.5</v>
          </cell>
          <cell r="M112">
            <v>0.5</v>
          </cell>
          <cell r="N112">
            <v>0.5</v>
          </cell>
          <cell r="O112">
            <v>0.5</v>
          </cell>
          <cell r="P112">
            <v>0.5</v>
          </cell>
          <cell r="Q112">
            <v>0.5</v>
          </cell>
          <cell r="R112">
            <v>6</v>
          </cell>
          <cell r="S112">
            <v>1.5</v>
          </cell>
          <cell r="T112">
            <v>1.5</v>
          </cell>
          <cell r="U112">
            <v>1.5</v>
          </cell>
          <cell r="V112">
            <v>1.5</v>
          </cell>
        </row>
        <row r="113">
          <cell r="F113">
            <v>25</v>
          </cell>
          <cell r="G113">
            <v>25</v>
          </cell>
          <cell r="H113">
            <v>25</v>
          </cell>
          <cell r="I113">
            <v>25</v>
          </cell>
          <cell r="J113">
            <v>25</v>
          </cell>
          <cell r="K113">
            <v>25</v>
          </cell>
          <cell r="L113">
            <v>25</v>
          </cell>
          <cell r="M113">
            <v>25</v>
          </cell>
          <cell r="N113">
            <v>25</v>
          </cell>
          <cell r="O113">
            <v>25</v>
          </cell>
          <cell r="P113">
            <v>25</v>
          </cell>
          <cell r="Q113">
            <v>25</v>
          </cell>
          <cell r="R113">
            <v>300</v>
          </cell>
          <cell r="S113">
            <v>75</v>
          </cell>
          <cell r="T113">
            <v>75</v>
          </cell>
          <cell r="U113">
            <v>75</v>
          </cell>
          <cell r="V113">
            <v>75</v>
          </cell>
        </row>
        <row r="114">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row>
        <row r="115">
          <cell r="F115">
            <v>57.307671104999997</v>
          </cell>
          <cell r="G115">
            <v>57.307671104999997</v>
          </cell>
          <cell r="H115">
            <v>57.307671104999997</v>
          </cell>
          <cell r="I115">
            <v>57.307671104999997</v>
          </cell>
          <cell r="J115">
            <v>57.307671104999997</v>
          </cell>
          <cell r="K115">
            <v>57.307671104999997</v>
          </cell>
          <cell r="L115">
            <v>57.307671104999997</v>
          </cell>
          <cell r="M115">
            <v>57.307671104999997</v>
          </cell>
          <cell r="N115">
            <v>57.307671104999997</v>
          </cell>
          <cell r="O115">
            <v>57.307671104999997</v>
          </cell>
          <cell r="P115">
            <v>57.307671104999997</v>
          </cell>
          <cell r="Q115">
            <v>57.307671104999997</v>
          </cell>
          <cell r="R115">
            <v>687.69205326000019</v>
          </cell>
          <cell r="S115">
            <v>171.92301331499999</v>
          </cell>
          <cell r="T115">
            <v>171.92301331499999</v>
          </cell>
          <cell r="U115">
            <v>171.92301331499999</v>
          </cell>
          <cell r="V115">
            <v>171.92301331499999</v>
          </cell>
        </row>
        <row r="118">
          <cell r="F118">
            <v>13</v>
          </cell>
          <cell r="G118">
            <v>12</v>
          </cell>
          <cell r="H118">
            <v>12</v>
          </cell>
          <cell r="I118">
            <v>12</v>
          </cell>
          <cell r="J118">
            <v>12</v>
          </cell>
          <cell r="K118">
            <v>13</v>
          </cell>
          <cell r="L118">
            <v>13</v>
          </cell>
          <cell r="M118">
            <v>12</v>
          </cell>
          <cell r="N118">
            <v>11</v>
          </cell>
          <cell r="O118">
            <v>11</v>
          </cell>
          <cell r="P118">
            <v>12</v>
          </cell>
          <cell r="Q118">
            <v>12</v>
          </cell>
          <cell r="R118">
            <v>12</v>
          </cell>
        </row>
        <row r="119">
          <cell r="F119">
            <v>60.667330464999992</v>
          </cell>
          <cell r="G119">
            <v>60.501888579999992</v>
          </cell>
          <cell r="H119">
            <v>60.501888579999992</v>
          </cell>
          <cell r="I119">
            <v>60.501888579999992</v>
          </cell>
          <cell r="J119">
            <v>60.501888579999992</v>
          </cell>
          <cell r="K119">
            <v>60.501888579999992</v>
          </cell>
          <cell r="L119">
            <v>65.352888579999984</v>
          </cell>
          <cell r="M119">
            <v>61.310388579999994</v>
          </cell>
          <cell r="N119">
            <v>59.338751079999994</v>
          </cell>
          <cell r="O119">
            <v>59.338751079999994</v>
          </cell>
          <cell r="P119">
            <v>61.543751079999993</v>
          </cell>
          <cell r="Q119">
            <v>61.543751079999993</v>
          </cell>
          <cell r="R119">
            <v>731.60505484499981</v>
          </cell>
          <cell r="S119">
            <v>181.67110762499996</v>
          </cell>
          <cell r="T119">
            <v>181.50566573999998</v>
          </cell>
          <cell r="U119">
            <v>186.00202823999996</v>
          </cell>
          <cell r="V119">
            <v>182.42625323999999</v>
          </cell>
        </row>
        <row r="120">
          <cell r="F120">
            <v>2.123356566275</v>
          </cell>
          <cell r="G120">
            <v>2.1175661002999999</v>
          </cell>
          <cell r="H120">
            <v>2.1175661002999999</v>
          </cell>
          <cell r="I120">
            <v>2.1175661002999999</v>
          </cell>
          <cell r="J120">
            <v>2.1175661002999999</v>
          </cell>
          <cell r="K120">
            <v>2.1175661002999999</v>
          </cell>
          <cell r="L120">
            <v>2.2873511002999996</v>
          </cell>
          <cell r="M120">
            <v>2.1458636003000002</v>
          </cell>
          <cell r="N120">
            <v>2.0768562878000001</v>
          </cell>
          <cell r="O120">
            <v>2.0768562878000001</v>
          </cell>
          <cell r="P120">
            <v>2.1540312878000001</v>
          </cell>
          <cell r="Q120">
            <v>2.1540312878000001</v>
          </cell>
          <cell r="R120">
            <v>25.606176919574992</v>
          </cell>
          <cell r="S120">
            <v>6.3584887668750003</v>
          </cell>
          <cell r="T120">
            <v>6.3526983009000002</v>
          </cell>
          <cell r="U120">
            <v>6.5100709883999999</v>
          </cell>
          <cell r="V120">
            <v>6.3849188634000011</v>
          </cell>
        </row>
        <row r="121">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row>
        <row r="123">
          <cell r="F123">
            <v>68.055895706666661</v>
          </cell>
          <cell r="G123">
            <v>68.055895706666661</v>
          </cell>
          <cell r="H123">
            <v>68.055895706666661</v>
          </cell>
          <cell r="I123">
            <v>68.055895706666661</v>
          </cell>
          <cell r="J123">
            <v>68.055895706666661</v>
          </cell>
          <cell r="K123">
            <v>68.055895706666661</v>
          </cell>
          <cell r="L123">
            <v>68.055895706666661</v>
          </cell>
          <cell r="M123">
            <v>68.055895706666661</v>
          </cell>
          <cell r="N123">
            <v>68.055895706666661</v>
          </cell>
          <cell r="O123">
            <v>68.055895706666661</v>
          </cell>
          <cell r="P123">
            <v>68.055895706666661</v>
          </cell>
          <cell r="Q123">
            <v>68.055895706666661</v>
          </cell>
          <cell r="R123">
            <v>816.67074847999993</v>
          </cell>
          <cell r="S123">
            <v>204.16768711999998</v>
          </cell>
          <cell r="T123">
            <v>204.16768711999998</v>
          </cell>
          <cell r="U123">
            <v>204.16768711999998</v>
          </cell>
          <cell r="V123">
            <v>204.16768711999998</v>
          </cell>
        </row>
        <row r="124">
          <cell r="F124">
            <v>70.179252272941667</v>
          </cell>
          <cell r="G124">
            <v>70.173461806966657</v>
          </cell>
          <cell r="H124">
            <v>70.173461806966657</v>
          </cell>
          <cell r="I124">
            <v>70.173461806966657</v>
          </cell>
          <cell r="J124">
            <v>70.173461806966657</v>
          </cell>
          <cell r="K124">
            <v>70.173461806966657</v>
          </cell>
          <cell r="L124">
            <v>70.343246806966661</v>
          </cell>
          <cell r="M124">
            <v>70.201759306966665</v>
          </cell>
          <cell r="N124">
            <v>70.132751994466659</v>
          </cell>
          <cell r="O124">
            <v>70.132751994466659</v>
          </cell>
          <cell r="P124">
            <v>70.209926994466656</v>
          </cell>
          <cell r="Q124">
            <v>70.209926994466656</v>
          </cell>
          <cell r="R124">
            <v>842.27692539957479</v>
          </cell>
          <cell r="S124">
            <v>210.52617588687497</v>
          </cell>
          <cell r="T124">
            <v>210.52038542089997</v>
          </cell>
          <cell r="U124">
            <v>210.67775810839998</v>
          </cell>
          <cell r="V124">
            <v>210.55260598339996</v>
          </cell>
        </row>
        <row r="125">
          <cell r="F125">
            <v>23.833333333333332</v>
          </cell>
          <cell r="G125">
            <v>23.833333333333332</v>
          </cell>
          <cell r="H125">
            <v>23.833333333333332</v>
          </cell>
          <cell r="I125">
            <v>23.833333333333332</v>
          </cell>
          <cell r="J125">
            <v>23.833333333333332</v>
          </cell>
          <cell r="K125">
            <v>23.833333333333332</v>
          </cell>
          <cell r="L125">
            <v>23.833333333333332</v>
          </cell>
          <cell r="M125">
            <v>23.833333333333332</v>
          </cell>
          <cell r="N125">
            <v>23.833333333333332</v>
          </cell>
          <cell r="O125">
            <v>23.833333333333332</v>
          </cell>
          <cell r="P125">
            <v>23.833333333333332</v>
          </cell>
          <cell r="Q125">
            <v>23.833333333333332</v>
          </cell>
          <cell r="R125">
            <v>286</v>
          </cell>
          <cell r="S125">
            <v>71.5</v>
          </cell>
          <cell r="T125">
            <v>71.5</v>
          </cell>
          <cell r="U125">
            <v>71.5</v>
          </cell>
          <cell r="V125">
            <v>71.5</v>
          </cell>
        </row>
        <row r="126">
          <cell r="F126">
            <v>19.583333333333336</v>
          </cell>
          <cell r="G126">
            <v>19.583333333333336</v>
          </cell>
          <cell r="H126">
            <v>19.583333333333336</v>
          </cell>
          <cell r="I126">
            <v>19.583333333333336</v>
          </cell>
          <cell r="J126">
            <v>19.583333333333336</v>
          </cell>
          <cell r="K126">
            <v>19.583333333333336</v>
          </cell>
          <cell r="L126">
            <v>19.583333333333336</v>
          </cell>
          <cell r="M126">
            <v>19.583333333333336</v>
          </cell>
          <cell r="N126">
            <v>19.583333333333336</v>
          </cell>
          <cell r="O126">
            <v>19.583333333333336</v>
          </cell>
          <cell r="P126">
            <v>19.583333333333336</v>
          </cell>
          <cell r="Q126">
            <v>19.583333333333336</v>
          </cell>
          <cell r="R126">
            <v>235.00000000000009</v>
          </cell>
          <cell r="S126">
            <v>58.750000000000007</v>
          </cell>
          <cell r="T126">
            <v>58.750000000000007</v>
          </cell>
          <cell r="U126">
            <v>58.750000000000007</v>
          </cell>
          <cell r="V126">
            <v>58.750000000000007</v>
          </cell>
        </row>
        <row r="127">
          <cell r="F127">
            <v>84.166666666666671</v>
          </cell>
          <cell r="G127">
            <v>84.166666666666671</v>
          </cell>
          <cell r="H127">
            <v>84.166666666666671</v>
          </cell>
          <cell r="I127">
            <v>84.166666666666671</v>
          </cell>
          <cell r="J127">
            <v>84.166666666666671</v>
          </cell>
          <cell r="K127">
            <v>84.166666666666671</v>
          </cell>
          <cell r="L127">
            <v>84.166666666666671</v>
          </cell>
          <cell r="M127">
            <v>84.166666666666671</v>
          </cell>
          <cell r="N127">
            <v>106</v>
          </cell>
          <cell r="O127">
            <v>106</v>
          </cell>
          <cell r="P127">
            <v>106</v>
          </cell>
          <cell r="Q127">
            <v>106</v>
          </cell>
          <cell r="R127">
            <v>1097.3333333333335</v>
          </cell>
          <cell r="S127">
            <v>252.5</v>
          </cell>
          <cell r="T127">
            <v>252.5</v>
          </cell>
          <cell r="U127">
            <v>274.33333333333337</v>
          </cell>
          <cell r="V127">
            <v>318</v>
          </cell>
        </row>
        <row r="128">
          <cell r="F128">
            <v>258.42991607127504</v>
          </cell>
          <cell r="G128">
            <v>258.25868372029998</v>
          </cell>
          <cell r="H128">
            <v>258.25868372029998</v>
          </cell>
          <cell r="I128">
            <v>258.25868372029998</v>
          </cell>
          <cell r="J128">
            <v>258.25868372029998</v>
          </cell>
          <cell r="K128">
            <v>258.25868372029998</v>
          </cell>
          <cell r="L128">
            <v>263.27946872030003</v>
          </cell>
          <cell r="M128">
            <v>259.09548122030003</v>
          </cell>
          <cell r="N128">
            <v>278.88816974113331</v>
          </cell>
          <cell r="O128">
            <v>278.88816974113331</v>
          </cell>
          <cell r="P128">
            <v>281.17034474113336</v>
          </cell>
          <cell r="Q128">
            <v>281.17034474113336</v>
          </cell>
          <cell r="R128">
            <v>3192.2153135779085</v>
          </cell>
          <cell r="S128">
            <v>774.94728351187496</v>
          </cell>
          <cell r="T128">
            <v>774.7760511608999</v>
          </cell>
          <cell r="U128">
            <v>801.26311968173343</v>
          </cell>
          <cell r="V128">
            <v>841.22885922340004</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row>
        <row r="135">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row>
        <row r="136">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row>
        <row r="137">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row>
        <row r="138">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row>
        <row r="139">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row>
        <row r="140">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row>
        <row r="141">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row>
        <row r="143">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row>
        <row r="144">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row>
        <row r="147">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row>
        <row r="148">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row>
        <row r="154">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row>
        <row r="156">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row>
        <row r="159">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row>
        <row r="160">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row>
        <row r="161">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row>
        <row r="162">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row>
        <row r="163">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row>
        <row r="164">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row>
        <row r="165">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row>
        <row r="166">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row>
        <row r="172">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row>
        <row r="175">
          <cell r="S175">
            <v>0</v>
          </cell>
          <cell r="T175">
            <v>0</v>
          </cell>
          <cell r="U175">
            <v>0</v>
          </cell>
          <cell r="V175">
            <v>0</v>
          </cell>
        </row>
        <row r="177">
          <cell r="F177">
            <v>8</v>
          </cell>
          <cell r="G177">
            <v>9</v>
          </cell>
          <cell r="H177">
            <v>9</v>
          </cell>
          <cell r="I177">
            <v>9</v>
          </cell>
          <cell r="J177">
            <v>9</v>
          </cell>
          <cell r="K177">
            <v>9</v>
          </cell>
          <cell r="L177">
            <v>9</v>
          </cell>
          <cell r="M177">
            <v>9</v>
          </cell>
          <cell r="N177">
            <v>8</v>
          </cell>
          <cell r="O177">
            <v>8</v>
          </cell>
          <cell r="P177">
            <v>7</v>
          </cell>
          <cell r="Q177">
            <v>7</v>
          </cell>
          <cell r="R177">
            <v>7</v>
          </cell>
        </row>
        <row r="178">
          <cell r="F178">
            <v>120.11411674499999</v>
          </cell>
          <cell r="G178">
            <v>141.00037434000001</v>
          </cell>
          <cell r="H178">
            <v>141.00037434000001</v>
          </cell>
          <cell r="I178">
            <v>130.58715158999999</v>
          </cell>
          <cell r="J178">
            <v>130.58715158999999</v>
          </cell>
          <cell r="K178">
            <v>130.58715158999999</v>
          </cell>
          <cell r="L178">
            <v>130.58715158999999</v>
          </cell>
          <cell r="M178">
            <v>130.58715158999999</v>
          </cell>
          <cell r="N178">
            <v>130.58715158999999</v>
          </cell>
          <cell r="O178">
            <v>130.58715158999999</v>
          </cell>
          <cell r="P178">
            <v>124.35182172</v>
          </cell>
          <cell r="Q178">
            <v>124.35182172</v>
          </cell>
          <cell r="R178">
            <v>1564.9285699950003</v>
          </cell>
          <cell r="S178">
            <v>402.114865425</v>
          </cell>
          <cell r="T178">
            <v>391.76145477</v>
          </cell>
          <cell r="U178">
            <v>391.76145477</v>
          </cell>
          <cell r="V178">
            <v>379.29079503000003</v>
          </cell>
        </row>
        <row r="179">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row>
        <row r="180">
          <cell r="F180">
            <v>3.0028529186249999</v>
          </cell>
          <cell r="G180">
            <v>3.5250093585000002</v>
          </cell>
          <cell r="H180">
            <v>3.5250093585000002</v>
          </cell>
          <cell r="I180">
            <v>3.26467878975</v>
          </cell>
          <cell r="J180">
            <v>3.26467878975</v>
          </cell>
          <cell r="K180">
            <v>3.26467878975</v>
          </cell>
          <cell r="L180">
            <v>3.26467878975</v>
          </cell>
          <cell r="M180">
            <v>3.26467878975</v>
          </cell>
          <cell r="N180">
            <v>3.26467878975</v>
          </cell>
          <cell r="O180">
            <v>3.26467878975</v>
          </cell>
          <cell r="P180">
            <v>3.1087955430000003</v>
          </cell>
          <cell r="Q180">
            <v>3.1087955430000003</v>
          </cell>
          <cell r="R180">
            <v>39.123214249874998</v>
          </cell>
          <cell r="S180">
            <v>10.052871635624999</v>
          </cell>
          <cell r="T180">
            <v>9.7940363692499997</v>
          </cell>
          <cell r="U180">
            <v>9.7940363692499997</v>
          </cell>
          <cell r="V180">
            <v>9.4822698757499992</v>
          </cell>
        </row>
        <row r="181">
          <cell r="F181">
            <v>4</v>
          </cell>
          <cell r="G181">
            <v>4</v>
          </cell>
          <cell r="H181">
            <v>4</v>
          </cell>
          <cell r="I181">
            <v>4</v>
          </cell>
          <cell r="J181">
            <v>4</v>
          </cell>
          <cell r="K181">
            <v>4</v>
          </cell>
          <cell r="L181">
            <v>4</v>
          </cell>
          <cell r="M181">
            <v>4</v>
          </cell>
          <cell r="N181">
            <v>4</v>
          </cell>
          <cell r="O181">
            <v>4</v>
          </cell>
          <cell r="P181">
            <v>4</v>
          </cell>
          <cell r="Q181">
            <v>4</v>
          </cell>
          <cell r="R181">
            <v>48</v>
          </cell>
          <cell r="S181">
            <v>12</v>
          </cell>
          <cell r="T181">
            <v>12</v>
          </cell>
          <cell r="U181">
            <v>12</v>
          </cell>
          <cell r="V181">
            <v>12</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row>
        <row r="183">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row>
        <row r="184">
          <cell r="F184">
            <v>7.0028529186249999</v>
          </cell>
          <cell r="G184">
            <v>7.5250093585000002</v>
          </cell>
          <cell r="H184">
            <v>7.5250093585000002</v>
          </cell>
          <cell r="I184">
            <v>7.2646787897500005</v>
          </cell>
          <cell r="J184">
            <v>7.2646787897500005</v>
          </cell>
          <cell r="K184">
            <v>7.2646787897500005</v>
          </cell>
          <cell r="L184">
            <v>7.2646787897500005</v>
          </cell>
          <cell r="M184">
            <v>7.2646787897500005</v>
          </cell>
          <cell r="N184">
            <v>7.2646787897500005</v>
          </cell>
          <cell r="O184">
            <v>7.2646787897500005</v>
          </cell>
          <cell r="P184">
            <v>7.1087955430000003</v>
          </cell>
          <cell r="Q184">
            <v>7.1087955430000003</v>
          </cell>
          <cell r="R184">
            <v>87.123214249874991</v>
          </cell>
          <cell r="S184">
            <v>22.052871635624999</v>
          </cell>
          <cell r="T184">
            <v>21.794036369250001</v>
          </cell>
          <cell r="U184">
            <v>21.794036369250001</v>
          </cell>
          <cell r="V184">
            <v>21.482269875749999</v>
          </cell>
        </row>
        <row r="185">
          <cell r="F185">
            <v>30</v>
          </cell>
          <cell r="G185">
            <v>30</v>
          </cell>
          <cell r="H185">
            <v>30</v>
          </cell>
          <cell r="I185">
            <v>0</v>
          </cell>
          <cell r="J185">
            <v>0</v>
          </cell>
          <cell r="K185">
            <v>0</v>
          </cell>
          <cell r="L185">
            <v>0</v>
          </cell>
          <cell r="M185">
            <v>0</v>
          </cell>
          <cell r="N185">
            <v>20</v>
          </cell>
          <cell r="O185">
            <v>20</v>
          </cell>
          <cell r="P185">
            <v>20</v>
          </cell>
          <cell r="Q185">
            <v>20</v>
          </cell>
          <cell r="R185">
            <v>170</v>
          </cell>
          <cell r="S185">
            <v>90</v>
          </cell>
          <cell r="T185">
            <v>0</v>
          </cell>
          <cell r="U185">
            <v>20</v>
          </cell>
          <cell r="V185">
            <v>60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F189">
            <v>205.66666666666666</v>
          </cell>
          <cell r="G189">
            <v>205.66666666666666</v>
          </cell>
          <cell r="H189">
            <v>205.66666666666666</v>
          </cell>
          <cell r="I189">
            <v>205.66666666666666</v>
          </cell>
          <cell r="J189">
            <v>205.66666666666666</v>
          </cell>
          <cell r="K189">
            <v>205.66666666666666</v>
          </cell>
          <cell r="L189">
            <v>205.66666666666666</v>
          </cell>
          <cell r="M189">
            <v>205.66666666666666</v>
          </cell>
          <cell r="N189">
            <v>205.66666666666666</v>
          </cell>
          <cell r="O189">
            <v>205.66666666666666</v>
          </cell>
          <cell r="P189">
            <v>205.66666666666666</v>
          </cell>
          <cell r="Q189">
            <v>205.66666666666666</v>
          </cell>
          <cell r="R189">
            <v>2468</v>
          </cell>
          <cell r="S189">
            <v>617</v>
          </cell>
          <cell r="T189">
            <v>617</v>
          </cell>
          <cell r="U189">
            <v>617</v>
          </cell>
          <cell r="V189">
            <v>617</v>
          </cell>
        </row>
        <row r="190">
          <cell r="F190">
            <v>12.5</v>
          </cell>
          <cell r="G190">
            <v>12.5</v>
          </cell>
          <cell r="H190">
            <v>12.5</v>
          </cell>
          <cell r="I190">
            <v>12.5</v>
          </cell>
          <cell r="J190">
            <v>12.5</v>
          </cell>
          <cell r="K190">
            <v>12.5</v>
          </cell>
          <cell r="L190">
            <v>12.5</v>
          </cell>
          <cell r="M190">
            <v>12.5</v>
          </cell>
          <cell r="N190">
            <v>12.5</v>
          </cell>
          <cell r="O190">
            <v>12.5</v>
          </cell>
          <cell r="P190">
            <v>12.5</v>
          </cell>
          <cell r="Q190">
            <v>12.5</v>
          </cell>
          <cell r="R190">
            <v>150</v>
          </cell>
          <cell r="S190">
            <v>37.5</v>
          </cell>
          <cell r="T190">
            <v>37.5</v>
          </cell>
          <cell r="U190">
            <v>37.5</v>
          </cell>
          <cell r="V190">
            <v>37.5</v>
          </cell>
        </row>
        <row r="191">
          <cell r="F191">
            <v>9</v>
          </cell>
          <cell r="G191">
            <v>9</v>
          </cell>
          <cell r="H191">
            <v>9</v>
          </cell>
          <cell r="I191">
            <v>9</v>
          </cell>
          <cell r="J191">
            <v>9</v>
          </cell>
          <cell r="K191">
            <v>9</v>
          </cell>
          <cell r="L191">
            <v>9</v>
          </cell>
          <cell r="M191">
            <v>9</v>
          </cell>
          <cell r="N191">
            <v>9</v>
          </cell>
          <cell r="O191">
            <v>9</v>
          </cell>
          <cell r="P191">
            <v>9</v>
          </cell>
          <cell r="Q191">
            <v>9</v>
          </cell>
          <cell r="R191">
            <v>108</v>
          </cell>
          <cell r="S191">
            <v>27</v>
          </cell>
          <cell r="T191">
            <v>27</v>
          </cell>
          <cell r="U191">
            <v>27</v>
          </cell>
          <cell r="V191">
            <v>27</v>
          </cell>
        </row>
        <row r="192">
          <cell r="F192">
            <v>2.4166666666666665</v>
          </cell>
          <cell r="G192">
            <v>2.4166666666666665</v>
          </cell>
          <cell r="H192">
            <v>2.4166666666666665</v>
          </cell>
          <cell r="I192">
            <v>2.4166666666666665</v>
          </cell>
          <cell r="J192">
            <v>2.4166666666666665</v>
          </cell>
          <cell r="K192">
            <v>2.4166666666666665</v>
          </cell>
          <cell r="L192">
            <v>2.4166666666666665</v>
          </cell>
          <cell r="M192">
            <v>2.4166666666666665</v>
          </cell>
          <cell r="N192">
            <v>9.6166666666666707</v>
          </cell>
          <cell r="O192">
            <v>9.6166666666666707</v>
          </cell>
          <cell r="P192">
            <v>9.6166666666666707</v>
          </cell>
          <cell r="Q192">
            <v>9.6166666666666707</v>
          </cell>
          <cell r="R192">
            <v>57.800000000000026</v>
          </cell>
          <cell r="S192">
            <v>7.25</v>
          </cell>
          <cell r="T192">
            <v>7.25</v>
          </cell>
          <cell r="U192">
            <v>14.450000000000003</v>
          </cell>
          <cell r="V192">
            <v>28.850000000000012</v>
          </cell>
        </row>
        <row r="193">
          <cell r="F193">
            <v>25.583333333333336</v>
          </cell>
          <cell r="G193">
            <v>25.583333333333336</v>
          </cell>
          <cell r="H193">
            <v>25.583333333333336</v>
          </cell>
          <cell r="I193">
            <v>25.583333333333336</v>
          </cell>
          <cell r="J193">
            <v>25.583333333333336</v>
          </cell>
          <cell r="K193">
            <v>25.583333333333336</v>
          </cell>
          <cell r="L193">
            <v>25.583333333333336</v>
          </cell>
          <cell r="M193">
            <v>25.583333333333336</v>
          </cell>
          <cell r="N193">
            <v>25.583333333333336</v>
          </cell>
          <cell r="O193">
            <v>25.583333333333336</v>
          </cell>
          <cell r="P193">
            <v>25.583333333333336</v>
          </cell>
          <cell r="Q193">
            <v>25.583333333333336</v>
          </cell>
          <cell r="R193">
            <v>307.00000000000006</v>
          </cell>
          <cell r="S193">
            <v>76.75</v>
          </cell>
          <cell r="T193">
            <v>76.75</v>
          </cell>
          <cell r="U193">
            <v>76.75</v>
          </cell>
          <cell r="V193">
            <v>76.75</v>
          </cell>
        </row>
        <row r="194">
          <cell r="F194">
            <v>66.666666666666671</v>
          </cell>
          <cell r="G194">
            <v>66.666666666666671</v>
          </cell>
          <cell r="H194">
            <v>66.666666666666671</v>
          </cell>
          <cell r="I194">
            <v>66.666666666666671</v>
          </cell>
          <cell r="J194">
            <v>66.666666666666671</v>
          </cell>
          <cell r="K194">
            <v>66.666666666666671</v>
          </cell>
          <cell r="L194">
            <v>66.666666666666671</v>
          </cell>
          <cell r="M194">
            <v>66.666666666666671</v>
          </cell>
          <cell r="N194">
            <v>66.666666666666671</v>
          </cell>
          <cell r="O194">
            <v>66.666666666666671</v>
          </cell>
          <cell r="P194">
            <v>66.666666666666671</v>
          </cell>
          <cell r="Q194">
            <v>66.666666666666671</v>
          </cell>
          <cell r="R194">
            <v>799.99999999999989</v>
          </cell>
          <cell r="S194">
            <v>200</v>
          </cell>
          <cell r="T194">
            <v>200</v>
          </cell>
          <cell r="U194">
            <v>200</v>
          </cell>
          <cell r="V194">
            <v>200</v>
          </cell>
        </row>
        <row r="195">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row>
        <row r="196">
          <cell r="F196">
            <v>16.25</v>
          </cell>
          <cell r="G196">
            <v>16.25</v>
          </cell>
          <cell r="H196">
            <v>16.25</v>
          </cell>
          <cell r="I196">
            <v>16.25</v>
          </cell>
          <cell r="J196">
            <v>16.25</v>
          </cell>
          <cell r="K196">
            <v>16.25</v>
          </cell>
          <cell r="L196">
            <v>16.25</v>
          </cell>
          <cell r="M196">
            <v>16.25</v>
          </cell>
          <cell r="N196">
            <v>16.25</v>
          </cell>
          <cell r="O196">
            <v>16.25</v>
          </cell>
          <cell r="P196">
            <v>16.25</v>
          </cell>
          <cell r="Q196">
            <v>16.25</v>
          </cell>
          <cell r="R196">
            <v>195</v>
          </cell>
          <cell r="S196">
            <v>48.75</v>
          </cell>
          <cell r="T196">
            <v>48.75</v>
          </cell>
          <cell r="U196">
            <v>48.75</v>
          </cell>
          <cell r="V196">
            <v>48.75</v>
          </cell>
        </row>
        <row r="197">
          <cell r="F197">
            <v>13.333333333333334</v>
          </cell>
          <cell r="G197">
            <v>13.333333333333334</v>
          </cell>
          <cell r="H197">
            <v>13.333333333333334</v>
          </cell>
          <cell r="I197">
            <v>13.333333333333334</v>
          </cell>
          <cell r="J197">
            <v>13.333333333333334</v>
          </cell>
          <cell r="K197">
            <v>13.333333333333334</v>
          </cell>
          <cell r="L197">
            <v>13.333333333333334</v>
          </cell>
          <cell r="M197">
            <v>13.333333333333334</v>
          </cell>
          <cell r="N197">
            <v>13.333333333333334</v>
          </cell>
          <cell r="O197">
            <v>13.333333333333334</v>
          </cell>
          <cell r="P197">
            <v>13.333333333333334</v>
          </cell>
          <cell r="Q197">
            <v>13.333333333333334</v>
          </cell>
          <cell r="R197">
            <v>160</v>
          </cell>
          <cell r="S197">
            <v>40</v>
          </cell>
          <cell r="T197">
            <v>40</v>
          </cell>
          <cell r="U197">
            <v>40</v>
          </cell>
          <cell r="V197">
            <v>40</v>
          </cell>
        </row>
        <row r="198">
          <cell r="F198">
            <v>375</v>
          </cell>
          <cell r="G198">
            <v>375</v>
          </cell>
          <cell r="H198">
            <v>375</v>
          </cell>
          <cell r="I198">
            <v>375</v>
          </cell>
          <cell r="J198">
            <v>375</v>
          </cell>
          <cell r="K198">
            <v>375</v>
          </cell>
          <cell r="L198">
            <v>375</v>
          </cell>
          <cell r="M198">
            <v>375</v>
          </cell>
          <cell r="N198">
            <v>375</v>
          </cell>
          <cell r="O198">
            <v>375</v>
          </cell>
          <cell r="P198">
            <v>375</v>
          </cell>
          <cell r="Q198">
            <v>375</v>
          </cell>
          <cell r="R198">
            <v>4500</v>
          </cell>
          <cell r="S198">
            <v>1125</v>
          </cell>
          <cell r="T198">
            <v>1125</v>
          </cell>
          <cell r="U198">
            <v>1125</v>
          </cell>
          <cell r="V198">
            <v>1125</v>
          </cell>
        </row>
        <row r="199">
          <cell r="F199">
            <v>63.55</v>
          </cell>
          <cell r="G199">
            <v>63.55</v>
          </cell>
          <cell r="H199">
            <v>63.55</v>
          </cell>
          <cell r="I199">
            <v>63.55</v>
          </cell>
          <cell r="J199">
            <v>63.55</v>
          </cell>
          <cell r="K199">
            <v>63.55</v>
          </cell>
          <cell r="L199">
            <v>63.55</v>
          </cell>
          <cell r="M199">
            <v>63.55</v>
          </cell>
          <cell r="N199">
            <v>63.55</v>
          </cell>
          <cell r="O199">
            <v>63.55</v>
          </cell>
          <cell r="P199">
            <v>63.55</v>
          </cell>
          <cell r="Q199">
            <v>63.55</v>
          </cell>
          <cell r="R199">
            <v>762.59999999999991</v>
          </cell>
          <cell r="S199">
            <v>190.64999999999998</v>
          </cell>
          <cell r="T199">
            <v>190.64999999999998</v>
          </cell>
          <cell r="U199">
            <v>190.64999999999998</v>
          </cell>
          <cell r="V199">
            <v>190.64999999999998</v>
          </cell>
        </row>
        <row r="200">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row>
        <row r="201">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row>
        <row r="202">
          <cell r="F202">
            <v>11.866666666666667</v>
          </cell>
          <cell r="G202">
            <v>11.866666666666667</v>
          </cell>
          <cell r="H202">
            <v>11.866666666666667</v>
          </cell>
          <cell r="I202">
            <v>11.866666666666667</v>
          </cell>
          <cell r="J202">
            <v>11.866666666666667</v>
          </cell>
          <cell r="K202">
            <v>11.866666666666667</v>
          </cell>
          <cell r="L202">
            <v>11.866666666666667</v>
          </cell>
          <cell r="M202">
            <v>11.866666666666667</v>
          </cell>
          <cell r="N202">
            <v>11.866666666666667</v>
          </cell>
          <cell r="O202">
            <v>11.866666666666667</v>
          </cell>
          <cell r="P202">
            <v>11.866666666666667</v>
          </cell>
          <cell r="Q202">
            <v>11.866666666666667</v>
          </cell>
          <cell r="R202">
            <v>142.40000000000003</v>
          </cell>
          <cell r="S202">
            <v>35.6</v>
          </cell>
          <cell r="T202">
            <v>35.6</v>
          </cell>
          <cell r="U202">
            <v>35.6</v>
          </cell>
          <cell r="V202">
            <v>35.6</v>
          </cell>
        </row>
        <row r="203">
          <cell r="F203">
            <v>70</v>
          </cell>
          <cell r="G203">
            <v>70</v>
          </cell>
          <cell r="H203">
            <v>70</v>
          </cell>
          <cell r="I203">
            <v>70</v>
          </cell>
          <cell r="J203">
            <v>112.5</v>
          </cell>
          <cell r="K203">
            <v>112.5</v>
          </cell>
          <cell r="L203">
            <v>112.5</v>
          </cell>
          <cell r="M203">
            <v>112.5</v>
          </cell>
          <cell r="N203">
            <v>59</v>
          </cell>
          <cell r="O203">
            <v>59</v>
          </cell>
          <cell r="P203">
            <v>59</v>
          </cell>
          <cell r="Q203">
            <v>59</v>
          </cell>
          <cell r="R203">
            <v>966</v>
          </cell>
          <cell r="S203">
            <v>210</v>
          </cell>
          <cell r="T203">
            <v>295</v>
          </cell>
          <cell r="U203">
            <v>284</v>
          </cell>
          <cell r="V203">
            <v>177</v>
          </cell>
        </row>
        <row r="204">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row>
        <row r="205">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row>
        <row r="206">
          <cell r="F206">
            <v>3</v>
          </cell>
          <cell r="G206">
            <v>3</v>
          </cell>
          <cell r="H206">
            <v>3</v>
          </cell>
          <cell r="I206">
            <v>3</v>
          </cell>
          <cell r="J206">
            <v>3</v>
          </cell>
          <cell r="K206">
            <v>3</v>
          </cell>
          <cell r="L206">
            <v>3</v>
          </cell>
          <cell r="M206">
            <v>3</v>
          </cell>
          <cell r="N206">
            <v>3</v>
          </cell>
          <cell r="O206">
            <v>3</v>
          </cell>
          <cell r="P206">
            <v>3</v>
          </cell>
          <cell r="Q206">
            <v>3</v>
          </cell>
          <cell r="R206">
            <v>36</v>
          </cell>
          <cell r="S206">
            <v>9</v>
          </cell>
          <cell r="T206">
            <v>9</v>
          </cell>
          <cell r="U206">
            <v>9</v>
          </cell>
          <cell r="V206">
            <v>9</v>
          </cell>
        </row>
        <row r="207">
          <cell r="F207">
            <v>9</v>
          </cell>
          <cell r="G207">
            <v>9</v>
          </cell>
          <cell r="H207">
            <v>9</v>
          </cell>
          <cell r="I207">
            <v>9</v>
          </cell>
          <cell r="J207">
            <v>9</v>
          </cell>
          <cell r="K207">
            <v>9</v>
          </cell>
          <cell r="L207">
            <v>9</v>
          </cell>
          <cell r="M207">
            <v>9</v>
          </cell>
          <cell r="N207">
            <v>9</v>
          </cell>
          <cell r="O207">
            <v>9</v>
          </cell>
          <cell r="P207">
            <v>9</v>
          </cell>
          <cell r="Q207">
            <v>9</v>
          </cell>
          <cell r="R207">
            <v>108</v>
          </cell>
          <cell r="S207">
            <v>27</v>
          </cell>
          <cell r="T207">
            <v>27</v>
          </cell>
          <cell r="U207">
            <v>27</v>
          </cell>
          <cell r="V207">
            <v>27</v>
          </cell>
        </row>
        <row r="208">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row>
        <row r="209">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row>
        <row r="210">
          <cell r="F210">
            <v>34.199268679344414</v>
          </cell>
          <cell r="G210">
            <v>31.212126670201684</v>
          </cell>
          <cell r="H210">
            <v>34.130397334333608</v>
          </cell>
          <cell r="I210">
            <v>29.838133703458823</v>
          </cell>
          <cell r="J210">
            <v>34.258658590960891</v>
          </cell>
          <cell r="K210">
            <v>34.469305908146126</v>
          </cell>
          <cell r="L210">
            <v>33.24473327667684</v>
          </cell>
          <cell r="M210">
            <v>38.348158827223799</v>
          </cell>
          <cell r="N210">
            <v>41.52561978522597</v>
          </cell>
          <cell r="O210">
            <v>33.985436099001589</v>
          </cell>
          <cell r="P210">
            <v>34.922606853569448</v>
          </cell>
          <cell r="Q210">
            <v>43.175062046492741</v>
          </cell>
          <cell r="R210">
            <v>423.3095077746359</v>
          </cell>
          <cell r="S210">
            <v>99.541792683879706</v>
          </cell>
          <cell r="T210">
            <v>98.56609820256584</v>
          </cell>
          <cell r="U210">
            <v>113.11851188912661</v>
          </cell>
          <cell r="V210">
            <v>112.08310499906378</v>
          </cell>
        </row>
        <row r="211">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row>
        <row r="212">
          <cell r="F212">
            <v>1075.1495716763027</v>
          </cell>
          <cell r="G212">
            <v>1093.5708437020351</v>
          </cell>
          <cell r="H212">
            <v>1096.4891143661669</v>
          </cell>
          <cell r="I212">
            <v>1051.5232974165422</v>
          </cell>
          <cell r="J212">
            <v>1098.4438223040443</v>
          </cell>
          <cell r="K212">
            <v>1098.6544696212295</v>
          </cell>
          <cell r="L212">
            <v>1097.4298969897602</v>
          </cell>
          <cell r="M212">
            <v>1102.5333225403072</v>
          </cell>
          <cell r="N212">
            <v>1079.4107834983092</v>
          </cell>
          <cell r="O212">
            <v>1071.8705998120849</v>
          </cell>
          <cell r="P212">
            <v>1066.4165574499029</v>
          </cell>
          <cell r="Q212">
            <v>1074.6690126428261</v>
          </cell>
          <cell r="R212">
            <v>13006.161292019511</v>
          </cell>
          <cell r="S212">
            <v>3265.2095297445048</v>
          </cell>
          <cell r="T212">
            <v>3248.6215893418157</v>
          </cell>
          <cell r="U212">
            <v>3279.3740030283766</v>
          </cell>
          <cell r="V212">
            <v>3212.956169904814</v>
          </cell>
        </row>
        <row r="216">
          <cell r="F216">
            <v>71</v>
          </cell>
          <cell r="G216">
            <v>71</v>
          </cell>
          <cell r="H216">
            <v>71</v>
          </cell>
          <cell r="I216">
            <v>70</v>
          </cell>
          <cell r="J216">
            <v>70</v>
          </cell>
          <cell r="K216">
            <v>72</v>
          </cell>
          <cell r="L216">
            <v>70</v>
          </cell>
          <cell r="M216">
            <v>68</v>
          </cell>
          <cell r="N216">
            <v>65</v>
          </cell>
          <cell r="O216">
            <v>70</v>
          </cell>
          <cell r="P216">
            <v>70</v>
          </cell>
          <cell r="Q216">
            <v>68</v>
          </cell>
          <cell r="R216">
            <v>68</v>
          </cell>
        </row>
        <row r="217">
          <cell r="F217">
            <v>486.37816379949999</v>
          </cell>
          <cell r="G217">
            <v>514.06569538450003</v>
          </cell>
          <cell r="H217">
            <v>514.06569538450003</v>
          </cell>
          <cell r="I217">
            <v>482.80972336449997</v>
          </cell>
          <cell r="J217">
            <v>495.20672336450002</v>
          </cell>
          <cell r="K217">
            <v>486.65642485249998</v>
          </cell>
          <cell r="L217">
            <v>491.55131892999998</v>
          </cell>
          <cell r="M217">
            <v>493.65777992999995</v>
          </cell>
          <cell r="N217">
            <v>491.68614243000002</v>
          </cell>
          <cell r="O217">
            <v>520.65923189</v>
          </cell>
          <cell r="P217">
            <v>520.83745713999997</v>
          </cell>
          <cell r="Q217">
            <v>508.75949393500002</v>
          </cell>
          <cell r="R217">
            <v>6006.3338504050007</v>
          </cell>
          <cell r="S217">
            <v>1514.5095545685001</v>
          </cell>
          <cell r="T217">
            <v>1464.6728715815</v>
          </cell>
          <cell r="U217">
            <v>1476.8952412899998</v>
          </cell>
          <cell r="V217">
            <v>1550.2561829649999</v>
          </cell>
        </row>
        <row r="218">
          <cell r="F218">
            <v>12.390881774249998</v>
          </cell>
          <cell r="G218">
            <v>12.474235367999997</v>
          </cell>
          <cell r="H218">
            <v>12.474235367999997</v>
          </cell>
          <cell r="I218">
            <v>12.157301346749996</v>
          </cell>
          <cell r="J218">
            <v>12.157301346749996</v>
          </cell>
          <cell r="K218">
            <v>10.019726718749999</v>
          </cell>
          <cell r="L218">
            <v>9.9926511562499982</v>
          </cell>
          <cell r="M218">
            <v>10.341776156249999</v>
          </cell>
          <cell r="N218">
            <v>10.341776156249999</v>
          </cell>
          <cell r="O218">
            <v>11.0584274325</v>
          </cell>
          <cell r="P218">
            <v>11.447138062499999</v>
          </cell>
          <cell r="Q218">
            <v>11.214510562499999</v>
          </cell>
          <cell r="R218">
            <v>136.06996144874998</v>
          </cell>
          <cell r="S218">
            <v>37.339352510249988</v>
          </cell>
          <cell r="T218">
            <v>34.334329412249993</v>
          </cell>
          <cell r="U218">
            <v>30.676203468749996</v>
          </cell>
          <cell r="V218">
            <v>33.720076057499995</v>
          </cell>
        </row>
        <row r="219">
          <cell r="F219">
            <v>12.41283662415125</v>
          </cell>
          <cell r="G219">
            <v>12.973813859457499</v>
          </cell>
          <cell r="H219">
            <v>12.973813859457499</v>
          </cell>
          <cell r="I219">
            <v>12.30659755406375</v>
          </cell>
          <cell r="J219">
            <v>12.36858255406375</v>
          </cell>
          <cell r="K219">
            <v>11.855564643343751</v>
          </cell>
          <cell r="L219">
            <v>12.010748466543751</v>
          </cell>
          <cell r="M219">
            <v>12.163595146543752</v>
          </cell>
          <cell r="N219">
            <v>12.09458783404375</v>
          </cell>
          <cell r="O219">
            <v>12.890999721162501</v>
          </cell>
          <cell r="P219">
            <v>13.126810775662502</v>
          </cell>
          <cell r="Q219">
            <v>12.844261697137501</v>
          </cell>
          <cell r="R219">
            <v>150.02221273563126</v>
          </cell>
          <cell r="S219">
            <v>38.360464343066248</v>
          </cell>
          <cell r="T219">
            <v>36.530744751471246</v>
          </cell>
          <cell r="U219">
            <v>36.268931447131251</v>
          </cell>
          <cell r="V219">
            <v>38.862072193962504</v>
          </cell>
        </row>
        <row r="220">
          <cell r="F220">
            <v>7</v>
          </cell>
          <cell r="G220">
            <v>7</v>
          </cell>
          <cell r="H220">
            <v>7</v>
          </cell>
          <cell r="I220">
            <v>7</v>
          </cell>
          <cell r="J220">
            <v>7</v>
          </cell>
          <cell r="K220">
            <v>7</v>
          </cell>
          <cell r="L220">
            <v>7</v>
          </cell>
          <cell r="M220">
            <v>7</v>
          </cell>
          <cell r="N220">
            <v>7</v>
          </cell>
          <cell r="O220">
            <v>7</v>
          </cell>
          <cell r="P220">
            <v>7</v>
          </cell>
          <cell r="Q220">
            <v>7</v>
          </cell>
          <cell r="R220">
            <v>84</v>
          </cell>
          <cell r="S220">
            <v>21</v>
          </cell>
          <cell r="T220">
            <v>21</v>
          </cell>
          <cell r="U220">
            <v>21</v>
          </cell>
          <cell r="V220">
            <v>21</v>
          </cell>
        </row>
        <row r="221">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row>
        <row r="222">
          <cell r="F222">
            <v>68.055895706666661</v>
          </cell>
          <cell r="G222">
            <v>68.055895706666661</v>
          </cell>
          <cell r="H222">
            <v>68.055895706666661</v>
          </cell>
          <cell r="I222">
            <v>68.055895706666661</v>
          </cell>
          <cell r="J222">
            <v>68.055895706666661</v>
          </cell>
          <cell r="K222">
            <v>68.055895706666661</v>
          </cell>
          <cell r="L222">
            <v>68.055895706666661</v>
          </cell>
          <cell r="M222">
            <v>68.055895706666661</v>
          </cell>
          <cell r="N222">
            <v>68.055895706666661</v>
          </cell>
          <cell r="O222">
            <v>68.055895706666661</v>
          </cell>
          <cell r="P222">
            <v>68.055895706666661</v>
          </cell>
          <cell r="Q222">
            <v>68.055895706666661</v>
          </cell>
          <cell r="R222">
            <v>816.67074847999993</v>
          </cell>
          <cell r="S222">
            <v>204.16768711999998</v>
          </cell>
          <cell r="T222">
            <v>204.16768711999998</v>
          </cell>
          <cell r="U222">
            <v>204.16768711999998</v>
          </cell>
          <cell r="V222">
            <v>204.16768711999998</v>
          </cell>
        </row>
        <row r="223">
          <cell r="F223">
            <v>87.468732330817915</v>
          </cell>
          <cell r="G223">
            <v>88.029709566124154</v>
          </cell>
          <cell r="H223">
            <v>88.029709566124154</v>
          </cell>
          <cell r="I223">
            <v>87.362493260730417</v>
          </cell>
          <cell r="J223">
            <v>87.42447826073041</v>
          </cell>
          <cell r="K223">
            <v>86.911460350010415</v>
          </cell>
          <cell r="L223">
            <v>87.06664417321042</v>
          </cell>
          <cell r="M223">
            <v>87.219490853210417</v>
          </cell>
          <cell r="N223">
            <v>87.150483540710411</v>
          </cell>
          <cell r="O223">
            <v>87.946895427829162</v>
          </cell>
          <cell r="P223">
            <v>88.182706482329166</v>
          </cell>
          <cell r="Q223">
            <v>87.900157403804158</v>
          </cell>
          <cell r="R223">
            <v>1050.6929612156314</v>
          </cell>
          <cell r="S223">
            <v>263.52815146306625</v>
          </cell>
          <cell r="T223">
            <v>261.69843187147126</v>
          </cell>
          <cell r="U223">
            <v>261.43661856713123</v>
          </cell>
          <cell r="V223">
            <v>264.02975931396247</v>
          </cell>
        </row>
        <row r="224">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row>
        <row r="225">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row>
        <row r="226">
          <cell r="F226">
            <v>586.23777790456791</v>
          </cell>
          <cell r="G226">
            <v>614.56964031862412</v>
          </cell>
          <cell r="H226">
            <v>614.56964031862412</v>
          </cell>
          <cell r="I226">
            <v>582.32951797198041</v>
          </cell>
          <cell r="J226">
            <v>594.78850297198039</v>
          </cell>
          <cell r="K226">
            <v>583.58761192126042</v>
          </cell>
          <cell r="L226">
            <v>588.61061425946036</v>
          </cell>
          <cell r="M226">
            <v>591.21904693946033</v>
          </cell>
          <cell r="N226">
            <v>589.17840212696046</v>
          </cell>
          <cell r="O226">
            <v>619.66455475032922</v>
          </cell>
          <cell r="P226">
            <v>620.46730168482918</v>
          </cell>
          <cell r="Q226">
            <v>607.87416190130421</v>
          </cell>
          <cell r="R226">
            <v>7193.0967730693819</v>
          </cell>
          <cell r="S226">
            <v>1815.3770585418163</v>
          </cell>
          <cell r="T226">
            <v>1760.7056328652211</v>
          </cell>
          <cell r="U226">
            <v>1769.0080633258813</v>
          </cell>
          <cell r="V226">
            <v>1848.0060183364626</v>
          </cell>
        </row>
        <row r="227">
          <cell r="S227">
            <v>0</v>
          </cell>
          <cell r="T227">
            <v>0</v>
          </cell>
          <cell r="U227">
            <v>0</v>
          </cell>
          <cell r="V227">
            <v>0</v>
          </cell>
        </row>
        <row r="228">
          <cell r="S228">
            <v>0</v>
          </cell>
          <cell r="T228">
            <v>0</v>
          </cell>
          <cell r="U228">
            <v>0</v>
          </cell>
          <cell r="V228">
            <v>0</v>
          </cell>
        </row>
        <row r="229">
          <cell r="F229">
            <v>79.25</v>
          </cell>
          <cell r="G229">
            <v>109.25</v>
          </cell>
          <cell r="H229">
            <v>109.25</v>
          </cell>
          <cell r="I229">
            <v>52.5833333333333</v>
          </cell>
          <cell r="J229">
            <v>52.5833333333333</v>
          </cell>
          <cell r="K229">
            <v>52.5833333333333</v>
          </cell>
          <cell r="L229">
            <v>49.25</v>
          </cell>
          <cell r="M229">
            <v>49.25</v>
          </cell>
          <cell r="N229">
            <v>69.25</v>
          </cell>
          <cell r="O229">
            <v>69.25</v>
          </cell>
          <cell r="P229">
            <v>69.25</v>
          </cell>
          <cell r="Q229">
            <v>69.25</v>
          </cell>
          <cell r="R229">
            <v>831</v>
          </cell>
          <cell r="S229">
            <v>297.75</v>
          </cell>
          <cell r="T229">
            <v>157.74999999999989</v>
          </cell>
          <cell r="U229">
            <v>167.75</v>
          </cell>
          <cell r="V229">
            <v>207.75</v>
          </cell>
        </row>
        <row r="230">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row>
        <row r="231">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row>
        <row r="232">
          <cell r="F232">
            <v>23.5</v>
          </cell>
          <cell r="G232">
            <v>23.5</v>
          </cell>
          <cell r="H232">
            <v>23.5</v>
          </cell>
          <cell r="I232">
            <v>23.5</v>
          </cell>
          <cell r="J232">
            <v>23.5</v>
          </cell>
          <cell r="K232">
            <v>23.5</v>
          </cell>
          <cell r="L232">
            <v>23.5</v>
          </cell>
          <cell r="M232">
            <v>23.5</v>
          </cell>
          <cell r="N232">
            <v>37.799999999999997</v>
          </cell>
          <cell r="O232">
            <v>29.5</v>
          </cell>
          <cell r="P232">
            <v>29.5</v>
          </cell>
          <cell r="Q232">
            <v>29.5</v>
          </cell>
          <cell r="R232">
            <v>314.3</v>
          </cell>
          <cell r="S232">
            <v>70.5</v>
          </cell>
          <cell r="T232">
            <v>70.5</v>
          </cell>
          <cell r="U232">
            <v>84.8</v>
          </cell>
          <cell r="V232">
            <v>88.5</v>
          </cell>
        </row>
        <row r="233">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row>
        <row r="234">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row>
        <row r="235">
          <cell r="F235">
            <v>9</v>
          </cell>
          <cell r="G235">
            <v>9</v>
          </cell>
          <cell r="H235">
            <v>9</v>
          </cell>
          <cell r="I235">
            <v>9</v>
          </cell>
          <cell r="J235">
            <v>9</v>
          </cell>
          <cell r="K235">
            <v>9</v>
          </cell>
          <cell r="L235">
            <v>9</v>
          </cell>
          <cell r="M235">
            <v>9</v>
          </cell>
          <cell r="N235">
            <v>9</v>
          </cell>
          <cell r="O235">
            <v>9</v>
          </cell>
          <cell r="P235">
            <v>9</v>
          </cell>
          <cell r="Q235">
            <v>9</v>
          </cell>
          <cell r="R235">
            <v>108</v>
          </cell>
          <cell r="S235">
            <v>27</v>
          </cell>
          <cell r="T235">
            <v>27</v>
          </cell>
          <cell r="U235">
            <v>27</v>
          </cell>
          <cell r="V235">
            <v>27</v>
          </cell>
        </row>
        <row r="236">
          <cell r="F236">
            <v>2.4166666666666665</v>
          </cell>
          <cell r="G236">
            <v>2.4166666666666665</v>
          </cell>
          <cell r="H236">
            <v>2.4166666666666665</v>
          </cell>
          <cell r="I236">
            <v>2.4166666666666665</v>
          </cell>
          <cell r="J236">
            <v>2.4166666666666665</v>
          </cell>
          <cell r="K236">
            <v>2.4166666666666665</v>
          </cell>
          <cell r="L236">
            <v>2.4166666666666665</v>
          </cell>
          <cell r="M236">
            <v>2.4166666666666665</v>
          </cell>
          <cell r="N236">
            <v>9.6166666666666707</v>
          </cell>
          <cell r="O236">
            <v>9.6166666666666707</v>
          </cell>
          <cell r="P236">
            <v>9.6166666666666707</v>
          </cell>
          <cell r="Q236">
            <v>9.6166666666666707</v>
          </cell>
          <cell r="R236">
            <v>57.800000000000026</v>
          </cell>
          <cell r="S236">
            <v>7.25</v>
          </cell>
          <cell r="T236">
            <v>7.25</v>
          </cell>
          <cell r="U236">
            <v>14.450000000000003</v>
          </cell>
          <cell r="V236">
            <v>28.850000000000012</v>
          </cell>
        </row>
        <row r="237">
          <cell r="F237">
            <v>16.25</v>
          </cell>
          <cell r="G237">
            <v>16.25</v>
          </cell>
          <cell r="H237">
            <v>16.25</v>
          </cell>
          <cell r="I237">
            <v>16.25</v>
          </cell>
          <cell r="J237">
            <v>16.25</v>
          </cell>
          <cell r="K237">
            <v>16.25</v>
          </cell>
          <cell r="L237">
            <v>16.25</v>
          </cell>
          <cell r="M237">
            <v>16.25</v>
          </cell>
          <cell r="N237">
            <v>16.25</v>
          </cell>
          <cell r="O237">
            <v>16.25</v>
          </cell>
          <cell r="P237">
            <v>16.25</v>
          </cell>
          <cell r="Q237">
            <v>16.25</v>
          </cell>
          <cell r="R237">
            <v>195</v>
          </cell>
          <cell r="S237">
            <v>48.75</v>
          </cell>
          <cell r="T237">
            <v>48.75</v>
          </cell>
          <cell r="U237">
            <v>48.75</v>
          </cell>
          <cell r="V237">
            <v>48.75</v>
          </cell>
        </row>
        <row r="238">
          <cell r="F238">
            <v>70</v>
          </cell>
          <cell r="G238">
            <v>70</v>
          </cell>
          <cell r="H238">
            <v>70</v>
          </cell>
          <cell r="I238">
            <v>70</v>
          </cell>
          <cell r="J238">
            <v>112.5</v>
          </cell>
          <cell r="K238">
            <v>112.5</v>
          </cell>
          <cell r="L238">
            <v>112.5</v>
          </cell>
          <cell r="M238">
            <v>112.5</v>
          </cell>
          <cell r="N238">
            <v>59</v>
          </cell>
          <cell r="O238">
            <v>59</v>
          </cell>
          <cell r="P238">
            <v>59</v>
          </cell>
          <cell r="Q238">
            <v>59</v>
          </cell>
          <cell r="R238">
            <v>966</v>
          </cell>
          <cell r="S238">
            <v>210</v>
          </cell>
          <cell r="T238">
            <v>295</v>
          </cell>
          <cell r="U238">
            <v>284</v>
          </cell>
          <cell r="V238">
            <v>177</v>
          </cell>
        </row>
        <row r="239">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row>
        <row r="240">
          <cell r="F240">
            <v>3</v>
          </cell>
          <cell r="G240">
            <v>3</v>
          </cell>
          <cell r="H240">
            <v>3</v>
          </cell>
          <cell r="I240">
            <v>3</v>
          </cell>
          <cell r="J240">
            <v>3</v>
          </cell>
          <cell r="K240">
            <v>3</v>
          </cell>
          <cell r="L240">
            <v>3</v>
          </cell>
          <cell r="M240">
            <v>3</v>
          </cell>
          <cell r="N240">
            <v>3</v>
          </cell>
          <cell r="O240">
            <v>3</v>
          </cell>
          <cell r="P240">
            <v>3</v>
          </cell>
          <cell r="Q240">
            <v>3</v>
          </cell>
          <cell r="R240">
            <v>36</v>
          </cell>
          <cell r="S240">
            <v>9</v>
          </cell>
          <cell r="T240">
            <v>9</v>
          </cell>
          <cell r="U240">
            <v>9</v>
          </cell>
          <cell r="V240">
            <v>9</v>
          </cell>
        </row>
        <row r="241">
          <cell r="F241">
            <v>9</v>
          </cell>
          <cell r="G241">
            <v>9</v>
          </cell>
          <cell r="H241">
            <v>9</v>
          </cell>
          <cell r="I241">
            <v>9</v>
          </cell>
          <cell r="J241">
            <v>9</v>
          </cell>
          <cell r="K241">
            <v>9</v>
          </cell>
          <cell r="L241">
            <v>9</v>
          </cell>
          <cell r="M241">
            <v>9</v>
          </cell>
          <cell r="N241">
            <v>9</v>
          </cell>
          <cell r="O241">
            <v>9</v>
          </cell>
          <cell r="P241">
            <v>9</v>
          </cell>
          <cell r="Q241">
            <v>9</v>
          </cell>
          <cell r="R241">
            <v>108</v>
          </cell>
          <cell r="S241">
            <v>27</v>
          </cell>
          <cell r="T241">
            <v>27</v>
          </cell>
          <cell r="U241">
            <v>27</v>
          </cell>
          <cell r="V241">
            <v>27</v>
          </cell>
        </row>
        <row r="242">
          <cell r="F242">
            <v>85.166666666666671</v>
          </cell>
          <cell r="G242">
            <v>85.166666666666671</v>
          </cell>
          <cell r="H242">
            <v>85.166666666666671</v>
          </cell>
          <cell r="I242">
            <v>85.166666666666671</v>
          </cell>
          <cell r="J242">
            <v>85.166666666666671</v>
          </cell>
          <cell r="K242">
            <v>85.166666666666671</v>
          </cell>
          <cell r="L242">
            <v>85.166666666666671</v>
          </cell>
          <cell r="M242">
            <v>85.166666666666671</v>
          </cell>
          <cell r="N242">
            <v>107</v>
          </cell>
          <cell r="O242">
            <v>107</v>
          </cell>
          <cell r="P242">
            <v>107</v>
          </cell>
          <cell r="Q242">
            <v>107</v>
          </cell>
          <cell r="R242">
            <v>1109.3333333333335</v>
          </cell>
          <cell r="S242">
            <v>255.5</v>
          </cell>
          <cell r="T242">
            <v>255.5</v>
          </cell>
          <cell r="U242">
            <v>277.33333333333337</v>
          </cell>
          <cell r="V242">
            <v>321</v>
          </cell>
        </row>
        <row r="243">
          <cell r="F243">
            <v>297.58333333333337</v>
          </cell>
          <cell r="G243">
            <v>327.58333333333331</v>
          </cell>
          <cell r="H243">
            <v>327.58333333333331</v>
          </cell>
          <cell r="I243">
            <v>270.91666666666663</v>
          </cell>
          <cell r="J243">
            <v>313.41666666666663</v>
          </cell>
          <cell r="K243">
            <v>313.41666666666663</v>
          </cell>
          <cell r="L243">
            <v>310.08333333333337</v>
          </cell>
          <cell r="M243">
            <v>310.08333333333337</v>
          </cell>
          <cell r="N243">
            <v>319.91666666666669</v>
          </cell>
          <cell r="O243">
            <v>311.61666666666667</v>
          </cell>
          <cell r="P243">
            <v>311.61666666666667</v>
          </cell>
          <cell r="Q243">
            <v>311.61666666666667</v>
          </cell>
          <cell r="R243">
            <v>3725.4333333333334</v>
          </cell>
          <cell r="S243">
            <v>952.75</v>
          </cell>
          <cell r="T243">
            <v>897.74999999999989</v>
          </cell>
          <cell r="U243">
            <v>940.08333333333337</v>
          </cell>
          <cell r="V243">
            <v>934.85</v>
          </cell>
        </row>
        <row r="244">
          <cell r="S244">
            <v>0</v>
          </cell>
          <cell r="T244">
            <v>0</v>
          </cell>
          <cell r="U244">
            <v>0</v>
          </cell>
          <cell r="V244">
            <v>0</v>
          </cell>
        </row>
        <row r="245">
          <cell r="S245">
            <v>0</v>
          </cell>
          <cell r="T245">
            <v>0</v>
          </cell>
          <cell r="U245">
            <v>0</v>
          </cell>
          <cell r="V245">
            <v>0</v>
          </cell>
        </row>
        <row r="246">
          <cell r="F246">
            <v>205.66666666666666</v>
          </cell>
          <cell r="G246">
            <v>205.66666666666666</v>
          </cell>
          <cell r="H246">
            <v>205.66666666666666</v>
          </cell>
          <cell r="I246">
            <v>205.66666666666666</v>
          </cell>
          <cell r="J246">
            <v>205.66666666666666</v>
          </cell>
          <cell r="K246">
            <v>205.66666666666666</v>
          </cell>
          <cell r="L246">
            <v>205.66666666666666</v>
          </cell>
          <cell r="M246">
            <v>205.66666666666666</v>
          </cell>
          <cell r="N246">
            <v>205.66666666666666</v>
          </cell>
          <cell r="O246">
            <v>205.66666666666666</v>
          </cell>
          <cell r="P246">
            <v>205.66666666666666</v>
          </cell>
          <cell r="Q246">
            <v>205.66666666666666</v>
          </cell>
          <cell r="R246">
            <v>2468</v>
          </cell>
          <cell r="S246">
            <v>617</v>
          </cell>
          <cell r="T246">
            <v>617</v>
          </cell>
          <cell r="U246">
            <v>617</v>
          </cell>
          <cell r="V246">
            <v>617</v>
          </cell>
        </row>
        <row r="247">
          <cell r="F247">
            <v>12.5</v>
          </cell>
          <cell r="G247">
            <v>12.5</v>
          </cell>
          <cell r="H247">
            <v>12.5</v>
          </cell>
          <cell r="I247">
            <v>12.5</v>
          </cell>
          <cell r="J247">
            <v>12.5</v>
          </cell>
          <cell r="K247">
            <v>12.5</v>
          </cell>
          <cell r="L247">
            <v>12.5</v>
          </cell>
          <cell r="M247">
            <v>12.5</v>
          </cell>
          <cell r="N247">
            <v>12.5</v>
          </cell>
          <cell r="O247">
            <v>12.5</v>
          </cell>
          <cell r="P247">
            <v>12.5</v>
          </cell>
          <cell r="Q247">
            <v>12.5</v>
          </cell>
          <cell r="R247">
            <v>150</v>
          </cell>
          <cell r="S247">
            <v>37.5</v>
          </cell>
          <cell r="T247">
            <v>37.5</v>
          </cell>
          <cell r="U247">
            <v>37.5</v>
          </cell>
          <cell r="V247">
            <v>37.5</v>
          </cell>
        </row>
        <row r="248">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row>
        <row r="249">
          <cell r="F249">
            <v>25.583333333333336</v>
          </cell>
          <cell r="G249">
            <v>25.583333333333336</v>
          </cell>
          <cell r="H249">
            <v>25.583333333333336</v>
          </cell>
          <cell r="I249">
            <v>25.583333333333336</v>
          </cell>
          <cell r="J249">
            <v>25.583333333333336</v>
          </cell>
          <cell r="K249">
            <v>25.583333333333336</v>
          </cell>
          <cell r="L249">
            <v>25.583333333333336</v>
          </cell>
          <cell r="M249">
            <v>25.583333333333336</v>
          </cell>
          <cell r="N249">
            <v>25.583333333333336</v>
          </cell>
          <cell r="O249">
            <v>25.583333333333336</v>
          </cell>
          <cell r="P249">
            <v>25.583333333333336</v>
          </cell>
          <cell r="Q249">
            <v>25.583333333333336</v>
          </cell>
          <cell r="R249">
            <v>307.00000000000006</v>
          </cell>
          <cell r="S249">
            <v>76.75</v>
          </cell>
          <cell r="T249">
            <v>76.75</v>
          </cell>
          <cell r="U249">
            <v>76.75</v>
          </cell>
          <cell r="V249">
            <v>76.75</v>
          </cell>
        </row>
        <row r="250">
          <cell r="F250">
            <v>66.666666666666671</v>
          </cell>
          <cell r="G250">
            <v>66.666666666666671</v>
          </cell>
          <cell r="H250">
            <v>66.666666666666671</v>
          </cell>
          <cell r="I250">
            <v>66.666666666666671</v>
          </cell>
          <cell r="J250">
            <v>66.666666666666671</v>
          </cell>
          <cell r="K250">
            <v>66.666666666666671</v>
          </cell>
          <cell r="L250">
            <v>66.666666666666671</v>
          </cell>
          <cell r="M250">
            <v>66.666666666666671</v>
          </cell>
          <cell r="N250">
            <v>66.666666666666671</v>
          </cell>
          <cell r="O250">
            <v>66.666666666666671</v>
          </cell>
          <cell r="P250">
            <v>66.666666666666671</v>
          </cell>
          <cell r="Q250">
            <v>66.666666666666671</v>
          </cell>
          <cell r="R250">
            <v>799.99999999999989</v>
          </cell>
          <cell r="S250">
            <v>200</v>
          </cell>
          <cell r="T250">
            <v>200</v>
          </cell>
          <cell r="U250">
            <v>200</v>
          </cell>
          <cell r="V250">
            <v>200</v>
          </cell>
        </row>
        <row r="251">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row>
        <row r="252">
          <cell r="F252">
            <v>13.333333333333334</v>
          </cell>
          <cell r="G252">
            <v>13.333333333333334</v>
          </cell>
          <cell r="H252">
            <v>13.333333333333334</v>
          </cell>
          <cell r="I252">
            <v>13.333333333333334</v>
          </cell>
          <cell r="J252">
            <v>13.333333333333334</v>
          </cell>
          <cell r="K252">
            <v>13.333333333333334</v>
          </cell>
          <cell r="L252">
            <v>13.333333333333334</v>
          </cell>
          <cell r="M252">
            <v>13.333333333333334</v>
          </cell>
          <cell r="N252">
            <v>13.333333333333334</v>
          </cell>
          <cell r="O252">
            <v>13.333333333333334</v>
          </cell>
          <cell r="P252">
            <v>13.333333333333334</v>
          </cell>
          <cell r="Q252">
            <v>13.333333333333334</v>
          </cell>
          <cell r="R252">
            <v>160</v>
          </cell>
          <cell r="S252">
            <v>40</v>
          </cell>
          <cell r="T252">
            <v>40</v>
          </cell>
          <cell r="U252">
            <v>40</v>
          </cell>
          <cell r="V252">
            <v>40</v>
          </cell>
        </row>
        <row r="253">
          <cell r="F253">
            <v>375</v>
          </cell>
          <cell r="G253">
            <v>375</v>
          </cell>
          <cell r="H253">
            <v>375</v>
          </cell>
          <cell r="I253">
            <v>375</v>
          </cell>
          <cell r="J253">
            <v>375</v>
          </cell>
          <cell r="K253">
            <v>375</v>
          </cell>
          <cell r="L253">
            <v>375</v>
          </cell>
          <cell r="M253">
            <v>375</v>
          </cell>
          <cell r="N253">
            <v>375</v>
          </cell>
          <cell r="O253">
            <v>375</v>
          </cell>
          <cell r="P253">
            <v>375</v>
          </cell>
          <cell r="Q253">
            <v>375</v>
          </cell>
          <cell r="R253">
            <v>4500</v>
          </cell>
          <cell r="S253">
            <v>1125</v>
          </cell>
          <cell r="T253">
            <v>1125</v>
          </cell>
          <cell r="U253">
            <v>1125</v>
          </cell>
          <cell r="V253">
            <v>1125</v>
          </cell>
        </row>
        <row r="254">
          <cell r="F254">
            <v>63.55</v>
          </cell>
          <cell r="G254">
            <v>63.55</v>
          </cell>
          <cell r="H254">
            <v>63.55</v>
          </cell>
          <cell r="I254">
            <v>63.55</v>
          </cell>
          <cell r="J254">
            <v>63.55</v>
          </cell>
          <cell r="K254">
            <v>63.55</v>
          </cell>
          <cell r="L254">
            <v>63.55</v>
          </cell>
          <cell r="M254">
            <v>63.55</v>
          </cell>
          <cell r="N254">
            <v>63.55</v>
          </cell>
          <cell r="O254">
            <v>63.55</v>
          </cell>
          <cell r="P254">
            <v>63.55</v>
          </cell>
          <cell r="Q254">
            <v>63.55</v>
          </cell>
          <cell r="R254">
            <v>762.59999999999991</v>
          </cell>
          <cell r="S254">
            <v>190.64999999999998</v>
          </cell>
          <cell r="T254">
            <v>190.64999999999998</v>
          </cell>
          <cell r="U254">
            <v>190.64999999999998</v>
          </cell>
          <cell r="V254">
            <v>190.64999999999998</v>
          </cell>
        </row>
        <row r="255">
          <cell r="F255">
            <v>11.866666666666667</v>
          </cell>
          <cell r="G255">
            <v>11.866666666666667</v>
          </cell>
          <cell r="H255">
            <v>11.866666666666667</v>
          </cell>
          <cell r="I255">
            <v>11.866666666666667</v>
          </cell>
          <cell r="J255">
            <v>11.866666666666667</v>
          </cell>
          <cell r="K255">
            <v>11.866666666666667</v>
          </cell>
          <cell r="L255">
            <v>11.866666666666667</v>
          </cell>
          <cell r="M255">
            <v>11.866666666666667</v>
          </cell>
          <cell r="N255">
            <v>11.866666666666667</v>
          </cell>
          <cell r="O255">
            <v>11.866666666666667</v>
          </cell>
          <cell r="P255">
            <v>11.866666666666667</v>
          </cell>
          <cell r="Q255">
            <v>11.866666666666667</v>
          </cell>
          <cell r="R255">
            <v>142.40000000000003</v>
          </cell>
          <cell r="S255">
            <v>35.6</v>
          </cell>
          <cell r="T255">
            <v>35.6</v>
          </cell>
          <cell r="U255">
            <v>35.6</v>
          </cell>
          <cell r="V255">
            <v>35.6</v>
          </cell>
        </row>
        <row r="256">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row>
        <row r="257">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row>
        <row r="258">
          <cell r="F258">
            <v>19.583333333333336</v>
          </cell>
          <cell r="G258">
            <v>19.583333333333336</v>
          </cell>
          <cell r="H258">
            <v>19.583333333333336</v>
          </cell>
          <cell r="I258">
            <v>19.583333333333336</v>
          </cell>
          <cell r="J258">
            <v>19.583333333333336</v>
          </cell>
          <cell r="K258">
            <v>19.583333333333336</v>
          </cell>
          <cell r="L258">
            <v>19.583333333333336</v>
          </cell>
          <cell r="M258">
            <v>19.583333333333336</v>
          </cell>
          <cell r="N258">
            <v>19.583333333333336</v>
          </cell>
          <cell r="O258">
            <v>19.583333333333336</v>
          </cell>
          <cell r="P258">
            <v>19.583333333333336</v>
          </cell>
          <cell r="Q258">
            <v>19.583333333333336</v>
          </cell>
          <cell r="R258">
            <v>235.00000000000009</v>
          </cell>
          <cell r="S258">
            <v>58.750000000000007</v>
          </cell>
          <cell r="T258">
            <v>58.750000000000007</v>
          </cell>
          <cell r="U258">
            <v>58.750000000000007</v>
          </cell>
          <cell r="V258">
            <v>58.750000000000007</v>
          </cell>
        </row>
        <row r="259">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row>
        <row r="260">
          <cell r="F260">
            <v>34.199268679344414</v>
          </cell>
          <cell r="G260">
            <v>31.212126670201684</v>
          </cell>
          <cell r="H260">
            <v>34.130397334333608</v>
          </cell>
          <cell r="I260">
            <v>29.838133703458823</v>
          </cell>
          <cell r="J260">
            <v>34.258658590960891</v>
          </cell>
          <cell r="K260">
            <v>34.469305908146126</v>
          </cell>
          <cell r="L260">
            <v>33.24473327667684</v>
          </cell>
          <cell r="M260">
            <v>38.348158827223799</v>
          </cell>
          <cell r="N260">
            <v>41.52561978522597</v>
          </cell>
          <cell r="O260">
            <v>33.985436099001589</v>
          </cell>
          <cell r="P260">
            <v>34.922606853569448</v>
          </cell>
          <cell r="Q260">
            <v>43.175062046492741</v>
          </cell>
          <cell r="R260">
            <v>423.3095077746359</v>
          </cell>
          <cell r="S260">
            <v>99.541792683879706</v>
          </cell>
          <cell r="T260">
            <v>98.56609820256584</v>
          </cell>
          <cell r="U260">
            <v>113.11851188912661</v>
          </cell>
          <cell r="V260">
            <v>112.08310499906378</v>
          </cell>
        </row>
        <row r="261">
          <cell r="F261">
            <v>827.94926867934441</v>
          </cell>
          <cell r="G261">
            <v>824.96212667020166</v>
          </cell>
          <cell r="H261">
            <v>827.88039733433357</v>
          </cell>
          <cell r="I261">
            <v>823.58813370345888</v>
          </cell>
          <cell r="J261">
            <v>828.00865859096086</v>
          </cell>
          <cell r="K261">
            <v>828.21930590814611</v>
          </cell>
          <cell r="L261">
            <v>826.99473327667681</v>
          </cell>
          <cell r="M261">
            <v>832.09815882722376</v>
          </cell>
          <cell r="N261">
            <v>835.27561978522601</v>
          </cell>
          <cell r="O261">
            <v>827.73543609900162</v>
          </cell>
          <cell r="P261">
            <v>828.6726068535695</v>
          </cell>
          <cell r="Q261">
            <v>836.92506204649271</v>
          </cell>
          <cell r="R261">
            <v>9948.3095077746366</v>
          </cell>
          <cell r="S261">
            <v>2480.79179268388</v>
          </cell>
          <cell r="T261">
            <v>2479.8160982025656</v>
          </cell>
          <cell r="U261">
            <v>2494.3685118891267</v>
          </cell>
          <cell r="V261">
            <v>2493.3331049990638</v>
          </cell>
        </row>
        <row r="263">
          <cell r="F263">
            <v>1711.7703799172457</v>
          </cell>
          <cell r="G263">
            <v>1767.1151003221589</v>
          </cell>
          <cell r="H263">
            <v>1770.0333709862909</v>
          </cell>
          <cell r="I263">
            <v>1676.8343183421059</v>
          </cell>
          <cell r="J263">
            <v>1736.2138282296078</v>
          </cell>
          <cell r="K263">
            <v>1725.2235844960733</v>
          </cell>
          <cell r="L263">
            <v>1725.6886808694705</v>
          </cell>
          <cell r="M263">
            <v>1733.4005391000173</v>
          </cell>
          <cell r="N263">
            <v>1744.3706885788533</v>
          </cell>
          <cell r="O263">
            <v>1759.0166575159974</v>
          </cell>
          <cell r="P263">
            <v>1760.7565752050655</v>
          </cell>
          <cell r="Q263">
            <v>1756.4158906144635</v>
          </cell>
          <cell r="R263">
            <v>20866.839614177348</v>
          </cell>
          <cell r="S263">
            <v>5248.9188512256951</v>
          </cell>
          <cell r="T263">
            <v>5138.2717310677872</v>
          </cell>
          <cell r="U263">
            <v>5203.4599085483414</v>
          </cell>
          <cell r="V263">
            <v>5276.1891233355263</v>
          </cell>
        </row>
        <row r="265">
          <cell r="F265">
            <v>1711.7703799172457</v>
          </cell>
          <cell r="G265">
            <v>1767.1151003221592</v>
          </cell>
          <cell r="H265">
            <v>1770.0333709862909</v>
          </cell>
          <cell r="I265">
            <v>1676.8343183421059</v>
          </cell>
          <cell r="J265">
            <v>1736.213828229608</v>
          </cell>
          <cell r="K265">
            <v>1725.2235844960733</v>
          </cell>
          <cell r="L265">
            <v>1725.6886808694708</v>
          </cell>
          <cell r="M265">
            <v>1733.4005391000176</v>
          </cell>
          <cell r="N265">
            <v>1744.3706885788529</v>
          </cell>
          <cell r="O265">
            <v>1759.0166575159974</v>
          </cell>
          <cell r="P265">
            <v>1760.7565752050655</v>
          </cell>
          <cell r="Q265">
            <v>1756.4158906144637</v>
          </cell>
          <cell r="R265">
            <v>20866.839614177348</v>
          </cell>
          <cell r="S265">
            <v>5248.918851225696</v>
          </cell>
          <cell r="T265">
            <v>5138.2717310677872</v>
          </cell>
          <cell r="U265">
            <v>5203.4599085483405</v>
          </cell>
          <cell r="V265">
            <v>5276.1891233355263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ources and Uses"/>
      <sheetName val="Summary"/>
      <sheetName val="P&amp;L conso"/>
      <sheetName val="BS conso"/>
      <sheetName val="Cash Flow"/>
      <sheetName val="Fleet &amp; Costs"/>
      <sheetName val="WC Capital"/>
      <sheetName val="Sat. performance inc."/>
      <sheetName val="Capex &amp; Sat. performance incent"/>
      <sheetName val="Indebtedness"/>
      <sheetName val="Benchmark"/>
      <sheetName val="Benchmark Mdt vs Euro"/>
      <sheetName val="Cash Flow to FC1"/>
      <sheetName val="To FC1 (2)"/>
      <sheetName val="Debt Repayment profile to FC1"/>
      <sheetName val="Feuil1"/>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
      <sheetName val="Blue Box"/>
      <sheetName val="Parent"/>
      <sheetName val="EURO"/>
    </sheet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S BELGIUM 2008 2009"/>
      <sheetName val="CPE BELGIUM 2008 2009"/>
      <sheetName val="STATS LUX 2008 2009"/>
      <sheetName val="CPE LUX 2008 2009"/>
      <sheetName val="capexes bel"/>
      <sheetName val="check arpu "/>
      <sheetName val="capex lux"/>
      <sheetName val="STATS LUX 2008"/>
      <sheetName val="STATS BELGIUM 2008"/>
      <sheetName val="CPE BELGIUM 2008"/>
      <sheetName val="CPE LUX 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A9">
            <v>9</v>
          </cell>
          <cell r="D9" t="str">
            <v>Vat5</v>
          </cell>
          <cell r="F9">
            <v>0.15</v>
          </cell>
          <cell r="K9">
            <v>0.15</v>
          </cell>
          <cell r="L9">
            <v>0.15</v>
          </cell>
          <cell r="M9">
            <v>0.15</v>
          </cell>
          <cell r="N9">
            <v>0.15</v>
          </cell>
          <cell r="O9">
            <v>0.15</v>
          </cell>
          <cell r="P9">
            <v>0.15</v>
          </cell>
          <cell r="Q9">
            <v>0.15</v>
          </cell>
          <cell r="R9">
            <v>0.15</v>
          </cell>
          <cell r="S9">
            <v>0.15</v>
          </cell>
          <cell r="T9">
            <v>0.15</v>
          </cell>
          <cell r="U9">
            <v>0.15</v>
          </cell>
          <cell r="V9">
            <v>0.15</v>
          </cell>
          <cell r="W9">
            <v>0.15</v>
          </cell>
          <cell r="X9">
            <v>0.15</v>
          </cell>
          <cell r="Y9">
            <v>0.15</v>
          </cell>
          <cell r="Z9">
            <v>0.15</v>
          </cell>
          <cell r="AA9">
            <v>0.15</v>
          </cell>
          <cell r="AB9">
            <v>0.15</v>
          </cell>
          <cell r="AC9">
            <v>0.15</v>
          </cell>
          <cell r="AD9">
            <v>0.15</v>
          </cell>
          <cell r="AE9">
            <v>0.15</v>
          </cell>
          <cell r="AF9">
            <v>0.15</v>
          </cell>
          <cell r="AG9">
            <v>0.15</v>
          </cell>
          <cell r="AH9">
            <v>0.15</v>
          </cell>
          <cell r="AK9">
            <v>0.15</v>
          </cell>
          <cell r="AL9">
            <v>0.15</v>
          </cell>
        </row>
        <row r="10">
          <cell r="A10">
            <v>10</v>
          </cell>
          <cell r="D10" t="str">
            <v>Vat20</v>
          </cell>
          <cell r="F10">
            <v>0.15</v>
          </cell>
          <cell r="K10">
            <v>0.15</v>
          </cell>
          <cell r="L10">
            <v>0.15</v>
          </cell>
          <cell r="M10">
            <v>0.15</v>
          </cell>
          <cell r="N10">
            <v>0.15</v>
          </cell>
          <cell r="O10">
            <v>0.15</v>
          </cell>
          <cell r="P10">
            <v>0.15</v>
          </cell>
          <cell r="Q10">
            <v>0.15</v>
          </cell>
          <cell r="R10">
            <v>0.15</v>
          </cell>
          <cell r="S10">
            <v>0.15</v>
          </cell>
          <cell r="T10">
            <v>0.15</v>
          </cell>
          <cell r="U10">
            <v>0.15</v>
          </cell>
          <cell r="V10">
            <v>0.15</v>
          </cell>
          <cell r="W10">
            <v>0.15</v>
          </cell>
          <cell r="X10">
            <v>0.15</v>
          </cell>
          <cell r="Y10">
            <v>0.15</v>
          </cell>
          <cell r="Z10">
            <v>0.15</v>
          </cell>
          <cell r="AA10">
            <v>0.15</v>
          </cell>
          <cell r="AB10">
            <v>0.15</v>
          </cell>
          <cell r="AC10">
            <v>0.15</v>
          </cell>
          <cell r="AD10">
            <v>0.15</v>
          </cell>
          <cell r="AE10">
            <v>0.15</v>
          </cell>
          <cell r="AF10">
            <v>0.15</v>
          </cell>
          <cell r="AG10">
            <v>0.15</v>
          </cell>
          <cell r="AH10">
            <v>0.15</v>
          </cell>
          <cell r="AK10">
            <v>0.15</v>
          </cell>
          <cell r="AL10">
            <v>0.15</v>
          </cell>
        </row>
      </sheetData>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creen Output"/>
      <sheetName val="Summary"/>
      <sheetName val="Statistics operations"/>
      <sheetName val="Financing Operations "/>
      <sheetName val="Statements operations"/>
      <sheetName val="Statements Holding"/>
      <sheetName val="Tax integration"/>
      <sheetName val="Actualisations"/>
    </sheetNames>
    <sheetDataSet>
      <sheetData sheetId="0" refreshError="1"/>
      <sheetData sheetId="1" refreshError="1"/>
      <sheetData sheetId="2" refreshError="1">
        <row r="129">
          <cell r="A129">
            <v>129</v>
          </cell>
          <cell r="D129" t="str">
            <v>Ending</v>
          </cell>
          <cell r="G129" t="str">
            <v>NbResIPTelEnd</v>
          </cell>
          <cell r="I129">
            <v>0</v>
          </cell>
          <cell r="J129">
            <v>0</v>
          </cell>
          <cell r="K129">
            <v>0</v>
          </cell>
          <cell r="L129">
            <v>0</v>
          </cell>
          <cell r="M129">
            <v>0</v>
          </cell>
          <cell r="N129">
            <v>0</v>
          </cell>
          <cell r="O129">
            <v>0</v>
          </cell>
          <cell r="P129">
            <v>0</v>
          </cell>
          <cell r="Q129">
            <v>0</v>
          </cell>
          <cell r="R129">
            <v>0</v>
          </cell>
          <cell r="S129">
            <v>0</v>
          </cell>
          <cell r="T129">
            <v>0</v>
          </cell>
        </row>
      </sheetData>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Archives"/>
      <sheetName val="#REF"/>
      <sheetName val="CSCCincSKR"/>
      <sheetName val="Proforma"/>
      <sheetName val="Mai 2003"/>
      <sheetName val="Avril 2003"/>
      <sheetName val="Mars 2003"/>
      <sheetName val="Février 2003"/>
      <sheetName val="Janvier 2003"/>
      <sheetName val="Décembre 2002"/>
      <sheetName val="Novembre 2002"/>
      <sheetName val="Octobre 2002"/>
      <sheetName val="septembre 2002"/>
      <sheetName val="Aout 2002"/>
      <sheetName val="Juillet 2002"/>
      <sheetName val="Juin 2002"/>
      <sheetName val="Mai 2002"/>
      <sheetName val="Avril 2002"/>
      <sheetName val="Mars 2002"/>
      <sheetName val="Février 2002"/>
      <sheetName val="Janvier 2002"/>
      <sheetName val="Décembre 2001"/>
      <sheetName val="Novembre 2001"/>
      <sheetName val="Octobre 2001"/>
      <sheetName val="septembre 2001"/>
      <sheetName val="Aout"/>
      <sheetName val="Juillet"/>
      <sheetName val="Juin"/>
      <sheetName val="Mai"/>
      <sheetName val="Avril"/>
      <sheetName val="Mars"/>
      <sheetName val="février"/>
      <sheetName val="Janvier"/>
      <sheetName val="Décembre"/>
      <sheetName val="Novembre"/>
      <sheetName val="Octobre"/>
      <sheetName val="septembre 2003"/>
      <sheetName val="Aout 2003"/>
      <sheetName val="Juillet 2003"/>
      <sheetName val="Juin 2003"/>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N"/>
      <sheetName val="REVENUES"/>
      <sheetName val="KPNMODEL"/>
      <sheetName val="KPNCASH"/>
      <sheetName val="Analytics"/>
      <sheetName val="Imports"/>
      <sheetName val="MOBILE"/>
      <sheetName val="MOBDCF"/>
      <sheetName val="POSTVAL"/>
      <sheetName val="TNT"/>
      <sheetName val="KPNSUM"/>
      <sheetName val="TELDCF"/>
      <sheetName val="COC"/>
      <sheetName val="SHARES"/>
      <sheetName val="MRS data"/>
      <sheetName val="report imports"/>
      <sheetName val="Data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s"/>
      <sheetName val="BELG"/>
      <sheetName val="BT"/>
      <sheetName val="DT"/>
      <sheetName val="EIR"/>
      <sheetName val="FT"/>
      <sheetName val="KPN"/>
      <sheetName val="OTE"/>
      <sheetName val="PT"/>
      <sheetName val="SWISS"/>
      <sheetName val="TDC"/>
      <sheetName val="TI"/>
      <sheetName val="TEF"/>
      <sheetName val="TELKA"/>
      <sheetName val="TSON"/>
      <sheetName val="TNOR"/>
      <sheetName val="George"/>
      <sheetName val="FK"/>
      <sheetName val="Aggregate"/>
      <sheetName val="Fwd mults"/>
      <sheetName val="DSL"/>
      <sheetName val="Working"/>
      <sheetName val="DSL working"/>
      <sheetName val="Multiples"/>
      <sheetName val="Graphical-Multiples"/>
      <sheetName val="GEORGE1"/>
      <sheetName val="BELG1"/>
      <sheetName val="BT1"/>
      <sheetName val="DT1"/>
      <sheetName val="EIR1"/>
      <sheetName val="FT1"/>
      <sheetName val="KPN1"/>
      <sheetName val="OTE1"/>
      <sheetName val="PT1"/>
      <sheetName val="SWISS1"/>
      <sheetName val="TDC1"/>
      <sheetName val="TI1"/>
      <sheetName val="TEF1"/>
      <sheetName val="TELKA1"/>
      <sheetName val="TNOR1"/>
      <sheetName val="TSON1"/>
      <sheetName val="BELG2"/>
      <sheetName val="BT2"/>
      <sheetName val="DT2"/>
      <sheetName val="EIR2"/>
      <sheetName val="FT2"/>
      <sheetName val="KPN2"/>
      <sheetName val="OTE2"/>
      <sheetName val="PT2"/>
      <sheetName val="SWISS2"/>
      <sheetName val="TDC2"/>
      <sheetName val="TI2"/>
      <sheetName val="TEF2"/>
      <sheetName val="TELKA2"/>
      <sheetName val="TNOR2"/>
      <sheetName val="TSON2"/>
      <sheetName val="1"/>
      <sheetName val="Debt prices"/>
      <sheetName val="Share prices"/>
      <sheetName val="DivYld"/>
      <sheetName val="Summod"/>
      <sheetName val="Multmod"/>
      <sheetName val="C1"/>
    </sheetNames>
    <sheetDataSet>
      <sheetData sheetId="0" refreshError="1">
        <row r="4">
          <cell r="C4">
            <v>27.93</v>
          </cell>
          <cell r="H4">
            <v>495</v>
          </cell>
          <cell r="K4">
            <v>1.3221499999999999</v>
          </cell>
        </row>
        <row r="5">
          <cell r="C5">
            <v>210</v>
          </cell>
          <cell r="H5">
            <v>9.94</v>
          </cell>
          <cell r="K5">
            <v>6.3760500000000002</v>
          </cell>
        </row>
        <row r="6">
          <cell r="C6">
            <v>14.24</v>
          </cell>
          <cell r="H6">
            <v>965</v>
          </cell>
          <cell r="K6">
            <v>171.33</v>
          </cell>
        </row>
        <row r="7">
          <cell r="C7">
            <v>2.21</v>
          </cell>
          <cell r="H7">
            <v>6.75</v>
          </cell>
          <cell r="K7">
            <v>142.19200000000001</v>
          </cell>
        </row>
        <row r="8">
          <cell r="C8">
            <v>21.12</v>
          </cell>
          <cell r="H8">
            <v>9.6999999999999993</v>
          </cell>
          <cell r="K8">
            <v>1.67144</v>
          </cell>
        </row>
        <row r="9">
          <cell r="C9">
            <v>8.01</v>
          </cell>
          <cell r="H9">
            <v>13</v>
          </cell>
          <cell r="K9">
            <v>5.6057499999999996</v>
          </cell>
        </row>
        <row r="10">
          <cell r="C10">
            <v>17.760000000000002</v>
          </cell>
          <cell r="H10">
            <v>6.5149999999999997</v>
          </cell>
          <cell r="K10">
            <v>291.202</v>
          </cell>
        </row>
        <row r="11">
          <cell r="C11">
            <v>7.76</v>
          </cell>
          <cell r="H11">
            <v>8.2899999999999991</v>
          </cell>
          <cell r="K11">
            <v>34.4741</v>
          </cell>
        </row>
        <row r="12">
          <cell r="C12">
            <v>418.75</v>
          </cell>
          <cell r="H12">
            <v>14.59</v>
          </cell>
          <cell r="K12">
            <v>1654.7190000000001</v>
          </cell>
        </row>
        <row r="13">
          <cell r="C13">
            <v>366.5</v>
          </cell>
          <cell r="H13">
            <v>15.2</v>
          </cell>
          <cell r="K13">
            <v>0.58500058500058494</v>
          </cell>
        </row>
        <row r="14">
          <cell r="C14">
            <v>2.3149999999999999</v>
          </cell>
          <cell r="H14">
            <v>8.7799999999999994</v>
          </cell>
          <cell r="K14">
            <v>1.88327</v>
          </cell>
        </row>
        <row r="15">
          <cell r="C15">
            <v>1.97</v>
          </cell>
          <cell r="H15">
            <v>126.5</v>
          </cell>
          <cell r="K15">
            <v>25.0092</v>
          </cell>
        </row>
        <row r="16">
          <cell r="C16">
            <v>12.36</v>
          </cell>
          <cell r="H16">
            <v>24</v>
          </cell>
          <cell r="K16">
            <v>1.17005</v>
          </cell>
        </row>
        <row r="17">
          <cell r="C17">
            <v>18.420000000000002</v>
          </cell>
          <cell r="H17">
            <v>39.89</v>
          </cell>
          <cell r="K17">
            <v>217.15700000000001</v>
          </cell>
        </row>
        <row r="18">
          <cell r="C18">
            <v>62.5</v>
          </cell>
          <cell r="H18">
            <v>13.5</v>
          </cell>
          <cell r="K18">
            <v>2147</v>
          </cell>
        </row>
        <row r="19">
          <cell r="C19">
            <v>40.299999999999997</v>
          </cell>
          <cell r="H19">
            <v>33.97</v>
          </cell>
          <cell r="K19">
            <v>6.7103000000000002</v>
          </cell>
        </row>
        <row r="20">
          <cell r="H20">
            <v>7.5</v>
          </cell>
          <cell r="K20">
            <v>8.1560000000000006</v>
          </cell>
        </row>
        <row r="21">
          <cell r="H21">
            <v>17.940000000000001</v>
          </cell>
          <cell r="K21">
            <v>13.368</v>
          </cell>
        </row>
        <row r="22">
          <cell r="H22">
            <v>3.16</v>
          </cell>
          <cell r="K22">
            <v>3.7795000000000001</v>
          </cell>
        </row>
        <row r="23">
          <cell r="H23">
            <v>48.3</v>
          </cell>
          <cell r="K23">
            <v>2.25</v>
          </cell>
        </row>
        <row r="24">
          <cell r="H24">
            <v>45.14</v>
          </cell>
          <cell r="K24">
            <v>119.41</v>
          </cell>
        </row>
        <row r="25">
          <cell r="H25">
            <v>52.5</v>
          </cell>
          <cell r="K25">
            <v>3.3991500000000001</v>
          </cell>
        </row>
        <row r="26">
          <cell r="H26">
            <v>28.1</v>
          </cell>
          <cell r="K26">
            <v>41.234999999999999</v>
          </cell>
        </row>
        <row r="27">
          <cell r="H27">
            <v>0.44</v>
          </cell>
          <cell r="K27">
            <v>1.1833</v>
          </cell>
        </row>
        <row r="28">
          <cell r="H28">
            <v>27.49</v>
          </cell>
          <cell r="K28">
            <v>527.9</v>
          </cell>
        </row>
        <row r="29">
          <cell r="H29">
            <v>4925</v>
          </cell>
        </row>
        <row r="30">
          <cell r="H30">
            <v>17.489999999999998</v>
          </cell>
        </row>
        <row r="31">
          <cell r="H31">
            <v>27.81</v>
          </cell>
        </row>
        <row r="32">
          <cell r="H32">
            <v>17.45</v>
          </cell>
        </row>
        <row r="33">
          <cell r="H33">
            <v>0.47699999999999998</v>
          </cell>
        </row>
        <row r="34">
          <cell r="H34">
            <v>4820</v>
          </cell>
        </row>
        <row r="35">
          <cell r="H35">
            <v>14.9</v>
          </cell>
        </row>
        <row r="36">
          <cell r="H36">
            <v>2.73</v>
          </cell>
        </row>
      </sheetData>
      <sheetData sheetId="1"/>
      <sheetData sheetId="2">
        <row r="426">
          <cell r="H426">
            <v>0</v>
          </cell>
          <cell r="I426">
            <v>0</v>
          </cell>
          <cell r="J426">
            <v>0</v>
          </cell>
          <cell r="K426">
            <v>0</v>
          </cell>
        </row>
        <row r="439">
          <cell r="H439">
            <v>0</v>
          </cell>
          <cell r="I439">
            <v>2281.8717820291449</v>
          </cell>
          <cell r="J439">
            <v>2209.8717820291449</v>
          </cell>
          <cell r="K439">
            <v>2137.8717820291449</v>
          </cell>
        </row>
        <row r="443">
          <cell r="C443">
            <v>182</v>
          </cell>
        </row>
      </sheetData>
      <sheetData sheetId="3">
        <row r="191">
          <cell r="H191">
            <v>8.6911934367388755E-2</v>
          </cell>
          <cell r="I191">
            <v>2.6536148130675841E-2</v>
          </cell>
          <cell r="J191">
            <v>1.7906197453767536E-3</v>
          </cell>
          <cell r="K191">
            <v>-3.0388104924022774E-2</v>
          </cell>
          <cell r="L191">
            <v>4.1375819645652623E-3</v>
          </cell>
          <cell r="M191">
            <v>2.8667465675926707E-3</v>
          </cell>
          <cell r="N191">
            <v>-6.490628261101028E-3</v>
          </cell>
          <cell r="O191">
            <v>-1.6390028204814389E-2</v>
          </cell>
        </row>
        <row r="192">
          <cell r="H192">
            <v>7.6557418063547766E-2</v>
          </cell>
          <cell r="I192">
            <v>9.5282361143387284E-3</v>
          </cell>
          <cell r="J192">
            <v>-4.8525980184911943E-2</v>
          </cell>
          <cell r="K192">
            <v>-3.1943863686910712E-2</v>
          </cell>
          <cell r="L192">
            <v>-3.4334791778168894E-3</v>
          </cell>
          <cell r="M192">
            <v>-1.3880228206660683E-2</v>
          </cell>
          <cell r="N192">
            <v>-3.1759434861592495E-2</v>
          </cell>
          <cell r="O192">
            <v>-3.4244624226553166E-2</v>
          </cell>
        </row>
        <row r="193">
          <cell r="H193">
            <v>0.2082111436950147</v>
          </cell>
          <cell r="I193">
            <v>0.26294498381877029</v>
          </cell>
          <cell r="J193">
            <v>0.23661936286810414</v>
          </cell>
          <cell r="K193">
            <v>9.5110189140491519E-2</v>
          </cell>
          <cell r="L193">
            <v>3.5150273199944682E-2</v>
          </cell>
          <cell r="M193">
            <v>2.1306833629619604E-4</v>
          </cell>
          <cell r="N193">
            <v>1.4932947313215594E-2</v>
          </cell>
          <cell r="O193">
            <v>1.0858037061452164E-2</v>
          </cell>
        </row>
        <row r="194">
          <cell r="H194">
            <v>0.43413007226236799</v>
          </cell>
          <cell r="I194">
            <v>3.875968992248513E-4</v>
          </cell>
          <cell r="J194">
            <v>3.5192634063770045E-2</v>
          </cell>
          <cell r="K194">
            <v>2.1492255612775901E-2</v>
          </cell>
          <cell r="L194">
            <v>2.5175522512337345E-2</v>
          </cell>
          <cell r="M194">
            <v>1.5602683281038532E-2</v>
          </cell>
          <cell r="N194">
            <v>1.0687343937049176E-2</v>
          </cell>
          <cell r="O194">
            <v>1.1560615215664871E-2</v>
          </cell>
        </row>
        <row r="195">
          <cell r="H195">
            <v>-5.6744905855042882E-3</v>
          </cell>
          <cell r="I195">
            <v>9.8573281452658534E-3</v>
          </cell>
          <cell r="J195">
            <v>1.7369637811456506E-2</v>
          </cell>
          <cell r="K195">
            <v>1.9723679625917034E-2</v>
          </cell>
          <cell r="L195">
            <v>1.7993201836811412E-2</v>
          </cell>
          <cell r="M195">
            <v>1.8028672333403106E-2</v>
          </cell>
          <cell r="N195">
            <v>1.519970841040319E-2</v>
          </cell>
          <cell r="O195">
            <v>1.5243369064201318E-2</v>
          </cell>
        </row>
        <row r="196">
          <cell r="H196">
            <v>-4.9883816805336934E-2</v>
          </cell>
          <cell r="I196">
            <v>-5.640803124137117E-2</v>
          </cell>
          <cell r="J196">
            <v>-4.8422635344309795E-2</v>
          </cell>
          <cell r="K196">
            <v>-2.9280214040585784E-2</v>
          </cell>
          <cell r="L196">
            <v>-1.8506225249950048E-2</v>
          </cell>
          <cell r="M196">
            <v>-1.7801623664608135E-2</v>
          </cell>
          <cell r="N196">
            <v>-7.6815394664679904E-3</v>
          </cell>
          <cell r="O196">
            <v>-8.7230719619095787E-3</v>
          </cell>
        </row>
        <row r="197">
          <cell r="H197">
            <v>5.3149194392132282E-2</v>
          </cell>
          <cell r="I197">
            <v>-6.8348897277965448E-2</v>
          </cell>
          <cell r="J197">
            <v>-4.9999999999999933E-2</v>
          </cell>
          <cell r="K197">
            <v>-3.0000000000000138E-2</v>
          </cell>
          <cell r="L197">
            <v>-0.03</v>
          </cell>
          <cell r="M197">
            <v>-1.000000000000012E-2</v>
          </cell>
          <cell r="N197">
            <v>0</v>
          </cell>
          <cell r="O197">
            <v>0</v>
          </cell>
        </row>
        <row r="198">
          <cell r="H198">
            <v>-2.2591943957968486E-2</v>
          </cell>
          <cell r="I198">
            <v>4.7840888729618447E-2</v>
          </cell>
          <cell r="J198">
            <v>4.1342339261285721E-2</v>
          </cell>
          <cell r="K198">
            <v>2.3451591767833513E-2</v>
          </cell>
          <cell r="L198">
            <v>1.897039315052762E-2</v>
          </cell>
          <cell r="M198">
            <v>1.4309395714976469E-2</v>
          </cell>
          <cell r="N198">
            <v>1.4389676060318601E-2</v>
          </cell>
          <cell r="O198">
            <v>1.4469261594350469E-2</v>
          </cell>
        </row>
        <row r="199">
          <cell r="H199">
            <v>0.16856060606060597</v>
          </cell>
          <cell r="I199">
            <v>6.9151809832523004E-2</v>
          </cell>
          <cell r="J199">
            <v>4.8607181490962992E-2</v>
          </cell>
          <cell r="K199">
            <v>-1.1090221239029363E-2</v>
          </cell>
          <cell r="L199">
            <v>-3.5258216122627362E-2</v>
          </cell>
          <cell r="M199">
            <v>-3.1651018539372577E-2</v>
          </cell>
          <cell r="N199">
            <v>-4.0143128359461766E-2</v>
          </cell>
          <cell r="O199">
            <v>-3.6056079321090784E-2</v>
          </cell>
        </row>
        <row r="200">
          <cell r="H200">
            <v>-3.2418952618453845E-2</v>
          </cell>
          <cell r="I200">
            <v>5.459231490159322E-2</v>
          </cell>
          <cell r="J200">
            <v>-0.01</v>
          </cell>
          <cell r="K200">
            <v>-0.01</v>
          </cell>
          <cell r="L200">
            <v>-9.9999999999998979E-3</v>
          </cell>
          <cell r="M200">
            <v>0</v>
          </cell>
          <cell r="N200">
            <v>0</v>
          </cell>
          <cell r="O200">
            <v>0</v>
          </cell>
        </row>
        <row r="201">
          <cell r="H201">
            <v>-1.6044006417602619E-2</v>
          </cell>
          <cell r="I201">
            <v>-7.2443512695084977E-2</v>
          </cell>
          <cell r="J201">
            <v>-7.2477916518166596E-3</v>
          </cell>
          <cell r="K201">
            <v>-7.1304420321747219E-3</v>
          </cell>
          <cell r="L201">
            <v>-6.175558147043736E-3</v>
          </cell>
          <cell r="M201">
            <v>-2.3934319138628757E-3</v>
          </cell>
          <cell r="N201">
            <v>9.6657254361565137E-4</v>
          </cell>
          <cell r="O201">
            <v>4.6946708987061214E-4</v>
          </cell>
        </row>
        <row r="203">
          <cell r="H203">
            <v>5.9704732957012618E-2</v>
          </cell>
          <cell r="I203">
            <v>7.232124564638398E-2</v>
          </cell>
          <cell r="J203">
            <v>-7.2628744358044228E-3</v>
          </cell>
          <cell r="K203">
            <v>-7.9159705812230641E-3</v>
          </cell>
          <cell r="L203">
            <v>7.3508298290223539E-3</v>
          </cell>
          <cell r="M203">
            <v>1.2038054047945446E-2</v>
          </cell>
          <cell r="N203">
            <v>1.526885987248594E-4</v>
          </cell>
          <cell r="O203">
            <v>-6.4342989780196147E-3</v>
          </cell>
        </row>
        <row r="204">
          <cell r="H204">
            <v>2.8544243577545148E-2</v>
          </cell>
          <cell r="I204">
            <v>-8.2022818378045037E-2</v>
          </cell>
          <cell r="J204">
            <v>-6.4178467954596474E-2</v>
          </cell>
          <cell r="K204">
            <v>-1.6729209055249661E-2</v>
          </cell>
          <cell r="L204">
            <v>-7.3390155999193407E-3</v>
          </cell>
          <cell r="M204">
            <v>-1.5603619096795085E-2</v>
          </cell>
          <cell r="N204">
            <v>-3.1118665405655666E-2</v>
          </cell>
          <cell r="O204">
            <v>-1.4905091035983919E-2</v>
          </cell>
        </row>
        <row r="205">
          <cell r="H205">
            <v>5.2725329533309662E-2</v>
          </cell>
          <cell r="I205">
            <v>0.21099830795262275</v>
          </cell>
          <cell r="J205">
            <v>0.17004987497418922</v>
          </cell>
          <cell r="K205">
            <v>6.2854198762727131E-2</v>
          </cell>
          <cell r="L205">
            <v>3.4850187210876404E-2</v>
          </cell>
          <cell r="M205">
            <v>5.8821684901673166E-3</v>
          </cell>
          <cell r="N205">
            <v>1.3716128115138781E-2</v>
          </cell>
          <cell r="O205">
            <v>2.6676782113051356E-2</v>
          </cell>
        </row>
        <row r="206">
          <cell r="H206">
            <v>0.56570996978851973</v>
          </cell>
          <cell r="I206">
            <v>-5.4992764109985548E-2</v>
          </cell>
          <cell r="J206">
            <v>8.1410026564801008E-3</v>
          </cell>
          <cell r="K206">
            <v>1.1216731901920962E-2</v>
          </cell>
          <cell r="L206">
            <v>1.0443520174177268E-2</v>
          </cell>
          <cell r="M206">
            <v>1.5084716929557596E-2</v>
          </cell>
          <cell r="N206">
            <v>1.2266207913350868E-2</v>
          </cell>
          <cell r="O206">
            <v>1.2188253806139748E-2</v>
          </cell>
        </row>
        <row r="207">
          <cell r="H207">
            <v>4.1346153846153921E-2</v>
          </cell>
          <cell r="I207">
            <v>-4.6168051708217472E-4</v>
          </cell>
          <cell r="J207">
            <v>1.3357967667436466E-2</v>
          </cell>
          <cell r="K207">
            <v>1.9517302362893618E-2</v>
          </cell>
          <cell r="L207">
            <v>1.8085452422396342E-2</v>
          </cell>
          <cell r="M207">
            <v>2.07752222741584E-2</v>
          </cell>
          <cell r="N207">
            <v>2.0184910613855411E-2</v>
          </cell>
          <cell r="O207">
            <v>2.2802614586818759E-2</v>
          </cell>
        </row>
        <row r="208">
          <cell r="H208">
            <v>-8.3850420075778365E-2</v>
          </cell>
          <cell r="I208">
            <v>-8.9966434907695958E-2</v>
          </cell>
          <cell r="J208">
            <v>-7.1146570791157715E-2</v>
          </cell>
          <cell r="K208">
            <v>-4.5684938104678996E-2</v>
          </cell>
          <cell r="L208">
            <v>-2.6821186861420321E-2</v>
          </cell>
          <cell r="M208">
            <v>-1.4331583400183034E-2</v>
          </cell>
          <cell r="N208">
            <v>-1.3911198979312367E-2</v>
          </cell>
          <cell r="O208">
            <v>-1.2583506683748413E-2</v>
          </cell>
        </row>
        <row r="209">
          <cell r="H209">
            <v>-5.5770055770055782E-3</v>
          </cell>
          <cell r="I209">
            <v>-6.1906816220880123E-2</v>
          </cell>
          <cell r="J209">
            <v>-4.9999999999999933E-2</v>
          </cell>
          <cell r="K209">
            <v>-3.0000000000000138E-2</v>
          </cell>
          <cell r="L209">
            <v>-0.03</v>
          </cell>
          <cell r="M209">
            <v>-1.000000000000012E-2</v>
          </cell>
          <cell r="N209">
            <v>0</v>
          </cell>
          <cell r="O209">
            <v>0</v>
          </cell>
        </row>
        <row r="210">
          <cell r="H210">
            <v>-2.4165953806672413E-2</v>
          </cell>
          <cell r="I210">
            <v>3.3311417926802589E-2</v>
          </cell>
          <cell r="J210">
            <v>3.8557794273594848E-2</v>
          </cell>
          <cell r="K210">
            <v>2.1757555954909469E-2</v>
          </cell>
          <cell r="L210">
            <v>1.7868650364604832E-2</v>
          </cell>
          <cell r="M210">
            <v>1.380687670963554E-2</v>
          </cell>
          <cell r="N210">
            <v>1.3891219883549688E-2</v>
          </cell>
          <cell r="O210">
            <v>1.3974915655003306E-2</v>
          </cell>
        </row>
        <row r="211">
          <cell r="H211">
            <v>2.1883289124668526E-2</v>
          </cell>
          <cell r="I211">
            <v>1.1680726800778807E-2</v>
          </cell>
          <cell r="J211">
            <v>3.2346778792821995E-2</v>
          </cell>
          <cell r="K211">
            <v>-3.2942138722912739E-2</v>
          </cell>
          <cell r="L211">
            <v>-4.3391238663596399E-2</v>
          </cell>
          <cell r="M211">
            <v>-2.5267574132118664E-2</v>
          </cell>
          <cell r="N211">
            <v>-2.9047324544205444E-2</v>
          </cell>
          <cell r="O211">
            <v>-2.7129206098189473E-2</v>
          </cell>
        </row>
        <row r="212">
          <cell r="H212">
            <v>4.633645286464283E-2</v>
          </cell>
          <cell r="I212">
            <v>0.11627399650959869</v>
          </cell>
          <cell r="J212">
            <v>-1.9846889199237716E-2</v>
          </cell>
          <cell r="K212">
            <v>-1.7132724430349411E-2</v>
          </cell>
          <cell r="L212">
            <v>-5.0795624366594128E-3</v>
          </cell>
          <cell r="M212">
            <v>3.0659525739604732E-3</v>
          </cell>
          <cell r="N212">
            <v>1.0062596918461786E-2</v>
          </cell>
          <cell r="O212">
            <v>1.0261220302222762E-2</v>
          </cell>
        </row>
        <row r="214">
          <cell r="H214">
            <v>-9.9415204678362623E-2</v>
          </cell>
          <cell r="I214">
            <v>-0.19696969696969702</v>
          </cell>
          <cell r="J214">
            <v>0.35</v>
          </cell>
          <cell r="K214">
            <v>0.2</v>
          </cell>
          <cell r="L214">
            <v>0.1</v>
          </cell>
          <cell r="M214">
            <v>0</v>
          </cell>
          <cell r="N214">
            <v>0</v>
          </cell>
          <cell r="O214">
            <v>0</v>
          </cell>
        </row>
        <row r="215">
          <cell r="H215">
            <v>-0.44716692189892804</v>
          </cell>
          <cell r="I215">
            <v>0</v>
          </cell>
          <cell r="J215">
            <v>0.23467302452316074</v>
          </cell>
          <cell r="K215">
            <v>0.1</v>
          </cell>
          <cell r="L215">
            <v>0.02</v>
          </cell>
          <cell r="M215">
            <v>-0.02</v>
          </cell>
          <cell r="N215">
            <v>-1.9999999999999907E-2</v>
          </cell>
          <cell r="O215">
            <v>-0.02</v>
          </cell>
        </row>
        <row r="216">
          <cell r="H216">
            <v>-3.6074270557029164E-2</v>
          </cell>
          <cell r="I216">
            <v>-0.27352779306549257</v>
          </cell>
          <cell r="J216">
            <v>0.44672727272727286</v>
          </cell>
          <cell r="K216">
            <v>3.665535587114066E-2</v>
          </cell>
          <cell r="L216">
            <v>2.5256607128424813E-2</v>
          </cell>
          <cell r="M216">
            <v>1.7641401600252182E-2</v>
          </cell>
          <cell r="N216">
            <v>-2.0968294925592379E-2</v>
          </cell>
          <cell r="O216">
            <v>3.7367984037350865E-3</v>
          </cell>
        </row>
        <row r="217">
          <cell r="H217">
            <v>-0.1262626262626263</v>
          </cell>
          <cell r="I217">
            <v>-8.6705202312138407E-3</v>
          </cell>
          <cell r="J217">
            <v>5.2594752186590155E-2</v>
          </cell>
          <cell r="K217">
            <v>3.7402503877684401E-2</v>
          </cell>
          <cell r="L217">
            <v>2.5686421721571762E-2</v>
          </cell>
          <cell r="M217">
            <v>2.1979644188352188E-2</v>
          </cell>
          <cell r="N217">
            <v>-8.6537404759789993E-4</v>
          </cell>
          <cell r="O217">
            <v>-6.3519406160750247E-4</v>
          </cell>
        </row>
        <row r="218">
          <cell r="H218">
            <v>0</v>
          </cell>
          <cell r="I218">
            <v>0</v>
          </cell>
          <cell r="J218">
            <v>1.7369637811456284E-2</v>
          </cell>
          <cell r="K218">
            <v>1.9723679625917034E-2</v>
          </cell>
          <cell r="L218">
            <v>1.799320183681119E-2</v>
          </cell>
          <cell r="M218">
            <v>1.8028672333403106E-2</v>
          </cell>
          <cell r="N218">
            <v>1.519970841040319E-2</v>
          </cell>
          <cell r="O218">
            <v>1.5243369064201318E-2</v>
          </cell>
        </row>
        <row r="219">
          <cell r="H219">
            <v>-0.40736434108527131</v>
          </cell>
          <cell r="I219">
            <v>0.13145846958796592</v>
          </cell>
          <cell r="J219">
            <v>0.11839767739534413</v>
          </cell>
          <cell r="K219">
            <v>2.782094983937955E-2</v>
          </cell>
          <cell r="L219">
            <v>-1.8506225249950048E-2</v>
          </cell>
          <cell r="M219">
            <v>-1.7801623664608135E-2</v>
          </cell>
          <cell r="N219">
            <v>-7.6815394664679904E-3</v>
          </cell>
          <cell r="O219">
            <v>-8.7230719619096897E-3</v>
          </cell>
        </row>
        <row r="220">
          <cell r="H220">
            <v>-0.2142857142857143</v>
          </cell>
          <cell r="I220">
            <v>9.0909090909090828E-2</v>
          </cell>
          <cell r="J220">
            <v>8.0000000000000071E-2</v>
          </cell>
          <cell r="K220">
            <v>0.05</v>
          </cell>
          <cell r="L220">
            <v>0</v>
          </cell>
          <cell r="M220">
            <v>0</v>
          </cell>
          <cell r="N220">
            <v>0</v>
          </cell>
          <cell r="O220">
            <v>0</v>
          </cell>
        </row>
        <row r="221">
          <cell r="H221">
            <v>-0.2142857142857143</v>
          </cell>
          <cell r="I221">
            <v>9.0909090909090828E-2</v>
          </cell>
          <cell r="J221">
            <v>8.0000000000000071E-2</v>
          </cell>
          <cell r="K221">
            <v>0.05</v>
          </cell>
          <cell r="L221">
            <v>0</v>
          </cell>
          <cell r="M221">
            <v>0</v>
          </cell>
          <cell r="N221">
            <v>0</v>
          </cell>
          <cell r="O221">
            <v>0</v>
          </cell>
        </row>
        <row r="222">
          <cell r="H222">
            <v>0</v>
          </cell>
          <cell r="I222">
            <v>0</v>
          </cell>
          <cell r="J222">
            <v>0</v>
          </cell>
          <cell r="K222">
            <v>0</v>
          </cell>
          <cell r="L222">
            <v>0</v>
          </cell>
          <cell r="M222">
            <v>0</v>
          </cell>
          <cell r="N222">
            <v>0</v>
          </cell>
          <cell r="O222">
            <v>0</v>
          </cell>
        </row>
        <row r="223">
          <cell r="H223">
            <v>-0.28397565922920898</v>
          </cell>
          <cell r="I223">
            <v>0.11898016997167149</v>
          </cell>
          <cell r="J223">
            <v>0.240506329113924</v>
          </cell>
          <cell r="K223">
            <v>5.8163265306122369E-2</v>
          </cell>
          <cell r="L223">
            <v>0</v>
          </cell>
          <cell r="M223">
            <v>0</v>
          </cell>
          <cell r="N223">
            <v>0</v>
          </cell>
          <cell r="O223">
            <v>0</v>
          </cell>
        </row>
        <row r="225">
          <cell r="H225">
            <v>-7.8506972928629959E-2</v>
          </cell>
          <cell r="I225">
            <v>-8.3532542742951854E-2</v>
          </cell>
          <cell r="J225">
            <v>-0.11032613169092464</v>
          </cell>
          <cell r="K225">
            <v>-1.2186980714717577E-2</v>
          </cell>
          <cell r="L225">
            <v>4.9636638108121245E-2</v>
          </cell>
          <cell r="M225">
            <v>6.6412802255208847E-2</v>
          </cell>
          <cell r="N225">
            <v>4.3593776706668752E-2</v>
          </cell>
          <cell r="O225">
            <v>2.924092149242985E-2</v>
          </cell>
        </row>
        <row r="226">
          <cell r="H226">
            <v>2.9001173659661816E-2</v>
          </cell>
          <cell r="I226">
            <v>-5.8458715817223617E-2</v>
          </cell>
          <cell r="J226">
            <v>-5.2154188150219549E-2</v>
          </cell>
          <cell r="K226">
            <v>-1.9519013499816884E-2</v>
          </cell>
          <cell r="L226">
            <v>-2.3946131767517143E-3</v>
          </cell>
          <cell r="M226">
            <v>1.1433705982941689E-3</v>
          </cell>
          <cell r="N226">
            <v>-2.2598522607674143E-3</v>
          </cell>
          <cell r="O226">
            <v>-5.0645239296814859E-3</v>
          </cell>
        </row>
        <row r="227">
          <cell r="H227">
            <v>0.37885253674727348</v>
          </cell>
          <cell r="I227">
            <v>-0.21627213027465952</v>
          </cell>
          <cell r="J227">
            <v>0.16100549882168136</v>
          </cell>
          <cell r="K227">
            <v>0.96309068175052115</v>
          </cell>
          <cell r="L227">
            <v>-3.3861452925783686E-2</v>
          </cell>
          <cell r="M227">
            <v>-2.2471627069377442E-2</v>
          </cell>
          <cell r="N227">
            <v>-1.4366019594602042E-2</v>
          </cell>
          <cell r="O227">
            <v>-1.5743460087761063E-2</v>
          </cell>
        </row>
        <row r="228">
          <cell r="H228">
            <v>0.33254437869822562</v>
          </cell>
          <cell r="I228">
            <v>4.8075784487861872E-2</v>
          </cell>
          <cell r="J228">
            <v>1.5986273950951313E-2</v>
          </cell>
          <cell r="K228">
            <v>9.5710031620657166E-3</v>
          </cell>
          <cell r="L228">
            <v>1.0413153058036029E-2</v>
          </cell>
          <cell r="M228">
            <v>1.3898256224987637E-2</v>
          </cell>
          <cell r="N228">
            <v>1.584822226894711E-2</v>
          </cell>
          <cell r="O228">
            <v>1.2496017937481563E-2</v>
          </cell>
        </row>
        <row r="229">
          <cell r="H229">
            <v>0</v>
          </cell>
          <cell r="I229">
            <v>0</v>
          </cell>
          <cell r="J229">
            <v>1.7369637811456284E-2</v>
          </cell>
          <cell r="K229">
            <v>1.9723679625917034E-2</v>
          </cell>
          <cell r="L229">
            <v>1.799320183681119E-2</v>
          </cell>
          <cell r="M229">
            <v>1.8028672333403106E-2</v>
          </cell>
          <cell r="N229">
            <v>1.519970841040319E-2</v>
          </cell>
          <cell r="O229">
            <v>1.5243369064201318E-2</v>
          </cell>
        </row>
        <row r="230">
          <cell r="H230">
            <v>-0.12955052694720681</v>
          </cell>
          <cell r="I230">
            <v>-0.12775827561110487</v>
          </cell>
          <cell r="J230">
            <v>-4.4695899015964047E-2</v>
          </cell>
          <cell r="K230">
            <v>-0.34633190798422064</v>
          </cell>
          <cell r="L230">
            <v>5.6530663516706436E-2</v>
          </cell>
          <cell r="M230">
            <v>3.713446433410339E-2</v>
          </cell>
          <cell r="N230">
            <v>2.8416212694975851E-2</v>
          </cell>
          <cell r="O230">
            <v>2.3744140700537208E-2</v>
          </cell>
        </row>
        <row r="231">
          <cell r="H231">
            <v>-0.2142857142857143</v>
          </cell>
          <cell r="I231">
            <v>9.0909090909090828E-2</v>
          </cell>
          <cell r="J231">
            <v>8.0000000000000071E-2</v>
          </cell>
          <cell r="K231">
            <v>0.05</v>
          </cell>
          <cell r="L231">
            <v>0</v>
          </cell>
          <cell r="M231">
            <v>0</v>
          </cell>
          <cell r="N231">
            <v>0</v>
          </cell>
          <cell r="O231">
            <v>0</v>
          </cell>
        </row>
        <row r="232">
          <cell r="H232">
            <v>-0.2142857142857143</v>
          </cell>
          <cell r="I232">
            <v>9.0909090909090828E-2</v>
          </cell>
          <cell r="J232">
            <v>8.0000000000000071E-2</v>
          </cell>
          <cell r="K232">
            <v>0.05</v>
          </cell>
          <cell r="L232">
            <v>0</v>
          </cell>
          <cell r="M232">
            <v>0</v>
          </cell>
          <cell r="N232">
            <v>0</v>
          </cell>
          <cell r="O232">
            <v>0</v>
          </cell>
        </row>
        <row r="233">
          <cell r="H233">
            <v>0</v>
          </cell>
          <cell r="I233">
            <v>0</v>
          </cell>
          <cell r="J233">
            <v>0</v>
          </cell>
          <cell r="K233">
            <v>0</v>
          </cell>
          <cell r="L233">
            <v>0</v>
          </cell>
          <cell r="M233">
            <v>0</v>
          </cell>
          <cell r="N233">
            <v>0</v>
          </cell>
          <cell r="O233">
            <v>0</v>
          </cell>
        </row>
        <row r="234">
          <cell r="H234">
            <v>-1</v>
          </cell>
          <cell r="I234">
            <v>0</v>
          </cell>
          <cell r="J234">
            <v>0</v>
          </cell>
          <cell r="K234">
            <v>0</v>
          </cell>
          <cell r="L234">
            <v>0</v>
          </cell>
          <cell r="M234">
            <v>0</v>
          </cell>
          <cell r="N234">
            <v>0</v>
          </cell>
          <cell r="O234">
            <v>0</v>
          </cell>
        </row>
        <row r="236">
          <cell r="H236">
            <v>2.3152827918170971E-2</v>
          </cell>
          <cell r="I236">
            <v>3.9165412118931098E-2</v>
          </cell>
          <cell r="J236">
            <v>3.395432012133015E-2</v>
          </cell>
          <cell r="K236">
            <v>1.6419642270727008E-2</v>
          </cell>
          <cell r="L236">
            <v>0</v>
          </cell>
          <cell r="M236">
            <v>0</v>
          </cell>
          <cell r="N236">
            <v>0</v>
          </cell>
          <cell r="O236">
            <v>0</v>
          </cell>
        </row>
        <row r="237">
          <cell r="H237">
            <v>-2.4332254734815484E-2</v>
          </cell>
          <cell r="I237">
            <v>-4.5004457652303098E-2</v>
          </cell>
          <cell r="J237">
            <v>-1.651750706381705E-2</v>
          </cell>
          <cell r="K237">
            <v>0</v>
          </cell>
          <cell r="L237">
            <v>0</v>
          </cell>
          <cell r="M237">
            <v>0</v>
          </cell>
          <cell r="N237">
            <v>0</v>
          </cell>
          <cell r="O237">
            <v>0</v>
          </cell>
        </row>
        <row r="238">
          <cell r="H238">
            <v>0.40160445317616245</v>
          </cell>
          <cell r="I238">
            <v>0.29052291398979868</v>
          </cell>
          <cell r="J238">
            <v>1.6503492283787669E-2</v>
          </cell>
          <cell r="K238">
            <v>-4.081148064051765E-2</v>
          </cell>
          <cell r="L238">
            <v>-2.405891727136289E-2</v>
          </cell>
          <cell r="M238">
            <v>0</v>
          </cell>
          <cell r="N238">
            <v>0</v>
          </cell>
          <cell r="O238">
            <v>0</v>
          </cell>
        </row>
        <row r="239">
          <cell r="H239">
            <v>-3.385668488543192E-2</v>
          </cell>
          <cell r="I239">
            <v>-3.3045443604482472E-3</v>
          </cell>
          <cell r="J239">
            <v>-1.3304298826203764E-2</v>
          </cell>
          <cell r="K239">
            <v>-3.6298519020423914E-2</v>
          </cell>
          <cell r="L239">
            <v>-2.152327383343855E-2</v>
          </cell>
          <cell r="M239">
            <v>-1.833059596433595E-2</v>
          </cell>
          <cell r="N239">
            <v>-1.8672881001463915E-2</v>
          </cell>
          <cell r="O239">
            <v>-1.9028192169518343E-2</v>
          </cell>
        </row>
        <row r="240">
          <cell r="H240">
            <v>-1.6644348153216137E-2</v>
          </cell>
          <cell r="I240">
            <v>-2.2553559252152633E-2</v>
          </cell>
          <cell r="J240">
            <v>-2.1542860619334414E-2</v>
          </cell>
          <cell r="K240">
            <v>-2.4352987748892718E-2</v>
          </cell>
          <cell r="L240">
            <v>-1.6049301414590267E-2</v>
          </cell>
          <cell r="M240">
            <v>-1.0794892720356164E-2</v>
          </cell>
          <cell r="N240">
            <v>-1.0912694082264252E-2</v>
          </cell>
          <cell r="O240">
            <v>-1.1033094871376159E-2</v>
          </cell>
        </row>
        <row r="242">
          <cell r="H242">
            <v>6.8229024610284794E-2</v>
          </cell>
          <cell r="I242">
            <v>5.6761268781302165E-2</v>
          </cell>
          <cell r="J242">
            <v>2.223532627079261E-2</v>
          </cell>
          <cell r="K242">
            <v>-4.0010816909552549E-4</v>
          </cell>
          <cell r="L242">
            <v>-5.8043742925094621E-3</v>
          </cell>
          <cell r="M242">
            <v>-7.0626271607994173E-3</v>
          </cell>
          <cell r="N242">
            <v>-6.49062826110125E-3</v>
          </cell>
          <cell r="O242">
            <v>-6.4545739442568584E-3</v>
          </cell>
        </row>
        <row r="243">
          <cell r="H243">
            <v>0.14054574077313275</v>
          </cell>
          <cell r="I243">
            <v>0.12575722720650262</v>
          </cell>
          <cell r="J243">
            <v>8.7108768107547752E-2</v>
          </cell>
          <cell r="K243">
            <v>2.3458661131033898E-2</v>
          </cell>
          <cell r="L243">
            <v>9.2867756083017117E-3</v>
          </cell>
          <cell r="M243">
            <v>-8.9351919208748853E-3</v>
          </cell>
          <cell r="N243">
            <v>-2.5440554749705746E-2</v>
          </cell>
          <cell r="O243">
            <v>-2.7724681460530975E-2</v>
          </cell>
        </row>
        <row r="244">
          <cell r="H244">
            <v>0.36282453131468451</v>
          </cell>
          <cell r="I244">
            <v>0.32103801423363998</v>
          </cell>
          <cell r="J244">
            <v>0.24779300965770945</v>
          </cell>
          <cell r="K244">
            <v>0.13436016130913053</v>
          </cell>
          <cell r="L244">
            <v>6.3813129032298077E-2</v>
          </cell>
          <cell r="M244">
            <v>3.7986169179003548E-2</v>
          </cell>
          <cell r="N244">
            <v>2.5184795265874138E-2</v>
          </cell>
          <cell r="O244">
            <v>2.1068724304497133E-2</v>
          </cell>
        </row>
        <row r="245">
          <cell r="H245">
            <v>0.14012204424103736</v>
          </cell>
          <cell r="I245">
            <v>0.11246403960661011</v>
          </cell>
          <cell r="J245">
            <v>5.5227598915032372E-2</v>
          </cell>
          <cell r="K245">
            <v>2.2523529591746749E-2</v>
          </cell>
          <cell r="L245">
            <v>1.3869538191545461E-2</v>
          </cell>
          <cell r="M245">
            <v>7.4184737385272204E-3</v>
          </cell>
          <cell r="N245">
            <v>6.5839320588285677E-3</v>
          </cell>
          <cell r="O245">
            <v>7.0312107685346348E-3</v>
          </cell>
        </row>
        <row r="246">
          <cell r="H246">
            <v>-3.4747341883152538E-2</v>
          </cell>
          <cell r="I246">
            <v>-2.7027027027026973E-2</v>
          </cell>
          <cell r="J246">
            <v>-2.6249999999999999E-2</v>
          </cell>
          <cell r="K246">
            <v>-2.8566478367127779E-2</v>
          </cell>
          <cell r="L246">
            <v>-3.1311543900272132E-2</v>
          </cell>
          <cell r="M246">
            <v>-3.2653718053876069E-2</v>
          </cell>
          <cell r="N246">
            <v>-3.0820001079976067E-2</v>
          </cell>
          <cell r="O246">
            <v>-2.891293014202867E-2</v>
          </cell>
        </row>
        <row r="252">
          <cell r="F252">
            <v>3686</v>
          </cell>
          <cell r="G252">
            <v>4099</v>
          </cell>
          <cell r="H252">
            <v>4371</v>
          </cell>
          <cell r="I252">
            <v>3985</v>
          </cell>
          <cell r="J252">
            <v>3201.2254795051049</v>
          </cell>
          <cell r="K252">
            <v>3212.0573975328953</v>
          </cell>
          <cell r="L252">
            <v>3219.88600385467</v>
          </cell>
          <cell r="M252">
            <v>3204.5867523851557</v>
          </cell>
          <cell r="N252">
            <v>3201.9179971800841</v>
          </cell>
          <cell r="O252">
            <v>3191.7258608927805</v>
          </cell>
        </row>
        <row r="253">
          <cell r="F253">
            <v>-0.3983821123432103</v>
          </cell>
          <cell r="G253">
            <v>-0.41063604774135065</v>
          </cell>
          <cell r="H253">
            <v>0.16841835426813634</v>
          </cell>
          <cell r="I253">
            <v>0.52172005265467303</v>
          </cell>
          <cell r="J253">
            <v>-0.53846230110941407</v>
          </cell>
          <cell r="K253">
            <v>3.3836785622070042E-3</v>
          </cell>
          <cell r="L253">
            <v>2.4372560489682726E-3</v>
          </cell>
          <cell r="M253">
            <v>-4.7514885468596946E-3</v>
          </cell>
          <cell r="N253">
            <v>-8.3279231029831369E-4</v>
          </cell>
          <cell r="O253">
            <v>-3.1831347012273303E-3</v>
          </cell>
        </row>
        <row r="254">
          <cell r="F254">
            <v>0</v>
          </cell>
          <cell r="G254">
            <v>0</v>
          </cell>
          <cell r="H254">
            <v>-351</v>
          </cell>
          <cell r="I254">
            <v>-148</v>
          </cell>
          <cell r="J254">
            <v>0</v>
          </cell>
          <cell r="K254">
            <v>0</v>
          </cell>
          <cell r="L254">
            <v>0</v>
          </cell>
          <cell r="M254">
            <v>0</v>
          </cell>
          <cell r="N254">
            <v>0</v>
          </cell>
          <cell r="O254">
            <v>0</v>
          </cell>
        </row>
        <row r="255">
          <cell r="F255">
            <v>107</v>
          </cell>
          <cell r="G255">
            <v>41</v>
          </cell>
          <cell r="H255">
            <v>26</v>
          </cell>
          <cell r="I255">
            <v>26</v>
          </cell>
          <cell r="J255">
            <v>26</v>
          </cell>
          <cell r="K255">
            <v>26</v>
          </cell>
          <cell r="L255">
            <v>26</v>
          </cell>
          <cell r="M255">
            <v>26</v>
          </cell>
          <cell r="N255">
            <v>26</v>
          </cell>
          <cell r="O255">
            <v>26</v>
          </cell>
        </row>
        <row r="256">
          <cell r="F256">
            <v>770</v>
          </cell>
          <cell r="G256">
            <v>1585</v>
          </cell>
          <cell r="H256">
            <v>34</v>
          </cell>
          <cell r="I256">
            <v>0</v>
          </cell>
          <cell r="J256">
            <v>0</v>
          </cell>
          <cell r="K256">
            <v>0</v>
          </cell>
          <cell r="L256">
            <v>0</v>
          </cell>
          <cell r="M256">
            <v>0</v>
          </cell>
          <cell r="N256">
            <v>0</v>
          </cell>
          <cell r="O256">
            <v>0</v>
          </cell>
        </row>
        <row r="257">
          <cell r="F257">
            <v>-142</v>
          </cell>
          <cell r="G257">
            <v>-284</v>
          </cell>
          <cell r="H257">
            <v>-370</v>
          </cell>
          <cell r="I257">
            <v>-299</v>
          </cell>
          <cell r="J257">
            <v>-356.70499999999998</v>
          </cell>
          <cell r="K257">
            <v>-396.70785000000001</v>
          </cell>
          <cell r="L257">
            <v>-438.52739950000006</v>
          </cell>
          <cell r="M257">
            <v>-496.3408174650001</v>
          </cell>
          <cell r="N257">
            <v>-542.18417468755013</v>
          </cell>
          <cell r="O257">
            <v>-604.30306691567876</v>
          </cell>
        </row>
        <row r="258">
          <cell r="F258">
            <v>-0.2494597097869713</v>
          </cell>
          <cell r="G258">
            <v>4.3637961335676625</v>
          </cell>
          <cell r="H258">
            <v>1.0099390830394357E-2</v>
          </cell>
          <cell r="I258">
            <v>-0.1559371763893683</v>
          </cell>
          <cell r="J258">
            <v>-0.39593109719761244</v>
          </cell>
          <cell r="K258">
            <v>-0.39588954787475661</v>
          </cell>
          <cell r="L258">
            <v>-0.3953533897279744</v>
          </cell>
          <cell r="M258">
            <v>-0.39526982024743473</v>
          </cell>
          <cell r="N258">
            <v>-0.39500550785836835</v>
          </cell>
          <cell r="O258">
            <v>-0.3949936966504668</v>
          </cell>
        </row>
        <row r="259">
          <cell r="F259">
            <v>57</v>
          </cell>
          <cell r="G259">
            <v>364</v>
          </cell>
          <cell r="H259">
            <v>162</v>
          </cell>
          <cell r="I259">
            <v>199</v>
          </cell>
          <cell r="J259">
            <v>199</v>
          </cell>
          <cell r="K259">
            <v>199</v>
          </cell>
          <cell r="L259">
            <v>199</v>
          </cell>
          <cell r="M259">
            <v>199</v>
          </cell>
          <cell r="N259">
            <v>199</v>
          </cell>
          <cell r="O259">
            <v>199</v>
          </cell>
        </row>
        <row r="260">
          <cell r="F260">
            <v>0.38547854785478552</v>
          </cell>
          <cell r="G260">
            <v>-7.1462601238680978E-4</v>
          </cell>
          <cell r="H260">
            <v>0</v>
          </cell>
          <cell r="I260">
            <v>0</v>
          </cell>
          <cell r="J260">
            <v>0</v>
          </cell>
          <cell r="K260">
            <v>4.6483909415971469E-2</v>
          </cell>
          <cell r="L260">
            <v>0</v>
          </cell>
          <cell r="M260">
            <v>0</v>
          </cell>
          <cell r="N260">
            <v>0</v>
          </cell>
          <cell r="O260">
            <v>0</v>
          </cell>
        </row>
        <row r="261">
          <cell r="F261">
            <v>-0.44969889982628836</v>
          </cell>
          <cell r="G261">
            <v>0</v>
          </cell>
          <cell r="H261">
            <v>0</v>
          </cell>
          <cell r="I261">
            <v>0.56126456624946053</v>
          </cell>
          <cell r="J261">
            <v>2.1594489250760884</v>
          </cell>
          <cell r="K261">
            <v>1.5633961076751943</v>
          </cell>
          <cell r="L261">
            <v>1.3799456382456805</v>
          </cell>
          <cell r="M261">
            <v>1.4421325971371541</v>
          </cell>
          <cell r="N261">
            <v>1.397159037574218</v>
          </cell>
          <cell r="O261">
            <v>1.4419285450339263</v>
          </cell>
        </row>
        <row r="262">
          <cell r="F262">
            <v>974</v>
          </cell>
          <cell r="G262">
            <v>848</v>
          </cell>
          <cell r="H262">
            <v>0</v>
          </cell>
          <cell r="I262">
            <v>0</v>
          </cell>
          <cell r="J262">
            <v>0</v>
          </cell>
          <cell r="K262">
            <v>0</v>
          </cell>
          <cell r="L262">
            <v>0</v>
          </cell>
          <cell r="M262">
            <v>0</v>
          </cell>
          <cell r="N262">
            <v>0</v>
          </cell>
          <cell r="O262">
            <v>0</v>
          </cell>
        </row>
        <row r="263">
          <cell r="F263">
            <v>0</v>
          </cell>
          <cell r="G263">
            <v>0</v>
          </cell>
          <cell r="H263">
            <v>-468.90990990990997</v>
          </cell>
          <cell r="I263">
            <v>709.18709677419361</v>
          </cell>
          <cell r="J263">
            <v>1572.1327716259402</v>
          </cell>
          <cell r="K263">
            <v>1059.2658299762716</v>
          </cell>
          <cell r="L263">
            <v>1373.5106692685727</v>
          </cell>
          <cell r="M263">
            <v>1485.2381226747107</v>
          </cell>
          <cell r="N263">
            <v>1700.0804330603514</v>
          </cell>
          <cell r="O263">
            <v>1766.4305889578336</v>
          </cell>
        </row>
        <row r="264">
          <cell r="F264">
            <v>0.38</v>
          </cell>
          <cell r="G264">
            <v>0.38</v>
          </cell>
          <cell r="H264">
            <v>0.38</v>
          </cell>
          <cell r="I264">
            <v>0.38</v>
          </cell>
          <cell r="J264">
            <v>0.38</v>
          </cell>
          <cell r="K264">
            <v>0.38</v>
          </cell>
          <cell r="L264">
            <v>0.38</v>
          </cell>
          <cell r="M264">
            <v>0.38</v>
          </cell>
          <cell r="N264">
            <v>0.38</v>
          </cell>
          <cell r="O264">
            <v>0.38</v>
          </cell>
        </row>
        <row r="265">
          <cell r="F265">
            <v>0</v>
          </cell>
          <cell r="G265">
            <v>0</v>
          </cell>
          <cell r="H265">
            <v>-100</v>
          </cell>
          <cell r="I265">
            <v>-120</v>
          </cell>
          <cell r="J265">
            <v>0</v>
          </cell>
          <cell r="K265">
            <v>0</v>
          </cell>
          <cell r="L265">
            <v>0</v>
          </cell>
          <cell r="M265">
            <v>0</v>
          </cell>
          <cell r="N265">
            <v>0</v>
          </cell>
          <cell r="O265">
            <v>0</v>
          </cell>
        </row>
        <row r="266">
          <cell r="F266">
            <v>-547</v>
          </cell>
          <cell r="G266">
            <v>-430</v>
          </cell>
          <cell r="H266">
            <v>204</v>
          </cell>
          <cell r="I266">
            <v>280</v>
          </cell>
          <cell r="J266">
            <v>280</v>
          </cell>
          <cell r="K266">
            <v>280</v>
          </cell>
          <cell r="L266">
            <v>280</v>
          </cell>
          <cell r="M266">
            <v>280</v>
          </cell>
          <cell r="N266">
            <v>280</v>
          </cell>
          <cell r="O266">
            <v>280</v>
          </cell>
        </row>
        <row r="267">
          <cell r="F267">
            <v>5743</v>
          </cell>
          <cell r="G267">
            <v>27355</v>
          </cell>
          <cell r="H267">
            <v>4678</v>
          </cell>
          <cell r="I267">
            <v>4848</v>
          </cell>
          <cell r="J267">
            <v>4795.4672181933438</v>
          </cell>
          <cell r="K267">
            <v>4623.8860279873243</v>
          </cell>
          <cell r="L267">
            <v>4599.0666717696395</v>
          </cell>
          <cell r="M267">
            <v>4566.8843341498832</v>
          </cell>
          <cell r="N267">
            <v>4532.0841423646198</v>
          </cell>
          <cell r="O267">
            <v>4485.2326597447673</v>
          </cell>
        </row>
        <row r="270">
          <cell r="F270">
            <v>7.3896214112727954E-2</v>
          </cell>
          <cell r="G270">
            <v>4.3174579522807281E-2</v>
          </cell>
          <cell r="H270">
            <v>0.16655324331100685</v>
          </cell>
          <cell r="I270">
            <v>0.13994471319972357</v>
          </cell>
          <cell r="J270">
            <v>0.05</v>
          </cell>
          <cell r="K270">
            <v>0.06</v>
          </cell>
          <cell r="L270">
            <v>7.0000000000000007E-2</v>
          </cell>
          <cell r="M270">
            <v>0.08</v>
          </cell>
          <cell r="N270">
            <v>0.09</v>
          </cell>
          <cell r="O270">
            <v>0.12</v>
          </cell>
        </row>
        <row r="271">
          <cell r="F271">
            <v>0</v>
          </cell>
          <cell r="G271">
            <v>3019</v>
          </cell>
          <cell r="H271">
            <v>-2398.2148648648649</v>
          </cell>
          <cell r="I271">
            <v>-851.97812903225804</v>
          </cell>
          <cell r="J271">
            <v>-2782.7085560949276</v>
          </cell>
          <cell r="K271">
            <v>-402.52101539098339</v>
          </cell>
          <cell r="L271">
            <v>-521.93405432205782</v>
          </cell>
          <cell r="M271">
            <v>-564.39048661639026</v>
          </cell>
          <cell r="N271">
            <v>-759.83865944428317</v>
          </cell>
          <cell r="O271">
            <v>0</v>
          </cell>
        </row>
        <row r="272">
          <cell r="F272">
            <v>5919</v>
          </cell>
          <cell r="G272">
            <v>785</v>
          </cell>
          <cell r="H272">
            <v>-4818</v>
          </cell>
          <cell r="I272">
            <v>-1747</v>
          </cell>
          <cell r="J272">
            <v>1900</v>
          </cell>
          <cell r="K272">
            <v>0</v>
          </cell>
          <cell r="L272">
            <v>0</v>
          </cell>
          <cell r="M272">
            <v>0</v>
          </cell>
          <cell r="N272">
            <v>0</v>
          </cell>
          <cell r="O272">
            <v>0</v>
          </cell>
        </row>
        <row r="273">
          <cell r="F273">
            <v>0</v>
          </cell>
          <cell r="G273">
            <v>2400</v>
          </cell>
          <cell r="H273">
            <v>900</v>
          </cell>
          <cell r="I273">
            <v>500</v>
          </cell>
          <cell r="J273">
            <v>0</v>
          </cell>
          <cell r="K273">
            <v>0</v>
          </cell>
          <cell r="L273">
            <v>0</v>
          </cell>
          <cell r="M273">
            <v>0</v>
          </cell>
          <cell r="N273">
            <v>0</v>
          </cell>
          <cell r="O273">
            <v>0</v>
          </cell>
        </row>
        <row r="274">
          <cell r="F274">
            <v>-3019</v>
          </cell>
          <cell r="G274">
            <v>1539</v>
          </cell>
          <cell r="H274">
            <v>110</v>
          </cell>
          <cell r="I274">
            <v>-407.90264694294183</v>
          </cell>
          <cell r="J274">
            <v>-232.95310351953503</v>
          </cell>
          <cell r="K274">
            <v>-39.91000054716369</v>
          </cell>
          <cell r="L274">
            <v>-28.84435441477126</v>
          </cell>
          <cell r="M274">
            <v>56.369807540331749</v>
          </cell>
          <cell r="N274">
            <v>9.8329789259232712</v>
          </cell>
          <cell r="O274">
            <v>37.552736621488293</v>
          </cell>
        </row>
        <row r="275">
          <cell r="F275">
            <v>0</v>
          </cell>
          <cell r="G275">
            <v>0</v>
          </cell>
          <cell r="H275">
            <v>0</v>
          </cell>
          <cell r="I275">
            <v>0</v>
          </cell>
          <cell r="J275">
            <v>0</v>
          </cell>
          <cell r="K275">
            <v>2300</v>
          </cell>
          <cell r="L275">
            <v>0</v>
          </cell>
          <cell r="M275">
            <v>0</v>
          </cell>
          <cell r="N275">
            <v>0</v>
          </cell>
          <cell r="O275">
            <v>0</v>
          </cell>
        </row>
        <row r="278">
          <cell r="F278">
            <v>6.3787207891460904E-2</v>
          </cell>
          <cell r="G278">
            <v>6.2180943911998153E-2</v>
          </cell>
          <cell r="H278">
            <v>7.2672464270998244E-2</v>
          </cell>
          <cell r="I278">
            <v>7.5448394003538047E-2</v>
          </cell>
          <cell r="J278">
            <v>6.8624772293954667E-2</v>
          </cell>
          <cell r="K278">
            <v>6.6167220260372195E-2</v>
          </cell>
          <cell r="L278">
            <v>6.2767025456404196E-2</v>
          </cell>
          <cell r="M278">
            <v>5.7699348465493322E-2</v>
          </cell>
          <cell r="N278">
            <v>5.347978684264855E-2</v>
          </cell>
          <cell r="O278">
            <v>4.3034737225450703E-2</v>
          </cell>
        </row>
        <row r="279">
          <cell r="F279">
            <v>0.11181434599156118</v>
          </cell>
          <cell r="G279">
            <v>-3.8913504141783857E-2</v>
          </cell>
          <cell r="H279">
            <v>9.5868359864067249E-2</v>
          </cell>
          <cell r="I279">
            <v>-1.1920135094864409E-3</v>
          </cell>
          <cell r="J279">
            <v>0.17921015706003438</v>
          </cell>
          <cell r="K279">
            <v>0.47942682291101424</v>
          </cell>
          <cell r="L279">
            <v>0.48554787695725665</v>
          </cell>
          <cell r="M279">
            <v>0.4988472541655351</v>
          </cell>
          <cell r="N279">
            <v>0.49130746253156415</v>
          </cell>
          <cell r="O279">
            <v>0.60205382861718637</v>
          </cell>
        </row>
        <row r="280">
          <cell r="F280">
            <v>4.3799548757011864E-2</v>
          </cell>
          <cell r="G280">
            <v>1.415559984354337E-2</v>
          </cell>
          <cell r="H280">
            <v>1.3234714710412264E-2</v>
          </cell>
          <cell r="I280">
            <v>9.2778161713890812E-3</v>
          </cell>
          <cell r="J280">
            <v>-3.6228140959390214E-4</v>
          </cell>
          <cell r="K280">
            <v>-6.1857483725382979E-5</v>
          </cell>
          <cell r="L280">
            <v>-4.4597872328605109E-5</v>
          </cell>
          <cell r="M280">
            <v>8.75726177745651E-5</v>
          </cell>
          <cell r="N280">
            <v>1.5288635132710978E-5</v>
          </cell>
          <cell r="O280">
            <v>5.8574666136142088E-5</v>
          </cell>
        </row>
        <row r="281">
          <cell r="F281">
            <v>-13495</v>
          </cell>
          <cell r="G281">
            <v>-6700</v>
          </cell>
          <cell r="H281">
            <v>0</v>
          </cell>
          <cell r="I281">
            <v>-600</v>
          </cell>
          <cell r="J281">
            <v>-1900</v>
          </cell>
          <cell r="K281">
            <v>0</v>
          </cell>
          <cell r="L281">
            <v>0</v>
          </cell>
          <cell r="M281">
            <v>0</v>
          </cell>
          <cell r="N281">
            <v>0</v>
          </cell>
          <cell r="O281">
            <v>0</v>
          </cell>
        </row>
        <row r="282">
          <cell r="F282">
            <v>6798</v>
          </cell>
          <cell r="G282">
            <v>6032</v>
          </cell>
          <cell r="H282">
            <v>4715</v>
          </cell>
          <cell r="I282">
            <v>2000</v>
          </cell>
          <cell r="J282">
            <v>0</v>
          </cell>
          <cell r="K282">
            <v>2300</v>
          </cell>
          <cell r="L282">
            <v>0</v>
          </cell>
          <cell r="M282">
            <v>0</v>
          </cell>
          <cell r="N282">
            <v>0</v>
          </cell>
          <cell r="O282">
            <v>0</v>
          </cell>
        </row>
        <row r="283">
          <cell r="F283">
            <v>-462.4</v>
          </cell>
          <cell r="G283">
            <v>737.26</v>
          </cell>
          <cell r="H283">
            <v>1367</v>
          </cell>
          <cell r="I283">
            <v>-274</v>
          </cell>
          <cell r="J283">
            <v>0</v>
          </cell>
          <cell r="K283">
            <v>0</v>
          </cell>
          <cell r="L283">
            <v>0</v>
          </cell>
          <cell r="M283">
            <v>0</v>
          </cell>
          <cell r="N283">
            <v>0</v>
          </cell>
          <cell r="O283">
            <v>0</v>
          </cell>
        </row>
        <row r="287">
          <cell r="F287">
            <v>0.4</v>
          </cell>
          <cell r="G287">
            <v>0.4</v>
          </cell>
          <cell r="H287">
            <v>0.39</v>
          </cell>
          <cell r="I287">
            <v>0.39</v>
          </cell>
          <cell r="J287">
            <v>0.39</v>
          </cell>
          <cell r="K287">
            <v>0.39</v>
          </cell>
          <cell r="L287">
            <v>0.39</v>
          </cell>
          <cell r="M287">
            <v>0.39</v>
          </cell>
          <cell r="N287">
            <v>0.39</v>
          </cell>
          <cell r="O287">
            <v>0.39</v>
          </cell>
        </row>
        <row r="426">
          <cell r="H426">
            <v>6248.6759101740645</v>
          </cell>
          <cell r="I426">
            <v>4227.8352335066029</v>
          </cell>
          <cell r="J426">
            <v>1804.4926722597363</v>
          </cell>
          <cell r="K426">
            <v>1555.3535340108303</v>
          </cell>
        </row>
        <row r="439">
          <cell r="H439">
            <v>-5848.6759101740645</v>
          </cell>
          <cell r="I439">
            <v>-3827.8352335066029</v>
          </cell>
          <cell r="J439">
            <v>-1404.4926722597363</v>
          </cell>
          <cell r="K439">
            <v>-1155.3535340108303</v>
          </cell>
        </row>
        <row r="443">
          <cell r="C443">
            <v>17</v>
          </cell>
        </row>
      </sheetData>
      <sheetData sheetId="4"/>
      <sheetData sheetId="5"/>
      <sheetData sheetId="6"/>
      <sheetData sheetId="7"/>
      <sheetData sheetId="8"/>
      <sheetData sheetId="9"/>
      <sheetData sheetId="10"/>
      <sheetData sheetId="11">
        <row r="191">
          <cell r="H191">
            <v>8.4197026517438101E-2</v>
          </cell>
          <cell r="I191">
            <v>9.4893383657996155E-2</v>
          </cell>
          <cell r="J191">
            <v>6.9103696824634353E-2</v>
          </cell>
          <cell r="K191">
            <v>4.5708989166400427E-2</v>
          </cell>
          <cell r="L191">
            <v>2.883537855050089E-2</v>
          </cell>
          <cell r="M191">
            <v>2.0066636017508355E-2</v>
          </cell>
          <cell r="N191">
            <v>1.6828974814294684E-2</v>
          </cell>
          <cell r="O191">
            <v>1.1944991996797105E-2</v>
          </cell>
          <cell r="P191">
            <v>8.5612586983661032E-3</v>
          </cell>
        </row>
        <row r="192">
          <cell r="H192">
            <v>-0.20085166784953867</v>
          </cell>
          <cell r="I192">
            <v>-4.4404973357015987E-2</v>
          </cell>
          <cell r="J192">
            <v>-0.02</v>
          </cell>
          <cell r="K192">
            <v>-0.02</v>
          </cell>
          <cell r="L192">
            <v>-0.02</v>
          </cell>
          <cell r="M192">
            <v>-0.02</v>
          </cell>
          <cell r="N192">
            <v>-0.02</v>
          </cell>
          <cell r="O192">
            <v>-0.02</v>
          </cell>
          <cell r="P192">
            <v>-0.02</v>
          </cell>
        </row>
        <row r="193">
          <cell r="H193">
            <v>-0.34856855851330992</v>
          </cell>
          <cell r="I193">
            <v>-0.53970701619121053</v>
          </cell>
          <cell r="J193">
            <v>8.0000000000000071E-2</v>
          </cell>
          <cell r="K193">
            <v>8.0000000000000071E-2</v>
          </cell>
          <cell r="L193">
            <v>6.0000000000000053E-2</v>
          </cell>
          <cell r="M193">
            <v>0.04</v>
          </cell>
          <cell r="N193">
            <v>0.03</v>
          </cell>
          <cell r="O193">
            <v>0.02</v>
          </cell>
          <cell r="P193">
            <v>0.02</v>
          </cell>
        </row>
        <row r="194">
          <cell r="H194">
            <v>-2.3026315789473673E-2</v>
          </cell>
          <cell r="I194">
            <v>-0.18181818181818177</v>
          </cell>
          <cell r="J194">
            <v>0.03</v>
          </cell>
          <cell r="K194">
            <v>0.03</v>
          </cell>
          <cell r="L194">
            <v>0.03</v>
          </cell>
          <cell r="M194">
            <v>0.03</v>
          </cell>
          <cell r="N194">
            <v>0.03</v>
          </cell>
          <cell r="O194">
            <v>0.03</v>
          </cell>
          <cell r="P194">
            <v>0.03</v>
          </cell>
        </row>
        <row r="195">
          <cell r="H195">
            <v>-9.4650205761316886E-2</v>
          </cell>
          <cell r="I195">
            <v>-0.12272727272727268</v>
          </cell>
          <cell r="J195">
            <v>0.01</v>
          </cell>
          <cell r="K195">
            <v>0.01</v>
          </cell>
          <cell r="L195">
            <v>0.01</v>
          </cell>
          <cell r="M195">
            <v>0.01</v>
          </cell>
          <cell r="N195">
            <v>0.01</v>
          </cell>
          <cell r="O195">
            <v>0.01</v>
          </cell>
          <cell r="P195">
            <v>0.01</v>
          </cell>
        </row>
        <row r="196">
          <cell r="H196">
            <v>-0.90020935101186317</v>
          </cell>
          <cell r="I196">
            <v>-1</v>
          </cell>
          <cell r="J196" t="e">
            <v>#DIV/0!</v>
          </cell>
          <cell r="K196">
            <v>-1.000000000000012E-2</v>
          </cell>
          <cell r="L196">
            <v>-0.01</v>
          </cell>
          <cell r="M196">
            <v>-9.9999999999998979E-3</v>
          </cell>
          <cell r="N196">
            <v>-1.000000000000012E-2</v>
          </cell>
          <cell r="O196">
            <v>-0.01</v>
          </cell>
          <cell r="P196">
            <v>-0.01</v>
          </cell>
        </row>
        <row r="197">
          <cell r="H197">
            <v>1.1397015626835927E-2</v>
          </cell>
          <cell r="I197">
            <v>2.0620353159851224E-2</v>
          </cell>
          <cell r="J197">
            <v>1.0414806863884962E-2</v>
          </cell>
          <cell r="K197">
            <v>6.7305943609674568E-3</v>
          </cell>
          <cell r="L197">
            <v>-3.2643442330175798E-3</v>
          </cell>
          <cell r="M197">
            <v>-8.9970211715199033E-3</v>
          </cell>
          <cell r="N197">
            <v>-1.6967291509005888E-2</v>
          </cell>
          <cell r="O197">
            <v>-1.9820369312607111E-2</v>
          </cell>
          <cell r="P197">
            <v>-2.2028827696786824E-2</v>
          </cell>
        </row>
        <row r="198">
          <cell r="H198">
            <v>-0.2447810548066981</v>
          </cell>
          <cell r="I198">
            <v>-4.7015041825366199E-2</v>
          </cell>
          <cell r="J198">
            <v>3.743388381237378E-2</v>
          </cell>
          <cell r="K198">
            <v>2.3111059386798916E-2</v>
          </cell>
          <cell r="L198">
            <v>1.1425013639542403E-2</v>
          </cell>
          <cell r="M198">
            <v>4.9344872019967401E-3</v>
          </cell>
          <cell r="N198">
            <v>-2.2762773185158736E-4</v>
          </cell>
          <cell r="O198">
            <v>-3.550640168255903E-3</v>
          </cell>
          <cell r="P198">
            <v>-5.7540511527637284E-3</v>
          </cell>
        </row>
        <row r="199">
          <cell r="H199">
            <v>-0.35019841269841268</v>
          </cell>
          <cell r="I199">
            <v>-8.2442748091603013E-2</v>
          </cell>
          <cell r="J199">
            <v>0</v>
          </cell>
          <cell r="K199">
            <v>0</v>
          </cell>
          <cell r="L199">
            <v>0</v>
          </cell>
          <cell r="M199">
            <v>0</v>
          </cell>
          <cell r="N199">
            <v>0</v>
          </cell>
          <cell r="O199">
            <v>0</v>
          </cell>
          <cell r="P199">
            <v>0</v>
          </cell>
        </row>
        <row r="202">
          <cell r="G202">
            <v>0.97497009294193426</v>
          </cell>
          <cell r="H202">
            <v>0.97497009294193426</v>
          </cell>
          <cell r="I202">
            <v>0.97497009294193426</v>
          </cell>
          <cell r="J202">
            <v>0.97497009294193426</v>
          </cell>
          <cell r="K202">
            <v>0.97497009294193426</v>
          </cell>
          <cell r="L202">
            <v>0.97497009294193426</v>
          </cell>
          <cell r="M202">
            <v>0.97497009294193426</v>
          </cell>
          <cell r="N202">
            <v>0.97497009294193426</v>
          </cell>
          <cell r="O202">
            <v>0.97497009294193426</v>
          </cell>
          <cell r="P202">
            <v>0.97497009294193426</v>
          </cell>
        </row>
        <row r="203">
          <cell r="G203">
            <v>0.97161107168204397</v>
          </cell>
          <cell r="H203">
            <v>0.97161107168204397</v>
          </cell>
          <cell r="I203">
            <v>0.97161107168204397</v>
          </cell>
          <cell r="J203">
            <v>0.97161107168204397</v>
          </cell>
          <cell r="K203">
            <v>0.97161107168204397</v>
          </cell>
          <cell r="L203">
            <v>0.97161107168204397</v>
          </cell>
          <cell r="M203">
            <v>0.97161107168204397</v>
          </cell>
          <cell r="N203">
            <v>0.97161107168204397</v>
          </cell>
          <cell r="O203">
            <v>0.97161107168204397</v>
          </cell>
          <cell r="P203">
            <v>0.97161107168204397</v>
          </cell>
        </row>
        <row r="204">
          <cell r="G204">
            <v>0.95429432446007034</v>
          </cell>
          <cell r="H204">
            <v>1</v>
          </cell>
          <cell r="I204">
            <v>1</v>
          </cell>
          <cell r="J204">
            <v>1</v>
          </cell>
          <cell r="K204">
            <v>1</v>
          </cell>
          <cell r="L204">
            <v>1</v>
          </cell>
          <cell r="M204">
            <v>1</v>
          </cell>
          <cell r="N204">
            <v>1</v>
          </cell>
          <cell r="O204">
            <v>1</v>
          </cell>
          <cell r="P204">
            <v>1</v>
          </cell>
        </row>
        <row r="205">
          <cell r="G205">
            <v>0.96052631578947378</v>
          </cell>
          <cell r="H205">
            <v>0.96052631578947378</v>
          </cell>
          <cell r="I205">
            <v>0.96052631578947378</v>
          </cell>
          <cell r="J205">
            <v>0.96052631578947378</v>
          </cell>
          <cell r="K205">
            <v>0.96052631578947378</v>
          </cell>
          <cell r="L205">
            <v>0.96052631578947378</v>
          </cell>
          <cell r="M205">
            <v>0.96052631578947378</v>
          </cell>
          <cell r="N205">
            <v>0.96052631578947378</v>
          </cell>
          <cell r="O205">
            <v>0.96052631578947378</v>
          </cell>
          <cell r="P205">
            <v>0.96052631578947378</v>
          </cell>
        </row>
        <row r="206">
          <cell r="G206">
            <v>9.1358024691358022E-2</v>
          </cell>
          <cell r="H206">
            <v>9.1358024691358022E-2</v>
          </cell>
          <cell r="I206">
            <v>9.1358024691358022E-2</v>
          </cell>
          <cell r="J206">
            <v>9.1358024691358022E-2</v>
          </cell>
          <cell r="K206">
            <v>9.1358024691358022E-2</v>
          </cell>
          <cell r="L206">
            <v>9.1358024691358022E-2</v>
          </cell>
          <cell r="M206">
            <v>9.1358024691358022E-2</v>
          </cell>
          <cell r="N206">
            <v>9.1358024691358022E-2</v>
          </cell>
          <cell r="O206">
            <v>9.1358024691358022E-2</v>
          </cell>
          <cell r="P206">
            <v>9.1358024691358022E-2</v>
          </cell>
        </row>
        <row r="207">
          <cell r="G207">
            <v>0.31960921144452198</v>
          </cell>
          <cell r="H207">
            <v>1</v>
          </cell>
          <cell r="I207">
            <v>1</v>
          </cell>
          <cell r="J207">
            <v>1</v>
          </cell>
          <cell r="K207">
            <v>1</v>
          </cell>
          <cell r="L207">
            <v>1</v>
          </cell>
          <cell r="M207">
            <v>1</v>
          </cell>
          <cell r="N207">
            <v>1</v>
          </cell>
          <cell r="O207">
            <v>1</v>
          </cell>
          <cell r="P207">
            <v>1</v>
          </cell>
        </row>
        <row r="208">
          <cell r="G208">
            <v>0.88655857126072135</v>
          </cell>
          <cell r="H208">
            <v>0.88783689591078063</v>
          </cell>
          <cell r="I208">
            <v>0.88783689591078063</v>
          </cell>
          <cell r="J208">
            <v>0.88783689591078063</v>
          </cell>
          <cell r="K208">
            <v>0.88783689591078063</v>
          </cell>
          <cell r="L208">
            <v>0.88783689591078063</v>
          </cell>
          <cell r="M208">
            <v>0.88783689591078063</v>
          </cell>
          <cell r="N208">
            <v>0.88783689591078063</v>
          </cell>
          <cell r="O208">
            <v>0.88783689591078063</v>
          </cell>
          <cell r="P208">
            <v>0.88783689591078063</v>
          </cell>
        </row>
        <row r="209">
          <cell r="G209">
            <v>1</v>
          </cell>
          <cell r="H209">
            <v>0.89706208061808224</v>
          </cell>
          <cell r="I209">
            <v>0.89706208061808224</v>
          </cell>
          <cell r="J209">
            <v>0.89706208061808224</v>
          </cell>
          <cell r="K209">
            <v>0.89706208061808224</v>
          </cell>
          <cell r="L209">
            <v>0.89706208061808224</v>
          </cell>
          <cell r="M209">
            <v>0.89706208061808224</v>
          </cell>
          <cell r="N209">
            <v>0.89706208061808224</v>
          </cell>
          <cell r="O209">
            <v>0.89706208061808224</v>
          </cell>
          <cell r="P209">
            <v>0.89706208061808224</v>
          </cell>
        </row>
        <row r="211">
          <cell r="H211">
            <v>7.7611550750918523E-2</v>
          </cell>
          <cell r="I211">
            <v>9.0342199053661254E-2</v>
          </cell>
          <cell r="J211">
            <v>7.3080593231002133E-2</v>
          </cell>
          <cell r="K211">
            <v>6.2045932631402678E-2</v>
          </cell>
          <cell r="L211">
            <v>5.3897435264901983E-2</v>
          </cell>
          <cell r="M211">
            <v>1.3611572308791731E-2</v>
          </cell>
          <cell r="N211">
            <v>2.0668165821489781E-2</v>
          </cell>
          <cell r="O211">
            <v>1.6783041393703568E-2</v>
          </cell>
          <cell r="P211">
            <v>1.1301350407100674E-2</v>
          </cell>
        </row>
        <row r="212">
          <cell r="H212">
            <v>-0.26217212899007281</v>
          </cell>
          <cell r="I212">
            <v>-6.2396076634797959E-2</v>
          </cell>
          <cell r="J212">
            <v>-2.0000000000000129E-2</v>
          </cell>
          <cell r="K212">
            <v>-1.9999999999999907E-2</v>
          </cell>
          <cell r="L212">
            <v>-2.0000000000000129E-2</v>
          </cell>
          <cell r="M212">
            <v>-2.000000000000024E-2</v>
          </cell>
          <cell r="N212">
            <v>-1.9999999999999907E-2</v>
          </cell>
          <cell r="O212">
            <v>-0.02</v>
          </cell>
          <cell r="P212">
            <v>-2.0000000000000129E-2</v>
          </cell>
        </row>
        <row r="213">
          <cell r="H213">
            <v>-0.32970804787094021</v>
          </cell>
          <cell r="I213">
            <v>-0.42200718081024757</v>
          </cell>
          <cell r="J213">
            <v>5.7721465968586294E-2</v>
          </cell>
          <cell r="K213">
            <v>5.7021276595744741E-2</v>
          </cell>
          <cell r="L213">
            <v>3.6956521739130554E-2</v>
          </cell>
          <cell r="M213">
            <v>0.04</v>
          </cell>
          <cell r="N213">
            <v>0.03</v>
          </cell>
          <cell r="O213">
            <v>0.02</v>
          </cell>
          <cell r="P213">
            <v>1.9999999999999796E-2</v>
          </cell>
        </row>
        <row r="214">
          <cell r="H214">
            <v>-9.5381742440565631E-3</v>
          </cell>
          <cell r="I214">
            <v>-0.18144769473974276</v>
          </cell>
          <cell r="J214">
            <v>2.9053765060240933E-2</v>
          </cell>
          <cell r="K214">
            <v>1.8681318681318837E-2</v>
          </cell>
          <cell r="L214">
            <v>0.03</v>
          </cell>
          <cell r="M214">
            <v>0.03</v>
          </cell>
          <cell r="N214">
            <v>0.03</v>
          </cell>
          <cell r="O214">
            <v>0.03</v>
          </cell>
          <cell r="P214">
            <v>0.03</v>
          </cell>
        </row>
        <row r="215">
          <cell r="H215">
            <v>-6.7664921791267374E-2</v>
          </cell>
          <cell r="I215">
            <v>-0.11874321091318629</v>
          </cell>
          <cell r="J215">
            <v>-1.329021372328465E-2</v>
          </cell>
          <cell r="K215">
            <v>0.01</v>
          </cell>
          <cell r="L215">
            <v>0.01</v>
          </cell>
          <cell r="M215">
            <v>0.01</v>
          </cell>
          <cell r="N215">
            <v>0.01</v>
          </cell>
          <cell r="O215">
            <v>9.9999999999997868E-3</v>
          </cell>
          <cell r="P215">
            <v>0.01</v>
          </cell>
        </row>
        <row r="216">
          <cell r="H216">
            <v>-0.90020935101186317</v>
          </cell>
          <cell r="I216">
            <v>-1.095</v>
          </cell>
          <cell r="J216">
            <v>-9.91</v>
          </cell>
          <cell r="K216">
            <v>-1.000000000000012E-2</v>
          </cell>
          <cell r="L216">
            <v>-0.01</v>
          </cell>
          <cell r="M216">
            <v>-9.9999999999998979E-3</v>
          </cell>
          <cell r="N216">
            <v>-1.0000000000000231E-2</v>
          </cell>
          <cell r="O216">
            <v>-0.01</v>
          </cell>
          <cell r="P216">
            <v>-9.9999999999998979E-3</v>
          </cell>
        </row>
        <row r="217">
          <cell r="H217">
            <v>-2.1724861561785991E-3</v>
          </cell>
          <cell r="I217">
            <v>1.9631705287721291E-2</v>
          </cell>
          <cell r="J217">
            <v>3.4904790802383623E-3</v>
          </cell>
          <cell r="K217">
            <v>2.6920084855059923E-3</v>
          </cell>
          <cell r="L217">
            <v>-1.2636070330711791E-2</v>
          </cell>
          <cell r="M217">
            <v>-6.9079852863578317E-3</v>
          </cell>
          <cell r="N217">
            <v>-6.2956595551091343E-3</v>
          </cell>
          <cell r="O217">
            <v>-5.4260383893501851E-3</v>
          </cell>
          <cell r="P217">
            <v>-4.450105632334278E-3</v>
          </cell>
        </row>
        <row r="218">
          <cell r="H218">
            <v>-0.24211526293047603</v>
          </cell>
          <cell r="I218">
            <v>-4.2043477706190546E-2</v>
          </cell>
          <cell r="J218">
            <v>5.8212976998133437E-2</v>
          </cell>
          <cell r="K218">
            <v>3.9223092785908964E-2</v>
          </cell>
          <cell r="L218">
            <v>1.1161908306439372E-2</v>
          </cell>
          <cell r="M218">
            <v>4.4250952183497727E-3</v>
          </cell>
          <cell r="N218">
            <v>-1.8258128018463493E-3</v>
          </cell>
          <cell r="O218">
            <v>-4.8247710497314467E-3</v>
          </cell>
          <cell r="P218">
            <v>-6.9253427449192939E-3</v>
          </cell>
        </row>
        <row r="219">
          <cell r="H219">
            <v>-0.40009573325070413</v>
          </cell>
          <cell r="I219">
            <v>-8.1504015947464814E-2</v>
          </cell>
          <cell r="J219">
            <v>0</v>
          </cell>
          <cell r="K219">
            <v>0</v>
          </cell>
          <cell r="L219">
            <v>0</v>
          </cell>
          <cell r="M219">
            <v>0</v>
          </cell>
          <cell r="N219">
            <v>0</v>
          </cell>
          <cell r="O219">
            <v>0</v>
          </cell>
          <cell r="P219">
            <v>0</v>
          </cell>
        </row>
        <row r="221">
          <cell r="H221">
            <v>0.13760932944606408</v>
          </cell>
          <cell r="I221">
            <v>-5.3818554587391043E-2</v>
          </cell>
          <cell r="J221">
            <v>0.17574810400866747</v>
          </cell>
          <cell r="K221">
            <v>-5.3194185855251819E-2</v>
          </cell>
          <cell r="L221">
            <v>-5.4259122343025545E-3</v>
          </cell>
          <cell r="M221">
            <v>-3.0834121822198579E-3</v>
          </cell>
          <cell r="N221">
            <v>1.0323039981038562E-2</v>
          </cell>
          <cell r="O221">
            <v>-2.9420019097054939E-2</v>
          </cell>
          <cell r="P221">
            <v>-2.6952352231711663E-2</v>
          </cell>
        </row>
        <row r="222">
          <cell r="H222">
            <v>-0.27018518518518508</v>
          </cell>
          <cell r="I222">
            <v>-4.0598832783558247E-3</v>
          </cell>
          <cell r="J222">
            <v>-5.9699363057324706E-2</v>
          </cell>
          <cell r="K222">
            <v>-1.9999999999999907E-2</v>
          </cell>
          <cell r="L222">
            <v>-2.0000000000000129E-2</v>
          </cell>
          <cell r="M222">
            <v>-1.9999999999999907E-2</v>
          </cell>
          <cell r="N222">
            <v>-2.0000000000000129E-2</v>
          </cell>
          <cell r="O222">
            <v>-2.0000000000000129E-2</v>
          </cell>
          <cell r="P222">
            <v>-1.9999999999999907E-2</v>
          </cell>
        </row>
        <row r="223">
          <cell r="H223">
            <v>-0.41234567901234565</v>
          </cell>
          <cell r="I223">
            <v>3.3613445378151141E-3</v>
          </cell>
          <cell r="J223">
            <v>8.0000000000000071E-2</v>
          </cell>
          <cell r="K223">
            <v>8.0000000000000071E-2</v>
          </cell>
          <cell r="L223">
            <v>6.0000000000000053E-2</v>
          </cell>
          <cell r="M223">
            <v>0.04</v>
          </cell>
          <cell r="N223">
            <v>0.03</v>
          </cell>
          <cell r="O223">
            <v>2.000000000000024E-2</v>
          </cell>
          <cell r="P223">
            <v>1.9999999999999796E-2</v>
          </cell>
        </row>
        <row r="224">
          <cell r="H224">
            <v>-6.2105263157894774E-2</v>
          </cell>
          <cell r="I224">
            <v>-0.29854096520763185</v>
          </cell>
          <cell r="J224">
            <v>-9.8956000000000044E-2</v>
          </cell>
          <cell r="K224">
            <v>0.03</v>
          </cell>
          <cell r="L224">
            <v>0.03</v>
          </cell>
          <cell r="M224">
            <v>0.03</v>
          </cell>
          <cell r="N224">
            <v>2.9999999999999805E-2</v>
          </cell>
          <cell r="O224">
            <v>0.03</v>
          </cell>
          <cell r="P224">
            <v>0.03</v>
          </cell>
        </row>
        <row r="225">
          <cell r="H225">
            <v>3.3557046979866056E-2</v>
          </cell>
          <cell r="I225">
            <v>0.16883116883116855</v>
          </cell>
          <cell r="J225">
            <v>-0.24193888888888881</v>
          </cell>
          <cell r="K225">
            <v>0.01</v>
          </cell>
          <cell r="L225">
            <v>0.01</v>
          </cell>
          <cell r="M225">
            <v>0.01</v>
          </cell>
          <cell r="N225">
            <v>0.01</v>
          </cell>
          <cell r="O225">
            <v>0.01</v>
          </cell>
          <cell r="P225">
            <v>0.01</v>
          </cell>
        </row>
        <row r="226">
          <cell r="H226">
            <v>0</v>
          </cell>
          <cell r="I226">
            <v>0</v>
          </cell>
          <cell r="J226">
            <v>0</v>
          </cell>
          <cell r="K226">
            <v>0</v>
          </cell>
          <cell r="L226">
            <v>0</v>
          </cell>
          <cell r="M226">
            <v>0</v>
          </cell>
          <cell r="N226">
            <v>0</v>
          </cell>
          <cell r="O226">
            <v>0</v>
          </cell>
          <cell r="P226">
            <v>0</v>
          </cell>
        </row>
        <row r="227">
          <cell r="H227">
            <v>-6.6125760649087262E-2</v>
          </cell>
          <cell r="I227">
            <v>-1.19112619461339E-2</v>
          </cell>
          <cell r="J227">
            <v>-2.9170174172023833E-2</v>
          </cell>
          <cell r="K227">
            <v>-4.5043870669713271E-2</v>
          </cell>
          <cell r="L227">
            <v>-1.2799881814051117E-2</v>
          </cell>
          <cell r="M227">
            <v>-1.2716901226655364E-2</v>
          </cell>
          <cell r="N227">
            <v>-1.2636068560697766E-2</v>
          </cell>
          <cell r="O227">
            <v>-1.2557328376684218E-2</v>
          </cell>
          <cell r="P227">
            <v>-1.248062619293655E-2</v>
          </cell>
        </row>
        <row r="228">
          <cell r="H228">
            <v>9.4653465346534515E-2</v>
          </cell>
          <cell r="I228">
            <v>-0.3216353111432706</v>
          </cell>
          <cell r="J228">
            <v>0</v>
          </cell>
          <cell r="K228">
            <v>0</v>
          </cell>
          <cell r="L228">
            <v>0</v>
          </cell>
          <cell r="M228">
            <v>0</v>
          </cell>
          <cell r="N228">
            <v>0</v>
          </cell>
          <cell r="O228">
            <v>0</v>
          </cell>
          <cell r="P228">
            <v>0</v>
          </cell>
        </row>
        <row r="229">
          <cell r="H229">
            <v>-0.2857142857142857</v>
          </cell>
          <cell r="I229">
            <v>0</v>
          </cell>
          <cell r="J229">
            <v>0</v>
          </cell>
          <cell r="K229">
            <v>0</v>
          </cell>
          <cell r="L229">
            <v>0</v>
          </cell>
          <cell r="M229">
            <v>0</v>
          </cell>
          <cell r="N229">
            <v>0</v>
          </cell>
          <cell r="O229">
            <v>0</v>
          </cell>
          <cell r="P229">
            <v>0</v>
          </cell>
        </row>
        <row r="231">
          <cell r="H231">
            <v>4.2355803638589595E-3</v>
          </cell>
          <cell r="I231">
            <v>0.17398405311038023</v>
          </cell>
          <cell r="J231">
            <v>6.9530163887368435E-2</v>
          </cell>
          <cell r="K231">
            <v>5.5924310837751845E-2</v>
          </cell>
          <cell r="L231">
            <v>3.8640596167397678E-2</v>
          </cell>
          <cell r="M231">
            <v>2.591639764309206E-2</v>
          </cell>
          <cell r="N231">
            <v>2.0505584000643173E-2</v>
          </cell>
          <cell r="O231">
            <v>2.0928286450662137E-2</v>
          </cell>
          <cell r="P231">
            <v>1.4017812110394878E-2</v>
          </cell>
        </row>
        <row r="232">
          <cell r="H232">
            <v>-6.7238006313636522E-2</v>
          </cell>
          <cell r="I232">
            <v>-3.1385932661171401E-2</v>
          </cell>
          <cell r="J232">
            <v>-0.02</v>
          </cell>
          <cell r="K232">
            <v>-0.02</v>
          </cell>
          <cell r="L232">
            <v>-0.77435967990505916</v>
          </cell>
          <cell r="M232">
            <v>0.3103398532595889</v>
          </cell>
          <cell r="N232">
            <v>0.18902336102324746</v>
          </cell>
          <cell r="O232">
            <v>0.12575459151552337</v>
          </cell>
          <cell r="P232">
            <v>8.7348584693242248E-2</v>
          </cell>
        </row>
        <row r="233">
          <cell r="H233">
            <v>-0.13483856142456974</v>
          </cell>
          <cell r="I233">
            <v>-1.3756524337644349</v>
          </cell>
          <cell r="J233">
            <v>-1.9521044925731295</v>
          </cell>
          <cell r="K233">
            <v>-3.9476794102538126E-2</v>
          </cell>
          <cell r="L233">
            <v>-3.2114246663570434E-2</v>
          </cell>
          <cell r="M233">
            <v>-2.6268914913228358E-2</v>
          </cell>
          <cell r="N233">
            <v>-2.1397546917499177E-2</v>
          </cell>
          <cell r="O233">
            <v>-1.7625405814419737E-2</v>
          </cell>
          <cell r="P233">
            <v>-1.4065671664141965E-2</v>
          </cell>
        </row>
        <row r="234">
          <cell r="H234">
            <v>-0.31838235294117645</v>
          </cell>
          <cell r="I234">
            <v>1.6296438837239968E-2</v>
          </cell>
          <cell r="J234">
            <v>1.8049810889539941E-3</v>
          </cell>
          <cell r="K234">
            <v>4.9935598818802163E-3</v>
          </cell>
          <cell r="L234">
            <v>7.8919082175807898E-3</v>
          </cell>
          <cell r="M234">
            <v>1.05105327614754E-2</v>
          </cell>
          <cell r="N234">
            <v>1.2863513232982626E-2</v>
          </cell>
          <cell r="O234">
            <v>1.4967419771329427E-2</v>
          </cell>
          <cell r="P234">
            <v>1.6840357364055203E-2</v>
          </cell>
        </row>
        <row r="235">
          <cell r="H235">
            <v>-0.17393866637564115</v>
          </cell>
          <cell r="I235">
            <v>0.12409501664640921</v>
          </cell>
          <cell r="J235">
            <v>-6.8936842105262741E-3</v>
          </cell>
          <cell r="K235">
            <v>-4.4503563596780538E-3</v>
          </cell>
          <cell r="L235">
            <v>-2.3300706634030721E-3</v>
          </cell>
          <cell r="M235">
            <v>-4.9853287648138345E-4</v>
          </cell>
          <cell r="N235">
            <v>1.077324351453024E-3</v>
          </cell>
          <cell r="O235">
            <v>2.4285787203328635E-3</v>
          </cell>
          <cell r="P235">
            <v>3.5838589744126015E-3</v>
          </cell>
        </row>
        <row r="236">
          <cell r="H236">
            <v>-1</v>
          </cell>
          <cell r="I236">
            <v>0</v>
          </cell>
          <cell r="J236">
            <v>0</v>
          </cell>
          <cell r="K236">
            <v>0</v>
          </cell>
          <cell r="L236">
            <v>0</v>
          </cell>
          <cell r="M236">
            <v>0</v>
          </cell>
          <cell r="N236">
            <v>0</v>
          </cell>
          <cell r="O236">
            <v>0</v>
          </cell>
          <cell r="P236">
            <v>0</v>
          </cell>
        </row>
        <row r="237">
          <cell r="H237">
            <v>-1.9308712908568504E-2</v>
          </cell>
          <cell r="I237">
            <v>-1.4645221810064446E-2</v>
          </cell>
          <cell r="J237">
            <v>-3.510996890827367E-2</v>
          </cell>
          <cell r="K237">
            <v>-3.7109350905941807E-2</v>
          </cell>
          <cell r="L237">
            <v>-3.6242376475853266E-2</v>
          </cell>
          <cell r="M237">
            <v>-3.3013670211623714E-2</v>
          </cell>
          <cell r="N237">
            <v>-2.9944661468405909E-2</v>
          </cell>
          <cell r="O237">
            <v>-2.7258707878861976E-2</v>
          </cell>
          <cell r="P237">
            <v>-2.4940181790754523E-2</v>
          </cell>
        </row>
        <row r="238">
          <cell r="H238">
            <v>-0.1285609874152952</v>
          </cell>
          <cell r="I238">
            <v>-3.9411058650887343E-2</v>
          </cell>
          <cell r="J238">
            <v>0</v>
          </cell>
          <cell r="K238">
            <v>0</v>
          </cell>
          <cell r="L238">
            <v>0</v>
          </cell>
          <cell r="M238">
            <v>0</v>
          </cell>
          <cell r="N238">
            <v>0</v>
          </cell>
          <cell r="O238">
            <v>0</v>
          </cell>
          <cell r="P238">
            <v>0</v>
          </cell>
        </row>
        <row r="239">
          <cell r="H239" t="str">
            <v>nm</v>
          </cell>
          <cell r="I239">
            <v>-1</v>
          </cell>
          <cell r="J239" t="e">
            <v>#DIV/0!</v>
          </cell>
          <cell r="K239" t="e">
            <v>#DIV/0!</v>
          </cell>
          <cell r="L239" t="e">
            <v>#DIV/0!</v>
          </cell>
          <cell r="M239" t="e">
            <v>#DIV/0!</v>
          </cell>
          <cell r="N239" t="e">
            <v>#DIV/0!</v>
          </cell>
          <cell r="O239" t="e">
            <v>#DIV/0!</v>
          </cell>
          <cell r="P239" t="e">
            <v>#DIV/0!</v>
          </cell>
        </row>
        <row r="241">
          <cell r="H241">
            <v>0.10773031459128157</v>
          </cell>
          <cell r="I241">
            <v>5.5924117099059867E-2</v>
          </cell>
          <cell r="J241">
            <v>0</v>
          </cell>
          <cell r="K241">
            <v>0</v>
          </cell>
          <cell r="L241">
            <v>0</v>
          </cell>
          <cell r="M241">
            <v>0</v>
          </cell>
          <cell r="N241">
            <v>0</v>
          </cell>
          <cell r="O241">
            <v>0</v>
          </cell>
          <cell r="P241">
            <v>0</v>
          </cell>
        </row>
        <row r="242">
          <cell r="H242">
            <v>-0.11090106007067146</v>
          </cell>
          <cell r="I242">
            <v>-0.05</v>
          </cell>
          <cell r="J242">
            <v>-4.9999999999999933E-2</v>
          </cell>
          <cell r="K242">
            <v>-0.05</v>
          </cell>
          <cell r="L242">
            <v>-0.05</v>
          </cell>
          <cell r="M242">
            <v>-0.05</v>
          </cell>
          <cell r="N242">
            <v>-0.05</v>
          </cell>
          <cell r="O242">
            <v>-4.9999999999999933E-2</v>
          </cell>
          <cell r="P242">
            <v>-5.0000000000000155E-2</v>
          </cell>
        </row>
        <row r="243">
          <cell r="H243">
            <v>-7.2209610763256604E-2</v>
          </cell>
          <cell r="I243">
            <v>-6.6160588651783092E-2</v>
          </cell>
          <cell r="J243">
            <v>-3.4089927539709186E-2</v>
          </cell>
          <cell r="K243">
            <v>-1.3741641246783232E-2</v>
          </cell>
          <cell r="L243">
            <v>-4.0298206729800556E-2</v>
          </cell>
          <cell r="M243">
            <v>-6.2985513331933696E-2</v>
          </cell>
          <cell r="N243">
            <v>-5.0414519381581924E-2</v>
          </cell>
          <cell r="O243">
            <v>-3.5394053798961767E-2</v>
          </cell>
          <cell r="P243">
            <v>-3.6692759295498978E-2</v>
          </cell>
        </row>
        <row r="245">
          <cell r="H245">
            <v>1.0873092595008975</v>
          </cell>
          <cell r="I245">
            <v>8.7070200345928717E-2</v>
          </cell>
          <cell r="J245">
            <v>7.6306007392231923E-2</v>
          </cell>
          <cell r="K245">
            <v>5.7200064764391767E-2</v>
          </cell>
          <cell r="L245">
            <v>4.3506475938032363E-2</v>
          </cell>
          <cell r="M245">
            <v>3.4884259345308255E-2</v>
          </cell>
          <cell r="N245">
            <v>2.7898825210130429E-2</v>
          </cell>
          <cell r="O245">
            <v>2.3239216152550313E-2</v>
          </cell>
          <cell r="P245">
            <v>1.986461106208659E-2</v>
          </cell>
        </row>
        <row r="246">
          <cell r="H246">
            <v>-2.2620100621419059E-2</v>
          </cell>
          <cell r="I246">
            <v>-2.8508277035465768E-2</v>
          </cell>
          <cell r="J246">
            <v>-3.2449222768330732E-2</v>
          </cell>
          <cell r="K246">
            <v>-3.9252790696941986E-2</v>
          </cell>
          <cell r="L246">
            <v>-4.2245255468109089E-2</v>
          </cell>
          <cell r="M246">
            <v>-4.3234686896656993E-2</v>
          </cell>
          <cell r="N246">
            <v>-3.9140458217733376E-2</v>
          </cell>
          <cell r="O246">
            <v>-3.4565948796442925E-2</v>
          </cell>
          <cell r="P246">
            <v>-3.5095800463688098E-2</v>
          </cell>
        </row>
        <row r="248">
          <cell r="G248">
            <v>2142</v>
          </cell>
          <cell r="H248">
            <v>1830</v>
          </cell>
          <cell r="I248">
            <v>1554</v>
          </cell>
          <cell r="J248">
            <v>1600</v>
          </cell>
          <cell r="K248">
            <v>1600</v>
          </cell>
          <cell r="L248">
            <v>1600</v>
          </cell>
          <cell r="M248">
            <v>1600</v>
          </cell>
          <cell r="N248">
            <v>1600</v>
          </cell>
          <cell r="O248">
            <v>1600</v>
          </cell>
          <cell r="P248">
            <v>1600</v>
          </cell>
        </row>
        <row r="249">
          <cell r="G249">
            <v>20</v>
          </cell>
          <cell r="H249">
            <v>0</v>
          </cell>
          <cell r="I249">
            <v>513.95377999999982</v>
          </cell>
          <cell r="J249">
            <v>0</v>
          </cell>
          <cell r="K249">
            <v>0</v>
          </cell>
          <cell r="L249">
            <v>0</v>
          </cell>
          <cell r="M249">
            <v>0</v>
          </cell>
          <cell r="N249">
            <v>0</v>
          </cell>
          <cell r="O249">
            <v>0</v>
          </cell>
          <cell r="P249">
            <v>0</v>
          </cell>
        </row>
        <row r="250">
          <cell r="G250">
            <v>-500</v>
          </cell>
          <cell r="H250">
            <v>-150</v>
          </cell>
          <cell r="I250">
            <v>-100</v>
          </cell>
          <cell r="J250">
            <v>-100</v>
          </cell>
          <cell r="K250">
            <v>-100</v>
          </cell>
          <cell r="L250">
            <v>-100</v>
          </cell>
          <cell r="M250">
            <v>-100</v>
          </cell>
          <cell r="N250">
            <v>-100</v>
          </cell>
          <cell r="O250">
            <v>-100</v>
          </cell>
          <cell r="P250">
            <v>-100</v>
          </cell>
        </row>
        <row r="251">
          <cell r="G251">
            <v>-609</v>
          </cell>
          <cell r="H251">
            <v>-79</v>
          </cell>
          <cell r="I251">
            <v>-30</v>
          </cell>
          <cell r="J251">
            <v>-23.6</v>
          </cell>
          <cell r="K251">
            <v>-18.739999999999998</v>
          </cell>
          <cell r="L251">
            <v>-14.366</v>
          </cell>
          <cell r="M251">
            <v>-10.429400000000001</v>
          </cell>
          <cell r="N251">
            <v>-6.8864599999999996</v>
          </cell>
          <cell r="O251">
            <v>-3.6978140000000081</v>
          </cell>
          <cell r="P251">
            <v>-0.82803260000000023</v>
          </cell>
        </row>
        <row r="252">
          <cell r="G252">
            <v>57</v>
          </cell>
          <cell r="H252">
            <v>40</v>
          </cell>
          <cell r="I252">
            <v>41</v>
          </cell>
          <cell r="J252">
            <v>42.024999999999999</v>
          </cell>
          <cell r="K252">
            <v>43.075625000000002</v>
          </cell>
          <cell r="L252">
            <v>44.152515624999992</v>
          </cell>
          <cell r="M252">
            <v>45.256328515624986</v>
          </cell>
          <cell r="N252">
            <v>46.387736728515605</v>
          </cell>
          <cell r="O252">
            <v>47.547430146728495</v>
          </cell>
          <cell r="P252">
            <v>48.736115900396705</v>
          </cell>
        </row>
        <row r="253">
          <cell r="G253">
            <v>-176</v>
          </cell>
          <cell r="H253">
            <v>-419.94378000000006</v>
          </cell>
          <cell r="I253">
            <v>-50</v>
          </cell>
          <cell r="J253">
            <v>-50</v>
          </cell>
          <cell r="K253">
            <v>-50</v>
          </cell>
          <cell r="L253">
            <v>-50</v>
          </cell>
          <cell r="M253">
            <v>-50</v>
          </cell>
          <cell r="N253">
            <v>-50</v>
          </cell>
          <cell r="O253">
            <v>-50</v>
          </cell>
          <cell r="P253">
            <v>-50</v>
          </cell>
        </row>
        <row r="254">
          <cell r="G254">
            <v>-5496</v>
          </cell>
          <cell r="H254">
            <v>-1083</v>
          </cell>
          <cell r="I254">
            <v>-410</v>
          </cell>
          <cell r="J254">
            <v>-250</v>
          </cell>
          <cell r="K254">
            <v>-250</v>
          </cell>
          <cell r="L254">
            <v>-250</v>
          </cell>
          <cell r="M254">
            <v>-250</v>
          </cell>
          <cell r="N254">
            <v>-250</v>
          </cell>
          <cell r="O254">
            <v>-250</v>
          </cell>
          <cell r="P254">
            <v>-250</v>
          </cell>
        </row>
        <row r="255">
          <cell r="G255">
            <v>-0.45</v>
          </cell>
          <cell r="H255">
            <v>0.42</v>
          </cell>
          <cell r="I255">
            <v>0.4</v>
          </cell>
          <cell r="J255">
            <v>0.4</v>
          </cell>
          <cell r="K255">
            <v>0.4</v>
          </cell>
          <cell r="L255">
            <v>0.4</v>
          </cell>
          <cell r="M255">
            <v>0.4</v>
          </cell>
          <cell r="N255">
            <v>0.4</v>
          </cell>
          <cell r="O255">
            <v>0.4</v>
          </cell>
          <cell r="P255">
            <v>0.4</v>
          </cell>
        </row>
        <row r="256">
          <cell r="G256">
            <v>-467</v>
          </cell>
          <cell r="H256">
            <v>-1236</v>
          </cell>
          <cell r="I256">
            <v>-1121</v>
          </cell>
          <cell r="J256">
            <v>-587.02904311762552</v>
          </cell>
          <cell r="K256">
            <v>0</v>
          </cell>
          <cell r="L256">
            <v>0</v>
          </cell>
          <cell r="M256">
            <v>0</v>
          </cell>
          <cell r="N256">
            <v>0</v>
          </cell>
          <cell r="O256">
            <v>0</v>
          </cell>
          <cell r="P256">
            <v>0</v>
          </cell>
        </row>
        <row r="257">
          <cell r="G257">
            <v>94.900000000000091</v>
          </cell>
          <cell r="H257">
            <v>3228.24</v>
          </cell>
          <cell r="I257">
            <v>0</v>
          </cell>
          <cell r="J257">
            <v>0</v>
          </cell>
          <cell r="K257">
            <v>0</v>
          </cell>
          <cell r="L257">
            <v>0</v>
          </cell>
          <cell r="M257">
            <v>0</v>
          </cell>
          <cell r="N257">
            <v>0</v>
          </cell>
          <cell r="O257">
            <v>0</v>
          </cell>
          <cell r="P257">
            <v>0</v>
          </cell>
        </row>
        <row r="258">
          <cell r="G258">
            <v>0</v>
          </cell>
          <cell r="H258">
            <v>-2.5150936681858083E-3</v>
          </cell>
          <cell r="I258">
            <v>0</v>
          </cell>
          <cell r="J258">
            <v>0.21356924206198502</v>
          </cell>
          <cell r="K258">
            <v>7.5296006389800052E-3</v>
          </cell>
          <cell r="L258">
            <v>7.4733294527571381E-3</v>
          </cell>
          <cell r="M258">
            <v>7.4178930938217924E-3</v>
          </cell>
          <cell r="N258">
            <v>7.3632731209896107E-3</v>
          </cell>
          <cell r="O258">
            <v>7.3094516322567138E-3</v>
          </cell>
          <cell r="P258">
            <v>7.2564112452357943E-3</v>
          </cell>
        </row>
        <row r="259">
          <cell r="G259">
            <v>0</v>
          </cell>
          <cell r="H259">
            <v>4.7323712498206216E-3</v>
          </cell>
          <cell r="I259">
            <v>0</v>
          </cell>
          <cell r="J259">
            <v>0</v>
          </cell>
          <cell r="K259">
            <v>0</v>
          </cell>
          <cell r="L259">
            <v>0</v>
          </cell>
          <cell r="M259">
            <v>0</v>
          </cell>
          <cell r="N259">
            <v>0</v>
          </cell>
          <cell r="O259">
            <v>0</v>
          </cell>
          <cell r="P259">
            <v>0</v>
          </cell>
        </row>
        <row r="260">
          <cell r="G260">
            <v>0.43423999999999996</v>
          </cell>
          <cell r="H260">
            <v>-0.6055332440874609</v>
          </cell>
          <cell r="I260">
            <v>0.94185890780542958</v>
          </cell>
          <cell r="J260">
            <v>4.9951969260326523E-2</v>
          </cell>
          <cell r="K260">
            <v>0</v>
          </cell>
          <cell r="L260">
            <v>0.05</v>
          </cell>
          <cell r="M260">
            <v>0.05</v>
          </cell>
          <cell r="N260">
            <v>0.05</v>
          </cell>
          <cell r="O260">
            <v>0.05</v>
          </cell>
          <cell r="P260">
            <v>0.05</v>
          </cell>
        </row>
        <row r="261">
          <cell r="G261">
            <v>0.43423999999999996</v>
          </cell>
          <cell r="H261">
            <v>-0.6055332440874609</v>
          </cell>
          <cell r="I261">
            <v>1.0720654034719912</v>
          </cell>
          <cell r="J261">
            <v>4.5178105994787332E-2</v>
          </cell>
          <cell r="K261">
            <v>0</v>
          </cell>
          <cell r="L261">
            <v>4.542809642560286E-2</v>
          </cell>
          <cell r="M261">
            <v>4.5626764203077208E-2</v>
          </cell>
          <cell r="N261">
            <v>4.5817593861748662E-2</v>
          </cell>
          <cell r="O261">
            <v>4.600082637469538E-2</v>
          </cell>
          <cell r="P261">
            <v>4.6176701275499887E-2</v>
          </cell>
        </row>
        <row r="263">
          <cell r="G263">
            <v>0.23392129393785022</v>
          </cell>
          <cell r="H263">
            <v>0.27494327390599677</v>
          </cell>
          <cell r="I263">
            <v>0.316227550661075</v>
          </cell>
          <cell r="J263">
            <v>0.11455039083837529</v>
          </cell>
          <cell r="K263">
            <v>5.7304012021288472E-2</v>
          </cell>
          <cell r="L263">
            <v>6.2206133486194859E-2</v>
          </cell>
          <cell r="M263">
            <v>9.1985018159700629E-2</v>
          </cell>
          <cell r="N263">
            <v>4.6842682452777305E-2</v>
          </cell>
          <cell r="O263">
            <v>0.11066617332853247</v>
          </cell>
          <cell r="P263">
            <v>0.11061326905967088</v>
          </cell>
        </row>
        <row r="264">
          <cell r="G264">
            <v>1584</v>
          </cell>
          <cell r="H264">
            <v>1783</v>
          </cell>
          <cell r="I264">
            <v>2015</v>
          </cell>
          <cell r="J264">
            <v>1498</v>
          </cell>
          <cell r="K264">
            <v>1497</v>
          </cell>
          <cell r="L264">
            <v>1496</v>
          </cell>
          <cell r="M264">
            <v>1495</v>
          </cell>
          <cell r="N264">
            <v>1494</v>
          </cell>
          <cell r="O264">
            <v>1493</v>
          </cell>
          <cell r="P264">
            <v>1492</v>
          </cell>
        </row>
        <row r="265">
          <cell r="G265">
            <v>627</v>
          </cell>
          <cell r="H265">
            <v>670</v>
          </cell>
          <cell r="I265">
            <v>841</v>
          </cell>
          <cell r="J265">
            <v>841</v>
          </cell>
          <cell r="K265">
            <v>841</v>
          </cell>
          <cell r="L265">
            <v>841</v>
          </cell>
          <cell r="M265">
            <v>841</v>
          </cell>
          <cell r="N265">
            <v>841</v>
          </cell>
          <cell r="O265">
            <v>841</v>
          </cell>
          <cell r="P265">
            <v>841</v>
          </cell>
        </row>
        <row r="266">
          <cell r="H266">
            <v>2349</v>
          </cell>
          <cell r="I266">
            <v>0</v>
          </cell>
          <cell r="J266">
            <v>0</v>
          </cell>
          <cell r="K266">
            <v>0</v>
          </cell>
          <cell r="L266">
            <v>0</v>
          </cell>
          <cell r="M266">
            <v>0</v>
          </cell>
          <cell r="N266">
            <v>0</v>
          </cell>
          <cell r="O266">
            <v>0</v>
          </cell>
          <cell r="P266">
            <v>0</v>
          </cell>
        </row>
        <row r="267">
          <cell r="H267">
            <v>170</v>
          </cell>
          <cell r="I267">
            <v>0</v>
          </cell>
          <cell r="J267">
            <v>0</v>
          </cell>
          <cell r="K267">
            <v>0</v>
          </cell>
          <cell r="L267">
            <v>0</v>
          </cell>
          <cell r="M267">
            <v>0</v>
          </cell>
          <cell r="N267">
            <v>0</v>
          </cell>
          <cell r="O267">
            <v>0</v>
          </cell>
          <cell r="P267">
            <v>0</v>
          </cell>
        </row>
        <row r="268">
          <cell r="H268">
            <v>-4432</v>
          </cell>
          <cell r="I268">
            <v>-1676</v>
          </cell>
          <cell r="J268">
            <v>0</v>
          </cell>
          <cell r="K268">
            <v>0</v>
          </cell>
          <cell r="L268">
            <v>0</v>
          </cell>
          <cell r="M268">
            <v>0</v>
          </cell>
          <cell r="N268">
            <v>0</v>
          </cell>
          <cell r="O268">
            <v>0</v>
          </cell>
          <cell r="P268">
            <v>0</v>
          </cell>
        </row>
        <row r="269">
          <cell r="H269">
            <v>2000</v>
          </cell>
          <cell r="I269">
            <v>0</v>
          </cell>
          <cell r="J269">
            <v>0</v>
          </cell>
          <cell r="K269">
            <v>0</v>
          </cell>
          <cell r="L269">
            <v>0</v>
          </cell>
          <cell r="M269">
            <v>0</v>
          </cell>
          <cell r="N269">
            <v>0</v>
          </cell>
          <cell r="O269">
            <v>0</v>
          </cell>
          <cell r="P269">
            <v>0</v>
          </cell>
        </row>
        <row r="270">
          <cell r="H270">
            <v>400</v>
          </cell>
          <cell r="I270">
            <v>0</v>
          </cell>
          <cell r="J270">
            <v>0</v>
          </cell>
          <cell r="K270">
            <v>0</v>
          </cell>
          <cell r="L270">
            <v>0</v>
          </cell>
          <cell r="M270">
            <v>0</v>
          </cell>
          <cell r="N270">
            <v>0</v>
          </cell>
          <cell r="O270">
            <v>0</v>
          </cell>
          <cell r="P270">
            <v>0</v>
          </cell>
        </row>
        <row r="271">
          <cell r="H271">
            <v>180</v>
          </cell>
          <cell r="I271">
            <v>0</v>
          </cell>
          <cell r="J271">
            <v>0</v>
          </cell>
          <cell r="K271">
            <v>0</v>
          </cell>
          <cell r="L271">
            <v>0</v>
          </cell>
          <cell r="M271">
            <v>0</v>
          </cell>
          <cell r="N271">
            <v>0</v>
          </cell>
          <cell r="O271">
            <v>0</v>
          </cell>
          <cell r="P271">
            <v>0</v>
          </cell>
        </row>
        <row r="272">
          <cell r="G272">
            <v>-1431</v>
          </cell>
          <cell r="H272">
            <v>-1338</v>
          </cell>
          <cell r="I272">
            <v>-1363</v>
          </cell>
          <cell r="J272">
            <v>-1198</v>
          </cell>
          <cell r="K272">
            <v>-1128</v>
          </cell>
          <cell r="L272">
            <v>-1058</v>
          </cell>
          <cell r="M272">
            <v>-988</v>
          </cell>
          <cell r="N272">
            <v>-918</v>
          </cell>
          <cell r="O272">
            <v>-848</v>
          </cell>
          <cell r="P272">
            <v>-778</v>
          </cell>
        </row>
        <row r="273">
          <cell r="G273">
            <v>-5375</v>
          </cell>
          <cell r="H273">
            <v>-2477</v>
          </cell>
          <cell r="I273">
            <v>-1998</v>
          </cell>
          <cell r="J273">
            <v>-2157</v>
          </cell>
          <cell r="K273">
            <v>-1992</v>
          </cell>
          <cell r="L273">
            <v>-1927</v>
          </cell>
          <cell r="M273">
            <v>-1862</v>
          </cell>
          <cell r="N273">
            <v>-1797</v>
          </cell>
          <cell r="O273">
            <v>-1732</v>
          </cell>
          <cell r="P273">
            <v>-1667</v>
          </cell>
        </row>
        <row r="274">
          <cell r="G274">
            <v>-7559</v>
          </cell>
          <cell r="H274">
            <v>-6934</v>
          </cell>
          <cell r="I274">
            <v>-5645</v>
          </cell>
          <cell r="J274">
            <v>-5645</v>
          </cell>
          <cell r="K274">
            <v>-5645</v>
          </cell>
          <cell r="L274">
            <v>-5645</v>
          </cell>
          <cell r="M274">
            <v>-5645</v>
          </cell>
          <cell r="N274">
            <v>-5645</v>
          </cell>
          <cell r="O274">
            <v>-5645</v>
          </cell>
          <cell r="P274">
            <v>-5645</v>
          </cell>
        </row>
        <row r="275">
          <cell r="H275">
            <v>-1230</v>
          </cell>
          <cell r="I275">
            <v>-25.184181523501138</v>
          </cell>
          <cell r="J275">
            <v>221.70700506107551</v>
          </cell>
          <cell r="K275">
            <v>142.00211381847112</v>
          </cell>
          <cell r="L275">
            <v>71.821498510251331</v>
          </cell>
          <cell r="M275">
            <v>31.374257156295243</v>
          </cell>
          <cell r="N275">
            <v>-1.4544350986552672</v>
          </cell>
          <cell r="O275">
            <v>-22.6817713809005</v>
          </cell>
          <cell r="P275">
            <v>-36.626823668501856</v>
          </cell>
        </row>
        <row r="277">
          <cell r="G277">
            <v>4.9554065091769212E-2</v>
          </cell>
          <cell r="H277">
            <v>5.8237869609548375E-2</v>
          </cell>
          <cell r="I277">
            <v>6.6992963259578445E-2</v>
          </cell>
          <cell r="J277">
            <v>4.3649435185120669E-2</v>
          </cell>
          <cell r="K277">
            <v>4.2035237768627734E-2</v>
          </cell>
          <cell r="L277">
            <v>4.316352083028039E-2</v>
          </cell>
          <cell r="M277">
            <v>3.9442358155105564E-2</v>
          </cell>
          <cell r="N277">
            <v>4.3229829296293217E-2</v>
          </cell>
          <cell r="O277">
            <v>4.1333967492500345E-2</v>
          </cell>
          <cell r="P277">
            <v>4.1780488245862855E-2</v>
          </cell>
        </row>
        <row r="278">
          <cell r="G278">
            <v>-0.21310663585341696</v>
          </cell>
          <cell r="H278">
            <v>-7.3648549123582263E-2</v>
          </cell>
          <cell r="I278">
            <v>-0.26811697563470999</v>
          </cell>
          <cell r="J278">
            <v>-0.28520145099995553</v>
          </cell>
          <cell r="K278">
            <v>-0.27030755879650609</v>
          </cell>
          <cell r="L278">
            <v>-0.24205441812031933</v>
          </cell>
          <cell r="M278">
            <v>-0.30488659433022752</v>
          </cell>
          <cell r="N278">
            <v>-0.35966909972382377</v>
          </cell>
          <cell r="O278">
            <v>-0.36318154366558369</v>
          </cell>
          <cell r="P278">
            <v>-0.37374381380817795</v>
          </cell>
        </row>
        <row r="279">
          <cell r="G279">
            <v>-1.2162506367804381E-2</v>
          </cell>
          <cell r="H279">
            <v>-8.1037277147487843E-3</v>
          </cell>
          <cell r="I279">
            <v>4.2737778916029069E-2</v>
          </cell>
          <cell r="J279">
            <v>0</v>
          </cell>
          <cell r="K279">
            <v>0</v>
          </cell>
          <cell r="L279">
            <v>0</v>
          </cell>
          <cell r="M279">
            <v>0</v>
          </cell>
          <cell r="N279">
            <v>0</v>
          </cell>
          <cell r="O279">
            <v>0</v>
          </cell>
          <cell r="P279">
            <v>0</v>
          </cell>
        </row>
        <row r="280">
          <cell r="G280">
            <v>-50</v>
          </cell>
          <cell r="H280">
            <v>-50</v>
          </cell>
          <cell r="I280">
            <v>-81</v>
          </cell>
          <cell r="J280">
            <v>-81</v>
          </cell>
          <cell r="K280">
            <v>-81</v>
          </cell>
          <cell r="L280">
            <v>-81</v>
          </cell>
          <cell r="M280">
            <v>-81</v>
          </cell>
          <cell r="N280">
            <v>-81</v>
          </cell>
          <cell r="O280">
            <v>-81</v>
          </cell>
          <cell r="P280">
            <v>-81</v>
          </cell>
        </row>
        <row r="281">
          <cell r="G281">
            <v>57.5</v>
          </cell>
          <cell r="H281">
            <v>540</v>
          </cell>
          <cell r="I281">
            <v>0</v>
          </cell>
          <cell r="J281">
            <v>-404</v>
          </cell>
          <cell r="K281">
            <v>-404</v>
          </cell>
          <cell r="L281">
            <v>-304</v>
          </cell>
          <cell r="M281">
            <v>-304</v>
          </cell>
          <cell r="N281">
            <v>-304</v>
          </cell>
          <cell r="O281">
            <v>-304</v>
          </cell>
          <cell r="P281">
            <v>-304</v>
          </cell>
        </row>
        <row r="282">
          <cell r="G282">
            <v>-2123</v>
          </cell>
          <cell r="H282">
            <v>-9303</v>
          </cell>
          <cell r="I282">
            <v>-583</v>
          </cell>
          <cell r="J282">
            <v>-200</v>
          </cell>
          <cell r="K282">
            <v>-200</v>
          </cell>
          <cell r="L282">
            <v>-200</v>
          </cell>
          <cell r="M282">
            <v>-200</v>
          </cell>
          <cell r="N282">
            <v>-200</v>
          </cell>
          <cell r="O282">
            <v>-200</v>
          </cell>
          <cell r="P282">
            <v>-200</v>
          </cell>
        </row>
        <row r="283">
          <cell r="G283">
            <v>5968</v>
          </cell>
          <cell r="H283">
            <v>4449</v>
          </cell>
          <cell r="I283">
            <v>616</v>
          </cell>
          <cell r="J283">
            <v>-13462</v>
          </cell>
          <cell r="K283">
            <v>0</v>
          </cell>
          <cell r="L283">
            <v>0</v>
          </cell>
          <cell r="M283">
            <v>0</v>
          </cell>
          <cell r="N283">
            <v>0</v>
          </cell>
          <cell r="O283">
            <v>0</v>
          </cell>
          <cell r="P283">
            <v>0</v>
          </cell>
        </row>
        <row r="284">
          <cell r="G284">
            <v>42</v>
          </cell>
          <cell r="H284">
            <v>0</v>
          </cell>
          <cell r="I284">
            <v>0</v>
          </cell>
          <cell r="J284">
            <v>0</v>
          </cell>
          <cell r="K284">
            <v>0</v>
          </cell>
          <cell r="L284">
            <v>0</v>
          </cell>
          <cell r="M284">
            <v>0</v>
          </cell>
          <cell r="N284">
            <v>0</v>
          </cell>
          <cell r="O284">
            <v>0</v>
          </cell>
          <cell r="P284">
            <v>0</v>
          </cell>
        </row>
        <row r="285">
          <cell r="G285">
            <v>-3109.5</v>
          </cell>
          <cell r="H285">
            <v>-175.5724326498987</v>
          </cell>
          <cell r="I285">
            <v>-1042</v>
          </cell>
          <cell r="J285">
            <v>-1027.2423773447804</v>
          </cell>
          <cell r="K285">
            <v>0</v>
          </cell>
          <cell r="L285">
            <v>0</v>
          </cell>
          <cell r="M285">
            <v>0</v>
          </cell>
          <cell r="N285">
            <v>0</v>
          </cell>
          <cell r="O285">
            <v>0</v>
          </cell>
          <cell r="P285">
            <v>0</v>
          </cell>
        </row>
        <row r="286">
          <cell r="G286">
            <v>0</v>
          </cell>
          <cell r="H286">
            <v>0</v>
          </cell>
          <cell r="I286">
            <v>0</v>
          </cell>
          <cell r="J286">
            <v>200</v>
          </cell>
          <cell r="K286">
            <v>200</v>
          </cell>
          <cell r="L286">
            <v>200</v>
          </cell>
          <cell r="M286">
            <v>200</v>
          </cell>
          <cell r="N286">
            <v>200</v>
          </cell>
          <cell r="O286">
            <v>200</v>
          </cell>
          <cell r="P286">
            <v>200</v>
          </cell>
        </row>
        <row r="287">
          <cell r="G287">
            <v>36</v>
          </cell>
          <cell r="H287">
            <v>33</v>
          </cell>
          <cell r="I287">
            <v>261</v>
          </cell>
          <cell r="J287">
            <v>0</v>
          </cell>
          <cell r="K287">
            <v>0</v>
          </cell>
          <cell r="L287">
            <v>0</v>
          </cell>
          <cell r="M287">
            <v>0</v>
          </cell>
          <cell r="N287">
            <v>0</v>
          </cell>
          <cell r="O287">
            <v>0</v>
          </cell>
          <cell r="P287">
            <v>0</v>
          </cell>
        </row>
        <row r="288">
          <cell r="G288">
            <v>0</v>
          </cell>
          <cell r="H288">
            <v>0</v>
          </cell>
          <cell r="I288">
            <v>0</v>
          </cell>
          <cell r="J288">
            <v>0</v>
          </cell>
          <cell r="K288">
            <v>0</v>
          </cell>
          <cell r="L288">
            <v>0</v>
          </cell>
          <cell r="M288">
            <v>0</v>
          </cell>
          <cell r="N288">
            <v>0</v>
          </cell>
          <cell r="O288">
            <v>0</v>
          </cell>
          <cell r="P288">
            <v>0</v>
          </cell>
        </row>
        <row r="289">
          <cell r="G289">
            <v>-700.49599999999998</v>
          </cell>
          <cell r="H289">
            <v>-905.30968117303451</v>
          </cell>
          <cell r="I289">
            <v>-1154.6858784102519</v>
          </cell>
          <cell r="J289">
            <v>-104.04</v>
          </cell>
          <cell r="K289">
            <v>-106.1208</v>
          </cell>
          <cell r="L289">
            <v>-108.243216</v>
          </cell>
          <cell r="M289">
            <v>-110.40808032000001</v>
          </cell>
          <cell r="N289">
            <v>-112.61624192640001</v>
          </cell>
          <cell r="O289">
            <v>-114.868566764928</v>
          </cell>
          <cell r="P289">
            <v>-117.16593810022657</v>
          </cell>
        </row>
        <row r="291">
          <cell r="G291">
            <v>0.45</v>
          </cell>
          <cell r="H291">
            <v>0.42</v>
          </cell>
          <cell r="I291">
            <v>0.4</v>
          </cell>
          <cell r="J291">
            <v>0.4</v>
          </cell>
          <cell r="K291">
            <v>0.4</v>
          </cell>
          <cell r="L291">
            <v>0.4</v>
          </cell>
          <cell r="M291">
            <v>0.4</v>
          </cell>
          <cell r="N291">
            <v>0.4</v>
          </cell>
          <cell r="O291">
            <v>0.4</v>
          </cell>
          <cell r="P291">
            <v>0.4</v>
          </cell>
        </row>
        <row r="293">
          <cell r="G293">
            <v>33</v>
          </cell>
          <cell r="H293">
            <v>-1183</v>
          </cell>
          <cell r="I293">
            <v>-1445</v>
          </cell>
          <cell r="J293">
            <v>-1183</v>
          </cell>
          <cell r="K293">
            <v>-1183</v>
          </cell>
          <cell r="L293">
            <v>-1183</v>
          </cell>
          <cell r="M293">
            <v>-1183</v>
          </cell>
          <cell r="N293">
            <v>-1183</v>
          </cell>
          <cell r="O293">
            <v>-1183</v>
          </cell>
          <cell r="P293">
            <v>-1183</v>
          </cell>
        </row>
        <row r="294">
          <cell r="G294">
            <v>-599</v>
          </cell>
          <cell r="H294">
            <v>-785.40616246498575</v>
          </cell>
          <cell r="I294">
            <v>-785.40616246498575</v>
          </cell>
          <cell r="J294">
            <v>-785.40616246498575</v>
          </cell>
          <cell r="K294">
            <v>-785.40616246498575</v>
          </cell>
          <cell r="L294">
            <v>-785.40616246498575</v>
          </cell>
          <cell r="M294">
            <v>-785.40616246498575</v>
          </cell>
          <cell r="N294">
            <v>-785.40616246498575</v>
          </cell>
          <cell r="O294">
            <v>-785.40616246498575</v>
          </cell>
          <cell r="P294">
            <v>-785.40616246498575</v>
          </cell>
        </row>
        <row r="295">
          <cell r="G295">
            <v>157</v>
          </cell>
          <cell r="H295">
            <v>44.593837535014245</v>
          </cell>
          <cell r="I295">
            <v>59.690153356530118</v>
          </cell>
          <cell r="J295">
            <v>0</v>
          </cell>
          <cell r="K295">
            <v>0</v>
          </cell>
          <cell r="L295">
            <v>0</v>
          </cell>
          <cell r="M295">
            <v>0</v>
          </cell>
          <cell r="N295">
            <v>0</v>
          </cell>
          <cell r="O295">
            <v>0</v>
          </cell>
          <cell r="P295">
            <v>0</v>
          </cell>
        </row>
        <row r="296">
          <cell r="G296">
            <v>-1003</v>
          </cell>
          <cell r="H296">
            <v>0</v>
          </cell>
          <cell r="I296">
            <v>-101</v>
          </cell>
          <cell r="J296">
            <v>-100</v>
          </cell>
          <cell r="K296">
            <v>-85</v>
          </cell>
          <cell r="L296">
            <v>-50</v>
          </cell>
          <cell r="M296">
            <v>-50</v>
          </cell>
          <cell r="N296">
            <v>-50</v>
          </cell>
          <cell r="O296">
            <v>-50</v>
          </cell>
          <cell r="P296">
            <v>-50</v>
          </cell>
        </row>
        <row r="297">
          <cell r="G297">
            <v>1051</v>
          </cell>
          <cell r="H297">
            <v>0</v>
          </cell>
          <cell r="I297">
            <v>1255.518461199176</v>
          </cell>
          <cell r="J297">
            <v>2043.2126800216879</v>
          </cell>
          <cell r="K297">
            <v>2570.366072583894</v>
          </cell>
          <cell r="L297">
            <v>2537.1101462441243</v>
          </cell>
          <cell r="M297">
            <v>2621.0640990587667</v>
          </cell>
          <cell r="N297">
            <v>2656.2192788410612</v>
          </cell>
          <cell r="O297">
            <v>2669.6027422302063</v>
          </cell>
          <cell r="P297">
            <v>2694.3304361992259</v>
          </cell>
        </row>
        <row r="298">
          <cell r="G298">
            <v>28.233000000000001</v>
          </cell>
          <cell r="H298">
            <v>0</v>
          </cell>
          <cell r="I298">
            <v>29.665170000000032</v>
          </cell>
          <cell r="J298">
            <v>29.665170000000032</v>
          </cell>
          <cell r="K298">
            <v>29.665170000000032</v>
          </cell>
          <cell r="L298">
            <v>29.665170000000032</v>
          </cell>
          <cell r="M298">
            <v>29.665170000000032</v>
          </cell>
          <cell r="N298">
            <v>29.665170000000032</v>
          </cell>
          <cell r="O298">
            <v>29.665170000000032</v>
          </cell>
          <cell r="P298">
            <v>29.665170000000032</v>
          </cell>
        </row>
        <row r="299">
          <cell r="G299">
            <v>143.22</v>
          </cell>
          <cell r="H299">
            <v>0</v>
          </cell>
          <cell r="I299">
            <v>0</v>
          </cell>
          <cell r="J299">
            <v>0</v>
          </cell>
          <cell r="K299">
            <v>0</v>
          </cell>
          <cell r="L299">
            <v>0</v>
          </cell>
          <cell r="M299">
            <v>0</v>
          </cell>
          <cell r="N299">
            <v>0</v>
          </cell>
          <cell r="O299">
            <v>0</v>
          </cell>
          <cell r="P299">
            <v>0</v>
          </cell>
        </row>
        <row r="300">
          <cell r="G300">
            <v>190.316</v>
          </cell>
          <cell r="H300">
            <v>0</v>
          </cell>
          <cell r="I300">
            <v>0</v>
          </cell>
          <cell r="J300">
            <v>0</v>
          </cell>
          <cell r="K300">
            <v>0</v>
          </cell>
          <cell r="L300">
            <v>0</v>
          </cell>
          <cell r="M300">
            <v>0</v>
          </cell>
          <cell r="N300">
            <v>0</v>
          </cell>
          <cell r="O300">
            <v>0</v>
          </cell>
          <cell r="P300">
            <v>0</v>
          </cell>
        </row>
        <row r="301">
          <cell r="G301">
            <v>361.76900000000001</v>
          </cell>
          <cell r="H301">
            <v>0</v>
          </cell>
          <cell r="I301">
            <v>0</v>
          </cell>
          <cell r="J301">
            <v>0</v>
          </cell>
          <cell r="K301">
            <v>0</v>
          </cell>
          <cell r="L301">
            <v>0</v>
          </cell>
          <cell r="M301">
            <v>0</v>
          </cell>
          <cell r="N301">
            <v>0</v>
          </cell>
          <cell r="O301">
            <v>0</v>
          </cell>
          <cell r="P301">
            <v>0</v>
          </cell>
        </row>
        <row r="302">
          <cell r="G302">
            <v>0</v>
          </cell>
          <cell r="H302">
            <v>0</v>
          </cell>
          <cell r="I302">
            <v>0</v>
          </cell>
          <cell r="J302">
            <v>0</v>
          </cell>
          <cell r="K302">
            <v>0</v>
          </cell>
          <cell r="L302">
            <v>0</v>
          </cell>
          <cell r="M302">
            <v>0</v>
          </cell>
          <cell r="N302">
            <v>0</v>
          </cell>
          <cell r="O302">
            <v>0</v>
          </cell>
          <cell r="P302">
            <v>0</v>
          </cell>
        </row>
        <row r="304">
          <cell r="G304">
            <v>0</v>
          </cell>
          <cell r="H304">
            <v>700</v>
          </cell>
          <cell r="I304">
            <v>600</v>
          </cell>
          <cell r="J304">
            <v>600</v>
          </cell>
          <cell r="K304">
            <v>650</v>
          </cell>
          <cell r="L304">
            <v>800</v>
          </cell>
          <cell r="M304">
            <v>350</v>
          </cell>
          <cell r="N304">
            <v>0</v>
          </cell>
          <cell r="O304">
            <v>0</v>
          </cell>
          <cell r="P304">
            <v>0</v>
          </cell>
        </row>
        <row r="305">
          <cell r="G305">
            <v>0</v>
          </cell>
          <cell r="H305">
            <v>-9.3557038607871273E-3</v>
          </cell>
          <cell r="I305">
            <v>-9.3017487287610067E-3</v>
          </cell>
          <cell r="J305">
            <v>-9.0519590206734942E-3</v>
          </cell>
          <cell r="K305">
            <v>-8.987151859456163E-3</v>
          </cell>
          <cell r="L305">
            <v>-9.0186786040882105E-3</v>
          </cell>
          <cell r="M305">
            <v>-9.1064369279087246E-3</v>
          </cell>
          <cell r="N305">
            <v>-9.275112951862334E-3</v>
          </cell>
          <cell r="O305">
            <v>-9.4766841450817339E-3</v>
          </cell>
          <cell r="P305">
            <v>-9.706487668617321E-3</v>
          </cell>
        </row>
        <row r="306">
          <cell r="G306">
            <v>1784.221</v>
          </cell>
          <cell r="H306">
            <v>366.90225000000004</v>
          </cell>
          <cell r="I306">
            <v>1211.6500000000001</v>
          </cell>
          <cell r="J306">
            <v>1255.518461199176</v>
          </cell>
          <cell r="K306">
            <v>1362.1417866811253</v>
          </cell>
          <cell r="L306">
            <v>1413.7013399211419</v>
          </cell>
          <cell r="M306">
            <v>1395.4105804342685</v>
          </cell>
          <cell r="N306">
            <v>1441.5852544823217</v>
          </cell>
          <cell r="O306">
            <v>1460.9206033625837</v>
          </cell>
          <cell r="P306">
            <v>1468.2815082266136</v>
          </cell>
        </row>
        <row r="307">
          <cell r="G307">
            <v>501.60500000000002</v>
          </cell>
          <cell r="H307">
            <v>0</v>
          </cell>
          <cell r="I307">
            <v>0</v>
          </cell>
          <cell r="J307">
            <v>0</v>
          </cell>
          <cell r="K307">
            <v>0</v>
          </cell>
          <cell r="L307">
            <v>0</v>
          </cell>
          <cell r="M307">
            <v>0</v>
          </cell>
          <cell r="N307">
            <v>0</v>
          </cell>
          <cell r="O307">
            <v>0</v>
          </cell>
          <cell r="P307">
            <v>0</v>
          </cell>
        </row>
        <row r="308">
          <cell r="G308">
            <v>-750</v>
          </cell>
          <cell r="H308">
            <v>-750</v>
          </cell>
          <cell r="I308">
            <v>-750</v>
          </cell>
          <cell r="J308">
            <v>-750</v>
          </cell>
          <cell r="K308">
            <v>-750</v>
          </cell>
          <cell r="L308">
            <v>-750</v>
          </cell>
          <cell r="M308">
            <v>-750</v>
          </cell>
          <cell r="N308">
            <v>-750</v>
          </cell>
          <cell r="O308">
            <v>-750</v>
          </cell>
          <cell r="P308">
            <v>-750</v>
          </cell>
        </row>
        <row r="309">
          <cell r="G309">
            <v>-893</v>
          </cell>
          <cell r="H309">
            <v>-518</v>
          </cell>
          <cell r="I309">
            <v>-518</v>
          </cell>
          <cell r="J309">
            <v>-518</v>
          </cell>
          <cell r="K309">
            <v>-518</v>
          </cell>
          <cell r="L309">
            <v>-518</v>
          </cell>
          <cell r="M309">
            <v>-518</v>
          </cell>
          <cell r="N309">
            <v>-518</v>
          </cell>
          <cell r="O309">
            <v>-518</v>
          </cell>
          <cell r="P309">
            <v>-518</v>
          </cell>
        </row>
        <row r="310">
          <cell r="G310">
            <v>-1167</v>
          </cell>
          <cell r="H310">
            <v>-9339</v>
          </cell>
          <cell r="I310">
            <v>-200</v>
          </cell>
          <cell r="J310">
            <v>-200</v>
          </cell>
          <cell r="K310">
            <v>-200</v>
          </cell>
          <cell r="L310">
            <v>-200</v>
          </cell>
          <cell r="M310">
            <v>-200</v>
          </cell>
          <cell r="N310">
            <v>-200</v>
          </cell>
          <cell r="O310">
            <v>-200</v>
          </cell>
          <cell r="P310">
            <v>-200</v>
          </cell>
        </row>
        <row r="311">
          <cell r="G311">
            <v>2007</v>
          </cell>
          <cell r="H311">
            <v>3102</v>
          </cell>
          <cell r="I311">
            <v>780</v>
          </cell>
          <cell r="J311">
            <v>0</v>
          </cell>
          <cell r="K311">
            <v>0</v>
          </cell>
          <cell r="L311">
            <v>0</v>
          </cell>
          <cell r="M311">
            <v>0</v>
          </cell>
          <cell r="N311">
            <v>0</v>
          </cell>
          <cell r="O311">
            <v>0</v>
          </cell>
          <cell r="P311">
            <v>0</v>
          </cell>
        </row>
        <row r="312">
          <cell r="G312">
            <v>23</v>
          </cell>
          <cell r="H312">
            <v>23</v>
          </cell>
          <cell r="I312">
            <v>23</v>
          </cell>
          <cell r="J312">
            <v>23</v>
          </cell>
          <cell r="K312">
            <v>23</v>
          </cell>
          <cell r="L312">
            <v>23</v>
          </cell>
          <cell r="M312">
            <v>23</v>
          </cell>
          <cell r="N312">
            <v>23</v>
          </cell>
          <cell r="O312">
            <v>23</v>
          </cell>
          <cell r="P312">
            <v>23</v>
          </cell>
        </row>
        <row r="313">
          <cell r="G313">
            <v>-3293</v>
          </cell>
          <cell r="H313">
            <v>-794</v>
          </cell>
          <cell r="I313">
            <v>-1737.9936524817999</v>
          </cell>
          <cell r="J313">
            <v>-1821.6251636033999</v>
          </cell>
          <cell r="K313">
            <v>-2072.0314636034</v>
          </cell>
          <cell r="L313">
            <v>-2183.2331901956204</v>
          </cell>
          <cell r="M313">
            <v>-2300.5343986174512</v>
          </cell>
          <cell r="N313">
            <v>-2424.267032735374</v>
          </cell>
          <cell r="O313">
            <v>-2554.7809820979428</v>
          </cell>
          <cell r="P313">
            <v>-2692.4450466443272</v>
          </cell>
        </row>
        <row r="314">
          <cell r="G314">
            <v>0</v>
          </cell>
          <cell r="H314">
            <v>0</v>
          </cell>
          <cell r="I314">
            <v>0</v>
          </cell>
          <cell r="J314">
            <v>0</v>
          </cell>
          <cell r="K314">
            <v>0</v>
          </cell>
          <cell r="L314">
            <v>0</v>
          </cell>
          <cell r="M314">
            <v>0</v>
          </cell>
          <cell r="N314">
            <v>0</v>
          </cell>
          <cell r="O314">
            <v>0</v>
          </cell>
          <cell r="P314">
            <v>0</v>
          </cell>
        </row>
        <row r="315">
          <cell r="G315">
            <v>0</v>
          </cell>
          <cell r="H315">
            <v>0</v>
          </cell>
          <cell r="I315">
            <v>0</v>
          </cell>
          <cell r="J315">
            <v>200</v>
          </cell>
          <cell r="K315">
            <v>200</v>
          </cell>
          <cell r="L315">
            <v>200</v>
          </cell>
          <cell r="M315">
            <v>200</v>
          </cell>
          <cell r="N315">
            <v>200</v>
          </cell>
          <cell r="O315">
            <v>200</v>
          </cell>
          <cell r="P315">
            <v>200</v>
          </cell>
        </row>
        <row r="316">
          <cell r="G316">
            <v>15168</v>
          </cell>
          <cell r="H316">
            <v>0</v>
          </cell>
          <cell r="I316">
            <v>0</v>
          </cell>
          <cell r="J316">
            <v>0</v>
          </cell>
          <cell r="K316">
            <v>0</v>
          </cell>
          <cell r="L316">
            <v>0</v>
          </cell>
          <cell r="M316">
            <v>0</v>
          </cell>
          <cell r="N316">
            <v>0</v>
          </cell>
          <cell r="O316">
            <v>0</v>
          </cell>
          <cell r="P316">
            <v>0</v>
          </cell>
        </row>
        <row r="317">
          <cell r="G317">
            <v>7.0584155498985127E-2</v>
          </cell>
          <cell r="H317">
            <v>5.0548664649432536E-2</v>
          </cell>
          <cell r="I317">
            <v>5.4069444966792161E-2</v>
          </cell>
          <cell r="J317">
            <v>6.5927317424112494E-2</v>
          </cell>
          <cell r="K317">
            <v>7.5367067078256203E-2</v>
          </cell>
          <cell r="L317">
            <v>7.4223023355641876E-2</v>
          </cell>
          <cell r="M317">
            <v>6.6374336254120772E-2</v>
          </cell>
          <cell r="N317">
            <v>6.6075585382568525E-2</v>
          </cell>
          <cell r="O317">
            <v>5.9311759998662783E-2</v>
          </cell>
          <cell r="P317">
            <v>5.4320938917570699E-2</v>
          </cell>
        </row>
        <row r="422">
          <cell r="H422">
            <v>3594.9392795335552</v>
          </cell>
          <cell r="I422">
            <v>3219.0887418962398</v>
          </cell>
          <cell r="J422">
            <v>2963.1701612479392</v>
          </cell>
          <cell r="K422">
            <v>2686.7780941477745</v>
          </cell>
        </row>
        <row r="426">
          <cell r="H426">
            <v>2412.1778055987115</v>
          </cell>
          <cell r="I426">
            <v>2005.1520300466091</v>
          </cell>
          <cell r="J426">
            <v>1565.5641924503377</v>
          </cell>
          <cell r="K426">
            <v>1040.8093278463648</v>
          </cell>
        </row>
        <row r="439">
          <cell r="H439">
            <v>701.62891269689635</v>
          </cell>
          <cell r="I439">
            <v>732.80415061168333</v>
          </cell>
          <cell r="J439">
            <v>916.47340755965433</v>
          </cell>
          <cell r="K439">
            <v>1164.8362050634626</v>
          </cell>
        </row>
        <row r="443">
          <cell r="C443">
            <v>2.8</v>
          </cell>
        </row>
      </sheetData>
      <sheetData sheetId="12">
        <row r="191">
          <cell r="H191">
            <v>0.10709010339734126</v>
          </cell>
          <cell r="I191">
            <v>9.2728485657104676E-2</v>
          </cell>
          <cell r="J191">
            <v>3.8763587962294066E-2</v>
          </cell>
          <cell r="K191">
            <v>2.1237231594809058E-2</v>
          </cell>
          <cell r="L191">
            <v>7.3948945353625728E-3</v>
          </cell>
          <cell r="M191">
            <v>2.7041688551545651E-3</v>
          </cell>
          <cell r="N191">
            <v>2.766521518320797E-3</v>
          </cell>
          <cell r="O191">
            <v>2.830078431248495E-3</v>
          </cell>
        </row>
        <row r="192">
          <cell r="H192">
            <v>0.49637717209719501</v>
          </cell>
          <cell r="I192">
            <v>0.15444126469711938</v>
          </cell>
          <cell r="J192">
            <v>-8.1592406578679944E-2</v>
          </cell>
          <cell r="K192">
            <v>8.1609237779691535E-2</v>
          </cell>
          <cell r="L192">
            <v>0.11738718174994789</v>
          </cell>
          <cell r="M192">
            <v>0.10939346596955257</v>
          </cell>
          <cell r="N192">
            <v>8.9406754735290805E-2</v>
          </cell>
          <cell r="O192">
            <v>8.1684356385066215E-2</v>
          </cell>
        </row>
        <row r="193">
          <cell r="H193">
            <v>0.55488405304363564</v>
          </cell>
          <cell r="I193">
            <v>0.55150575515713385</v>
          </cell>
          <cell r="J193">
            <v>0.3030428656593871</v>
          </cell>
          <cell r="K193">
            <v>0.30777250444489024</v>
          </cell>
          <cell r="L193">
            <v>0.34481565840042139</v>
          </cell>
          <cell r="M193">
            <v>0.27487828080555765</v>
          </cell>
          <cell r="N193">
            <v>0.14653286085277628</v>
          </cell>
          <cell r="O193">
            <v>7.380634873965275E-2</v>
          </cell>
        </row>
        <row r="194">
          <cell r="H194">
            <v>0.39452937907170704</v>
          </cell>
          <cell r="I194">
            <v>0.64595169301583821</v>
          </cell>
          <cell r="J194">
            <v>0.61039388171813513</v>
          </cell>
          <cell r="K194">
            <v>0.14864864864864868</v>
          </cell>
          <cell r="L194">
            <v>0.11764705882352944</v>
          </cell>
          <cell r="M194">
            <v>0.10526315789473673</v>
          </cell>
          <cell r="N194">
            <v>8.3333333333333259E-2</v>
          </cell>
          <cell r="O194">
            <v>5.7692307692307709E-2</v>
          </cell>
        </row>
        <row r="195">
          <cell r="H195">
            <v>3.8659854257199644E-2</v>
          </cell>
          <cell r="I195">
            <v>4.4080531295746406E-2</v>
          </cell>
          <cell r="J195">
            <v>0.23028261065551714</v>
          </cell>
          <cell r="K195">
            <v>0.13721184385427887</v>
          </cell>
          <cell r="L195">
            <v>0.10825710158882984</v>
          </cell>
          <cell r="M195">
            <v>7.9385059843169348E-2</v>
          </cell>
          <cell r="N195">
            <v>7.5401380312386745E-2</v>
          </cell>
          <cell r="O195">
            <v>5.7679576299238589E-2</v>
          </cell>
        </row>
        <row r="196">
          <cell r="H196">
            <v>-0.13710958178930654</v>
          </cell>
          <cell r="I196">
            <v>0.12024539877300611</v>
          </cell>
          <cell r="J196">
            <v>0.20462424496818188</v>
          </cell>
          <cell r="K196">
            <v>7.828188035407857E-3</v>
          </cell>
          <cell r="L196">
            <v>1.6228262502987922E-2</v>
          </cell>
          <cell r="M196">
            <v>2.5243040914903592E-2</v>
          </cell>
          <cell r="N196">
            <v>4.6979428756349195E-2</v>
          </cell>
          <cell r="O196">
            <v>3.0127361430851041E-2</v>
          </cell>
        </row>
        <row r="197">
          <cell r="H197">
            <v>-0.90932311621968565</v>
          </cell>
          <cell r="I197">
            <v>29.140845070428714</v>
          </cell>
          <cell r="J197">
            <v>0.01</v>
          </cell>
          <cell r="K197">
            <v>0.01</v>
          </cell>
          <cell r="L197">
            <v>0.01</v>
          </cell>
          <cell r="M197">
            <v>0.01</v>
          </cell>
          <cell r="N197">
            <v>0.01</v>
          </cell>
          <cell r="O197">
            <v>0.01</v>
          </cell>
        </row>
        <row r="198">
          <cell r="J198">
            <v>6.4314251602861132</v>
          </cell>
          <cell r="K198">
            <v>0.14157798001407729</v>
          </cell>
          <cell r="L198">
            <v>0.10966164549558544</v>
          </cell>
          <cell r="M198">
            <v>8.0363586359292416E-2</v>
          </cell>
          <cell r="N198">
            <v>5.3866925647059638E-2</v>
          </cell>
          <cell r="O198">
            <v>3.3898245700314744E-2</v>
          </cell>
        </row>
        <row r="199">
          <cell r="H199">
            <v>0.38827164635608247</v>
          </cell>
          <cell r="I199">
            <v>-1</v>
          </cell>
          <cell r="J199" t="e">
            <v>#DIV/0!</v>
          </cell>
          <cell r="K199" t="e">
            <v>#DIV/0!</v>
          </cell>
          <cell r="L199" t="e">
            <v>#DIV/0!</v>
          </cell>
          <cell r="M199" t="e">
            <v>#DIV/0!</v>
          </cell>
          <cell r="N199" t="e">
            <v>#DIV/0!</v>
          </cell>
          <cell r="O199" t="e">
            <v>#DIV/0!</v>
          </cell>
        </row>
        <row r="200">
          <cell r="H200">
            <v>0.18010169833114098</v>
          </cell>
          <cell r="I200">
            <v>0.1396554046799523</v>
          </cell>
          <cell r="J200">
            <v>7.9651704792025324E-2</v>
          </cell>
          <cell r="K200">
            <v>8.8364370312185248E-2</v>
          </cell>
          <cell r="L200">
            <v>5.7797021434659701E-2</v>
          </cell>
          <cell r="M200">
            <v>4.7574667296793827E-2</v>
          </cell>
          <cell r="N200">
            <v>4.7524149862637088E-2</v>
          </cell>
          <cell r="O200">
            <v>4.7474329205763111E-2</v>
          </cell>
        </row>
        <row r="201">
          <cell r="H201">
            <v>0.16264469784578872</v>
          </cell>
          <cell r="I201">
            <v>0.1034793366502651</v>
          </cell>
          <cell r="J201">
            <v>0.13041121886966622</v>
          </cell>
          <cell r="K201">
            <v>0.11897084122811474</v>
          </cell>
          <cell r="L201">
            <v>2.4261185508791749E-2</v>
          </cell>
          <cell r="M201">
            <v>2.4244280187098566E-2</v>
          </cell>
          <cell r="N201">
            <v>2.4227511669469015E-2</v>
          </cell>
          <cell r="O201">
            <v>2.4210878301992089E-2</v>
          </cell>
        </row>
        <row r="202">
          <cell r="H202">
            <v>7.4625049690343337E-2</v>
          </cell>
          <cell r="I202">
            <v>-0.19390479442021069</v>
          </cell>
          <cell r="J202">
            <v>-2.1554415689915118E-2</v>
          </cell>
          <cell r="K202">
            <v>-5.05000000000011E-3</v>
          </cell>
          <cell r="L202">
            <v>4.9999999999994493E-3</v>
          </cell>
          <cell r="M202">
            <v>1.505000000000023E-2</v>
          </cell>
          <cell r="N202">
            <v>1.505000000000023E-2</v>
          </cell>
          <cell r="O202">
            <v>1.5049999999999786E-2</v>
          </cell>
        </row>
        <row r="203">
          <cell r="H203">
            <v>1.3753833093951062E-2</v>
          </cell>
          <cell r="I203">
            <v>-1.085575667948302E-2</v>
          </cell>
          <cell r="J203">
            <v>-1.5903814079280432E-2</v>
          </cell>
          <cell r="K203">
            <v>3.0800226619046578E-2</v>
          </cell>
          <cell r="L203">
            <v>6.1082233667481001E-2</v>
          </cell>
          <cell r="M203">
            <v>7.0577377817588216E-2</v>
          </cell>
          <cell r="N203">
            <v>6.9721092577022192E-2</v>
          </cell>
          <cell r="O203">
            <v>6.8911909048313236E-2</v>
          </cell>
        </row>
        <row r="204">
          <cell r="H204">
            <v>-4.3466386554621472</v>
          </cell>
          <cell r="I204">
            <v>0.41619585687381488</v>
          </cell>
          <cell r="J204">
            <v>0.1081560283687939</v>
          </cell>
          <cell r="K204">
            <v>0</v>
          </cell>
          <cell r="L204">
            <v>0</v>
          </cell>
          <cell r="M204">
            <v>0</v>
          </cell>
          <cell r="N204">
            <v>0</v>
          </cell>
          <cell r="O204">
            <v>0</v>
          </cell>
        </row>
        <row r="205">
          <cell r="H205" t="e">
            <v>#REF!</v>
          </cell>
          <cell r="I205" t="e">
            <v>#REF!</v>
          </cell>
          <cell r="J205" t="e">
            <v>#REF!</v>
          </cell>
          <cell r="K205" t="e">
            <v>#REF!</v>
          </cell>
          <cell r="L205" t="e">
            <v>#REF!</v>
          </cell>
          <cell r="M205" t="e">
            <v>#REF!</v>
          </cell>
          <cell r="N205" t="e">
            <v>#REF!</v>
          </cell>
          <cell r="O205" t="e">
            <v>#REF!</v>
          </cell>
        </row>
        <row r="206">
          <cell r="H206">
            <v>7.0481380563124363E-2</v>
          </cell>
          <cell r="I206">
            <v>6.5840828101137117E-2</v>
          </cell>
          <cell r="J206">
            <v>0.03</v>
          </cell>
          <cell r="K206">
            <v>0.03</v>
          </cell>
          <cell r="L206">
            <v>0.03</v>
          </cell>
          <cell r="M206">
            <v>0.03</v>
          </cell>
          <cell r="N206">
            <v>0.03</v>
          </cell>
          <cell r="O206">
            <v>0.03</v>
          </cell>
        </row>
        <row r="207">
          <cell r="H207">
            <v>-9.1499999999999915E-2</v>
          </cell>
          <cell r="I207">
            <v>-1.0823702073014085E-2</v>
          </cell>
          <cell r="J207">
            <v>3.0076859126923372E-2</v>
          </cell>
          <cell r="K207">
            <v>-1.1126852085341699E-2</v>
          </cell>
          <cell r="L207">
            <v>-1.2784754387670239E-2</v>
          </cell>
          <cell r="M207">
            <v>-2.2466267829818976E-2</v>
          </cell>
          <cell r="N207">
            <v>-5.3440878732605723E-3</v>
          </cell>
          <cell r="O207">
            <v>1.1812179358549946E-2</v>
          </cell>
        </row>
        <row r="208">
          <cell r="H208">
            <v>-0.1366024518388792</v>
          </cell>
          <cell r="I208">
            <v>0.24077079107505073</v>
          </cell>
          <cell r="J208">
            <v>0.15</v>
          </cell>
          <cell r="K208">
            <v>8.0000000000000071E-2</v>
          </cell>
          <cell r="L208">
            <v>0.05</v>
          </cell>
          <cell r="M208">
            <v>0.02</v>
          </cell>
          <cell r="N208">
            <v>0.02</v>
          </cell>
          <cell r="O208">
            <v>0.02</v>
          </cell>
        </row>
        <row r="209">
          <cell r="H209">
            <v>0.28089574428544872</v>
          </cell>
          <cell r="I209">
            <v>-0.11563293434893007</v>
          </cell>
          <cell r="J209">
            <v>0.05</v>
          </cell>
          <cell r="K209">
            <v>4.6958411943236911E-2</v>
          </cell>
          <cell r="L209">
            <v>4.7007678946242804E-2</v>
          </cell>
          <cell r="M209">
            <v>0.03</v>
          </cell>
          <cell r="N209">
            <v>0.03</v>
          </cell>
          <cell r="O209">
            <v>0.03</v>
          </cell>
        </row>
        <row r="210">
          <cell r="H210">
            <v>4.124925766912968E-2</v>
          </cell>
          <cell r="I210">
            <v>2.4365615124259055E-2</v>
          </cell>
          <cell r="J210">
            <v>-1.8269775528559906E-3</v>
          </cell>
          <cell r="K210">
            <v>-1.5301684677054173E-2</v>
          </cell>
          <cell r="L210">
            <v>-1.329833851786788E-2</v>
          </cell>
          <cell r="M210">
            <v>-1.5290683966036278E-2</v>
          </cell>
          <cell r="N210">
            <v>-1.8780844437624511E-2</v>
          </cell>
          <cell r="O210">
            <v>-1.8291883530793585E-2</v>
          </cell>
        </row>
        <row r="213">
          <cell r="F213">
            <v>568.77132616953645</v>
          </cell>
          <cell r="G213">
            <v>649.92817644682873</v>
          </cell>
          <cell r="H213">
            <v>779.93850983053085</v>
          </cell>
          <cell r="I213">
            <v>694</v>
          </cell>
          <cell r="J213">
            <v>700.94</v>
          </cell>
          <cell r="K213">
            <v>707.94940000000008</v>
          </cell>
          <cell r="L213">
            <v>715.02889400000004</v>
          </cell>
          <cell r="M213">
            <v>722.17918294000003</v>
          </cell>
          <cell r="N213">
            <v>729.40097476940002</v>
          </cell>
          <cell r="O213">
            <v>736.69498451709399</v>
          </cell>
        </row>
        <row r="214">
          <cell r="F214">
            <v>2.1049980726608579</v>
          </cell>
          <cell r="G214">
            <v>2.7558302139087689</v>
          </cell>
          <cell r="H214">
            <v>3.4727829715913066</v>
          </cell>
          <cell r="I214">
            <v>3.63</v>
          </cell>
          <cell r="J214">
            <v>3.5</v>
          </cell>
          <cell r="K214">
            <v>3.6</v>
          </cell>
          <cell r="L214">
            <v>3.7</v>
          </cell>
          <cell r="M214">
            <v>3.8</v>
          </cell>
          <cell r="N214">
            <v>3.9</v>
          </cell>
          <cell r="O214">
            <v>4</v>
          </cell>
        </row>
        <row r="215">
          <cell r="F215">
            <v>0.89467524153548295</v>
          </cell>
          <cell r="G215">
            <v>2.9428249392664916</v>
          </cell>
          <cell r="H215">
            <v>3.3309629862958015</v>
          </cell>
          <cell r="I215">
            <v>3.65</v>
          </cell>
          <cell r="J215">
            <v>3.7229999999999999</v>
          </cell>
          <cell r="K215">
            <v>3.7974600000000001</v>
          </cell>
          <cell r="L215">
            <v>3.8734092000000002</v>
          </cell>
          <cell r="M215">
            <v>3.9508773840000004</v>
          </cell>
          <cell r="N215">
            <v>4.0298949316800003</v>
          </cell>
          <cell r="O215">
            <v>4.1104928303136008</v>
          </cell>
        </row>
        <row r="216">
          <cell r="F216">
            <v>8.3539650441468059</v>
          </cell>
          <cell r="G216">
            <v>9.110590836293941</v>
          </cell>
          <cell r="H216">
            <v>12.198424571109078</v>
          </cell>
          <cell r="I216">
            <v>14</v>
          </cell>
          <cell r="J216">
            <v>14.28</v>
          </cell>
          <cell r="K216">
            <v>14.565600000000002</v>
          </cell>
          <cell r="L216">
            <v>14.856912000000001</v>
          </cell>
          <cell r="M216">
            <v>15.154050240000002</v>
          </cell>
          <cell r="N216">
            <v>15.457131244800003</v>
          </cell>
          <cell r="O216">
            <v>15.766273869696004</v>
          </cell>
        </row>
        <row r="219">
          <cell r="H219">
            <v>8.3635698387047652E-2</v>
          </cell>
          <cell r="I219">
            <v>0.12211592571750152</v>
          </cell>
          <cell r="J219">
            <v>4.0751238037887383E-2</v>
          </cell>
          <cell r="K219">
            <v>3.8044790236611226E-2</v>
          </cell>
          <cell r="L219">
            <v>2.4023800986388455E-2</v>
          </cell>
          <cell r="M219">
            <v>2.4087756712400932E-2</v>
          </cell>
          <cell r="N219">
            <v>2.4152469629714179E-2</v>
          </cell>
          <cell r="O219">
            <v>2.4217940476532585E-2</v>
          </cell>
        </row>
        <row r="220">
          <cell r="H220">
            <v>0.49434729209902617</v>
          </cell>
          <cell r="I220">
            <v>0.22576348634340127</v>
          </cell>
          <cell r="J220">
            <v>-8.3265753486215788E-2</v>
          </cell>
          <cell r="K220">
            <v>8.1609237779691535E-2</v>
          </cell>
          <cell r="L220">
            <v>0.11738718174994767</v>
          </cell>
          <cell r="M220">
            <v>0.10939346596955279</v>
          </cell>
          <cell r="N220">
            <v>8.9406754735290805E-2</v>
          </cell>
          <cell r="O220">
            <v>8.1684356385065993E-2</v>
          </cell>
        </row>
        <row r="221">
          <cell r="H221">
            <v>0.81147431630793032</v>
          </cell>
          <cell r="I221">
            <v>0.54716990945177457</v>
          </cell>
          <cell r="J221">
            <v>0.15770319329728189</v>
          </cell>
          <cell r="K221">
            <v>0.1713092865897714</v>
          </cell>
          <cell r="L221">
            <v>0.21425103137125423</v>
          </cell>
          <cell r="M221">
            <v>0.20633643775149535</v>
          </cell>
          <cell r="N221">
            <v>8.1388948304322861E-2</v>
          </cell>
          <cell r="O221">
            <v>9.1192192975049213E-3</v>
          </cell>
        </row>
        <row r="222">
          <cell r="H222">
            <v>0.35672636878214981</v>
          </cell>
          <cell r="I222">
            <v>1.2221354088049314</v>
          </cell>
          <cell r="J222">
            <v>0.23902194808518584</v>
          </cell>
          <cell r="K222">
            <v>1.2624466571834914E-2</v>
          </cell>
          <cell r="L222">
            <v>8.4284460052677979E-2</v>
          </cell>
          <cell r="M222">
            <v>0.10526315789473695</v>
          </cell>
          <cell r="N222">
            <v>8.3333333333333037E-2</v>
          </cell>
          <cell r="O222">
            <v>5.7692307692307931E-2</v>
          </cell>
        </row>
        <row r="223">
          <cell r="H223">
            <v>1.2070609807069088E-2</v>
          </cell>
          <cell r="I223">
            <v>0.1555704810851648</v>
          </cell>
          <cell r="J223">
            <v>0.23364578155686888</v>
          </cell>
          <cell r="K223">
            <v>0.13721184385427865</v>
          </cell>
          <cell r="L223">
            <v>0.10825710158882984</v>
          </cell>
          <cell r="M223">
            <v>7.9385059843169348E-2</v>
          </cell>
          <cell r="N223">
            <v>7.5401380312386745E-2</v>
          </cell>
          <cell r="O223">
            <v>5.7679576299238589E-2</v>
          </cell>
        </row>
        <row r="224">
          <cell r="H224">
            <v>-0.10970744680851063</v>
          </cell>
          <cell r="I224">
            <v>0.20761762509335302</v>
          </cell>
          <cell r="J224">
            <v>0.13944777755719251</v>
          </cell>
          <cell r="K224">
            <v>-2.7808260287861208E-2</v>
          </cell>
          <cell r="L224">
            <v>-1.9418569658802509E-2</v>
          </cell>
          <cell r="M224">
            <v>1.040649434252483E-2</v>
          </cell>
          <cell r="N224">
            <v>4.1390350717969149E-2</v>
          </cell>
          <cell r="O224">
            <v>3.2332291215422693E-2</v>
          </cell>
        </row>
        <row r="225">
          <cell r="H225">
            <v>-0.87709174841315862</v>
          </cell>
          <cell r="I225">
            <v>2.458528951486767</v>
          </cell>
          <cell r="J225">
            <v>-2.199095022624431E-2</v>
          </cell>
          <cell r="K225">
            <v>0.01</v>
          </cell>
          <cell r="L225">
            <v>0.01</v>
          </cell>
          <cell r="M225">
            <v>0.01</v>
          </cell>
          <cell r="N225">
            <v>0.01</v>
          </cell>
          <cell r="O225">
            <v>0.01</v>
          </cell>
        </row>
        <row r="226">
          <cell r="J226">
            <v>5.0231222008660259</v>
          </cell>
          <cell r="K226">
            <v>0.13271212157182277</v>
          </cell>
          <cell r="L226">
            <v>0.10489337137889043</v>
          </cell>
          <cell r="M226">
            <v>7.6979527089398259E-2</v>
          </cell>
          <cell r="N226">
            <v>5.2861354641430935E-2</v>
          </cell>
          <cell r="O226">
            <v>3.1928443396514794E-2</v>
          </cell>
        </row>
        <row r="227">
          <cell r="H227">
            <v>0.33734467490063236</v>
          </cell>
          <cell r="I227">
            <v>-1</v>
          </cell>
          <cell r="J227" t="e">
            <v>#DIV/0!</v>
          </cell>
          <cell r="K227" t="e">
            <v>#DIV/0!</v>
          </cell>
          <cell r="L227" t="e">
            <v>#DIV/0!</v>
          </cell>
          <cell r="M227" t="e">
            <v>#DIV/0!</v>
          </cell>
          <cell r="N227" t="e">
            <v>#DIV/0!</v>
          </cell>
          <cell r="O227" t="e">
            <v>#DIV/0!</v>
          </cell>
        </row>
        <row r="228">
          <cell r="H228">
            <v>0.19404801931567262</v>
          </cell>
          <cell r="I228">
            <v>0.22994462896716539</v>
          </cell>
          <cell r="J228">
            <v>3.7448724628953434E-2</v>
          </cell>
          <cell r="K228">
            <v>8.8364370312185248E-2</v>
          </cell>
          <cell r="L228">
            <v>5.7797021434659701E-2</v>
          </cell>
          <cell r="M228">
            <v>4.7574667296793605E-2</v>
          </cell>
          <cell r="N228">
            <v>4.752414986263731E-2</v>
          </cell>
          <cell r="O228">
            <v>4.7474329205763111E-2</v>
          </cell>
        </row>
        <row r="229">
          <cell r="H229">
            <v>-5.2982846057843092E-2</v>
          </cell>
          <cell r="I229">
            <v>9.5783813371369098E-2</v>
          </cell>
          <cell r="J229">
            <v>0.15186150732176906</v>
          </cell>
          <cell r="K229">
            <v>0.14626281296538579</v>
          </cell>
          <cell r="L229">
            <v>4.8648356592334352E-2</v>
          </cell>
          <cell r="M229">
            <v>4.8063914610053882E-2</v>
          </cell>
          <cell r="N229">
            <v>4.7505409661957154E-2</v>
          </cell>
          <cell r="O229">
            <v>2.4210878301992089E-2</v>
          </cell>
        </row>
        <row r="230">
          <cell r="H230">
            <v>2.8806581884077698E-2</v>
          </cell>
          <cell r="I230">
            <v>-0.19390479442021069</v>
          </cell>
          <cell r="J230">
            <v>-2.8472990255746566E-2</v>
          </cell>
          <cell r="K230">
            <v>3.0483928571428454E-2</v>
          </cell>
          <cell r="L230">
            <v>2.2327586206896122E-2</v>
          </cell>
          <cell r="M230">
            <v>1.5050000000000008E-2</v>
          </cell>
          <cell r="N230">
            <v>1.505000000000023E-2</v>
          </cell>
          <cell r="O230">
            <v>1.5049999999999786E-2</v>
          </cell>
        </row>
        <row r="231">
          <cell r="H231">
            <v>5.5940605998302528E-2</v>
          </cell>
          <cell r="I231">
            <v>-2.6056635866783306E-2</v>
          </cell>
          <cell r="J231">
            <v>2.9713970975808746E-3</v>
          </cell>
          <cell r="K231">
            <v>3.08002266190468E-2</v>
          </cell>
          <cell r="L231">
            <v>8.0030130697257507E-2</v>
          </cell>
          <cell r="M231">
            <v>7.0577377817587994E-2</v>
          </cell>
          <cell r="N231">
            <v>6.9721092577022192E-2</v>
          </cell>
          <cell r="O231">
            <v>6.8911909048313458E-2</v>
          </cell>
        </row>
        <row r="232">
          <cell r="H232">
            <v>-3.5371900826446105</v>
          </cell>
          <cell r="I232">
            <v>0.95830618892506592</v>
          </cell>
          <cell r="J232">
            <v>0.10612109115103108</v>
          </cell>
          <cell r="K232">
            <v>2.4812030075187952E-2</v>
          </cell>
          <cell r="L232">
            <v>2.6632428466617952E-2</v>
          </cell>
          <cell r="M232">
            <v>2.8535696419638379E-2</v>
          </cell>
          <cell r="N232">
            <v>3.0518402201177075E-2</v>
          </cell>
          <cell r="O232">
            <v>3.257607273153873E-2</v>
          </cell>
        </row>
        <row r="233">
          <cell r="H233" t="e">
            <v>#REF!</v>
          </cell>
          <cell r="I233" t="e">
            <v>#REF!</v>
          </cell>
          <cell r="J233" t="e">
            <v>#REF!</v>
          </cell>
          <cell r="K233" t="e">
            <v>#REF!</v>
          </cell>
          <cell r="L233" t="e">
            <v>#REF!</v>
          </cell>
          <cell r="M233" t="e">
            <v>#REF!</v>
          </cell>
          <cell r="N233" t="e">
            <v>#REF!</v>
          </cell>
          <cell r="O233" t="e">
            <v>#REF!</v>
          </cell>
        </row>
        <row r="234">
          <cell r="H234">
            <v>1.1985018726591745E-2</v>
          </cell>
          <cell r="I234">
            <v>1.8751542067604543E-2</v>
          </cell>
          <cell r="J234">
            <v>0.03</v>
          </cell>
          <cell r="K234">
            <v>0.03</v>
          </cell>
          <cell r="L234">
            <v>2.9999999999999805E-2</v>
          </cell>
          <cell r="M234">
            <v>3.0000000000000249E-2</v>
          </cell>
          <cell r="N234">
            <v>2.9999999999999805E-2</v>
          </cell>
          <cell r="O234">
            <v>0.03</v>
          </cell>
        </row>
        <row r="235">
          <cell r="H235">
            <v>-0.21181070513684785</v>
          </cell>
          <cell r="I235">
            <v>-0.113410879233664</v>
          </cell>
          <cell r="J235">
            <v>1.8033128148128741E-2</v>
          </cell>
          <cell r="K235">
            <v>-6.3172807238744744E-2</v>
          </cell>
          <cell r="L235">
            <v>-6.7630045810577522E-2</v>
          </cell>
          <cell r="M235">
            <v>-2.2466267829818976E-2</v>
          </cell>
          <cell r="N235">
            <v>-5.3440878732606834E-3</v>
          </cell>
          <cell r="O235">
            <v>1.1812179358549946E-2</v>
          </cell>
        </row>
        <row r="236">
          <cell r="H236">
            <v>-0.17456938262047617</v>
          </cell>
          <cell r="I236">
            <v>0.22133645955451375</v>
          </cell>
          <cell r="J236">
            <v>0.13438702246112477</v>
          </cell>
          <cell r="K236">
            <v>6.7142857142857171E-2</v>
          </cell>
          <cell r="L236">
            <v>5.0000000000000266E-2</v>
          </cell>
          <cell r="M236">
            <v>0.02</v>
          </cell>
          <cell r="N236">
            <v>0.02</v>
          </cell>
          <cell r="O236">
            <v>0.02</v>
          </cell>
        </row>
        <row r="237">
          <cell r="H237">
            <v>0.21472392638036819</v>
          </cell>
          <cell r="I237">
            <v>-0.1127375449409348</v>
          </cell>
          <cell r="J237">
            <v>4.9300530631934292E-2</v>
          </cell>
          <cell r="K237">
            <v>4.6420191246782094E-2</v>
          </cell>
          <cell r="L237">
            <v>4.6476364803873293E-2</v>
          </cell>
          <cell r="M237">
            <v>2.9685259390695995E-2</v>
          </cell>
          <cell r="N237">
            <v>2.9679049848722938E-2</v>
          </cell>
          <cell r="O237">
            <v>2.9672715824518248E-2</v>
          </cell>
        </row>
        <row r="239">
          <cell r="H239">
            <v>1.6279807481951338</v>
          </cell>
          <cell r="I239">
            <v>-3.2909011446409897E-2</v>
          </cell>
          <cell r="J239">
            <v>3.8422009109697619E-2</v>
          </cell>
          <cell r="K239">
            <v>3.7704871992334077E-2</v>
          </cell>
          <cell r="L239">
            <v>2.6171961813507894E-2</v>
          </cell>
          <cell r="M239">
            <v>2.5713821796953473E-2</v>
          </cell>
          <cell r="N239">
            <v>2.5292051829423734E-2</v>
          </cell>
          <cell r="O239">
            <v>2.490343139691964E-2</v>
          </cell>
        </row>
        <row r="241">
          <cell r="H241">
            <v>3.080477474008525E-3</v>
          </cell>
          <cell r="I241">
            <v>0.20537428023032622</v>
          </cell>
          <cell r="J241">
            <v>8.3754622345374452E-2</v>
          </cell>
          <cell r="K241">
            <v>2.1237231594809058E-2</v>
          </cell>
          <cell r="L241">
            <v>7.3948945353625728E-3</v>
          </cell>
          <cell r="M241">
            <v>2.7041688551545651E-3</v>
          </cell>
          <cell r="N241">
            <v>2.766521518320797E-3</v>
          </cell>
          <cell r="O241">
            <v>2.830078431248273E-3</v>
          </cell>
        </row>
        <row r="242">
          <cell r="H242">
            <v>0.36050942864438351</v>
          </cell>
          <cell r="I242">
            <v>-5.1614256937380421E-2</v>
          </cell>
          <cell r="J242">
            <v>-1.71970027886581E-2</v>
          </cell>
          <cell r="K242">
            <v>8.1609237779691757E-2</v>
          </cell>
          <cell r="L242">
            <v>-1.4070133750046399E-2</v>
          </cell>
          <cell r="M242">
            <v>0.10939346596955257</v>
          </cell>
          <cell r="N242">
            <v>8.9406754735290583E-2</v>
          </cell>
          <cell r="O242">
            <v>8.1684356385066437E-2</v>
          </cell>
        </row>
        <row r="243">
          <cell r="H243">
            <v>5.7505448057940027</v>
          </cell>
          <cell r="I243">
            <v>-7.0918275776745698E-2</v>
          </cell>
          <cell r="J243">
            <v>-9.8966285941695098E-2</v>
          </cell>
          <cell r="K243">
            <v>-1.9170621666332432E-2</v>
          </cell>
          <cell r="L243">
            <v>-0.1034562277330523</v>
          </cell>
          <cell r="M243">
            <v>-4.3841289395831984E-2</v>
          </cell>
          <cell r="N243">
            <v>-6.3381872609273859E-3</v>
          </cell>
          <cell r="O243">
            <v>7.3806348739653194E-2</v>
          </cell>
        </row>
        <row r="244">
          <cell r="H244">
            <v>0.28624205986348716</v>
          </cell>
          <cell r="I244">
            <v>3.6022726950345767</v>
          </cell>
          <cell r="J244">
            <v>0.10580379877978618</v>
          </cell>
          <cell r="K244">
            <v>-0.31081081081081097</v>
          </cell>
          <cell r="L244">
            <v>-6.8627450980391913E-2</v>
          </cell>
          <cell r="M244">
            <v>0.10526315789473673</v>
          </cell>
          <cell r="N244">
            <v>8.3333333333333259E-2</v>
          </cell>
          <cell r="O244">
            <v>5.7692307692307709E-2</v>
          </cell>
        </row>
        <row r="245">
          <cell r="H245">
            <v>-0.28838785247940457</v>
          </cell>
          <cell r="I245">
            <v>0.73318145180869188</v>
          </cell>
          <cell r="J245">
            <v>0.22237170030496234</v>
          </cell>
          <cell r="K245">
            <v>0.13721184385427887</v>
          </cell>
          <cell r="L245">
            <v>0.10825710158883006</v>
          </cell>
          <cell r="M245">
            <v>7.9385059843169126E-2</v>
          </cell>
          <cell r="N245">
            <v>7.5401380312386523E-2</v>
          </cell>
          <cell r="O245">
            <v>5.7679576299238811E-2</v>
          </cell>
        </row>
        <row r="246">
          <cell r="H246">
            <v>-0.4</v>
          </cell>
          <cell r="I246">
            <v>-0.44921135132853562</v>
          </cell>
          <cell r="J246">
            <v>2.4716619639692397</v>
          </cell>
          <cell r="K246">
            <v>1.046213107880023E-2</v>
          </cell>
          <cell r="L246">
            <v>1.043688681944932E-2</v>
          </cell>
          <cell r="M246">
            <v>-0.24511357724354865</v>
          </cell>
          <cell r="N246">
            <v>0.10663575503386635</v>
          </cell>
          <cell r="O246">
            <v>8.0086683938817682E-2</v>
          </cell>
        </row>
        <row r="247">
          <cell r="H247">
            <v>-0.97775305895439379</v>
          </cell>
          <cell r="I247">
            <v>0</v>
          </cell>
          <cell r="J247">
            <v>0</v>
          </cell>
          <cell r="K247">
            <v>0</v>
          </cell>
          <cell r="L247">
            <v>0</v>
          </cell>
          <cell r="M247">
            <v>0</v>
          </cell>
          <cell r="N247">
            <v>0</v>
          </cell>
          <cell r="O247">
            <v>0</v>
          </cell>
        </row>
        <row r="248">
          <cell r="J248">
            <v>10.5077922128762</v>
          </cell>
          <cell r="K248">
            <v>-0.29853560069102081</v>
          </cell>
          <cell r="L248">
            <v>-9.1742644671280571E-2</v>
          </cell>
          <cell r="M248">
            <v>-3.4158906625237018E-2</v>
          </cell>
          <cell r="N248">
            <v>7.7620557859892081E-4</v>
          </cell>
          <cell r="O248">
            <v>3.566269639618791E-2</v>
          </cell>
        </row>
        <row r="249">
          <cell r="H249">
            <v>0.8708666976278483</v>
          </cell>
          <cell r="I249">
            <v>-1</v>
          </cell>
          <cell r="J249" t="e">
            <v>#DIV/0!</v>
          </cell>
          <cell r="K249" t="e">
            <v>#DIV/0!</v>
          </cell>
          <cell r="L249" t="e">
            <v>#DIV/0!</v>
          </cell>
          <cell r="M249" t="e">
            <v>#DIV/0!</v>
          </cell>
          <cell r="N249" t="e">
            <v>#DIV/0!</v>
          </cell>
          <cell r="O249" t="e">
            <v>#DIV/0!</v>
          </cell>
        </row>
        <row r="250">
          <cell r="H250">
            <v>-0.22857299853010971</v>
          </cell>
          <cell r="I250">
            <v>5.0017773791642295E-2</v>
          </cell>
          <cell r="J250">
            <v>2.7960264272198554E-2</v>
          </cell>
          <cell r="K250">
            <v>0.14564670559177384</v>
          </cell>
          <cell r="L250">
            <v>5.7797021434659701E-2</v>
          </cell>
          <cell r="M250">
            <v>4.7574667296793827E-2</v>
          </cell>
          <cell r="N250">
            <v>4.7524149862637088E-2</v>
          </cell>
          <cell r="O250">
            <v>4.7474329205763111E-2</v>
          </cell>
        </row>
        <row r="251">
          <cell r="H251">
            <v>-6.9789742306726188E-2</v>
          </cell>
          <cell r="I251">
            <v>1.3379457086460285</v>
          </cell>
          <cell r="J251">
            <v>0.14068768449575386</v>
          </cell>
          <cell r="K251">
            <v>0.11897084122811474</v>
          </cell>
          <cell r="L251">
            <v>2.4261185508791749E-2</v>
          </cell>
          <cell r="M251">
            <v>2.4244280187098566E-2</v>
          </cell>
          <cell r="N251">
            <v>-6.1124780969653236E-2</v>
          </cell>
          <cell r="O251">
            <v>-6.8899201543643596E-2</v>
          </cell>
        </row>
        <row r="252">
          <cell r="H252">
            <v>-0.14722963272777523</v>
          </cell>
          <cell r="I252">
            <v>-0.10464570431975762</v>
          </cell>
          <cell r="J252">
            <v>0.12893809214880192</v>
          </cell>
          <cell r="K252">
            <v>-5.05000000000011E-3</v>
          </cell>
          <cell r="L252">
            <v>4.9999999999994493E-3</v>
          </cell>
          <cell r="M252">
            <v>1.505000000000023E-2</v>
          </cell>
          <cell r="N252">
            <v>1.505000000000023E-2</v>
          </cell>
          <cell r="O252">
            <v>1.5049999999999564E-2</v>
          </cell>
        </row>
        <row r="253">
          <cell r="H253">
            <v>0.16530365960176185</v>
          </cell>
          <cell r="I253">
            <v>0.17506501565648636</v>
          </cell>
          <cell r="J253">
            <v>0.12437262721864384</v>
          </cell>
          <cell r="K253">
            <v>3.0800226619046578E-2</v>
          </cell>
          <cell r="L253">
            <v>6.1082233667481001E-2</v>
          </cell>
          <cell r="M253">
            <v>7.0577377817588216E-2</v>
          </cell>
          <cell r="N253">
            <v>6.9721092577022192E-2</v>
          </cell>
          <cell r="O253">
            <v>6.8911909048313236E-2</v>
          </cell>
        </row>
        <row r="254">
          <cell r="H254">
            <v>-0.97216714556148409</v>
          </cell>
          <cell r="I254">
            <v>-6.2</v>
          </cell>
          <cell r="J254">
            <v>0</v>
          </cell>
          <cell r="K254">
            <v>0</v>
          </cell>
          <cell r="L254">
            <v>0</v>
          </cell>
          <cell r="M254">
            <v>0</v>
          </cell>
          <cell r="N254">
            <v>0</v>
          </cell>
          <cell r="O254">
            <v>0</v>
          </cell>
        </row>
        <row r="255">
          <cell r="H255" t="e">
            <v>#REF!</v>
          </cell>
          <cell r="I255" t="e">
            <v>#REF!</v>
          </cell>
          <cell r="J255" t="e">
            <v>#REF!</v>
          </cell>
          <cell r="K255" t="e">
            <v>#REF!</v>
          </cell>
          <cell r="L255" t="e">
            <v>#REF!</v>
          </cell>
          <cell r="M255" t="e">
            <v>#REF!</v>
          </cell>
          <cell r="N255" t="e">
            <v>#REF!</v>
          </cell>
          <cell r="O255" t="e">
            <v>#REF!</v>
          </cell>
        </row>
        <row r="256">
          <cell r="H256">
            <v>-0.20769230769230762</v>
          </cell>
          <cell r="I256">
            <v>4.3689320388349495E-2</v>
          </cell>
          <cell r="J256">
            <v>0</v>
          </cell>
          <cell r="K256">
            <v>0</v>
          </cell>
          <cell r="L256">
            <v>0</v>
          </cell>
          <cell r="M256">
            <v>0</v>
          </cell>
          <cell r="N256">
            <v>0</v>
          </cell>
          <cell r="O256">
            <v>0</v>
          </cell>
        </row>
        <row r="257">
          <cell r="H257">
            <v>0.85253456221198176</v>
          </cell>
          <cell r="I257">
            <v>-0.6840796019900498</v>
          </cell>
          <cell r="J257">
            <v>1.5590551181102366</v>
          </cell>
          <cell r="K257">
            <v>0</v>
          </cell>
          <cell r="L257">
            <v>0</v>
          </cell>
          <cell r="M257">
            <v>0</v>
          </cell>
          <cell r="N257">
            <v>0</v>
          </cell>
          <cell r="O257">
            <v>0</v>
          </cell>
        </row>
        <row r="258">
          <cell r="H258">
            <v>-0.29891304347826075</v>
          </cell>
          <cell r="I258">
            <v>0.76744186046511631</v>
          </cell>
          <cell r="J258">
            <v>0.15</v>
          </cell>
          <cell r="K258">
            <v>8.0000000000000071E-2</v>
          </cell>
          <cell r="L258">
            <v>0.05</v>
          </cell>
          <cell r="M258">
            <v>0.02</v>
          </cell>
          <cell r="N258">
            <v>2.000000000000024E-2</v>
          </cell>
          <cell r="O258">
            <v>0.02</v>
          </cell>
        </row>
        <row r="260">
          <cell r="H260">
            <v>-0.15143348623853203</v>
          </cell>
          <cell r="I260">
            <v>-0.18399891884586805</v>
          </cell>
          <cell r="J260">
            <v>5.0724321304084219E-2</v>
          </cell>
          <cell r="K260">
            <v>-2.8507971386966258E-3</v>
          </cell>
          <cell r="L260">
            <v>-9.7517846637731331E-3</v>
          </cell>
          <cell r="M260">
            <v>-3.4216290214284184E-2</v>
          </cell>
          <cell r="N260">
            <v>-2.3628538727891057E-2</v>
          </cell>
          <cell r="O260">
            <v>-1.3332714708180871E-2</v>
          </cell>
        </row>
        <row r="261">
          <cell r="H261">
            <v>-0.5</v>
          </cell>
          <cell r="I261">
            <v>-25.05</v>
          </cell>
          <cell r="J261">
            <v>0</v>
          </cell>
          <cell r="K261">
            <v>0</v>
          </cell>
          <cell r="L261">
            <v>0</v>
          </cell>
          <cell r="M261">
            <v>0</v>
          </cell>
          <cell r="N261">
            <v>0</v>
          </cell>
          <cell r="O261">
            <v>0</v>
          </cell>
        </row>
        <row r="263">
          <cell r="H263">
            <v>8.9148364377722444E-3</v>
          </cell>
          <cell r="I263">
            <v>-1.1694578231428832E-2</v>
          </cell>
          <cell r="J263">
            <v>-3.7997028095061336E-2</v>
          </cell>
          <cell r="K263">
            <v>2.4909911185001299E-2</v>
          </cell>
          <cell r="L263">
            <v>2.0540527710978695E-2</v>
          </cell>
          <cell r="M263">
            <v>1.614829544336116E-2</v>
          </cell>
          <cell r="N263">
            <v>1.2896610104987216E-2</v>
          </cell>
          <cell r="O263">
            <v>1.0474971133646926E-2</v>
          </cell>
        </row>
        <row r="264">
          <cell r="H264">
            <v>0.58145858501030778</v>
          </cell>
          <cell r="I264">
            <v>3.2411740221485408E-2</v>
          </cell>
          <cell r="J264">
            <v>4.3885621796859509E-2</v>
          </cell>
          <cell r="K264">
            <v>-0.14774859648448024</v>
          </cell>
          <cell r="L264">
            <v>-9.0548426879415778E-2</v>
          </cell>
          <cell r="M264">
            <v>-4.4940731010925883E-2</v>
          </cell>
          <cell r="N264">
            <v>3.2775291089017777E-3</v>
          </cell>
          <cell r="O264">
            <v>5.3671363929679083E-2</v>
          </cell>
        </row>
        <row r="265">
          <cell r="H265">
            <v>0.6432920658199941</v>
          </cell>
          <cell r="I265">
            <v>0.38750476583637616</v>
          </cell>
          <cell r="J265">
            <v>0.48107193558754213</v>
          </cell>
          <cell r="K265">
            <v>3.0456206790628437E-2</v>
          </cell>
          <cell r="L265">
            <v>9.4557675320777301E-2</v>
          </cell>
          <cell r="M265">
            <v>9.7522525835409768E-2</v>
          </cell>
          <cell r="N265">
            <v>5.5887207123143545E-2</v>
          </cell>
          <cell r="O265">
            <v>4.5997377510450743E-2</v>
          </cell>
        </row>
        <row r="266">
          <cell r="H266">
            <v>0.47381990296681464</v>
          </cell>
          <cell r="I266">
            <v>0.47196735223494635</v>
          </cell>
          <cell r="J266">
            <v>0.83041498197195729</v>
          </cell>
          <cell r="K266">
            <v>-9.4925053555791283E-2</v>
          </cell>
          <cell r="L266">
            <v>-9.0336910569539408E-2</v>
          </cell>
          <cell r="M266">
            <v>-4.8496447834249556E-2</v>
          </cell>
          <cell r="N266">
            <v>-2.3157235406777721E-3</v>
          </cell>
          <cell r="O266">
            <v>3.0300650911281091E-2</v>
          </cell>
        </row>
        <row r="267">
          <cell r="H267">
            <v>9.7716253662489594E-2</v>
          </cell>
          <cell r="I267">
            <v>-6.6283377760912643E-2</v>
          </cell>
          <cell r="J267">
            <v>0.39837076392816462</v>
          </cell>
          <cell r="K267">
            <v>-0.1039366564501446</v>
          </cell>
          <cell r="L267">
            <v>-9.7979482023830111E-2</v>
          </cell>
          <cell r="M267">
            <v>-7.0774492699384961E-2</v>
          </cell>
          <cell r="N267">
            <v>-9.6205710581662718E-3</v>
          </cell>
          <cell r="O267">
            <v>3.0288249230309594E-2</v>
          </cell>
        </row>
        <row r="268">
          <cell r="H268">
            <v>-8.8047127924376856E-2</v>
          </cell>
          <cell r="I268">
            <v>1.8305278837951189E-3</v>
          </cell>
          <cell r="J268">
            <v>0.36920680751962043</v>
          </cell>
          <cell r="K268">
            <v>-0.20588419758797416</v>
          </cell>
          <cell r="L268">
            <v>-0.17288258977919513</v>
          </cell>
          <cell r="M268">
            <v>-0.1173844995232769</v>
          </cell>
          <cell r="N268">
            <v>-3.5795464141624933E-2</v>
          </cell>
          <cell r="O268">
            <v>3.4495696762502082E-3</v>
          </cell>
        </row>
        <row r="269">
          <cell r="H269">
            <v>-0.90416738574314104</v>
          </cell>
          <cell r="I269">
            <v>25.954825041767357</v>
          </cell>
          <cell r="J269">
            <v>0.14799189985699135</v>
          </cell>
          <cell r="K269">
            <v>-0.20417292356188033</v>
          </cell>
          <cell r="L269">
            <v>-0.17795182918310481</v>
          </cell>
          <cell r="M269">
            <v>-0.13050699209234529</v>
          </cell>
          <cell r="N269">
            <v>-6.9851274562539367E-2</v>
          </cell>
          <cell r="O269">
            <v>-1.6156542075264069E-2</v>
          </cell>
        </row>
        <row r="270">
          <cell r="J270">
            <v>7.446748404358317</v>
          </cell>
          <cell r="K270">
            <v>-0.10049636993986422</v>
          </cell>
          <cell r="L270">
            <v>-9.6836310984839691E-2</v>
          </cell>
          <cell r="M270">
            <v>-6.9932094715403514E-2</v>
          </cell>
          <cell r="N270">
            <v>-2.9452497355141105E-2</v>
          </cell>
          <cell r="O270">
            <v>7.122797219916821E-3</v>
          </cell>
        </row>
        <row r="271">
          <cell r="H271">
            <v>0.50044486516066167</v>
          </cell>
          <cell r="I271">
            <v>-1</v>
          </cell>
          <cell r="J271" t="e">
            <v>#DIV/0!</v>
          </cell>
          <cell r="K271" t="e">
            <v>#DIV/0!</v>
          </cell>
          <cell r="L271" t="e">
            <v>#DIV/0!</v>
          </cell>
          <cell r="M271" t="e">
            <v>#DIV/0!</v>
          </cell>
          <cell r="N271" t="e">
            <v>#DIV/0!</v>
          </cell>
          <cell r="O271" t="e">
            <v>#DIV/0!</v>
          </cell>
        </row>
        <row r="272">
          <cell r="H272">
            <v>-9.0719827711339684E-3</v>
          </cell>
          <cell r="I272">
            <v>-5.869030329402547E-2</v>
          </cell>
          <cell r="J272">
            <v>-5.6603773584905648E-2</v>
          </cell>
          <cell r="K272">
            <v>-0.04</v>
          </cell>
          <cell r="L272">
            <v>-4.166666666666663E-2</v>
          </cell>
          <cell r="M272">
            <v>-4.3478260869565188E-2</v>
          </cell>
          <cell r="N272">
            <v>-9.0909090909090939E-2</v>
          </cell>
          <cell r="O272">
            <v>-3.8458983108482059E-2</v>
          </cell>
        </row>
        <row r="273">
          <cell r="H273">
            <v>-0.27324443935364329</v>
          </cell>
          <cell r="I273">
            <v>0.30092509318220251</v>
          </cell>
          <cell r="J273">
            <v>0</v>
          </cell>
          <cell r="K273">
            <v>0</v>
          </cell>
          <cell r="L273">
            <v>-0.11501571770842411</v>
          </cell>
          <cell r="M273">
            <v>2.4244280187098566E-2</v>
          </cell>
          <cell r="N273">
            <v>-6.1124780969653236E-2</v>
          </cell>
          <cell r="O273">
            <v>-6.8899201543643596E-2</v>
          </cell>
        </row>
        <row r="274">
          <cell r="H274">
            <v>-2.7788233398229223E-2</v>
          </cell>
          <cell r="I274">
            <v>-6.6666666666666652E-2</v>
          </cell>
          <cell r="J274">
            <v>7.1428571428571397E-2</v>
          </cell>
          <cell r="K274">
            <v>0</v>
          </cell>
          <cell r="L274">
            <v>0</v>
          </cell>
          <cell r="M274">
            <v>0</v>
          </cell>
          <cell r="N274">
            <v>-3.3333333333333326E-2</v>
          </cell>
          <cell r="O274">
            <v>-3.4482758620689613E-2</v>
          </cell>
        </row>
        <row r="275">
          <cell r="H275">
            <v>-0.20343749392691435</v>
          </cell>
          <cell r="I275">
            <v>-4.5289233835164366E-2</v>
          </cell>
          <cell r="J275">
            <v>-0.16666666666666663</v>
          </cell>
          <cell r="K275">
            <v>-0.14148743044026557</v>
          </cell>
          <cell r="L275">
            <v>6.1082233667481001E-2</v>
          </cell>
          <cell r="M275">
            <v>7.0577377817588216E-2</v>
          </cell>
          <cell r="N275">
            <v>6.9721092577022192E-2</v>
          </cell>
          <cell r="O275">
            <v>6.8911909048313236E-2</v>
          </cell>
        </row>
        <row r="276">
          <cell r="H276">
            <v>0.89941966347735391</v>
          </cell>
          <cell r="I276">
            <v>-0.18567931669583448</v>
          </cell>
          <cell r="J276">
            <v>0</v>
          </cell>
          <cell r="K276">
            <v>0</v>
          </cell>
          <cell r="L276">
            <v>0</v>
          </cell>
          <cell r="M276">
            <v>0</v>
          </cell>
          <cell r="N276">
            <v>0</v>
          </cell>
          <cell r="O276">
            <v>0</v>
          </cell>
        </row>
        <row r="277">
          <cell r="H277" t="e">
            <v>#REF!</v>
          </cell>
          <cell r="I277" t="e">
            <v>#REF!</v>
          </cell>
          <cell r="J277" t="e">
            <v>#DIV/0!</v>
          </cell>
          <cell r="K277" t="e">
            <v>#DIV/0!</v>
          </cell>
          <cell r="L277" t="e">
            <v>#DIV/0!</v>
          </cell>
          <cell r="M277" t="e">
            <v>#DIV/0!</v>
          </cell>
          <cell r="N277" t="e">
            <v>#DIV/0!</v>
          </cell>
          <cell r="O277" t="e">
            <v>#DIV/0!</v>
          </cell>
        </row>
        <row r="278">
          <cell r="H278">
            <v>-1.6025641025641413E-2</v>
          </cell>
          <cell r="I278">
            <v>-0.20195439739413656</v>
          </cell>
          <cell r="J278">
            <v>2.0408163265306145E-2</v>
          </cell>
          <cell r="K278">
            <v>0</v>
          </cell>
          <cell r="L278">
            <v>-0.08</v>
          </cell>
          <cell r="M278">
            <v>-6.5217391304347783E-2</v>
          </cell>
          <cell r="N278">
            <v>0</v>
          </cell>
          <cell r="O278">
            <v>0</v>
          </cell>
        </row>
        <row r="279">
          <cell r="H279">
            <v>-0.44849334267694463</v>
          </cell>
          <cell r="I279">
            <v>1.0165184243964287E-2</v>
          </cell>
          <cell r="J279">
            <v>-5.6603773584905648E-2</v>
          </cell>
          <cell r="K279">
            <v>-0.33333333333333337</v>
          </cell>
          <cell r="L279">
            <v>0.3</v>
          </cell>
          <cell r="M279">
            <v>0</v>
          </cell>
          <cell r="N279">
            <v>0</v>
          </cell>
          <cell r="O279">
            <v>0</v>
          </cell>
        </row>
        <row r="281">
          <cell r="H281">
            <v>6.0483870967742437E-3</v>
          </cell>
          <cell r="I281">
            <v>-0.3887775551102205</v>
          </cell>
          <cell r="J281">
            <v>-1.6393442622950838E-2</v>
          </cell>
          <cell r="K281">
            <v>0</v>
          </cell>
          <cell r="L281">
            <v>0</v>
          </cell>
          <cell r="M281">
            <v>0</v>
          </cell>
          <cell r="N281">
            <v>0</v>
          </cell>
          <cell r="O281">
            <v>0</v>
          </cell>
        </row>
        <row r="282">
          <cell r="H282">
            <v>3.4939669849729738E-2</v>
          </cell>
          <cell r="I282">
            <v>-0.15099063014090541</v>
          </cell>
          <cell r="J282">
            <v>-9.8396885772953024E-2</v>
          </cell>
          <cell r="K282">
            <v>-7.6615174898119531E-2</v>
          </cell>
          <cell r="L282">
            <v>-6.9036893185875137E-2</v>
          </cell>
          <cell r="M282">
            <v>-6.6197909154053658E-2</v>
          </cell>
          <cell r="N282">
            <v>-5.9969408382428369E-2</v>
          </cell>
          <cell r="O282">
            <v>-5.2946407408597795E-2</v>
          </cell>
        </row>
        <row r="283">
          <cell r="H283">
            <v>0.83741429970618597</v>
          </cell>
          <cell r="I283">
            <v>-0.65351812366737849</v>
          </cell>
          <cell r="J283">
            <v>0</v>
          </cell>
          <cell r="K283">
            <v>0</v>
          </cell>
          <cell r="L283">
            <v>0</v>
          </cell>
          <cell r="M283">
            <v>0</v>
          </cell>
          <cell r="N283">
            <v>0</v>
          </cell>
          <cell r="O283">
            <v>0</v>
          </cell>
        </row>
        <row r="285">
          <cell r="H285">
            <v>-3.546099290780147E-2</v>
          </cell>
          <cell r="I285">
            <v>0</v>
          </cell>
          <cell r="J285">
            <v>0</v>
          </cell>
          <cell r="K285">
            <v>0</v>
          </cell>
          <cell r="L285">
            <v>0</v>
          </cell>
          <cell r="M285">
            <v>0</v>
          </cell>
          <cell r="N285">
            <v>0</v>
          </cell>
          <cell r="O285">
            <v>0</v>
          </cell>
        </row>
        <row r="286">
          <cell r="H286">
            <v>-4.8900355228504333E-2</v>
          </cell>
          <cell r="I286">
            <v>-3.2766885247922928E-2</v>
          </cell>
          <cell r="J286">
            <v>-3.9781591605707045E-2</v>
          </cell>
          <cell r="K286">
            <v>-3.8961840249655766E-2</v>
          </cell>
          <cell r="L286">
            <v>-3.799882407756916E-2</v>
          </cell>
          <cell r="M286">
            <v>-4.5937200312142434E-2</v>
          </cell>
          <cell r="N286">
            <v>-5.5002798130711628E-2</v>
          </cell>
          <cell r="O286">
            <v>-5.5610574029307247E-2</v>
          </cell>
        </row>
        <row r="287">
          <cell r="H287">
            <v>-4.646997485125437E-2</v>
          </cell>
          <cell r="I287">
            <v>-7.2111364133441436E-2</v>
          </cell>
          <cell r="J287">
            <v>-5.5655694517622867E-2</v>
          </cell>
          <cell r="K287">
            <v>-5.8730251952780921E-2</v>
          </cell>
          <cell r="L287">
            <v>-6.2394708928682818E-2</v>
          </cell>
          <cell r="M287">
            <v>-4.1591801424103236E-2</v>
          </cell>
          <cell r="N287">
            <v>-1.7358700180530429E-2</v>
          </cell>
          <cell r="O287">
            <v>-1.7665347654041819E-2</v>
          </cell>
        </row>
        <row r="289">
          <cell r="H289">
            <v>0.21186296408208993</v>
          </cell>
          <cell r="I289">
            <v>0.24858658544646706</v>
          </cell>
          <cell r="J289">
            <v>0.18741770872813679</v>
          </cell>
          <cell r="K289">
            <v>0.1382688592382233</v>
          </cell>
          <cell r="L289">
            <v>0.12005408952941377</v>
          </cell>
          <cell r="M289">
            <v>9.6098310470075665E-2</v>
          </cell>
          <cell r="N289">
            <v>6.5582265545919505E-2</v>
          </cell>
          <cell r="O289">
            <v>4.3646580771105059E-2</v>
          </cell>
        </row>
        <row r="290">
          <cell r="H290">
            <v>-7.3046875000004619E-4</v>
          </cell>
          <cell r="I290">
            <v>1.9119434899711907E-2</v>
          </cell>
          <cell r="J290">
            <v>2.823971884954779E-2</v>
          </cell>
          <cell r="K290">
            <v>1.7162962908584101E-2</v>
          </cell>
          <cell r="L290">
            <v>1.7112520610249593E-2</v>
          </cell>
          <cell r="M290">
            <v>1.7062783783294844E-2</v>
          </cell>
          <cell r="N290">
            <v>1.7013737730715794E-2</v>
          </cell>
          <cell r="O290">
            <v>1.6965368160934968E-2</v>
          </cell>
        </row>
        <row r="292">
          <cell r="H292">
            <v>-3.2885174418604501E-2</v>
          </cell>
          <cell r="I292">
            <v>-2.8705617133195749E-2</v>
          </cell>
          <cell r="J292">
            <v>1.9214150323004997E-2</v>
          </cell>
          <cell r="K292">
            <v>4.9999999999998934E-3</v>
          </cell>
          <cell r="L292">
            <v>4.9999999999996714E-3</v>
          </cell>
          <cell r="M292">
            <v>4.9999999999998934E-3</v>
          </cell>
          <cell r="N292">
            <v>5.0000000000001155E-3</v>
          </cell>
          <cell r="O292">
            <v>4.9999999999998934E-3</v>
          </cell>
        </row>
        <row r="293">
          <cell r="H293">
            <v>9.7395243488108907E-2</v>
          </cell>
          <cell r="I293">
            <v>7.8844169246645723E-2</v>
          </cell>
          <cell r="J293">
            <v>3.5890722021810095E-2</v>
          </cell>
          <cell r="K293">
            <v>4.1212350120249042E-2</v>
          </cell>
          <cell r="L293">
            <v>4.0276699674000938E-2</v>
          </cell>
          <cell r="M293">
            <v>3.9395512444260206E-2</v>
          </cell>
          <cell r="N293">
            <v>3.8564167550506845E-2</v>
          </cell>
          <cell r="O293">
            <v>3.7778552474090565E-2</v>
          </cell>
        </row>
        <row r="294">
          <cell r="H294">
            <v>-2.9158166685605558E-2</v>
          </cell>
          <cell r="I294">
            <v>-1.7625106673388125E-2</v>
          </cell>
          <cell r="J294">
            <v>-2.2689358235168711E-2</v>
          </cell>
          <cell r="K294">
            <v>-2.9763907530993561E-2</v>
          </cell>
          <cell r="L294">
            <v>-2.9460759313895024E-2</v>
          </cell>
          <cell r="M294">
            <v>-3.3454504819127151E-2</v>
          </cell>
          <cell r="N294">
            <v>-3.4574994964216121E-2</v>
          </cell>
          <cell r="O294">
            <v>-3.5101498647319263E-2</v>
          </cell>
        </row>
        <row r="296">
          <cell r="F296">
            <v>-841.6</v>
          </cell>
          <cell r="G296">
            <v>-665.1</v>
          </cell>
          <cell r="H296">
            <v>-442.5</v>
          </cell>
          <cell r="I296">
            <v>-432.6</v>
          </cell>
          <cell r="J296">
            <v>-555.1</v>
          </cell>
          <cell r="K296">
            <v>-555.1</v>
          </cell>
          <cell r="L296">
            <v>-555.1</v>
          </cell>
          <cell r="M296">
            <v>-555.1</v>
          </cell>
          <cell r="N296">
            <v>-555.1</v>
          </cell>
          <cell r="O296">
            <v>-555.1</v>
          </cell>
        </row>
        <row r="297">
          <cell r="F297">
            <v>257.60000000000002</v>
          </cell>
          <cell r="G297">
            <v>21.620000000000346</v>
          </cell>
          <cell r="H297">
            <v>0</v>
          </cell>
          <cell r="I297">
            <v>0</v>
          </cell>
          <cell r="J297">
            <v>0</v>
          </cell>
          <cell r="K297">
            <v>0</v>
          </cell>
          <cell r="L297">
            <v>0</v>
          </cell>
          <cell r="M297">
            <v>0</v>
          </cell>
          <cell r="N297">
            <v>0</v>
          </cell>
          <cell r="O297">
            <v>0</v>
          </cell>
        </row>
        <row r="298">
          <cell r="F298">
            <v>-782.7</v>
          </cell>
          <cell r="G298">
            <v>-632.32000000000005</v>
          </cell>
          <cell r="H298">
            <v>401.9</v>
          </cell>
          <cell r="I298">
            <v>0</v>
          </cell>
          <cell r="J298">
            <v>0</v>
          </cell>
          <cell r="K298">
            <v>0</v>
          </cell>
          <cell r="L298">
            <v>0</v>
          </cell>
          <cell r="M298">
            <v>0</v>
          </cell>
          <cell r="N298">
            <v>0</v>
          </cell>
          <cell r="O298">
            <v>0</v>
          </cell>
        </row>
        <row r="299">
          <cell r="F299">
            <v>-376.5</v>
          </cell>
          <cell r="G299">
            <v>-527.9</v>
          </cell>
          <cell r="H299">
            <v>-212.6</v>
          </cell>
          <cell r="I299">
            <v>-56.1</v>
          </cell>
          <cell r="J299">
            <v>-76.447500000000005</v>
          </cell>
          <cell r="K299">
            <v>-61.694375000000001</v>
          </cell>
          <cell r="L299">
            <v>-52.68281875000001</v>
          </cell>
          <cell r="M299">
            <v>-44.123735937500001</v>
          </cell>
          <cell r="N299">
            <v>-35.971681546875011</v>
          </cell>
          <cell r="O299">
            <v>-28.186159714843757</v>
          </cell>
        </row>
        <row r="300">
          <cell r="F300">
            <v>212.9</v>
          </cell>
          <cell r="G300">
            <v>-16217.9</v>
          </cell>
          <cell r="H300">
            <v>-1249.7</v>
          </cell>
          <cell r="I300">
            <v>-1165</v>
          </cell>
          <cell r="J300">
            <v>-560</v>
          </cell>
          <cell r="K300">
            <v>-560</v>
          </cell>
          <cell r="L300">
            <v>-560</v>
          </cell>
          <cell r="M300">
            <v>-140</v>
          </cell>
          <cell r="N300">
            <v>-140</v>
          </cell>
          <cell r="O300">
            <v>-140</v>
          </cell>
        </row>
        <row r="301">
          <cell r="F301">
            <v>0.35</v>
          </cell>
          <cell r="G301">
            <v>0.35</v>
          </cell>
          <cell r="H301">
            <v>0.35</v>
          </cell>
          <cell r="I301">
            <v>0.35</v>
          </cell>
          <cell r="J301">
            <v>0.35</v>
          </cell>
          <cell r="K301">
            <v>0.35</v>
          </cell>
          <cell r="L301">
            <v>0.35</v>
          </cell>
          <cell r="M301">
            <v>0.35</v>
          </cell>
          <cell r="N301">
            <v>0.35</v>
          </cell>
          <cell r="O301">
            <v>0.35</v>
          </cell>
        </row>
        <row r="302">
          <cell r="F302">
            <v>271</v>
          </cell>
          <cell r="G302">
            <v>5795.6</v>
          </cell>
          <cell r="H302">
            <v>-245.5</v>
          </cell>
          <cell r="I302">
            <v>-381</v>
          </cell>
          <cell r="J302">
            <v>-365.65986772057369</v>
          </cell>
          <cell r="K302">
            <v>-410.63657574964753</v>
          </cell>
          <cell r="L302">
            <v>-448.26301965299797</v>
          </cell>
          <cell r="M302">
            <v>-476.52349215359072</v>
          </cell>
          <cell r="N302">
            <v>-499.82580909301868</v>
          </cell>
          <cell r="O302">
            <v>-517.76416682544152</v>
          </cell>
        </row>
        <row r="303">
          <cell r="F303">
            <v>7.6302081668199406E-2</v>
          </cell>
          <cell r="G303">
            <v>4.0399913012134636E-2</v>
          </cell>
          <cell r="H303">
            <v>2.5501469861815007E-2</v>
          </cell>
          <cell r="I303">
            <v>-3.8451649057483217E-2</v>
          </cell>
          <cell r="J303">
            <v>-1.7386653795906315E-2</v>
          </cell>
          <cell r="K303">
            <v>0</v>
          </cell>
          <cell r="L303">
            <v>0</v>
          </cell>
          <cell r="M303">
            <v>0</v>
          </cell>
          <cell r="N303">
            <v>0</v>
          </cell>
          <cell r="O303">
            <v>0</v>
          </cell>
        </row>
        <row r="305">
          <cell r="F305">
            <v>-181.33259851458607</v>
          </cell>
          <cell r="G305">
            <v>324.23442263955735</v>
          </cell>
          <cell r="H305">
            <v>537.95577777979338</v>
          </cell>
          <cell r="I305">
            <v>574.29496095778677</v>
          </cell>
          <cell r="J305" t="e">
            <v>#DIV/0!</v>
          </cell>
          <cell r="K305" t="e">
            <v>#DIV/0!</v>
          </cell>
          <cell r="L305" t="e">
            <v>#DIV/0!</v>
          </cell>
          <cell r="M305" t="e">
            <v>#DIV/0!</v>
          </cell>
          <cell r="N305" t="e">
            <v>#DIV/0!</v>
          </cell>
          <cell r="O305" t="e">
            <v>#DIV/0!</v>
          </cell>
        </row>
        <row r="306">
          <cell r="F306" t="e">
            <v>#REF!</v>
          </cell>
          <cell r="G306" t="e">
            <v>#REF!</v>
          </cell>
          <cell r="H306" t="e">
            <v>#REF!</v>
          </cell>
          <cell r="I306" t="e">
            <v>#REF!</v>
          </cell>
          <cell r="J306" t="e">
            <v>#REF!</v>
          </cell>
          <cell r="K306" t="e">
            <v>#REF!</v>
          </cell>
          <cell r="L306" t="e">
            <v>#REF!</v>
          </cell>
          <cell r="M306" t="e">
            <v>#REF!</v>
          </cell>
          <cell r="N306" t="e">
            <v>#REF!</v>
          </cell>
          <cell r="O306" t="e">
            <v>#REF!</v>
          </cell>
        </row>
        <row r="307">
          <cell r="F307" t="e">
            <v>#REF!</v>
          </cell>
          <cell r="G307" t="e">
            <v>#REF!</v>
          </cell>
          <cell r="H307" t="e">
            <v>#REF!</v>
          </cell>
          <cell r="I307" t="e">
            <v>#REF!</v>
          </cell>
          <cell r="J307" t="e">
            <v>#REF!</v>
          </cell>
          <cell r="K307" t="e">
            <v>#REF!</v>
          </cell>
          <cell r="L307" t="e">
            <v>#REF!</v>
          </cell>
          <cell r="M307" t="e">
            <v>#REF!</v>
          </cell>
          <cell r="N307" t="e">
            <v>#REF!</v>
          </cell>
          <cell r="O307" t="e">
            <v>#REF!</v>
          </cell>
        </row>
        <row r="309">
          <cell r="F309">
            <v>9.4378570554478541E-2</v>
          </cell>
          <cell r="G309">
            <v>0.12585133380028368</v>
          </cell>
          <cell r="H309">
            <v>0.1245079190698526</v>
          </cell>
          <cell r="I309">
            <v>0.10366264146571151</v>
          </cell>
          <cell r="J309">
            <v>-1.6575830514542391E-2</v>
          </cell>
          <cell r="K309">
            <v>2.2287289851064599E-2</v>
          </cell>
          <cell r="L309">
            <v>7.1657524005413323E-2</v>
          </cell>
          <cell r="M309">
            <v>0.20556213785792177</v>
          </cell>
          <cell r="N309">
            <v>0.3215550123266353</v>
          </cell>
          <cell r="O309">
            <v>0.43643109714726697</v>
          </cell>
        </row>
        <row r="310">
          <cell r="F310">
            <v>0</v>
          </cell>
          <cell r="G310">
            <v>0</v>
          </cell>
          <cell r="H310">
            <v>50</v>
          </cell>
          <cell r="I310">
            <v>750</v>
          </cell>
          <cell r="J310">
            <v>750</v>
          </cell>
          <cell r="K310">
            <v>750</v>
          </cell>
          <cell r="L310">
            <v>750</v>
          </cell>
          <cell r="M310">
            <v>750</v>
          </cell>
          <cell r="N310">
            <v>750</v>
          </cell>
          <cell r="O310">
            <v>750</v>
          </cell>
        </row>
        <row r="311">
          <cell r="F311">
            <v>750</v>
          </cell>
          <cell r="G311">
            <v>750</v>
          </cell>
          <cell r="H311">
            <v>750</v>
          </cell>
          <cell r="I311">
            <v>750</v>
          </cell>
          <cell r="J311">
            <v>750</v>
          </cell>
          <cell r="K311">
            <v>750</v>
          </cell>
          <cell r="L311">
            <v>750</v>
          </cell>
          <cell r="M311">
            <v>750</v>
          </cell>
          <cell r="N311">
            <v>750</v>
          </cell>
          <cell r="O311">
            <v>750</v>
          </cell>
        </row>
        <row r="312">
          <cell r="F312">
            <v>0</v>
          </cell>
          <cell r="G312">
            <v>0</v>
          </cell>
          <cell r="H312">
            <v>398</v>
          </cell>
          <cell r="I312">
            <v>0</v>
          </cell>
          <cell r="J312">
            <v>0</v>
          </cell>
          <cell r="K312">
            <v>0</v>
          </cell>
          <cell r="L312">
            <v>0</v>
          </cell>
          <cell r="M312">
            <v>0</v>
          </cell>
          <cell r="N312">
            <v>0</v>
          </cell>
          <cell r="O312">
            <v>0</v>
          </cell>
        </row>
        <row r="314">
          <cell r="F314">
            <v>0</v>
          </cell>
          <cell r="G314">
            <v>0</v>
          </cell>
          <cell r="H314">
            <v>-142.02500000000001</v>
          </cell>
          <cell r="I314">
            <v>-429.00749999999999</v>
          </cell>
          <cell r="J314">
            <v>-307.80605000000003</v>
          </cell>
          <cell r="K314">
            <v>-244.82257099999993</v>
          </cell>
          <cell r="L314">
            <v>-204.04063042000007</v>
          </cell>
          <cell r="M314">
            <v>-644.12245306840009</v>
          </cell>
          <cell r="N314">
            <v>-614.88193237056805</v>
          </cell>
          <cell r="O314">
            <v>-436.33814186359541</v>
          </cell>
        </row>
        <row r="315">
          <cell r="F315">
            <v>0</v>
          </cell>
          <cell r="G315">
            <v>0</v>
          </cell>
          <cell r="H315">
            <v>-1219</v>
          </cell>
          <cell r="I315">
            <v>808</v>
          </cell>
          <cell r="J315">
            <v>0</v>
          </cell>
          <cell r="K315">
            <v>0</v>
          </cell>
          <cell r="L315">
            <v>0</v>
          </cell>
          <cell r="M315">
            <v>0</v>
          </cell>
          <cell r="N315">
            <v>0</v>
          </cell>
          <cell r="O315">
            <v>0</v>
          </cell>
        </row>
        <row r="316">
          <cell r="F316">
            <v>-3732</v>
          </cell>
          <cell r="G316">
            <v>-1281.4000000000001</v>
          </cell>
          <cell r="H316">
            <v>-218.40000000000055</v>
          </cell>
          <cell r="I316">
            <v>117.10040966380166</v>
          </cell>
          <cell r="J316">
            <v>710.5642487493642</v>
          </cell>
          <cell r="K316">
            <v>199.79118656038554</v>
          </cell>
          <cell r="L316">
            <v>223.15201487597369</v>
          </cell>
          <cell r="M316">
            <v>178.94669920286469</v>
          </cell>
          <cell r="N316">
            <v>119.41826523886812</v>
          </cell>
          <cell r="O316">
            <v>72.645126380419242</v>
          </cell>
        </row>
        <row r="318">
          <cell r="F318">
            <v>5.5660556640118868E-2</v>
          </cell>
          <cell r="G318">
            <v>6.6431161269421432E-2</v>
          </cell>
          <cell r="H318">
            <v>5.9900287492266828E-2</v>
          </cell>
          <cell r="I318">
            <v>6.7466049034964531E-2</v>
          </cell>
          <cell r="J318">
            <v>6.3090757466825423E-2</v>
          </cell>
          <cell r="K318">
            <v>7.2389204392986101E-2</v>
          </cell>
          <cell r="L318">
            <v>0.11716612118231379</v>
          </cell>
          <cell r="M318">
            <v>0.51615753503185124</v>
          </cell>
          <cell r="N318">
            <v>-0.12951621482077239</v>
          </cell>
          <cell r="O318">
            <v>-3.8397845733138314E-2</v>
          </cell>
        </row>
        <row r="319">
          <cell r="F319">
            <v>-2.4700025118669613E-2</v>
          </cell>
          <cell r="G319">
            <v>-1.722906026827354E-2</v>
          </cell>
          <cell r="H319">
            <v>-1.2633891787970338E-2</v>
          </cell>
          <cell r="I319">
            <v>-8.7754116224552509E-3</v>
          </cell>
          <cell r="J319">
            <v>-7.2122060162280854E-3</v>
          </cell>
          <cell r="K319">
            <v>-2.7789711428714489E-3</v>
          </cell>
          <cell r="L319">
            <v>-1.3447093559545084E-3</v>
          </cell>
          <cell r="M319">
            <v>-1.3096600106487978E-3</v>
          </cell>
          <cell r="N319">
            <v>-1.2853536209655177E-3</v>
          </cell>
          <cell r="O319">
            <v>-1.2688152505409282E-3</v>
          </cell>
        </row>
        <row r="320">
          <cell r="F320">
            <v>1078</v>
          </cell>
          <cell r="G320">
            <v>1139.0999999999999</v>
          </cell>
          <cell r="H320">
            <v>1006.4</v>
          </cell>
          <cell r="I320">
            <v>956.6</v>
          </cell>
          <cell r="J320">
            <v>867.80605000000003</v>
          </cell>
          <cell r="K320">
            <v>804.82257099999993</v>
          </cell>
          <cell r="L320">
            <v>764.04063042000007</v>
          </cell>
          <cell r="M320">
            <v>784.12245306840009</v>
          </cell>
          <cell r="N320">
            <v>754.88193237056805</v>
          </cell>
          <cell r="O320">
            <v>576.33814186359541</v>
          </cell>
        </row>
        <row r="321">
          <cell r="F321">
            <v>0</v>
          </cell>
          <cell r="G321">
            <v>0</v>
          </cell>
          <cell r="H321">
            <v>1006.4</v>
          </cell>
          <cell r="I321">
            <v>956.6</v>
          </cell>
          <cell r="J321">
            <v>2500</v>
          </cell>
          <cell r="K321">
            <v>804.82257099999993</v>
          </cell>
          <cell r="L321">
            <v>764.04063042000007</v>
          </cell>
          <cell r="M321">
            <v>784.12245306840009</v>
          </cell>
          <cell r="N321">
            <v>754.88193237056805</v>
          </cell>
          <cell r="O321">
            <v>576.33814186359541</v>
          </cell>
        </row>
        <row r="322">
          <cell r="F322">
            <v>0</v>
          </cell>
          <cell r="G322">
            <v>0</v>
          </cell>
          <cell r="H322">
            <v>645</v>
          </cell>
          <cell r="I322">
            <v>1100</v>
          </cell>
          <cell r="J322">
            <v>500</v>
          </cell>
          <cell r="K322">
            <v>2250</v>
          </cell>
          <cell r="L322">
            <v>3500</v>
          </cell>
          <cell r="M322">
            <v>1450</v>
          </cell>
          <cell r="N322">
            <v>0</v>
          </cell>
          <cell r="O322">
            <v>0</v>
          </cell>
        </row>
        <row r="323">
          <cell r="F323">
            <v>0</v>
          </cell>
          <cell r="G323">
            <v>0</v>
          </cell>
          <cell r="H323">
            <v>2420</v>
          </cell>
          <cell r="I323">
            <v>2500</v>
          </cell>
          <cell r="J323">
            <v>2500</v>
          </cell>
          <cell r="K323">
            <v>2420</v>
          </cell>
          <cell r="L323">
            <v>63</v>
          </cell>
          <cell r="M323">
            <v>0</v>
          </cell>
          <cell r="N323">
            <v>0</v>
          </cell>
          <cell r="O323">
            <v>0</v>
          </cell>
        </row>
        <row r="324">
          <cell r="F324">
            <v>0</v>
          </cell>
          <cell r="G324">
            <v>0</v>
          </cell>
          <cell r="H324">
            <v>0</v>
          </cell>
          <cell r="I324">
            <v>0</v>
          </cell>
          <cell r="J324">
            <v>0</v>
          </cell>
          <cell r="K324">
            <v>0</v>
          </cell>
          <cell r="L324">
            <v>0</v>
          </cell>
          <cell r="M324">
            <v>0</v>
          </cell>
          <cell r="N324">
            <v>0</v>
          </cell>
          <cell r="O324">
            <v>0</v>
          </cell>
        </row>
        <row r="325">
          <cell r="F325">
            <v>9</v>
          </cell>
          <cell r="G325">
            <v>9</v>
          </cell>
          <cell r="H325">
            <v>0</v>
          </cell>
          <cell r="I325">
            <v>0</v>
          </cell>
          <cell r="J325">
            <v>0</v>
          </cell>
          <cell r="K325">
            <v>0</v>
          </cell>
          <cell r="L325">
            <v>0</v>
          </cell>
          <cell r="M325">
            <v>0</v>
          </cell>
          <cell r="N325">
            <v>0</v>
          </cell>
          <cell r="O325">
            <v>0</v>
          </cell>
        </row>
        <row r="326">
          <cell r="F326">
            <v>-308</v>
          </cell>
          <cell r="G326">
            <v>0</v>
          </cell>
          <cell r="H326">
            <v>0</v>
          </cell>
          <cell r="I326">
            <v>0</v>
          </cell>
          <cell r="J326">
            <v>0</v>
          </cell>
          <cell r="K326">
            <v>0</v>
          </cell>
          <cell r="L326">
            <v>0</v>
          </cell>
          <cell r="M326">
            <v>0</v>
          </cell>
          <cell r="N326">
            <v>0</v>
          </cell>
          <cell r="O326">
            <v>0</v>
          </cell>
        </row>
        <row r="327">
          <cell r="F327">
            <v>401</v>
          </cell>
          <cell r="G327">
            <v>88.1</v>
          </cell>
          <cell r="H327">
            <v>399.1</v>
          </cell>
          <cell r="I327">
            <v>210.8</v>
          </cell>
          <cell r="J327">
            <v>0</v>
          </cell>
          <cell r="K327">
            <v>0</v>
          </cell>
          <cell r="L327">
            <v>0</v>
          </cell>
          <cell r="M327">
            <v>0</v>
          </cell>
          <cell r="N327">
            <v>0</v>
          </cell>
          <cell r="O327">
            <v>0</v>
          </cell>
        </row>
        <row r="328">
          <cell r="F328">
            <v>13</v>
          </cell>
          <cell r="G328">
            <v>0</v>
          </cell>
          <cell r="H328">
            <v>0</v>
          </cell>
          <cell r="I328">
            <v>0</v>
          </cell>
          <cell r="J328">
            <v>0</v>
          </cell>
          <cell r="K328">
            <v>0</v>
          </cell>
          <cell r="L328">
            <v>0</v>
          </cell>
          <cell r="M328">
            <v>0</v>
          </cell>
          <cell r="N328">
            <v>0</v>
          </cell>
          <cell r="O328">
            <v>0</v>
          </cell>
        </row>
        <row r="329">
          <cell r="F329">
            <v>-2619</v>
          </cell>
          <cell r="G329">
            <v>-1059</v>
          </cell>
          <cell r="H329">
            <v>-1668.1</v>
          </cell>
          <cell r="I329">
            <v>-5745.3</v>
          </cell>
          <cell r="J329">
            <v>-1450</v>
          </cell>
          <cell r="K329">
            <v>-300</v>
          </cell>
          <cell r="L329">
            <v>-300</v>
          </cell>
          <cell r="M329">
            <v>-300</v>
          </cell>
          <cell r="N329">
            <v>-300</v>
          </cell>
          <cell r="O329">
            <v>-300</v>
          </cell>
        </row>
        <row r="330">
          <cell r="F330">
            <v>1059</v>
          </cell>
          <cell r="G330">
            <v>0</v>
          </cell>
          <cell r="H330">
            <v>0</v>
          </cell>
          <cell r="I330">
            <v>0</v>
          </cell>
          <cell r="J330">
            <v>0</v>
          </cell>
          <cell r="K330">
            <v>0</v>
          </cell>
          <cell r="L330">
            <v>0</v>
          </cell>
          <cell r="M330">
            <v>0</v>
          </cell>
          <cell r="N330">
            <v>0</v>
          </cell>
          <cell r="O330">
            <v>0</v>
          </cell>
        </row>
        <row r="332">
          <cell r="F332">
            <v>-919</v>
          </cell>
          <cell r="G332">
            <v>1426.1</v>
          </cell>
          <cell r="H332">
            <v>753</v>
          </cell>
          <cell r="I332">
            <v>98</v>
          </cell>
          <cell r="J332">
            <v>0</v>
          </cell>
          <cell r="K332">
            <v>0</v>
          </cell>
          <cell r="L332">
            <v>0</v>
          </cell>
          <cell r="M332">
            <v>0</v>
          </cell>
          <cell r="N332">
            <v>0</v>
          </cell>
          <cell r="O332">
            <v>0</v>
          </cell>
        </row>
        <row r="422">
          <cell r="H422">
            <v>6089.0131942864919</v>
          </cell>
          <cell r="I422">
            <v>5478.9068178865464</v>
          </cell>
          <cell r="J422">
            <v>4951.2144451386048</v>
          </cell>
          <cell r="K422">
            <v>4449.5670852983094</v>
          </cell>
        </row>
        <row r="426">
          <cell r="H426">
            <v>6990.814094245924</v>
          </cell>
          <cell r="I426">
            <v>5885.3610808431404</v>
          </cell>
          <cell r="J426">
            <v>4372.33635650216</v>
          </cell>
          <cell r="K426">
            <v>2762.2120016073118</v>
          </cell>
        </row>
        <row r="439">
          <cell r="H439">
            <v>-3982.0935088206725</v>
          </cell>
          <cell r="I439">
            <v>-3486.7468718178343</v>
          </cell>
          <cell r="J439">
            <v>-2501.4145202247955</v>
          </cell>
          <cell r="K439">
            <v>-1392.9375251702427</v>
          </cell>
        </row>
        <row r="443">
          <cell r="C443">
            <v>14.5</v>
          </cell>
        </row>
      </sheetData>
      <sheetData sheetId="13"/>
      <sheetData sheetId="14"/>
      <sheetData sheetId="15"/>
      <sheetData sheetId="16"/>
      <sheetData sheetId="17"/>
      <sheetData sheetId="18">
        <row r="991">
          <cell r="A991" t="str">
            <v>Wireline</v>
          </cell>
          <cell r="B991" t="str">
            <v>Revenue</v>
          </cell>
          <cell r="C991">
            <v>1998</v>
          </cell>
          <cell r="D991">
            <v>1999</v>
          </cell>
          <cell r="E991">
            <v>2000</v>
          </cell>
          <cell r="F991">
            <v>2001</v>
          </cell>
          <cell r="G991">
            <v>2002</v>
          </cell>
          <cell r="H991">
            <v>2003</v>
          </cell>
          <cell r="I991">
            <v>2004</v>
          </cell>
          <cell r="J991">
            <v>2005</v>
          </cell>
          <cell r="K991">
            <v>2006</v>
          </cell>
          <cell r="L991">
            <v>2007</v>
          </cell>
          <cell r="M991">
            <v>2008</v>
          </cell>
          <cell r="N991">
            <v>2009</v>
          </cell>
          <cell r="O991">
            <v>2010</v>
          </cell>
          <cell r="P991">
            <v>2011</v>
          </cell>
          <cell r="Q991">
            <v>2012</v>
          </cell>
          <cell r="R991">
            <v>2013</v>
          </cell>
          <cell r="S991">
            <v>2014</v>
          </cell>
        </row>
        <row r="992">
          <cell r="A992" t="str">
            <v>Wireline</v>
          </cell>
          <cell r="B992" t="str">
            <v>Belgacom</v>
          </cell>
          <cell r="C992">
            <v>0</v>
          </cell>
          <cell r="D992">
            <v>0</v>
          </cell>
          <cell r="E992">
            <v>0</v>
          </cell>
          <cell r="F992">
            <v>3298</v>
          </cell>
          <cell r="G992">
            <v>3188</v>
          </cell>
          <cell r="H992">
            <v>3108</v>
          </cell>
          <cell r="I992">
            <v>3092</v>
          </cell>
          <cell r="J992">
            <v>2896.5955490578508</v>
          </cell>
          <cell r="K992">
            <v>2806.0224367322348</v>
          </cell>
          <cell r="L992">
            <v>2692.3758729448759</v>
          </cell>
          <cell r="M992">
            <v>2564.4390437268862</v>
          </cell>
          <cell r="N992">
            <v>2456.2175208864273</v>
          </cell>
          <cell r="O992">
            <v>2357.3211112293211</v>
          </cell>
          <cell r="P992">
            <v>2264.5478772131287</v>
          </cell>
          <cell r="Q992">
            <v>2180.6426498892488</v>
          </cell>
          <cell r="R992">
            <v>0</v>
          </cell>
          <cell r="S992">
            <v>0</v>
          </cell>
        </row>
        <row r="993">
          <cell r="A993" t="str">
            <v>Wireline</v>
          </cell>
          <cell r="B993" t="str">
            <v>British Telecom</v>
          </cell>
          <cell r="C993">
            <v>0</v>
          </cell>
          <cell r="D993">
            <v>0</v>
          </cell>
          <cell r="E993">
            <v>0</v>
          </cell>
          <cell r="F993">
            <v>0</v>
          </cell>
          <cell r="G993">
            <v>23690.998902471329</v>
          </cell>
          <cell r="H993">
            <v>22634.813836430381</v>
          </cell>
          <cell r="I993">
            <v>21507.252556831088</v>
          </cell>
          <cell r="J993">
            <v>20876.616881867503</v>
          </cell>
          <cell r="K993">
            <v>20319.926924418593</v>
          </cell>
          <cell r="L993">
            <v>19648.595935459591</v>
          </cell>
          <cell r="M993">
            <v>18763.951051101125</v>
          </cell>
          <cell r="N993">
            <v>17805.334245581154</v>
          </cell>
          <cell r="O993">
            <v>16839.512693006593</v>
          </cell>
          <cell r="P993">
            <v>16042.529221680359</v>
          </cell>
          <cell r="Q993">
            <v>15372.474028822835</v>
          </cell>
          <cell r="R993">
            <v>14820.093835189737</v>
          </cell>
          <cell r="S993">
            <v>14310.056442785475</v>
          </cell>
        </row>
        <row r="994">
          <cell r="A994" t="str">
            <v>Wireline</v>
          </cell>
          <cell r="B994" t="str">
            <v>Deutsche Telekom</v>
          </cell>
          <cell r="C994">
            <v>0</v>
          </cell>
          <cell r="D994">
            <v>0</v>
          </cell>
          <cell r="E994">
            <v>0</v>
          </cell>
          <cell r="F994">
            <v>22770</v>
          </cell>
          <cell r="G994">
            <v>22219</v>
          </cell>
          <cell r="H994">
            <v>21603</v>
          </cell>
          <cell r="I994">
            <v>21165</v>
          </cell>
          <cell r="J994">
            <v>19813.804259001357</v>
          </cell>
          <cell r="K994">
            <v>19053.674545541719</v>
          </cell>
          <cell r="L994">
            <v>18543.732147127528</v>
          </cell>
          <cell r="M994">
            <v>18143.758958377934</v>
          </cell>
          <cell r="N994">
            <v>17968.849053347898</v>
          </cell>
          <cell r="O994">
            <v>17778.978553921181</v>
          </cell>
          <cell r="P994">
            <v>17515.304098756751</v>
          </cell>
          <cell r="Q994">
            <v>17240.393021363045</v>
          </cell>
          <cell r="R994">
            <v>0</v>
          </cell>
          <cell r="S994">
            <v>0</v>
          </cell>
        </row>
        <row r="995">
          <cell r="A995" t="str">
            <v>Wireline</v>
          </cell>
          <cell r="B995" t="str">
            <v>Eircom</v>
          </cell>
          <cell r="C995">
            <v>0</v>
          </cell>
          <cell r="D995">
            <v>0</v>
          </cell>
          <cell r="E995">
            <v>2158</v>
          </cell>
          <cell r="F995">
            <v>1767</v>
          </cell>
          <cell r="G995">
            <v>1682.0027519999999</v>
          </cell>
          <cell r="H995">
            <v>1628.0199446399999</v>
          </cell>
          <cell r="I995">
            <v>1608.9581354643678</v>
          </cell>
          <cell r="J995">
            <v>1566.444919973469</v>
          </cell>
          <cell r="K995">
            <v>1498.2827387710627</v>
          </cell>
          <cell r="L995">
            <v>1424.2404330482705</v>
          </cell>
          <cell r="M995">
            <v>1345.0324566712575</v>
          </cell>
          <cell r="N995">
            <v>1273.1021139732804</v>
          </cell>
          <cell r="O995">
            <v>1218.9941274762941</v>
          </cell>
          <cell r="P995">
            <v>1175.151047999055</v>
          </cell>
          <cell r="Q995">
            <v>1126.2042526128869</v>
          </cell>
          <cell r="R995">
            <v>0</v>
          </cell>
          <cell r="S995">
            <v>0</v>
          </cell>
        </row>
        <row r="996">
          <cell r="A996" t="str">
            <v>Wireline</v>
          </cell>
          <cell r="B996" t="str">
            <v>France Telecom</v>
          </cell>
          <cell r="C996">
            <v>0</v>
          </cell>
          <cell r="D996">
            <v>0</v>
          </cell>
          <cell r="E996">
            <v>20793</v>
          </cell>
          <cell r="F996">
            <v>23231</v>
          </cell>
          <cell r="G996">
            <v>23064</v>
          </cell>
          <cell r="H996">
            <v>21759</v>
          </cell>
          <cell r="I996">
            <v>21680</v>
          </cell>
          <cell r="J996">
            <v>21705.082797560601</v>
          </cell>
          <cell r="K996">
            <v>21592.449371511884</v>
          </cell>
          <cell r="L996">
            <v>21319.525053835139</v>
          </cell>
          <cell r="M996">
            <v>20919.533873286269</v>
          </cell>
          <cell r="N996">
            <v>20522.671316003842</v>
          </cell>
          <cell r="O996">
            <v>20154.53365768303</v>
          </cell>
          <cell r="P996">
            <v>19801.163004491045</v>
          </cell>
          <cell r="Q996">
            <v>19429.199992381637</v>
          </cell>
          <cell r="R996">
            <v>0</v>
          </cell>
          <cell r="S996">
            <v>0</v>
          </cell>
        </row>
        <row r="997">
          <cell r="A997" t="str">
            <v>Wireline</v>
          </cell>
          <cell r="B997" t="str">
            <v>KPN</v>
          </cell>
          <cell r="C997">
            <v>6587</v>
          </cell>
          <cell r="D997">
            <v>6726</v>
          </cell>
          <cell r="E997">
            <v>7384.9808733725076</v>
          </cell>
          <cell r="F997">
            <v>7769.6647079156573</v>
          </cell>
          <cell r="G997">
            <v>7433</v>
          </cell>
          <cell r="H997">
            <v>7067</v>
          </cell>
          <cell r="I997">
            <v>6609</v>
          </cell>
          <cell r="J997">
            <v>6158.161092766135</v>
          </cell>
          <cell r="K997">
            <v>5802.933731010311</v>
          </cell>
          <cell r="L997">
            <v>5559.5450345739555</v>
          </cell>
          <cell r="M997">
            <v>5340.0862750275001</v>
          </cell>
          <cell r="N997">
            <v>5135.8741251346446</v>
          </cell>
          <cell r="O997">
            <v>4932.8840078800349</v>
          </cell>
          <cell r="P997">
            <v>4738.730006879432</v>
          </cell>
          <cell r="Q997">
            <v>4551.5459492422306</v>
          </cell>
          <cell r="R997">
            <v>0</v>
          </cell>
          <cell r="S997">
            <v>0</v>
          </cell>
        </row>
        <row r="998">
          <cell r="A998" t="str">
            <v>Wireline</v>
          </cell>
          <cell r="B998" t="str">
            <v>OTE</v>
          </cell>
          <cell r="C998">
            <v>2672.6695744680846</v>
          </cell>
          <cell r="D998">
            <v>2922.5378503301545</v>
          </cell>
          <cell r="E998">
            <v>3063.8</v>
          </cell>
          <cell r="F998">
            <v>3169.2</v>
          </cell>
          <cell r="G998">
            <v>3146.8</v>
          </cell>
          <cell r="H998">
            <v>2853.3</v>
          </cell>
          <cell r="I998">
            <v>2594.5</v>
          </cell>
          <cell r="J998">
            <v>2488.3286562002468</v>
          </cell>
          <cell r="K998">
            <v>2412.5481064037749</v>
          </cell>
          <cell r="L998">
            <v>2377.3001689962744</v>
          </cell>
          <cell r="M998">
            <v>2368.6951429996998</v>
          </cell>
          <cell r="N998">
            <v>2360.149158704256</v>
          </cell>
          <cell r="O998">
            <v>2326.4156417851163</v>
          </cell>
          <cell r="P998">
            <v>2286.2111711698381</v>
          </cell>
          <cell r="Q998">
            <v>2245.4140457941621</v>
          </cell>
          <cell r="R998">
            <v>0</v>
          </cell>
          <cell r="S998">
            <v>0</v>
          </cell>
        </row>
        <row r="999">
          <cell r="A999" t="str">
            <v>Wireline</v>
          </cell>
          <cell r="B999" t="str">
            <v>Portugal Telecom</v>
          </cell>
          <cell r="C999">
            <v>0</v>
          </cell>
          <cell r="D999">
            <v>2091</v>
          </cell>
          <cell r="E999">
            <v>2232</v>
          </cell>
          <cell r="F999">
            <v>2507</v>
          </cell>
          <cell r="G999">
            <v>2421</v>
          </cell>
          <cell r="H999">
            <v>2329</v>
          </cell>
          <cell r="I999">
            <v>2347</v>
          </cell>
          <cell r="J999">
            <v>2317.9999195962987</v>
          </cell>
          <cell r="K999">
            <v>2263.1948720030728</v>
          </cell>
          <cell r="L999">
            <v>2232.6052915487626</v>
          </cell>
          <cell r="M999">
            <v>2190.8776629558029</v>
          </cell>
          <cell r="N999">
            <v>2145.4827548777785</v>
          </cell>
          <cell r="O999">
            <v>2098.1733656311098</v>
          </cell>
          <cell r="P999">
            <v>2050.3621436193139</v>
          </cell>
          <cell r="Q999">
            <v>2006.7564125441572</v>
          </cell>
          <cell r="R999">
            <v>0</v>
          </cell>
          <cell r="S999">
            <v>0</v>
          </cell>
        </row>
        <row r="1000">
          <cell r="A1000" t="str">
            <v>Wireline</v>
          </cell>
          <cell r="B1000" t="str">
            <v>Swisscom</v>
          </cell>
          <cell r="C1000">
            <v>5307.5585616351445</v>
          </cell>
          <cell r="D1000">
            <v>4690.640204191991</v>
          </cell>
          <cell r="E1000">
            <v>3829.6591562781123</v>
          </cell>
          <cell r="F1000">
            <v>4110.4278450518232</v>
          </cell>
          <cell r="G1000">
            <v>4058.9106544511424</v>
          </cell>
          <cell r="H1000">
            <v>3790.3772984450934</v>
          </cell>
          <cell r="I1000">
            <v>3704.3177923818403</v>
          </cell>
          <cell r="J1000">
            <v>3592.4088632718117</v>
          </cell>
          <cell r="K1000">
            <v>3436.2236680019978</v>
          </cell>
          <cell r="L1000">
            <v>3302.0993145508419</v>
          </cell>
          <cell r="M1000">
            <v>3163.0399479028997</v>
          </cell>
          <cell r="N1000">
            <v>3028.3765380896702</v>
          </cell>
          <cell r="O1000">
            <v>2894.9556281186701</v>
          </cell>
          <cell r="P1000">
            <v>2761.9143973421983</v>
          </cell>
          <cell r="Q1000">
            <v>2637.4635821208167</v>
          </cell>
          <cell r="R1000">
            <v>0</v>
          </cell>
          <cell r="S1000">
            <v>0</v>
          </cell>
        </row>
        <row r="1001">
          <cell r="A1001" t="str">
            <v>Wireline</v>
          </cell>
          <cell r="B1001" t="str">
            <v>TDC</v>
          </cell>
          <cell r="C1001">
            <v>0</v>
          </cell>
          <cell r="D1001">
            <v>0</v>
          </cell>
          <cell r="E1001">
            <v>0</v>
          </cell>
          <cell r="F1001">
            <v>0</v>
          </cell>
          <cell r="G1001">
            <v>2605.1553806443212</v>
          </cell>
          <cell r="H1001">
            <v>2496.6128370687729</v>
          </cell>
          <cell r="I1001">
            <v>2497.2845112245623</v>
          </cell>
          <cell r="J1001">
            <v>2781.0469092974672</v>
          </cell>
          <cell r="K1001">
            <v>2692.4002171330221</v>
          </cell>
          <cell r="L1001">
            <v>2623.9872074017971</v>
          </cell>
          <cell r="M1001">
            <v>2557.7028249236873</v>
          </cell>
          <cell r="N1001">
            <v>2498.4820805915301</v>
          </cell>
          <cell r="O1001">
            <v>2445.1640713299221</v>
          </cell>
          <cell r="P1001">
            <v>2386.5716819303766</v>
          </cell>
          <cell r="Q1001">
            <v>2332.5556123792735</v>
          </cell>
          <cell r="R1001">
            <v>0</v>
          </cell>
          <cell r="S1001">
            <v>0</v>
          </cell>
        </row>
        <row r="1002">
          <cell r="A1002" t="str">
            <v>Wireline</v>
          </cell>
          <cell r="B1002" t="str">
            <v>Telecom Italia</v>
          </cell>
          <cell r="C1002">
            <v>0</v>
          </cell>
          <cell r="D1002">
            <v>0</v>
          </cell>
          <cell r="E1002">
            <v>17419</v>
          </cell>
          <cell r="F1002">
            <v>17168</v>
          </cell>
          <cell r="G1002">
            <v>17022</v>
          </cell>
          <cell r="H1002">
            <v>17216</v>
          </cell>
          <cell r="I1002">
            <v>17571</v>
          </cell>
          <cell r="J1002">
            <v>17753.998571405322</v>
          </cell>
          <cell r="K1002">
            <v>17873.493534074645</v>
          </cell>
          <cell r="L1002">
            <v>17815.148298532811</v>
          </cell>
          <cell r="M1002">
            <v>17654.865032117144</v>
          </cell>
          <cell r="N1002">
            <v>17355.309790565057</v>
          </cell>
          <cell r="O1002">
            <v>17011.321140981352</v>
          </cell>
          <cell r="P1002">
            <v>16636.581678671966</v>
          </cell>
          <cell r="Q1002">
            <v>16236.940150698516</v>
          </cell>
          <cell r="R1002">
            <v>0</v>
          </cell>
          <cell r="S1002">
            <v>0</v>
          </cell>
        </row>
        <row r="1003">
          <cell r="A1003" t="str">
            <v>Wireline</v>
          </cell>
          <cell r="B1003" t="str">
            <v>Telefonica</v>
          </cell>
          <cell r="C1003">
            <v>0</v>
          </cell>
          <cell r="D1003">
            <v>10074.799999999999</v>
          </cell>
          <cell r="E1003">
            <v>10182.9</v>
          </cell>
          <cell r="F1003">
            <v>10220.4</v>
          </cell>
          <cell r="G1003">
            <v>10271.700000000001</v>
          </cell>
          <cell r="H1003">
            <v>10695.4</v>
          </cell>
          <cell r="I1003">
            <v>10956</v>
          </cell>
          <cell r="J1003">
            <v>10935.983633930909</v>
          </cell>
          <cell r="K1003">
            <v>10768.644660731074</v>
          </cell>
          <cell r="L1003">
            <v>10625.439578654041</v>
          </cell>
          <cell r="M1003">
            <v>10462.969340056628</v>
          </cell>
          <cell r="N1003">
            <v>10266.46594052539</v>
          </cell>
          <cell r="O1003">
            <v>10078.67294126844</v>
          </cell>
          <cell r="P1003">
            <v>9879.0115972498479</v>
          </cell>
          <cell r="Q1003">
            <v>9662.1726338762965</v>
          </cell>
          <cell r="R1003">
            <v>0</v>
          </cell>
          <cell r="S1003">
            <v>0</v>
          </cell>
        </row>
        <row r="1004">
          <cell r="A1004" t="str">
            <v>Wireline</v>
          </cell>
          <cell r="B1004" t="str">
            <v>Telekom Austria</v>
          </cell>
          <cell r="C1004">
            <v>2993</v>
          </cell>
          <cell r="D1004">
            <v>3145</v>
          </cell>
          <cell r="E1004">
            <v>3038</v>
          </cell>
          <cell r="F1004">
            <v>2888</v>
          </cell>
          <cell r="G1004">
            <v>2216</v>
          </cell>
          <cell r="H1004">
            <v>2165</v>
          </cell>
          <cell r="I1004">
            <v>2186.5715083699083</v>
          </cell>
          <cell r="J1004">
            <v>2120.8207405498842</v>
          </cell>
          <cell r="K1004">
            <v>2089.5980054001388</v>
          </cell>
          <cell r="L1004">
            <v>2060.3598234026267</v>
          </cell>
          <cell r="M1004">
            <v>2019.9296054796014</v>
          </cell>
          <cell r="N1004">
            <v>1963.6304050852864</v>
          </cell>
          <cell r="O1004">
            <v>1905.7596877403519</v>
          </cell>
          <cell r="P1004">
            <v>1851.6020693148844</v>
          </cell>
          <cell r="Q1004">
            <v>1798.4201067435276</v>
          </cell>
          <cell r="R1004">
            <v>0</v>
          </cell>
          <cell r="S1004">
            <v>0</v>
          </cell>
        </row>
        <row r="1005">
          <cell r="A1005" t="str">
            <v>Wireline</v>
          </cell>
          <cell r="B1005" t="str">
            <v>Telenor</v>
          </cell>
          <cell r="C1005">
            <v>0</v>
          </cell>
          <cell r="D1005">
            <v>0</v>
          </cell>
          <cell r="E1005">
            <v>0</v>
          </cell>
          <cell r="F1005">
            <v>2041.678977573021</v>
          </cell>
          <cell r="G1005">
            <v>2016.069576946433</v>
          </cell>
          <cell r="H1005">
            <v>2001.0697851508601</v>
          </cell>
          <cell r="I1005">
            <v>1910.8271353238363</v>
          </cell>
          <cell r="J1005">
            <v>1847.6432154837405</v>
          </cell>
          <cell r="K1005">
            <v>1816.7171781098607</v>
          </cell>
          <cell r="L1005">
            <v>1769.180754764699</v>
          </cell>
          <cell r="M1005">
            <v>1717.096144703208</v>
          </cell>
          <cell r="N1005">
            <v>1664.6084395264124</v>
          </cell>
          <cell r="O1005">
            <v>1610.831620836899</v>
          </cell>
          <cell r="P1005">
            <v>1561.9974282552214</v>
          </cell>
          <cell r="Q1005">
            <v>1515.5616239327783</v>
          </cell>
          <cell r="R1005">
            <v>0</v>
          </cell>
          <cell r="S1005">
            <v>0</v>
          </cell>
        </row>
        <row r="1006">
          <cell r="A1006" t="str">
            <v>Wireline</v>
          </cell>
          <cell r="B1006" t="str">
            <v>TeliaSonera</v>
          </cell>
          <cell r="C1006">
            <v>0</v>
          </cell>
          <cell r="D1006">
            <v>0</v>
          </cell>
          <cell r="E1006">
            <v>0</v>
          </cell>
          <cell r="F1006">
            <v>3530.4754941377587</v>
          </cell>
          <cell r="G1006">
            <v>3474.462557128581</v>
          </cell>
          <cell r="H1006">
            <v>3292.5865581047092</v>
          </cell>
          <cell r="I1006">
            <v>3206.7959925274113</v>
          </cell>
          <cell r="J1006">
            <v>3112.3738591332167</v>
          </cell>
          <cell r="K1006">
            <v>3004.8989877395684</v>
          </cell>
          <cell r="L1006">
            <v>2890.9695533633844</v>
          </cell>
          <cell r="M1006">
            <v>2780.2102202965702</v>
          </cell>
          <cell r="N1006">
            <v>2671.0993871249589</v>
          </cell>
          <cell r="O1006">
            <v>2551.5551054623625</v>
          </cell>
          <cell r="P1006">
            <v>2430.6877544598824</v>
          </cell>
          <cell r="Q1006">
            <v>2324.153898780321</v>
          </cell>
          <cell r="R1006">
            <v>2232.8315963424811</v>
          </cell>
          <cell r="S1006">
            <v>0</v>
          </cell>
        </row>
        <row r="1007">
          <cell r="A1007" t="str">
            <v>Wireline</v>
          </cell>
          <cell r="B1007" t="str">
            <v>Sum</v>
          </cell>
          <cell r="C1007">
            <v>17560.228136103229</v>
          </cell>
          <cell r="D1007">
            <v>29649.978054522144</v>
          </cell>
          <cell r="E1007">
            <v>70101.340029650615</v>
          </cell>
          <cell r="F1007">
            <v>104470.84702467824</v>
          </cell>
          <cell r="G1007">
            <v>128509.09982364182</v>
          </cell>
          <cell r="H1007">
            <v>124639.18025983981</v>
          </cell>
          <cell r="I1007">
            <v>122636.507632123</v>
          </cell>
          <cell r="J1007">
            <v>119967.30986909581</v>
          </cell>
          <cell r="K1007">
            <v>117431.00897758297</v>
          </cell>
          <cell r="L1007">
            <v>114885.10446820459</v>
          </cell>
          <cell r="M1007">
            <v>111992.1875796262</v>
          </cell>
          <cell r="N1007">
            <v>109115.6528700176</v>
          </cell>
          <cell r="O1007">
            <v>106205.07335435068</v>
          </cell>
          <cell r="P1007">
            <v>103382.36517903332</v>
          </cell>
          <cell r="Q1007">
            <v>100659.89796118173</v>
          </cell>
          <cell r="R1007">
            <v>17052.925431532218</v>
          </cell>
          <cell r="S1007">
            <v>14310.056442785475</v>
          </cell>
        </row>
        <row r="1143">
          <cell r="A1143" t="str">
            <v>Wireline</v>
          </cell>
          <cell r="B1143" t="str">
            <v>EV</v>
          </cell>
          <cell r="C1143">
            <v>1998</v>
          </cell>
          <cell r="D1143">
            <v>1999</v>
          </cell>
          <cell r="E1143">
            <v>2000</v>
          </cell>
          <cell r="F1143">
            <v>2001</v>
          </cell>
          <cell r="G1143">
            <v>2002</v>
          </cell>
          <cell r="H1143">
            <v>2003</v>
          </cell>
          <cell r="I1143">
            <v>2004</v>
          </cell>
          <cell r="J1143">
            <v>2005</v>
          </cell>
          <cell r="K1143">
            <v>2006</v>
          </cell>
          <cell r="L1143">
            <v>2007</v>
          </cell>
          <cell r="M1143">
            <v>2008</v>
          </cell>
          <cell r="N1143">
            <v>2009</v>
          </cell>
          <cell r="O1143">
            <v>2010</v>
          </cell>
          <cell r="P1143">
            <v>2011</v>
          </cell>
          <cell r="Q1143">
            <v>2012</v>
          </cell>
          <cell r="R1143">
            <v>2013</v>
          </cell>
          <cell r="S1143">
            <v>2014</v>
          </cell>
        </row>
        <row r="1144">
          <cell r="A1144" t="str">
            <v>Wireline</v>
          </cell>
          <cell r="B1144" t="str">
            <v>Belgacom</v>
          </cell>
          <cell r="C1144">
            <v>4714.0663219237813</v>
          </cell>
          <cell r="D1144">
            <v>4714.0663219237813</v>
          </cell>
          <cell r="E1144">
            <v>4714.0663219237813</v>
          </cell>
          <cell r="F1144">
            <v>4714.0663219237813</v>
          </cell>
          <cell r="G1144">
            <v>4714.0663219237813</v>
          </cell>
          <cell r="H1144">
            <v>4714.0663219237813</v>
          </cell>
          <cell r="I1144">
            <v>4714.0663219237813</v>
          </cell>
          <cell r="J1144">
            <v>4714.0663219237813</v>
          </cell>
          <cell r="K1144">
            <v>4714.0663219237813</v>
          </cell>
          <cell r="L1144">
            <v>4714.0663219237813</v>
          </cell>
          <cell r="M1144">
            <v>4714.0663219237813</v>
          </cell>
          <cell r="N1144">
            <v>4714.0663219237813</v>
          </cell>
          <cell r="O1144">
            <v>4714.0663219237813</v>
          </cell>
          <cell r="P1144">
            <v>4714.0663219237813</v>
          </cell>
          <cell r="Q1144">
            <v>4714.0663219237813</v>
          </cell>
          <cell r="R1144">
            <v>4714.0663219237813</v>
          </cell>
          <cell r="S1144">
            <v>4714.0663219237813</v>
          </cell>
        </row>
        <row r="1145">
          <cell r="A1145" t="str">
            <v>Wireline</v>
          </cell>
          <cell r="B1145" t="str">
            <v>British Telecom</v>
          </cell>
          <cell r="C1145">
            <v>30631.962161472249</v>
          </cell>
          <cell r="D1145">
            <v>30631.962161472249</v>
          </cell>
          <cell r="E1145">
            <v>30631.962161472249</v>
          </cell>
          <cell r="F1145">
            <v>30631.962161472249</v>
          </cell>
          <cell r="G1145">
            <v>30631.962161472249</v>
          </cell>
          <cell r="H1145">
            <v>30631.962161472249</v>
          </cell>
          <cell r="I1145">
            <v>30631.962161472249</v>
          </cell>
          <cell r="J1145">
            <v>30631.962161472249</v>
          </cell>
          <cell r="K1145">
            <v>30631.962161472249</v>
          </cell>
          <cell r="L1145">
            <v>30631.962161472249</v>
          </cell>
          <cell r="M1145">
            <v>30631.962161472249</v>
          </cell>
          <cell r="N1145">
            <v>30631.962161472249</v>
          </cell>
          <cell r="O1145">
            <v>30631.962161472249</v>
          </cell>
          <cell r="P1145">
            <v>30631.962161472249</v>
          </cell>
          <cell r="Q1145">
            <v>30631.962161472249</v>
          </cell>
          <cell r="R1145">
            <v>30631.962161472249</v>
          </cell>
          <cell r="S1145">
            <v>30631.962161472249</v>
          </cell>
        </row>
        <row r="1146">
          <cell r="A1146" t="str">
            <v>Wireline</v>
          </cell>
          <cell r="B1146" t="str">
            <v>Deutsche Telekom</v>
          </cell>
          <cell r="C1146">
            <v>44528.829059049836</v>
          </cell>
          <cell r="D1146">
            <v>44528.829059049836</v>
          </cell>
          <cell r="E1146">
            <v>44528.829059049836</v>
          </cell>
          <cell r="F1146">
            <v>44528.829059049836</v>
          </cell>
          <cell r="G1146">
            <v>44528.829059049836</v>
          </cell>
          <cell r="H1146">
            <v>44528.829059049836</v>
          </cell>
          <cell r="I1146">
            <v>44528.829059049836</v>
          </cell>
          <cell r="J1146">
            <v>44528.829059049836</v>
          </cell>
          <cell r="K1146">
            <v>44528.829059049836</v>
          </cell>
          <cell r="L1146">
            <v>44528.829059049836</v>
          </cell>
          <cell r="M1146">
            <v>44528.829059049836</v>
          </cell>
          <cell r="N1146">
            <v>44528.829059049836</v>
          </cell>
          <cell r="O1146">
            <v>44528.829059049836</v>
          </cell>
          <cell r="P1146">
            <v>44528.829059049836</v>
          </cell>
          <cell r="Q1146">
            <v>44528.829059049836</v>
          </cell>
          <cell r="R1146">
            <v>44528.829059049836</v>
          </cell>
          <cell r="S1146">
            <v>44528.829059049836</v>
          </cell>
        </row>
        <row r="1147">
          <cell r="A1147" t="str">
            <v>Wireline</v>
          </cell>
          <cell r="B1147" t="str">
            <v>Eircom</v>
          </cell>
          <cell r="C1147">
            <v>3058.790424009957</v>
          </cell>
          <cell r="D1147">
            <v>3058.790424009957</v>
          </cell>
          <cell r="E1147">
            <v>3058.790424009957</v>
          </cell>
          <cell r="F1147">
            <v>3058.790424009957</v>
          </cell>
          <cell r="G1147">
            <v>3058.790424009957</v>
          </cell>
          <cell r="H1147">
            <v>3058.790424009957</v>
          </cell>
          <cell r="I1147">
            <v>3058.790424009957</v>
          </cell>
          <cell r="J1147">
            <v>3058.790424009957</v>
          </cell>
          <cell r="K1147">
            <v>3058.790424009957</v>
          </cell>
          <cell r="L1147">
            <v>3058.790424009957</v>
          </cell>
          <cell r="M1147">
            <v>3058.790424009957</v>
          </cell>
          <cell r="N1147">
            <v>3058.790424009957</v>
          </cell>
          <cell r="O1147">
            <v>3058.790424009957</v>
          </cell>
          <cell r="P1147">
            <v>3058.790424009957</v>
          </cell>
          <cell r="Q1147">
            <v>3058.790424009957</v>
          </cell>
          <cell r="R1147">
            <v>3058.790424009957</v>
          </cell>
          <cell r="S1147">
            <v>3058.790424009957</v>
          </cell>
        </row>
        <row r="1148">
          <cell r="A1148" t="str">
            <v>Wireline</v>
          </cell>
          <cell r="B1148" t="str">
            <v>France Telecom</v>
          </cell>
          <cell r="C1148">
            <v>47386.227792266087</v>
          </cell>
          <cell r="D1148">
            <v>47386.227792266087</v>
          </cell>
          <cell r="E1148">
            <v>47386.227792266087</v>
          </cell>
          <cell r="F1148">
            <v>47386.227792266087</v>
          </cell>
          <cell r="G1148">
            <v>47386.227792266087</v>
          </cell>
          <cell r="H1148">
            <v>47386.227792266087</v>
          </cell>
          <cell r="I1148">
            <v>47386.227792266087</v>
          </cell>
          <cell r="J1148">
            <v>47386.227792266087</v>
          </cell>
          <cell r="K1148">
            <v>47386.227792266087</v>
          </cell>
          <cell r="L1148">
            <v>47386.227792266087</v>
          </cell>
          <cell r="M1148">
            <v>47386.227792266087</v>
          </cell>
          <cell r="N1148">
            <v>47386.227792266087</v>
          </cell>
          <cell r="O1148">
            <v>47386.227792266087</v>
          </cell>
          <cell r="P1148">
            <v>47386.227792266087</v>
          </cell>
          <cell r="Q1148">
            <v>47386.227792266087</v>
          </cell>
          <cell r="R1148">
            <v>47386.227792266087</v>
          </cell>
          <cell r="S1148">
            <v>47386.227792266087</v>
          </cell>
        </row>
        <row r="1149">
          <cell r="A1149" t="str">
            <v>Wireline</v>
          </cell>
          <cell r="B1149" t="str">
            <v>KPN</v>
          </cell>
          <cell r="C1149">
            <v>15372.47185154931</v>
          </cell>
          <cell r="D1149">
            <v>15372.47185154931</v>
          </cell>
          <cell r="E1149">
            <v>15372.47185154931</v>
          </cell>
          <cell r="F1149">
            <v>15372.47185154931</v>
          </cell>
          <cell r="G1149">
            <v>15372.47185154931</v>
          </cell>
          <cell r="H1149">
            <v>15372.47185154931</v>
          </cell>
          <cell r="I1149">
            <v>15372.47185154931</v>
          </cell>
          <cell r="J1149">
            <v>15372.47185154931</v>
          </cell>
          <cell r="K1149">
            <v>15372.47185154931</v>
          </cell>
          <cell r="L1149">
            <v>15372.47185154931</v>
          </cell>
          <cell r="M1149">
            <v>15372.47185154931</v>
          </cell>
          <cell r="N1149">
            <v>15372.47185154931</v>
          </cell>
          <cell r="O1149">
            <v>15372.47185154931</v>
          </cell>
          <cell r="P1149">
            <v>15372.47185154931</v>
          </cell>
          <cell r="Q1149">
            <v>15372.47185154931</v>
          </cell>
          <cell r="R1149">
            <v>15372.47185154931</v>
          </cell>
          <cell r="S1149">
            <v>15372.47185154931</v>
          </cell>
        </row>
        <row r="1150">
          <cell r="A1150" t="str">
            <v>Wireline</v>
          </cell>
          <cell r="B1150" t="str">
            <v>OTE</v>
          </cell>
          <cell r="C1150">
            <v>6429.3156420481901</v>
          </cell>
          <cell r="D1150">
            <v>6429.3156420481901</v>
          </cell>
          <cell r="E1150">
            <v>6429.3156420481901</v>
          </cell>
          <cell r="F1150">
            <v>6429.3156420481901</v>
          </cell>
          <cell r="G1150">
            <v>6429.3156420481901</v>
          </cell>
          <cell r="H1150">
            <v>6429.3156420481901</v>
          </cell>
          <cell r="I1150">
            <v>6429.3156420481901</v>
          </cell>
          <cell r="J1150">
            <v>6429.3156420481901</v>
          </cell>
          <cell r="K1150">
            <v>6429.3156420481901</v>
          </cell>
          <cell r="L1150">
            <v>6429.3156420481901</v>
          </cell>
          <cell r="M1150">
            <v>6429.3156420481901</v>
          </cell>
          <cell r="N1150">
            <v>6429.3156420481901</v>
          </cell>
          <cell r="O1150">
            <v>6429.3156420481901</v>
          </cell>
          <cell r="P1150">
            <v>6429.3156420481901</v>
          </cell>
          <cell r="Q1150">
            <v>6429.3156420481901</v>
          </cell>
          <cell r="R1150">
            <v>6429.3156420481901</v>
          </cell>
          <cell r="S1150">
            <v>6429.3156420481901</v>
          </cell>
        </row>
        <row r="1151">
          <cell r="A1151" t="str">
            <v>Wireline</v>
          </cell>
          <cell r="B1151" t="str">
            <v>Portugal Telecom</v>
          </cell>
          <cell r="C1151">
            <v>5800.5088009777382</v>
          </cell>
          <cell r="D1151">
            <v>5800.5088009777382</v>
          </cell>
          <cell r="E1151">
            <v>5800.5088009777382</v>
          </cell>
          <cell r="F1151">
            <v>5800.5088009777382</v>
          </cell>
          <cell r="G1151">
            <v>5800.5088009777382</v>
          </cell>
          <cell r="H1151">
            <v>5800.5088009777382</v>
          </cell>
          <cell r="I1151">
            <v>5800.5088009777382</v>
          </cell>
          <cell r="J1151">
            <v>5800.5088009777382</v>
          </cell>
          <cell r="K1151">
            <v>5800.5088009777382</v>
          </cell>
          <cell r="L1151">
            <v>5800.5088009777382</v>
          </cell>
          <cell r="M1151">
            <v>5800.5088009777382</v>
          </cell>
          <cell r="N1151">
            <v>5800.5088009777382</v>
          </cell>
          <cell r="O1151">
            <v>5800.5088009777382</v>
          </cell>
          <cell r="P1151">
            <v>5800.5088009777382</v>
          </cell>
          <cell r="Q1151">
            <v>5800.5088009777382</v>
          </cell>
          <cell r="R1151">
            <v>5800.5088009777382</v>
          </cell>
          <cell r="S1151">
            <v>5800.5088009777382</v>
          </cell>
        </row>
        <row r="1152">
          <cell r="A1152" t="str">
            <v>Wireline</v>
          </cell>
          <cell r="B1152" t="str">
            <v>Swisscom</v>
          </cell>
          <cell r="C1152">
            <v>8361.4182341594897</v>
          </cell>
          <cell r="D1152">
            <v>8361.4182341594897</v>
          </cell>
          <cell r="E1152">
            <v>8361.4182341594897</v>
          </cell>
          <cell r="F1152">
            <v>8361.4182341594897</v>
          </cell>
          <cell r="G1152">
            <v>8361.4182341594897</v>
          </cell>
          <cell r="H1152">
            <v>8361.4182341594897</v>
          </cell>
          <cell r="I1152">
            <v>8361.4182341594897</v>
          </cell>
          <cell r="J1152">
            <v>8361.4182341594897</v>
          </cell>
          <cell r="K1152">
            <v>8361.4182341594897</v>
          </cell>
          <cell r="L1152">
            <v>8361.4182341594897</v>
          </cell>
          <cell r="M1152">
            <v>8361.4182341594897</v>
          </cell>
          <cell r="N1152">
            <v>8361.4182341594897</v>
          </cell>
          <cell r="O1152">
            <v>8361.4182341594897</v>
          </cell>
          <cell r="P1152">
            <v>8361.4182341594897</v>
          </cell>
          <cell r="Q1152">
            <v>8361.4182341594897</v>
          </cell>
          <cell r="R1152">
            <v>8361.4182341594897</v>
          </cell>
          <cell r="S1152">
            <v>8361.4182341594897</v>
          </cell>
        </row>
        <row r="1153">
          <cell r="A1153" t="str">
            <v>Wireline</v>
          </cell>
          <cell r="B1153" t="str">
            <v>TDC</v>
          </cell>
          <cell r="C1153">
            <v>3429.1897991683086</v>
          </cell>
          <cell r="D1153">
            <v>3429.1897991683086</v>
          </cell>
          <cell r="E1153">
            <v>3429.1897991683086</v>
          </cell>
          <cell r="F1153">
            <v>3429.1897991683086</v>
          </cell>
          <cell r="G1153">
            <v>3429.1897991683086</v>
          </cell>
          <cell r="H1153">
            <v>3429.1897991683086</v>
          </cell>
          <cell r="I1153">
            <v>3429.1897991683086</v>
          </cell>
          <cell r="J1153">
            <v>3429.1897991683086</v>
          </cell>
          <cell r="K1153">
            <v>3429.1897991683086</v>
          </cell>
          <cell r="L1153">
            <v>3429.1897991683086</v>
          </cell>
          <cell r="M1153">
            <v>3429.1897991683086</v>
          </cell>
          <cell r="N1153">
            <v>3429.1897991683086</v>
          </cell>
          <cell r="O1153">
            <v>3429.1897991683086</v>
          </cell>
          <cell r="P1153">
            <v>3429.1897991683086</v>
          </cell>
          <cell r="Q1153">
            <v>3429.1897991683086</v>
          </cell>
          <cell r="R1153">
            <v>3429.1897991683086</v>
          </cell>
          <cell r="S1153">
            <v>3429.1897991683086</v>
          </cell>
        </row>
        <row r="1154">
          <cell r="A1154" t="str">
            <v>Wireline</v>
          </cell>
          <cell r="B1154" t="str">
            <v>Telecom Italia</v>
          </cell>
          <cell r="C1154">
            <v>46926.904693054646</v>
          </cell>
          <cell r="D1154">
            <v>46926.904693054646</v>
          </cell>
          <cell r="E1154">
            <v>46926.904693054646</v>
          </cell>
          <cell r="F1154">
            <v>46926.904693054646</v>
          </cell>
          <cell r="G1154">
            <v>46926.904693054646</v>
          </cell>
          <cell r="H1154">
            <v>46926.904693054646</v>
          </cell>
          <cell r="I1154">
            <v>46926.904693054646</v>
          </cell>
          <cell r="J1154">
            <v>46926.904693054646</v>
          </cell>
          <cell r="K1154">
            <v>46926.904693054646</v>
          </cell>
          <cell r="L1154">
            <v>46926.904693054646</v>
          </cell>
          <cell r="M1154">
            <v>46926.904693054646</v>
          </cell>
          <cell r="N1154">
            <v>46926.904693054646</v>
          </cell>
          <cell r="O1154">
            <v>46926.904693054646</v>
          </cell>
          <cell r="P1154">
            <v>46926.904693054646</v>
          </cell>
          <cell r="Q1154">
            <v>46926.904693054646</v>
          </cell>
          <cell r="R1154">
            <v>46926.904693054646</v>
          </cell>
          <cell r="S1154">
            <v>46926.904693054646</v>
          </cell>
        </row>
        <row r="1155">
          <cell r="A1155" t="str">
            <v>Wireline</v>
          </cell>
          <cell r="B1155" t="str">
            <v>Telefonica</v>
          </cell>
          <cell r="C1155">
            <v>30896.472404908294</v>
          </cell>
          <cell r="D1155">
            <v>30896.472404908294</v>
          </cell>
          <cell r="E1155">
            <v>30896.472404908294</v>
          </cell>
          <cell r="F1155">
            <v>30896.472404908294</v>
          </cell>
          <cell r="G1155">
            <v>30896.472404908294</v>
          </cell>
          <cell r="H1155">
            <v>30896.472404908294</v>
          </cell>
          <cell r="I1155">
            <v>30896.472404908294</v>
          </cell>
          <cell r="J1155">
            <v>30896.472404908294</v>
          </cell>
          <cell r="K1155">
            <v>30896.472404908294</v>
          </cell>
          <cell r="L1155">
            <v>30896.472404908294</v>
          </cell>
          <cell r="M1155">
            <v>30896.472404908294</v>
          </cell>
          <cell r="N1155">
            <v>30896.472404908294</v>
          </cell>
          <cell r="O1155">
            <v>30896.472404908294</v>
          </cell>
          <cell r="P1155">
            <v>30896.472404908294</v>
          </cell>
          <cell r="Q1155">
            <v>30896.472404908294</v>
          </cell>
          <cell r="R1155">
            <v>30896.472404908294</v>
          </cell>
          <cell r="S1155">
            <v>30896.472404908294</v>
          </cell>
        </row>
        <row r="1156">
          <cell r="A1156" t="str">
            <v>Wireline</v>
          </cell>
          <cell r="B1156" t="str">
            <v>Telekom Austria</v>
          </cell>
          <cell r="C1156">
            <v>4897.8599370580614</v>
          </cell>
          <cell r="D1156">
            <v>4897.8599370580614</v>
          </cell>
          <cell r="E1156">
            <v>4897.8599370580614</v>
          </cell>
          <cell r="F1156">
            <v>4897.8599370580614</v>
          </cell>
          <cell r="G1156">
            <v>4897.8599370580614</v>
          </cell>
          <cell r="H1156">
            <v>4897.8599370580614</v>
          </cell>
          <cell r="I1156">
            <v>4897.8599370580614</v>
          </cell>
          <cell r="J1156">
            <v>4897.8599370580614</v>
          </cell>
          <cell r="K1156">
            <v>4897.8599370580614</v>
          </cell>
          <cell r="L1156">
            <v>4897.8599370580614</v>
          </cell>
          <cell r="M1156">
            <v>4897.8599370580614</v>
          </cell>
          <cell r="N1156">
            <v>4897.8599370580614</v>
          </cell>
          <cell r="O1156">
            <v>4897.8599370580614</v>
          </cell>
          <cell r="P1156">
            <v>4897.8599370580614</v>
          </cell>
          <cell r="Q1156">
            <v>4897.8599370580614</v>
          </cell>
          <cell r="R1156">
            <v>4897.8599370580614</v>
          </cell>
          <cell r="S1156">
            <v>4897.8599370580614</v>
          </cell>
        </row>
        <row r="1157">
          <cell r="A1157" t="str">
            <v>Wireline</v>
          </cell>
          <cell r="B1157" t="str">
            <v>Telenor</v>
          </cell>
          <cell r="C1157">
            <v>4264.2459479060053</v>
          </cell>
          <cell r="D1157">
            <v>4264.2459479060053</v>
          </cell>
          <cell r="E1157">
            <v>4264.2459479060053</v>
          </cell>
          <cell r="F1157">
            <v>4264.2459479060053</v>
          </cell>
          <cell r="G1157">
            <v>4264.2459479060053</v>
          </cell>
          <cell r="H1157">
            <v>4264.2459479060053</v>
          </cell>
          <cell r="I1157">
            <v>4264.2459479060053</v>
          </cell>
          <cell r="J1157">
            <v>4264.2459479060053</v>
          </cell>
          <cell r="K1157">
            <v>4264.2459479060053</v>
          </cell>
          <cell r="L1157">
            <v>4264.2459479060053</v>
          </cell>
          <cell r="M1157">
            <v>4264.2459479060053</v>
          </cell>
          <cell r="N1157">
            <v>4264.2459479060053</v>
          </cell>
          <cell r="O1157">
            <v>4264.2459479060053</v>
          </cell>
          <cell r="P1157">
            <v>4264.2459479060053</v>
          </cell>
          <cell r="Q1157">
            <v>4264.2459479060053</v>
          </cell>
          <cell r="R1157">
            <v>4264.2459479060053</v>
          </cell>
          <cell r="S1157">
            <v>4264.2459479060053</v>
          </cell>
        </row>
        <row r="1158">
          <cell r="A1158" t="str">
            <v>Wireline</v>
          </cell>
          <cell r="B1158" t="str">
            <v>TeliaSonera</v>
          </cell>
          <cell r="C1158">
            <v>5986.1278356346629</v>
          </cell>
          <cell r="D1158">
            <v>5986.1278356346629</v>
          </cell>
          <cell r="E1158">
            <v>5986.1278356346629</v>
          </cell>
          <cell r="F1158">
            <v>5986.1278356346629</v>
          </cell>
          <cell r="G1158">
            <v>5986.1278356346629</v>
          </cell>
          <cell r="H1158">
            <v>5986.1278356346629</v>
          </cell>
          <cell r="I1158">
            <v>5986.1278356346629</v>
          </cell>
          <cell r="J1158">
            <v>5986.1278356346629</v>
          </cell>
          <cell r="K1158">
            <v>5986.1278356346629</v>
          </cell>
          <cell r="L1158">
            <v>5986.1278356346629</v>
          </cell>
          <cell r="M1158">
            <v>5986.1278356346629</v>
          </cell>
          <cell r="N1158">
            <v>5986.1278356346629</v>
          </cell>
          <cell r="O1158">
            <v>5986.1278356346629</v>
          </cell>
          <cell r="P1158">
            <v>5986.1278356346629</v>
          </cell>
          <cell r="Q1158">
            <v>5986.1278356346629</v>
          </cell>
          <cell r="R1158">
            <v>5986.1278356346629</v>
          </cell>
          <cell r="S1158">
            <v>5986.1278356346629</v>
          </cell>
        </row>
        <row r="1159">
          <cell r="A1159" t="str">
            <v>Wireline</v>
          </cell>
          <cell r="B1159" t="str">
            <v>Sum</v>
          </cell>
          <cell r="C1159">
            <v>262684.39090518665</v>
          </cell>
          <cell r="D1159">
            <v>262684.39090518665</v>
          </cell>
          <cell r="E1159">
            <v>262684.39090518665</v>
          </cell>
          <cell r="F1159">
            <v>262684.39090518665</v>
          </cell>
          <cell r="G1159">
            <v>262684.39090518665</v>
          </cell>
          <cell r="H1159">
            <v>262684.39090518665</v>
          </cell>
          <cell r="I1159">
            <v>262684.39090518665</v>
          </cell>
          <cell r="J1159">
            <v>262684.39090518665</v>
          </cell>
          <cell r="K1159">
            <v>262684.39090518665</v>
          </cell>
          <cell r="L1159">
            <v>262684.39090518665</v>
          </cell>
          <cell r="M1159">
            <v>262684.39090518665</v>
          </cell>
          <cell r="N1159">
            <v>262684.39090518665</v>
          </cell>
          <cell r="O1159">
            <v>262684.39090518665</v>
          </cell>
          <cell r="P1159">
            <v>262684.39090518665</v>
          </cell>
          <cell r="Q1159">
            <v>262684.39090518665</v>
          </cell>
          <cell r="R1159">
            <v>262684.39090518665</v>
          </cell>
          <cell r="S1159">
            <v>262684.39090518665</v>
          </cell>
        </row>
        <row r="1276">
          <cell r="A1276" t="str">
            <v>Wireline</v>
          </cell>
          <cell r="B1276" t="str">
            <v>EBITDA margin</v>
          </cell>
          <cell r="C1276">
            <v>1998</v>
          </cell>
          <cell r="D1276">
            <v>1999</v>
          </cell>
          <cell r="E1276">
            <v>2000</v>
          </cell>
          <cell r="F1276">
            <v>2001</v>
          </cell>
          <cell r="G1276">
            <v>2002</v>
          </cell>
          <cell r="H1276">
            <v>2003</v>
          </cell>
          <cell r="I1276">
            <v>2004</v>
          </cell>
          <cell r="J1276">
            <v>2005</v>
          </cell>
          <cell r="K1276">
            <v>2006</v>
          </cell>
          <cell r="L1276">
            <v>2007</v>
          </cell>
          <cell r="M1276">
            <v>2008</v>
          </cell>
          <cell r="N1276">
            <v>2009</v>
          </cell>
          <cell r="O1276">
            <v>2010</v>
          </cell>
          <cell r="P1276">
            <v>2011</v>
          </cell>
          <cell r="Q1276">
            <v>2012</v>
          </cell>
          <cell r="R1276">
            <v>2013</v>
          </cell>
          <cell r="S1276">
            <v>2014</v>
          </cell>
        </row>
        <row r="1277">
          <cell r="A1277" t="str">
            <v>Wireline</v>
          </cell>
          <cell r="B1277" t="str">
            <v>Belgacom</v>
          </cell>
          <cell r="C1277" t="e">
            <v>#DIV/0!</v>
          </cell>
          <cell r="D1277" t="e">
            <v>#DIV/0!</v>
          </cell>
          <cell r="E1277" t="e">
            <v>#DIV/0!</v>
          </cell>
          <cell r="F1277">
            <v>0.36506973923590053</v>
          </cell>
          <cell r="G1277">
            <v>0.34441656210790467</v>
          </cell>
          <cell r="H1277">
            <v>0.35682110682110685</v>
          </cell>
          <cell r="I1277">
            <v>0.40653298835705043</v>
          </cell>
          <cell r="J1277">
            <v>0.39664193392370845</v>
          </cell>
          <cell r="K1277">
            <v>0.3933306314637644</v>
          </cell>
          <cell r="L1277">
            <v>0.38412609724627611</v>
          </cell>
          <cell r="M1277">
            <v>0.36750595968221639</v>
          </cell>
          <cell r="N1277">
            <v>0.35336958573926924</v>
          </cell>
          <cell r="O1277">
            <v>0.34058909467872939</v>
          </cell>
          <cell r="P1277">
            <v>0.32861386434583684</v>
          </cell>
          <cell r="Q1277">
            <v>0.31857025303512876</v>
          </cell>
          <cell r="R1277" t="e">
            <v>#DIV/0!</v>
          </cell>
          <cell r="S1277" t="e">
            <v>#DIV/0!</v>
          </cell>
        </row>
        <row r="1278">
          <cell r="A1278" t="str">
            <v>Wireline</v>
          </cell>
          <cell r="B1278" t="str">
            <v>British Telecom</v>
          </cell>
          <cell r="C1278" t="e">
            <v>#DIV/0!</v>
          </cell>
          <cell r="D1278" t="e">
            <v>#DIV/0!</v>
          </cell>
          <cell r="E1278" t="e">
            <v>#DIV/0!</v>
          </cell>
          <cell r="F1278" t="e">
            <v>#DIV/0!</v>
          </cell>
          <cell r="G1278">
            <v>0.36941413894324854</v>
          </cell>
          <cell r="H1278">
            <v>0.33838379312552003</v>
          </cell>
          <cell r="I1278">
            <v>0.34522694783250646</v>
          </cell>
          <cell r="J1278">
            <v>0.34592433462457606</v>
          </cell>
          <cell r="K1278">
            <v>0.35513168814359269</v>
          </cell>
          <cell r="L1278">
            <v>0.36115004352770719</v>
          </cell>
          <cell r="M1278">
            <v>0.35934646315621277</v>
          </cell>
          <cell r="N1278">
            <v>0.35266134833144058</v>
          </cell>
          <cell r="O1278">
            <v>0.34181945989931561</v>
          </cell>
          <cell r="P1278">
            <v>0.33687087407868793</v>
          </cell>
          <cell r="Q1278">
            <v>0.33189245071882717</v>
          </cell>
          <cell r="R1278">
            <v>0.32847398751069018</v>
          </cell>
          <cell r="S1278">
            <v>0.31929601409337072</v>
          </cell>
        </row>
        <row r="1279">
          <cell r="A1279" t="str">
            <v>Wireline</v>
          </cell>
          <cell r="B1279" t="str">
            <v>Deutsche Telekom</v>
          </cell>
          <cell r="C1279" t="e">
            <v>#DIV/0!</v>
          </cell>
          <cell r="D1279" t="e">
            <v>#DIV/0!</v>
          </cell>
          <cell r="E1279" t="e">
            <v>#DIV/0!</v>
          </cell>
          <cell r="F1279">
            <v>0.42630654369784804</v>
          </cell>
          <cell r="G1279">
            <v>0.36315765786038978</v>
          </cell>
          <cell r="H1279">
            <v>0.39809285747349904</v>
          </cell>
          <cell r="I1279">
            <v>0.39759036144578314</v>
          </cell>
          <cell r="J1279">
            <v>0.41755974512187927</v>
          </cell>
          <cell r="K1279">
            <v>0.4347147762674099</v>
          </cell>
          <cell r="L1279">
            <v>0.44254823397974274</v>
          </cell>
          <cell r="M1279">
            <v>0.44037509501121463</v>
          </cell>
          <cell r="N1279">
            <v>0.44279527791268353</v>
          </cell>
          <cell r="O1279">
            <v>0.44329541266635153</v>
          </cell>
          <cell r="P1279">
            <v>0.44048466722156815</v>
          </cell>
          <cell r="Q1279">
            <v>0.4370198277563912</v>
          </cell>
          <cell r="R1279" t="e">
            <v>#DIV/0!</v>
          </cell>
          <cell r="S1279" t="e">
            <v>#DIV/0!</v>
          </cell>
        </row>
        <row r="1280">
          <cell r="A1280" t="str">
            <v>Wireline</v>
          </cell>
          <cell r="B1280" t="str">
            <v>Eircom</v>
          </cell>
          <cell r="C1280" t="e">
            <v>#DIV/0!</v>
          </cell>
          <cell r="D1280" t="e">
            <v>#DIV/0!</v>
          </cell>
          <cell r="E1280">
            <v>0.303985171455051</v>
          </cell>
          <cell r="F1280">
            <v>0.28692699490662138</v>
          </cell>
          <cell r="G1280">
            <v>0.32758567091809376</v>
          </cell>
          <cell r="H1280">
            <v>0.36977433967070888</v>
          </cell>
          <cell r="I1280">
            <v>0.39257518209918124</v>
          </cell>
          <cell r="J1280">
            <v>0.39743791040195164</v>
          </cell>
          <cell r="K1280">
            <v>0.38598478107177903</v>
          </cell>
          <cell r="L1280">
            <v>0.37138628767190474</v>
          </cell>
          <cell r="M1280">
            <v>0.35097367360899318</v>
          </cell>
          <cell r="N1280">
            <v>0.33094088308499742</v>
          </cell>
          <cell r="O1280">
            <v>0.31806910525942234</v>
          </cell>
          <cell r="P1280">
            <v>0.30951481908637779</v>
          </cell>
          <cell r="Q1280">
            <v>0.29650966955831476</v>
          </cell>
          <cell r="R1280" t="e">
            <v>#DIV/0!</v>
          </cell>
          <cell r="S1280" t="e">
            <v>#DIV/0!</v>
          </cell>
        </row>
        <row r="1281">
          <cell r="A1281" t="str">
            <v>Wireline</v>
          </cell>
          <cell r="B1281" t="str">
            <v>France Telecom</v>
          </cell>
          <cell r="C1281" t="e">
            <v>#DIV/0!</v>
          </cell>
          <cell r="D1281" t="e">
            <v>#DIV/0!</v>
          </cell>
          <cell r="E1281">
            <v>0.39157408743327082</v>
          </cell>
          <cell r="F1281">
            <v>0.34014893891782533</v>
          </cell>
          <cell r="G1281">
            <v>0.31213146028442595</v>
          </cell>
          <cell r="H1281">
            <v>0.34922945979759334</v>
          </cell>
          <cell r="I1281">
            <v>0.36427972944794651</v>
          </cell>
          <cell r="J1281">
            <v>0.37267839414278492</v>
          </cell>
          <cell r="K1281">
            <v>0.37665931540022973</v>
          </cell>
          <cell r="L1281">
            <v>0.37893081189907857</v>
          </cell>
          <cell r="M1281">
            <v>0.37778537944817409</v>
          </cell>
          <cell r="N1281">
            <v>0.37630671119186276</v>
          </cell>
          <cell r="O1281">
            <v>0.3763252461052759</v>
          </cell>
          <cell r="P1281">
            <v>0.37483431527969785</v>
          </cell>
          <cell r="Q1281">
            <v>0.36983849690863863</v>
          </cell>
          <cell r="R1281" t="e">
            <v>#DIV/0!</v>
          </cell>
          <cell r="S1281" t="e">
            <v>#DIV/0!</v>
          </cell>
        </row>
        <row r="1282">
          <cell r="A1282" t="str">
            <v>Wireline</v>
          </cell>
          <cell r="B1282" t="str">
            <v>KPN</v>
          </cell>
          <cell r="C1282">
            <v>0.40777288598755124</v>
          </cell>
          <cell r="D1282">
            <v>0.37644959857270294</v>
          </cell>
          <cell r="E1282">
            <v>0.37874167150316407</v>
          </cell>
          <cell r="F1282">
            <v>0.31249739741360755</v>
          </cell>
          <cell r="G1282">
            <v>0.3784474640118391</v>
          </cell>
          <cell r="H1282">
            <v>0.45889344842224422</v>
          </cell>
          <cell r="I1282">
            <v>0.47798456650022697</v>
          </cell>
          <cell r="J1282">
            <v>0.44633104047736999</v>
          </cell>
          <cell r="K1282">
            <v>0.46422201738317448</v>
          </cell>
          <cell r="L1282">
            <v>0.47326126336296481</v>
          </cell>
          <cell r="M1282">
            <v>0.48413624245123532</v>
          </cell>
          <cell r="N1282">
            <v>0.48671535213438005</v>
          </cell>
          <cell r="O1282">
            <v>0.48291046567226936</v>
          </cell>
          <cell r="P1282">
            <v>0.47256503552187823</v>
          </cell>
          <cell r="Q1282">
            <v>0.46179459323749028</v>
          </cell>
          <cell r="R1282" t="e">
            <v>#DIV/0!</v>
          </cell>
          <cell r="S1282" t="e">
            <v>#DIV/0!</v>
          </cell>
        </row>
        <row r="1283">
          <cell r="A1283" t="str">
            <v>Wireline</v>
          </cell>
          <cell r="B1283" t="str">
            <v>OTE</v>
          </cell>
          <cell r="C1283">
            <v>0.47049745242914481</v>
          </cell>
          <cell r="D1283">
            <v>0.4628955573941379</v>
          </cell>
          <cell r="E1283">
            <v>0.40831646974345581</v>
          </cell>
          <cell r="F1283">
            <v>0.415341411081661</v>
          </cell>
          <cell r="G1283">
            <v>0.38362781238083132</v>
          </cell>
          <cell r="H1283">
            <v>0.37984088599165872</v>
          </cell>
          <cell r="I1283">
            <v>0.26282520716901137</v>
          </cell>
          <cell r="J1283">
            <v>0.29759533070255101</v>
          </cell>
          <cell r="K1283">
            <v>0.34917621904999563</v>
          </cell>
          <cell r="L1283">
            <v>0.37208196036450419</v>
          </cell>
          <cell r="M1283">
            <v>0.37760653026335805</v>
          </cell>
          <cell r="N1283">
            <v>0.38921682218717163</v>
          </cell>
          <cell r="O1283">
            <v>0.39240469513359522</v>
          </cell>
          <cell r="P1283">
            <v>0.39027171218933587</v>
          </cell>
          <cell r="Q1283">
            <v>0.38710816915963775</v>
          </cell>
          <cell r="R1283" t="e">
            <v>#DIV/0!</v>
          </cell>
          <cell r="S1283" t="e">
            <v>#DIV/0!</v>
          </cell>
        </row>
        <row r="1284">
          <cell r="A1284" t="str">
            <v>Wireline</v>
          </cell>
          <cell r="B1284" t="str">
            <v>Portugal Telecom</v>
          </cell>
          <cell r="C1284" t="e">
            <v>#DIV/0!</v>
          </cell>
          <cell r="D1284">
            <v>0.58010521281683403</v>
          </cell>
          <cell r="E1284">
            <v>0.48342293906810035</v>
          </cell>
          <cell r="F1284">
            <v>0.4268049461507778</v>
          </cell>
          <cell r="G1284">
            <v>0.41016109045848825</v>
          </cell>
          <cell r="H1284">
            <v>0.39244310863031345</v>
          </cell>
          <cell r="I1284">
            <v>0.37963357477631016</v>
          </cell>
          <cell r="J1284">
            <v>0.38409547811950079</v>
          </cell>
          <cell r="K1284">
            <v>0.38897225719422968</v>
          </cell>
          <cell r="L1284">
            <v>0.38994068224961603</v>
          </cell>
          <cell r="M1284">
            <v>0.38745309475919948</v>
          </cell>
          <cell r="N1284">
            <v>0.38248244874226167</v>
          </cell>
          <cell r="O1284">
            <v>0.37536709151883657</v>
          </cell>
          <cell r="P1284">
            <v>0.36737891035504311</v>
          </cell>
          <cell r="Q1284">
            <v>0.36013611317794303</v>
          </cell>
          <cell r="R1284" t="e">
            <v>#DIV/0!</v>
          </cell>
          <cell r="S1284" t="e">
            <v>#DIV/0!</v>
          </cell>
        </row>
        <row r="1285">
          <cell r="A1285" t="str">
            <v>Wireline</v>
          </cell>
          <cell r="B1285" t="str">
            <v>Swisscom</v>
          </cell>
          <cell r="C1285">
            <v>0.40876000970638193</v>
          </cell>
          <cell r="D1285">
            <v>0.4059582646897309</v>
          </cell>
          <cell r="E1285">
            <v>0.4215570876071969</v>
          </cell>
          <cell r="F1285">
            <v>0.38195206015979949</v>
          </cell>
          <cell r="G1285">
            <v>0.37331429478026334</v>
          </cell>
          <cell r="H1285">
            <v>0.44308528712198436</v>
          </cell>
          <cell r="I1285">
            <v>0.43222965845261396</v>
          </cell>
          <cell r="J1285">
            <v>0.43850977897256799</v>
          </cell>
          <cell r="K1285">
            <v>0.43479671809195197</v>
          </cell>
          <cell r="L1285">
            <v>0.43012651886753939</v>
          </cell>
          <cell r="M1285">
            <v>0.42419498723598009</v>
          </cell>
          <cell r="N1285">
            <v>0.41687100177276415</v>
          </cell>
          <cell r="O1285">
            <v>0.4087962073288729</v>
          </cell>
          <cell r="P1285">
            <v>0.40065556086662613</v>
          </cell>
          <cell r="Q1285">
            <v>0.39358157866429588</v>
          </cell>
          <cell r="R1285" t="e">
            <v>#DIV/0!</v>
          </cell>
          <cell r="S1285" t="e">
            <v>#DIV/0!</v>
          </cell>
        </row>
        <row r="1286">
          <cell r="A1286" t="str">
            <v>Wireline</v>
          </cell>
          <cell r="B1286" t="str">
            <v>TDC</v>
          </cell>
          <cell r="C1286" t="e">
            <v>#DIV/0!</v>
          </cell>
          <cell r="D1286" t="e">
            <v>#DIV/0!</v>
          </cell>
          <cell r="E1286" t="e">
            <v>#DIV/0!</v>
          </cell>
          <cell r="F1286" t="e">
            <v>#DIV/0!</v>
          </cell>
          <cell r="G1286">
            <v>0.29773629660186668</v>
          </cell>
          <cell r="H1286">
            <v>0.30745224643529728</v>
          </cell>
          <cell r="I1286">
            <v>0.31705217859064011</v>
          </cell>
          <cell r="J1286">
            <v>0.30753444458078283</v>
          </cell>
          <cell r="K1286">
            <v>0.30408323464834469</v>
          </cell>
          <cell r="L1286">
            <v>0.29997269168607121</v>
          </cell>
          <cell r="M1286">
            <v>0.29463706795014588</v>
          </cell>
          <cell r="N1286">
            <v>0.28918720630421685</v>
          </cell>
          <cell r="O1286">
            <v>0.28361879737220463</v>
          </cell>
          <cell r="P1286">
            <v>0.27078338111497613</v>
          </cell>
          <cell r="Q1286">
            <v>0.25878539280996121</v>
          </cell>
          <cell r="R1286" t="e">
            <v>#DIV/0!</v>
          </cell>
          <cell r="S1286" t="e">
            <v>#DIV/0!</v>
          </cell>
        </row>
        <row r="1287">
          <cell r="A1287" t="str">
            <v>Wireline</v>
          </cell>
          <cell r="B1287" t="str">
            <v>Telecom Italia</v>
          </cell>
          <cell r="C1287" t="e">
            <v>#DIV/0!</v>
          </cell>
          <cell r="D1287" t="e">
            <v>#DIV/0!</v>
          </cell>
          <cell r="E1287">
            <v>0.41632699925368849</v>
          </cell>
          <cell r="F1287">
            <v>0.4401794035414725</v>
          </cell>
          <cell r="G1287">
            <v>0.44830219715662084</v>
          </cell>
          <cell r="H1287">
            <v>0.45558818322868178</v>
          </cell>
          <cell r="I1287">
            <v>0.45611554051932079</v>
          </cell>
          <cell r="J1287">
            <v>0.45984275655801354</v>
          </cell>
          <cell r="K1287">
            <v>0.46200964353464075</v>
          </cell>
          <cell r="L1287">
            <v>0.46706805419229347</v>
          </cell>
          <cell r="M1287">
            <v>0.46594463278698384</v>
          </cell>
          <cell r="N1287">
            <v>0.4601470206905876</v>
          </cell>
          <cell r="O1287">
            <v>0.45221906321136901</v>
          </cell>
          <cell r="P1287">
            <v>0.44237287437398748</v>
          </cell>
          <cell r="Q1287">
            <v>0.43078671684855174</v>
          </cell>
          <cell r="R1287" t="e">
            <v>#DIV/0!</v>
          </cell>
          <cell r="S1287" t="e">
            <v>#DIV/0!</v>
          </cell>
        </row>
        <row r="1288">
          <cell r="A1288" t="str">
            <v>Wireline</v>
          </cell>
          <cell r="B1288" t="str">
            <v>Telefonica</v>
          </cell>
          <cell r="C1288" t="e">
            <v>#DIV/0!</v>
          </cell>
          <cell r="D1288">
            <v>0.49998014848930006</v>
          </cell>
          <cell r="E1288">
            <v>0.43685001325751993</v>
          </cell>
          <cell r="F1288">
            <v>0.44108841141246924</v>
          </cell>
          <cell r="G1288">
            <v>0.43977141076939547</v>
          </cell>
          <cell r="H1288">
            <v>0.44527553901677352</v>
          </cell>
          <cell r="I1288">
            <v>0.46134538152610444</v>
          </cell>
          <cell r="J1288">
            <v>0.46704818981399887</v>
          </cell>
          <cell r="K1288">
            <v>0.48695462462309141</v>
          </cell>
          <cell r="L1288">
            <v>0.49056689073789961</v>
          </cell>
          <cell r="M1288">
            <v>0.48916810954628481</v>
          </cell>
          <cell r="N1288">
            <v>0.47900054710630574</v>
          </cell>
          <cell r="O1288">
            <v>0.46626575126712594</v>
          </cell>
          <cell r="P1288">
            <v>0.45179919533396129</v>
          </cell>
          <cell r="Q1288">
            <v>0.43517874017410524</v>
          </cell>
          <cell r="R1288" t="e">
            <v>#DIV/0!</v>
          </cell>
          <cell r="S1288" t="e">
            <v>#DIV/0!</v>
          </cell>
        </row>
        <row r="1289">
          <cell r="A1289" t="str">
            <v>Wireline</v>
          </cell>
          <cell r="B1289" t="str">
            <v>Telekom Austria</v>
          </cell>
          <cell r="C1289">
            <v>0.47176745740060139</v>
          </cell>
          <cell r="D1289">
            <v>0.38346581875993641</v>
          </cell>
          <cell r="E1289">
            <v>0.2857142857142857</v>
          </cell>
          <cell r="F1289">
            <v>0.31301939058171746</v>
          </cell>
          <cell r="G1289">
            <v>0.3655234657039711</v>
          </cell>
          <cell r="H1289">
            <v>0.39399538106235565</v>
          </cell>
          <cell r="I1289">
            <v>0.39891732111524308</v>
          </cell>
          <cell r="J1289">
            <v>0.39765559736260314</v>
          </cell>
          <cell r="K1289">
            <v>0.39931682584393452</v>
          </cell>
          <cell r="L1289">
            <v>0.39752908348339816</v>
          </cell>
          <cell r="M1289">
            <v>0.39226016364188609</v>
          </cell>
          <cell r="N1289">
            <v>0.38174991543149284</v>
          </cell>
          <cell r="O1289">
            <v>0.37004113131549748</v>
          </cell>
          <cell r="P1289">
            <v>0.35883994629892291</v>
          </cell>
          <cell r="Q1289">
            <v>0.34728306048200008</v>
          </cell>
          <cell r="R1289" t="e">
            <v>#DIV/0!</v>
          </cell>
          <cell r="S1289" t="e">
            <v>#DIV/0!</v>
          </cell>
        </row>
        <row r="1290">
          <cell r="A1290" t="str">
            <v>Wireline</v>
          </cell>
          <cell r="B1290" t="str">
            <v>Telenor</v>
          </cell>
          <cell r="C1290" t="e">
            <v>#DIV/0!</v>
          </cell>
          <cell r="D1290" t="e">
            <v>#DIV/0!</v>
          </cell>
          <cell r="E1290" t="e">
            <v>#DIV/0!</v>
          </cell>
          <cell r="F1290">
            <v>0.32863457173575439</v>
          </cell>
          <cell r="G1290">
            <v>0.33202274376965885</v>
          </cell>
          <cell r="H1290">
            <v>0.39685538424035588</v>
          </cell>
          <cell r="I1290">
            <v>0.40021698895909119</v>
          </cell>
          <cell r="J1290">
            <v>0.39344347266636748</v>
          </cell>
          <cell r="K1290">
            <v>0.39245340369295972</v>
          </cell>
          <cell r="L1290">
            <v>0.38504063245192716</v>
          </cell>
          <cell r="M1290">
            <v>0.37661440149976144</v>
          </cell>
          <cell r="N1290">
            <v>0.36758739546456093</v>
          </cell>
          <cell r="O1290">
            <v>0.35776142107308834</v>
          </cell>
          <cell r="P1290">
            <v>0.34803391716301557</v>
          </cell>
          <cell r="Q1290">
            <v>0.33807208821411261</v>
          </cell>
          <cell r="R1290" t="e">
            <v>#DIV/0!</v>
          </cell>
          <cell r="S1290" t="e">
            <v>#DIV/0!</v>
          </cell>
        </row>
        <row r="1291">
          <cell r="A1291" t="str">
            <v>Wireline</v>
          </cell>
          <cell r="B1291" t="str">
            <v>TeliaSonera</v>
          </cell>
          <cell r="C1291" t="e">
            <v>#DIV/0!</v>
          </cell>
          <cell r="D1291" t="e">
            <v>#DIV/0!</v>
          </cell>
          <cell r="E1291" t="e">
            <v>#DIV/0!</v>
          </cell>
          <cell r="F1291">
            <v>0.32778352616561629</v>
          </cell>
          <cell r="G1291">
            <v>0.34068244814732213</v>
          </cell>
          <cell r="H1291">
            <v>0.40996503496503495</v>
          </cell>
          <cell r="I1291">
            <v>0.3959059684490317</v>
          </cell>
          <cell r="J1291">
            <v>0.39502190878850296</v>
          </cell>
          <cell r="K1291">
            <v>0.40767911784598804</v>
          </cell>
          <cell r="L1291">
            <v>0.4101905974352284</v>
          </cell>
          <cell r="M1291">
            <v>0.39950718495685078</v>
          </cell>
          <cell r="N1291">
            <v>0.38693577381123062</v>
          </cell>
          <cell r="O1291">
            <v>0.37085236850297321</v>
          </cell>
          <cell r="P1291">
            <v>0.35246747526865485</v>
          </cell>
          <cell r="Q1291">
            <v>0.33591092879805373</v>
          </cell>
          <cell r="R1291">
            <v>0.32204898043658348</v>
          </cell>
          <cell r="S1291" t="e">
            <v>#DIV/0!</v>
          </cell>
        </row>
        <row r="1292">
          <cell r="A1292" t="str">
            <v>Wireline</v>
          </cell>
          <cell r="B1292" t="str">
            <v>Sum</v>
          </cell>
          <cell r="C1292">
            <v>0.88569475263062514</v>
          </cell>
          <cell r="D1292">
            <v>0.73093591856828755</v>
          </cell>
          <cell r="E1292">
            <v>0.40095980973488005</v>
          </cell>
          <cell r="F1292">
            <v>0.38768312443101749</v>
          </cell>
          <cell r="G1292">
            <v>0.37183482004008317</v>
          </cell>
          <cell r="H1292">
            <v>0.39200975455484544</v>
          </cell>
          <cell r="I1292">
            <v>0.39732371493888541</v>
          </cell>
          <cell r="J1292">
            <v>0.4020853955628178</v>
          </cell>
          <cell r="K1292">
            <v>0.41145441637097396</v>
          </cell>
          <cell r="L1292">
            <v>0.41569834010557905</v>
          </cell>
          <cell r="M1292">
            <v>0.41403309791856735</v>
          </cell>
          <cell r="N1292">
            <v>0.41030275350263923</v>
          </cell>
          <cell r="O1292">
            <v>0.40480341176117784</v>
          </cell>
          <cell r="P1292">
            <v>0.39827785439326513</v>
          </cell>
          <cell r="Q1292">
            <v>0.39045585255134413</v>
          </cell>
          <cell r="R1292">
            <v>0.34606199375346103</v>
          </cell>
          <cell r="S1292">
            <v>0.33998585853223234</v>
          </cell>
        </row>
        <row r="1295">
          <cell r="A1295" t="str">
            <v>Wireline</v>
          </cell>
          <cell r="B1295" t="str">
            <v>OpFCF margin</v>
          </cell>
          <cell r="C1295">
            <v>1998</v>
          </cell>
          <cell r="D1295">
            <v>1999</v>
          </cell>
          <cell r="E1295">
            <v>2000</v>
          </cell>
          <cell r="F1295">
            <v>2001</v>
          </cell>
          <cell r="G1295">
            <v>2002</v>
          </cell>
          <cell r="H1295">
            <v>2003</v>
          </cell>
          <cell r="I1295">
            <v>2004</v>
          </cell>
          <cell r="J1295">
            <v>2005</v>
          </cell>
          <cell r="K1295">
            <v>2006</v>
          </cell>
          <cell r="L1295">
            <v>2007</v>
          </cell>
          <cell r="M1295">
            <v>2008</v>
          </cell>
          <cell r="N1295">
            <v>2009</v>
          </cell>
          <cell r="O1295">
            <v>2010</v>
          </cell>
          <cell r="P1295">
            <v>2011</v>
          </cell>
          <cell r="Q1295">
            <v>2012</v>
          </cell>
          <cell r="R1295">
            <v>2013</v>
          </cell>
          <cell r="S1295">
            <v>2014</v>
          </cell>
        </row>
        <row r="1296">
          <cell r="A1296" t="str">
            <v>Wireline</v>
          </cell>
          <cell r="B1296" t="str">
            <v>Belgacom</v>
          </cell>
          <cell r="C1296" t="e">
            <v>#DIV/0!</v>
          </cell>
          <cell r="D1296" t="e">
            <v>#DIV/0!</v>
          </cell>
          <cell r="E1296" t="e">
            <v>#DIV/0!</v>
          </cell>
          <cell r="F1296">
            <v>0.22407519708914495</v>
          </cell>
          <cell r="G1296">
            <v>0.22929736511919699</v>
          </cell>
          <cell r="H1296">
            <v>0.24871299871299871</v>
          </cell>
          <cell r="I1296">
            <v>0.29721862871927557</v>
          </cell>
          <cell r="J1296">
            <v>0.27995322323714467</v>
          </cell>
          <cell r="K1296">
            <v>0.2764890853278002</v>
          </cell>
          <cell r="L1296">
            <v>0.26600581426656328</v>
          </cell>
          <cell r="M1296">
            <v>0.24721319048787338</v>
          </cell>
          <cell r="N1296">
            <v>0.23154447569282235</v>
          </cell>
          <cell r="O1296">
            <v>0.21746115113978731</v>
          </cell>
          <cell r="P1296">
            <v>0.20428682295314812</v>
          </cell>
          <cell r="Q1296">
            <v>0.19333276786079628</v>
          </cell>
          <cell r="R1296" t="e">
            <v>#DIV/0!</v>
          </cell>
          <cell r="S1296" t="e">
            <v>#DIV/0!</v>
          </cell>
        </row>
        <row r="1297">
          <cell r="A1297" t="str">
            <v>Wireline</v>
          </cell>
          <cell r="B1297" t="str">
            <v>British Telecom</v>
          </cell>
          <cell r="C1297" t="e">
            <v>#DIV/0!</v>
          </cell>
          <cell r="D1297" t="e">
            <v>#DIV/0!</v>
          </cell>
          <cell r="E1297" t="e">
            <v>#DIV/0!</v>
          </cell>
          <cell r="F1297" t="e">
            <v>#DIV/0!</v>
          </cell>
          <cell r="G1297">
            <v>0.24710494129158511</v>
          </cell>
          <cell r="H1297">
            <v>0.19794981757664981</v>
          </cell>
          <cell r="I1297">
            <v>0.18323478921010411</v>
          </cell>
          <cell r="J1297">
            <v>0.18980397103148527</v>
          </cell>
          <cell r="K1297">
            <v>0.20121262293997177</v>
          </cell>
          <cell r="L1297">
            <v>0.21051866672941</v>
          </cell>
          <cell r="M1297">
            <v>0.21246140128674992</v>
          </cell>
          <cell r="N1297">
            <v>0.2090081452399401</v>
          </cell>
          <cell r="O1297">
            <v>0.2011273032534073</v>
          </cell>
          <cell r="P1297">
            <v>0.19964966797330511</v>
          </cell>
          <cell r="Q1297">
            <v>0.19863602431258032</v>
          </cell>
          <cell r="R1297">
            <v>0.19064104726582967</v>
          </cell>
          <cell r="S1297">
            <v>0.1765952266089002</v>
          </cell>
        </row>
        <row r="1298">
          <cell r="A1298" t="str">
            <v>Wireline</v>
          </cell>
          <cell r="B1298" t="str">
            <v>Deutsche Telekom</v>
          </cell>
          <cell r="C1298" t="e">
            <v>#DIV/0!</v>
          </cell>
          <cell r="D1298" t="e">
            <v>#DIV/0!</v>
          </cell>
          <cell r="E1298" t="e">
            <v>#DIV/0!</v>
          </cell>
          <cell r="F1298">
            <v>0.15533596837944663</v>
          </cell>
          <cell r="G1298">
            <v>0.21423106350420812</v>
          </cell>
          <cell r="H1298">
            <v>0.29875480257371662</v>
          </cell>
          <cell r="I1298">
            <v>0.2835813843609733</v>
          </cell>
          <cell r="J1298">
            <v>0.27948086102010217</v>
          </cell>
          <cell r="K1298">
            <v>0.28599024928166372</v>
          </cell>
          <cell r="L1298">
            <v>0.29171849903381752</v>
          </cell>
          <cell r="M1298">
            <v>0.28813541650818353</v>
          </cell>
          <cell r="N1298">
            <v>0.2898932371918812</v>
          </cell>
          <cell r="O1298">
            <v>0.28969383938132615</v>
          </cell>
          <cell r="P1298">
            <v>0.28595581517867735</v>
          </cell>
          <cell r="Q1298">
            <v>0.28148373992846287</v>
          </cell>
          <cell r="R1298" t="e">
            <v>#DIV/0!</v>
          </cell>
          <cell r="S1298" t="e">
            <v>#DIV/0!</v>
          </cell>
        </row>
        <row r="1299">
          <cell r="A1299" t="str">
            <v>Wireline</v>
          </cell>
          <cell r="B1299" t="str">
            <v>Eircom</v>
          </cell>
          <cell r="C1299" t="e">
            <v>#DIV/0!</v>
          </cell>
          <cell r="D1299" t="e">
            <v>#DIV/0!</v>
          </cell>
          <cell r="E1299">
            <v>-2.6413345690454126E-2</v>
          </cell>
          <cell r="F1299">
            <v>0.11035653650254669</v>
          </cell>
          <cell r="G1299">
            <v>0.21046338930127984</v>
          </cell>
          <cell r="H1299">
            <v>0.24201177712667657</v>
          </cell>
          <cell r="I1299">
            <v>0.26847002634733841</v>
          </cell>
          <cell r="J1299">
            <v>0.26996454861698571</v>
          </cell>
          <cell r="K1299">
            <v>0.25271220518681381</v>
          </cell>
          <cell r="L1299">
            <v>0.24240132436285239</v>
          </cell>
          <cell r="M1299">
            <v>0.2253193437363365</v>
          </cell>
          <cell r="N1299">
            <v>0.2088073808832539</v>
          </cell>
          <cell r="O1299">
            <v>0.19944324218772991</v>
          </cell>
          <cell r="P1299">
            <v>0.19507682020223421</v>
          </cell>
          <cell r="Q1299">
            <v>0.18545681335831879</v>
          </cell>
          <cell r="R1299" t="e">
            <v>#DIV/0!</v>
          </cell>
          <cell r="S1299" t="e">
            <v>#DIV/0!</v>
          </cell>
        </row>
        <row r="1300">
          <cell r="A1300" t="str">
            <v>Wireline</v>
          </cell>
          <cell r="B1300" t="str">
            <v>France Telecom</v>
          </cell>
          <cell r="C1300" t="e">
            <v>#DIV/0!</v>
          </cell>
          <cell r="D1300" t="e">
            <v>#DIV/0!</v>
          </cell>
          <cell r="E1300">
            <v>0.27114894435627374</v>
          </cell>
          <cell r="F1300">
            <v>0.21751108432697688</v>
          </cell>
          <cell r="G1300">
            <v>0.20846340617412418</v>
          </cell>
          <cell r="H1300">
            <v>0.28066547175881246</v>
          </cell>
          <cell r="I1300">
            <v>0.28819188191881917</v>
          </cell>
          <cell r="J1300">
            <v>0.28391887048928827</v>
          </cell>
          <cell r="K1300">
            <v>0.27814075783612402</v>
          </cell>
          <cell r="L1300">
            <v>0.26719974018987325</v>
          </cell>
          <cell r="M1300">
            <v>0.25509724962017316</v>
          </cell>
          <cell r="N1300">
            <v>0.2421731921766071</v>
          </cell>
          <cell r="O1300">
            <v>0.23592183147343646</v>
          </cell>
          <cell r="P1300">
            <v>0.22841186631224467</v>
          </cell>
          <cell r="Q1300">
            <v>0.22132126829211618</v>
          </cell>
          <cell r="R1300" t="e">
            <v>#DIV/0!</v>
          </cell>
          <cell r="S1300" t="e">
            <v>#DIV/0!</v>
          </cell>
        </row>
        <row r="1301">
          <cell r="A1301" t="str">
            <v>Wireline</v>
          </cell>
          <cell r="B1301" t="str">
            <v>KPN</v>
          </cell>
          <cell r="C1301">
            <v>0.14238591164414754</v>
          </cell>
          <cell r="D1301">
            <v>0.10825958965209634</v>
          </cell>
          <cell r="E1301">
            <v>5.7278415103982266E-2</v>
          </cell>
          <cell r="F1301">
            <v>0.11068688705753808</v>
          </cell>
          <cell r="G1301">
            <v>0.29530472218485132</v>
          </cell>
          <cell r="H1301">
            <v>0.378661383896986</v>
          </cell>
          <cell r="I1301">
            <v>0.3781207444394008</v>
          </cell>
          <cell r="J1301">
            <v>0.33438820936599184</v>
          </cell>
          <cell r="K1301">
            <v>0.3341837358276456</v>
          </cell>
          <cell r="L1301">
            <v>0.324618212441381</v>
          </cell>
          <cell r="M1301">
            <v>0.31459535667716809</v>
          </cell>
          <cell r="N1301">
            <v>0.29688032335452685</v>
          </cell>
          <cell r="O1301">
            <v>0.32296834341821623</v>
          </cell>
          <cell r="P1301">
            <v>0.31696311088631363</v>
          </cell>
          <cell r="Q1301">
            <v>0.31032003687214621</v>
          </cell>
          <cell r="R1301" t="e">
            <v>#DIV/0!</v>
          </cell>
          <cell r="S1301" t="e">
            <v>#DIV/0!</v>
          </cell>
        </row>
        <row r="1302">
          <cell r="A1302" t="str">
            <v>Wireline</v>
          </cell>
          <cell r="B1302" t="str">
            <v>OTE</v>
          </cell>
          <cell r="C1302">
            <v>0.2226782066429151</v>
          </cell>
          <cell r="D1302">
            <v>0.21373874572660134</v>
          </cell>
          <cell r="E1302">
            <v>0.16544813630132513</v>
          </cell>
          <cell r="F1302">
            <v>0.14467373469645337</v>
          </cell>
          <cell r="G1302">
            <v>0.16222829541121139</v>
          </cell>
          <cell r="H1302">
            <v>0.20775943644201447</v>
          </cell>
          <cell r="I1302">
            <v>0.12098670264020042</v>
          </cell>
          <cell r="J1302">
            <v>0.16449394187485797</v>
          </cell>
          <cell r="K1302">
            <v>0.21875809426117521</v>
          </cell>
          <cell r="L1302">
            <v>0.24634773298412144</v>
          </cell>
          <cell r="M1302">
            <v>0.25646317382593736</v>
          </cell>
          <cell r="N1302">
            <v>0.26885063170624302</v>
          </cell>
          <cell r="O1302">
            <v>0.27151428478877976</v>
          </cell>
          <cell r="P1302">
            <v>0.26848553090239474</v>
          </cell>
          <cell r="Q1302">
            <v>0.26434923328003868</v>
          </cell>
          <cell r="R1302" t="e">
            <v>#DIV/0!</v>
          </cell>
          <cell r="S1302" t="e">
            <v>#DIV/0!</v>
          </cell>
        </row>
        <row r="1303">
          <cell r="A1303" t="str">
            <v>Wireline</v>
          </cell>
          <cell r="B1303" t="str">
            <v>Portugal Telecom</v>
          </cell>
          <cell r="C1303" t="e">
            <v>#DIV/0!</v>
          </cell>
          <cell r="D1303">
            <v>0.34624581539933047</v>
          </cell>
          <cell r="E1303">
            <v>0.27777777777777779</v>
          </cell>
          <cell r="F1303">
            <v>0.26047068209014757</v>
          </cell>
          <cell r="G1303">
            <v>0.28211482858323006</v>
          </cell>
          <cell r="H1303">
            <v>0.28381279519106911</v>
          </cell>
          <cell r="I1303">
            <v>0.26075841499786961</v>
          </cell>
          <cell r="J1303">
            <v>0.25618084385107637</v>
          </cell>
          <cell r="K1303">
            <v>0.25134004009385758</v>
          </cell>
          <cell r="L1303">
            <v>0.2524417481205985</v>
          </cell>
          <cell r="M1303">
            <v>0.24033454677381275</v>
          </cell>
          <cell r="N1303">
            <v>0.23534986145159975</v>
          </cell>
          <cell r="O1303">
            <v>0.22819443181565591</v>
          </cell>
          <cell r="P1303">
            <v>0.22015163354016098</v>
          </cell>
          <cell r="Q1303">
            <v>0.21288396880625848</v>
          </cell>
          <cell r="R1303" t="e">
            <v>#DIV/0!</v>
          </cell>
          <cell r="S1303" t="e">
            <v>#DIV/0!</v>
          </cell>
        </row>
        <row r="1304">
          <cell r="A1304" t="str">
            <v>Wireline</v>
          </cell>
          <cell r="B1304" t="str">
            <v>Swisscom</v>
          </cell>
          <cell r="C1304">
            <v>0.28900752244600825</v>
          </cell>
          <cell r="D1304">
            <v>0.25096101043382757</v>
          </cell>
          <cell r="E1304">
            <v>0.26726906886537294</v>
          </cell>
          <cell r="F1304">
            <v>0.25426286087330008</v>
          </cell>
          <cell r="G1304">
            <v>0.25232706152716233</v>
          </cell>
          <cell r="H1304">
            <v>0.31851542538940447</v>
          </cell>
          <cell r="I1304">
            <v>0.31751215250391007</v>
          </cell>
          <cell r="J1304">
            <v>0.3214015617813703</v>
          </cell>
          <cell r="K1304">
            <v>0.3135899423794169</v>
          </cell>
          <cell r="L1304">
            <v>0.30525787736592774</v>
          </cell>
          <cell r="M1304">
            <v>0.29514022483030966</v>
          </cell>
          <cell r="N1304">
            <v>0.2834254707485358</v>
          </cell>
          <cell r="O1304">
            <v>0.27059647872922504</v>
          </cell>
          <cell r="P1304">
            <v>0.25724732863682426</v>
          </cell>
          <cell r="Q1304">
            <v>0.24490826566080579</v>
          </cell>
          <cell r="R1304" t="e">
            <v>#DIV/0!</v>
          </cell>
          <cell r="S1304" t="e">
            <v>#DIV/0!</v>
          </cell>
        </row>
        <row r="1305">
          <cell r="A1305" t="str">
            <v>Wireline</v>
          </cell>
          <cell r="B1305" t="str">
            <v>TDC</v>
          </cell>
          <cell r="C1305" t="e">
            <v>#DIV/0!</v>
          </cell>
          <cell r="D1305" t="e">
            <v>#DIV/0!</v>
          </cell>
          <cell r="E1305" t="e">
            <v>#DIV/0!</v>
          </cell>
          <cell r="F1305" t="e">
            <v>#DIV/0!</v>
          </cell>
          <cell r="G1305">
            <v>0.11674315474655804</v>
          </cell>
          <cell r="H1305">
            <v>0.17729351627656711</v>
          </cell>
          <cell r="I1305">
            <v>0.18488434642280796</v>
          </cell>
          <cell r="J1305">
            <v>0.17461041495094073</v>
          </cell>
          <cell r="K1305">
            <v>0.17090172595642272</v>
          </cell>
          <cell r="L1305">
            <v>0.16741846876475222</v>
          </cell>
          <cell r="M1305">
            <v>0.16272730721173226</v>
          </cell>
          <cell r="N1305">
            <v>0.15820192080323095</v>
          </cell>
          <cell r="O1305">
            <v>0.15379255760852337</v>
          </cell>
          <cell r="P1305">
            <v>0.14043006711157432</v>
          </cell>
          <cell r="Q1305">
            <v>0.12808086612200401</v>
          </cell>
          <cell r="R1305" t="e">
            <v>#DIV/0!</v>
          </cell>
          <cell r="S1305" t="e">
            <v>#DIV/0!</v>
          </cell>
        </row>
        <row r="1306">
          <cell r="A1306" t="str">
            <v>Wireline</v>
          </cell>
          <cell r="B1306" t="str">
            <v>Telecom Italia</v>
          </cell>
          <cell r="C1306" t="e">
            <v>#DIV/0!</v>
          </cell>
          <cell r="D1306" t="e">
            <v>#DIV/0!</v>
          </cell>
          <cell r="E1306">
            <v>0.2587404558241001</v>
          </cell>
          <cell r="F1306">
            <v>0.27702702702702703</v>
          </cell>
          <cell r="G1306">
            <v>0.3036658442016214</v>
          </cell>
          <cell r="H1306">
            <v>0.32187535794987138</v>
          </cell>
          <cell r="I1306">
            <v>0.32666472525553386</v>
          </cell>
          <cell r="J1306">
            <v>0.33546343077804036</v>
          </cell>
          <cell r="K1306">
            <v>0.34402693775331039</v>
          </cell>
          <cell r="L1306">
            <v>0.35021406144373224</v>
          </cell>
          <cell r="M1306">
            <v>0.34952926923154787</v>
          </cell>
          <cell r="N1306">
            <v>0.34321873331297192</v>
          </cell>
          <cell r="O1306">
            <v>0.33442434797583565</v>
          </cell>
          <cell r="P1306">
            <v>0.32342809693927022</v>
          </cell>
          <cell r="Q1306">
            <v>0.31042627657522126</v>
          </cell>
          <cell r="R1306" t="e">
            <v>#DIV/0!</v>
          </cell>
          <cell r="S1306" t="e">
            <v>#DIV/0!</v>
          </cell>
        </row>
        <row r="1307">
          <cell r="A1307" t="str">
            <v>Wireline</v>
          </cell>
          <cell r="B1307" t="str">
            <v>Telefonica</v>
          </cell>
          <cell r="C1307" t="e">
            <v>#DIV/0!</v>
          </cell>
          <cell r="D1307">
            <v>0</v>
          </cell>
          <cell r="E1307">
            <v>0.26175254593485159</v>
          </cell>
          <cell r="F1307">
            <v>0.2595886658056436</v>
          </cell>
          <cell r="G1307">
            <v>0.26998452057595135</v>
          </cell>
          <cell r="H1307">
            <v>0.30690764253791353</v>
          </cell>
          <cell r="I1307">
            <v>0.35112267250821466</v>
          </cell>
          <cell r="J1307">
            <v>0.35102253241725989</v>
          </cell>
          <cell r="K1307">
            <v>0.36946189615561842</v>
          </cell>
          <cell r="L1307">
            <v>0.37265185195593048</v>
          </cell>
          <cell r="M1307">
            <v>0.37351933712170377</v>
          </cell>
          <cell r="N1307">
            <v>0.36392313520865782</v>
          </cell>
          <cell r="O1307">
            <v>0.35060701758584817</v>
          </cell>
          <cell r="P1307">
            <v>0.33802992548451838</v>
          </cell>
          <cell r="Q1307">
            <v>0.32309265343719573</v>
          </cell>
          <cell r="R1307" t="e">
            <v>#DIV/0!</v>
          </cell>
          <cell r="S1307" t="e">
            <v>#DIV/0!</v>
          </cell>
        </row>
        <row r="1308">
          <cell r="A1308" t="str">
            <v>Wireline</v>
          </cell>
          <cell r="B1308" t="str">
            <v>Telekom Austria</v>
          </cell>
          <cell r="C1308">
            <v>0.21650517875041764</v>
          </cell>
          <cell r="D1308">
            <v>0.16184419713831477</v>
          </cell>
          <cell r="E1308">
            <v>8.9861751152073732E-2</v>
          </cell>
          <cell r="F1308">
            <v>0.15754847645429362</v>
          </cell>
          <cell r="G1308">
            <v>0.21164259927797835</v>
          </cell>
          <cell r="H1308">
            <v>0.25496535796766745</v>
          </cell>
          <cell r="I1308">
            <v>0.27391732111524303</v>
          </cell>
          <cell r="J1308">
            <v>0.26265559736260313</v>
          </cell>
          <cell r="K1308">
            <v>0.26931682584393457</v>
          </cell>
          <cell r="L1308">
            <v>0.27252908348339816</v>
          </cell>
          <cell r="M1308">
            <v>0.27226016364188604</v>
          </cell>
          <cell r="N1308">
            <v>0.26174991543149279</v>
          </cell>
          <cell r="O1308">
            <v>0.25004113131549743</v>
          </cell>
          <cell r="P1308">
            <v>0.23883994629892288</v>
          </cell>
          <cell r="Q1308">
            <v>0.22728306048200012</v>
          </cell>
          <cell r="R1308" t="e">
            <v>#DIV/0!</v>
          </cell>
          <cell r="S1308" t="e">
            <v>#DIV/0!</v>
          </cell>
        </row>
        <row r="1309">
          <cell r="A1309" t="str">
            <v>Wireline</v>
          </cell>
          <cell r="B1309" t="str">
            <v>Telenor</v>
          </cell>
          <cell r="C1309" t="e">
            <v>#DIV/0!</v>
          </cell>
          <cell r="D1309" t="e">
            <v>#DIV/0!</v>
          </cell>
          <cell r="E1309" t="e">
            <v>#DIV/0!</v>
          </cell>
          <cell r="F1309">
            <v>4.3125074662525388E-2</v>
          </cell>
          <cell r="G1309">
            <v>0.15545608516815873</v>
          </cell>
          <cell r="H1309">
            <v>0.30129806813334148</v>
          </cell>
          <cell r="I1309">
            <v>0.30620971344693343</v>
          </cell>
          <cell r="J1309">
            <v>0.29946302877754349</v>
          </cell>
          <cell r="K1309">
            <v>0.29847295980413574</v>
          </cell>
          <cell r="L1309">
            <v>0.29106018856310317</v>
          </cell>
          <cell r="M1309">
            <v>0.28263395761093746</v>
          </cell>
          <cell r="N1309">
            <v>0.27360695157573695</v>
          </cell>
          <cell r="O1309">
            <v>0.26378097718426435</v>
          </cell>
          <cell r="P1309">
            <v>0.25405347327419159</v>
          </cell>
          <cell r="Q1309">
            <v>0.24409164432528863</v>
          </cell>
          <cell r="R1309" t="e">
            <v>#DIV/0!</v>
          </cell>
          <cell r="S1309" t="e">
            <v>#DIV/0!</v>
          </cell>
        </row>
        <row r="1310">
          <cell r="A1310" t="str">
            <v>Wireline</v>
          </cell>
          <cell r="B1310" t="str">
            <v>TeliaSonera</v>
          </cell>
          <cell r="C1310" t="e">
            <v>#DIV/0!</v>
          </cell>
          <cell r="D1310" t="e">
            <v>#DIV/0!</v>
          </cell>
          <cell r="E1310" t="e">
            <v>#DIV/0!</v>
          </cell>
          <cell r="F1310">
            <v>0.14100272787131973</v>
          </cell>
          <cell r="G1310">
            <v>0.21269952528116737</v>
          </cell>
          <cell r="H1310">
            <v>0.31925766541151157</v>
          </cell>
          <cell r="I1310">
            <v>0.28085194518278161</v>
          </cell>
          <cell r="J1310">
            <v>0.28240464056762699</v>
          </cell>
          <cell r="K1310">
            <v>0.29453327439702831</v>
          </cell>
          <cell r="L1310">
            <v>0.29493791570077527</v>
          </cell>
          <cell r="M1310">
            <v>0.28205989569172563</v>
          </cell>
          <cell r="N1310">
            <v>0.26713581712514195</v>
          </cell>
          <cell r="O1310">
            <v>0.24794785494070568</v>
          </cell>
          <cell r="P1310">
            <v>0.22603178408660149</v>
          </cell>
          <cell r="Q1310">
            <v>0.20632434130258506</v>
          </cell>
          <cell r="R1310">
            <v>0.18986006408947981</v>
          </cell>
          <cell r="S1310" t="e">
            <v>#DIV/0!</v>
          </cell>
        </row>
        <row r="1311">
          <cell r="A1311" t="str">
            <v>Wireline</v>
          </cell>
          <cell r="B1311" t="str">
            <v>Sum</v>
          </cell>
          <cell r="C1311">
            <v>0.49241761273870022</v>
          </cell>
          <cell r="D1311">
            <v>0.32057296508669647</v>
          </cell>
          <cell r="E1311">
            <v>0.22253282790560017</v>
          </cell>
          <cell r="F1311">
            <v>0.20092287920321678</v>
          </cell>
          <cell r="G1311">
            <v>0.23879707204855918</v>
          </cell>
          <cell r="H1311">
            <v>0.27935270614038349</v>
          </cell>
          <cell r="I1311">
            <v>0.27949281770490342</v>
          </cell>
          <cell r="J1311">
            <v>0.27826560066719891</v>
          </cell>
          <cell r="K1311">
            <v>0.28432999165291911</v>
          </cell>
          <cell r="L1311">
            <v>0.28579006319632227</v>
          </cell>
          <cell r="M1311">
            <v>0.28171797356944545</v>
          </cell>
          <cell r="N1311">
            <v>0.27520105104797582</v>
          </cell>
          <cell r="O1311">
            <v>0.26992818420881681</v>
          </cell>
          <cell r="P1311">
            <v>0.26259449755869962</v>
          </cell>
          <cell r="Q1311">
            <v>0.25467180915791515</v>
          </cell>
          <cell r="R1311">
            <v>0.19053878892198323</v>
          </cell>
          <cell r="S1311">
            <v>0.1765952266089002</v>
          </cell>
        </row>
        <row r="1352">
          <cell r="A1352" t="str">
            <v>Wireline</v>
          </cell>
          <cell r="B1352" t="str">
            <v>FCF ROIC</v>
          </cell>
          <cell r="C1352">
            <v>1998</v>
          </cell>
          <cell r="D1352">
            <v>1999</v>
          </cell>
          <cell r="E1352">
            <v>2000</v>
          </cell>
          <cell r="F1352">
            <v>2001</v>
          </cell>
          <cell r="G1352">
            <v>2002</v>
          </cell>
          <cell r="H1352">
            <v>2003</v>
          </cell>
          <cell r="I1352">
            <v>2004</v>
          </cell>
          <cell r="J1352">
            <v>2005</v>
          </cell>
          <cell r="K1352">
            <v>2006</v>
          </cell>
          <cell r="L1352">
            <v>2007</v>
          </cell>
          <cell r="M1352">
            <v>2008</v>
          </cell>
          <cell r="N1352">
            <v>2009</v>
          </cell>
          <cell r="O1352">
            <v>2010</v>
          </cell>
          <cell r="P1352">
            <v>2011</v>
          </cell>
          <cell r="Q1352">
            <v>2012</v>
          </cell>
          <cell r="R1352">
            <v>2013</v>
          </cell>
          <cell r="S1352">
            <v>2014</v>
          </cell>
        </row>
        <row r="1353">
          <cell r="A1353" t="str">
            <v>Wireline</v>
          </cell>
          <cell r="B1353" t="str">
            <v>Belgacom</v>
          </cell>
          <cell r="C1353" t="e">
            <v>#DIV/0!</v>
          </cell>
          <cell r="D1353" t="e">
            <v>#DIV/0!</v>
          </cell>
          <cell r="E1353" t="e">
            <v>#DIV/0!</v>
          </cell>
          <cell r="F1353">
            <v>0.12713978494623654</v>
          </cell>
          <cell r="G1353">
            <v>0.15934604904632155</v>
          </cell>
          <cell r="H1353">
            <v>0.18404761904761904</v>
          </cell>
          <cell r="I1353">
            <v>0.23926627218934909</v>
          </cell>
          <cell r="J1353">
            <v>0.21112482518589901</v>
          </cell>
          <cell r="K1353">
            <v>0.20823962292088541</v>
          </cell>
          <cell r="L1353">
            <v>0.19817520805870392</v>
          </cell>
          <cell r="M1353">
            <v>0.18084844923460214</v>
          </cell>
          <cell r="N1353">
            <v>0.16725545212477022</v>
          </cell>
          <cell r="O1353">
            <v>0.15542029494100093</v>
          </cell>
          <cell r="P1353">
            <v>0.14459638239999345</v>
          </cell>
          <cell r="Q1353">
            <v>0.13584817315732045</v>
          </cell>
          <cell r="R1353" t="e">
            <v>#DIV/0!</v>
          </cell>
          <cell r="S1353" t="e">
            <v>#DIV/0!</v>
          </cell>
        </row>
        <row r="1354">
          <cell r="A1354" t="str">
            <v>Wireline</v>
          </cell>
          <cell r="B1354" t="str">
            <v>British Telecom</v>
          </cell>
          <cell r="C1354" t="e">
            <v>#DIV/0!</v>
          </cell>
          <cell r="D1354" t="e">
            <v>#DIV/0!</v>
          </cell>
          <cell r="E1354" t="e">
            <v>#DIV/0!</v>
          </cell>
          <cell r="F1354" t="e">
            <v>#DIV/0!</v>
          </cell>
          <cell r="G1354">
            <v>0.23573869537443615</v>
          </cell>
          <cell r="H1354">
            <v>0.13592740014640278</v>
          </cell>
          <cell r="I1354">
            <v>0.11009701314013914</v>
          </cell>
          <cell r="J1354">
            <v>0.11995440383795014</v>
          </cell>
          <cell r="K1354">
            <v>0.12898323395142891</v>
          </cell>
          <cell r="L1354">
            <v>0.13044034591182896</v>
          </cell>
          <cell r="M1354">
            <v>0.13500168454424627</v>
          </cell>
          <cell r="N1354">
            <v>0.13579527966832555</v>
          </cell>
          <cell r="O1354">
            <v>0.13342521775559557</v>
          </cell>
          <cell r="P1354">
            <v>0.13579511170111228</v>
          </cell>
          <cell r="Q1354">
            <v>0.13912546485866942</v>
          </cell>
          <cell r="R1354">
            <v>0.12909225022601889</v>
          </cell>
          <cell r="S1354">
            <v>0.11550196351900091</v>
          </cell>
        </row>
        <row r="1355">
          <cell r="A1355" t="str">
            <v>Wireline</v>
          </cell>
          <cell r="B1355" t="str">
            <v>Deutsche Telekom</v>
          </cell>
          <cell r="C1355" t="e">
            <v>#DIV/0!</v>
          </cell>
          <cell r="D1355" t="e">
            <v>#DIV/0!</v>
          </cell>
          <cell r="E1355" t="e">
            <v>#DIV/0!</v>
          </cell>
          <cell r="F1355">
            <v>4.5860615883306317E-2</v>
          </cell>
          <cell r="G1355">
            <v>0.11508008461770927</v>
          </cell>
          <cell r="H1355">
            <v>0.24460639950295124</v>
          </cell>
          <cell r="I1355">
            <v>0.20230529078602016</v>
          </cell>
          <cell r="J1355">
            <v>0.16462408555445751</v>
          </cell>
          <cell r="K1355">
            <v>0.15640016308230015</v>
          </cell>
          <cell r="L1355">
            <v>0.15730610366665065</v>
          </cell>
          <cell r="M1355">
            <v>0.15393499320567949</v>
          </cell>
          <cell r="N1355">
            <v>0.15420319559148016</v>
          </cell>
          <cell r="O1355">
            <v>0.15339534028921017</v>
          </cell>
          <cell r="P1355">
            <v>0.15050742516405316</v>
          </cell>
          <cell r="Q1355">
            <v>0.14719420532708097</v>
          </cell>
          <cell r="R1355" t="e">
            <v>#DIV/0!</v>
          </cell>
          <cell r="S1355" t="e">
            <v>#DIV/0!</v>
          </cell>
        </row>
        <row r="1356">
          <cell r="A1356" t="str">
            <v>Wireline</v>
          </cell>
          <cell r="B1356" t="str">
            <v>Eircom</v>
          </cell>
          <cell r="C1356" t="e">
            <v>#DIV/0!</v>
          </cell>
          <cell r="D1356" t="e">
            <v>#DIV/0!</v>
          </cell>
          <cell r="E1356">
            <v>-8.2075736325385694E-3</v>
          </cell>
          <cell r="F1356">
            <v>6.7499999999999991E-2</v>
          </cell>
          <cell r="G1356">
            <v>0.20335532994923858</v>
          </cell>
          <cell r="H1356">
            <v>0.22099358974358974</v>
          </cell>
          <cell r="I1356">
            <v>0.25237874191532977</v>
          </cell>
          <cell r="J1356">
            <v>0.24707800566556948</v>
          </cell>
          <cell r="K1356">
            <v>0.22122398707575611</v>
          </cell>
          <cell r="L1356">
            <v>0.21925156067408599</v>
          </cell>
          <cell r="M1356">
            <v>0.20920295222520274</v>
          </cell>
          <cell r="N1356">
            <v>0.19946092320194286</v>
          </cell>
          <cell r="O1356">
            <v>0.19614928526313649</v>
          </cell>
          <cell r="P1356">
            <v>0.19887592040095337</v>
          </cell>
          <cell r="Q1356">
            <v>0.19483180321064067</v>
          </cell>
          <cell r="R1356" t="e">
            <v>#DIV/0!</v>
          </cell>
          <cell r="S1356" t="e">
            <v>#DIV/0!</v>
          </cell>
        </row>
        <row r="1357">
          <cell r="A1357" t="str">
            <v>Wireline</v>
          </cell>
          <cell r="B1357" t="str">
            <v>France Telecom</v>
          </cell>
          <cell r="C1357">
            <v>0.14390569105691056</v>
          </cell>
          <cell r="D1357">
            <v>0.19395199999999999</v>
          </cell>
          <cell r="E1357">
            <v>0.20550983213429258</v>
          </cell>
          <cell r="F1357">
            <v>0.16012940887907776</v>
          </cell>
          <cell r="G1357">
            <v>0.1846317729231684</v>
          </cell>
          <cell r="H1357">
            <v>0.38791760078662735</v>
          </cell>
          <cell r="I1357">
            <v>0.3704861347456786</v>
          </cell>
          <cell r="J1357">
            <v>0.30599812561991707</v>
          </cell>
          <cell r="K1357">
            <v>0.27233475756156938</v>
          </cell>
          <cell r="L1357">
            <v>0.25293671605298351</v>
          </cell>
          <cell r="M1357">
            <v>0.22960673080537675</v>
          </cell>
          <cell r="N1357">
            <v>0.20752035385111595</v>
          </cell>
          <cell r="O1357">
            <v>0.20209294973462996</v>
          </cell>
          <cell r="P1357">
            <v>0.19571171911871391</v>
          </cell>
          <cell r="Q1357">
            <v>0.18645666359912358</v>
          </cell>
          <cell r="R1357" t="e">
            <v>#DIV/0!</v>
          </cell>
          <cell r="S1357" t="e">
            <v>#DIV/0!</v>
          </cell>
        </row>
        <row r="1358">
          <cell r="A1358" t="str">
            <v>Wireline</v>
          </cell>
          <cell r="B1358" t="str">
            <v>KPN</v>
          </cell>
          <cell r="C1358">
            <v>4.6498560726364102E-2</v>
          </cell>
          <cell r="D1358">
            <v>3.4984516416589888E-2</v>
          </cell>
          <cell r="E1358">
            <v>1.544229149115417E-2</v>
          </cell>
          <cell r="F1358">
            <v>4.7534013605442176E-2</v>
          </cell>
          <cell r="G1358">
            <v>0.3101887810140237</v>
          </cell>
          <cell r="H1358">
            <v>0.41217636684303349</v>
          </cell>
          <cell r="I1358">
            <v>0.33067575757575757</v>
          </cell>
          <cell r="J1358">
            <v>0.26087634787653974</v>
          </cell>
          <cell r="K1358">
            <v>0.23300312046009419</v>
          </cell>
          <cell r="L1358">
            <v>0.20382856541235608</v>
          </cell>
          <cell r="M1358">
            <v>0.1731867399171052</v>
          </cell>
          <cell r="N1358">
            <v>0.14596268327216391</v>
          </cell>
          <cell r="O1358">
            <v>0.18846637538350514</v>
          </cell>
          <cell r="P1358">
            <v>0.19012119388631918</v>
          </cell>
          <cell r="Q1358">
            <v>0.19120837278799138</v>
          </cell>
          <cell r="R1358" t="e">
            <v>#DIV/0!</v>
          </cell>
          <cell r="S1358" t="e">
            <v>#DIV/0!</v>
          </cell>
        </row>
        <row r="1359">
          <cell r="A1359" t="str">
            <v>Wireline</v>
          </cell>
          <cell r="B1359" t="str">
            <v>OTE</v>
          </cell>
          <cell r="C1359">
            <v>8.215318738221411E-2</v>
          </cell>
          <cell r="D1359">
            <v>7.8238799283154109E-2</v>
          </cell>
          <cell r="E1359">
            <v>6.2848183487882459E-2</v>
          </cell>
          <cell r="F1359">
            <v>4.9627729851558243E-2</v>
          </cell>
          <cell r="G1359">
            <v>6.7571886512607052E-2</v>
          </cell>
          <cell r="H1359">
            <v>0.11040733197556007</v>
          </cell>
          <cell r="I1359">
            <v>8.1626811594202889E-2</v>
          </cell>
          <cell r="J1359">
            <v>0.11566414777377433</v>
          </cell>
          <cell r="K1359">
            <v>0.16625353769353662</v>
          </cell>
          <cell r="L1359">
            <v>0.19307602119648887</v>
          </cell>
          <cell r="M1359">
            <v>0.20822467482555479</v>
          </cell>
          <cell r="N1359">
            <v>0.21921325356762986</v>
          </cell>
          <cell r="O1359">
            <v>0.22047425070473825</v>
          </cell>
          <cell r="P1359">
            <v>0.21672088794115618</v>
          </cell>
          <cell r="Q1359">
            <v>0.2120563339703137</v>
          </cell>
          <cell r="R1359" t="e">
            <v>#DIV/0!</v>
          </cell>
          <cell r="S1359" t="e">
            <v>#DIV/0!</v>
          </cell>
        </row>
        <row r="1360">
          <cell r="A1360" t="str">
            <v>Wireline</v>
          </cell>
          <cell r="B1360" t="str">
            <v>Portugal Telecom</v>
          </cell>
          <cell r="C1360" t="e">
            <v>#DIV/0!</v>
          </cell>
          <cell r="D1360">
            <v>0.13961177914110429</v>
          </cell>
          <cell r="E1360">
            <v>0.12970405228758172</v>
          </cell>
          <cell r="F1360">
            <v>0.15415859312549959</v>
          </cell>
          <cell r="G1360">
            <v>0.21575526881720428</v>
          </cell>
          <cell r="H1360">
            <v>0.26473032938076418</v>
          </cell>
          <cell r="I1360">
            <v>0.23441720430107527</v>
          </cell>
          <cell r="J1360">
            <v>0.22252996133175215</v>
          </cell>
          <cell r="K1360">
            <v>0.20406929409633473</v>
          </cell>
          <cell r="L1360">
            <v>0.20541933723718489</v>
          </cell>
          <cell r="M1360">
            <v>0.18452980303704092</v>
          </cell>
          <cell r="N1360">
            <v>0.18180029378871038</v>
          </cell>
          <cell r="O1360">
            <v>0.17766349048040381</v>
          </cell>
          <cell r="P1360">
            <v>0.17296437079754548</v>
          </cell>
          <cell r="Q1360">
            <v>0.16878153507642954</v>
          </cell>
          <cell r="R1360" t="e">
            <v>#DIV/0!</v>
          </cell>
          <cell r="S1360" t="e">
            <v>#DIV/0!</v>
          </cell>
        </row>
        <row r="1361">
          <cell r="A1361" t="str">
            <v>Wireline</v>
          </cell>
          <cell r="B1361" t="str">
            <v>Swisscom</v>
          </cell>
          <cell r="C1361">
            <v>0.24133738601823709</v>
          </cell>
          <cell r="D1361">
            <v>0.16191319751992914</v>
          </cell>
          <cell r="E1361">
            <v>0.17322736466828612</v>
          </cell>
          <cell r="F1361">
            <v>0.19912636487194524</v>
          </cell>
          <cell r="G1361">
            <v>0.21411828025354632</v>
          </cell>
          <cell r="H1361">
            <v>0.26591989249863984</v>
          </cell>
          <cell r="I1361">
            <v>0.28784851612074053</v>
          </cell>
          <cell r="J1361">
            <v>0.28542627688277139</v>
          </cell>
          <cell r="K1361">
            <v>0.26907203673834318</v>
          </cell>
          <cell r="L1361">
            <v>0.25424172846187931</v>
          </cell>
          <cell r="M1361">
            <v>0.2378415395928353</v>
          </cell>
          <cell r="N1361">
            <v>0.22088599544405896</v>
          </cell>
          <cell r="O1361">
            <v>0.2036330611716636</v>
          </cell>
          <cell r="P1361">
            <v>0.18655639053801823</v>
          </cell>
          <cell r="Q1361">
            <v>0.17131830262049713</v>
          </cell>
          <cell r="R1361" t="e">
            <v>#DIV/0!</v>
          </cell>
          <cell r="S1361" t="e">
            <v>#DIV/0!</v>
          </cell>
        </row>
        <row r="1362">
          <cell r="A1362" t="str">
            <v>Wireline</v>
          </cell>
          <cell r="B1362" t="str">
            <v>TDC</v>
          </cell>
          <cell r="C1362" t="e">
            <v>#DIV/0!</v>
          </cell>
          <cell r="D1362" t="e">
            <v>#DIV/0!</v>
          </cell>
          <cell r="E1362" t="e">
            <v>#DIV/0!</v>
          </cell>
          <cell r="F1362" t="e">
            <v>#DIV/0!</v>
          </cell>
          <cell r="G1362">
            <v>6.0201329534662867E-2</v>
          </cell>
          <cell r="H1362">
            <v>0.12713242386661155</v>
          </cell>
          <cell r="I1362">
            <v>0.13056030389363724</v>
          </cell>
          <cell r="J1362">
            <v>0.12260365644549381</v>
          </cell>
          <cell r="K1362">
            <v>0.11976758570013311</v>
          </cell>
          <cell r="L1362">
            <v>0.11788174987568617</v>
          </cell>
          <cell r="M1362">
            <v>0.11513842433955272</v>
          </cell>
          <cell r="N1362">
            <v>0.11272649864316568</v>
          </cell>
          <cell r="O1362">
            <v>0.11056294990589176</v>
          </cell>
          <cell r="P1362">
            <v>0.10054831642719028</v>
          </cell>
          <cell r="Q1362">
            <v>9.145983290943259E-2</v>
          </cell>
          <cell r="R1362" t="e">
            <v>#DIV/0!</v>
          </cell>
          <cell r="S1362" t="e">
            <v>#DIV/0!</v>
          </cell>
        </row>
        <row r="1363">
          <cell r="A1363" t="str">
            <v>Wireline</v>
          </cell>
          <cell r="B1363" t="str">
            <v>Telecom Italia</v>
          </cell>
          <cell r="C1363" t="e">
            <v>#DIV/0!</v>
          </cell>
          <cell r="D1363" t="e">
            <v>#DIV/0!</v>
          </cell>
          <cell r="E1363">
            <v>0.13135154826958104</v>
          </cell>
          <cell r="F1363">
            <v>0.13583720099964297</v>
          </cell>
          <cell r="G1363">
            <v>0.16796100731112917</v>
          </cell>
          <cell r="H1363">
            <v>0.192577103821546</v>
          </cell>
          <cell r="I1363">
            <v>0.20187727645585024</v>
          </cell>
          <cell r="J1363">
            <v>0.21576796862300071</v>
          </cell>
          <cell r="K1363">
            <v>0.23327279060097586</v>
          </cell>
          <cell r="L1363">
            <v>0.23976181092745363</v>
          </cell>
          <cell r="M1363">
            <v>0.24019459875850854</v>
          </cell>
          <cell r="N1363">
            <v>0.23482340570305923</v>
          </cell>
          <cell r="O1363">
            <v>0.22712349857607528</v>
          </cell>
          <cell r="P1363">
            <v>0.2175316000682978</v>
          </cell>
          <cell r="Q1363">
            <v>0.20633110073061481</v>
          </cell>
          <cell r="R1363" t="e">
            <v>#DIV/0!</v>
          </cell>
          <cell r="S1363" t="e">
            <v>#DIV/0!</v>
          </cell>
        </row>
        <row r="1364">
          <cell r="A1364" t="str">
            <v>Wireline</v>
          </cell>
          <cell r="B1364" t="str">
            <v>Telefonica</v>
          </cell>
          <cell r="C1364" t="e">
            <v>#DIV/0!</v>
          </cell>
          <cell r="D1364">
            <v>0</v>
          </cell>
          <cell r="E1364">
            <v>0</v>
          </cell>
          <cell r="F1364">
            <v>0</v>
          </cell>
          <cell r="G1364">
            <v>0.13398297501259193</v>
          </cell>
          <cell r="H1364">
            <v>0.18877626866680181</v>
          </cell>
          <cell r="I1364">
            <v>0.27163713150049684</v>
          </cell>
          <cell r="J1364">
            <v>0.25775727552538452</v>
          </cell>
          <cell r="K1364">
            <v>0.26784933944072203</v>
          </cell>
          <cell r="L1364">
            <v>0.26893558296675751</v>
          </cell>
          <cell r="M1364">
            <v>0.2745204002928312</v>
          </cell>
          <cell r="N1364">
            <v>0.26827640844930145</v>
          </cell>
          <cell r="O1364">
            <v>0.25654837764794686</v>
          </cell>
          <cell r="P1364">
            <v>0.25078127350751755</v>
          </cell>
          <cell r="Q1364">
            <v>0.24249559676020913</v>
          </cell>
          <cell r="R1364" t="e">
            <v>#DIV/0!</v>
          </cell>
          <cell r="S1364" t="e">
            <v>#DIV/0!</v>
          </cell>
        </row>
        <row r="1365">
          <cell r="A1365" t="str">
            <v>Wireline</v>
          </cell>
          <cell r="B1365" t="str">
            <v>Telekom Austria</v>
          </cell>
          <cell r="C1365">
            <v>7.4638743455497383E-2</v>
          </cell>
          <cell r="D1365">
            <v>6.4263988522238163E-2</v>
          </cell>
          <cell r="E1365">
            <v>4.0376470588235298E-2</v>
          </cell>
          <cell r="F1365">
            <v>8.9175946547884188E-2</v>
          </cell>
          <cell r="G1365">
            <v>0.12103225806451613</v>
          </cell>
          <cell r="H1365">
            <v>0.16138205980066445</v>
          </cell>
          <cell r="I1365">
            <v>0.1928377940651311</v>
          </cell>
          <cell r="J1365">
            <v>0.19455970175007639</v>
          </cell>
          <cell r="K1365">
            <v>0.20716678911071887</v>
          </cell>
          <cell r="L1365">
            <v>0.21802326678671854</v>
          </cell>
          <cell r="M1365">
            <v>0.22688346970157172</v>
          </cell>
          <cell r="N1365">
            <v>0.21812492952624402</v>
          </cell>
          <cell r="O1365">
            <v>0.20836760942958121</v>
          </cell>
          <cell r="P1365">
            <v>0.19903328858243571</v>
          </cell>
          <cell r="Q1365">
            <v>0.18940255040166673</v>
          </cell>
          <cell r="R1365" t="e">
            <v>#DIV/0!</v>
          </cell>
          <cell r="S1365" t="e">
            <v>#DIV/0!</v>
          </cell>
        </row>
        <row r="1366">
          <cell r="A1366" t="str">
            <v>Wireline</v>
          </cell>
          <cell r="B1366" t="str">
            <v>Telenor</v>
          </cell>
          <cell r="C1366" t="e">
            <v>#DIV/0!</v>
          </cell>
          <cell r="D1366" t="e">
            <v>#DIV/0!</v>
          </cell>
          <cell r="E1366" t="e">
            <v>#DIV/0!</v>
          </cell>
          <cell r="F1366">
            <v>1.4500418410041842E-2</v>
          </cell>
          <cell r="G1366">
            <v>8.4522096608427549E-2</v>
          </cell>
          <cell r="H1366">
            <v>0.3026938775510204</v>
          </cell>
          <cell r="I1366">
            <v>0.31270061099796331</v>
          </cell>
          <cell r="J1366">
            <v>0.30589822279040008</v>
          </cell>
          <cell r="K1366">
            <v>0.30488687811576143</v>
          </cell>
          <cell r="L1366">
            <v>0.29731481301697377</v>
          </cell>
          <cell r="M1366">
            <v>0.28870750985968258</v>
          </cell>
          <cell r="N1366">
            <v>0.27948652149741854</v>
          </cell>
          <cell r="O1366">
            <v>0.26944939565986387</v>
          </cell>
          <cell r="P1366">
            <v>0.25951285634673099</v>
          </cell>
          <cell r="Q1366">
            <v>0.24933695655819624</v>
          </cell>
          <cell r="R1366" t="e">
            <v>#DIV/0!</v>
          </cell>
          <cell r="S1366" t="e">
            <v>#DIV/0!</v>
          </cell>
        </row>
        <row r="1367">
          <cell r="A1367" t="str">
            <v>Wireline</v>
          </cell>
          <cell r="B1367" t="str">
            <v>TeliaSonera</v>
          </cell>
          <cell r="C1367" t="e">
            <v>#DIV/0!</v>
          </cell>
          <cell r="D1367" t="e">
            <v>#DIV/0!</v>
          </cell>
          <cell r="E1367" t="e">
            <v>#DIV/0!</v>
          </cell>
          <cell r="F1367">
            <v>7.2471378210508655E-2</v>
          </cell>
          <cell r="G1367">
            <v>0.15954592979835699</v>
          </cell>
          <cell r="H1367">
            <v>0.33788584136397332</v>
          </cell>
          <cell r="I1367">
            <v>0.23434023402340234</v>
          </cell>
          <cell r="J1367">
            <v>0.24073435559917655</v>
          </cell>
          <cell r="K1367">
            <v>0.24990042479881025</v>
          </cell>
          <cell r="L1367">
            <v>0.24566925021763156</v>
          </cell>
          <cell r="M1367">
            <v>0.23055236230510542</v>
          </cell>
          <cell r="N1367">
            <v>0.21406550681158604</v>
          </cell>
          <cell r="O1367">
            <v>0.19367062595507001</v>
          </cell>
          <cell r="P1367">
            <v>0.17162124926473107</v>
          </cell>
          <cell r="Q1367">
            <v>0.15284866395405908</v>
          </cell>
          <cell r="R1367">
            <v>0.13788271101890623</v>
          </cell>
          <cell r="S1367" t="e">
            <v>#DIV/0!</v>
          </cell>
        </row>
        <row r="1368">
          <cell r="A1368" t="str">
            <v>Wireline</v>
          </cell>
          <cell r="B1368" t="str">
            <v>Sum</v>
          </cell>
          <cell r="C1368">
            <v>0.10884865406999061</v>
          </cell>
          <cell r="D1368">
            <v>9.4913198604345078E-2</v>
          </cell>
          <cell r="E1368">
            <v>0.1075752013097942</v>
          </cell>
          <cell r="F1368">
            <v>9.1870238804091231E-2</v>
          </cell>
          <cell r="G1368">
            <v>0.16528774527535772</v>
          </cell>
          <cell r="H1368">
            <v>0.21840025285374925</v>
          </cell>
          <cell r="I1368">
            <v>0.21011870903399782</v>
          </cell>
          <cell r="J1368">
            <v>0.20000036065078003</v>
          </cell>
          <cell r="K1368">
            <v>0.20009149733725437</v>
          </cell>
          <cell r="L1368">
            <v>0.1985951186262235</v>
          </cell>
          <cell r="M1368">
            <v>0.19370305278041972</v>
          </cell>
          <cell r="N1368">
            <v>0.1866981096374358</v>
          </cell>
          <cell r="O1368">
            <v>0.18504445350741192</v>
          </cell>
          <cell r="P1368">
            <v>0.18048758063522224</v>
          </cell>
          <cell r="Q1368">
            <v>0.17494015774946656</v>
          </cell>
          <cell r="R1368">
            <v>0.13020205224093642</v>
          </cell>
          <cell r="S1368">
            <v>0.11550196351900092</v>
          </cell>
        </row>
        <row r="1371">
          <cell r="A1371" t="str">
            <v>Wireline</v>
          </cell>
          <cell r="B1371" t="str">
            <v>Capex/sales</v>
          </cell>
          <cell r="C1371">
            <v>1998</v>
          </cell>
          <cell r="D1371">
            <v>1999</v>
          </cell>
          <cell r="E1371">
            <v>2000</v>
          </cell>
          <cell r="F1371">
            <v>2001</v>
          </cell>
          <cell r="G1371">
            <v>2002</v>
          </cell>
          <cell r="H1371">
            <v>2003</v>
          </cell>
          <cell r="I1371">
            <v>2004</v>
          </cell>
          <cell r="J1371">
            <v>2005</v>
          </cell>
          <cell r="K1371">
            <v>2006</v>
          </cell>
          <cell r="L1371">
            <v>2007</v>
          </cell>
          <cell r="M1371">
            <v>2008</v>
          </cell>
          <cell r="N1371">
            <v>2009</v>
          </cell>
          <cell r="O1371">
            <v>2010</v>
          </cell>
          <cell r="P1371">
            <v>2011</v>
          </cell>
          <cell r="Q1371">
            <v>2012</v>
          </cell>
          <cell r="R1371">
            <v>2013</v>
          </cell>
          <cell r="S1371">
            <v>2014</v>
          </cell>
        </row>
        <row r="1372">
          <cell r="A1372" t="str">
            <v>Wireline</v>
          </cell>
          <cell r="B1372" t="str">
            <v>Belgacom</v>
          </cell>
          <cell r="C1372" t="e">
            <v>#DIV/0!</v>
          </cell>
          <cell r="D1372" t="e">
            <v>#DIV/0!</v>
          </cell>
          <cell r="E1372" t="e">
            <v>#DIV/0!</v>
          </cell>
          <cell r="F1372">
            <v>0.14099454214675561</v>
          </cell>
          <cell r="G1372">
            <v>0.11511919698870765</v>
          </cell>
          <cell r="H1372">
            <v>0.10810810810810811</v>
          </cell>
          <cell r="I1372">
            <v>0.1093143596377749</v>
          </cell>
          <cell r="J1372">
            <v>0.11668871068656381</v>
          </cell>
          <cell r="K1372">
            <v>0.11684154613596417</v>
          </cell>
          <cell r="L1372">
            <v>0.11812028297971279</v>
          </cell>
          <cell r="M1372">
            <v>0.12029276919434299</v>
          </cell>
          <cell r="N1372">
            <v>0.1218251100464469</v>
          </cell>
          <cell r="O1372">
            <v>0.12312794353894205</v>
          </cell>
          <cell r="P1372">
            <v>0.1243270413926887</v>
          </cell>
          <cell r="Q1372">
            <v>0.1252374851743325</v>
          </cell>
          <cell r="R1372" t="e">
            <v>#DIV/0!</v>
          </cell>
          <cell r="S1372" t="e">
            <v>#DIV/0!</v>
          </cell>
        </row>
        <row r="1373">
          <cell r="A1373" t="str">
            <v>Wireline</v>
          </cell>
          <cell r="B1373" t="str">
            <v>British Telecom</v>
          </cell>
          <cell r="C1373" t="e">
            <v>#DIV/0!</v>
          </cell>
          <cell r="D1373" t="e">
            <v>#DIV/0!</v>
          </cell>
          <cell r="E1373" t="e">
            <v>#DIV/0!</v>
          </cell>
          <cell r="F1373" t="e">
            <v>#DIV/0!</v>
          </cell>
          <cell r="G1373">
            <v>0.1223091976516634</v>
          </cell>
          <cell r="H1373">
            <v>0.14043397554887024</v>
          </cell>
          <cell r="I1373">
            <v>0.16199215862240232</v>
          </cell>
          <cell r="J1373">
            <v>0.15612036359309076</v>
          </cell>
          <cell r="K1373">
            <v>0.15391906520362095</v>
          </cell>
          <cell r="L1373">
            <v>0.15063137679829719</v>
          </cell>
          <cell r="M1373">
            <v>0.14688506186946287</v>
          </cell>
          <cell r="N1373">
            <v>0.14365320309150045</v>
          </cell>
          <cell r="O1373">
            <v>0.14069215664590831</v>
          </cell>
          <cell r="P1373">
            <v>0.13722120610538283</v>
          </cell>
          <cell r="Q1373">
            <v>0.13325642640624683</v>
          </cell>
          <cell r="R1373">
            <v>0.13783294024486048</v>
          </cell>
          <cell r="S1373">
            <v>0.14270078748447051</v>
          </cell>
        </row>
        <row r="1374">
          <cell r="A1374" t="str">
            <v>Wireline</v>
          </cell>
          <cell r="B1374" t="str">
            <v>Deutsche Telekom</v>
          </cell>
          <cell r="C1374" t="e">
            <v>#DIV/0!</v>
          </cell>
          <cell r="D1374" t="e">
            <v>#DIV/0!</v>
          </cell>
          <cell r="E1374" t="e">
            <v>#DIV/0!</v>
          </cell>
          <cell r="F1374">
            <v>0.27097057531840141</v>
          </cell>
          <cell r="G1374">
            <v>0.14892659435618164</v>
          </cell>
          <cell r="H1374">
            <v>9.9338054899782438E-2</v>
          </cell>
          <cell r="I1374">
            <v>0.11400897708480982</v>
          </cell>
          <cell r="J1374">
            <v>0.13807888410177707</v>
          </cell>
          <cell r="K1374">
            <v>0.14872452698574615</v>
          </cell>
          <cell r="L1374">
            <v>0.15082973494592522</v>
          </cell>
          <cell r="M1374">
            <v>0.15223967850303113</v>
          </cell>
          <cell r="N1374">
            <v>0.1529020407208023</v>
          </cell>
          <cell r="O1374">
            <v>0.15360157328502538</v>
          </cell>
          <cell r="P1374">
            <v>0.15452885204289077</v>
          </cell>
          <cell r="Q1374">
            <v>0.15553608782792833</v>
          </cell>
          <cell r="R1374" t="e">
            <v>#DIV/0!</v>
          </cell>
          <cell r="S1374" t="e">
            <v>#DIV/0!</v>
          </cell>
        </row>
        <row r="1375">
          <cell r="A1375" t="str">
            <v>Wireline</v>
          </cell>
          <cell r="B1375" t="str">
            <v>Eircom</v>
          </cell>
          <cell r="C1375" t="e">
            <v>#DIV/0!</v>
          </cell>
          <cell r="D1375" t="e">
            <v>#DIV/0!</v>
          </cell>
          <cell r="E1375">
            <v>0.33039851714550511</v>
          </cell>
          <cell r="F1375">
            <v>0.1765704584040747</v>
          </cell>
          <cell r="G1375">
            <v>0.11712228161681391</v>
          </cell>
          <cell r="H1375">
            <v>0.12776256254403232</v>
          </cell>
          <cell r="I1375">
            <v>0.12410515575184283</v>
          </cell>
          <cell r="J1375">
            <v>0.12747336178496593</v>
          </cell>
          <cell r="K1375">
            <v>0.13327257588496524</v>
          </cell>
          <cell r="L1375">
            <v>0.12898496330905235</v>
          </cell>
          <cell r="M1375">
            <v>0.12565432987265668</v>
          </cell>
          <cell r="N1375">
            <v>0.12213350220174354</v>
          </cell>
          <cell r="O1375">
            <v>0.1186258630716924</v>
          </cell>
          <cell r="P1375">
            <v>0.11443799888414356</v>
          </cell>
          <cell r="Q1375">
            <v>0.11105285619999597</v>
          </cell>
          <cell r="R1375" t="e">
            <v>#DIV/0!</v>
          </cell>
          <cell r="S1375" t="e">
            <v>#DIV/0!</v>
          </cell>
        </row>
        <row r="1376">
          <cell r="A1376" t="str">
            <v>Wireline</v>
          </cell>
          <cell r="B1376" t="str">
            <v>France Telecom</v>
          </cell>
          <cell r="C1376" t="e">
            <v>#DIV/0!</v>
          </cell>
          <cell r="D1376" t="e">
            <v>#DIV/0!</v>
          </cell>
          <cell r="E1376">
            <v>0.11364401481267734</v>
          </cell>
          <cell r="F1376">
            <v>0.1169988377598898</v>
          </cell>
          <cell r="G1376">
            <v>9.7251127297953516E-2</v>
          </cell>
          <cell r="H1376">
            <v>6.2319040397077072E-2</v>
          </cell>
          <cell r="I1376">
            <v>6.6374538745387457E-2</v>
          </cell>
          <cell r="J1376">
            <v>7.9557402112010012E-2</v>
          </cell>
          <cell r="K1376">
            <v>8.7969640095860974E-2</v>
          </cell>
          <cell r="L1376">
            <v>9.3550583090556264E-2</v>
          </cell>
          <cell r="M1376">
            <v>0.10010627926438709</v>
          </cell>
          <cell r="N1376">
            <v>0.10714421632262273</v>
          </cell>
          <cell r="O1376">
            <v>0.10910128571304213</v>
          </cell>
          <cell r="P1376">
            <v>0.11104830228917753</v>
          </cell>
          <cell r="Q1376">
            <v>0.11317427047239223</v>
          </cell>
          <cell r="R1376" t="e">
            <v>#DIV/0!</v>
          </cell>
          <cell r="S1376" t="e">
            <v>#DIV/0!</v>
          </cell>
        </row>
        <row r="1377">
          <cell r="A1377" t="str">
            <v>Wireline</v>
          </cell>
          <cell r="B1377" t="str">
            <v>KPN</v>
          </cell>
          <cell r="C1377">
            <v>0.26538697434340369</v>
          </cell>
          <cell r="D1377">
            <v>0.26819000892060663</v>
          </cell>
          <cell r="E1377">
            <v>0.32146325639918183</v>
          </cell>
          <cell r="F1377">
            <v>0.20181051035606945</v>
          </cell>
          <cell r="G1377">
            <v>8.3142741826987762E-2</v>
          </cell>
          <cell r="H1377">
            <v>8.0232064525258245E-2</v>
          </cell>
          <cell r="I1377">
            <v>9.9863822060826141E-2</v>
          </cell>
          <cell r="J1377">
            <v>0.11194283111137814</v>
          </cell>
          <cell r="K1377">
            <v>0.13003828155552885</v>
          </cell>
          <cell r="L1377">
            <v>0.14864305092158381</v>
          </cell>
          <cell r="M1377">
            <v>0.16954088577406723</v>
          </cell>
          <cell r="N1377">
            <v>0.1898350287798532</v>
          </cell>
          <cell r="O1377">
            <v>0.1599421222540531</v>
          </cell>
          <cell r="P1377">
            <v>0.1556019246355646</v>
          </cell>
          <cell r="Q1377">
            <v>0.15147455636534402</v>
          </cell>
          <cell r="R1377" t="e">
            <v>#DIV/0!</v>
          </cell>
          <cell r="S1377" t="e">
            <v>#DIV/0!</v>
          </cell>
        </row>
        <row r="1378">
          <cell r="A1378" t="str">
            <v>Wireline</v>
          </cell>
          <cell r="B1378" t="str">
            <v>OTE</v>
          </cell>
          <cell r="C1378">
            <v>0.24781924578622971</v>
          </cell>
          <cell r="D1378">
            <v>0.24915681166753656</v>
          </cell>
          <cell r="E1378">
            <v>0.24286833344213068</v>
          </cell>
          <cell r="F1378">
            <v>0.27066767638520761</v>
          </cell>
          <cell r="G1378">
            <v>0.22139951696961993</v>
          </cell>
          <cell r="H1378">
            <v>0.17208144954964427</v>
          </cell>
          <cell r="I1378">
            <v>0.14183850452881094</v>
          </cell>
          <cell r="J1378">
            <v>0.13310138882769304</v>
          </cell>
          <cell r="K1378">
            <v>0.13041812478882045</v>
          </cell>
          <cell r="L1378">
            <v>0.12573422738038278</v>
          </cell>
          <cell r="M1378">
            <v>0.12114335643742076</v>
          </cell>
          <cell r="N1378">
            <v>0.12036619048092864</v>
          </cell>
          <cell r="O1378">
            <v>0.12089041034481547</v>
          </cell>
          <cell r="P1378">
            <v>0.12178618128694114</v>
          </cell>
          <cell r="Q1378">
            <v>0.12275893587959909</v>
          </cell>
          <cell r="R1378" t="e">
            <v>#DIV/0!</v>
          </cell>
          <cell r="S1378" t="e">
            <v>#DIV/0!</v>
          </cell>
        </row>
        <row r="1379">
          <cell r="A1379" t="str">
            <v>Wireline</v>
          </cell>
          <cell r="B1379" t="str">
            <v>Portugal Telecom</v>
          </cell>
          <cell r="C1379" t="e">
            <v>#DIV/0!</v>
          </cell>
          <cell r="D1379">
            <v>0.23385939741750358</v>
          </cell>
          <cell r="E1379">
            <v>0.20564516129032259</v>
          </cell>
          <cell r="F1379">
            <v>0.16633426406063023</v>
          </cell>
          <cell r="G1379">
            <v>0.12804626187525817</v>
          </cell>
          <cell r="H1379">
            <v>0.10863031343924431</v>
          </cell>
          <cell r="I1379">
            <v>0.11887515977844056</v>
          </cell>
          <cell r="J1379">
            <v>0.12791463426842442</v>
          </cell>
          <cell r="K1379">
            <v>0.13763221710037213</v>
          </cell>
          <cell r="L1379">
            <v>0.13749893412901754</v>
          </cell>
          <cell r="M1379">
            <v>0.14711854798538671</v>
          </cell>
          <cell r="N1379">
            <v>0.14713258729066192</v>
          </cell>
          <cell r="O1379">
            <v>0.14717265970318064</v>
          </cell>
          <cell r="P1379">
            <v>0.14722727681488212</v>
          </cell>
          <cell r="Q1379">
            <v>0.14725214437168457</v>
          </cell>
          <cell r="R1379" t="e">
            <v>#DIV/0!</v>
          </cell>
          <cell r="S1379" t="e">
            <v>#DIV/0!</v>
          </cell>
        </row>
        <row r="1380">
          <cell r="A1380" t="str">
            <v>Wireline</v>
          </cell>
          <cell r="B1380" t="str">
            <v>Swisscom</v>
          </cell>
          <cell r="C1380">
            <v>0.1197524872603737</v>
          </cell>
          <cell r="D1380">
            <v>0.15499725425590336</v>
          </cell>
          <cell r="E1380">
            <v>0.15428801874182393</v>
          </cell>
          <cell r="F1380">
            <v>0.12768919928649941</v>
          </cell>
          <cell r="G1380">
            <v>0.12098723325310104</v>
          </cell>
          <cell r="H1380">
            <v>0.12456986173257988</v>
          </cell>
          <cell r="I1380">
            <v>0.11471750594870389</v>
          </cell>
          <cell r="J1380">
            <v>0.11710821719119768</v>
          </cell>
          <cell r="K1380">
            <v>0.12120677571253506</v>
          </cell>
          <cell r="L1380">
            <v>0.12486864150161159</v>
          </cell>
          <cell r="M1380">
            <v>0.1290547624056704</v>
          </cell>
          <cell r="N1380">
            <v>0.13344553102422832</v>
          </cell>
          <cell r="O1380">
            <v>0.13819972859964788</v>
          </cell>
          <cell r="P1380">
            <v>0.14340823222980184</v>
          </cell>
          <cell r="Q1380">
            <v>0.14867331300349007</v>
          </cell>
          <cell r="R1380" t="e">
            <v>#DIV/0!</v>
          </cell>
          <cell r="S1380" t="e">
            <v>#DIV/0!</v>
          </cell>
        </row>
        <row r="1381">
          <cell r="A1381" t="str">
            <v>Wireline</v>
          </cell>
          <cell r="B1381" t="str">
            <v>TDC</v>
          </cell>
          <cell r="C1381" t="e">
            <v>#DIV/0!</v>
          </cell>
          <cell r="D1381" t="e">
            <v>#DIV/0!</v>
          </cell>
          <cell r="E1381" t="e">
            <v>#DIV/0!</v>
          </cell>
          <cell r="F1381" t="e">
            <v>#DIV/0!</v>
          </cell>
          <cell r="G1381">
            <v>0.18099314185530863</v>
          </cell>
          <cell r="H1381">
            <v>0.13015873015873017</v>
          </cell>
          <cell r="I1381">
            <v>0.13216783216783218</v>
          </cell>
          <cell r="J1381">
            <v>0.13292402962984209</v>
          </cell>
          <cell r="K1381">
            <v>0.13318150869192194</v>
          </cell>
          <cell r="L1381">
            <v>0.13255422292131899</v>
          </cell>
          <cell r="M1381">
            <v>0.13190976073841365</v>
          </cell>
          <cell r="N1381">
            <v>0.1309852855009859</v>
          </cell>
          <cell r="O1381">
            <v>0.12982623976368124</v>
          </cell>
          <cell r="P1381">
            <v>0.13035331400340178</v>
          </cell>
          <cell r="Q1381">
            <v>0.13070452668795721</v>
          </cell>
          <cell r="R1381" t="e">
            <v>#DIV/0!</v>
          </cell>
          <cell r="S1381" t="e">
            <v>#DIV/0!</v>
          </cell>
        </row>
        <row r="1382">
          <cell r="A1382" t="str">
            <v>Wireline</v>
          </cell>
          <cell r="B1382" t="str">
            <v>Telecom Italia</v>
          </cell>
          <cell r="C1382" t="e">
            <v>#DIV/0!</v>
          </cell>
          <cell r="D1382" t="e">
            <v>#DIV/0!</v>
          </cell>
          <cell r="E1382">
            <v>0.15758654342958839</v>
          </cell>
          <cell r="F1382">
            <v>0.16315237651444547</v>
          </cell>
          <cell r="G1382">
            <v>0.14463635295499941</v>
          </cell>
          <cell r="H1382">
            <v>0.1337128252788104</v>
          </cell>
          <cell r="I1382">
            <v>0.12945081526378691</v>
          </cell>
          <cell r="J1382">
            <v>0.12437932577997313</v>
          </cell>
          <cell r="K1382">
            <v>0.1179827057813304</v>
          </cell>
          <cell r="L1382">
            <v>0.11685399274856124</v>
          </cell>
          <cell r="M1382">
            <v>0.11641536355543593</v>
          </cell>
          <cell r="N1382">
            <v>0.11692828737761571</v>
          </cell>
          <cell r="O1382">
            <v>0.11779471523553335</v>
          </cell>
          <cell r="P1382">
            <v>0.11894477743471729</v>
          </cell>
          <cell r="Q1382">
            <v>0.12036044027333048</v>
          </cell>
          <cell r="R1382" t="e">
            <v>#DIV/0!</v>
          </cell>
          <cell r="S1382" t="e">
            <v>#DIV/0!</v>
          </cell>
        </row>
        <row r="1383">
          <cell r="A1383" t="str">
            <v>Wireline</v>
          </cell>
          <cell r="B1383" t="str">
            <v>Telefonica</v>
          </cell>
          <cell r="C1383" t="e">
            <v>#DIV/0!</v>
          </cell>
          <cell r="D1383">
            <v>0.17906062651367771</v>
          </cell>
          <cell r="E1383">
            <v>0.1750974673226684</v>
          </cell>
          <cell r="F1383">
            <v>0.18149974560682558</v>
          </cell>
          <cell r="G1383">
            <v>0.16978689019344412</v>
          </cell>
          <cell r="H1383">
            <v>0.13836789647886008</v>
          </cell>
          <cell r="I1383">
            <v>0.11022270901788973</v>
          </cell>
          <cell r="J1383">
            <v>0.11602565739673897</v>
          </cell>
          <cell r="K1383">
            <v>0.11749272846747297</v>
          </cell>
          <cell r="L1383">
            <v>0.11791503878196916</v>
          </cell>
          <cell r="M1383">
            <v>0.11564877242458103</v>
          </cell>
          <cell r="N1383">
            <v>0.11507741189764793</v>
          </cell>
          <cell r="O1383">
            <v>0.11565873368127777</v>
          </cell>
          <cell r="P1383">
            <v>0.11376926984944292</v>
          </cell>
          <cell r="Q1383">
            <v>0.11208608673690949</v>
          </cell>
          <cell r="R1383" t="e">
            <v>#DIV/0!</v>
          </cell>
          <cell r="S1383" t="e">
            <v>#DIV/0!</v>
          </cell>
        </row>
        <row r="1384">
          <cell r="A1384" t="str">
            <v>Wireline</v>
          </cell>
          <cell r="B1384" t="str">
            <v>Telekom Austria</v>
          </cell>
          <cell r="C1384">
            <v>0.25526227865018375</v>
          </cell>
          <cell r="D1384">
            <v>0.22162162162162163</v>
          </cell>
          <cell r="E1384">
            <v>0.19585253456221199</v>
          </cell>
          <cell r="F1384">
            <v>0.15547091412742381</v>
          </cell>
          <cell r="G1384">
            <v>0.15388086642599277</v>
          </cell>
          <cell r="H1384">
            <v>0.13903002309468823</v>
          </cell>
          <cell r="I1384">
            <v>0.125</v>
          </cell>
          <cell r="J1384">
            <v>0.13500000000000001</v>
          </cell>
          <cell r="K1384">
            <v>0.13</v>
          </cell>
          <cell r="L1384">
            <v>0.125</v>
          </cell>
          <cell r="M1384">
            <v>0.12</v>
          </cell>
          <cell r="N1384">
            <v>0.12</v>
          </cell>
          <cell r="O1384">
            <v>0.12</v>
          </cell>
          <cell r="P1384">
            <v>0.12</v>
          </cell>
          <cell r="Q1384">
            <v>0.12000000000000001</v>
          </cell>
          <cell r="R1384" t="e">
            <v>#DIV/0!</v>
          </cell>
          <cell r="S1384" t="e">
            <v>#DIV/0!</v>
          </cell>
        </row>
        <row r="1385">
          <cell r="A1385" t="str">
            <v>Wireline</v>
          </cell>
          <cell r="B1385" t="str">
            <v>Telenor</v>
          </cell>
          <cell r="C1385" t="e">
            <v>#DIV/0!</v>
          </cell>
          <cell r="D1385" t="e">
            <v>#DIV/0!</v>
          </cell>
          <cell r="E1385" t="e">
            <v>#DIV/0!</v>
          </cell>
          <cell r="F1385">
            <v>0.28550949707322898</v>
          </cell>
          <cell r="G1385">
            <v>0.17656665860150011</v>
          </cell>
          <cell r="H1385">
            <v>9.5557316107014442E-2</v>
          </cell>
          <cell r="I1385">
            <v>9.4007275512157762E-2</v>
          </cell>
          <cell r="J1385">
            <v>9.3980443888823997E-2</v>
          </cell>
          <cell r="K1385">
            <v>9.3980443888823983E-2</v>
          </cell>
          <cell r="L1385">
            <v>9.3980443888823997E-2</v>
          </cell>
          <cell r="M1385">
            <v>9.3980443888823997E-2</v>
          </cell>
          <cell r="N1385">
            <v>9.3980443888823997E-2</v>
          </cell>
          <cell r="O1385">
            <v>9.3980443888824011E-2</v>
          </cell>
          <cell r="P1385">
            <v>9.3980443888823997E-2</v>
          </cell>
          <cell r="Q1385">
            <v>9.3980443888823997E-2</v>
          </cell>
          <cell r="R1385" t="e">
            <v>#DIV/0!</v>
          </cell>
          <cell r="S1385" t="e">
            <v>#DIV/0!</v>
          </cell>
        </row>
        <row r="1386">
          <cell r="A1386" t="str">
            <v>Wireline</v>
          </cell>
          <cell r="B1386" t="str">
            <v>TeliaSonera</v>
          </cell>
          <cell r="C1386" t="e">
            <v>#DIV/0!</v>
          </cell>
          <cell r="D1386" t="e">
            <v>#DIV/0!</v>
          </cell>
          <cell r="E1386" t="e">
            <v>#DIV/0!</v>
          </cell>
          <cell r="F1386">
            <v>0.18678079829429656</v>
          </cell>
          <cell r="G1386">
            <v>0.12798292286615479</v>
          </cell>
          <cell r="H1386">
            <v>9.0707369553523404E-2</v>
          </cell>
          <cell r="I1386">
            <v>0.11505402326625012</v>
          </cell>
          <cell r="J1386">
            <v>0.11261726822087592</v>
          </cell>
          <cell r="K1386">
            <v>0.11314584344895971</v>
          </cell>
          <cell r="L1386">
            <v>0.11525268173445316</v>
          </cell>
          <cell r="M1386">
            <v>0.11744728926512518</v>
          </cell>
          <cell r="N1386">
            <v>0.11979995668608867</v>
          </cell>
          <cell r="O1386">
            <v>0.12290451356226754</v>
          </cell>
          <cell r="P1386">
            <v>0.12643569118205339</v>
          </cell>
          <cell r="Q1386">
            <v>0.12958658749546867</v>
          </cell>
          <cell r="R1386">
            <v>0.13218891634710364</v>
          </cell>
          <cell r="S1386" t="e">
            <v>#DIV/0!</v>
          </cell>
        </row>
        <row r="1387">
          <cell r="A1387" t="str">
            <v>Wireline</v>
          </cell>
          <cell r="B1387" t="str">
            <v>Sum</v>
          </cell>
          <cell r="C1387">
            <v>0.38507679084839841</v>
          </cell>
          <cell r="D1387">
            <v>9.4934298746562965E-2</v>
          </cell>
          <cell r="E1387">
            <v>0.10931446080592107</v>
          </cell>
          <cell r="F1387">
            <v>0.11291998889139064</v>
          </cell>
          <cell r="G1387">
            <v>0.16984617369337249</v>
          </cell>
          <cell r="H1387">
            <v>0.21456556930369974</v>
          </cell>
          <cell r="I1387">
            <v>0.20329838837632036</v>
          </cell>
          <cell r="J1387">
            <v>0.18280444800296666</v>
          </cell>
          <cell r="K1387">
            <v>0.16134455260569325</v>
          </cell>
          <cell r="L1387">
            <v>0.16564896029365844</v>
          </cell>
          <cell r="M1387">
            <v>0.17344650097522241</v>
          </cell>
          <cell r="N1387">
            <v>0.17403398461732736</v>
          </cell>
          <cell r="O1387">
            <v>0.17564176972782009</v>
          </cell>
          <cell r="P1387">
            <v>0.17215147841772635</v>
          </cell>
          <cell r="Q1387">
            <v>0.16796989652043431</v>
          </cell>
          <cell r="R1387">
            <v>0.10497123831765431</v>
          </cell>
          <cell r="S1387">
            <v>0.10144046999838099</v>
          </cell>
        </row>
        <row r="1585">
          <cell r="A1585" t="str">
            <v>Gp mob</v>
          </cell>
          <cell r="B1585" t="str">
            <v>Subscribers</v>
          </cell>
          <cell r="C1585">
            <v>1998</v>
          </cell>
          <cell r="D1585">
            <v>1999</v>
          </cell>
          <cell r="E1585">
            <v>2000</v>
          </cell>
          <cell r="F1585">
            <v>2001</v>
          </cell>
          <cell r="G1585">
            <v>2002</v>
          </cell>
          <cell r="H1585">
            <v>2003</v>
          </cell>
          <cell r="I1585">
            <v>2004</v>
          </cell>
          <cell r="J1585">
            <v>2005</v>
          </cell>
          <cell r="K1585">
            <v>2006</v>
          </cell>
          <cell r="L1585">
            <v>2007</v>
          </cell>
          <cell r="M1585">
            <v>2008</v>
          </cell>
          <cell r="N1585">
            <v>2009</v>
          </cell>
          <cell r="O1585">
            <v>2010</v>
          </cell>
          <cell r="P1585">
            <v>2011</v>
          </cell>
          <cell r="Q1585">
            <v>2012</v>
          </cell>
          <cell r="R1585">
            <v>2013</v>
          </cell>
          <cell r="S1585">
            <v>2014</v>
          </cell>
        </row>
        <row r="1586">
          <cell r="A1586" t="str">
            <v>Gp mob</v>
          </cell>
          <cell r="B1586" t="str">
            <v>Belgacom</v>
          </cell>
          <cell r="C1586">
            <v>1248</v>
          </cell>
          <cell r="D1586">
            <v>2067</v>
          </cell>
          <cell r="E1586">
            <v>3276.607</v>
          </cell>
          <cell r="F1586">
            <v>4148</v>
          </cell>
          <cell r="G1586">
            <v>4253</v>
          </cell>
          <cell r="H1586">
            <v>4348.8612836438924</v>
          </cell>
          <cell r="I1586">
            <v>4323.3779608650875</v>
          </cell>
          <cell r="J1586">
            <v>4310.1016244902166</v>
          </cell>
          <cell r="K1586">
            <v>4291.2593030152657</v>
          </cell>
          <cell r="L1586">
            <v>4260.3677626293638</v>
          </cell>
          <cell r="M1586">
            <v>4212.1493425630651</v>
          </cell>
          <cell r="N1586">
            <v>4181.2574434664966</v>
          </cell>
          <cell r="O1586">
            <v>4164.4421852235209</v>
          </cell>
          <cell r="P1586">
            <v>4159.066996828622</v>
          </cell>
          <cell r="Q1586">
            <v>4162.9927362344197</v>
          </cell>
          <cell r="R1586">
            <v>0</v>
          </cell>
          <cell r="S1586">
            <v>0</v>
          </cell>
        </row>
        <row r="1587">
          <cell r="A1587" t="str">
            <v>Gp mob</v>
          </cell>
          <cell r="B1587" t="str">
            <v>British Telecom</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row>
        <row r="1588">
          <cell r="A1588" t="str">
            <v>Gp mob</v>
          </cell>
          <cell r="B1588" t="str">
            <v>Deutsche Telekom</v>
          </cell>
          <cell r="C1588">
            <v>6715</v>
          </cell>
          <cell r="D1588">
            <v>18485.46</v>
          </cell>
          <cell r="E1588">
            <v>37008</v>
          </cell>
          <cell r="F1588">
            <v>46624</v>
          </cell>
          <cell r="G1588">
            <v>53926</v>
          </cell>
          <cell r="H1588">
            <v>61062</v>
          </cell>
          <cell r="I1588">
            <v>69175</v>
          </cell>
          <cell r="J1588">
            <v>73277.698693932965</v>
          </cell>
          <cell r="K1588">
            <v>75400.704821170453</v>
          </cell>
          <cell r="L1588">
            <v>76260.449153712601</v>
          </cell>
          <cell r="M1588">
            <v>76596.230339163099</v>
          </cell>
          <cell r="N1588">
            <v>76395.790888455216</v>
          </cell>
          <cell r="O1588">
            <v>76522.660989804048</v>
          </cell>
          <cell r="P1588">
            <v>76749.368300983493</v>
          </cell>
          <cell r="Q1588">
            <v>77260.591802426861</v>
          </cell>
          <cell r="R1588">
            <v>0</v>
          </cell>
          <cell r="S1588">
            <v>0</v>
          </cell>
        </row>
        <row r="1589">
          <cell r="A1589" t="str">
            <v>Gp mob</v>
          </cell>
          <cell r="B1589" t="str">
            <v>Eircom</v>
          </cell>
          <cell r="C1589">
            <v>0</v>
          </cell>
          <cell r="D1589">
            <v>0</v>
          </cell>
          <cell r="E1589">
            <v>15135.066721428379</v>
          </cell>
          <cell r="F1589">
            <v>17567.527280978611</v>
          </cell>
          <cell r="G1589">
            <v>17301.811738208795</v>
          </cell>
          <cell r="H1589">
            <v>17345.741252535496</v>
          </cell>
          <cell r="I1589">
            <v>16568.68549470817</v>
          </cell>
          <cell r="J1589">
            <v>15720.623070284382</v>
          </cell>
          <cell r="K1589">
            <v>14814.446288991792</v>
          </cell>
          <cell r="L1589">
            <v>13991.477873956796</v>
          </cell>
          <cell r="M1589">
            <v>13197.926851644472</v>
          </cell>
          <cell r="N1589">
            <v>12461.209494178174</v>
          </cell>
          <cell r="O1589">
            <v>11776.937933661622</v>
          </cell>
          <cell r="P1589">
            <v>11141.071162968152</v>
          </cell>
          <cell r="Q1589">
            <v>10549.88740219353</v>
          </cell>
          <cell r="R1589">
            <v>0</v>
          </cell>
          <cell r="S1589">
            <v>0</v>
          </cell>
        </row>
        <row r="1590">
          <cell r="A1590" t="str">
            <v>Gp mob</v>
          </cell>
          <cell r="B1590" t="str">
            <v>France Telecom</v>
          </cell>
          <cell r="C1590">
            <v>7691</v>
          </cell>
          <cell r="D1590">
            <v>18145</v>
          </cell>
          <cell r="E1590">
            <v>30501</v>
          </cell>
          <cell r="F1590">
            <v>41305</v>
          </cell>
          <cell r="G1590">
            <v>45022</v>
          </cell>
          <cell r="H1590">
            <v>49999</v>
          </cell>
          <cell r="I1590">
            <v>55745</v>
          </cell>
          <cell r="J1590">
            <v>59596.717153430887</v>
          </cell>
          <cell r="K1590">
            <v>62830.093992873866</v>
          </cell>
          <cell r="L1590">
            <v>65348.570480483148</v>
          </cell>
          <cell r="M1590">
            <v>67389.465807900997</v>
          </cell>
          <cell r="N1590">
            <v>68906.587060018966</v>
          </cell>
          <cell r="O1590">
            <v>69990.238559774807</v>
          </cell>
          <cell r="P1590">
            <v>70629.841573557962</v>
          </cell>
          <cell r="Q1590">
            <v>70825.29416069077</v>
          </cell>
          <cell r="R1590">
            <v>0</v>
          </cell>
          <cell r="S1590">
            <v>0</v>
          </cell>
        </row>
        <row r="1591">
          <cell r="A1591" t="str">
            <v>Gp mob</v>
          </cell>
          <cell r="B1591" t="str">
            <v>KPN</v>
          </cell>
          <cell r="C1591">
            <v>4217</v>
          </cell>
          <cell r="D1591">
            <v>7339</v>
          </cell>
          <cell r="E1591">
            <v>12058</v>
          </cell>
          <cell r="F1591">
            <v>13709</v>
          </cell>
          <cell r="G1591">
            <v>13441</v>
          </cell>
          <cell r="H1591">
            <v>14664</v>
          </cell>
          <cell r="I1591">
            <v>17234</v>
          </cell>
          <cell r="J1591">
            <v>18277.619848578448</v>
          </cell>
          <cell r="K1591">
            <v>18944.889462441872</v>
          </cell>
          <cell r="L1591">
            <v>19407.412167898798</v>
          </cell>
          <cell r="M1591">
            <v>19704.882228627492</v>
          </cell>
          <cell r="N1591">
            <v>19958.417726583342</v>
          </cell>
          <cell r="O1591">
            <v>20128.279972210403</v>
          </cell>
          <cell r="P1591">
            <v>20284.248551775221</v>
          </cell>
          <cell r="Q1591">
            <v>20428.35318772326</v>
          </cell>
          <cell r="R1591">
            <v>0</v>
          </cell>
          <cell r="S1591">
            <v>0</v>
          </cell>
        </row>
        <row r="1592">
          <cell r="A1592" t="str">
            <v>Gp mob</v>
          </cell>
          <cell r="B1592" t="str">
            <v>OTE</v>
          </cell>
          <cell r="C1592">
            <v>0</v>
          </cell>
          <cell r="D1592">
            <v>1059.009</v>
          </cell>
          <cell r="E1592">
            <v>2089.7750000000001</v>
          </cell>
          <cell r="F1592">
            <v>3217.0880000000002</v>
          </cell>
          <cell r="G1592">
            <v>4007.1469999999999</v>
          </cell>
          <cell r="H1592">
            <v>4509.8040000000001</v>
          </cell>
          <cell r="I1592">
            <v>4790.0749999999998</v>
          </cell>
          <cell r="J1592">
            <v>4995.2437859540742</v>
          </cell>
          <cell r="K1592">
            <v>5181.8363746936038</v>
          </cell>
          <cell r="L1592">
            <v>5309.9410286645179</v>
          </cell>
          <cell r="M1592">
            <v>5438.7178506885375</v>
          </cell>
          <cell r="N1592">
            <v>5568.6940804810574</v>
          </cell>
          <cell r="O1592">
            <v>5700.2975013611513</v>
          </cell>
          <cell r="P1592">
            <v>5835.5932903782659</v>
          </cell>
          <cell r="Q1592">
            <v>5974.6541256698411</v>
          </cell>
          <cell r="R1592">
            <v>0</v>
          </cell>
          <cell r="S1592">
            <v>0</v>
          </cell>
        </row>
        <row r="1593">
          <cell r="A1593" t="str">
            <v>Gp mob</v>
          </cell>
          <cell r="B1593" t="str">
            <v>Portugal Telecom</v>
          </cell>
          <cell r="C1593">
            <v>1426</v>
          </cell>
          <cell r="D1593">
            <v>2115</v>
          </cell>
          <cell r="E1593">
            <v>2939</v>
          </cell>
          <cell r="F1593">
            <v>3905</v>
          </cell>
          <cell r="G1593">
            <v>4426</v>
          </cell>
          <cell r="H1593">
            <v>4887</v>
          </cell>
          <cell r="I1593">
            <v>5053</v>
          </cell>
          <cell r="J1593">
            <v>5167.3677146801811</v>
          </cell>
          <cell r="K1593">
            <v>5236.2843988066397</v>
          </cell>
          <cell r="L1593">
            <v>5282.7303015180814</v>
          </cell>
          <cell r="M1593">
            <v>5306.5793902374826</v>
          </cell>
          <cell r="N1593">
            <v>5330.9394004097185</v>
          </cell>
          <cell r="O1593">
            <v>5355.764479428035</v>
          </cell>
          <cell r="P1593">
            <v>5381.013367529602</v>
          </cell>
          <cell r="Q1593">
            <v>5406.6489385210461</v>
          </cell>
          <cell r="R1593">
            <v>0</v>
          </cell>
          <cell r="S1593">
            <v>0</v>
          </cell>
        </row>
        <row r="1594">
          <cell r="A1594" t="str">
            <v>Gp mob</v>
          </cell>
          <cell r="B1594" t="str">
            <v>Swisscom</v>
          </cell>
          <cell r="C1594">
            <v>1672.22</v>
          </cell>
          <cell r="D1594">
            <v>2200</v>
          </cell>
          <cell r="E1594">
            <v>2961</v>
          </cell>
          <cell r="F1594">
            <v>3373</v>
          </cell>
          <cell r="G1594">
            <v>3605</v>
          </cell>
          <cell r="H1594">
            <v>3796</v>
          </cell>
          <cell r="I1594">
            <v>4008.6347500000002</v>
          </cell>
          <cell r="J1594">
            <v>4178.0304066575</v>
          </cell>
          <cell r="K1594">
            <v>4271.8418184751372</v>
          </cell>
          <cell r="L1594">
            <v>4310.3120173629113</v>
          </cell>
          <cell r="M1594">
            <v>4311.7680636241903</v>
          </cell>
          <cell r="N1594">
            <v>4291.6682749881402</v>
          </cell>
          <cell r="O1594">
            <v>4265.6707838067596</v>
          </cell>
          <cell r="P1594">
            <v>4249.1787962040917</v>
          </cell>
          <cell r="Q1594">
            <v>4240.3921229757489</v>
          </cell>
          <cell r="R1594">
            <v>0</v>
          </cell>
          <cell r="S1594">
            <v>0</v>
          </cell>
        </row>
        <row r="1595">
          <cell r="A1595" t="str">
            <v>Gp mob</v>
          </cell>
          <cell r="B1595" t="str">
            <v>TDC</v>
          </cell>
          <cell r="C1595">
            <v>0</v>
          </cell>
          <cell r="D1595">
            <v>2687</v>
          </cell>
          <cell r="E1595">
            <v>3100</v>
          </cell>
          <cell r="F1595">
            <v>3646</v>
          </cell>
          <cell r="G1595">
            <v>2989</v>
          </cell>
          <cell r="H1595">
            <v>3497</v>
          </cell>
          <cell r="I1595">
            <v>4452</v>
          </cell>
          <cell r="J1595">
            <v>4745.7154152578487</v>
          </cell>
          <cell r="K1595">
            <v>4983.9902917012341</v>
          </cell>
          <cell r="L1595">
            <v>5125.4506293301583</v>
          </cell>
          <cell r="M1595">
            <v>5156.5597481446202</v>
          </cell>
          <cell r="N1595">
            <v>5187.8811733590819</v>
          </cell>
          <cell r="O1595">
            <v>5219.4407511015443</v>
          </cell>
          <cell r="P1595">
            <v>5251.2648444225661</v>
          </cell>
          <cell r="Q1595">
            <v>5283.3803436337193</v>
          </cell>
          <cell r="R1595">
            <v>0</v>
          </cell>
          <cell r="S1595">
            <v>0</v>
          </cell>
        </row>
        <row r="1596">
          <cell r="A1596" t="str">
            <v>Gp mob</v>
          </cell>
          <cell r="B1596" t="str">
            <v>Telecom Italia</v>
          </cell>
          <cell r="C1596">
            <v>0</v>
          </cell>
          <cell r="D1596">
            <v>0</v>
          </cell>
          <cell r="E1596">
            <v>0</v>
          </cell>
          <cell r="F1596">
            <v>0</v>
          </cell>
          <cell r="G1596">
            <v>34378.807752597051</v>
          </cell>
          <cell r="H1596">
            <v>37380.396000000008</v>
          </cell>
          <cell r="I1596">
            <v>40626.896000000008</v>
          </cell>
          <cell r="J1596">
            <v>43332.821000000004</v>
          </cell>
          <cell r="K1596">
            <v>45429.397250000002</v>
          </cell>
          <cell r="L1596">
            <v>47194.552312500004</v>
          </cell>
          <cell r="M1596">
            <v>48660.515128125</v>
          </cell>
          <cell r="N1596">
            <v>49868.796084531255</v>
          </cell>
          <cell r="O1596">
            <v>50950.259088757819</v>
          </cell>
          <cell r="P1596">
            <v>51871.527403195701</v>
          </cell>
          <cell r="Q1596">
            <v>52709.238030155488</v>
          </cell>
          <cell r="R1596">
            <v>0</v>
          </cell>
          <cell r="S1596">
            <v>0</v>
          </cell>
        </row>
        <row r="1597">
          <cell r="A1597" t="str">
            <v>Gp mob</v>
          </cell>
          <cell r="B1597" t="str">
            <v>Telefonica</v>
          </cell>
          <cell r="C1597">
            <v>0</v>
          </cell>
          <cell r="D1597">
            <v>18025.772716667227</v>
          </cell>
          <cell r="E1597">
            <v>28021.563000000002</v>
          </cell>
          <cell r="F1597">
            <v>34318.756831760678</v>
          </cell>
          <cell r="G1597">
            <v>39527.293779413107</v>
          </cell>
          <cell r="H1597">
            <v>49964</v>
          </cell>
          <cell r="I1597">
            <v>61773.628927224068</v>
          </cell>
          <cell r="J1597">
            <v>70905.610392255112</v>
          </cell>
          <cell r="K1597">
            <v>80119.03599252367</v>
          </cell>
          <cell r="L1597">
            <v>89036.736810481409</v>
          </cell>
          <cell r="M1597">
            <v>96374.619965152408</v>
          </cell>
          <cell r="N1597">
            <v>101196.43364577024</v>
          </cell>
          <cell r="O1597">
            <v>104997.92091461387</v>
          </cell>
          <cell r="P1597">
            <v>108091.0486150779</v>
          </cell>
          <cell r="Q1597">
            <v>110238.75052378557</v>
          </cell>
          <cell r="R1597">
            <v>0</v>
          </cell>
          <cell r="S1597">
            <v>0</v>
          </cell>
        </row>
        <row r="1598">
          <cell r="A1598" t="str">
            <v>Gp mob</v>
          </cell>
          <cell r="B1598" t="str">
            <v>Telekom Austria</v>
          </cell>
          <cell r="C1598">
            <v>1481</v>
          </cell>
          <cell r="D1598">
            <v>2416</v>
          </cell>
          <cell r="E1598">
            <v>3465</v>
          </cell>
          <cell r="F1598">
            <v>3975.9</v>
          </cell>
          <cell r="G1598">
            <v>4449</v>
          </cell>
          <cell r="H1598">
            <v>4735</v>
          </cell>
          <cell r="I1598">
            <v>4866.7698562459318</v>
          </cell>
          <cell r="J1598">
            <v>4976.608909511715</v>
          </cell>
          <cell r="K1598">
            <v>5045.0542984749809</v>
          </cell>
          <cell r="L1598">
            <v>5071.333218117773</v>
          </cell>
          <cell r="M1598">
            <v>5096.6737819799982</v>
          </cell>
          <cell r="N1598">
            <v>5121.2256927444168</v>
          </cell>
          <cell r="O1598">
            <v>5137.9642184393779</v>
          </cell>
          <cell r="P1598">
            <v>5153.9197036577953</v>
          </cell>
          <cell r="Q1598">
            <v>5169.0295932896706</v>
          </cell>
          <cell r="R1598">
            <v>0</v>
          </cell>
          <cell r="S1598">
            <v>0</v>
          </cell>
        </row>
        <row r="1599">
          <cell r="A1599" t="str">
            <v>Gp mob</v>
          </cell>
          <cell r="B1599" t="str">
            <v>Telenor</v>
          </cell>
          <cell r="C1599">
            <v>0</v>
          </cell>
          <cell r="D1599">
            <v>0</v>
          </cell>
          <cell r="E1599">
            <v>0</v>
          </cell>
          <cell r="F1599">
            <v>6318</v>
          </cell>
          <cell r="G1599">
            <v>8304</v>
          </cell>
          <cell r="H1599">
            <v>10225.607</v>
          </cell>
          <cell r="I1599">
            <v>14907</v>
          </cell>
          <cell r="J1599">
            <v>20778.580901647947</v>
          </cell>
          <cell r="K1599">
            <v>23691.612449017724</v>
          </cell>
          <cell r="L1599">
            <v>25543.209093354137</v>
          </cell>
          <cell r="M1599">
            <v>26325.294602696777</v>
          </cell>
          <cell r="N1599">
            <v>27030.120180257338</v>
          </cell>
          <cell r="O1599">
            <v>27427.205303671315</v>
          </cell>
          <cell r="P1599">
            <v>27786.712818152399</v>
          </cell>
          <cell r="Q1599">
            <v>28146.407378977568</v>
          </cell>
          <cell r="R1599">
            <v>0</v>
          </cell>
          <cell r="S1599">
            <v>0</v>
          </cell>
        </row>
        <row r="1600">
          <cell r="A1600" t="str">
            <v>Gp mob</v>
          </cell>
          <cell r="B1600" t="str">
            <v>TeliaSonera</v>
          </cell>
          <cell r="C1600">
            <v>4786</v>
          </cell>
          <cell r="D1600">
            <v>5689</v>
          </cell>
          <cell r="E1600">
            <v>6742</v>
          </cell>
          <cell r="F1600">
            <v>9190</v>
          </cell>
          <cell r="G1600">
            <v>10562.890410788956</v>
          </cell>
          <cell r="H1600">
            <v>11957</v>
          </cell>
          <cell r="I1600">
            <v>13689.434944669283</v>
          </cell>
          <cell r="J1600">
            <v>15036.47095697728</v>
          </cell>
          <cell r="K1600">
            <v>15700.583802687079</v>
          </cell>
          <cell r="L1600">
            <v>16060.766011248055</v>
          </cell>
          <cell r="M1600">
            <v>16225.111053430541</v>
          </cell>
          <cell r="N1600">
            <v>16391.19122963916</v>
          </cell>
          <cell r="O1600">
            <v>16570.121010807947</v>
          </cell>
          <cell r="P1600">
            <v>16701.946630846032</v>
          </cell>
          <cell r="Q1600">
            <v>16828.580543645501</v>
          </cell>
          <cell r="R1600">
            <v>16943.799702608252</v>
          </cell>
          <cell r="S1600">
            <v>0</v>
          </cell>
        </row>
        <row r="1601">
          <cell r="A1601" t="str">
            <v>Gp mob</v>
          </cell>
          <cell r="B1601" t="str">
            <v>Sum</v>
          </cell>
          <cell r="C1601">
            <v>29236.22</v>
          </cell>
          <cell r="D1601">
            <v>80228.241716667224</v>
          </cell>
          <cell r="E1601">
            <v>132161.94500000001</v>
          </cell>
          <cell r="F1601">
            <v>173729.74483176068</v>
          </cell>
          <cell r="G1601">
            <v>228891.13894279912</v>
          </cell>
          <cell r="H1601">
            <v>261025.6682836439</v>
          </cell>
          <cell r="I1601">
            <v>300644.81743900443</v>
          </cell>
          <cell r="J1601">
            <v>329578.58680337417</v>
          </cell>
          <cell r="K1601">
            <v>351126.58425588149</v>
          </cell>
          <cell r="L1601">
            <v>368211.83098730096</v>
          </cell>
          <cell r="M1601">
            <v>380798.56730233418</v>
          </cell>
          <cell r="N1601">
            <v>389429.00288070447</v>
          </cell>
          <cell r="O1601">
            <v>396430.26575900055</v>
          </cell>
          <cell r="P1601">
            <v>402144.73089260969</v>
          </cell>
          <cell r="Q1601">
            <v>406674.31348772947</v>
          </cell>
          <cell r="R1601">
            <v>16943.799702608252</v>
          </cell>
          <cell r="S1601">
            <v>0</v>
          </cell>
        </row>
        <row r="1604">
          <cell r="A1604" t="str">
            <v>Gp mob</v>
          </cell>
          <cell r="B1604" t="str">
            <v>Revenue</v>
          </cell>
          <cell r="C1604">
            <v>1998</v>
          </cell>
          <cell r="D1604">
            <v>1999</v>
          </cell>
          <cell r="E1604">
            <v>2000</v>
          </cell>
          <cell r="F1604">
            <v>2001</v>
          </cell>
          <cell r="G1604">
            <v>2002</v>
          </cell>
          <cell r="H1604">
            <v>2003</v>
          </cell>
          <cell r="I1604">
            <v>2004</v>
          </cell>
          <cell r="J1604">
            <v>2005</v>
          </cell>
          <cell r="K1604">
            <v>2006</v>
          </cell>
          <cell r="L1604">
            <v>2007</v>
          </cell>
          <cell r="M1604">
            <v>2008</v>
          </cell>
          <cell r="N1604">
            <v>2009</v>
          </cell>
          <cell r="O1604">
            <v>2010</v>
          </cell>
          <cell r="P1604">
            <v>2011</v>
          </cell>
          <cell r="Q1604">
            <v>2012</v>
          </cell>
          <cell r="R1604">
            <v>2013</v>
          </cell>
          <cell r="S1604">
            <v>2014</v>
          </cell>
        </row>
        <row r="1605">
          <cell r="A1605" t="str">
            <v>Gp mob</v>
          </cell>
          <cell r="B1605" t="str">
            <v>Belgacom</v>
          </cell>
          <cell r="C1605">
            <v>0</v>
          </cell>
          <cell r="D1605">
            <v>0</v>
          </cell>
          <cell r="E1605">
            <v>0</v>
          </cell>
          <cell r="F1605">
            <v>1918</v>
          </cell>
          <cell r="G1605">
            <v>2033</v>
          </cell>
          <cell r="H1605">
            <v>2181</v>
          </cell>
          <cell r="I1605">
            <v>2239</v>
          </cell>
          <cell r="J1605">
            <v>2253.4877509032895</v>
          </cell>
          <cell r="K1605">
            <v>2237.6568745483819</v>
          </cell>
          <cell r="L1605">
            <v>2217.4714415666422</v>
          </cell>
          <cell r="M1605">
            <v>2177.7761174329244</v>
          </cell>
          <cell r="N1605">
            <v>2134.572892950368</v>
          </cell>
          <cell r="O1605">
            <v>2100.2850274491693</v>
          </cell>
          <cell r="P1605">
            <v>2095.2817718917554</v>
          </cell>
          <cell r="Q1605">
            <v>2095.5547256373584</v>
          </cell>
          <cell r="R1605">
            <v>0</v>
          </cell>
          <cell r="S1605">
            <v>0</v>
          </cell>
        </row>
        <row r="1606">
          <cell r="A1606" t="str">
            <v>Gp mob</v>
          </cell>
          <cell r="B1606" t="str">
            <v>British Telecom</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row>
        <row r="1607">
          <cell r="A1607" t="str">
            <v>Gp mob</v>
          </cell>
          <cell r="B1607" t="str">
            <v>Deutsche Telekom</v>
          </cell>
          <cell r="C1607">
            <v>0</v>
          </cell>
          <cell r="D1607">
            <v>5153</v>
          </cell>
          <cell r="E1607">
            <v>8994</v>
          </cell>
          <cell r="F1607">
            <v>12994</v>
          </cell>
          <cell r="G1607">
            <v>18339</v>
          </cell>
          <cell r="H1607">
            <v>21572</v>
          </cell>
          <cell r="I1607">
            <v>24088</v>
          </cell>
          <cell r="J1607">
            <v>26123.166485667556</v>
          </cell>
          <cell r="K1607">
            <v>26857.520011698245</v>
          </cell>
          <cell r="L1607">
            <v>27373.869384075057</v>
          </cell>
          <cell r="M1607">
            <v>27388.753251810718</v>
          </cell>
          <cell r="N1607">
            <v>27433.405034564974</v>
          </cell>
          <cell r="O1607">
            <v>27345.619554102828</v>
          </cell>
          <cell r="P1607">
            <v>27235.211763707739</v>
          </cell>
          <cell r="Q1607">
            <v>27183.908330109716</v>
          </cell>
          <cell r="R1607">
            <v>0</v>
          </cell>
          <cell r="S1607">
            <v>0</v>
          </cell>
        </row>
        <row r="1608">
          <cell r="A1608" t="str">
            <v>Gp mob</v>
          </cell>
          <cell r="B1608" t="str">
            <v>Eircom</v>
          </cell>
          <cell r="C1608">
            <v>211.00962970316689</v>
          </cell>
          <cell r="D1608">
            <v>240.29042295724329</v>
          </cell>
          <cell r="E1608">
            <v>265.4936714319598</v>
          </cell>
          <cell r="F1608">
            <v>270.09448472863107</v>
          </cell>
          <cell r="G1608">
            <v>284.49720670391059</v>
          </cell>
          <cell r="H1608">
            <v>301.05105105105105</v>
          </cell>
          <cell r="I1608">
            <v>309.04088050314465</v>
          </cell>
          <cell r="J1608">
            <v>307.82566508746356</v>
          </cell>
          <cell r="K1608">
            <v>302.90930593228973</v>
          </cell>
          <cell r="L1608">
            <v>298.00478067034896</v>
          </cell>
          <cell r="M1608">
            <v>293.70177771414927</v>
          </cell>
          <cell r="N1608">
            <v>290.8459028920953</v>
          </cell>
          <cell r="O1608">
            <v>287.93469552499357</v>
          </cell>
          <cell r="P1608">
            <v>284.96264697581319</v>
          </cell>
          <cell r="Q1608">
            <v>284.49993244064706</v>
          </cell>
          <cell r="R1608" t="e">
            <v>#DIV/0!</v>
          </cell>
          <cell r="S1608" t="e">
            <v>#DIV/0!</v>
          </cell>
        </row>
        <row r="1609">
          <cell r="A1609" t="str">
            <v>Gp mob</v>
          </cell>
          <cell r="B1609" t="str">
            <v>France Telecom</v>
          </cell>
          <cell r="C1609">
            <v>3541</v>
          </cell>
          <cell r="D1609">
            <v>4745</v>
          </cell>
          <cell r="E1609">
            <v>8653</v>
          </cell>
          <cell r="F1609">
            <v>14769</v>
          </cell>
          <cell r="G1609">
            <v>17085</v>
          </cell>
          <cell r="H1609">
            <v>17941</v>
          </cell>
          <cell r="I1609">
            <v>19667</v>
          </cell>
          <cell r="J1609">
            <v>21257.642742872998</v>
          </cell>
          <cell r="K1609">
            <v>21531.82472750076</v>
          </cell>
          <cell r="L1609">
            <v>21810.706534237794</v>
          </cell>
          <cell r="M1609">
            <v>22145.786669398749</v>
          </cell>
          <cell r="N1609">
            <v>22396.626890908366</v>
          </cell>
          <cell r="O1609">
            <v>22627.718967431992</v>
          </cell>
          <cell r="P1609">
            <v>22768.165755040754</v>
          </cell>
          <cell r="Q1609">
            <v>22785.588508915422</v>
          </cell>
          <cell r="R1609">
            <v>0</v>
          </cell>
          <cell r="S1609">
            <v>0</v>
          </cell>
        </row>
        <row r="1610">
          <cell r="A1610" t="str">
            <v>Gp mob</v>
          </cell>
          <cell r="B1610" t="str">
            <v>KPN</v>
          </cell>
          <cell r="C1610">
            <v>1274</v>
          </cell>
          <cell r="D1610">
            <v>1748</v>
          </cell>
          <cell r="E1610">
            <v>3549</v>
          </cell>
          <cell r="F1610">
            <v>4326.3136335886411</v>
          </cell>
          <cell r="G1610">
            <v>4737</v>
          </cell>
          <cell r="H1610">
            <v>5142</v>
          </cell>
          <cell r="I1610">
            <v>5437</v>
          </cell>
          <cell r="J1610">
            <v>5624.4636472529401</v>
          </cell>
          <cell r="K1610">
            <v>5716.1049080091034</v>
          </cell>
          <cell r="L1610">
            <v>5884.0166179041335</v>
          </cell>
          <cell r="M1610">
            <v>5991.5517944343546</v>
          </cell>
          <cell r="N1610">
            <v>6059.1847820405537</v>
          </cell>
          <cell r="O1610">
            <v>6104.012086071325</v>
          </cell>
          <cell r="P1610">
            <v>6136.9743920638884</v>
          </cell>
          <cell r="Q1610">
            <v>6168.3586509969737</v>
          </cell>
          <cell r="R1610">
            <v>0</v>
          </cell>
          <cell r="S1610">
            <v>0</v>
          </cell>
        </row>
        <row r="1611">
          <cell r="A1611" t="str">
            <v>Gp mob</v>
          </cell>
          <cell r="B1611" t="str">
            <v>OTE</v>
          </cell>
          <cell r="C1611">
            <v>0</v>
          </cell>
          <cell r="D1611">
            <v>342.5</v>
          </cell>
          <cell r="E1611">
            <v>607.92790315480556</v>
          </cell>
          <cell r="F1611">
            <v>926.8</v>
          </cell>
          <cell r="G1611">
            <v>1201.327</v>
          </cell>
          <cell r="H1611">
            <v>1357.174</v>
          </cell>
          <cell r="I1611">
            <v>1587.7750000000001</v>
          </cell>
          <cell r="J1611">
            <v>1669.3392419528575</v>
          </cell>
          <cell r="K1611">
            <v>1720.6953645950773</v>
          </cell>
          <cell r="L1611">
            <v>1815</v>
          </cell>
          <cell r="M1611">
            <v>1746.3956291821682</v>
          </cell>
          <cell r="N1611">
            <v>1758.8534056102833</v>
          </cell>
          <cell r="O1611">
            <v>1766.8742081384075</v>
          </cell>
          <cell r="P1611">
            <v>1775.2774750104695</v>
          </cell>
          <cell r="Q1611">
            <v>1784.4617328057016</v>
          </cell>
          <cell r="R1611">
            <v>0</v>
          </cell>
          <cell r="S1611">
            <v>0</v>
          </cell>
        </row>
        <row r="1612">
          <cell r="A1612" t="str">
            <v>Gp mob</v>
          </cell>
          <cell r="B1612" t="str">
            <v>Portugal Telecom</v>
          </cell>
          <cell r="C1612">
            <v>546</v>
          </cell>
          <cell r="D1612">
            <v>730</v>
          </cell>
          <cell r="E1612">
            <v>1063</v>
          </cell>
          <cell r="F1612">
            <v>1394</v>
          </cell>
          <cell r="G1612">
            <v>1475</v>
          </cell>
          <cell r="H1612">
            <v>1523</v>
          </cell>
          <cell r="I1612">
            <v>1588</v>
          </cell>
          <cell r="J1612">
            <v>1567.8760587910729</v>
          </cell>
          <cell r="K1612">
            <v>1558.5184075361194</v>
          </cell>
          <cell r="L1612">
            <v>1570.0609130319899</v>
          </cell>
          <cell r="M1612">
            <v>1574.1535084717991</v>
          </cell>
          <cell r="N1612">
            <v>1575.7110015052413</v>
          </cell>
          <cell r="O1612">
            <v>1578.1605647276979</v>
          </cell>
          <cell r="P1612">
            <v>1581.4760620564778</v>
          </cell>
          <cell r="Q1612">
            <v>1585.6344178692716</v>
          </cell>
          <cell r="R1612">
            <v>0</v>
          </cell>
          <cell r="S1612">
            <v>0</v>
          </cell>
        </row>
        <row r="1613">
          <cell r="A1613" t="str">
            <v>Gp mob</v>
          </cell>
          <cell r="B1613" t="str">
            <v>Swisscom</v>
          </cell>
          <cell r="C1613">
            <v>1381.9486378632637</v>
          </cell>
          <cell r="D1613">
            <v>1832.7240556192212</v>
          </cell>
          <cell r="E1613">
            <v>2248.7253697197189</v>
          </cell>
          <cell r="F1613">
            <v>2564.2681621488891</v>
          </cell>
          <cell r="G1613">
            <v>2647.9835968749953</v>
          </cell>
          <cell r="H1613">
            <v>2666.0146135852337</v>
          </cell>
          <cell r="I1613">
            <v>2795.0394101144761</v>
          </cell>
          <cell r="J1613">
            <v>2846.3115561452628</v>
          </cell>
          <cell r="K1613">
            <v>2879.5080964345516</v>
          </cell>
          <cell r="L1613">
            <v>2893.1628505026656</v>
          </cell>
          <cell r="M1613">
            <v>2901.2241146681372</v>
          </cell>
          <cell r="N1613">
            <v>2882.1018939884307</v>
          </cell>
          <cell r="O1613">
            <v>2854.5473132565317</v>
          </cell>
          <cell r="P1613">
            <v>2828.9948667685403</v>
          </cell>
          <cell r="Q1613">
            <v>2809.9316105120515</v>
          </cell>
          <cell r="R1613">
            <v>0</v>
          </cell>
          <cell r="S1613">
            <v>0</v>
          </cell>
        </row>
        <row r="1614">
          <cell r="A1614" t="str">
            <v>Gp mob</v>
          </cell>
          <cell r="B1614" t="str">
            <v>TDC</v>
          </cell>
          <cell r="C1614">
            <v>0</v>
          </cell>
          <cell r="D1614">
            <v>1617.0768317480627</v>
          </cell>
          <cell r="E1614">
            <v>2038.8844017323263</v>
          </cell>
          <cell r="F1614">
            <v>2005.4846943556474</v>
          </cell>
          <cell r="G1614">
            <v>1891.8374271961004</v>
          </cell>
          <cell r="H1614">
            <v>1810.0275150209654</v>
          </cell>
          <cell r="I1614">
            <v>2075.1776557413045</v>
          </cell>
          <cell r="J1614">
            <v>1989.192337742965</v>
          </cell>
          <cell r="K1614">
            <v>2021.7861015354013</v>
          </cell>
          <cell r="L1614">
            <v>2073.3505426714441</v>
          </cell>
          <cell r="M1614">
            <v>2095.7571886485512</v>
          </cell>
          <cell r="N1614">
            <v>2100.4473373519586</v>
          </cell>
          <cell r="O1614">
            <v>2107.8865634628887</v>
          </cell>
          <cell r="P1614">
            <v>2117.99056104494</v>
          </cell>
          <cell r="Q1614">
            <v>2126.7301079420931</v>
          </cell>
          <cell r="R1614">
            <v>0</v>
          </cell>
          <cell r="S1614">
            <v>0</v>
          </cell>
        </row>
        <row r="1615">
          <cell r="A1615" t="str">
            <v>Gp mob</v>
          </cell>
          <cell r="B1615" t="str">
            <v>Telecom Italia</v>
          </cell>
          <cell r="C1615">
            <v>0</v>
          </cell>
          <cell r="D1615">
            <v>0</v>
          </cell>
          <cell r="E1615">
            <v>0</v>
          </cell>
          <cell r="F1615">
            <v>10250.494830321328</v>
          </cell>
          <cell r="G1615">
            <v>10867</v>
          </cell>
          <cell r="H1615">
            <v>11781.969087165</v>
          </cell>
          <cell r="I1615">
            <v>12900.062199999998</v>
          </cell>
          <cell r="J1615">
            <v>13791.437689037783</v>
          </cell>
          <cell r="K1615">
            <v>14421.830364955096</v>
          </cell>
          <cell r="L1615">
            <v>14837.689302919685</v>
          </cell>
          <cell r="M1615">
            <v>15135.431813502253</v>
          </cell>
          <cell r="N1615">
            <v>15390.145614295156</v>
          </cell>
          <cell r="O1615">
            <v>15573.980780487453</v>
          </cell>
          <cell r="P1615">
            <v>15707.313658912586</v>
          </cell>
          <cell r="Q1615">
            <v>15820.30106644276</v>
          </cell>
          <cell r="R1615">
            <v>0</v>
          </cell>
          <cell r="S1615">
            <v>0</v>
          </cell>
        </row>
        <row r="1616">
          <cell r="A1616" t="str">
            <v>Gp mob</v>
          </cell>
          <cell r="B1616" t="str">
            <v>Telefonica</v>
          </cell>
          <cell r="C1616">
            <v>0</v>
          </cell>
          <cell r="D1616">
            <v>5492.3</v>
          </cell>
          <cell r="E1616">
            <v>7401</v>
          </cell>
          <cell r="F1616">
            <v>8411.1</v>
          </cell>
          <cell r="G1616">
            <v>9139.7999999999993</v>
          </cell>
          <cell r="H1616">
            <v>10070.299999999999</v>
          </cell>
          <cell r="I1616">
            <v>12054.3</v>
          </cell>
          <cell r="J1616">
            <v>15832.321137760209</v>
          </cell>
          <cell r="K1616">
            <v>16912.722373841614</v>
          </cell>
          <cell r="L1616">
            <v>17992.021701748876</v>
          </cell>
          <cell r="M1616">
            <v>18951.606194293381</v>
          </cell>
          <cell r="N1616">
            <v>19652.6337696275</v>
          </cell>
          <cell r="O1616">
            <v>20110.486728952514</v>
          </cell>
          <cell r="P1616">
            <v>20468.619129718212</v>
          </cell>
          <cell r="Q1616">
            <v>20719.467224963668</v>
          </cell>
          <cell r="R1616">
            <v>0</v>
          </cell>
          <cell r="S1616">
            <v>0</v>
          </cell>
        </row>
        <row r="1617">
          <cell r="A1617" t="str">
            <v>Gp mob</v>
          </cell>
          <cell r="B1617" t="str">
            <v>Telekom Austria</v>
          </cell>
          <cell r="C1617">
            <v>913</v>
          </cell>
          <cell r="D1617">
            <v>1243</v>
          </cell>
          <cell r="E1617">
            <v>1501</v>
          </cell>
          <cell r="F1617">
            <v>1713</v>
          </cell>
          <cell r="G1617">
            <v>1884</v>
          </cell>
          <cell r="H1617">
            <v>2010</v>
          </cell>
          <cell r="I1617">
            <v>2077.8070017070377</v>
          </cell>
          <cell r="J1617">
            <v>2109.5428613639351</v>
          </cell>
          <cell r="K1617">
            <v>2123.4878163614944</v>
          </cell>
          <cell r="L1617">
            <v>2131.9078173733624</v>
          </cell>
          <cell r="M1617">
            <v>2147.4419111992229</v>
          </cell>
          <cell r="N1617">
            <v>2163.8614014560098</v>
          </cell>
          <cell r="O1617">
            <v>2175.4771424586897</v>
          </cell>
          <cell r="P1617">
            <v>2181.7362263032587</v>
          </cell>
          <cell r="Q1617">
            <v>2183.076716667942</v>
          </cell>
          <cell r="R1617">
            <v>0</v>
          </cell>
          <cell r="S1617">
            <v>0</v>
          </cell>
        </row>
        <row r="1618">
          <cell r="A1618" t="str">
            <v>Gp mob</v>
          </cell>
          <cell r="B1618" t="str">
            <v>Telenor</v>
          </cell>
          <cell r="C1618">
            <v>0</v>
          </cell>
          <cell r="D1618">
            <v>0</v>
          </cell>
          <cell r="E1618">
            <v>0</v>
          </cell>
          <cell r="F1618">
            <v>1336.4448641275078</v>
          </cell>
          <cell r="G1618">
            <v>2325.7502377773908</v>
          </cell>
          <cell r="H1618">
            <v>2741.7912108932164</v>
          </cell>
          <cell r="I1618">
            <v>3849.336813229746</v>
          </cell>
          <cell r="J1618">
            <v>4631.0993631813017</v>
          </cell>
          <cell r="K1618">
            <v>5248.8976849921764</v>
          </cell>
          <cell r="L1618">
            <v>5538.2585664565622</v>
          </cell>
          <cell r="M1618">
            <v>5671.227282079718</v>
          </cell>
          <cell r="N1618">
            <v>5776.5606528511917</v>
          </cell>
          <cell r="O1618">
            <v>5844.786178681099</v>
          </cell>
          <cell r="P1618">
            <v>5885.3653716929803</v>
          </cell>
          <cell r="Q1618">
            <v>5908.9780841703741</v>
          </cell>
          <cell r="R1618">
            <v>0</v>
          </cell>
          <cell r="S1618">
            <v>0</v>
          </cell>
        </row>
        <row r="1619">
          <cell r="A1619" t="str">
            <v>Gp mob</v>
          </cell>
          <cell r="B1619" t="str">
            <v>GROUP MOBILE</v>
          </cell>
          <cell r="C1619">
            <v>0</v>
          </cell>
          <cell r="D1619">
            <v>0</v>
          </cell>
          <cell r="E1619">
            <v>0</v>
          </cell>
          <cell r="F1619">
            <v>0</v>
          </cell>
          <cell r="G1619">
            <v>3574.8651932300122</v>
          </cell>
          <cell r="H1619">
            <v>3926.77255835289</v>
          </cell>
          <cell r="I1619">
            <v>4228.6446516810074</v>
          </cell>
          <cell r="J1619">
            <v>4552.5440852055326</v>
          </cell>
          <cell r="K1619">
            <v>4641.0855589050352</v>
          </cell>
          <cell r="L1619">
            <v>4680.9512547117074</v>
          </cell>
          <cell r="M1619">
            <v>4676.8738036662326</v>
          </cell>
          <cell r="N1619">
            <v>4667.2926478980371</v>
          </cell>
          <cell r="O1619">
            <v>4663.1300586096777</v>
          </cell>
          <cell r="P1619">
            <v>4664.6679135852828</v>
          </cell>
          <cell r="Q1619">
            <v>4659.4918343668951</v>
          </cell>
          <cell r="R1619">
            <v>4652.0625230596488</v>
          </cell>
          <cell r="S1619">
            <v>0</v>
          </cell>
        </row>
        <row r="1620">
          <cell r="A1620" t="str">
            <v>Gp mob</v>
          </cell>
          <cell r="B1620" t="str">
            <v>Sum</v>
          </cell>
          <cell r="C1620">
            <v>7655.9486378632637</v>
          </cell>
          <cell r="D1620">
            <v>22903.600887367284</v>
          </cell>
          <cell r="E1620">
            <v>36056.53767460685</v>
          </cell>
          <cell r="F1620">
            <v>62608.906184542015</v>
          </cell>
          <cell r="G1620">
            <v>77201.563455078503</v>
          </cell>
          <cell r="H1620">
            <v>84723.048985017318</v>
          </cell>
          <cell r="I1620">
            <v>94587.142732473585</v>
          </cell>
          <cell r="J1620">
            <v>104248.42495787771</v>
          </cell>
          <cell r="K1620">
            <v>107871.63829091306</v>
          </cell>
          <cell r="L1620">
            <v>110818.4669271999</v>
          </cell>
          <cell r="M1620">
            <v>112603.9792787882</v>
          </cell>
          <cell r="N1620">
            <v>113991.39732504806</v>
          </cell>
          <cell r="O1620">
            <v>114852.96517383026</v>
          </cell>
          <cell r="P1620">
            <v>115447.07494779688</v>
          </cell>
          <cell r="Q1620">
            <v>115831.48301140023</v>
          </cell>
          <cell r="R1620">
            <v>4652.0625230596488</v>
          </cell>
          <cell r="S1620">
            <v>0</v>
          </cell>
        </row>
        <row r="1775">
          <cell r="A1775" t="str">
            <v>Gp mob</v>
          </cell>
          <cell r="B1775" t="str">
            <v>EV</v>
          </cell>
          <cell r="C1775">
            <v>1998</v>
          </cell>
          <cell r="D1775">
            <v>1999</v>
          </cell>
          <cell r="E1775">
            <v>2000</v>
          </cell>
          <cell r="F1775">
            <v>2001</v>
          </cell>
          <cell r="G1775">
            <v>2002</v>
          </cell>
          <cell r="H1775">
            <v>2003</v>
          </cell>
          <cell r="I1775">
            <v>2004</v>
          </cell>
          <cell r="J1775">
            <v>2005</v>
          </cell>
          <cell r="K1775">
            <v>2006</v>
          </cell>
          <cell r="L1775">
            <v>2007</v>
          </cell>
          <cell r="M1775">
            <v>2008</v>
          </cell>
          <cell r="N1775">
            <v>2009</v>
          </cell>
          <cell r="O1775">
            <v>2010</v>
          </cell>
          <cell r="P1775">
            <v>2011</v>
          </cell>
          <cell r="Q1775">
            <v>2012</v>
          </cell>
          <cell r="R1775">
            <v>2013</v>
          </cell>
          <cell r="S1775">
            <v>2014</v>
          </cell>
        </row>
        <row r="1776">
          <cell r="A1776" t="str">
            <v>Gp mob</v>
          </cell>
          <cell r="B1776" t="str">
            <v>Belgacom</v>
          </cell>
          <cell r="C1776">
            <v>6231.1418205536693</v>
          </cell>
          <cell r="D1776">
            <v>6231.1418205536693</v>
          </cell>
          <cell r="E1776">
            <v>6231.1418205536693</v>
          </cell>
          <cell r="F1776">
            <v>6231.1418205536693</v>
          </cell>
          <cell r="G1776">
            <v>6231.1418205536693</v>
          </cell>
          <cell r="H1776">
            <v>6231.1418205536693</v>
          </cell>
          <cell r="I1776">
            <v>6231.1418205536693</v>
          </cell>
          <cell r="J1776">
            <v>6231.1418205536693</v>
          </cell>
          <cell r="K1776">
            <v>6231.1418205536693</v>
          </cell>
          <cell r="L1776">
            <v>6231.1418205536693</v>
          </cell>
          <cell r="M1776">
            <v>6231.1418205536693</v>
          </cell>
          <cell r="N1776">
            <v>6231.1418205536693</v>
          </cell>
          <cell r="O1776">
            <v>6231.1418205536693</v>
          </cell>
          <cell r="P1776">
            <v>6231.1418205536693</v>
          </cell>
          <cell r="Q1776">
            <v>6231.1418205536693</v>
          </cell>
          <cell r="R1776">
            <v>6231.1418205536693</v>
          </cell>
          <cell r="S1776">
            <v>6231.1418205536693</v>
          </cell>
        </row>
        <row r="1777">
          <cell r="A1777" t="str">
            <v>Gp mob</v>
          </cell>
          <cell r="B1777" t="str">
            <v>British Telecom</v>
          </cell>
          <cell r="C1777">
            <v>0</v>
          </cell>
          <cell r="D1777">
            <v>0</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row>
        <row r="1778">
          <cell r="A1778" t="str">
            <v>Gp mob</v>
          </cell>
          <cell r="B1778" t="str">
            <v>Deutsche Telekom</v>
          </cell>
          <cell r="C1778">
            <v>46872.447964746345</v>
          </cell>
          <cell r="D1778">
            <v>46872.447964746345</v>
          </cell>
          <cell r="E1778">
            <v>46872.447964746345</v>
          </cell>
          <cell r="F1778">
            <v>46872.447964746345</v>
          </cell>
          <cell r="G1778">
            <v>46872.447964746345</v>
          </cell>
          <cell r="H1778">
            <v>46872.447964746345</v>
          </cell>
          <cell r="I1778">
            <v>46872.447964746345</v>
          </cell>
          <cell r="J1778">
            <v>46872.447964746345</v>
          </cell>
          <cell r="K1778">
            <v>46872.447964746345</v>
          </cell>
          <cell r="L1778">
            <v>46872.447964746345</v>
          </cell>
          <cell r="M1778">
            <v>46872.447964746345</v>
          </cell>
          <cell r="N1778">
            <v>46872.447964746345</v>
          </cell>
          <cell r="O1778">
            <v>46872.447964746345</v>
          </cell>
          <cell r="P1778">
            <v>46872.447964746345</v>
          </cell>
          <cell r="Q1778">
            <v>46872.447964746345</v>
          </cell>
          <cell r="R1778">
            <v>46872.447964746345</v>
          </cell>
          <cell r="S1778">
            <v>46872.447964746345</v>
          </cell>
        </row>
        <row r="1779">
          <cell r="A1779" t="str">
            <v>Gp mob</v>
          </cell>
          <cell r="B1779" t="str">
            <v>Eircom</v>
          </cell>
          <cell r="C1779">
            <v>0</v>
          </cell>
          <cell r="D1779">
            <v>0</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row>
        <row r="1780">
          <cell r="A1780" t="str">
            <v>Gp mob</v>
          </cell>
          <cell r="B1780" t="str">
            <v>France Telecom</v>
          </cell>
          <cell r="C1780">
            <v>53714.261057213225</v>
          </cell>
          <cell r="D1780">
            <v>53714.261057213225</v>
          </cell>
          <cell r="E1780">
            <v>53714.261057213225</v>
          </cell>
          <cell r="F1780">
            <v>53714.261057213225</v>
          </cell>
          <cell r="G1780">
            <v>53714.261057213225</v>
          </cell>
          <cell r="H1780">
            <v>53714.261057213225</v>
          </cell>
          <cell r="I1780">
            <v>53714.261057213225</v>
          </cell>
          <cell r="J1780">
            <v>53714.261057213225</v>
          </cell>
          <cell r="K1780">
            <v>53714.261057213225</v>
          </cell>
          <cell r="L1780">
            <v>53714.261057213225</v>
          </cell>
          <cell r="M1780">
            <v>53714.261057213225</v>
          </cell>
          <cell r="N1780">
            <v>53714.261057213225</v>
          </cell>
          <cell r="O1780">
            <v>53714.261057213225</v>
          </cell>
          <cell r="P1780">
            <v>53714.261057213225</v>
          </cell>
          <cell r="Q1780">
            <v>53714.261057213225</v>
          </cell>
          <cell r="R1780">
            <v>53714.261057213225</v>
          </cell>
          <cell r="S1780">
            <v>53714.261057213225</v>
          </cell>
        </row>
        <row r="1781">
          <cell r="A1781" t="str">
            <v>Gp mob</v>
          </cell>
          <cell r="B1781" t="str">
            <v>KPN</v>
          </cell>
          <cell r="C1781">
            <v>9114.4981001082851</v>
          </cell>
          <cell r="D1781">
            <v>9114.4981001082851</v>
          </cell>
          <cell r="E1781">
            <v>9114.4981001082851</v>
          </cell>
          <cell r="F1781">
            <v>9114.4981001082851</v>
          </cell>
          <cell r="G1781">
            <v>9114.4981001082851</v>
          </cell>
          <cell r="H1781">
            <v>9114.4981001082851</v>
          </cell>
          <cell r="I1781">
            <v>9114.4981001082851</v>
          </cell>
          <cell r="J1781">
            <v>9114.4981001082851</v>
          </cell>
          <cell r="K1781">
            <v>9114.4981001082851</v>
          </cell>
          <cell r="L1781">
            <v>9114.4981001082851</v>
          </cell>
          <cell r="M1781">
            <v>9114.4981001082851</v>
          </cell>
          <cell r="N1781">
            <v>9114.4981001082851</v>
          </cell>
          <cell r="O1781">
            <v>9114.4981001082851</v>
          </cell>
          <cell r="P1781">
            <v>9114.4981001082851</v>
          </cell>
          <cell r="Q1781">
            <v>9114.4981001082851</v>
          </cell>
          <cell r="R1781">
            <v>9114.4981001082851</v>
          </cell>
          <cell r="S1781">
            <v>9114.4981001082851</v>
          </cell>
        </row>
        <row r="1782">
          <cell r="A1782" t="str">
            <v>Gp mob</v>
          </cell>
          <cell r="B1782" t="str">
            <v>OTE</v>
          </cell>
          <cell r="C1782">
            <v>5874.0735987321768</v>
          </cell>
          <cell r="D1782">
            <v>5874.0735987321768</v>
          </cell>
          <cell r="E1782">
            <v>5874.0735987321768</v>
          </cell>
          <cell r="F1782">
            <v>5874.0735987321768</v>
          </cell>
          <cell r="G1782">
            <v>5874.0735987321768</v>
          </cell>
          <cell r="H1782">
            <v>5874.0735987321768</v>
          </cell>
          <cell r="I1782">
            <v>5874.0735987321768</v>
          </cell>
          <cell r="J1782">
            <v>5874.0735987321768</v>
          </cell>
          <cell r="K1782">
            <v>5874.0735987321768</v>
          </cell>
          <cell r="L1782">
            <v>5874.0735987321768</v>
          </cell>
          <cell r="M1782">
            <v>5874.0735987321768</v>
          </cell>
          <cell r="N1782">
            <v>5874.0735987321768</v>
          </cell>
          <cell r="O1782">
            <v>5874.0735987321768</v>
          </cell>
          <cell r="P1782">
            <v>5874.0735987321768</v>
          </cell>
          <cell r="Q1782">
            <v>5874.0735987321768</v>
          </cell>
          <cell r="R1782">
            <v>5874.0735987321768</v>
          </cell>
          <cell r="S1782">
            <v>5874.0735987321768</v>
          </cell>
        </row>
        <row r="1783">
          <cell r="A1783" t="str">
            <v>Gp mob</v>
          </cell>
          <cell r="B1783" t="str">
            <v>Portugal Telecom</v>
          </cell>
          <cell r="C1783">
            <v>7194.2768447545031</v>
          </cell>
          <cell r="D1783">
            <v>7194.2768447545031</v>
          </cell>
          <cell r="E1783">
            <v>7194.2768447545031</v>
          </cell>
          <cell r="F1783">
            <v>7194.2768447545031</v>
          </cell>
          <cell r="G1783">
            <v>7194.2768447545031</v>
          </cell>
          <cell r="H1783">
            <v>7194.2768447545031</v>
          </cell>
          <cell r="I1783">
            <v>7194.2768447545031</v>
          </cell>
          <cell r="J1783">
            <v>7194.2768447545031</v>
          </cell>
          <cell r="K1783">
            <v>7194.2768447545031</v>
          </cell>
          <cell r="L1783">
            <v>7194.2768447545031</v>
          </cell>
          <cell r="M1783">
            <v>7194.2768447545031</v>
          </cell>
          <cell r="N1783">
            <v>7194.2768447545031</v>
          </cell>
          <cell r="O1783">
            <v>7194.2768447545031</v>
          </cell>
          <cell r="P1783">
            <v>7194.2768447545031</v>
          </cell>
          <cell r="Q1783">
            <v>7194.2768447545031</v>
          </cell>
          <cell r="R1783">
            <v>7194.2768447545031</v>
          </cell>
          <cell r="S1783">
            <v>7194.2768447545031</v>
          </cell>
        </row>
        <row r="1784">
          <cell r="A1784" t="str">
            <v>Gp mob</v>
          </cell>
          <cell r="B1784" t="str">
            <v>Swisscom</v>
          </cell>
          <cell r="C1784">
            <v>9678.1196571941091</v>
          </cell>
          <cell r="D1784">
            <v>9678.1196571941091</v>
          </cell>
          <cell r="E1784">
            <v>9678.1196571941091</v>
          </cell>
          <cell r="F1784">
            <v>9678.1196571941091</v>
          </cell>
          <cell r="G1784">
            <v>9678.1196571941091</v>
          </cell>
          <cell r="H1784">
            <v>9678.1196571941091</v>
          </cell>
          <cell r="I1784">
            <v>9678.1196571941091</v>
          </cell>
          <cell r="J1784">
            <v>9678.1196571941091</v>
          </cell>
          <cell r="K1784">
            <v>9678.1196571941091</v>
          </cell>
          <cell r="L1784">
            <v>9678.1196571941091</v>
          </cell>
          <cell r="M1784">
            <v>9678.1196571941091</v>
          </cell>
          <cell r="N1784">
            <v>9678.1196571941091</v>
          </cell>
          <cell r="O1784">
            <v>9678.1196571941091</v>
          </cell>
          <cell r="P1784">
            <v>9678.1196571941091</v>
          </cell>
          <cell r="Q1784">
            <v>9678.1196571941091</v>
          </cell>
          <cell r="R1784">
            <v>9678.1196571941091</v>
          </cell>
          <cell r="S1784">
            <v>9678.1196571941091</v>
          </cell>
        </row>
        <row r="1785">
          <cell r="A1785" t="str">
            <v>Gp mob</v>
          </cell>
          <cell r="B1785" t="str">
            <v>TDC</v>
          </cell>
          <cell r="C1785">
            <v>3504.439418957154</v>
          </cell>
          <cell r="D1785">
            <v>3504.439418957154</v>
          </cell>
          <cell r="E1785">
            <v>3504.439418957154</v>
          </cell>
          <cell r="F1785">
            <v>3504.439418957154</v>
          </cell>
          <cell r="G1785">
            <v>3504.439418957154</v>
          </cell>
          <cell r="H1785">
            <v>3504.439418957154</v>
          </cell>
          <cell r="I1785">
            <v>3504.439418957154</v>
          </cell>
          <cell r="J1785">
            <v>3504.439418957154</v>
          </cell>
          <cell r="K1785">
            <v>3504.439418957154</v>
          </cell>
          <cell r="L1785">
            <v>3504.439418957154</v>
          </cell>
          <cell r="M1785">
            <v>3504.439418957154</v>
          </cell>
          <cell r="N1785">
            <v>3504.439418957154</v>
          </cell>
          <cell r="O1785">
            <v>3504.439418957154</v>
          </cell>
          <cell r="P1785">
            <v>3504.439418957154</v>
          </cell>
          <cell r="Q1785">
            <v>3504.439418957154</v>
          </cell>
          <cell r="R1785">
            <v>3504.439418957154</v>
          </cell>
          <cell r="S1785">
            <v>3504.439418957154</v>
          </cell>
        </row>
        <row r="1786">
          <cell r="A1786" t="str">
            <v>Gp mob</v>
          </cell>
          <cell r="B1786" t="str">
            <v>Telecom Italia</v>
          </cell>
          <cell r="C1786">
            <v>40787.600000000006</v>
          </cell>
          <cell r="D1786">
            <v>40787.600000000006</v>
          </cell>
          <cell r="E1786">
            <v>40787.600000000006</v>
          </cell>
          <cell r="F1786">
            <v>40787.600000000006</v>
          </cell>
          <cell r="G1786">
            <v>40787.600000000006</v>
          </cell>
          <cell r="H1786">
            <v>40787.600000000006</v>
          </cell>
          <cell r="I1786">
            <v>40787.600000000006</v>
          </cell>
          <cell r="J1786">
            <v>40787.600000000006</v>
          </cell>
          <cell r="K1786">
            <v>40787.600000000006</v>
          </cell>
          <cell r="L1786">
            <v>40787.600000000006</v>
          </cell>
          <cell r="M1786">
            <v>40787.600000000006</v>
          </cell>
          <cell r="N1786">
            <v>40787.600000000006</v>
          </cell>
          <cell r="O1786">
            <v>40787.600000000006</v>
          </cell>
          <cell r="P1786">
            <v>40787.600000000006</v>
          </cell>
          <cell r="Q1786">
            <v>40787.600000000006</v>
          </cell>
          <cell r="R1786">
            <v>40787.600000000006</v>
          </cell>
          <cell r="S1786">
            <v>40787.600000000006</v>
          </cell>
        </row>
        <row r="1787">
          <cell r="A1787" t="str">
            <v>Gp mob</v>
          </cell>
          <cell r="B1787" t="str">
            <v>Telefonica</v>
          </cell>
          <cell r="C1787">
            <v>40720.442576580615</v>
          </cell>
          <cell r="D1787">
            <v>40720.442576580615</v>
          </cell>
          <cell r="E1787">
            <v>40720.442576580615</v>
          </cell>
          <cell r="F1787">
            <v>40720.442576580615</v>
          </cell>
          <cell r="G1787">
            <v>40720.442576580615</v>
          </cell>
          <cell r="H1787">
            <v>40720.442576580615</v>
          </cell>
          <cell r="I1787">
            <v>40720.442576580615</v>
          </cell>
          <cell r="J1787">
            <v>40720.442576580615</v>
          </cell>
          <cell r="K1787">
            <v>40720.442576580615</v>
          </cell>
          <cell r="L1787">
            <v>40720.442576580615</v>
          </cell>
          <cell r="M1787">
            <v>40720.442576580615</v>
          </cell>
          <cell r="N1787">
            <v>40720.442576580615</v>
          </cell>
          <cell r="O1787">
            <v>40720.442576580615</v>
          </cell>
          <cell r="P1787">
            <v>40720.442576580615</v>
          </cell>
          <cell r="Q1787">
            <v>40720.442576580615</v>
          </cell>
          <cell r="R1787">
            <v>40720.442576580615</v>
          </cell>
          <cell r="S1787">
            <v>40720.442576580615</v>
          </cell>
        </row>
        <row r="1788">
          <cell r="A1788" t="str">
            <v>Gp mob</v>
          </cell>
          <cell r="B1788" t="str">
            <v>Telekom Austria</v>
          </cell>
          <cell r="C1788">
            <v>3965.2693495208555</v>
          </cell>
          <cell r="D1788">
            <v>3965.2693495208555</v>
          </cell>
          <cell r="E1788">
            <v>3965.2693495208555</v>
          </cell>
          <cell r="F1788">
            <v>3965.2693495208555</v>
          </cell>
          <cell r="G1788">
            <v>3965.2693495208555</v>
          </cell>
          <cell r="H1788">
            <v>3965.2693495208555</v>
          </cell>
          <cell r="I1788">
            <v>3965.2693495208555</v>
          </cell>
          <cell r="J1788">
            <v>3965.2693495208555</v>
          </cell>
          <cell r="K1788">
            <v>3965.2693495208555</v>
          </cell>
          <cell r="L1788">
            <v>3965.2693495208555</v>
          </cell>
          <cell r="M1788">
            <v>3965.2693495208555</v>
          </cell>
          <cell r="N1788">
            <v>3965.2693495208555</v>
          </cell>
          <cell r="O1788">
            <v>3965.2693495208555</v>
          </cell>
          <cell r="P1788">
            <v>3965.2693495208555</v>
          </cell>
          <cell r="Q1788">
            <v>3965.2693495208555</v>
          </cell>
          <cell r="R1788">
            <v>3965.2693495208555</v>
          </cell>
          <cell r="S1788">
            <v>3965.2693495208555</v>
          </cell>
        </row>
        <row r="1789">
          <cell r="A1789" t="str">
            <v>Gp mob</v>
          </cell>
          <cell r="B1789" t="str">
            <v>Telenor</v>
          </cell>
          <cell r="C1789">
            <v>8994.1515097906922</v>
          </cell>
          <cell r="D1789">
            <v>8994.1515097906922</v>
          </cell>
          <cell r="E1789">
            <v>8994.1515097906922</v>
          </cell>
          <cell r="F1789">
            <v>8994.1515097906922</v>
          </cell>
          <cell r="G1789">
            <v>8994.1515097906922</v>
          </cell>
          <cell r="H1789">
            <v>8994.1515097906922</v>
          </cell>
          <cell r="I1789">
            <v>8994.1515097906922</v>
          </cell>
          <cell r="J1789">
            <v>8994.1515097906922</v>
          </cell>
          <cell r="K1789">
            <v>8994.1515097906922</v>
          </cell>
          <cell r="L1789">
            <v>8994.1515097906922</v>
          </cell>
          <cell r="M1789">
            <v>8994.1515097906922</v>
          </cell>
          <cell r="N1789">
            <v>8994.1515097906922</v>
          </cell>
          <cell r="O1789">
            <v>8994.1515097906922</v>
          </cell>
          <cell r="P1789">
            <v>8994.1515097906922</v>
          </cell>
          <cell r="Q1789">
            <v>8994.1515097906922</v>
          </cell>
          <cell r="R1789">
            <v>8994.1515097906922</v>
          </cell>
          <cell r="S1789">
            <v>8994.1515097906922</v>
          </cell>
        </row>
        <row r="1790">
          <cell r="A1790" t="str">
            <v>Gp mob</v>
          </cell>
          <cell r="B1790" t="str">
            <v>TeliaSonera</v>
          </cell>
          <cell r="C1790">
            <v>5052.9177333852576</v>
          </cell>
          <cell r="D1790">
            <v>5052.9177333852576</v>
          </cell>
          <cell r="E1790">
            <v>5052.9177333852576</v>
          </cell>
          <cell r="F1790">
            <v>5052.9177333852576</v>
          </cell>
          <cell r="G1790">
            <v>5052.9177333852576</v>
          </cell>
          <cell r="H1790">
            <v>5052.9177333852576</v>
          </cell>
          <cell r="I1790">
            <v>5052.9177333852576</v>
          </cell>
          <cell r="J1790">
            <v>5052.9177333852576</v>
          </cell>
          <cell r="K1790">
            <v>5052.9177333852576</v>
          </cell>
          <cell r="L1790">
            <v>5052.9177333852576</v>
          </cell>
          <cell r="M1790">
            <v>5052.9177333852576</v>
          </cell>
          <cell r="N1790">
            <v>5052.9177333852576</v>
          </cell>
          <cell r="O1790">
            <v>5052.9177333852576</v>
          </cell>
          <cell r="P1790">
            <v>5052.9177333852576</v>
          </cell>
          <cell r="Q1790">
            <v>5052.9177333852576</v>
          </cell>
          <cell r="R1790">
            <v>5052.9177333852576</v>
          </cell>
          <cell r="S1790">
            <v>5052.9177333852576</v>
          </cell>
        </row>
        <row r="1791">
          <cell r="A1791" t="str">
            <v>Gp mob</v>
          </cell>
          <cell r="B1791" t="str">
            <v>Sum</v>
          </cell>
          <cell r="C1791">
            <v>241703.63963153691</v>
          </cell>
          <cell r="D1791">
            <v>241703.63963153691</v>
          </cell>
          <cell r="E1791">
            <v>241703.63963153691</v>
          </cell>
          <cell r="F1791">
            <v>241703.63963153691</v>
          </cell>
          <cell r="G1791">
            <v>241703.63963153691</v>
          </cell>
          <cell r="H1791">
            <v>241703.63963153691</v>
          </cell>
          <cell r="I1791">
            <v>241703.63963153691</v>
          </cell>
          <cell r="J1791">
            <v>241703.63963153691</v>
          </cell>
          <cell r="K1791">
            <v>241703.63963153691</v>
          </cell>
          <cell r="L1791">
            <v>241703.63963153691</v>
          </cell>
          <cell r="M1791">
            <v>241703.63963153691</v>
          </cell>
          <cell r="N1791">
            <v>241703.63963153691</v>
          </cell>
          <cell r="O1791">
            <v>241703.63963153691</v>
          </cell>
          <cell r="P1791">
            <v>241703.63963153691</v>
          </cell>
          <cell r="Q1791">
            <v>241703.63963153691</v>
          </cell>
          <cell r="R1791">
            <v>241703.63963153691</v>
          </cell>
          <cell r="S1791">
            <v>241703.63963153691</v>
          </cell>
        </row>
        <row r="1870">
          <cell r="A1870" t="str">
            <v>Gp mob</v>
          </cell>
          <cell r="B1870" t="str">
            <v>EBITDA margin</v>
          </cell>
          <cell r="C1870">
            <v>1998</v>
          </cell>
          <cell r="D1870">
            <v>1999</v>
          </cell>
          <cell r="E1870">
            <v>2000</v>
          </cell>
          <cell r="F1870">
            <v>2001</v>
          </cell>
          <cell r="G1870">
            <v>2002</v>
          </cell>
          <cell r="H1870">
            <v>2003</v>
          </cell>
          <cell r="I1870">
            <v>2004</v>
          </cell>
          <cell r="J1870">
            <v>2005</v>
          </cell>
          <cell r="K1870">
            <v>2006</v>
          </cell>
          <cell r="L1870">
            <v>2007</v>
          </cell>
          <cell r="M1870">
            <v>2008</v>
          </cell>
          <cell r="N1870">
            <v>2009</v>
          </cell>
          <cell r="O1870">
            <v>2010</v>
          </cell>
          <cell r="P1870">
            <v>2011</v>
          </cell>
          <cell r="Q1870">
            <v>2012</v>
          </cell>
          <cell r="R1870">
            <v>2013</v>
          </cell>
          <cell r="S1870">
            <v>2014</v>
          </cell>
        </row>
        <row r="1871">
          <cell r="A1871" t="str">
            <v>Gp mob</v>
          </cell>
          <cell r="B1871" t="str">
            <v>Belgacom</v>
          </cell>
          <cell r="C1871" t="e">
            <v>#DIV/0!</v>
          </cell>
          <cell r="D1871" t="e">
            <v>#DIV/0!</v>
          </cell>
          <cell r="E1871" t="e">
            <v>#DIV/0!</v>
          </cell>
          <cell r="F1871">
            <v>0.46454640250260687</v>
          </cell>
          <cell r="G1871">
            <v>0.49581898671913427</v>
          </cell>
          <cell r="H1871">
            <v>0.51031636863823937</v>
          </cell>
          <cell r="I1871">
            <v>0.50692273336310856</v>
          </cell>
          <cell r="J1871">
            <v>0.49281857523344103</v>
          </cell>
          <cell r="K1871">
            <v>0.48300415801407914</v>
          </cell>
          <cell r="L1871">
            <v>0.47653367141070363</v>
          </cell>
          <cell r="M1871">
            <v>0.46613271811553059</v>
          </cell>
          <cell r="N1871">
            <v>0.45030590086518785</v>
          </cell>
          <cell r="O1871">
            <v>0.43609319155526993</v>
          </cell>
          <cell r="P1871">
            <v>0.42935394416664174</v>
          </cell>
          <cell r="Q1871">
            <v>0.42388925356530621</v>
          </cell>
          <cell r="R1871" t="e">
            <v>#DIV/0!</v>
          </cell>
          <cell r="S1871" t="e">
            <v>#DIV/0!</v>
          </cell>
        </row>
        <row r="1872">
          <cell r="A1872" t="str">
            <v>Gp mob</v>
          </cell>
          <cell r="B1872" t="str">
            <v>British Telecom</v>
          </cell>
          <cell r="C1872" t="e">
            <v>#DIV/0!</v>
          </cell>
          <cell r="D1872" t="e">
            <v>#DIV/0!</v>
          </cell>
          <cell r="E1872" t="e">
            <v>#DIV/0!</v>
          </cell>
          <cell r="F1872" t="e">
            <v>#DIV/0!</v>
          </cell>
          <cell r="G1872" t="e">
            <v>#DIV/0!</v>
          </cell>
          <cell r="H1872" t="e">
            <v>#DIV/0!</v>
          </cell>
          <cell r="I1872" t="e">
            <v>#DIV/0!</v>
          </cell>
          <cell r="J1872" t="e">
            <v>#DIV/0!</v>
          </cell>
          <cell r="K1872" t="e">
            <v>#DIV/0!</v>
          </cell>
          <cell r="L1872" t="e">
            <v>#DIV/0!</v>
          </cell>
          <cell r="M1872" t="e">
            <v>#DIV/0!</v>
          </cell>
          <cell r="N1872" t="e">
            <v>#DIV/0!</v>
          </cell>
          <cell r="O1872" t="e">
            <v>#DIV/0!</v>
          </cell>
          <cell r="P1872" t="e">
            <v>#DIV/0!</v>
          </cell>
          <cell r="Q1872" t="e">
            <v>#DIV/0!</v>
          </cell>
          <cell r="R1872" t="e">
            <v>#DIV/0!</v>
          </cell>
          <cell r="S1872" t="e">
            <v>#DIV/0!</v>
          </cell>
        </row>
        <row r="1873">
          <cell r="A1873" t="str">
            <v>Gp mob</v>
          </cell>
          <cell r="B1873" t="str">
            <v>Deutsche Telekom</v>
          </cell>
          <cell r="C1873" t="e">
            <v>#DIV/0!</v>
          </cell>
          <cell r="D1873">
            <v>0</v>
          </cell>
          <cell r="E1873">
            <v>0.16644429619746498</v>
          </cell>
          <cell r="F1873">
            <v>0.24141911651531475</v>
          </cell>
          <cell r="G1873">
            <v>0.27471508806368938</v>
          </cell>
          <cell r="H1873">
            <v>0.30924346374930467</v>
          </cell>
          <cell r="I1873">
            <v>0.31833277980737296</v>
          </cell>
          <cell r="J1873">
            <v>0.33594226973977864</v>
          </cell>
          <cell r="K1873">
            <v>0.33797319341602383</v>
          </cell>
          <cell r="L1873">
            <v>0.33842815441210766</v>
          </cell>
          <cell r="M1873">
            <v>0.33498542699264255</v>
          </cell>
          <cell r="N1873">
            <v>0.33358818367974979</v>
          </cell>
          <cell r="O1873">
            <v>0.3238920199473625</v>
          </cell>
          <cell r="P1873">
            <v>0.31492234108681888</v>
          </cell>
          <cell r="Q1873">
            <v>0.30782093890195494</v>
          </cell>
          <cell r="R1873" t="e">
            <v>#DIV/0!</v>
          </cell>
          <cell r="S1873" t="e">
            <v>#DIV/0!</v>
          </cell>
        </row>
        <row r="1874">
          <cell r="A1874" t="str">
            <v>Gp mob</v>
          </cell>
          <cell r="B1874" t="str">
            <v>Eircom</v>
          </cell>
          <cell r="C1874" t="e">
            <v>#DIV/0!</v>
          </cell>
          <cell r="D1874" t="e">
            <v>#DIV/0!</v>
          </cell>
          <cell r="E1874" t="e">
            <v>#DIV/0!</v>
          </cell>
          <cell r="F1874" t="e">
            <v>#DIV/0!</v>
          </cell>
          <cell r="G1874">
            <v>-4.3431623871341936</v>
          </cell>
          <cell r="H1874">
            <v>-7.5170118238861043</v>
          </cell>
          <cell r="I1874">
            <v>-7.664404212589754</v>
          </cell>
          <cell r="J1874">
            <v>-11.630288233379607</v>
          </cell>
          <cell r="K1874">
            <v>-9.6945872207660884</v>
          </cell>
          <cell r="L1874">
            <v>-110.87605958300563</v>
          </cell>
          <cell r="M1874">
            <v>20.211579412879694</v>
          </cell>
          <cell r="N1874">
            <v>9.5683523158534314</v>
          </cell>
          <cell r="O1874">
            <v>9.3051999006324646</v>
          </cell>
          <cell r="P1874">
            <v>8.9962024576578692</v>
          </cell>
          <cell r="Q1874">
            <v>8.7483326641829855</v>
          </cell>
          <cell r="R1874">
            <v>8.5321724864563997</v>
          </cell>
          <cell r="S1874">
            <v>8.4245839716908186</v>
          </cell>
        </row>
        <row r="1875">
          <cell r="A1875" t="str">
            <v>Gp mob</v>
          </cell>
          <cell r="B1875" t="str">
            <v>France Telecom</v>
          </cell>
          <cell r="C1875">
            <v>0.16379553798362045</v>
          </cell>
          <cell r="D1875">
            <v>0.16080084299262382</v>
          </cell>
          <cell r="E1875">
            <v>0.19276551485034094</v>
          </cell>
          <cell r="F1875">
            <v>0.22262847856997767</v>
          </cell>
          <cell r="G1875">
            <v>0.30119988293824995</v>
          </cell>
          <cell r="H1875">
            <v>0.3666462293071735</v>
          </cell>
          <cell r="I1875">
            <v>0.3821121675903798</v>
          </cell>
          <cell r="J1875">
            <v>0.37627677453370045</v>
          </cell>
          <cell r="K1875">
            <v>0.37741888322111888</v>
          </cell>
          <cell r="L1875">
            <v>0.37992521318265654</v>
          </cell>
          <cell r="M1875">
            <v>0.38313981829332905</v>
          </cell>
          <cell r="N1875">
            <v>0.38948499560775957</v>
          </cell>
          <cell r="O1875">
            <v>0.39191915822042345</v>
          </cell>
          <cell r="P1875">
            <v>0.39512552964305087</v>
          </cell>
          <cell r="Q1875">
            <v>0.3960731329380649</v>
          </cell>
          <cell r="R1875" t="e">
            <v>#DIV/0!</v>
          </cell>
          <cell r="S1875" t="e">
            <v>#DIV/0!</v>
          </cell>
        </row>
        <row r="1876">
          <cell r="A1876" t="str">
            <v>Gp mob</v>
          </cell>
          <cell r="B1876" t="str">
            <v>KPN</v>
          </cell>
          <cell r="C1876">
            <v>0.2488226059654631</v>
          </cell>
          <cell r="D1876">
            <v>0.26144164759725402</v>
          </cell>
          <cell r="E1876">
            <v>0.18596787827557057</v>
          </cell>
          <cell r="F1876">
            <v>0.26792440358479408</v>
          </cell>
          <cell r="G1876">
            <v>0.34051087185982687</v>
          </cell>
          <cell r="H1876">
            <v>0.3352781019058732</v>
          </cell>
          <cell r="I1876">
            <v>0.31561522898657346</v>
          </cell>
          <cell r="J1876">
            <v>0.31993713510582061</v>
          </cell>
          <cell r="K1876">
            <v>0.31445808573992573</v>
          </cell>
          <cell r="L1876">
            <v>0.31828615813784322</v>
          </cell>
          <cell r="M1876">
            <v>0.31973018784424301</v>
          </cell>
          <cell r="N1876">
            <v>0.31339112090913551</v>
          </cell>
          <cell r="O1876">
            <v>0.30954378800628685</v>
          </cell>
          <cell r="P1876">
            <v>0.30312340320014475</v>
          </cell>
          <cell r="Q1876">
            <v>0.29965203619372893</v>
          </cell>
          <cell r="R1876" t="e">
            <v>#DIV/0!</v>
          </cell>
          <cell r="S1876" t="e">
            <v>#DIV/0!</v>
          </cell>
        </row>
        <row r="1877">
          <cell r="A1877" t="str">
            <v>Gp mob</v>
          </cell>
          <cell r="B1877" t="str">
            <v>OTE</v>
          </cell>
          <cell r="C1877" t="e">
            <v>#DIV/0!</v>
          </cell>
          <cell r="D1877">
            <v>0.21985401459854015</v>
          </cell>
          <cell r="E1877">
            <v>0.30546385358579681</v>
          </cell>
          <cell r="F1877">
            <v>0.44063120414328877</v>
          </cell>
          <cell r="G1877">
            <v>0.43324506982694971</v>
          </cell>
          <cell r="H1877">
            <v>0.42452331093875956</v>
          </cell>
          <cell r="I1877">
            <v>0.42482908472548059</v>
          </cell>
          <cell r="J1877">
            <v>0.43275221737949865</v>
          </cell>
          <cell r="K1877">
            <v>0.45090704496259892</v>
          </cell>
          <cell r="L1877">
            <v>0.43232163072698071</v>
          </cell>
          <cell r="M1877">
            <v>0.44046462465222425</v>
          </cell>
          <cell r="N1877">
            <v>0.4391115659398297</v>
          </cell>
          <cell r="O1877">
            <v>0.44015920972452538</v>
          </cell>
          <cell r="P1877">
            <v>0.44085479218377122</v>
          </cell>
          <cell r="Q1877">
            <v>0.44131805909111538</v>
          </cell>
          <cell r="R1877" t="e">
            <v>#DIV/0!</v>
          </cell>
          <cell r="S1877" t="e">
            <v>#DIV/0!</v>
          </cell>
        </row>
        <row r="1878">
          <cell r="A1878" t="str">
            <v>Gp mob</v>
          </cell>
          <cell r="B1878" t="str">
            <v>Portugal Telecom</v>
          </cell>
          <cell r="C1878">
            <v>0.36446886446886445</v>
          </cell>
          <cell r="D1878">
            <v>0.34520547945205482</v>
          </cell>
          <cell r="E1878">
            <v>0.36782690498588899</v>
          </cell>
          <cell r="F1878">
            <v>0.38593974175035867</v>
          </cell>
          <cell r="G1878">
            <v>0.42237288135593221</v>
          </cell>
          <cell r="H1878">
            <v>0.4530531845042679</v>
          </cell>
          <cell r="I1878">
            <v>0.47040302267002521</v>
          </cell>
          <cell r="J1878">
            <v>0.47924988079211606</v>
          </cell>
          <cell r="K1878">
            <v>0.49195201088824786</v>
          </cell>
          <cell r="L1878">
            <v>0.4909518724002101</v>
          </cell>
          <cell r="M1878">
            <v>0.4875918963370397</v>
          </cell>
          <cell r="N1878">
            <v>0.48270967453688673</v>
          </cell>
          <cell r="O1878">
            <v>0.47807195177077977</v>
          </cell>
          <cell r="P1878">
            <v>0.47367598621154194</v>
          </cell>
          <cell r="Q1878">
            <v>0.46951897867572101</v>
          </cell>
          <cell r="R1878" t="e">
            <v>#DIV/0!</v>
          </cell>
          <cell r="S1878" t="e">
            <v>#DIV/0!</v>
          </cell>
        </row>
        <row r="1879">
          <cell r="A1879" t="str">
            <v>Gp mob</v>
          </cell>
          <cell r="B1879" t="str">
            <v>Swisscom</v>
          </cell>
          <cell r="C1879">
            <v>0.50978564771668222</v>
          </cell>
          <cell r="D1879">
            <v>0.51405481377371753</v>
          </cell>
          <cell r="E1879">
            <v>0.42468499427262313</v>
          </cell>
          <cell r="F1879">
            <v>0.47112004018081366</v>
          </cell>
          <cell r="G1879">
            <v>0.48005836575875488</v>
          </cell>
          <cell r="H1879">
            <v>0.47922705314009661</v>
          </cell>
          <cell r="I1879">
            <v>0.45012780531416308</v>
          </cell>
          <cell r="J1879">
            <v>0.43389593586025699</v>
          </cell>
          <cell r="K1879">
            <v>0.43290423490633262</v>
          </cell>
          <cell r="L1879">
            <v>0.4376166277582853</v>
          </cell>
          <cell r="M1879">
            <v>0.44054827028121868</v>
          </cell>
          <cell r="N1879">
            <v>0.43751953293223589</v>
          </cell>
          <cell r="O1879">
            <v>0.43183819139971102</v>
          </cell>
          <cell r="P1879">
            <v>0.42527734215630308</v>
          </cell>
          <cell r="Q1879">
            <v>0.41993517426502502</v>
          </cell>
          <cell r="R1879" t="e">
            <v>#DIV/0!</v>
          </cell>
          <cell r="S1879" t="e">
            <v>#DIV/0!</v>
          </cell>
        </row>
        <row r="1880">
          <cell r="A1880" t="str">
            <v>Gp mob</v>
          </cell>
          <cell r="B1880" t="str">
            <v>TDC</v>
          </cell>
          <cell r="C1880" t="e">
            <v>#DIV/0!</v>
          </cell>
          <cell r="D1880">
            <v>9.9851913316601967E-2</v>
          </cell>
          <cell r="E1880">
            <v>0.12234579757340321</v>
          </cell>
          <cell r="F1880">
            <v>0.1072409404514703</v>
          </cell>
          <cell r="G1880">
            <v>0.15969608748136049</v>
          </cell>
          <cell r="H1880">
            <v>0.17619118301914799</v>
          </cell>
          <cell r="I1880">
            <v>0.1736169508998831</v>
          </cell>
          <cell r="J1880">
            <v>0.17780778940073871</v>
          </cell>
          <cell r="K1880">
            <v>0.17632367687885284</v>
          </cell>
          <cell r="L1880">
            <v>0.17268467130180193</v>
          </cell>
          <cell r="M1880">
            <v>0.16940451048101182</v>
          </cell>
          <cell r="N1880">
            <v>0.16580552211851854</v>
          </cell>
          <cell r="O1880">
            <v>0.16401913048484429</v>
          </cell>
          <cell r="P1880">
            <v>0.16401543826256909</v>
          </cell>
          <cell r="Q1880">
            <v>0.16415126351186615</v>
          </cell>
          <cell r="R1880" t="e">
            <v>#DIV/0!</v>
          </cell>
          <cell r="S1880" t="e">
            <v>#DIV/0!</v>
          </cell>
        </row>
        <row r="1881">
          <cell r="A1881" t="str">
            <v>Gp mob</v>
          </cell>
          <cell r="B1881" t="str">
            <v>Telecom Italia</v>
          </cell>
          <cell r="C1881" t="e">
            <v>#DIV/0!</v>
          </cell>
          <cell r="D1881" t="e">
            <v>#DIV/0!</v>
          </cell>
          <cell r="E1881" t="e">
            <v>#DIV/0!</v>
          </cell>
          <cell r="F1881">
            <v>0.46436782602140836</v>
          </cell>
          <cell r="G1881">
            <v>0.46369743259409218</v>
          </cell>
          <cell r="H1881">
            <v>0.46695496556530725</v>
          </cell>
          <cell r="I1881">
            <v>0.46916843176328116</v>
          </cell>
          <cell r="J1881">
            <v>0.4671960930200279</v>
          </cell>
          <cell r="K1881">
            <v>0.45887218321678236</v>
          </cell>
          <cell r="L1881">
            <v>0.44569050583991382</v>
          </cell>
          <cell r="M1881">
            <v>0.44919822089774519</v>
          </cell>
          <cell r="N1881">
            <v>0.44711858578756081</v>
          </cell>
          <cell r="O1881">
            <v>0.44447529231435229</v>
          </cell>
          <cell r="P1881">
            <v>0.44296602489762521</v>
          </cell>
          <cell r="Q1881">
            <v>0.44168807341474936</v>
          </cell>
          <cell r="R1881" t="e">
            <v>#DIV/0!</v>
          </cell>
          <cell r="S1881" t="e">
            <v>#DIV/0!</v>
          </cell>
        </row>
        <row r="1882">
          <cell r="A1882" t="str">
            <v>Gp mob</v>
          </cell>
          <cell r="B1882" t="str">
            <v>Telefonica</v>
          </cell>
          <cell r="C1882" t="e">
            <v>#DIV/0!</v>
          </cell>
          <cell r="D1882">
            <v>0.32702146641661961</v>
          </cell>
          <cell r="E1882">
            <v>0.33122551006620726</v>
          </cell>
          <cell r="F1882">
            <v>0.39634530560806547</v>
          </cell>
          <cell r="G1882">
            <v>0.40873979736974558</v>
          </cell>
          <cell r="H1882">
            <v>0.44317448338182575</v>
          </cell>
          <cell r="I1882">
            <v>0.39448163725807389</v>
          </cell>
          <cell r="J1882">
            <v>0.38981736223910662</v>
          </cell>
          <cell r="K1882">
            <v>0.39040526112994045</v>
          </cell>
          <cell r="L1882">
            <v>0.38753895557251306</v>
          </cell>
          <cell r="M1882">
            <v>0.38116046858147473</v>
          </cell>
          <cell r="N1882">
            <v>0.37810585693881982</v>
          </cell>
          <cell r="O1882">
            <v>0.37725784263208229</v>
          </cell>
          <cell r="P1882">
            <v>0.37682166260887545</v>
          </cell>
          <cell r="Q1882">
            <v>0.37133873500154047</v>
          </cell>
          <cell r="R1882" t="e">
            <v>#DIV/0!</v>
          </cell>
          <cell r="S1882" t="e">
            <v>#DIV/0!</v>
          </cell>
        </row>
        <row r="1883">
          <cell r="A1883" t="str">
            <v>Gp mob</v>
          </cell>
          <cell r="B1883" t="str">
            <v>Telekom Austria</v>
          </cell>
          <cell r="C1883">
            <v>0.42387732749178531</v>
          </cell>
          <cell r="D1883">
            <v>0.28238133547868061</v>
          </cell>
          <cell r="E1883">
            <v>0.2971352431712192</v>
          </cell>
          <cell r="F1883">
            <v>0.33391710449503792</v>
          </cell>
          <cell r="G1883">
            <v>0.35084925690021229</v>
          </cell>
          <cell r="H1883">
            <v>0.36616915422885571</v>
          </cell>
          <cell r="I1883">
            <v>0.36274169876552226</v>
          </cell>
          <cell r="J1883">
            <v>0.35298428495050099</v>
          </cell>
          <cell r="K1883">
            <v>0.34417085059180363</v>
          </cell>
          <cell r="L1883">
            <v>0.3370556303033761</v>
          </cell>
          <cell r="M1883">
            <v>0.33192756010298952</v>
          </cell>
          <cell r="N1883">
            <v>0.33286291469444623</v>
          </cell>
          <cell r="O1883">
            <v>0.33370132239470091</v>
          </cell>
          <cell r="P1883">
            <v>0.33444867827175184</v>
          </cell>
          <cell r="Q1883">
            <v>0.33507162871682827</v>
          </cell>
          <cell r="R1883" t="e">
            <v>#DIV/0!</v>
          </cell>
          <cell r="S1883" t="e">
            <v>#DIV/0!</v>
          </cell>
        </row>
        <row r="1884">
          <cell r="A1884" t="str">
            <v>Gp mob</v>
          </cell>
          <cell r="B1884" t="str">
            <v>Telenor</v>
          </cell>
          <cell r="C1884" t="e">
            <v>#DIV/0!</v>
          </cell>
          <cell r="D1884" t="e">
            <v>#DIV/0!</v>
          </cell>
          <cell r="E1884" t="e">
            <v>#DIV/0!</v>
          </cell>
          <cell r="F1884">
            <v>0.36962009915746563</v>
          </cell>
          <cell r="G1884">
            <v>0.39273869709032272</v>
          </cell>
          <cell r="H1884">
            <v>0.42552150513721476</v>
          </cell>
          <cell r="I1884">
            <v>0.385870426104863</v>
          </cell>
          <cell r="J1884">
            <v>0.40737046644728098</v>
          </cell>
          <cell r="K1884">
            <v>0.41147795908864826</v>
          </cell>
          <cell r="L1884">
            <v>0.41532664765043836</v>
          </cell>
          <cell r="M1884">
            <v>0.40960502963729495</v>
          </cell>
          <cell r="N1884">
            <v>0.40799546896828159</v>
          </cell>
          <cell r="O1884">
            <v>0.40427767947976051</v>
          </cell>
          <cell r="P1884">
            <v>0.39879620296814933</v>
          </cell>
          <cell r="Q1884">
            <v>0.39626860589923762</v>
          </cell>
          <cell r="R1884" t="e">
            <v>#DIV/0!</v>
          </cell>
          <cell r="S1884" t="e">
            <v>#DIV/0!</v>
          </cell>
        </row>
        <row r="1885">
          <cell r="A1885" t="str">
            <v>Gp mob</v>
          </cell>
          <cell r="B1885" t="str">
            <v>TeliaSonera</v>
          </cell>
          <cell r="C1885" t="e">
            <v>#DIV/0!</v>
          </cell>
          <cell r="D1885" t="e">
            <v>#DIV/0!</v>
          </cell>
          <cell r="E1885" t="e">
            <v>#DIV/0!</v>
          </cell>
          <cell r="F1885" t="e">
            <v>#DIV/0!</v>
          </cell>
          <cell r="G1885">
            <v>0.45280857125162571</v>
          </cell>
          <cell r="H1885">
            <v>0.46432497956192031</v>
          </cell>
          <cell r="I1885">
            <v>0.43476439790575916</v>
          </cell>
          <cell r="J1885">
            <v>0.41494508000060915</v>
          </cell>
          <cell r="K1885">
            <v>0.41558053493318931</v>
          </cell>
          <cell r="L1885">
            <v>0.41424195858078611</v>
          </cell>
          <cell r="M1885">
            <v>0.40816833184722862</v>
          </cell>
          <cell r="N1885">
            <v>0.40275654204225114</v>
          </cell>
          <cell r="O1885">
            <v>0.39803541795813224</v>
          </cell>
          <cell r="P1885">
            <v>0.39457773599254098</v>
          </cell>
          <cell r="Q1885">
            <v>0.39055350929008964</v>
          </cell>
          <cell r="R1885">
            <v>0.38652730597421925</v>
          </cell>
          <cell r="S1885" t="e">
            <v>#DIV/0!</v>
          </cell>
        </row>
        <row r="1886">
          <cell r="A1886" t="str">
            <v>Gp mob</v>
          </cell>
          <cell r="B1886" t="str">
            <v>Sum</v>
          </cell>
          <cell r="C1886">
            <v>0.28572521642136167</v>
          </cell>
          <cell r="D1886">
            <v>0.20948622281426169</v>
          </cell>
          <cell r="E1886">
            <v>0.23583930702915873</v>
          </cell>
          <cell r="F1886">
            <v>0.31951248291263085</v>
          </cell>
          <cell r="G1886">
            <v>0.35607719846304914</v>
          </cell>
          <cell r="H1886">
            <v>0.3852461436079701</v>
          </cell>
          <cell r="I1886">
            <v>0.38016755247727635</v>
          </cell>
          <cell r="J1886">
            <v>0.38257138099608973</v>
          </cell>
          <cell r="K1886">
            <v>0.38256142516695457</v>
          </cell>
          <cell r="L1886">
            <v>0.38083072650827754</v>
          </cell>
          <cell r="M1886">
            <v>0.37945045198829308</v>
          </cell>
          <cell r="N1886">
            <v>0.37850013548652556</v>
          </cell>
          <cell r="O1886">
            <v>0.37522162028558215</v>
          </cell>
          <cell r="P1886">
            <v>0.37249549467421189</v>
          </cell>
          <cell r="Q1886">
            <v>0.36919724731335457</v>
          </cell>
          <cell r="R1886">
            <v>0.3865273059742193</v>
          </cell>
          <cell r="S1886" t="e">
            <v>#DIV/0!</v>
          </cell>
        </row>
        <row r="1889">
          <cell r="A1889" t="str">
            <v>Gp mob</v>
          </cell>
          <cell r="B1889" t="str">
            <v>OpFCF margin</v>
          </cell>
          <cell r="C1889">
            <v>1998</v>
          </cell>
          <cell r="D1889">
            <v>1999</v>
          </cell>
          <cell r="E1889">
            <v>2000</v>
          </cell>
          <cell r="F1889">
            <v>2001</v>
          </cell>
          <cell r="G1889">
            <v>2002</v>
          </cell>
          <cell r="H1889">
            <v>2003</v>
          </cell>
          <cell r="I1889">
            <v>2004</v>
          </cell>
          <cell r="J1889">
            <v>2005</v>
          </cell>
          <cell r="K1889">
            <v>2006</v>
          </cell>
          <cell r="L1889">
            <v>2007</v>
          </cell>
          <cell r="M1889">
            <v>2008</v>
          </cell>
          <cell r="N1889">
            <v>2009</v>
          </cell>
          <cell r="O1889">
            <v>2010</v>
          </cell>
          <cell r="P1889">
            <v>2011</v>
          </cell>
          <cell r="Q1889">
            <v>2012</v>
          </cell>
          <cell r="R1889">
            <v>2013</v>
          </cell>
          <cell r="S1889">
            <v>2014</v>
          </cell>
        </row>
        <row r="1890">
          <cell r="A1890" t="str">
            <v>Gp mob</v>
          </cell>
          <cell r="B1890" t="str">
            <v>Belgacom</v>
          </cell>
          <cell r="C1890" t="e">
            <v>#DIV/0!</v>
          </cell>
          <cell r="D1890" t="e">
            <v>#DIV/0!</v>
          </cell>
          <cell r="E1890" t="e">
            <v>#DIV/0!</v>
          </cell>
          <cell r="F1890">
            <v>0.34358706986444215</v>
          </cell>
          <cell r="G1890">
            <v>0.42056074766355139</v>
          </cell>
          <cell r="H1890">
            <v>0.44199908298945439</v>
          </cell>
          <cell r="I1890">
            <v>0.41536400178651184</v>
          </cell>
          <cell r="J1890">
            <v>0.39275146818588308</v>
          </cell>
          <cell r="K1890">
            <v>0.37719034773193411</v>
          </cell>
          <cell r="L1890">
            <v>0.3729599587148878</v>
          </cell>
          <cell r="M1890">
            <v>0.36383496780196473</v>
          </cell>
          <cell r="N1890">
            <v>0.34906871646699517</v>
          </cell>
          <cell r="O1890">
            <v>0.33320327578157388</v>
          </cell>
          <cell r="P1890">
            <v>0.32621834089172153</v>
          </cell>
          <cell r="Q1890">
            <v>0.32076708408377463</v>
          </cell>
          <cell r="R1890" t="e">
            <v>#DIV/0!</v>
          </cell>
          <cell r="S1890" t="e">
            <v>#DIV/0!</v>
          </cell>
        </row>
        <row r="1891">
          <cell r="A1891" t="str">
            <v>Gp mob</v>
          </cell>
          <cell r="B1891" t="str">
            <v>British Telecom</v>
          </cell>
          <cell r="C1891" t="e">
            <v>#DIV/0!</v>
          </cell>
          <cell r="D1891" t="e">
            <v>#DIV/0!</v>
          </cell>
          <cell r="E1891" t="e">
            <v>#DIV/0!</v>
          </cell>
          <cell r="F1891" t="e">
            <v>#DIV/0!</v>
          </cell>
          <cell r="G1891" t="e">
            <v>#DIV/0!</v>
          </cell>
          <cell r="H1891" t="e">
            <v>#DIV/0!</v>
          </cell>
          <cell r="I1891" t="e">
            <v>#DIV/0!</v>
          </cell>
          <cell r="J1891" t="e">
            <v>#DIV/0!</v>
          </cell>
          <cell r="K1891" t="e">
            <v>#DIV/0!</v>
          </cell>
          <cell r="L1891" t="e">
            <v>#DIV/0!</v>
          </cell>
          <cell r="M1891" t="e">
            <v>#DIV/0!</v>
          </cell>
          <cell r="N1891" t="e">
            <v>#DIV/0!</v>
          </cell>
          <cell r="O1891" t="e">
            <v>#DIV/0!</v>
          </cell>
          <cell r="P1891" t="e">
            <v>#DIV/0!</v>
          </cell>
          <cell r="Q1891" t="e">
            <v>#DIV/0!</v>
          </cell>
          <cell r="R1891" t="e">
            <v>#DIV/0!</v>
          </cell>
          <cell r="S1891" t="e">
            <v>#DIV/0!</v>
          </cell>
        </row>
        <row r="1892">
          <cell r="A1892" t="str">
            <v>Gp mob</v>
          </cell>
          <cell r="B1892" t="str">
            <v>Deutsche Telekom</v>
          </cell>
          <cell r="C1892" t="e">
            <v>#DIV/0!</v>
          </cell>
          <cell r="D1892">
            <v>-0.21687782429098171</v>
          </cell>
          <cell r="E1892">
            <v>-0.16088503446742272</v>
          </cell>
          <cell r="F1892">
            <v>-2.2394951516084345E-2</v>
          </cell>
          <cell r="G1892">
            <v>8.6755002999073016E-2</v>
          </cell>
          <cell r="H1892">
            <v>0.17082328944928613</v>
          </cell>
          <cell r="I1892">
            <v>0.21890567917635337</v>
          </cell>
          <cell r="J1892">
            <v>0.21278388602630258</v>
          </cell>
          <cell r="K1892">
            <v>0.20968389282023586</v>
          </cell>
          <cell r="L1892">
            <v>0.2078269277079747</v>
          </cell>
          <cell r="M1892">
            <v>0.20320472130694966</v>
          </cell>
          <cell r="N1892">
            <v>0.20397037302083973</v>
          </cell>
          <cell r="O1892">
            <v>0.19394216166933631</v>
          </cell>
          <cell r="P1892">
            <v>0.1863243944480325</v>
          </cell>
          <cell r="Q1892">
            <v>0.17889808226718987</v>
          </cell>
          <cell r="R1892" t="e">
            <v>#DIV/0!</v>
          </cell>
          <cell r="S1892" t="e">
            <v>#DIV/0!</v>
          </cell>
        </row>
        <row r="1893">
          <cell r="A1893" t="str">
            <v>Gp mob</v>
          </cell>
          <cell r="B1893" t="str">
            <v>Eircom</v>
          </cell>
          <cell r="C1893" t="e">
            <v>#DIV/0!</v>
          </cell>
          <cell r="D1893" t="e">
            <v>#DIV/0!</v>
          </cell>
          <cell r="E1893" t="e">
            <v>#DIV/0!</v>
          </cell>
          <cell r="F1893" t="e">
            <v>#DIV/0!</v>
          </cell>
          <cell r="G1893">
            <v>-4.3431623871341936</v>
          </cell>
          <cell r="H1893">
            <v>-7.5170118238861043</v>
          </cell>
          <cell r="I1893">
            <v>-7.664404212589754</v>
          </cell>
          <cell r="J1893">
            <v>-11.630288233379607</v>
          </cell>
          <cell r="K1893">
            <v>-9.6945872207660884</v>
          </cell>
          <cell r="L1893">
            <v>-110.87605958300563</v>
          </cell>
          <cell r="M1893">
            <v>23.098947900433938</v>
          </cell>
          <cell r="N1893">
            <v>10.935259789546777</v>
          </cell>
          <cell r="O1893">
            <v>10.634514172151388</v>
          </cell>
          <cell r="P1893">
            <v>10.281374237323281</v>
          </cell>
          <cell r="Q1893">
            <v>9.9980944733519852</v>
          </cell>
          <cell r="R1893">
            <v>9.7510542702358851</v>
          </cell>
          <cell r="S1893">
            <v>9.6280959676466491</v>
          </cell>
        </row>
        <row r="1894">
          <cell r="A1894" t="str">
            <v>Gp mob</v>
          </cell>
          <cell r="B1894" t="str">
            <v>France Telecom</v>
          </cell>
          <cell r="C1894">
            <v>-0.19768426998023159</v>
          </cell>
          <cell r="D1894">
            <v>-0.13593256059009484</v>
          </cell>
          <cell r="E1894">
            <v>-9.025771408759968E-2</v>
          </cell>
          <cell r="F1894">
            <v>-4.604238607894915E-3</v>
          </cell>
          <cell r="G1894">
            <v>0.10910155106818847</v>
          </cell>
          <cell r="H1894">
            <v>0.23499247533582299</v>
          </cell>
          <cell r="I1894">
            <v>0.2583515533635023</v>
          </cell>
          <cell r="J1894">
            <v>0.25433827954360344</v>
          </cell>
          <cell r="K1894">
            <v>0.25320448377489768</v>
          </cell>
          <cell r="L1894">
            <v>0.25710517372553948</v>
          </cell>
          <cell r="M1894">
            <v>0.26232002589718317</v>
          </cell>
          <cell r="N1894">
            <v>0.27067027808137234</v>
          </cell>
          <cell r="O1894">
            <v>0.27519202365316708</v>
          </cell>
          <cell r="P1894">
            <v>0.27927178582333911</v>
          </cell>
          <cell r="Q1894">
            <v>0.28058830350577307</v>
          </cell>
          <cell r="R1894" t="e">
            <v>#DIV/0!</v>
          </cell>
          <cell r="S1894" t="e">
            <v>#DIV/0!</v>
          </cell>
        </row>
        <row r="1895">
          <cell r="A1895" t="str">
            <v>Gp mob</v>
          </cell>
          <cell r="B1895" t="str">
            <v>KPN</v>
          </cell>
          <cell r="C1895">
            <v>3.540345368916796E-2</v>
          </cell>
          <cell r="D1895">
            <v>2.0506864988558353E-2</v>
          </cell>
          <cell r="E1895">
            <v>-6.313327697943083E-2</v>
          </cell>
          <cell r="F1895">
            <v>6.1830931054832235E-2</v>
          </cell>
          <cell r="G1895">
            <v>0.23094785729364578</v>
          </cell>
          <cell r="H1895">
            <v>0.16919486581096849</v>
          </cell>
          <cell r="I1895">
            <v>0.12488504690086445</v>
          </cell>
          <cell r="J1895">
            <v>0.13683523160200975</v>
          </cell>
          <cell r="K1895">
            <v>0.14749386528575484</v>
          </cell>
          <cell r="L1895">
            <v>0.16826482792711639</v>
          </cell>
          <cell r="M1895">
            <v>0.17718530893768758</v>
          </cell>
          <cell r="N1895">
            <v>0.17691529973909459</v>
          </cell>
          <cell r="O1895">
            <v>0.17561113491726291</v>
          </cell>
          <cell r="P1895">
            <v>0.17140269044422218</v>
          </cell>
          <cell r="Q1895">
            <v>0.17004725387711422</v>
          </cell>
          <cell r="R1895" t="e">
            <v>#DIV/0!</v>
          </cell>
          <cell r="S1895" t="e">
            <v>#DIV/0!</v>
          </cell>
        </row>
        <row r="1896">
          <cell r="A1896" t="str">
            <v>Gp mob</v>
          </cell>
          <cell r="B1896" t="str">
            <v>OTE</v>
          </cell>
          <cell r="C1896" t="e">
            <v>#DIV/0!</v>
          </cell>
          <cell r="D1896">
            <v>-0.37490957580690937</v>
          </cell>
          <cell r="E1896">
            <v>-6.4645823618318873E-2</v>
          </cell>
          <cell r="F1896">
            <v>4.1839663357790234E-2</v>
          </cell>
          <cell r="G1896">
            <v>0.24636839095433638</v>
          </cell>
          <cell r="H1896">
            <v>0.28894747467900211</v>
          </cell>
          <cell r="I1896">
            <v>0.28734109051975248</v>
          </cell>
          <cell r="J1896">
            <v>0.32282997981389688</v>
          </cell>
          <cell r="K1896">
            <v>0.34870108131043664</v>
          </cell>
          <cell r="L1896">
            <v>0.33507704448027492</v>
          </cell>
          <cell r="M1896">
            <v>0.33918609497476854</v>
          </cell>
          <cell r="N1896">
            <v>0.33833844077162095</v>
          </cell>
          <cell r="O1896">
            <v>0.33963295683014982</v>
          </cell>
          <cell r="P1896">
            <v>0.34059516953644769</v>
          </cell>
          <cell r="Q1896">
            <v>0.34136670075054176</v>
          </cell>
          <cell r="R1896" t="e">
            <v>#DIV/0!</v>
          </cell>
          <cell r="S1896" t="e">
            <v>#DIV/0!</v>
          </cell>
        </row>
        <row r="1897">
          <cell r="A1897" t="str">
            <v>Gp mob</v>
          </cell>
          <cell r="B1897" t="str">
            <v>Portugal Telecom</v>
          </cell>
          <cell r="C1897">
            <v>2.9304029304029304E-2</v>
          </cell>
          <cell r="D1897">
            <v>-2.1917808219178082E-2</v>
          </cell>
          <cell r="E1897">
            <v>0.12982126058325494</v>
          </cell>
          <cell r="F1897">
            <v>0.18292682926829268</v>
          </cell>
          <cell r="G1897">
            <v>0.23050847457627119</v>
          </cell>
          <cell r="H1897">
            <v>0.34208798424162834</v>
          </cell>
          <cell r="I1897">
            <v>0.37027707808564231</v>
          </cell>
          <cell r="J1897">
            <v>0.36769769589884177</v>
          </cell>
          <cell r="K1897">
            <v>0.37411894641368282</v>
          </cell>
          <cell r="L1897">
            <v>0.37398507291129229</v>
          </cell>
          <cell r="M1897">
            <v>0.37092919539227348</v>
          </cell>
          <cell r="N1897">
            <v>0.36616228746871998</v>
          </cell>
          <cell r="O1897">
            <v>0.36170546530260039</v>
          </cell>
          <cell r="P1897">
            <v>0.3575534571350053</v>
          </cell>
          <cell r="Q1897">
            <v>0.35370098309589709</v>
          </cell>
          <cell r="R1897" t="e">
            <v>#DIV/0!</v>
          </cell>
          <cell r="S1897" t="e">
            <v>#DIV/0!</v>
          </cell>
        </row>
        <row r="1898">
          <cell r="A1898" t="str">
            <v>Gp mob</v>
          </cell>
          <cell r="B1898" t="str">
            <v>Swisscom</v>
          </cell>
          <cell r="C1898">
            <v>0.36160298229263749</v>
          </cell>
          <cell r="D1898">
            <v>0.39845397048489106</v>
          </cell>
          <cell r="E1898">
            <v>0.32331042382588776</v>
          </cell>
          <cell r="F1898">
            <v>0.39176293319939731</v>
          </cell>
          <cell r="G1898">
            <v>0.38472762645914399</v>
          </cell>
          <cell r="H1898">
            <v>0.37512077294685992</v>
          </cell>
          <cell r="I1898">
            <v>0.3289811719982641</v>
          </cell>
          <cell r="J1898">
            <v>0.32087979990701604</v>
          </cell>
          <cell r="K1898">
            <v>0.32342527511141372</v>
          </cell>
          <cell r="L1898">
            <v>0.32865437177468931</v>
          </cell>
          <cell r="M1898">
            <v>0.33188877392419153</v>
          </cell>
          <cell r="N1898">
            <v>0.32813910062474189</v>
          </cell>
          <cell r="O1898">
            <v>0.32140192374539683</v>
          </cell>
          <cell r="P1898">
            <v>0.31384357646736227</v>
          </cell>
          <cell r="Q1898">
            <v>0.30774541493445723</v>
          </cell>
          <cell r="R1898" t="e">
            <v>#DIV/0!</v>
          </cell>
          <cell r="S1898" t="e">
            <v>#DIV/0!</v>
          </cell>
        </row>
        <row r="1899">
          <cell r="A1899" t="str">
            <v>Gp mob</v>
          </cell>
          <cell r="B1899" t="str">
            <v>TDC</v>
          </cell>
          <cell r="C1899" t="e">
            <v>#DIV/0!</v>
          </cell>
          <cell r="D1899">
            <v>-4.0207618758617933E-2</v>
          </cell>
          <cell r="E1899">
            <v>1.4621471095412324E-2</v>
          </cell>
          <cell r="F1899">
            <v>-6.8993234643981516E-3</v>
          </cell>
          <cell r="G1899">
            <v>8.8830504864020457E-2</v>
          </cell>
          <cell r="H1899">
            <v>0.10687249517589431</v>
          </cell>
          <cell r="I1899">
            <v>0.10739393047833933</v>
          </cell>
          <cell r="J1899">
            <v>0.11237670020113022</v>
          </cell>
          <cell r="K1899">
            <v>0.11253294594725335</v>
          </cell>
          <cell r="L1899">
            <v>0.11081985738912846</v>
          </cell>
          <cell r="M1899">
            <v>0.10840800803311203</v>
          </cell>
          <cell r="N1899">
            <v>0.1051997516310994</v>
          </cell>
          <cell r="O1899">
            <v>0.103867613878767</v>
          </cell>
          <cell r="P1899">
            <v>0.10437787980596572</v>
          </cell>
          <cell r="Q1899">
            <v>0.10461025603047416</v>
          </cell>
          <cell r="R1899" t="e">
            <v>#DIV/0!</v>
          </cell>
          <cell r="S1899" t="e">
            <v>#DIV/0!</v>
          </cell>
        </row>
        <row r="1900">
          <cell r="A1900" t="str">
            <v>Gp mob</v>
          </cell>
          <cell r="B1900" t="str">
            <v>Telecom Italia</v>
          </cell>
          <cell r="C1900" t="e">
            <v>#DIV/0!</v>
          </cell>
          <cell r="D1900" t="e">
            <v>#DIV/0!</v>
          </cell>
          <cell r="E1900" t="e">
            <v>#DIV/0!</v>
          </cell>
          <cell r="F1900">
            <v>0.15384623143608422</v>
          </cell>
          <cell r="G1900">
            <v>0.24818257108677647</v>
          </cell>
          <cell r="H1900">
            <v>0.30136295071904751</v>
          </cell>
          <cell r="I1900">
            <v>0.32606834655594003</v>
          </cell>
          <cell r="J1900">
            <v>0.30982083969707797</v>
          </cell>
          <cell r="K1900">
            <v>0.31638148418640316</v>
          </cell>
          <cell r="L1900">
            <v>0.30794489565016891</v>
          </cell>
          <cell r="M1900">
            <v>0.31457869816405437</v>
          </cell>
          <cell r="N1900">
            <v>0.3133603935862237</v>
          </cell>
          <cell r="O1900">
            <v>0.31618469879482108</v>
          </cell>
          <cell r="P1900">
            <v>0.31919281907759917</v>
          </cell>
          <cell r="Q1900">
            <v>0.31988151462825831</v>
          </cell>
          <cell r="R1900" t="e">
            <v>#DIV/0!</v>
          </cell>
          <cell r="S1900" t="e">
            <v>#DIV/0!</v>
          </cell>
        </row>
        <row r="1901">
          <cell r="A1901" t="str">
            <v>Gp mob</v>
          </cell>
          <cell r="B1901" t="str">
            <v>Telefonica</v>
          </cell>
          <cell r="C1901" t="e">
            <v>#DIV/0!</v>
          </cell>
          <cell r="D1901">
            <v>4.1184931631556905E-2</v>
          </cell>
          <cell r="E1901">
            <v>8.9516724470253967E-2</v>
          </cell>
          <cell r="F1901">
            <v>0.19473077243166767</v>
          </cell>
          <cell r="G1901">
            <v>0.30819055121556277</v>
          </cell>
          <cell r="H1901">
            <v>0.32260210718647908</v>
          </cell>
          <cell r="I1901">
            <v>0.25602482101822588</v>
          </cell>
          <cell r="J1901">
            <v>0.27047506805307997</v>
          </cell>
          <cell r="K1901">
            <v>0.28858557325924916</v>
          </cell>
          <cell r="L1901">
            <v>0.29600674573636959</v>
          </cell>
          <cell r="M1901">
            <v>0.29468965431253991</v>
          </cell>
          <cell r="N1901">
            <v>0.29397099521263415</v>
          </cell>
          <cell r="O1901">
            <v>0.2929124539876054</v>
          </cell>
          <cell r="P1901">
            <v>0.2924162699611681</v>
          </cell>
          <cell r="Q1901">
            <v>0.28858702857494162</v>
          </cell>
          <cell r="R1901" t="e">
            <v>#DIV/0!</v>
          </cell>
          <cell r="S1901" t="e">
            <v>#DIV/0!</v>
          </cell>
        </row>
        <row r="1902">
          <cell r="A1902" t="str">
            <v>Gp mob</v>
          </cell>
          <cell r="B1902" t="str">
            <v>Telekom Austria</v>
          </cell>
          <cell r="C1902">
            <v>0.2497261774370208</v>
          </cell>
          <cell r="D1902">
            <v>5.1488334674175379E-2</v>
          </cell>
          <cell r="E1902">
            <v>8.1945369753497671E-2</v>
          </cell>
          <cell r="F1902">
            <v>0.12259194395796848</v>
          </cell>
          <cell r="G1902">
            <v>0.18046709129511676</v>
          </cell>
          <cell r="H1902">
            <v>0.2218905472636816</v>
          </cell>
          <cell r="I1902">
            <v>0.226014614959307</v>
          </cell>
          <cell r="J1902">
            <v>0.22175000685128074</v>
          </cell>
          <cell r="K1902">
            <v>0.2168572939378817</v>
          </cell>
          <cell r="L1902">
            <v>0.21350381175244318</v>
          </cell>
          <cell r="M1902">
            <v>0.20937696185855592</v>
          </cell>
          <cell r="N1902">
            <v>0.20956299855189797</v>
          </cell>
          <cell r="O1902">
            <v>0.2097020277383275</v>
          </cell>
          <cell r="P1902">
            <v>0.20980176520475899</v>
          </cell>
          <cell r="Q1902">
            <v>0.2098159784156296</v>
          </cell>
          <cell r="R1902" t="e">
            <v>#DIV/0!</v>
          </cell>
          <cell r="S1902" t="e">
            <v>#DIV/0!</v>
          </cell>
        </row>
        <row r="1903">
          <cell r="A1903" t="str">
            <v>Gp mob</v>
          </cell>
          <cell r="B1903" t="str">
            <v>Telenor</v>
          </cell>
          <cell r="C1903" t="e">
            <v>#DIV/0!</v>
          </cell>
          <cell r="D1903" t="e">
            <v>#DIV/0!</v>
          </cell>
          <cell r="E1903" t="e">
            <v>#DIV/0!</v>
          </cell>
          <cell r="F1903">
            <v>0.11223651793046811</v>
          </cell>
          <cell r="G1903">
            <v>0.18935405078280323</v>
          </cell>
          <cell r="H1903">
            <v>0.26179780278432596</v>
          </cell>
          <cell r="I1903">
            <v>8.7311896087438612E-2</v>
          </cell>
          <cell r="J1903">
            <v>0.10104719699441732</v>
          </cell>
          <cell r="K1903">
            <v>0.20138482620331571</v>
          </cell>
          <cell r="L1903">
            <v>0.23805918096805509</v>
          </cell>
          <cell r="M1903">
            <v>0.26884966810309169</v>
          </cell>
          <cell r="N1903">
            <v>0.2831093444897837</v>
          </cell>
          <cell r="O1903">
            <v>0.29044430506873248</v>
          </cell>
          <cell r="P1903">
            <v>0.28780962781772279</v>
          </cell>
          <cell r="Q1903">
            <v>0.28715538620836711</v>
          </cell>
          <cell r="R1903" t="e">
            <v>#DIV/0!</v>
          </cell>
          <cell r="S1903" t="e">
            <v>#DIV/0!</v>
          </cell>
        </row>
        <row r="1904">
          <cell r="A1904" t="str">
            <v>Gp mob</v>
          </cell>
          <cell r="B1904" t="str">
            <v>TeliaSonera</v>
          </cell>
          <cell r="C1904" t="e">
            <v>#DIV/0!</v>
          </cell>
          <cell r="D1904" t="e">
            <v>#DIV/0!</v>
          </cell>
          <cell r="E1904" t="e">
            <v>#DIV/0!</v>
          </cell>
          <cell r="F1904" t="e">
            <v>#DIV/0!</v>
          </cell>
          <cell r="G1904">
            <v>0.32934496123651458</v>
          </cell>
          <cell r="H1904">
            <v>0.34626363819358819</v>
          </cell>
          <cell r="I1904">
            <v>0.30115183246073296</v>
          </cell>
          <cell r="J1904">
            <v>0.28528754896086583</v>
          </cell>
          <cell r="K1904">
            <v>0.29190925683274499</v>
          </cell>
          <cell r="L1904">
            <v>0.29796629536763597</v>
          </cell>
          <cell r="M1904">
            <v>0.29075466523212218</v>
          </cell>
          <cell r="N1904">
            <v>0.28885346335255246</v>
          </cell>
          <cell r="O1904">
            <v>0.28574468317869778</v>
          </cell>
          <cell r="P1904">
            <v>0.28403203980424635</v>
          </cell>
          <cell r="Q1904">
            <v>0.28175577735406854</v>
          </cell>
          <cell r="R1904">
            <v>0.27740966897119701</v>
          </cell>
          <cell r="S1904" t="e">
            <v>#DIV/0!</v>
          </cell>
        </row>
        <row r="1905">
          <cell r="A1905" t="str">
            <v>Gp mob</v>
          </cell>
          <cell r="B1905" t="str">
            <v>Sum</v>
          </cell>
          <cell r="C1905">
            <v>-6.2197289153483007E-2</v>
          </cell>
          <cell r="D1905">
            <v>-3.9980376656843723E-2</v>
          </cell>
          <cell r="E1905">
            <v>-2.2492422534176909E-2</v>
          </cell>
          <cell r="F1905">
            <v>8.667973899853311E-2</v>
          </cell>
          <cell r="G1905">
            <v>0.19038899896867792</v>
          </cell>
          <cell r="H1905">
            <v>0.24980821995268029</v>
          </cell>
          <cell r="I1905">
            <v>0.24867315820431274</v>
          </cell>
          <cell r="J1905">
            <v>0.24616049923895203</v>
          </cell>
          <cell r="K1905">
            <v>0.25426929594503928</v>
          </cell>
          <cell r="L1905">
            <v>0.25765612623251338</v>
          </cell>
          <cell r="M1905">
            <v>0.25998538206446453</v>
          </cell>
          <cell r="N1905">
            <v>0.26186644824480937</v>
          </cell>
          <cell r="O1905">
            <v>0.26042535938344147</v>
          </cell>
          <cell r="P1905">
            <v>0.25919306644143542</v>
          </cell>
          <cell r="Q1905">
            <v>0.25677391256191318</v>
          </cell>
          <cell r="R1905">
            <v>0.27740966897119701</v>
          </cell>
          <cell r="S1905" t="e">
            <v>#DIV/0!</v>
          </cell>
        </row>
        <row r="1908">
          <cell r="A1908" t="str">
            <v>Gp mob</v>
          </cell>
          <cell r="B1908" t="str">
            <v>Capex/sales</v>
          </cell>
          <cell r="C1908">
            <v>1998</v>
          </cell>
          <cell r="D1908">
            <v>1999</v>
          </cell>
          <cell r="E1908">
            <v>2000</v>
          </cell>
          <cell r="F1908">
            <v>2001</v>
          </cell>
          <cell r="G1908">
            <v>2002</v>
          </cell>
          <cell r="H1908">
            <v>2003</v>
          </cell>
          <cell r="I1908">
            <v>2004</v>
          </cell>
          <cell r="J1908">
            <v>2005</v>
          </cell>
          <cell r="K1908">
            <v>2006</v>
          </cell>
          <cell r="L1908">
            <v>2007</v>
          </cell>
          <cell r="M1908">
            <v>2008</v>
          </cell>
          <cell r="N1908">
            <v>2009</v>
          </cell>
          <cell r="O1908">
            <v>2010</v>
          </cell>
          <cell r="P1908">
            <v>2011</v>
          </cell>
          <cell r="Q1908">
            <v>2012</v>
          </cell>
          <cell r="R1908">
            <v>2013</v>
          </cell>
          <cell r="S1908">
            <v>2014</v>
          </cell>
        </row>
        <row r="1909">
          <cell r="A1909" t="str">
            <v>Gp mob</v>
          </cell>
          <cell r="B1909" t="str">
            <v>Belgacom</v>
          </cell>
          <cell r="C1909" t="e">
            <v>#DIV/0!</v>
          </cell>
          <cell r="D1909" t="e">
            <v>#DIV/0!</v>
          </cell>
          <cell r="E1909" t="e">
            <v>#DIV/0!</v>
          </cell>
          <cell r="F1909">
            <v>0.12095933263816476</v>
          </cell>
          <cell r="G1909">
            <v>7.5258239055582876E-2</v>
          </cell>
          <cell r="H1909">
            <v>6.8317285648784962E-2</v>
          </cell>
          <cell r="I1909">
            <v>9.1558731576596691E-2</v>
          </cell>
          <cell r="J1909">
            <v>0.10006710704755792</v>
          </cell>
          <cell r="K1909">
            <v>0.105813810282145</v>
          </cell>
          <cell r="L1909">
            <v>0.10357371269581586</v>
          </cell>
          <cell r="M1909">
            <v>0.10229775031356579</v>
          </cell>
          <cell r="N1909">
            <v>0.10123718439819269</v>
          </cell>
          <cell r="O1909">
            <v>0.10288991577369611</v>
          </cell>
          <cell r="P1909">
            <v>0.10313560327492025</v>
          </cell>
          <cell r="Q1909">
            <v>0.10312216948153156</v>
          </cell>
          <cell r="R1909" t="e">
            <v>#DIV/0!</v>
          </cell>
          <cell r="S1909" t="e">
            <v>#DIV/0!</v>
          </cell>
        </row>
        <row r="1910">
          <cell r="A1910" t="str">
            <v>Gp mob</v>
          </cell>
          <cell r="B1910" t="str">
            <v>British Telecom</v>
          </cell>
          <cell r="C1910" t="e">
            <v>#DIV/0!</v>
          </cell>
          <cell r="D1910" t="e">
            <v>#DIV/0!</v>
          </cell>
          <cell r="E1910" t="e">
            <v>#DIV/0!</v>
          </cell>
          <cell r="F1910" t="e">
            <v>#DIV/0!</v>
          </cell>
          <cell r="G1910" t="e">
            <v>#DIV/0!</v>
          </cell>
          <cell r="H1910" t="e">
            <v>#DIV/0!</v>
          </cell>
          <cell r="I1910" t="e">
            <v>#DIV/0!</v>
          </cell>
          <cell r="J1910" t="e">
            <v>#DIV/0!</v>
          </cell>
          <cell r="K1910" t="e">
            <v>#DIV/0!</v>
          </cell>
          <cell r="L1910" t="e">
            <v>#DIV/0!</v>
          </cell>
          <cell r="M1910" t="e">
            <v>#DIV/0!</v>
          </cell>
          <cell r="N1910" t="e">
            <v>#DIV/0!</v>
          </cell>
          <cell r="O1910" t="e">
            <v>#DIV/0!</v>
          </cell>
          <cell r="P1910" t="e">
            <v>#DIV/0!</v>
          </cell>
          <cell r="Q1910" t="e">
            <v>#DIV/0!</v>
          </cell>
          <cell r="R1910" t="e">
            <v>#DIV/0!</v>
          </cell>
          <cell r="S1910" t="e">
            <v>#DIV/0!</v>
          </cell>
        </row>
        <row r="1911">
          <cell r="A1911" t="str">
            <v>Gp mob</v>
          </cell>
          <cell r="B1911" t="str">
            <v>Deutsche Telekom</v>
          </cell>
          <cell r="C1911" t="e">
            <v>#DIV/0!</v>
          </cell>
          <cell r="D1911">
            <v>0.21687782429098171</v>
          </cell>
          <cell r="E1911">
            <v>0.32732933066488773</v>
          </cell>
          <cell r="F1911">
            <v>0.26381406803139912</v>
          </cell>
          <cell r="G1911">
            <v>0.18796008506461639</v>
          </cell>
          <cell r="H1911">
            <v>0.13842017430001854</v>
          </cell>
          <cell r="I1911">
            <v>9.9427100631019588E-2</v>
          </cell>
          <cell r="J1911">
            <v>0.12315838371347601</v>
          </cell>
          <cell r="K1911">
            <v>0.12828930059578797</v>
          </cell>
          <cell r="L1911">
            <v>0.13060122670413293</v>
          </cell>
          <cell r="M1911">
            <v>0.13178070568569289</v>
          </cell>
          <cell r="N1911">
            <v>0.12961781065891009</v>
          </cell>
          <cell r="O1911">
            <v>0.12994985827802619</v>
          </cell>
          <cell r="P1911">
            <v>0.1285979466387864</v>
          </cell>
          <cell r="Q1911">
            <v>0.12892285663476508</v>
          </cell>
          <cell r="R1911" t="e">
            <v>#DIV/0!</v>
          </cell>
          <cell r="S1911" t="e">
            <v>#DIV/0!</v>
          </cell>
        </row>
        <row r="1912">
          <cell r="A1912" t="str">
            <v>Gp mob</v>
          </cell>
          <cell r="B1912" t="str">
            <v>Eircom</v>
          </cell>
          <cell r="C1912" t="e">
            <v>#DIV/0!</v>
          </cell>
          <cell r="D1912" t="e">
            <v>#DIV/0!</v>
          </cell>
          <cell r="E1912" t="e">
            <v>#DIV/0!</v>
          </cell>
          <cell r="F1912" t="e">
            <v>#DIV/0!</v>
          </cell>
          <cell r="G1912">
            <v>-0.8</v>
          </cell>
          <cell r="H1912">
            <v>-3.0993528551238502E-2</v>
          </cell>
          <cell r="I1912">
            <v>-9.4959547232878767E-3</v>
          </cell>
          <cell r="J1912">
            <v>9.9999999999999992E-2</v>
          </cell>
          <cell r="K1912">
            <v>0.2</v>
          </cell>
          <cell r="L1912">
            <v>0.22</v>
          </cell>
          <cell r="M1912">
            <v>0.25</v>
          </cell>
          <cell r="N1912">
            <v>0.25</v>
          </cell>
          <cell r="O1912">
            <v>0.25</v>
          </cell>
          <cell r="P1912">
            <v>0.25</v>
          </cell>
          <cell r="Q1912">
            <v>0.25</v>
          </cell>
          <cell r="R1912">
            <v>0.25</v>
          </cell>
          <cell r="S1912">
            <v>0.25</v>
          </cell>
        </row>
        <row r="1913">
          <cell r="A1913" t="str">
            <v>Gp mob</v>
          </cell>
          <cell r="B1913" t="str">
            <v>France Telecom</v>
          </cell>
          <cell r="C1913">
            <v>0.36147980796385204</v>
          </cell>
          <cell r="D1913">
            <v>0.29673340358271866</v>
          </cell>
          <cell r="E1913">
            <v>0.28302322893794057</v>
          </cell>
          <cell r="F1913">
            <v>0.22723271717787258</v>
          </cell>
          <cell r="G1913">
            <v>0.19209833187006145</v>
          </cell>
          <cell r="H1913">
            <v>0.13165375397135054</v>
          </cell>
          <cell r="I1913">
            <v>0.12376061422687751</v>
          </cell>
          <cell r="J1913">
            <v>0.12193849499009703</v>
          </cell>
          <cell r="K1913">
            <v>0.12421439944622119</v>
          </cell>
          <cell r="L1913">
            <v>0.12282003945711703</v>
          </cell>
          <cell r="M1913">
            <v>0.12081979239614592</v>
          </cell>
          <cell r="N1913">
            <v>0.1188147175263873</v>
          </cell>
          <cell r="O1913">
            <v>0.11672713456725634</v>
          </cell>
          <cell r="P1913">
            <v>0.11585374381971171</v>
          </cell>
          <cell r="Q1913">
            <v>0.11548482943229181</v>
          </cell>
          <cell r="R1913" t="e">
            <v>#DIV/0!</v>
          </cell>
          <cell r="S1913" t="e">
            <v>#DIV/0!</v>
          </cell>
        </row>
        <row r="1914">
          <cell r="A1914" t="str">
            <v>Gp mob</v>
          </cell>
          <cell r="B1914" t="str">
            <v>KPN</v>
          </cell>
          <cell r="C1914">
            <v>0.21341915227629515</v>
          </cell>
          <cell r="D1914">
            <v>0.24093478260869566</v>
          </cell>
          <cell r="E1914">
            <v>0.2491011552550014</v>
          </cell>
          <cell r="F1914">
            <v>0.20609347252996185</v>
          </cell>
          <cell r="G1914">
            <v>0.10956301456618113</v>
          </cell>
          <cell r="H1914">
            <v>0.16608323609490472</v>
          </cell>
          <cell r="I1914">
            <v>0.19073018208570902</v>
          </cell>
          <cell r="J1914">
            <v>0.18310190350381086</v>
          </cell>
          <cell r="K1914">
            <v>0.16696422045417086</v>
          </cell>
          <cell r="L1914">
            <v>0.15002133021072683</v>
          </cell>
          <cell r="M1914">
            <v>0.14254487890655543</v>
          </cell>
          <cell r="N1914">
            <v>0.13647582117004092</v>
          </cell>
          <cell r="O1914">
            <v>0.13393265308902391</v>
          </cell>
          <cell r="P1914">
            <v>0.13172071275592256</v>
          </cell>
          <cell r="Q1914">
            <v>0.12960478231661471</v>
          </cell>
          <cell r="R1914" t="e">
            <v>#DIV/0!</v>
          </cell>
          <cell r="S1914" t="e">
            <v>#DIV/0!</v>
          </cell>
        </row>
        <row r="1915">
          <cell r="A1915" t="str">
            <v>Gp mob</v>
          </cell>
          <cell r="B1915" t="str">
            <v>OTE</v>
          </cell>
          <cell r="C1915" t="e">
            <v>#DIV/0!</v>
          </cell>
          <cell r="D1915">
            <v>0.59476359040544957</v>
          </cell>
          <cell r="E1915">
            <v>0.37010967720411569</v>
          </cell>
          <cell r="F1915">
            <v>0.39879154078549855</v>
          </cell>
          <cell r="G1915">
            <v>0.18687667887261336</v>
          </cell>
          <cell r="H1915">
            <v>0.13557583625975742</v>
          </cell>
          <cell r="I1915">
            <v>0.13748799420572813</v>
          </cell>
          <cell r="J1915">
            <v>0.10992223756560179</v>
          </cell>
          <cell r="K1915">
            <v>0.10220596365216233</v>
          </cell>
          <cell r="L1915">
            <v>9.7244586246705733E-2</v>
          </cell>
          <cell r="M1915">
            <v>0.10127852967745574</v>
          </cell>
          <cell r="N1915">
            <v>0.10077312516820876</v>
          </cell>
          <cell r="O1915">
            <v>0.10052625289437556</v>
          </cell>
          <cell r="P1915">
            <v>0.10025962264732355</v>
          </cell>
          <cell r="Q1915">
            <v>9.9951358340573601E-2</v>
          </cell>
          <cell r="R1915" t="e">
            <v>#DIV/0!</v>
          </cell>
          <cell r="S1915" t="e">
            <v>#DIV/0!</v>
          </cell>
        </row>
        <row r="1916">
          <cell r="A1916" t="str">
            <v>Gp mob</v>
          </cell>
          <cell r="B1916" t="str">
            <v>Portugal Telecom</v>
          </cell>
          <cell r="C1916">
            <v>0.33516483516483514</v>
          </cell>
          <cell r="D1916">
            <v>0.36712328767123287</v>
          </cell>
          <cell r="E1916">
            <v>0.23800564440263405</v>
          </cell>
          <cell r="F1916">
            <v>0.20301291248206599</v>
          </cell>
          <cell r="G1916">
            <v>0.19186440677966102</v>
          </cell>
          <cell r="H1916">
            <v>0.11096520026263952</v>
          </cell>
          <cell r="I1916">
            <v>0.10012594458438287</v>
          </cell>
          <cell r="J1916">
            <v>0.11155218489327433</v>
          </cell>
          <cell r="K1916">
            <v>0.11783306447456506</v>
          </cell>
          <cell r="L1916">
            <v>0.11696679948891782</v>
          </cell>
          <cell r="M1916">
            <v>0.11666270094476622</v>
          </cell>
          <cell r="N1916">
            <v>0.11654738706816674</v>
          </cell>
          <cell r="O1916">
            <v>0.1163664864681794</v>
          </cell>
          <cell r="P1916">
            <v>0.11612252907653664</v>
          </cell>
          <cell r="Q1916">
            <v>0.11581799557982395</v>
          </cell>
          <cell r="R1916" t="e">
            <v>#DIV/0!</v>
          </cell>
          <cell r="S1916" t="e">
            <v>#DIV/0!</v>
          </cell>
        </row>
        <row r="1917">
          <cell r="A1917" t="str">
            <v>Gp mob</v>
          </cell>
          <cell r="B1917" t="str">
            <v>Swisscom</v>
          </cell>
          <cell r="C1917">
            <v>0.14818266542404473</v>
          </cell>
          <cell r="D1917">
            <v>0.11560084328882643</v>
          </cell>
          <cell r="E1917">
            <v>0.1013745704467354</v>
          </cell>
          <cell r="F1917">
            <v>7.9357106981416375E-2</v>
          </cell>
          <cell r="G1917">
            <v>9.5330739299610889E-2</v>
          </cell>
          <cell r="H1917">
            <v>0.10410628019323671</v>
          </cell>
          <cell r="I1917">
            <v>0.12114663331589899</v>
          </cell>
          <cell r="J1917">
            <v>0.11301613595324092</v>
          </cell>
          <cell r="K1917">
            <v>0.10947895979491895</v>
          </cell>
          <cell r="L1917">
            <v>0.10896225598359603</v>
          </cell>
          <cell r="M1917">
            <v>0.10865949635702718</v>
          </cell>
          <cell r="N1917">
            <v>0.10938043230749403</v>
          </cell>
          <cell r="O1917">
            <v>0.1104362676543142</v>
          </cell>
          <cell r="P1917">
            <v>0.11143376568894081</v>
          </cell>
          <cell r="Q1917">
            <v>0.11218975933056781</v>
          </cell>
          <cell r="R1917" t="e">
            <v>#DIV/0!</v>
          </cell>
          <cell r="S1917" t="e">
            <v>#DIV/0!</v>
          </cell>
        </row>
        <row r="1918">
          <cell r="A1918" t="str">
            <v>Gp mob</v>
          </cell>
          <cell r="B1918" t="str">
            <v>TDC</v>
          </cell>
          <cell r="C1918" t="e">
            <v>#DIV/0!</v>
          </cell>
          <cell r="D1918">
            <v>0.1400595320752199</v>
          </cell>
          <cell r="E1918">
            <v>0.10772432647799089</v>
          </cell>
          <cell r="F1918">
            <v>0.11414026391586844</v>
          </cell>
          <cell r="G1918">
            <v>7.086558261734005E-2</v>
          </cell>
          <cell r="H1918">
            <v>6.9318687843253679E-2</v>
          </cell>
          <cell r="I1918">
            <v>6.622302042154378E-2</v>
          </cell>
          <cell r="J1918">
            <v>6.5431089199608494E-2</v>
          </cell>
          <cell r="K1918">
            <v>6.3790730931599482E-2</v>
          </cell>
          <cell r="L1918">
            <v>6.1864813912673483E-2</v>
          </cell>
          <cell r="M1918">
            <v>6.0996502447899788E-2</v>
          </cell>
          <cell r="N1918">
            <v>6.0605770487419122E-2</v>
          </cell>
          <cell r="O1918">
            <v>6.0151516606077295E-2</v>
          </cell>
          <cell r="P1918">
            <v>5.9637558456603373E-2</v>
          </cell>
          <cell r="Q1918">
            <v>5.9541007481391996E-2</v>
          </cell>
          <cell r="R1918" t="e">
            <v>#DIV/0!</v>
          </cell>
          <cell r="S1918" t="e">
            <v>#DIV/0!</v>
          </cell>
        </row>
        <row r="1919">
          <cell r="A1919" t="str">
            <v>Gp mob</v>
          </cell>
          <cell r="B1919" t="str">
            <v>Telecom Italia</v>
          </cell>
          <cell r="C1919" t="e">
            <v>#DIV/0!</v>
          </cell>
          <cell r="D1919" t="e">
            <v>#DIV/0!</v>
          </cell>
          <cell r="E1919" t="e">
            <v>#DIV/0!</v>
          </cell>
          <cell r="F1919">
            <v>0.31052159458532413</v>
          </cell>
          <cell r="G1919">
            <v>0.21551486150731572</v>
          </cell>
          <cell r="H1919">
            <v>0.16559201484625974</v>
          </cell>
          <cell r="I1919">
            <v>0.1431000852073411</v>
          </cell>
          <cell r="J1919">
            <v>0.15737525332294991</v>
          </cell>
          <cell r="K1919">
            <v>0.14249069903037917</v>
          </cell>
          <cell r="L1919">
            <v>0.13774561018974488</v>
          </cell>
          <cell r="M1919">
            <v>0.13461952273369085</v>
          </cell>
          <cell r="N1919">
            <v>0.13375819220133719</v>
          </cell>
          <cell r="O1919">
            <v>0.12829059351953115</v>
          </cell>
          <cell r="P1919">
            <v>0.12377320582002604</v>
          </cell>
          <cell r="Q1919">
            <v>0.12180655878649102</v>
          </cell>
          <cell r="R1919" t="e">
            <v>#DIV/0!</v>
          </cell>
          <cell r="S1919" t="e">
            <v>#DIV/0!</v>
          </cell>
        </row>
        <row r="1920">
          <cell r="A1920" t="str">
            <v>Gp mob</v>
          </cell>
          <cell r="B1920" t="str">
            <v>Telefonica</v>
          </cell>
          <cell r="C1920" t="e">
            <v>#DIV/0!</v>
          </cell>
          <cell r="D1920">
            <v>0.28583653478506271</v>
          </cell>
          <cell r="E1920">
            <v>0.24170878559595332</v>
          </cell>
          <cell r="F1920">
            <v>0.20161453317639785</v>
          </cell>
          <cell r="G1920">
            <v>0.10054924615418281</v>
          </cell>
          <cell r="H1920">
            <v>0.12057237619534672</v>
          </cell>
          <cell r="I1920">
            <v>0.13845681623984804</v>
          </cell>
          <cell r="J1920">
            <v>0.1193422941860266</v>
          </cell>
          <cell r="K1920">
            <v>0.10181968787069126</v>
          </cell>
          <cell r="L1920">
            <v>9.1532209836143477E-2</v>
          </cell>
          <cell r="M1920">
            <v>8.647081426893484E-2</v>
          </cell>
          <cell r="N1920">
            <v>8.4134861726185672E-2</v>
          </cell>
          <cell r="O1920">
            <v>8.4345388644476896E-2</v>
          </cell>
          <cell r="P1920">
            <v>8.4405392647707328E-2</v>
          </cell>
          <cell r="Q1920">
            <v>8.2751706426598792E-2</v>
          </cell>
          <cell r="R1920" t="e">
            <v>#DIV/0!</v>
          </cell>
          <cell r="S1920" t="e">
            <v>#DIV/0!</v>
          </cell>
        </row>
        <row r="1921">
          <cell r="A1921" t="str">
            <v>Gp mob</v>
          </cell>
          <cell r="B1921" t="str">
            <v>Telekom Austria</v>
          </cell>
          <cell r="C1921">
            <v>0.1741511500547645</v>
          </cell>
          <cell r="D1921">
            <v>0.23089300080450523</v>
          </cell>
          <cell r="E1921">
            <v>0.21518987341772153</v>
          </cell>
          <cell r="F1921">
            <v>0.21132516053706946</v>
          </cell>
          <cell r="G1921">
            <v>0.17038216560509553</v>
          </cell>
          <cell r="H1921">
            <v>0.14427860696517414</v>
          </cell>
          <cell r="I1921">
            <v>0.13672708380621529</v>
          </cell>
          <cell r="J1921">
            <v>0.13123427809922023</v>
          </cell>
          <cell r="K1921">
            <v>0.12731355665392197</v>
          </cell>
          <cell r="L1921">
            <v>0.12355181855093292</v>
          </cell>
          <cell r="M1921">
            <v>0.12255059824443361</v>
          </cell>
          <cell r="N1921">
            <v>0.12329991614254825</v>
          </cell>
          <cell r="O1921">
            <v>0.12399929465637341</v>
          </cell>
          <cell r="P1921">
            <v>0.12464691306699287</v>
          </cell>
          <cell r="Q1921">
            <v>0.12525565030119867</v>
          </cell>
          <cell r="R1921" t="e">
            <v>#DIV/0!</v>
          </cell>
          <cell r="S1921" t="e">
            <v>#DIV/0!</v>
          </cell>
        </row>
        <row r="1922">
          <cell r="A1922" t="str">
            <v>Gp mob</v>
          </cell>
          <cell r="B1922" t="str">
            <v>Telenor</v>
          </cell>
          <cell r="C1922" t="e">
            <v>#DIV/0!</v>
          </cell>
          <cell r="D1922" t="e">
            <v>#DIV/0!</v>
          </cell>
          <cell r="E1922" t="e">
            <v>#DIV/0!</v>
          </cell>
          <cell r="F1922">
            <v>0.25738358122699756</v>
          </cell>
          <cell r="G1922">
            <v>0.20338464630751951</v>
          </cell>
          <cell r="H1922">
            <v>0.16372370235288886</v>
          </cell>
          <cell r="I1922">
            <v>0.29855853001742438</v>
          </cell>
          <cell r="J1922">
            <v>0.30632326945286364</v>
          </cell>
          <cell r="K1922">
            <v>0.21009313288533252</v>
          </cell>
          <cell r="L1922">
            <v>0.1772674666823833</v>
          </cell>
          <cell r="M1922">
            <v>0.14075536153420323</v>
          </cell>
          <cell r="N1922">
            <v>0.12488612447849792</v>
          </cell>
          <cell r="O1922">
            <v>0.11383337441102802</v>
          </cell>
          <cell r="P1922">
            <v>0.11098657515042652</v>
          </cell>
          <cell r="Q1922">
            <v>0.10911321969087051</v>
          </cell>
          <cell r="R1922" t="e">
            <v>#DIV/0!</v>
          </cell>
          <cell r="S1922" t="e">
            <v>#DIV/0!</v>
          </cell>
        </row>
        <row r="1923">
          <cell r="A1923" t="str">
            <v>Gp mob</v>
          </cell>
          <cell r="B1923" t="str">
            <v>TeliaSonera</v>
          </cell>
          <cell r="C1923" t="e">
            <v>#DIV/0!</v>
          </cell>
          <cell r="D1923" t="e">
            <v>#DIV/0!</v>
          </cell>
          <cell r="E1923" t="e">
            <v>#DIV/0!</v>
          </cell>
          <cell r="F1923" t="e">
            <v>#DIV/0!</v>
          </cell>
          <cell r="G1923">
            <v>0.12346361001511112</v>
          </cell>
          <cell r="H1923">
            <v>0.11806134136833214</v>
          </cell>
          <cell r="I1923">
            <v>0.13361256544502617</v>
          </cell>
          <cell r="J1923">
            <v>0.12965753103974334</v>
          </cell>
          <cell r="K1923">
            <v>0.12367127810044432</v>
          </cell>
          <cell r="L1923">
            <v>0.11627566321315012</v>
          </cell>
          <cell r="M1923">
            <v>0.11741366661510642</v>
          </cell>
          <cell r="N1923">
            <v>0.11390307868969866</v>
          </cell>
          <cell r="O1923">
            <v>0.11229073477943444</v>
          </cell>
          <cell r="P1923">
            <v>0.11054569618829467</v>
          </cell>
          <cell r="Q1923">
            <v>0.1087977319360211</v>
          </cell>
          <cell r="R1923">
            <v>0.10911763700302224</v>
          </cell>
          <cell r="S1923" t="e">
            <v>#DIV/0!</v>
          </cell>
        </row>
        <row r="1924">
          <cell r="A1924" t="str">
            <v>Gp mob</v>
          </cell>
          <cell r="B1924" t="str">
            <v>Sum</v>
          </cell>
          <cell r="C1924">
            <v>0.34792250557484472</v>
          </cell>
          <cell r="D1924">
            <v>0.24946659947110539</v>
          </cell>
          <cell r="E1924">
            <v>0.25833172956333561</v>
          </cell>
          <cell r="F1924">
            <v>0.23283274391409778</v>
          </cell>
          <cell r="G1924">
            <v>0.16568819949437122</v>
          </cell>
          <cell r="H1924">
            <v>0.13543792365528981</v>
          </cell>
          <cell r="I1924">
            <v>0.13149439427296367</v>
          </cell>
          <cell r="J1924">
            <v>0.13641088175713773</v>
          </cell>
          <cell r="K1924">
            <v>0.12829212922191535</v>
          </cell>
          <cell r="L1924">
            <v>0.12317460027576425</v>
          </cell>
          <cell r="M1924">
            <v>0.11946506992382847</v>
          </cell>
          <cell r="N1924">
            <v>0.11663368724171629</v>
          </cell>
          <cell r="O1924">
            <v>0.11479626090214083</v>
          </cell>
          <cell r="P1924">
            <v>0.11330242823277652</v>
          </cell>
          <cell r="Q1924">
            <v>0.11242333475144144</v>
          </cell>
          <cell r="R1924">
            <v>0.10911763700302225</v>
          </cell>
          <cell r="S1924" t="e">
            <v>#DIV/0!</v>
          </cell>
        </row>
      </sheetData>
      <sheetData sheetId="19"/>
      <sheetData sheetId="20"/>
      <sheetData sheetId="21"/>
      <sheetData sheetId="22"/>
      <sheetData sheetId="23">
        <row r="6">
          <cell r="E6" t="str">
            <v>EV/EBITDA</v>
          </cell>
          <cell r="I6" t="str">
            <v>CAGR</v>
          </cell>
          <cell r="K6" t="str">
            <v>EV/OpFCF</v>
          </cell>
          <cell r="O6" t="str">
            <v>CAGR</v>
          </cell>
          <cell r="Q6" t="str">
            <v>EV/FCF</v>
          </cell>
          <cell r="U6" t="str">
            <v>CAGR</v>
          </cell>
        </row>
        <row r="7">
          <cell r="C7" t="str">
            <v>Price</v>
          </cell>
          <cell r="E7" t="str">
            <v>2004E</v>
          </cell>
          <cell r="F7" t="str">
            <v>2005E</v>
          </cell>
          <cell r="G7" t="str">
            <v>2006E</v>
          </cell>
          <cell r="H7" t="str">
            <v>2007E</v>
          </cell>
          <cell r="I7" t="str">
            <v>04E-07E</v>
          </cell>
          <cell r="K7" t="str">
            <v>2004E</v>
          </cell>
          <cell r="L7" t="str">
            <v>2005E</v>
          </cell>
          <cell r="M7" t="str">
            <v>2006E</v>
          </cell>
          <cell r="N7" t="str">
            <v>2007E</v>
          </cell>
          <cell r="O7" t="str">
            <v>04E-07E</v>
          </cell>
          <cell r="Q7" t="str">
            <v>2004E</v>
          </cell>
          <cell r="R7" t="str">
            <v>2005E</v>
          </cell>
          <cell r="S7" t="str">
            <v>2006E</v>
          </cell>
          <cell r="T7" t="str">
            <v>2007E</v>
          </cell>
          <cell r="U7" t="str">
            <v>04E-07E</v>
          </cell>
          <cell r="W7" t="str">
            <v>Price</v>
          </cell>
        </row>
        <row r="9">
          <cell r="B9" t="str">
            <v>Belgacom</v>
          </cell>
          <cell r="C9" t="str">
            <v>€ 32.1</v>
          </cell>
          <cell r="E9">
            <v>5.3918982096973984</v>
          </cell>
          <cell r="F9">
            <v>5.0846170770713197</v>
          </cell>
          <cell r="G9">
            <v>4.8763441838872561</v>
          </cell>
          <cell r="H9">
            <v>4.7022639384587315</v>
          </cell>
          <cell r="I9">
            <v>-3.6456290936254132E-2</v>
          </cell>
          <cell r="K9">
            <v>7.0500261989627484</v>
          </cell>
          <cell r="L9">
            <v>6.8009690583597395</v>
          </cell>
          <cell r="M9">
            <v>6.6022854478107824</v>
          </cell>
          <cell r="N9">
            <v>6.3974067650464956</v>
          </cell>
          <cell r="O9">
            <v>-4.912787822223974E-2</v>
          </cell>
          <cell r="Q9">
            <v>10.681857877216286</v>
          </cell>
          <cell r="R9">
            <v>10.304498573272335</v>
          </cell>
          <cell r="S9">
            <v>10.003462799713308</v>
          </cell>
          <cell r="T9">
            <v>9.6930405531007526</v>
          </cell>
          <cell r="U9">
            <v>-4.912787822223974E-2</v>
          </cell>
          <cell r="W9" t="str">
            <v>€ 32.1</v>
          </cell>
          <cell r="X9" t="str">
            <v>Belgacom</v>
          </cell>
        </row>
        <row r="10">
          <cell r="B10" t="str">
            <v>British Telecom</v>
          </cell>
          <cell r="C10" t="str">
            <v>£ 2.05</v>
          </cell>
          <cell r="E10">
            <v>5.1590737255877199</v>
          </cell>
          <cell r="F10">
            <v>4.884081777626454</v>
          </cell>
          <cell r="G10">
            <v>4.4331320871045214</v>
          </cell>
          <cell r="H10">
            <v>4.0714529606807748</v>
          </cell>
          <cell r="I10">
            <v>1.4317572328513828E-2</v>
          </cell>
          <cell r="K10">
            <v>10.568005015527135</v>
          </cell>
          <cell r="L10">
            <v>9.7316207563054515</v>
          </cell>
          <cell r="M10">
            <v>8.4993325914336584</v>
          </cell>
          <cell r="N10">
            <v>7.5531968483707912</v>
          </cell>
          <cell r="O10">
            <v>4.8384474836728364E-2</v>
          </cell>
          <cell r="Q10">
            <v>14.476719199352239</v>
          </cell>
          <cell r="R10">
            <v>13.150838859872234</v>
          </cell>
          <cell r="S10">
            <v>11.485584583018458</v>
          </cell>
          <cell r="T10">
            <v>10.790281211958273</v>
          </cell>
          <cell r="U10">
            <v>3.382169325554707E-2</v>
          </cell>
          <cell r="W10" t="str">
            <v>£ 2.05</v>
          </cell>
          <cell r="X10" t="str">
            <v>British Telecom</v>
          </cell>
        </row>
        <row r="11">
          <cell r="B11" t="str">
            <v>Deutsche Telekom</v>
          </cell>
          <cell r="C11" t="str">
            <v>€ 15.8</v>
          </cell>
          <cell r="E11">
            <v>5.2720298344794259</v>
          </cell>
          <cell r="F11">
            <v>4.7442679686653273</v>
          </cell>
          <cell r="G11">
            <v>4.3579626847474096</v>
          </cell>
          <cell r="H11">
            <v>3.9803869480004828</v>
          </cell>
          <cell r="I11">
            <v>2.8281331223081185E-2</v>
          </cell>
          <cell r="K11">
            <v>7.5935425256515616</v>
          </cell>
          <cell r="L11">
            <v>7.2682747123387434</v>
          </cell>
          <cell r="M11">
            <v>6.7851025805035308</v>
          </cell>
          <cell r="N11">
            <v>6.2175924608006614</v>
          </cell>
          <cell r="O11">
            <v>8.4883557413850674E-4</v>
          </cell>
          <cell r="Q11">
            <v>12.448430369920592</v>
          </cell>
          <cell r="R11">
            <v>11.915204446456956</v>
          </cell>
          <cell r="S11">
            <v>11.123118984432017</v>
          </cell>
          <cell r="T11">
            <v>10.192774525902724</v>
          </cell>
          <cell r="U11">
            <v>8.4883557413850674E-4</v>
          </cell>
          <cell r="W11" t="str">
            <v>€ 15.8</v>
          </cell>
          <cell r="X11" t="str">
            <v>Deutsche Telekom</v>
          </cell>
        </row>
        <row r="12">
          <cell r="B12" t="str">
            <v>Eircom</v>
          </cell>
          <cell r="C12" t="str">
            <v>€ 2.07</v>
          </cell>
          <cell r="E12">
            <v>5.8531808444267392</v>
          </cell>
          <cell r="F12">
            <v>5.5365044136597481</v>
          </cell>
          <cell r="G12">
            <v>5.587181223422963</v>
          </cell>
          <cell r="H12">
            <v>5.7346650318335461</v>
          </cell>
          <cell r="I12">
            <v>-5.7429456130574819E-2</v>
          </cell>
          <cell r="K12">
            <v>8.5589202158732789</v>
          </cell>
          <cell r="L12">
            <v>8.1507618550981338</v>
          </cell>
          <cell r="M12">
            <v>8.5336872421221468</v>
          </cell>
          <cell r="N12">
            <v>8.7861564404098242</v>
          </cell>
          <cell r="O12">
            <v>-7.1975910110917973E-2</v>
          </cell>
          <cell r="Q12">
            <v>9.7816231038551766</v>
          </cell>
          <cell r="R12">
            <v>9.3151564058264373</v>
          </cell>
          <cell r="S12">
            <v>9.7527854195681662</v>
          </cell>
          <cell r="T12">
            <v>10.041321646182656</v>
          </cell>
          <cell r="U12">
            <v>-7.1975910110917973E-2</v>
          </cell>
          <cell r="W12" t="str">
            <v>€ 2.07</v>
          </cell>
          <cell r="X12" t="str">
            <v>Eircom</v>
          </cell>
        </row>
        <row r="13">
          <cell r="B13" t="str">
            <v>France Telecom</v>
          </cell>
          <cell r="C13" t="str">
            <v>€ 23.5</v>
          </cell>
          <cell r="E13">
            <v>6.2538459126578774</v>
          </cell>
          <cell r="F13">
            <v>5.5569352336680629</v>
          </cell>
          <cell r="G13">
            <v>5.1277041757534727</v>
          </cell>
          <cell r="H13">
            <v>4.6956663528338929</v>
          </cell>
          <cell r="I13">
            <v>2.5333343204841041E-2</v>
          </cell>
          <cell r="K13">
            <v>8.6951028027292132</v>
          </cell>
          <cell r="L13">
            <v>7.9129080046519604</v>
          </cell>
          <cell r="M13">
            <v>7.4441959601633627</v>
          </cell>
          <cell r="N13">
            <v>6.8420759234408131</v>
          </cell>
          <cell r="O13">
            <v>9.4327155393945095E-3</v>
          </cell>
          <cell r="Q13">
            <v>13.459911459333147</v>
          </cell>
          <cell r="R13">
            <v>12.249083598532446</v>
          </cell>
          <cell r="S13">
            <v>11.52352315814762</v>
          </cell>
          <cell r="T13">
            <v>10.591448797895994</v>
          </cell>
          <cell r="U13">
            <v>9.4327155393945095E-3</v>
          </cell>
          <cell r="W13" t="str">
            <v>€ 23.5</v>
          </cell>
          <cell r="X13" t="str">
            <v>France Telecom</v>
          </cell>
        </row>
        <row r="14">
          <cell r="B14" t="str">
            <v>KPN</v>
          </cell>
          <cell r="C14" t="str">
            <v>€ 7.2</v>
          </cell>
          <cell r="E14">
            <v>5.0536119187404047</v>
          </cell>
          <cell r="F14">
            <v>5.0215909242977252</v>
          </cell>
          <cell r="G14">
            <v>4.7402011072608348</v>
          </cell>
          <cell r="H14">
            <v>4.3720355344423485</v>
          </cell>
          <cell r="I14">
            <v>-2.7329756532867955E-2</v>
          </cell>
          <cell r="K14">
            <v>7.7822086181048551</v>
          </cell>
          <cell r="L14">
            <v>8.1283460590974563</v>
          </cell>
          <cell r="M14">
            <v>7.7050443403211144</v>
          </cell>
          <cell r="N14">
            <v>7.0943860191142694</v>
          </cell>
          <cell r="O14">
            <v>-4.4151830954151317E-2</v>
          </cell>
          <cell r="Q14">
            <v>11.881234531457794</v>
          </cell>
          <cell r="R14">
            <v>12.409688639843447</v>
          </cell>
          <cell r="S14">
            <v>11.330947559295758</v>
          </cell>
          <cell r="T14">
            <v>10.134837170163243</v>
          </cell>
          <cell r="U14">
            <v>-2.2745169201930704E-2</v>
          </cell>
          <cell r="W14" t="str">
            <v>€ 7.2</v>
          </cell>
          <cell r="X14" t="str">
            <v>KPN</v>
          </cell>
        </row>
        <row r="15">
          <cell r="B15" t="str">
            <v>OTE</v>
          </cell>
          <cell r="C15" t="str">
            <v>€ 15.0</v>
          </cell>
          <cell r="E15">
            <v>7.8293383803065808</v>
          </cell>
          <cell r="F15">
            <v>6.8090177720668841</v>
          </cell>
          <cell r="G15">
            <v>5.6588860411307733</v>
          </cell>
          <cell r="H15">
            <v>5.0572761919680662</v>
          </cell>
          <cell r="I15">
            <v>7.9808393959797108E-2</v>
          </cell>
          <cell r="K15">
            <v>15.568187311696057</v>
          </cell>
          <cell r="L15">
            <v>11.099852979143485</v>
          </cell>
          <cell r="M15">
            <v>8.4901449293140452</v>
          </cell>
          <cell r="N15">
            <v>7.2938149672685393</v>
          </cell>
          <cell r="O15">
            <v>0.20667094929821128</v>
          </cell>
          <cell r="Q15">
            <v>23.951057402609319</v>
          </cell>
          <cell r="R15">
            <v>17.076696890989975</v>
          </cell>
          <cell r="S15">
            <v>12.128778470448637</v>
          </cell>
          <cell r="T15">
            <v>10.419735667526483</v>
          </cell>
          <cell r="U15">
            <v>0.23685014687345363</v>
          </cell>
          <cell r="W15" t="str">
            <v>€ 15.0</v>
          </cell>
          <cell r="X15" t="str">
            <v>OTE</v>
          </cell>
        </row>
        <row r="16">
          <cell r="B16" t="str">
            <v>Portugal Telecom</v>
          </cell>
          <cell r="C16" t="str">
            <v>€ 9.2</v>
          </cell>
          <cell r="E16">
            <v>7.02699353967785</v>
          </cell>
          <cell r="F16">
            <v>6.2477216716024175</v>
          </cell>
          <cell r="G16">
            <v>5.7744823347443166</v>
          </cell>
          <cell r="H16">
            <v>5.2467175916361084</v>
          </cell>
          <cell r="I16">
            <v>3.255272431125511E-2</v>
          </cell>
          <cell r="K16">
            <v>10.405314384881521</v>
          </cell>
          <cell r="L16">
            <v>9.6306471041763455</v>
          </cell>
          <cell r="M16">
            <v>8.7479598402683614</v>
          </cell>
          <cell r="N16">
            <v>7.8595568204952251</v>
          </cell>
          <cell r="O16">
            <v>2.8956513996733824E-2</v>
          </cell>
          <cell r="Q16">
            <v>14.864734835545029</v>
          </cell>
          <cell r="R16">
            <v>13.283651178174269</v>
          </cell>
          <cell r="S16">
            <v>12.06615150381843</v>
          </cell>
          <cell r="T16">
            <v>10.840768028269276</v>
          </cell>
          <cell r="U16">
            <v>4.1062995397278756E-2</v>
          </cell>
          <cell r="W16" t="str">
            <v>€ 9.2</v>
          </cell>
          <cell r="X16" t="str">
            <v>Portugal Telecom</v>
          </cell>
        </row>
        <row r="17">
          <cell r="B17" t="str">
            <v>Swisscom</v>
          </cell>
          <cell r="C17" t="str">
            <v>CHF 454</v>
          </cell>
          <cell r="E17">
            <v>6.6911306951699459</v>
          </cell>
          <cell r="F17">
            <v>6.2994579011749448</v>
          </cell>
          <cell r="G17">
            <v>5.9499482163829844</v>
          </cell>
          <cell r="H17">
            <v>5.562637634068869</v>
          </cell>
          <cell r="I17">
            <v>-2.056819144273847E-2</v>
          </cell>
          <cell r="K17">
            <v>9.1290385669800411</v>
          </cell>
          <cell r="L17">
            <v>8.5609418671065391</v>
          </cell>
          <cell r="M17">
            <v>8.1172403249388942</v>
          </cell>
          <cell r="N17">
            <v>7.6287719830703677</v>
          </cell>
          <cell r="O17">
            <v>-2.2256901697115694E-2</v>
          </cell>
          <cell r="Q17">
            <v>11.703895598692359</v>
          </cell>
          <cell r="R17">
            <v>10.975566496290433</v>
          </cell>
          <cell r="S17">
            <v>10.406718365306276</v>
          </cell>
          <cell r="T17">
            <v>9.7804769013722677</v>
          </cell>
          <cell r="U17">
            <v>-2.2256901697115694E-2</v>
          </cell>
          <cell r="W17" t="str">
            <v>CHF 454</v>
          </cell>
          <cell r="X17" t="str">
            <v>Swisscom</v>
          </cell>
        </row>
        <row r="18">
          <cell r="B18" t="str">
            <v>TDC</v>
          </cell>
          <cell r="C18" t="str">
            <v>DKK 254.0</v>
          </cell>
          <cell r="E18">
            <v>5.6712674361160742</v>
          </cell>
          <cell r="F18">
            <v>4.8244978809650618</v>
          </cell>
          <cell r="G18">
            <v>4.5692659539683973</v>
          </cell>
          <cell r="H18">
            <v>4.3050937144387991</v>
          </cell>
          <cell r="I18">
            <v>-7.2361589656022574E-4</v>
          </cell>
          <cell r="K18">
            <v>9.8224013326546427</v>
          </cell>
          <cell r="L18">
            <v>8.23651575496074</v>
          </cell>
          <cell r="M18">
            <v>7.8502571487588853</v>
          </cell>
          <cell r="N18">
            <v>7.4136591820309343</v>
          </cell>
          <cell r="O18">
            <v>1.1860827164054122E-3</v>
          </cell>
          <cell r="Q18">
            <v>14.444707842139181</v>
          </cell>
          <cell r="R18">
            <v>12.112523169059912</v>
          </cell>
          <cell r="S18">
            <v>11.544495806998361</v>
          </cell>
          <cell r="T18">
            <v>10.902439973574905</v>
          </cell>
          <cell r="U18">
            <v>1.1860827164051901E-3</v>
          </cell>
          <cell r="W18" t="str">
            <v>DKK 254.0</v>
          </cell>
          <cell r="X18" t="str">
            <v>TDC</v>
          </cell>
        </row>
        <row r="19">
          <cell r="B19" t="str">
            <v>Telecom Italia</v>
          </cell>
          <cell r="C19" t="str">
            <v>€ 2.9</v>
          </cell>
          <cell r="E19">
            <v>6.6367636473549831</v>
          </cell>
          <cell r="F19">
            <v>6.0661272512725866</v>
          </cell>
          <cell r="G19">
            <v>5.5780971411624494</v>
          </cell>
          <cell r="H19">
            <v>5.1757256036169919</v>
          </cell>
          <cell r="I19">
            <v>3.4007434193628061E-2</v>
          </cell>
          <cell r="K19">
            <v>10.796925092383633</v>
          </cell>
          <cell r="L19">
            <v>9.0464600064552805</v>
          </cell>
          <cell r="M19">
            <v>8.0658875541295405</v>
          </cell>
          <cell r="N19">
            <v>7.4441686129599409</v>
          </cell>
          <cell r="O19">
            <v>7.7349433266995726E-2</v>
          </cell>
          <cell r="Q19">
            <v>17.994875153972721</v>
          </cell>
          <cell r="R19">
            <v>15.077433344092135</v>
          </cell>
          <cell r="S19">
            <v>13.443145923549235</v>
          </cell>
          <cell r="T19">
            <v>12.406947688266568</v>
          </cell>
          <cell r="U19">
            <v>7.7349433266995726E-2</v>
          </cell>
          <cell r="W19" t="str">
            <v>€ 2.9</v>
          </cell>
          <cell r="X19" t="str">
            <v>Telecom Italia</v>
          </cell>
        </row>
        <row r="20">
          <cell r="B20" t="str">
            <v>Telefonica</v>
          </cell>
          <cell r="C20" t="str">
            <v>€ 14.1</v>
          </cell>
          <cell r="E20">
            <v>7.0689105773747389</v>
          </cell>
          <cell r="F20">
            <v>5.8244577118065726</v>
          </cell>
          <cell r="G20">
            <v>5.0877918365033539</v>
          </cell>
          <cell r="H20">
            <v>4.4847806706139286</v>
          </cell>
          <cell r="I20">
            <v>7.3555580756607064E-2</v>
          </cell>
          <cell r="K20">
            <v>9.8924450635137546</v>
          </cell>
          <cell r="L20">
            <v>8.0083503785293289</v>
          </cell>
          <cell r="M20">
            <v>6.8052862599953325</v>
          </cell>
          <cell r="N20">
            <v>5.9100183246778784</v>
          </cell>
          <cell r="O20">
            <v>9.5281403770771211E-2</v>
          </cell>
          <cell r="Q20">
            <v>15.219146251559621</v>
          </cell>
          <cell r="R20">
            <v>12.320539043891277</v>
          </cell>
          <cell r="S20">
            <v>10.469671169223588</v>
          </cell>
          <cell r="T20">
            <v>9.0923358841198123</v>
          </cell>
          <cell r="U20">
            <v>9.5281403770771211E-2</v>
          </cell>
          <cell r="W20" t="str">
            <v>€ 14.1</v>
          </cell>
          <cell r="X20" t="str">
            <v>Telefonica</v>
          </cell>
        </row>
        <row r="21">
          <cell r="B21" t="str">
            <v>Telekom Austria</v>
          </cell>
          <cell r="C21" t="str">
            <v>€ 15.1</v>
          </cell>
          <cell r="E21">
            <v>5.7990705274501551</v>
          </cell>
          <cell r="F21">
            <v>5.4508682088210385</v>
          </cell>
          <cell r="G21">
            <v>5.0304814629284067</v>
          </cell>
          <cell r="H21">
            <v>4.6073142469808248</v>
          </cell>
          <cell r="I21">
            <v>-1.6428809792106813E-2</v>
          </cell>
          <cell r="K21">
            <v>8.8527465686944709</v>
          </cell>
          <cell r="L21">
            <v>8.4461598209838691</v>
          </cell>
          <cell r="M21">
            <v>7.6950139844519345</v>
          </cell>
          <cell r="N21">
            <v>6.9681022643789428</v>
          </cell>
          <cell r="O21">
            <v>-1.3364390219966604E-2</v>
          </cell>
          <cell r="Q21">
            <v>13.413252376809806</v>
          </cell>
          <cell r="R21">
            <v>11.261546427978493</v>
          </cell>
          <cell r="S21">
            <v>10.260018645935912</v>
          </cell>
          <cell r="T21">
            <v>9.2908030191719249</v>
          </cell>
          <cell r="U21">
            <v>2.9585842206757418E-2</v>
          </cell>
          <cell r="W21" t="str">
            <v>€ 15.1</v>
          </cell>
          <cell r="X21" t="str">
            <v>Telekom Austria</v>
          </cell>
        </row>
        <row r="22">
          <cell r="B22" t="str">
            <v>Telenor</v>
          </cell>
          <cell r="C22" t="str">
            <v>NOK58.3</v>
          </cell>
          <cell r="E22">
            <v>5.6029921659985265</v>
          </cell>
          <cell r="F22">
            <v>4.5224217609728967</v>
          </cell>
          <cell r="G22">
            <v>3.7682073617820047</v>
          </cell>
          <cell r="H22">
            <v>3.2229556474874972</v>
          </cell>
          <cell r="I22">
            <v>0.10053705820624415</v>
          </cell>
          <cell r="K22">
            <v>14.307596960835763</v>
          </cell>
          <cell r="L22">
            <v>10.831141413437619</v>
          </cell>
          <cell r="M22">
            <v>6.6437945727516343</v>
          </cell>
          <cell r="N22">
            <v>5.2019020643152949</v>
          </cell>
          <cell r="O22">
            <v>0.28238260316982156</v>
          </cell>
          <cell r="Q22">
            <v>20.735647769327194</v>
          </cell>
          <cell r="R22">
            <v>15.697306396286406</v>
          </cell>
          <cell r="S22">
            <v>9.6286877865965721</v>
          </cell>
          <cell r="T22">
            <v>7.538988499007675</v>
          </cell>
          <cell r="U22">
            <v>0.28238260316982156</v>
          </cell>
          <cell r="W22" t="str">
            <v>NOK58.3</v>
          </cell>
          <cell r="X22" t="str">
            <v>Telenor</v>
          </cell>
        </row>
        <row r="23">
          <cell r="B23" t="str">
            <v>TeliaSonera</v>
          </cell>
          <cell r="C23" t="str">
            <v>SEK40.6</v>
          </cell>
          <cell r="E23">
            <v>5.9615196629623588</v>
          </cell>
          <cell r="F23">
            <v>5.2979779515712044</v>
          </cell>
          <cell r="G23">
            <v>4.786185268087551</v>
          </cell>
          <cell r="H23">
            <v>4.366277831623262</v>
          </cell>
          <cell r="I23">
            <v>9.9036866901673903E-3</v>
          </cell>
          <cell r="K23">
            <v>9.1025941101192931</v>
          </cell>
          <cell r="L23">
            <v>8.0284899591103702</v>
          </cell>
          <cell r="M23">
            <v>7.1280639275279478</v>
          </cell>
          <cell r="N23">
            <v>6.4284432645096583</v>
          </cell>
          <cell r="O23">
            <v>2.2236084154617197E-2</v>
          </cell>
          <cell r="Q23">
            <v>12.642491819610129</v>
          </cell>
          <cell r="R23">
            <v>11.150680498764403</v>
          </cell>
          <cell r="S23">
            <v>9.9000887882332602</v>
          </cell>
          <cell r="T23">
            <v>8.9283934229300819</v>
          </cell>
          <cell r="U23">
            <v>2.2236084154617197E-2</v>
          </cell>
          <cell r="W23" t="str">
            <v>SEK40.6</v>
          </cell>
          <cell r="X23" t="str">
            <v>TeliaSonera</v>
          </cell>
        </row>
        <row r="24">
          <cell r="B24" t="str">
            <v>Aggregate incumbent</v>
          </cell>
          <cell r="E24">
            <v>6.0706389995521564</v>
          </cell>
          <cell r="F24">
            <v>5.4340982259130666</v>
          </cell>
          <cell r="G24">
            <v>4.9474451515103075</v>
          </cell>
          <cell r="H24">
            <v>4.5138660970284787</v>
          </cell>
          <cell r="I24">
            <v>2.9135529154787898E-2</v>
          </cell>
          <cell r="K24">
            <v>9.2404327766745364</v>
          </cell>
          <cell r="L24">
            <v>8.2674203223235274</v>
          </cell>
          <cell r="M24">
            <v>7.4294784474800633</v>
          </cell>
          <cell r="N24">
            <v>6.7224633280020951</v>
          </cell>
          <cell r="O24">
            <v>3.6649517324081504E-2</v>
          </cell>
          <cell r="Q24">
            <v>14.20946561685647</v>
          </cell>
          <cell r="R24">
            <v>12.67865716362383</v>
          </cell>
          <cell r="S24">
            <v>11.357569191421321</v>
          </cell>
          <cell r="T24">
            <v>10.30383882454454</v>
          </cell>
          <cell r="U24">
            <v>3.7775840370818825E-2</v>
          </cell>
          <cell r="X24" t="str">
            <v>Aggregate incumbent</v>
          </cell>
        </row>
        <row r="26">
          <cell r="E26" t="str">
            <v>P/Adj E</v>
          </cell>
          <cell r="I26" t="str">
            <v>CAGR</v>
          </cell>
          <cell r="K26" t="str">
            <v>Dividend yield</v>
          </cell>
          <cell r="O26" t="str">
            <v>CAGR</v>
          </cell>
          <cell r="Q26" t="str">
            <v>EFCF yield</v>
          </cell>
          <cell r="U26" t="str">
            <v>CAGR</v>
          </cell>
        </row>
        <row r="27">
          <cell r="C27" t="str">
            <v>Price</v>
          </cell>
          <cell r="E27" t="str">
            <v>2004E</v>
          </cell>
          <cell r="F27" t="str">
            <v>2005E</v>
          </cell>
          <cell r="G27" t="str">
            <v>2006E</v>
          </cell>
          <cell r="H27" t="str">
            <v>2007E</v>
          </cell>
          <cell r="I27" t="str">
            <v>04E-07E</v>
          </cell>
          <cell r="K27" t="str">
            <v>2004E</v>
          </cell>
          <cell r="L27" t="str">
            <v>2005E</v>
          </cell>
          <cell r="M27" t="str">
            <v>2006E</v>
          </cell>
          <cell r="N27" t="str">
            <v>2007E</v>
          </cell>
          <cell r="O27" t="str">
            <v>04E-07E</v>
          </cell>
          <cell r="Q27" t="str">
            <v>2004E</v>
          </cell>
          <cell r="R27" t="str">
            <v>2005E</v>
          </cell>
          <cell r="S27" t="str">
            <v>2006E</v>
          </cell>
          <cell r="T27" t="str">
            <v>2007E</v>
          </cell>
          <cell r="U27" t="str">
            <v>04E-07E</v>
          </cell>
          <cell r="W27" t="str">
            <v>Price</v>
          </cell>
        </row>
        <row r="29">
          <cell r="B29" t="str">
            <v>Belgacom</v>
          </cell>
          <cell r="C29" t="str">
            <v>€ 32.1</v>
          </cell>
          <cell r="E29">
            <v>12.292566985114421</v>
          </cell>
          <cell r="F29">
            <v>12.443638886533771</v>
          </cell>
          <cell r="G29">
            <v>12.308507296971165</v>
          </cell>
          <cell r="H29">
            <v>12.592659902159046</v>
          </cell>
          <cell r="I29">
            <v>-8.0075431773994898E-3</v>
          </cell>
          <cell r="K29">
            <v>4.2990654205607472E-2</v>
          </cell>
          <cell r="L29">
            <v>4.3420560747663546E-2</v>
          </cell>
          <cell r="M29">
            <v>4.3420560747663546E-2</v>
          </cell>
          <cell r="N29">
            <v>4.3420560747663546E-2</v>
          </cell>
          <cell r="O29">
            <v>-5.4192419838705597E-3</v>
          </cell>
          <cell r="Q29">
            <v>9.6181967076959432E-2</v>
          </cell>
          <cell r="R29">
            <v>9.1744738329562453E-2</v>
          </cell>
          <cell r="S29">
            <v>8.7430571203315849E-2</v>
          </cell>
          <cell r="T29">
            <v>8.4587481889259006E-2</v>
          </cell>
          <cell r="U29">
            <v>-4.5209668879434228E-2</v>
          </cell>
          <cell r="W29" t="str">
            <v>€ 32.1</v>
          </cell>
          <cell r="X29" t="str">
            <v>Belgacom</v>
          </cell>
        </row>
        <row r="30">
          <cell r="B30" t="str">
            <v>British Telecom</v>
          </cell>
          <cell r="C30" t="str">
            <v>£ 2.05</v>
          </cell>
          <cell r="E30">
            <v>11.784559141136885</v>
          </cell>
          <cell r="F30">
            <v>11.481076692193652</v>
          </cell>
          <cell r="G30">
            <v>10.40845713678455</v>
          </cell>
          <cell r="H30">
            <v>10.301097456535148</v>
          </cell>
          <cell r="I30">
            <v>4.5867372662230066E-2</v>
          </cell>
          <cell r="K30">
            <v>4.953579752718161E-2</v>
          </cell>
          <cell r="L30">
            <v>5.3012070063411694E-2</v>
          </cell>
          <cell r="M30">
            <v>5.9848644385043476E-2</v>
          </cell>
          <cell r="N30">
            <v>6.0461386437078095E-2</v>
          </cell>
          <cell r="O30">
            <v>6.0213346616436958E-2</v>
          </cell>
          <cell r="Q30">
            <v>7.1304413110321804E-2</v>
          </cell>
          <cell r="R30">
            <v>8.1883511895448013E-2</v>
          </cell>
          <cell r="S30">
            <v>9.397075862694991E-2</v>
          </cell>
          <cell r="T30">
            <v>9.7282382807586068E-2</v>
          </cell>
          <cell r="U30">
            <v>9.7198992082693891E-2</v>
          </cell>
          <cell r="W30" t="str">
            <v>£ 2.05</v>
          </cell>
          <cell r="X30" t="str">
            <v>British Telecom</v>
          </cell>
        </row>
        <row r="31">
          <cell r="B31" t="str">
            <v>Deutsche Telekom</v>
          </cell>
          <cell r="C31" t="str">
            <v>€ 15.8</v>
          </cell>
          <cell r="E31">
            <v>13.426653131158311</v>
          </cell>
          <cell r="F31">
            <v>10.79537101423832</v>
          </cell>
          <cell r="G31">
            <v>10.166814670746771</v>
          </cell>
          <cell r="H31">
            <v>9.9233698133116164</v>
          </cell>
          <cell r="I31">
            <v>0.10603668266154243</v>
          </cell>
          <cell r="K31">
            <v>3.9141414141414144E-2</v>
          </cell>
          <cell r="L31">
            <v>4.4191919191919192E-2</v>
          </cell>
          <cell r="M31">
            <v>4.6401515151515152E-2</v>
          </cell>
          <cell r="N31">
            <v>4.7793560606060603E-2</v>
          </cell>
          <cell r="O31">
            <v>8.5146756031605264E-2</v>
          </cell>
          <cell r="Q31">
            <v>0.10266564711899359</v>
          </cell>
          <cell r="R31">
            <v>9.8935146404069432E-2</v>
          </cell>
          <cell r="S31">
            <v>9.7030286425015169E-2</v>
          </cell>
          <cell r="T31">
            <v>0.10083359926644142</v>
          </cell>
          <cell r="U31">
            <v>2.5551062000646274E-2</v>
          </cell>
          <cell r="W31" t="str">
            <v>€ 15.8</v>
          </cell>
          <cell r="X31" t="str">
            <v>Deutsche Telekom</v>
          </cell>
        </row>
        <row r="32">
          <cell r="B32" t="str">
            <v>Eircom</v>
          </cell>
          <cell r="C32" t="str">
            <v>€ 2.07</v>
          </cell>
          <cell r="E32">
            <v>10.651558130156518</v>
          </cell>
          <cell r="F32">
            <v>6.9763315654448768</v>
          </cell>
          <cell r="G32">
            <v>7.8682254759156942</v>
          </cell>
          <cell r="H32">
            <v>9.7845277913375668</v>
          </cell>
          <cell r="I32">
            <v>2.8705567349563088E-2</v>
          </cell>
          <cell r="K32">
            <v>5.3140096618357495E-2</v>
          </cell>
          <cell r="L32">
            <v>5.4202898550724646E-2</v>
          </cell>
          <cell r="M32">
            <v>5.5286956521739136E-2</v>
          </cell>
          <cell r="N32">
            <v>5.6392695652173926E-2</v>
          </cell>
          <cell r="O32">
            <v>2.0000000000000018E-2</v>
          </cell>
          <cell r="Q32">
            <v>0.14178114796997932</v>
          </cell>
          <cell r="R32">
            <v>0.13932509052272721</v>
          </cell>
          <cell r="S32">
            <v>0.12471356865190299</v>
          </cell>
          <cell r="T32">
            <v>0.1115434559867077</v>
          </cell>
          <cell r="U32">
            <v>-0.11260914295282631</v>
          </cell>
          <cell r="W32" t="str">
            <v>€ 2.07</v>
          </cell>
          <cell r="X32" t="str">
            <v>Eircom</v>
          </cell>
        </row>
        <row r="33">
          <cell r="B33" t="str">
            <v>France Telecom</v>
          </cell>
          <cell r="C33" t="str">
            <v>€ 23.5</v>
          </cell>
          <cell r="E33">
            <v>13.515751176147182</v>
          </cell>
          <cell r="F33">
            <v>11.339949875299148</v>
          </cell>
          <cell r="G33">
            <v>10.162562760951715</v>
          </cell>
          <cell r="H33">
            <v>9.3338360928790252</v>
          </cell>
          <cell r="I33">
            <v>0.13134051261740121</v>
          </cell>
          <cell r="K33">
            <v>2.0434227330779056E-2</v>
          </cell>
          <cell r="L33">
            <v>3.0651340996168584E-2</v>
          </cell>
          <cell r="M33">
            <v>4.2911877394636019E-2</v>
          </cell>
          <cell r="N33">
            <v>5.1494252873563219E-2</v>
          </cell>
          <cell r="O33">
            <v>0.36081842319067348</v>
          </cell>
          <cell r="Q33">
            <v>0.11100598477676785</v>
          </cell>
          <cell r="R33">
            <v>0.10411737122461781</v>
          </cell>
          <cell r="S33">
            <v>0.10121362991445754</v>
          </cell>
          <cell r="T33">
            <v>0.11066840969087967</v>
          </cell>
          <cell r="U33">
            <v>2.4762091436569822E-2</v>
          </cell>
          <cell r="W33" t="str">
            <v>€ 23.5</v>
          </cell>
          <cell r="X33" t="str">
            <v>France Telecom</v>
          </cell>
        </row>
        <row r="34">
          <cell r="B34" t="str">
            <v>KPN</v>
          </cell>
          <cell r="C34" t="str">
            <v>€ 7.2</v>
          </cell>
          <cell r="E34">
            <v>11.656588113310709</v>
          </cell>
          <cell r="F34">
            <v>11.829478682057163</v>
          </cell>
          <cell r="G34">
            <v>10.621205332978571</v>
          </cell>
          <cell r="H34">
            <v>9.6912209534858924</v>
          </cell>
          <cell r="I34">
            <v>6.3484060782771801E-2</v>
          </cell>
          <cell r="K34">
            <v>4.8951048951048945E-2</v>
          </cell>
          <cell r="L34">
            <v>5.1398601398601397E-2</v>
          </cell>
          <cell r="M34">
            <v>5.1398601398601397E-2</v>
          </cell>
          <cell r="N34">
            <v>5.1398601398601397E-2</v>
          </cell>
          <cell r="O34">
            <v>-4.8250180805397003E-3</v>
          </cell>
          <cell r="Q34">
            <v>0.10573706555058093</v>
          </cell>
          <cell r="R34">
            <v>0.10081949560638946</v>
          </cell>
          <cell r="S34">
            <v>0.10186325176164043</v>
          </cell>
          <cell r="T34">
            <v>0.10620627542739114</v>
          </cell>
          <cell r="U34">
            <v>-8.4016863307243561E-3</v>
          </cell>
          <cell r="W34" t="str">
            <v>€ 7.2</v>
          </cell>
          <cell r="X34" t="str">
            <v>KPN</v>
          </cell>
        </row>
        <row r="35">
          <cell r="B35" t="str">
            <v>OTE</v>
          </cell>
          <cell r="C35" t="str">
            <v>€ 15.0</v>
          </cell>
          <cell r="E35">
            <v>28.539768680820483</v>
          </cell>
          <cell r="F35">
            <v>19.74134218088972</v>
          </cell>
          <cell r="G35">
            <v>12.73519444129842</v>
          </cell>
          <cell r="H35">
            <v>10.83280325542448</v>
          </cell>
          <cell r="I35">
            <v>0.38113627203940736</v>
          </cell>
          <cell r="K35">
            <v>0</v>
          </cell>
          <cell r="L35">
            <v>0</v>
          </cell>
          <cell r="M35">
            <v>4.6666666666666662E-2</v>
          </cell>
          <cell r="N35">
            <v>4.6666666666666662E-2</v>
          </cell>
          <cell r="O35" t="str">
            <v>nm</v>
          </cell>
          <cell r="Q35">
            <v>4.3228812016129568E-2</v>
          </cell>
          <cell r="R35">
            <v>6.3692502512957744E-2</v>
          </cell>
          <cell r="S35">
            <v>8.7688247776549447E-2</v>
          </cell>
          <cell r="T35">
            <v>0.10082394543306741</v>
          </cell>
          <cell r="U35">
            <v>0.31180987165490026</v>
          </cell>
          <cell r="W35" t="str">
            <v>€ 15.0</v>
          </cell>
          <cell r="X35" t="str">
            <v>OTE</v>
          </cell>
        </row>
        <row r="36">
          <cell r="B36" t="str">
            <v>Portugal Telecom</v>
          </cell>
          <cell r="C36" t="str">
            <v>€ 9.2</v>
          </cell>
          <cell r="E36">
            <v>13.649733429262749</v>
          </cell>
          <cell r="F36">
            <v>10.675008809909183</v>
          </cell>
          <cell r="G36">
            <v>10.640309402152756</v>
          </cell>
          <cell r="H36">
            <v>10.090086743181251</v>
          </cell>
          <cell r="I36">
            <v>0.10596934648232037</v>
          </cell>
          <cell r="K36">
            <v>3.8167938931297711E-2</v>
          </cell>
          <cell r="L36">
            <v>4.1984732824427481E-2</v>
          </cell>
          <cell r="M36">
            <v>4.408396946564886E-2</v>
          </cell>
          <cell r="N36">
            <v>4.6288167938931306E-2</v>
          </cell>
          <cell r="O36">
            <v>4.5348220149283858E-2</v>
          </cell>
          <cell r="Q36">
            <v>8.9446278133328908E-2</v>
          </cell>
          <cell r="R36">
            <v>9.499657937196905E-2</v>
          </cell>
          <cell r="S36">
            <v>9.6577243157879647E-2</v>
          </cell>
          <cell r="T36">
            <v>0.10365538798486591</v>
          </cell>
          <cell r="U36">
            <v>2.246064616335941E-2</v>
          </cell>
          <cell r="W36" t="str">
            <v>€ 9.2</v>
          </cell>
          <cell r="X36" t="str">
            <v>Portugal Telecom</v>
          </cell>
        </row>
        <row r="37">
          <cell r="B37" t="str">
            <v>Swisscom</v>
          </cell>
          <cell r="C37" t="str">
            <v>CHF 454</v>
          </cell>
          <cell r="E37">
            <v>13.993704928276918</v>
          </cell>
          <cell r="F37">
            <v>13.458980807977104</v>
          </cell>
          <cell r="G37">
            <v>13.701266714658036</v>
          </cell>
          <cell r="H37">
            <v>13.884185968800161</v>
          </cell>
          <cell r="I37">
            <v>2.6224620317853997E-3</v>
          </cell>
          <cell r="K37">
            <v>2.9493392070484584E-2</v>
          </cell>
          <cell r="L37">
            <v>3.0378193832599119E-2</v>
          </cell>
          <cell r="M37">
            <v>3.1289539647577094E-2</v>
          </cell>
          <cell r="N37">
            <v>3.2228225837004403E-2</v>
          </cell>
          <cell r="O37">
            <v>3.0000000000000027E-2</v>
          </cell>
          <cell r="Q37">
            <v>8.2712824877263294E-2</v>
          </cell>
          <cell r="R37">
            <v>8.0711694798973443E-2</v>
          </cell>
          <cell r="S37">
            <v>7.852286948365185E-2</v>
          </cell>
          <cell r="T37">
            <v>7.6623677308888125E-2</v>
          </cell>
          <cell r="U37">
            <v>-2.5933477721718057E-2</v>
          </cell>
          <cell r="W37" t="str">
            <v>CHF 454</v>
          </cell>
          <cell r="X37" t="str">
            <v>Swisscom</v>
          </cell>
        </row>
        <row r="38">
          <cell r="B38" t="str">
            <v>TDC</v>
          </cell>
          <cell r="C38" t="str">
            <v>DKK 254.0</v>
          </cell>
          <cell r="E38">
            <v>13.466725778165321</v>
          </cell>
          <cell r="F38">
            <v>13.263427847092482</v>
          </cell>
          <cell r="G38">
            <v>12.074483081871136</v>
          </cell>
          <cell r="H38">
            <v>11.68748882731335</v>
          </cell>
          <cell r="I38">
            <v>4.8367629295201109E-2</v>
          </cell>
          <cell r="K38">
            <v>4.9212598425196853E-2</v>
          </cell>
          <cell r="L38">
            <v>5.1181102362204724E-2</v>
          </cell>
          <cell r="M38">
            <v>5.3149606299212601E-2</v>
          </cell>
          <cell r="N38">
            <v>5.5118110236220472E-2</v>
          </cell>
          <cell r="O38">
            <v>8.7353400620426847E-3</v>
          </cell>
          <cell r="Q38">
            <v>9.296907847958974E-2</v>
          </cell>
          <cell r="R38">
            <v>0.10379238021731155</v>
          </cell>
          <cell r="S38">
            <v>0.10159592705434632</v>
          </cell>
          <cell r="T38">
            <v>0.10053851568815522</v>
          </cell>
          <cell r="U38">
            <v>-2.4523672543933506E-3</v>
          </cell>
          <cell r="W38" t="str">
            <v>DKK 254.0</v>
          </cell>
          <cell r="X38" t="str">
            <v>TDC</v>
          </cell>
        </row>
        <row r="39">
          <cell r="B39" t="str">
            <v>Telecom Italia</v>
          </cell>
          <cell r="C39" t="str">
            <v>€ 2.9</v>
          </cell>
          <cell r="E39">
            <v>13.083637657091153</v>
          </cell>
          <cell r="F39">
            <v>12.834388234913309</v>
          </cell>
          <cell r="G39">
            <v>10.574174188851961</v>
          </cell>
          <cell r="H39">
            <v>10.043657603802536</v>
          </cell>
          <cell r="I39">
            <v>9.21413986374231E-2</v>
          </cell>
          <cell r="K39">
            <v>3.5834767641996557E-2</v>
          </cell>
          <cell r="L39">
            <v>3.7624784853700514E-2</v>
          </cell>
          <cell r="M39">
            <v>3.7624784853700514E-2</v>
          </cell>
          <cell r="N39">
            <v>3.9506024096385546E-2</v>
          </cell>
          <cell r="O39">
            <v>0.10740094093535379</v>
          </cell>
          <cell r="Q39">
            <v>8.295377120469602E-2</v>
          </cell>
          <cell r="R39">
            <v>9.6515509115899151E-2</v>
          </cell>
          <cell r="S39">
            <v>0.10578922007990813</v>
          </cell>
          <cell r="T39">
            <v>0.1067617190211185</v>
          </cell>
          <cell r="U39">
            <v>0.14881019351794378</v>
          </cell>
          <cell r="W39" t="str">
            <v>€ 2.9</v>
          </cell>
          <cell r="X39" t="str">
            <v>Telecom Italia</v>
          </cell>
        </row>
        <row r="40">
          <cell r="B40" t="str">
            <v>Telefonica</v>
          </cell>
          <cell r="C40" t="str">
            <v>€ 14.1</v>
          </cell>
          <cell r="E40">
            <v>19.745392824435264</v>
          </cell>
          <cell r="F40">
            <v>16.867904193188743</v>
          </cell>
          <cell r="G40">
            <v>13.378055116782186</v>
          </cell>
          <cell r="H40">
            <v>11.825351089071324</v>
          </cell>
          <cell r="I40">
            <v>0.18636204749408125</v>
          </cell>
          <cell r="K40">
            <v>3.5410764872521247E-2</v>
          </cell>
          <cell r="L40">
            <v>3.5410764872521247E-2</v>
          </cell>
          <cell r="M40">
            <v>3.5410764872521247E-2</v>
          </cell>
          <cell r="N40">
            <v>3.7181303116147313E-2</v>
          </cell>
          <cell r="O40">
            <v>1.0471306850720508E-2</v>
          </cell>
          <cell r="Q40">
            <v>9.0593514689164059E-2</v>
          </cell>
          <cell r="R40">
            <v>0.10661827356256622</v>
          </cell>
          <cell r="S40">
            <v>0.11362214781335736</v>
          </cell>
          <cell r="T40">
            <v>0.11798946228695306</v>
          </cell>
          <cell r="U40">
            <v>0.10185795216388094</v>
          </cell>
          <cell r="W40" t="str">
            <v>€ 14.1</v>
          </cell>
          <cell r="X40" t="str">
            <v>Telefonica</v>
          </cell>
        </row>
        <row r="41">
          <cell r="B41" t="str">
            <v>Telekom Austria</v>
          </cell>
          <cell r="C41" t="str">
            <v>€ 15.1</v>
          </cell>
          <cell r="E41">
            <v>22.750596906309053</v>
          </cell>
          <cell r="F41">
            <v>17.861631991937209</v>
          </cell>
          <cell r="G41">
            <v>15.271411995488203</v>
          </cell>
          <cell r="H41">
            <v>13.693322372377102</v>
          </cell>
          <cell r="I41">
            <v>0.18438978855157728</v>
          </cell>
          <cell r="K41">
            <v>1.5496688741721856E-2</v>
          </cell>
          <cell r="L41">
            <v>2.3245033112582785E-2</v>
          </cell>
          <cell r="M41">
            <v>3.021854304635762E-2</v>
          </cell>
          <cell r="N41">
            <v>3.6262251655629144E-2</v>
          </cell>
          <cell r="O41">
            <v>0.32761439426177286</v>
          </cell>
          <cell r="Q41">
            <v>0.11750414482158776</v>
          </cell>
          <cell r="R41">
            <v>0.11607876573407667</v>
          </cell>
          <cell r="S41">
            <v>0.11638489314154249</v>
          </cell>
          <cell r="T41">
            <v>0.11724863379248361</v>
          </cell>
          <cell r="U41">
            <v>8.7174444493587355E-3</v>
          </cell>
          <cell r="W41" t="str">
            <v>€ 15.1</v>
          </cell>
          <cell r="X41" t="str">
            <v>Telekom Austria</v>
          </cell>
        </row>
        <row r="42">
          <cell r="B42" t="str">
            <v>Telenor</v>
          </cell>
          <cell r="C42" t="str">
            <v>NOK58.3</v>
          </cell>
          <cell r="E42">
            <v>12.691744019146133</v>
          </cell>
          <cell r="F42">
            <v>11.115479346521106</v>
          </cell>
          <cell r="G42">
            <v>9.1798280591166144</v>
          </cell>
          <cell r="H42">
            <v>8.4641002986092584</v>
          </cell>
          <cell r="I42">
            <v>0.14458179596512077</v>
          </cell>
          <cell r="K42">
            <v>2.575107296137339E-2</v>
          </cell>
          <cell r="L42">
            <v>2.7038626609442059E-2</v>
          </cell>
          <cell r="M42">
            <v>3.2446351931330469E-2</v>
          </cell>
          <cell r="N42">
            <v>3.893562231759657E-2</v>
          </cell>
          <cell r="O42">
            <v>0.14393734857598695</v>
          </cell>
          <cell r="Q42">
            <v>5.8175326649065953E-2</v>
          </cell>
          <cell r="R42">
            <v>5.0674507969410074E-2</v>
          </cell>
          <cell r="S42">
            <v>9.4736738302585263E-2</v>
          </cell>
          <cell r="T42">
            <v>0.11560077732043053</v>
          </cell>
          <cell r="U42">
            <v>0.25909483168162528</v>
          </cell>
          <cell r="W42" t="str">
            <v>NOK58.3</v>
          </cell>
          <cell r="X42" t="str">
            <v>Telenor</v>
          </cell>
        </row>
        <row r="43">
          <cell r="B43" t="str">
            <v>TeliaSonera</v>
          </cell>
          <cell r="C43" t="str">
            <v>SEK40.6</v>
          </cell>
          <cell r="E43">
            <v>13.01032363134045</v>
          </cell>
          <cell r="F43">
            <v>13.040728011569163</v>
          </cell>
          <cell r="G43">
            <v>11.854173250753657</v>
          </cell>
          <cell r="H43">
            <v>10.985157624742458</v>
          </cell>
          <cell r="I43">
            <v>5.8020141925805735E-2</v>
          </cell>
          <cell r="K43">
            <v>2.9556650246305417E-2</v>
          </cell>
          <cell r="L43">
            <v>3.1034482758620689E-2</v>
          </cell>
          <cell r="M43">
            <v>3.2586206896551728E-2</v>
          </cell>
          <cell r="N43">
            <v>3.421551724137932E-2</v>
          </cell>
          <cell r="O43">
            <v>-9.449350600584272E-3</v>
          </cell>
          <cell r="Q43">
            <v>7.3264553420673312E-2</v>
          </cell>
          <cell r="R43">
            <v>8.2234125362767446E-2</v>
          </cell>
          <cell r="S43">
            <v>9.0076890303205745E-2</v>
          </cell>
          <cell r="T43">
            <v>9.6513866711609234E-2</v>
          </cell>
          <cell r="U43">
            <v>2.0700205271858785E-2</v>
          </cell>
          <cell r="W43" t="str">
            <v>SEK40.6</v>
          </cell>
          <cell r="X43" t="str">
            <v>TeliaSonera</v>
          </cell>
        </row>
        <row r="44">
          <cell r="B44" t="str">
            <v>Aggregate incumbent</v>
          </cell>
          <cell r="E44">
            <v>13.953685679806195</v>
          </cell>
          <cell r="F44">
            <v>12.391733208931878</v>
          </cell>
          <cell r="G44">
            <v>11.053939268096078</v>
          </cell>
          <cell r="H44">
            <v>10.357840859894841</v>
          </cell>
          <cell r="I44">
            <v>0.10658198731276114</v>
          </cell>
          <cell r="K44">
            <v>3.2711903104342632E-2</v>
          </cell>
          <cell r="L44">
            <v>3.6102431540785788E-2</v>
          </cell>
          <cell r="M44">
            <v>4.0336655869349099E-2</v>
          </cell>
          <cell r="N44">
            <v>4.3015804556870478E-2</v>
          </cell>
          <cell r="O44">
            <v>9.7701966903700477E-2</v>
          </cell>
          <cell r="Q44">
            <v>9.1433679036421245E-2</v>
          </cell>
          <cell r="R44">
            <v>9.5731856623089806E-2</v>
          </cell>
          <cell r="S44">
            <v>0.1005279302914408</v>
          </cell>
          <cell r="T44">
            <v>0.10523425331473223</v>
          </cell>
          <cell r="U44">
            <v>6.057860045031771E-2</v>
          </cell>
          <cell r="X44" t="str">
            <v>Aggregate incumbent</v>
          </cell>
        </row>
        <row r="46">
          <cell r="E46" t="str">
            <v>EV/Invested capital</v>
          </cell>
          <cell r="I46" t="str">
            <v>CAGR</v>
          </cell>
          <cell r="K46" t="str">
            <v>EV/Revenue</v>
          </cell>
          <cell r="O46" t="str">
            <v>CAGR</v>
          </cell>
          <cell r="Q46" t="str">
            <v>EV/NFA</v>
          </cell>
          <cell r="U46" t="str">
            <v>CAGR</v>
          </cell>
        </row>
        <row r="47">
          <cell r="C47" t="str">
            <v>Price</v>
          </cell>
          <cell r="E47" t="str">
            <v>2004E</v>
          </cell>
          <cell r="F47" t="str">
            <v>2005E</v>
          </cell>
          <cell r="G47" t="str">
            <v>2006E</v>
          </cell>
          <cell r="H47" t="str">
            <v>2007E</v>
          </cell>
          <cell r="I47" t="str">
            <v>04E-07E</v>
          </cell>
          <cell r="K47" t="str">
            <v>2004E</v>
          </cell>
          <cell r="L47" t="str">
            <v>2005E</v>
          </cell>
          <cell r="M47" t="str">
            <v>2006E</v>
          </cell>
          <cell r="N47" t="str">
            <v>2007E</v>
          </cell>
          <cell r="O47" t="str">
            <v>04E-07E</v>
          </cell>
          <cell r="Q47" t="str">
            <v>2004E</v>
          </cell>
          <cell r="R47" t="str">
            <v>2005E</v>
          </cell>
          <cell r="S47" t="str">
            <v>2006E</v>
          </cell>
          <cell r="T47" t="str">
            <v>2007E</v>
          </cell>
          <cell r="U47" t="str">
            <v>04E-07E</v>
          </cell>
          <cell r="W47" t="str">
            <v>Price</v>
          </cell>
        </row>
        <row r="49">
          <cell r="B49" t="str">
            <v>Belgacom</v>
          </cell>
          <cell r="C49" t="str">
            <v>€ 32.1</v>
          </cell>
          <cell r="E49">
            <v>5.0581140348113687</v>
          </cell>
          <cell r="F49">
            <v>5.0840350330276047</v>
          </cell>
          <cell r="G49">
            <v>4.8072313052930502</v>
          </cell>
          <cell r="H49">
            <v>4.4017745966746267</v>
          </cell>
          <cell r="I49">
            <v>-3.5771127574697359E-2</v>
          </cell>
          <cell r="K49">
            <v>2.3008027739575181</v>
          </cell>
          <cell r="L49">
            <v>2.1612504305804068</v>
          </cell>
          <cell r="M49">
            <v>2.0422790861124982</v>
          </cell>
          <cell r="N49">
            <v>1.9341881751970775</v>
          </cell>
          <cell r="O49">
            <v>-2.4591021366347166E-2</v>
          </cell>
          <cell r="Q49">
            <v>4.7955031481281605</v>
          </cell>
          <cell r="R49">
            <v>4.566643120732925</v>
          </cell>
          <cell r="S49">
            <v>4.3703004217571939</v>
          </cell>
          <cell r="T49">
            <v>4.1525843418764481</v>
          </cell>
          <cell r="U49">
            <v>-3.4175023308552488E-2</v>
          </cell>
          <cell r="W49" t="str">
            <v>€ 32.1</v>
          </cell>
          <cell r="X49" t="str">
            <v>Belgacom</v>
          </cell>
        </row>
        <row r="50">
          <cell r="B50" t="str">
            <v>British Telecom</v>
          </cell>
          <cell r="C50" t="str">
            <v>£ 2.05</v>
          </cell>
          <cell r="E50">
            <v>6.1696801652110782</v>
          </cell>
          <cell r="F50">
            <v>6.789910863042933</v>
          </cell>
          <cell r="G50">
            <v>8.6179675243922862</v>
          </cell>
          <cell r="H50">
            <v>15.971984167530199</v>
          </cell>
          <cell r="I50">
            <v>-0.31734526777869554</v>
          </cell>
          <cell r="K50">
            <v>1.5960228813984163</v>
          </cell>
          <cell r="L50">
            <v>1.4544538184369278</v>
          </cell>
          <cell r="M50">
            <v>1.328216268077806</v>
          </cell>
          <cell r="N50">
            <v>1.2218718843647762</v>
          </cell>
          <cell r="O50">
            <v>2.4639260344688552E-2</v>
          </cell>
          <cell r="Q50">
            <v>1.839989388338547</v>
          </cell>
          <cell r="R50">
            <v>1.7341707990248185</v>
          </cell>
          <cell r="S50">
            <v>1.6325245543116351</v>
          </cell>
          <cell r="T50">
            <v>1.5326721340869163</v>
          </cell>
          <cell r="U50">
            <v>-3.7801350031392289E-3</v>
          </cell>
          <cell r="W50" t="str">
            <v>£ 2.05</v>
          </cell>
          <cell r="X50" t="str">
            <v>British Telecom</v>
          </cell>
        </row>
        <row r="51">
          <cell r="B51" t="str">
            <v>Deutsche Telekom</v>
          </cell>
          <cell r="C51" t="str">
            <v>€ 15.8</v>
          </cell>
          <cell r="E51">
            <v>1.3824763787831049</v>
          </cell>
          <cell r="F51">
            <v>1.4245711938022836</v>
          </cell>
          <cell r="G51">
            <v>1.4335267706152381</v>
          </cell>
          <cell r="H51">
            <v>1.4268650805382863</v>
          </cell>
          <cell r="I51">
            <v>-7.3484478672921738E-2</v>
          </cell>
          <cell r="K51">
            <v>1.7637799881627436</v>
          </cell>
          <cell r="L51">
            <v>1.6451145289295726</v>
          </cell>
          <cell r="M51">
            <v>1.5363905805883706</v>
          </cell>
          <cell r="N51">
            <v>1.4110426514115522</v>
          </cell>
          <cell r="O51">
            <v>8.6237393975885368E-3</v>
          </cell>
          <cell r="Q51">
            <v>2.2295707546706471</v>
          </cell>
          <cell r="R51">
            <v>2.1345136226137322</v>
          </cell>
          <cell r="S51">
            <v>1.9978813258745109</v>
          </cell>
          <cell r="T51">
            <v>1.8364146151940028</v>
          </cell>
          <cell r="U51">
            <v>-1.1247123606431542E-3</v>
          </cell>
          <cell r="W51" t="str">
            <v>€ 15.8</v>
          </cell>
          <cell r="X51" t="str">
            <v>Deutsche Telekom</v>
          </cell>
        </row>
        <row r="52">
          <cell r="B52" t="str">
            <v>Eircom</v>
          </cell>
          <cell r="C52" t="str">
            <v>€ 2.07</v>
          </cell>
          <cell r="E52">
            <v>1.5787155224565346</v>
          </cell>
          <cell r="F52">
            <v>1.4920313856784417</v>
          </cell>
          <cell r="G52">
            <v>1.4089011613119109</v>
          </cell>
          <cell r="H52">
            <v>1.3483959572580524</v>
          </cell>
          <cell r="I52">
            <v>-1.3308515136356225E-2</v>
          </cell>
          <cell r="K52">
            <v>2.2978135358602669</v>
          </cell>
          <cell r="L52">
            <v>2.2004167450961125</v>
          </cell>
          <cell r="M52">
            <v>2.156566921331267</v>
          </cell>
          <cell r="N52">
            <v>2.1297759572145463</v>
          </cell>
          <cell r="O52">
            <v>-3.9834297048993661E-2</v>
          </cell>
          <cell r="Q52">
            <v>1.8233364105976357</v>
          </cell>
          <cell r="R52">
            <v>1.7162682758389216</v>
          </cell>
          <cell r="S52">
            <v>1.6144228847324624</v>
          </cell>
          <cell r="T52">
            <v>1.5325510542679712</v>
          </cell>
          <cell r="U52">
            <v>-8.0193844901970124E-3</v>
          </cell>
          <cell r="W52" t="str">
            <v>€ 2.07</v>
          </cell>
          <cell r="X52" t="str">
            <v>Eircom</v>
          </cell>
        </row>
        <row r="53">
          <cell r="B53" t="str">
            <v>France Telecom</v>
          </cell>
          <cell r="C53" t="str">
            <v>€ 23.5</v>
          </cell>
          <cell r="E53">
            <v>1.793618448132517</v>
          </cell>
          <cell r="F53">
            <v>1.8181678940438539</v>
          </cell>
          <cell r="G53">
            <v>1.8209241359209924</v>
          </cell>
          <cell r="H53">
            <v>1.7403205472041698</v>
          </cell>
          <cell r="I53">
            <v>-5.8655252869562191E-2</v>
          </cell>
          <cell r="K53">
            <v>2.4217804777980638</v>
          </cell>
          <cell r="L53">
            <v>2.172913174453222</v>
          </cell>
          <cell r="M53">
            <v>2.0167022602163627</v>
          </cell>
          <cell r="N53">
            <v>1.8629848173401606</v>
          </cell>
          <cell r="O53">
            <v>1.708422435061685E-2</v>
          </cell>
          <cell r="Q53">
            <v>3.9333705383703759</v>
          </cell>
          <cell r="R53">
            <v>3.7946690692092955</v>
          </cell>
          <cell r="S53">
            <v>3.5720334570267882</v>
          </cell>
          <cell r="T53">
            <v>3.3188581871511564</v>
          </cell>
          <cell r="U53">
            <v>-1.3779966438909219E-2</v>
          </cell>
          <cell r="W53" t="str">
            <v>€ 23.5</v>
          </cell>
          <cell r="X53" t="str">
            <v>France Telecom</v>
          </cell>
        </row>
        <row r="54">
          <cell r="B54" t="str">
            <v>KPN</v>
          </cell>
          <cell r="C54" t="str">
            <v>€ 7.2</v>
          </cell>
          <cell r="E54">
            <v>1.64732500583941</v>
          </cell>
          <cell r="F54">
            <v>1.6161335279939388</v>
          </cell>
          <cell r="G54">
            <v>1.5637327143241098</v>
          </cell>
          <cell r="H54">
            <v>1.4728128486807526</v>
          </cell>
          <cell r="I54">
            <v>-3.7937093088969975E-2</v>
          </cell>
          <cell r="K54">
            <v>2.0305065321852531</v>
          </cell>
          <cell r="L54">
            <v>1.9170077800231671</v>
          </cell>
          <cell r="M54">
            <v>1.8276502399855292</v>
          </cell>
          <cell r="N54">
            <v>1.7016283817330116</v>
          </cell>
          <cell r="O54">
            <v>-1.6956389011091866E-2</v>
          </cell>
          <cell r="Q54">
            <v>2.7775927420739905</v>
          </cell>
          <cell r="R54">
            <v>2.6375039689895923</v>
          </cell>
          <cell r="S54">
            <v>2.51660667299761</v>
          </cell>
          <cell r="T54">
            <v>2.3714018075941428</v>
          </cell>
          <cell r="U54">
            <v>-2.303118268657689E-2</v>
          </cell>
          <cell r="W54" t="str">
            <v>€ 7.2</v>
          </cell>
          <cell r="X54" t="str">
            <v>KPN</v>
          </cell>
        </row>
        <row r="55">
          <cell r="B55" t="str">
            <v>OTE</v>
          </cell>
          <cell r="C55" t="str">
            <v>€ 15.0</v>
          </cell>
          <cell r="E55">
            <v>1.9562870552510532</v>
          </cell>
          <cell r="F55">
            <v>1.9854412899263623</v>
          </cell>
          <cell r="G55">
            <v>1.8994441885716604</v>
          </cell>
          <cell r="H55">
            <v>1.7417210896460258</v>
          </cell>
          <cell r="I55">
            <v>-3.0949698373420986E-2</v>
          </cell>
          <cell r="K55">
            <v>2.7678562691969457</v>
          </cell>
          <cell r="L55">
            <v>2.5862573500141925</v>
          </cell>
          <cell r="M55">
            <v>2.3597394091269219</v>
          </cell>
          <cell r="N55">
            <v>2.1546127697746429</v>
          </cell>
          <cell r="O55">
            <v>1.341290966793296E-2</v>
          </cell>
          <cell r="Q55">
            <v>2.0521778832724573</v>
          </cell>
          <cell r="R55">
            <v>2.0029816207053739</v>
          </cell>
          <cell r="S55">
            <v>1.8997656949489981</v>
          </cell>
          <cell r="T55">
            <v>1.8176350483426442</v>
          </cell>
          <cell r="U55">
            <v>-2.9271525559107614E-2</v>
          </cell>
          <cell r="W55" t="str">
            <v>€ 15.0</v>
          </cell>
          <cell r="X55" t="str">
            <v>OTE</v>
          </cell>
        </row>
        <row r="56">
          <cell r="B56" t="str">
            <v>Portugal Telecom</v>
          </cell>
          <cell r="C56" t="str">
            <v>€ 9.2</v>
          </cell>
          <cell r="E56">
            <v>2.6475834576379609</v>
          </cell>
          <cell r="F56">
            <v>2.4221089576194346</v>
          </cell>
          <cell r="G56">
            <v>2.3010772692628771</v>
          </cell>
          <cell r="H56">
            <v>2.1776311208751165</v>
          </cell>
          <cell r="I56">
            <v>-1.3381934832166209E-3</v>
          </cell>
          <cell r="K56">
            <v>2.8167932237718611</v>
          </cell>
          <cell r="L56">
            <v>2.5242444814484228</v>
          </cell>
          <cell r="M56">
            <v>2.4379678216937921</v>
          </cell>
          <cell r="N56">
            <v>2.2134075224449119</v>
          </cell>
          <cell r="O56">
            <v>1.3976417428929189E-2</v>
          </cell>
          <cell r="Q56">
            <v>4.1763136549351936</v>
          </cell>
          <cell r="R56">
            <v>3.780962829849515</v>
          </cell>
          <cell r="S56">
            <v>3.543165634937449</v>
          </cell>
          <cell r="T56">
            <v>3.2862518947489598</v>
          </cell>
          <cell r="U56">
            <v>1.3508539226994465E-2</v>
          </cell>
          <cell r="W56" t="str">
            <v>€ 9.2</v>
          </cell>
          <cell r="X56" t="str">
            <v>Portugal Telecom</v>
          </cell>
        </row>
        <row r="57">
          <cell r="B57" t="str">
            <v>Swisscom</v>
          </cell>
          <cell r="C57" t="str">
            <v>CHF 454</v>
          </cell>
          <cell r="E57">
            <v>5.4013006205283576</v>
          </cell>
          <cell r="F57">
            <v>5.2669264649143077</v>
          </cell>
          <cell r="G57">
            <v>5.0788834430195084</v>
          </cell>
          <cell r="H57">
            <v>4.8351375322408865</v>
          </cell>
          <cell r="I57">
            <v>-4.4425696681835602E-2</v>
          </cell>
          <cell r="K57">
            <v>2.9436072554243791</v>
          </cell>
          <cell r="L57">
            <v>2.7495254972045275</v>
          </cell>
          <cell r="M57">
            <v>2.5818841466956917</v>
          </cell>
          <cell r="N57">
            <v>2.4120952396194877</v>
          </cell>
          <cell r="O57">
            <v>-1.5845926764841312E-2</v>
          </cell>
          <cell r="Q57">
            <v>4.4525040923946433</v>
          </cell>
          <cell r="R57">
            <v>4.2171932959321774</v>
          </cell>
          <cell r="S57">
            <v>3.9696916709509429</v>
          </cell>
          <cell r="T57">
            <v>3.7070993141283619</v>
          </cell>
          <cell r="U57">
            <v>-2.1055677494389857E-2</v>
          </cell>
          <cell r="W57" t="str">
            <v>CHF 454</v>
          </cell>
          <cell r="X57" t="str">
            <v>Swisscom</v>
          </cell>
        </row>
        <row r="58">
          <cell r="B58" t="str">
            <v>TDC</v>
          </cell>
          <cell r="C58" t="str">
            <v>DKK 254.0</v>
          </cell>
          <cell r="E58">
            <v>1.2590213708177684</v>
          </cell>
          <cell r="F58">
            <v>1.1160765395579866</v>
          </cell>
          <cell r="G58">
            <v>1.0403379234861374</v>
          </cell>
          <cell r="H58">
            <v>0.96146633055933617</v>
          </cell>
          <cell r="I58">
            <v>-2.7146061209304406E-3</v>
          </cell>
          <cell r="K58">
            <v>1.5654602061768956</v>
          </cell>
          <cell r="L58">
            <v>1.3050454608195492</v>
          </cell>
          <cell r="M58">
            <v>1.2153276503208916</v>
          </cell>
          <cell r="N58">
            <v>1.1257016289335509</v>
          </cell>
          <cell r="O58">
            <v>1.7480349625438096E-2</v>
          </cell>
          <cell r="Q58">
            <v>2.689293083335051</v>
          </cell>
          <cell r="R58">
            <v>2.3501905443045934</v>
          </cell>
          <cell r="S58">
            <v>2.190441435439435</v>
          </cell>
          <cell r="T58">
            <v>2.039524498895958</v>
          </cell>
          <cell r="U58">
            <v>-4.0781039318771306E-4</v>
          </cell>
          <cell r="W58" t="str">
            <v>DKK 254.0</v>
          </cell>
          <cell r="X58" t="str">
            <v>TDC</v>
          </cell>
        </row>
        <row r="59">
          <cell r="B59" t="str">
            <v>Telecom Italia</v>
          </cell>
          <cell r="C59" t="str">
            <v>€ 2.9</v>
          </cell>
          <cell r="E59">
            <v>1.8607017707536297</v>
          </cell>
          <cell r="F59">
            <v>1.3572800809284364</v>
          </cell>
          <cell r="G59">
            <v>1.3330619183921566</v>
          </cell>
          <cell r="H59">
            <v>1.3077349050078126</v>
          </cell>
          <cell r="I59">
            <v>7.048596329424317E-2</v>
          </cell>
          <cell r="K59">
            <v>2.9417879265383071</v>
          </cell>
          <cell r="L59">
            <v>2.7928143999948207</v>
          </cell>
          <cell r="M59">
            <v>2.5666482142424756</v>
          </cell>
          <cell r="N59">
            <v>2.3656641400813743</v>
          </cell>
          <cell r="O59">
            <v>2.3484767501466886E-2</v>
          </cell>
          <cell r="Q59">
            <v>3.8745469267309147</v>
          </cell>
          <cell r="R59">
            <v>4.1375622175907578</v>
          </cell>
          <cell r="S59">
            <v>4.2949575519494312</v>
          </cell>
          <cell r="T59">
            <v>4.4314857266361987</v>
          </cell>
          <cell r="U59">
            <v>-8.9906913227962293E-2</v>
          </cell>
          <cell r="W59" t="str">
            <v>€ 2.9</v>
          </cell>
          <cell r="X59" t="str">
            <v>Telecom Italia</v>
          </cell>
        </row>
        <row r="60">
          <cell r="B60" t="str">
            <v>Telefonica</v>
          </cell>
          <cell r="C60" t="str">
            <v>€ 14.1</v>
          </cell>
          <cell r="E60">
            <v>2.1733997768052618</v>
          </cell>
          <cell r="F60">
            <v>2.2068287877366255</v>
          </cell>
          <cell r="G60">
            <v>2.2579608789622552</v>
          </cell>
          <cell r="H60">
            <v>2.2683933202024469</v>
          </cell>
          <cell r="I60">
            <v>-9.0586925643158178E-2</v>
          </cell>
          <cell r="K60">
            <v>3.0807892862557242</v>
          </cell>
          <cell r="L60">
            <v>2.537719362326655</v>
          </cell>
          <cell r="M60">
            <v>2.246609877575215</v>
          </cell>
          <cell r="N60">
            <v>1.9722416125984841</v>
          </cell>
          <cell r="O60">
            <v>7.0339122940753063E-2</v>
          </cell>
          <cell r="Q60">
            <v>4.0011775958794766</v>
          </cell>
          <cell r="R60">
            <v>4.1243626762753127</v>
          </cell>
          <cell r="S60">
            <v>4.1009392033993164</v>
          </cell>
          <cell r="T60">
            <v>3.9941400101493141</v>
          </cell>
          <cell r="U60">
            <v>-7.6984582136493396E-2</v>
          </cell>
          <cell r="W60" t="str">
            <v>€ 14.1</v>
          </cell>
          <cell r="X60" t="str">
            <v>Telefonica</v>
          </cell>
        </row>
        <row r="61">
          <cell r="B61" t="str">
            <v>Telekom Austria</v>
          </cell>
          <cell r="C61" t="str">
            <v>€ 15.1</v>
          </cell>
          <cell r="E61">
            <v>1.9407507185325283</v>
          </cell>
          <cell r="F61">
            <v>2.0183004510261879</v>
          </cell>
          <cell r="G61">
            <v>2.0691120768964555</v>
          </cell>
          <cell r="H61">
            <v>2.053925875692201</v>
          </cell>
          <cell r="I61">
            <v>-0.10608283396364737</v>
          </cell>
          <cell r="K61">
            <v>2.3328382625984232</v>
          </cell>
          <cell r="L61">
            <v>2.172127504983338</v>
          </cell>
          <cell r="M61">
            <v>1.9840071646777298</v>
          </cell>
          <cell r="N61">
            <v>1.7938999479884765</v>
          </cell>
          <cell r="O61">
            <v>-5.6687586461606765E-3</v>
          </cell>
          <cell r="Q61">
            <v>2.3678007473243809</v>
          </cell>
          <cell r="R61">
            <v>2.4498956304304662</v>
          </cell>
          <cell r="S61">
            <v>2.4869180592261464</v>
          </cell>
          <cell r="T61">
            <v>2.4880647118990353</v>
          </cell>
          <cell r="U61">
            <v>-0.10395440755244711</v>
          </cell>
          <cell r="W61" t="str">
            <v>€ 15.1</v>
          </cell>
          <cell r="X61" t="str">
            <v>Telekom Austria</v>
          </cell>
        </row>
        <row r="62">
          <cell r="B62" t="str">
            <v>Telenor</v>
          </cell>
          <cell r="C62" t="str">
            <v>NOK58.3</v>
          </cell>
          <cell r="E62">
            <v>1.9371371040610592</v>
          </cell>
          <cell r="F62">
            <v>1.7460413361002451</v>
          </cell>
          <cell r="G62">
            <v>1.5289418352390183</v>
          </cell>
          <cell r="H62">
            <v>1.3206252616064769</v>
          </cell>
          <cell r="I62">
            <v>3.9943381821393897E-2</v>
          </cell>
          <cell r="K62">
            <v>1.9216212997822713</v>
          </cell>
          <cell r="L62">
            <v>1.6496351624957317</v>
          </cell>
          <cell r="M62">
            <v>1.3999229468070538</v>
          </cell>
          <cell r="N62">
            <v>1.2027733006285042</v>
          </cell>
          <cell r="O62">
            <v>6.9984411750646069E-2</v>
          </cell>
          <cell r="Q62">
            <v>3.1416804186679026</v>
          </cell>
          <cell r="R62">
            <v>2.2451503662243972</v>
          </cell>
          <cell r="S62">
            <v>1.9457389500547857</v>
          </cell>
          <cell r="T62">
            <v>1.6790762847418479</v>
          </cell>
          <cell r="U62">
            <v>0.1278377707821956</v>
          </cell>
          <cell r="W62" t="str">
            <v>NOK58.3</v>
          </cell>
          <cell r="X62" t="str">
            <v>Telenor</v>
          </cell>
        </row>
        <row r="63">
          <cell r="B63" t="str">
            <v>TeliaSonera</v>
          </cell>
          <cell r="C63" t="str">
            <v>SEK40.6</v>
          </cell>
          <cell r="E63">
            <v>1.3137013552133245</v>
          </cell>
          <cell r="F63">
            <v>1.2064868369401636</v>
          </cell>
          <cell r="G63">
            <v>1.089447422201997</v>
          </cell>
          <cell r="H63">
            <v>0.97385022272659993</v>
          </cell>
          <cell r="I63">
            <v>5.8492884260146205E-3</v>
          </cell>
          <cell r="K63">
            <v>2.1833028063777591</v>
          </cell>
          <cell r="L63">
            <v>1.8875037835624651</v>
          </cell>
          <cell r="M63">
            <v>1.7310444696050575</v>
          </cell>
          <cell r="N63">
            <v>1.5792901745136587</v>
          </cell>
          <cell r="O63">
            <v>1.4103074851949282E-2</v>
          </cell>
          <cell r="Q63">
            <v>3.7628472097550474</v>
          </cell>
          <cell r="R63">
            <v>3.5066298450141269</v>
          </cell>
          <cell r="S63">
            <v>3.2321432223206559</v>
          </cell>
          <cell r="T63">
            <v>2.9400533953886607</v>
          </cell>
          <cell r="U63">
            <v>-1.1632305399059351E-2</v>
          </cell>
          <cell r="W63" t="str">
            <v>SEK40.6</v>
          </cell>
          <cell r="X63" t="str">
            <v>TeliaSonera</v>
          </cell>
        </row>
        <row r="64">
          <cell r="B64" t="str">
            <v>Aggregate incumbent</v>
          </cell>
          <cell r="E64">
            <v>1.9070261275395179</v>
          </cell>
          <cell r="F64">
            <v>1.7990176691762909</v>
          </cell>
          <cell r="G64">
            <v>1.7790730475795697</v>
          </cell>
          <cell r="H64">
            <v>1.7319350935592837</v>
          </cell>
          <cell r="I64">
            <v>-3.7237860394512268E-2</v>
          </cell>
          <cell r="K64">
            <v>2.2915886273632347</v>
          </cell>
          <cell r="L64">
            <v>2.075671499166301</v>
          </cell>
          <cell r="M64">
            <v>1.909941740895214</v>
          </cell>
          <cell r="N64">
            <v>1.7456893625105601</v>
          </cell>
          <cell r="O64">
            <v>2.0862436821804442E-2</v>
          </cell>
          <cell r="Q64">
            <v>3.0794047271953735</v>
          </cell>
          <cell r="R64">
            <v>2.9798018539718063</v>
          </cell>
          <cell r="S64">
            <v>2.8446994201312004</v>
          </cell>
          <cell r="T64">
            <v>2.682825687003572</v>
          </cell>
          <cell r="U64">
            <v>-2.380757833640057E-2</v>
          </cell>
          <cell r="X64" t="str">
            <v>Aggregate incumbent</v>
          </cell>
        </row>
      </sheetData>
      <sheetData sheetId="24"/>
      <sheetData sheetId="25">
        <row r="8">
          <cell r="H8" t="str">
            <v>CAGR</v>
          </cell>
          <cell r="Q8" t="str">
            <v>CAGR</v>
          </cell>
        </row>
        <row r="9">
          <cell r="B9" t="str">
            <v>EV CALCULATION (€m)</v>
          </cell>
          <cell r="D9" t="str">
            <v>2004E</v>
          </cell>
          <cell r="E9" t="str">
            <v>2005E</v>
          </cell>
          <cell r="F9" t="str">
            <v>2006E</v>
          </cell>
          <cell r="G9" t="str">
            <v>2007E</v>
          </cell>
          <cell r="H9" t="str">
            <v>04E-07E</v>
          </cell>
          <cell r="J9" t="str">
            <v>FINANCIALS (€m)</v>
          </cell>
          <cell r="L9" t="str">
            <v>2003A</v>
          </cell>
          <cell r="M9" t="str">
            <v>2004E</v>
          </cell>
          <cell r="N9" t="str">
            <v>2005E</v>
          </cell>
          <cell r="O9" t="str">
            <v>2006E</v>
          </cell>
          <cell r="P9" t="str">
            <v>2007E</v>
          </cell>
          <cell r="Q9" t="str">
            <v>04E-07E</v>
          </cell>
        </row>
        <row r="11">
          <cell r="B11" t="str">
            <v>Share price</v>
          </cell>
          <cell r="J11" t="str">
            <v>Revenue</v>
          </cell>
          <cell r="L11">
            <v>252518.75430124984</v>
          </cell>
          <cell r="M11">
            <v>256651.76068677488</v>
          </cell>
          <cell r="N11">
            <v>268062.79603734403</v>
          </cell>
          <cell r="O11">
            <v>271011.61689582962</v>
          </cell>
          <cell r="P11">
            <v>273052.35087694018</v>
          </cell>
          <cell r="Q11">
            <v>2.0862436821804442E-2</v>
          </cell>
        </row>
        <row r="12">
          <cell r="B12" t="str">
            <v>Number of shares</v>
          </cell>
          <cell r="J12" t="str">
            <v>EBITDA</v>
          </cell>
          <cell r="L12">
            <v>93984.847527506674</v>
          </cell>
          <cell r="M12">
            <v>96882.759133915257</v>
          </cell>
          <cell r="N12">
            <v>102392.39016112065</v>
          </cell>
          <cell r="O12">
            <v>104622.96872939254</v>
          </cell>
          <cell r="P12">
            <v>105600.07188697252</v>
          </cell>
          <cell r="Q12">
            <v>2.9135529154787898E-2</v>
          </cell>
        </row>
        <row r="13">
          <cell r="B13" t="str">
            <v>Market cap.</v>
          </cell>
          <cell r="D13">
            <v>374666.94115197554</v>
          </cell>
          <cell r="E13">
            <v>375766.48085818929</v>
          </cell>
          <cell r="F13">
            <v>377707.40221510205</v>
          </cell>
          <cell r="G13">
            <v>376856.89254979935</v>
          </cell>
          <cell r="J13" t="str">
            <v>Capex</v>
          </cell>
          <cell r="L13">
            <v>31386.854985116959</v>
          </cell>
          <cell r="M13">
            <v>33234.197405594889</v>
          </cell>
          <cell r="N13">
            <v>35090.827638753661</v>
          </cell>
          <cell r="O13">
            <v>34952.344736612373</v>
          </cell>
          <cell r="P13">
            <v>34693.833938622229</v>
          </cell>
          <cell r="Q13">
            <v>1.4430659904371534E-2</v>
          </cell>
        </row>
        <row r="14">
          <cell r="B14" t="str">
            <v>Plus: Net debt (Cash)</v>
          </cell>
          <cell r="D14">
            <v>165064.57867802845</v>
          </cell>
          <cell r="E14">
            <v>156377.69662690937</v>
          </cell>
          <cell r="F14">
            <v>126756.38111671428</v>
          </cell>
          <cell r="G14">
            <v>101521.74718671797</v>
          </cell>
          <cell r="J14" t="str">
            <v>OpFCF (EBITDA - capex)</v>
          </cell>
          <cell r="L14">
            <v>62597.992542389715</v>
          </cell>
          <cell r="M14">
            <v>63648.561728320354</v>
          </cell>
          <cell r="N14">
            <v>67301.562522366992</v>
          </cell>
          <cell r="O14">
            <v>69670.623992780165</v>
          </cell>
          <cell r="P14">
            <v>70906.237948350303</v>
          </cell>
          <cell r="Q14">
            <v>3.6649517324081504E-2</v>
          </cell>
        </row>
        <row r="15">
          <cell r="B15" t="str">
            <v>Plus: Other financial liabilities</v>
          </cell>
          <cell r="D15">
            <v>28298.350029806927</v>
          </cell>
          <cell r="E15">
            <v>26305.560489816729</v>
          </cell>
          <cell r="F15">
            <v>24154.671195267114</v>
          </cell>
          <cell r="G15">
            <v>22438.712716126513</v>
          </cell>
          <cell r="J15" t="str">
            <v>FCF (OpFCF * (1-tax rate))</v>
          </cell>
          <cell r="L15">
            <v>40384.738752409605</v>
          </cell>
          <cell r="M15">
            <v>41390.73712137789</v>
          </cell>
          <cell r="N15">
            <v>43885.586505007319</v>
          </cell>
          <cell r="O15">
            <v>45574.575919626994</v>
          </cell>
          <cell r="P15">
            <v>46260.873491045262</v>
          </cell>
          <cell r="Q15">
            <v>3.7775840370818825E-2</v>
          </cell>
        </row>
        <row r="16">
          <cell r="B16" t="str">
            <v>Less: Associates</v>
          </cell>
          <cell r="D16">
            <v>17614.39327405209</v>
          </cell>
          <cell r="E16">
            <v>17254.39327405209</v>
          </cell>
          <cell r="F16">
            <v>17254.39327405209</v>
          </cell>
          <cell r="G16">
            <v>17254.39327405209</v>
          </cell>
          <cell r="J16" t="str">
            <v>EFCF</v>
          </cell>
          <cell r="L16">
            <v>31228.451126506799</v>
          </cell>
          <cell r="M16">
            <v>33401.631707967354</v>
          </cell>
          <cell r="N16">
            <v>35622.292127084263</v>
          </cell>
          <cell r="O16">
            <v>37996.993000043105</v>
          </cell>
          <cell r="P16">
            <v>39847.058108082223</v>
          </cell>
          <cell r="Q16">
            <v>6.057860045031771E-2</v>
          </cell>
        </row>
        <row r="17">
          <cell r="B17" t="str">
            <v>Plus: Minorities</v>
          </cell>
          <cell r="D17">
            <v>54469.615749732387</v>
          </cell>
          <cell r="E17">
            <v>37148.127235650609</v>
          </cell>
          <cell r="F17">
            <v>37148.127235650609</v>
          </cell>
          <cell r="G17">
            <v>37148.127235650609</v>
          </cell>
          <cell r="J17" t="str">
            <v>Adj net Income</v>
          </cell>
          <cell r="L17">
            <v>22187.612868533517</v>
          </cell>
          <cell r="M17">
            <v>26850.751102570295</v>
          </cell>
          <cell r="N17">
            <v>30323.96473701833</v>
          </cell>
          <cell r="O17">
            <v>34169.484113708007</v>
          </cell>
          <cell r="P17">
            <v>36383.73070675131</v>
          </cell>
          <cell r="Q17">
            <v>0.10658198731276114</v>
          </cell>
        </row>
        <row r="18">
          <cell r="B18" t="str">
            <v>Less: Cumulative dividends</v>
          </cell>
          <cell r="D18">
            <v>61.69250049</v>
          </cell>
          <cell r="E18">
            <v>13105.631928378203</v>
          </cell>
          <cell r="F18">
            <v>27521.740150773556</v>
          </cell>
          <cell r="G18">
            <v>43676.980896077614</v>
          </cell>
          <cell r="J18" t="str">
            <v>Dividends</v>
          </cell>
          <cell r="L18">
            <v>6408.4659844085454</v>
          </cell>
          <cell r="M18">
            <v>12256.068675363866</v>
          </cell>
          <cell r="N18">
            <v>13566.083650504772</v>
          </cell>
          <cell r="O18">
            <v>15235.453502456396</v>
          </cell>
          <cell r="P18">
            <v>16210.802435831707</v>
          </cell>
          <cell r="Q18">
            <v>9.7701966903700477E-2</v>
          </cell>
        </row>
        <row r="19">
          <cell r="B19" t="str">
            <v>Less: NPV YE tax credit</v>
          </cell>
          <cell r="D19">
            <v>19320.911999279193</v>
          </cell>
          <cell r="E19">
            <v>11465.302433432909</v>
          </cell>
          <cell r="F19">
            <v>6011.8171079031417</v>
          </cell>
          <cell r="G19">
            <v>3007.2893306415704</v>
          </cell>
          <cell r="K19" t="str">
            <v>Note: Years ending March are adjusted to prior year</v>
          </cell>
        </row>
        <row r="20">
          <cell r="B20" t="str">
            <v>Enterprise Value</v>
          </cell>
          <cell r="D20">
            <v>585502.48783572204</v>
          </cell>
          <cell r="E20">
            <v>553772.53757470276</v>
          </cell>
          <cell r="F20">
            <v>514978.63123000535</v>
          </cell>
          <cell r="G20">
            <v>474026.81618752325</v>
          </cell>
          <cell r="H20">
            <v>-6.7981094153439336E-2</v>
          </cell>
          <cell r="K20" t="str">
            <v>Cash flow</v>
          </cell>
        </row>
        <row r="21">
          <cell r="K21" t="str">
            <v>OpFCF</v>
          </cell>
          <cell r="L21">
            <v>62597.992542389715</v>
          </cell>
          <cell r="M21">
            <v>63648.561728320354</v>
          </cell>
          <cell r="N21">
            <v>67301.562522366992</v>
          </cell>
          <cell r="O21">
            <v>69670.623992780165</v>
          </cell>
          <cell r="P21">
            <v>70906.237948350303</v>
          </cell>
        </row>
        <row r="22">
          <cell r="B22" t="str">
            <v>PRICE PERFORMANCE, -1Y</v>
          </cell>
          <cell r="K22" t="str">
            <v>Less: Interest payments</v>
          </cell>
          <cell r="L22">
            <v>-13866.770265711239</v>
          </cell>
          <cell r="M22">
            <v>-12340.890153556309</v>
          </cell>
          <cell r="N22">
            <v>-11302.225309216992</v>
          </cell>
          <cell r="O22">
            <v>-9272.515523875265</v>
          </cell>
          <cell r="P22">
            <v>-7423.3513731250587</v>
          </cell>
        </row>
        <row r="23">
          <cell r="K23" t="str">
            <v>Less: Tax paid</v>
          </cell>
          <cell r="L23">
            <v>-3931.6355153471964</v>
          </cell>
          <cell r="M23">
            <v>-4576.5014105146784</v>
          </cell>
          <cell r="N23">
            <v>-7585.1967632412079</v>
          </cell>
          <cell r="O23">
            <v>-12200.783533682152</v>
          </cell>
          <cell r="P23">
            <v>-16504.156499046949</v>
          </cell>
        </row>
        <row r="24">
          <cell r="K24" t="str">
            <v>Less: Change in WC</v>
          </cell>
          <cell r="L24">
            <v>1276.1479096085809</v>
          </cell>
          <cell r="M24">
            <v>1669.9638752537246</v>
          </cell>
          <cell r="N24">
            <v>-131.27901089927894</v>
          </cell>
          <cell r="O24">
            <v>-35.958237256781501</v>
          </cell>
          <cell r="P24">
            <v>1.1525616650098911</v>
          </cell>
        </row>
        <row r="25">
          <cell r="K25" t="str">
            <v>Less: Provision utilisation</v>
          </cell>
          <cell r="L25">
            <v>-2775.8469359331184</v>
          </cell>
          <cell r="M25">
            <v>-4133.9664461490083</v>
          </cell>
          <cell r="N25">
            <v>-3749.4925299992847</v>
          </cell>
          <cell r="O25">
            <v>-3382.5188964879176</v>
          </cell>
          <cell r="P25">
            <v>-2821.4643242226953</v>
          </cell>
        </row>
        <row r="26">
          <cell r="K26" t="str">
            <v>Less: Other</v>
          </cell>
          <cell r="L26">
            <v>-133.81106695474415</v>
          </cell>
          <cell r="M26">
            <v>-3368.2974948011515</v>
          </cell>
          <cell r="N26">
            <v>-1995.1780899951564</v>
          </cell>
          <cell r="O26">
            <v>-813.62683470198397</v>
          </cell>
          <cell r="P26">
            <v>-805.34620391555598</v>
          </cell>
        </row>
        <row r="27">
          <cell r="K27" t="str">
            <v>Sub total</v>
          </cell>
          <cell r="L27">
            <v>43166.076668051996</v>
          </cell>
          <cell r="M27">
            <v>40898.870098552921</v>
          </cell>
          <cell r="N27">
            <v>42538.190819015079</v>
          </cell>
          <cell r="O27">
            <v>43965.220966776062</v>
          </cell>
          <cell r="P27">
            <v>43353.072109705055</v>
          </cell>
        </row>
        <row r="28">
          <cell r="K28" t="str">
            <v>Less: Disposals/acquis.</v>
          </cell>
          <cell r="L28">
            <v>13340.112851573564</v>
          </cell>
          <cell r="M28">
            <v>-8230.1688871130282</v>
          </cell>
          <cell r="N28">
            <v>-17732.701565764808</v>
          </cell>
          <cell r="O28">
            <v>158.70665127255384</v>
          </cell>
          <cell r="P28">
            <v>-2180.2152591611202</v>
          </cell>
        </row>
        <row r="29">
          <cell r="K29" t="str">
            <v>Less: Dividends paid</v>
          </cell>
          <cell r="L29">
            <v>-5831.8013949897177</v>
          </cell>
          <cell r="M29">
            <v>-9367.3710452133473</v>
          </cell>
          <cell r="N29">
            <v>-13038.982453642093</v>
          </cell>
          <cell r="O29">
            <v>-14411.002538921861</v>
          </cell>
          <cell r="P29">
            <v>-16149.981891326353</v>
          </cell>
        </row>
        <row r="30">
          <cell r="K30" t="str">
            <v>Less: Share buyback</v>
          </cell>
          <cell r="L30">
            <v>116.33551300003774</v>
          </cell>
          <cell r="M30">
            <v>-7067.9445215461174</v>
          </cell>
          <cell r="N30">
            <v>-4086.8050397070701</v>
          </cell>
          <cell r="O30">
            <v>-1106.9750397070718</v>
          </cell>
          <cell r="P30">
            <v>-1106.9750397070702</v>
          </cell>
        </row>
        <row r="31">
          <cell r="K31" t="str">
            <v>Chg in Net debt/Cash</v>
          </cell>
          <cell r="L31">
            <v>50790.723637635871</v>
          </cell>
          <cell r="M31">
            <v>16233.385644680428</v>
          </cell>
          <cell r="N31">
            <v>7679.7017599011078</v>
          </cell>
          <cell r="O31">
            <v>28605.95003941968</v>
          </cell>
          <cell r="P31">
            <v>23915.89991951051</v>
          </cell>
        </row>
        <row r="32">
          <cell r="K32" t="str">
            <v>Net debt (Cash)</v>
          </cell>
          <cell r="L32">
            <v>182758.89421735535</v>
          </cell>
          <cell r="M32">
            <v>165064.57867802845</v>
          </cell>
          <cell r="N32">
            <v>156377.69662690937</v>
          </cell>
          <cell r="O32">
            <v>126756.38111671428</v>
          </cell>
          <cell r="P32">
            <v>101521.74718671797</v>
          </cell>
        </row>
        <row r="33">
          <cell r="Q33" t="str">
            <v>CAGR</v>
          </cell>
        </row>
        <row r="34">
          <cell r="J34" t="str">
            <v>DIVISIONAL (€m)</v>
          </cell>
          <cell r="L34" t="str">
            <v>2003A</v>
          </cell>
          <cell r="M34" t="str">
            <v>2004E</v>
          </cell>
          <cell r="N34" t="str">
            <v>2005E</v>
          </cell>
          <cell r="O34" t="str">
            <v>2006E</v>
          </cell>
          <cell r="P34" t="str">
            <v>2007E</v>
          </cell>
          <cell r="Q34" t="str">
            <v>04E-07E</v>
          </cell>
        </row>
        <row r="36">
          <cell r="J36" t="str">
            <v>Revenues</v>
          </cell>
        </row>
        <row r="37">
          <cell r="H37" t="str">
            <v>CAGR</v>
          </cell>
        </row>
        <row r="38">
          <cell r="B38" t="str">
            <v>MULTIPLES &amp; RATIOS</v>
          </cell>
          <cell r="D38" t="str">
            <v>2004E</v>
          </cell>
          <cell r="E38" t="str">
            <v>2005E</v>
          </cell>
          <cell r="F38" t="str">
            <v>2006E</v>
          </cell>
          <cell r="G38" t="str">
            <v>2007E</v>
          </cell>
          <cell r="H38" t="str">
            <v>04E-07E</v>
          </cell>
          <cell r="J38" t="str">
            <v>Domestic mobile</v>
          </cell>
          <cell r="L38">
            <v>48298.04771877973</v>
          </cell>
          <cell r="M38">
            <v>50938.068040511884</v>
          </cell>
          <cell r="N38">
            <v>52957.506005396594</v>
          </cell>
          <cell r="O38">
            <v>53100.415989426285</v>
          </cell>
          <cell r="P38">
            <v>53336.684725911175</v>
          </cell>
          <cell r="Q38">
            <v>1.5456170081437071E-2</v>
          </cell>
        </row>
        <row r="39">
          <cell r="J39" t="str">
            <v>Other mobile</v>
          </cell>
          <cell r="L39">
            <v>36425.001266237588</v>
          </cell>
          <cell r="M39">
            <v>43649.074691961701</v>
          </cell>
          <cell r="N39">
            <v>51290.918952481115</v>
          </cell>
          <cell r="O39">
            <v>54771.222301486778</v>
          </cell>
          <cell r="P39">
            <v>57481.782201288726</v>
          </cell>
          <cell r="Q39">
            <v>9.610391194826895E-2</v>
          </cell>
        </row>
        <row r="40">
          <cell r="B40" t="str">
            <v>EV/Revenue</v>
          </cell>
          <cell r="D40">
            <v>2.2813110117342461</v>
          </cell>
          <cell r="E40">
            <v>2.0658313863799145</v>
          </cell>
          <cell r="F40">
            <v>1.9002086963229721</v>
          </cell>
          <cell r="G40">
            <v>1.7360290606000262</v>
          </cell>
          <cell r="H40">
            <v>2.0862436821804442E-2</v>
          </cell>
          <cell r="J40" t="str">
            <v>Group mobile</v>
          </cell>
          <cell r="L40">
            <v>84723.048985017318</v>
          </cell>
          <cell r="M40">
            <v>94587.142732473585</v>
          </cell>
          <cell r="N40">
            <v>104248.42495787771</v>
          </cell>
          <cell r="O40">
            <v>107871.63829091306</v>
          </cell>
          <cell r="P40">
            <v>110818.4669271999</v>
          </cell>
          <cell r="Q40">
            <v>5.4208896861631439E-2</v>
          </cell>
        </row>
        <row r="41">
          <cell r="B41" t="str">
            <v>EV/EBITDA</v>
          </cell>
          <cell r="D41">
            <v>6.0434126058116995</v>
          </cell>
          <cell r="E41">
            <v>5.4083368569022356</v>
          </cell>
          <cell r="F41">
            <v>4.9222330190419097</v>
          </cell>
          <cell r="G41">
            <v>4.4888872490057654</v>
          </cell>
          <cell r="H41">
            <v>2.9135529154787898E-2</v>
          </cell>
          <cell r="J41" t="str">
            <v>Other</v>
          </cell>
          <cell r="L41">
            <v>43156.525056392711</v>
          </cell>
          <cell r="M41">
            <v>39428.110322178312</v>
          </cell>
          <cell r="N41">
            <v>43847.061210370521</v>
          </cell>
          <cell r="O41">
            <v>45708.969627333587</v>
          </cell>
          <cell r="P41">
            <v>47348.779481535676</v>
          </cell>
          <cell r="Q41">
            <v>6.292088839982779E-2</v>
          </cell>
        </row>
        <row r="42">
          <cell r="B42" t="str">
            <v>EV/OpFCF</v>
          </cell>
          <cell r="D42">
            <v>9.198990078281744</v>
          </cell>
          <cell r="E42">
            <v>8.2282270547680376</v>
          </cell>
          <cell r="F42">
            <v>7.3916178974279241</v>
          </cell>
          <cell r="G42">
            <v>6.6852625368844834</v>
          </cell>
          <cell r="H42">
            <v>3.6649517324081504E-2</v>
          </cell>
          <cell r="J42" t="str">
            <v>Domestic fixed</v>
          </cell>
          <cell r="L42">
            <v>124639.18025983981</v>
          </cell>
          <cell r="M42">
            <v>122636.507632123</v>
          </cell>
          <cell r="N42">
            <v>119967.30986909581</v>
          </cell>
          <cell r="O42">
            <v>117431.00897758297</v>
          </cell>
          <cell r="P42">
            <v>114885.10446820459</v>
          </cell>
          <cell r="Q42">
            <v>-2.152894483527179E-2</v>
          </cell>
        </row>
        <row r="43">
          <cell r="B43" t="str">
            <v>EV/FCF</v>
          </cell>
          <cell r="D43">
            <v>14.14573715173862</v>
          </cell>
          <cell r="E43">
            <v>12.618551594645261</v>
          </cell>
          <cell r="F43">
            <v>11.299691129067121</v>
          </cell>
          <cell r="G43">
            <v>10.246819405156298</v>
          </cell>
          <cell r="H43">
            <v>3.7775840370818825E-2</v>
          </cell>
          <cell r="J43" t="str">
            <v>Total</v>
          </cell>
          <cell r="L43">
            <v>252518.75430124984</v>
          </cell>
          <cell r="M43">
            <v>256651.76068677488</v>
          </cell>
          <cell r="N43">
            <v>268062.79603734403</v>
          </cell>
          <cell r="O43">
            <v>271011.61689582962</v>
          </cell>
          <cell r="P43">
            <v>273052.35087694018</v>
          </cell>
          <cell r="Q43">
            <v>2.0862436821804442E-2</v>
          </cell>
        </row>
        <row r="44">
          <cell r="B44" t="str">
            <v>EV/Invested capital</v>
          </cell>
          <cell r="D44">
            <v>1.8984732479784767</v>
          </cell>
          <cell r="E44">
            <v>1.7904890861242491</v>
          </cell>
          <cell r="F44">
            <v>1.7700069085981529</v>
          </cell>
          <cell r="G44">
            <v>1.722350905070462</v>
          </cell>
          <cell r="H44">
            <v>-3.7237860394512268E-2</v>
          </cell>
          <cell r="J44" t="str">
            <v>% change</v>
          </cell>
          <cell r="M44">
            <v>1.6367126461405146E-2</v>
          </cell>
          <cell r="N44">
            <v>4.4461161380831227E-2</v>
          </cell>
          <cell r="O44">
            <v>1.1000485341780886E-2</v>
          </cell>
          <cell r="P44">
            <v>7.5300609047137534E-3</v>
          </cell>
        </row>
        <row r="45">
          <cell r="B45" t="str">
            <v>EV/NFA</v>
          </cell>
          <cell r="D45">
            <v>3.0655938111460039</v>
          </cell>
          <cell r="E45">
            <v>2.9656755404699133</v>
          </cell>
          <cell r="F45">
            <v>2.8302028594990474</v>
          </cell>
          <cell r="G45">
            <v>2.6679794568171671</v>
          </cell>
          <cell r="H45">
            <v>-2.380757833640057E-2</v>
          </cell>
        </row>
        <row r="46">
          <cell r="B46" t="str">
            <v>Adjusted P/E</v>
          </cell>
          <cell r="D46">
            <v>13.953685679806195</v>
          </cell>
          <cell r="E46">
            <v>12.391733208931878</v>
          </cell>
          <cell r="F46">
            <v>11.053939268096078</v>
          </cell>
          <cell r="G46">
            <v>10.357840859894841</v>
          </cell>
          <cell r="H46">
            <v>0.10658198731276114</v>
          </cell>
          <cell r="J46" t="str">
            <v>EBITDA</v>
          </cell>
        </row>
        <row r="47">
          <cell r="B47" t="str">
            <v>Dividend yield</v>
          </cell>
          <cell r="D47">
            <v>3.2711903104342632E-2</v>
          </cell>
          <cell r="E47">
            <v>3.6102431540785788E-2</v>
          </cell>
          <cell r="F47">
            <v>4.0336655869349099E-2</v>
          </cell>
          <cell r="G47">
            <v>4.3015804556870478E-2</v>
          </cell>
          <cell r="H47">
            <v>9.7701966903700477E-2</v>
          </cell>
          <cell r="M47">
            <v>0.37268060797331271</v>
          </cell>
          <cell r="N47">
            <v>0.37176094973011869</v>
          </cell>
          <cell r="O47">
            <v>0.38043832745207312</v>
          </cell>
          <cell r="P47">
            <v>0.38181586777982113</v>
          </cell>
        </row>
        <row r="48">
          <cell r="B48" t="str">
            <v>EFCF yield</v>
          </cell>
          <cell r="D48">
            <v>9.1433679036421245E-2</v>
          </cell>
          <cell r="E48">
            <v>9.5731856623089806E-2</v>
          </cell>
          <cell r="F48">
            <v>0.1005279302914408</v>
          </cell>
          <cell r="G48">
            <v>0.10523425331473223</v>
          </cell>
          <cell r="H48">
            <v>6.057860045031771E-2</v>
          </cell>
          <cell r="J48" t="str">
            <v>Domestic mobile</v>
          </cell>
          <cell r="L48">
            <v>22624.0495472398</v>
          </cell>
          <cell r="M48">
            <v>23550.028128717098</v>
          </cell>
          <cell r="N48">
            <v>23932.880330212214</v>
          </cell>
          <cell r="O48">
            <v>23729.911053095315</v>
          </cell>
          <cell r="P48">
            <v>23570.30493952669</v>
          </cell>
          <cell r="Q48">
            <v>2.8692101722471719E-4</v>
          </cell>
        </row>
        <row r="49">
          <cell r="B49" t="str">
            <v>Net debt/EBITDA</v>
          </cell>
          <cell r="D49">
            <v>1.7037559639467899</v>
          </cell>
          <cell r="E49">
            <v>1.5272394401658127</v>
          </cell>
          <cell r="F49">
            <v>1.2115540464596244</v>
          </cell>
          <cell r="G49">
            <v>0.9613795272353628</v>
          </cell>
          <cell r="H49">
            <v>-0.17365292632317109</v>
          </cell>
          <cell r="J49" t="str">
            <v>Other mobile</v>
          </cell>
          <cell r="L49">
            <v>10015.178348947265</v>
          </cell>
          <cell r="M49">
            <v>12408.934419706184</v>
          </cell>
          <cell r="N49">
            <v>15949.583572590291</v>
          </cell>
          <cell r="O49">
            <v>17537.616626570616</v>
          </cell>
          <cell r="P49">
            <v>18632.772330892378</v>
          </cell>
          <cell r="Q49">
            <v>0.1451112008052946</v>
          </cell>
        </row>
        <row r="50">
          <cell r="B50" t="str">
            <v>OpFCF/Net interest</v>
          </cell>
          <cell r="D50">
            <v>6.6669127452881183</v>
          </cell>
          <cell r="E50">
            <v>7.0793853491893231</v>
          </cell>
          <cell r="F50">
            <v>9.0590406125304774</v>
          </cell>
          <cell r="G50">
            <v>11.80400110962449</v>
          </cell>
          <cell r="H50">
            <v>0.2097663216591148</v>
          </cell>
          <cell r="J50" t="str">
            <v>Group mobile</v>
          </cell>
          <cell r="L50">
            <v>32639.227896187065</v>
          </cell>
          <cell r="M50">
            <v>35958.962548423282</v>
          </cell>
          <cell r="N50">
            <v>39882.463902802505</v>
          </cell>
          <cell r="O50">
            <v>41267.527679665931</v>
          </cell>
          <cell r="P50">
            <v>42203.077270419068</v>
          </cell>
          <cell r="Q50">
            <v>5.4821537112271335E-2</v>
          </cell>
        </row>
        <row r="51">
          <cell r="J51" t="str">
            <v>Other</v>
          </cell>
          <cell r="L51">
            <v>12485.845169742668</v>
          </cell>
          <cell r="M51">
            <v>12197.403785965893</v>
          </cell>
          <cell r="N51">
            <v>14272.823014995622</v>
          </cell>
          <cell r="O51">
            <v>15037.933787000606</v>
          </cell>
          <cell r="P51">
            <v>15639.447386264765</v>
          </cell>
          <cell r="Q51">
            <v>8.6387268554051211E-2</v>
          </cell>
        </row>
        <row r="52">
          <cell r="B52" t="str">
            <v>BREAKDOWN OF VALUE</v>
          </cell>
          <cell r="E52" t="str">
            <v>RELATIVE VALUATION (2004)</v>
          </cell>
          <cell r="J52" t="str">
            <v>Domestic fixed</v>
          </cell>
          <cell r="L52">
            <v>48859.774461576941</v>
          </cell>
          <cell r="M52">
            <v>48726.392799526082</v>
          </cell>
          <cell r="N52">
            <v>48237.103243322526</v>
          </cell>
          <cell r="O52">
            <v>48317.507262726001</v>
          </cell>
          <cell r="P52">
            <v>47757.547230288692</v>
          </cell>
          <cell r="Q52">
            <v>-6.6722140279497077E-3</v>
          </cell>
        </row>
        <row r="53">
          <cell r="J53" t="str">
            <v>Total</v>
          </cell>
          <cell r="L53">
            <v>93984.847527506674</v>
          </cell>
          <cell r="M53">
            <v>96882.759133915257</v>
          </cell>
          <cell r="N53">
            <v>102392.39016112065</v>
          </cell>
          <cell r="O53">
            <v>104622.96872939254</v>
          </cell>
          <cell r="P53">
            <v>105600.07188697252</v>
          </cell>
          <cell r="Q53">
            <v>2.9135529154787898E-2</v>
          </cell>
        </row>
        <row r="54">
          <cell r="D54" t="str">
            <v>RELATIVE VALUATION (2005)</v>
          </cell>
          <cell r="J54" t="str">
            <v>% change</v>
          </cell>
          <cell r="M54">
            <v>3.0833817180587975E-2</v>
          </cell>
          <cell r="N54">
            <v>5.6869055717021499E-2</v>
          </cell>
          <cell r="O54">
            <v>2.178461275063448E-2</v>
          </cell>
          <cell r="P54">
            <v>9.3392796003262113E-3</v>
          </cell>
        </row>
        <row r="55">
          <cell r="J55" t="str">
            <v>EBITDA margin</v>
          </cell>
          <cell r="L55">
            <v>0.37218957375096434</v>
          </cell>
          <cell r="M55">
            <v>0.37748721799011437</v>
          </cell>
          <cell r="N55">
            <v>0.38197165617438494</v>
          </cell>
          <cell r="O55">
            <v>0.38604606668800884</v>
          </cell>
          <cell r="P55">
            <v>0.38673928844716149</v>
          </cell>
        </row>
        <row r="57">
          <cell r="J57" t="str">
            <v>Capex</v>
          </cell>
        </row>
        <row r="59">
          <cell r="J59" t="str">
            <v>Domestic mobile</v>
          </cell>
          <cell r="L59">
            <v>4372.4475139184906</v>
          </cell>
          <cell r="M59">
            <v>5105.061025506654</v>
          </cell>
          <cell r="N59">
            <v>5238.6077745251323</v>
          </cell>
          <cell r="O59">
            <v>5369.4902490678733</v>
          </cell>
          <cell r="P59">
            <v>5419.7232547568647</v>
          </cell>
          <cell r="Q59">
            <v>2.0137527928412169E-2</v>
          </cell>
        </row>
        <row r="60">
          <cell r="J60" t="str">
            <v>Other mobile</v>
          </cell>
          <cell r="L60">
            <v>7102.2663263576633</v>
          </cell>
          <cell r="M60">
            <v>7332.6180141103168</v>
          </cell>
          <cell r="N60">
            <v>8982.0117957717703</v>
          </cell>
          <cell r="O60">
            <v>8469.5919099296552</v>
          </cell>
          <cell r="P60">
            <v>8230.2971121739829</v>
          </cell>
          <cell r="Q60">
            <v>3.9247090553757635E-2</v>
          </cell>
        </row>
        <row r="61">
          <cell r="J61" t="str">
            <v>Group mobile</v>
          </cell>
          <cell r="L61">
            <v>11474.713840276154</v>
          </cell>
          <cell r="M61">
            <v>12437.679039616971</v>
          </cell>
          <cell r="N61">
            <v>14220.619570296902</v>
          </cell>
          <cell r="O61">
            <v>13839.082158997529</v>
          </cell>
          <cell r="P61">
            <v>13650.020366930848</v>
          </cell>
          <cell r="Q61">
            <v>3.1489119657509335E-2</v>
          </cell>
        </row>
        <row r="62">
          <cell r="J62" t="str">
            <v>Other</v>
          </cell>
          <cell r="L62">
            <v>6006.5427957050142</v>
          </cell>
          <cell r="M62">
            <v>6556.7331724742617</v>
          </cell>
          <cell r="N62">
            <v>6215.6131762573386</v>
          </cell>
          <cell r="O62">
            <v>6412.690083636202</v>
          </cell>
          <cell r="P62">
            <v>6506.8869902832103</v>
          </cell>
          <cell r="Q62">
            <v>-2.5405453253508625E-3</v>
          </cell>
        </row>
        <row r="63">
          <cell r="J63" t="str">
            <v>Domestic fixed</v>
          </cell>
          <cell r="L63">
            <v>13905.598349135789</v>
          </cell>
          <cell r="M63">
            <v>14239.785193503656</v>
          </cell>
          <cell r="N63">
            <v>14654.594892199422</v>
          </cell>
          <cell r="O63">
            <v>14700.572493978641</v>
          </cell>
          <cell r="P63">
            <v>14536.92658140817</v>
          </cell>
          <cell r="Q63">
            <v>6.9078337142116641E-3</v>
          </cell>
        </row>
        <row r="64">
          <cell r="J64" t="str">
            <v>Total</v>
          </cell>
          <cell r="L64">
            <v>31386.854985116959</v>
          </cell>
          <cell r="M64">
            <v>33234.197405594889</v>
          </cell>
          <cell r="N64">
            <v>35090.827638753661</v>
          </cell>
          <cell r="O64">
            <v>34952.344736612373</v>
          </cell>
          <cell r="P64">
            <v>34693.833938622229</v>
          </cell>
          <cell r="Q64">
            <v>1.4430659904371534E-2</v>
          </cell>
        </row>
        <row r="65">
          <cell r="J65" t="str">
            <v>% change</v>
          </cell>
          <cell r="M65">
            <v>5.8857200613247285E-2</v>
          </cell>
          <cell r="N65">
            <v>5.586505401349684E-2</v>
          </cell>
          <cell r="O65">
            <v>-3.9464131073485564E-3</v>
          </cell>
          <cell r="P65">
            <v>-7.3960931645125072E-3</v>
          </cell>
        </row>
        <row r="66">
          <cell r="B66" t="str">
            <v>SECTOR PERFORMANCE</v>
          </cell>
          <cell r="J66" t="str">
            <v>Capex/sales</v>
          </cell>
          <cell r="L66">
            <v>0.12429514422391402</v>
          </cell>
          <cell r="M66">
            <v>0.12949140624113953</v>
          </cell>
          <cell r="N66">
            <v>0.13090525114818669</v>
          </cell>
          <cell r="O66">
            <v>0.12896991330835542</v>
          </cell>
          <cell r="P66">
            <v>0.12705927572935682</v>
          </cell>
        </row>
        <row r="67">
          <cell r="D67" t="str">
            <v>ABSOLUTE</v>
          </cell>
          <cell r="G67" t="str">
            <v>REL TO FT ETOP300 TELECOMS</v>
          </cell>
        </row>
        <row r="68">
          <cell r="C68" t="str">
            <v>-1m</v>
          </cell>
          <cell r="D68" t="str">
            <v>-3m</v>
          </cell>
          <cell r="E68" t="str">
            <v>-1Y</v>
          </cell>
          <cell r="F68" t="str">
            <v>-1m</v>
          </cell>
          <cell r="G68" t="str">
            <v>-3m</v>
          </cell>
          <cell r="H68" t="str">
            <v>-1Y</v>
          </cell>
          <cell r="K68" t="str">
            <v>BREAKDOWN OF VALUE</v>
          </cell>
        </row>
        <row r="69">
          <cell r="B69" t="str">
            <v>Belgacom</v>
          </cell>
          <cell r="C69">
            <v>4.6899999999999997E-3</v>
          </cell>
          <cell r="D69">
            <v>3.0830000000000003E-2</v>
          </cell>
          <cell r="E69" t="str">
            <v>na</v>
          </cell>
          <cell r="F69">
            <v>2.2479999999999997E-2</v>
          </cell>
          <cell r="G69">
            <v>-7.7620000000000008E-2</v>
          </cell>
          <cell r="H69" t="str">
            <v>na</v>
          </cell>
        </row>
        <row r="70">
          <cell r="B70" t="str">
            <v>British Telecom</v>
          </cell>
          <cell r="C70">
            <v>-2.6099999999999998E-2</v>
          </cell>
          <cell r="D70">
            <v>-3.64E-3</v>
          </cell>
          <cell r="E70">
            <v>0.14028000000000002</v>
          </cell>
          <cell r="F70">
            <v>-8.3099999999999997E-3</v>
          </cell>
          <cell r="G70">
            <v>-0.11209000000000001</v>
          </cell>
          <cell r="H70">
            <v>-8.054E-2</v>
          </cell>
        </row>
        <row r="71">
          <cell r="B71" t="str">
            <v>Deutsche Telekom</v>
          </cell>
          <cell r="C71">
            <v>-4.521E-2</v>
          </cell>
          <cell r="D71">
            <v>-3.2379999999999999E-2</v>
          </cell>
          <cell r="E71">
            <v>-0.01</v>
          </cell>
          <cell r="F71">
            <v>-2.742E-2</v>
          </cell>
          <cell r="G71">
            <v>-0.14083000000000001</v>
          </cell>
          <cell r="H71">
            <v>-0.23082</v>
          </cell>
        </row>
        <row r="72">
          <cell r="B72" t="str">
            <v>eircom</v>
          </cell>
          <cell r="C72">
            <v>4.0199999999999993E-2</v>
          </cell>
          <cell r="D72">
            <v>0.23952000000000001</v>
          </cell>
          <cell r="E72" t="str">
            <v>na</v>
          </cell>
          <cell r="F72">
            <v>5.7989999999999993E-2</v>
          </cell>
          <cell r="G72">
            <v>0.13107000000000002</v>
          </cell>
          <cell r="H72" t="str">
            <v>na</v>
          </cell>
        </row>
        <row r="73">
          <cell r="B73" t="str">
            <v>France Telecom</v>
          </cell>
          <cell r="C73">
            <v>-4.8600000000000004E-2</v>
          </cell>
          <cell r="D73">
            <v>-4.5119999999999993E-2</v>
          </cell>
          <cell r="E73">
            <v>5.4309999999999997E-2</v>
          </cell>
          <cell r="F73">
            <v>-3.0810000000000004E-2</v>
          </cell>
          <cell r="G73">
            <v>-0.15356999999999998</v>
          </cell>
          <cell r="H73">
            <v>-0.16650999999999999</v>
          </cell>
        </row>
        <row r="74">
          <cell r="B74" t="str">
            <v>KPN</v>
          </cell>
          <cell r="C74">
            <v>-2.9849999999999998E-2</v>
          </cell>
          <cell r="D74">
            <v>6.8760000000000002E-2</v>
          </cell>
          <cell r="E74">
            <v>0.12775999999999998</v>
          </cell>
          <cell r="F74">
            <v>-1.206E-2</v>
          </cell>
          <cell r="G74">
            <v>-3.9690000000000003E-2</v>
          </cell>
          <cell r="H74">
            <v>-9.3060000000000004E-2</v>
          </cell>
        </row>
        <row r="75">
          <cell r="B75" t="str">
            <v>OTE</v>
          </cell>
          <cell r="C75">
            <v>0.11773</v>
          </cell>
          <cell r="D75">
            <v>0.2</v>
          </cell>
          <cell r="E75">
            <v>0.21556</v>
          </cell>
          <cell r="F75">
            <v>0.13552</v>
          </cell>
          <cell r="G75">
            <v>9.1549999999999992E-2</v>
          </cell>
          <cell r="H75">
            <v>-5.2599999999999982E-3</v>
          </cell>
        </row>
        <row r="76">
          <cell r="B76" t="str">
            <v>Portugal Telecom</v>
          </cell>
          <cell r="C76">
            <v>-4.8760000000000005E-2</v>
          </cell>
          <cell r="D76">
            <v>2.5729999999999999E-2</v>
          </cell>
          <cell r="E76">
            <v>-7.5799999999999999E-3</v>
          </cell>
          <cell r="F76">
            <v>-3.0970000000000004E-2</v>
          </cell>
          <cell r="G76">
            <v>-8.2720000000000002E-2</v>
          </cell>
          <cell r="H76">
            <v>-0.22839999999999999</v>
          </cell>
        </row>
        <row r="77">
          <cell r="B77" t="str">
            <v>Swisscom</v>
          </cell>
          <cell r="C77">
            <v>9.4500000000000001E-3</v>
          </cell>
          <cell r="D77">
            <v>8.8900000000000003E-3</v>
          </cell>
          <cell r="E77">
            <v>6.8239999999999995E-2</v>
          </cell>
          <cell r="F77">
            <v>2.7239999999999997E-2</v>
          </cell>
          <cell r="G77">
            <v>-9.956000000000001E-2</v>
          </cell>
          <cell r="H77">
            <v>-0.15258000000000002</v>
          </cell>
        </row>
        <row r="78">
          <cell r="B78" t="str">
            <v>TDC</v>
          </cell>
          <cell r="C78">
            <v>9.9399999999999992E-3</v>
          </cell>
          <cell r="D78">
            <v>0.11038000000000001</v>
          </cell>
          <cell r="E78">
            <v>2.8340000000000001E-2</v>
          </cell>
          <cell r="F78">
            <v>2.7729999999999998E-2</v>
          </cell>
          <cell r="G78">
            <v>1.9299999999999962E-3</v>
          </cell>
          <cell r="H78">
            <v>-0.19248000000000001</v>
          </cell>
        </row>
        <row r="79">
          <cell r="B79" t="str">
            <v>Telecom Italia Ords</v>
          </cell>
          <cell r="C79">
            <v>-4.3779999999999999E-2</v>
          </cell>
          <cell r="D79">
            <v>-1.559E-2</v>
          </cell>
          <cell r="E79">
            <v>0.12816</v>
          </cell>
          <cell r="F79">
            <v>-2.5990000000000003E-2</v>
          </cell>
          <cell r="G79">
            <v>-0.12404</v>
          </cell>
          <cell r="H79">
            <v>-9.2660000000000006E-2</v>
          </cell>
        </row>
        <row r="80">
          <cell r="B80" t="str">
            <v>Telecom Italia Savers</v>
          </cell>
          <cell r="C80">
            <v>-5.3899999999999997E-2</v>
          </cell>
          <cell r="D80">
            <v>7.5940000000000007E-2</v>
          </cell>
          <cell r="E80">
            <v>0.29801</v>
          </cell>
          <cell r="F80">
            <v>-3.6109999999999996E-2</v>
          </cell>
          <cell r="G80">
            <v>-3.2510000000000004E-2</v>
          </cell>
          <cell r="H80">
            <v>7.7189999999999981E-2</v>
          </cell>
        </row>
        <row r="81">
          <cell r="B81" t="str">
            <v>Telefonica</v>
          </cell>
          <cell r="C81">
            <v>-1.328E-2</v>
          </cell>
          <cell r="D81">
            <v>2.1709999999999997E-2</v>
          </cell>
          <cell r="E81">
            <v>6.6470000000000001E-2</v>
          </cell>
          <cell r="F81">
            <v>4.5099999999999984E-3</v>
          </cell>
          <cell r="G81">
            <v>-8.6740000000000012E-2</v>
          </cell>
          <cell r="H81">
            <v>-0.15435000000000001</v>
          </cell>
        </row>
        <row r="82">
          <cell r="B82" t="str">
            <v>Telekom Austria</v>
          </cell>
          <cell r="C82">
            <v>3.9900000000000005E-3</v>
          </cell>
          <cell r="D82">
            <v>0.11439000000000001</v>
          </cell>
          <cell r="E82">
            <v>0.29059999999999997</v>
          </cell>
          <cell r="F82">
            <v>2.1780000000000001E-2</v>
          </cell>
          <cell r="G82">
            <v>5.9399999999999939E-3</v>
          </cell>
          <cell r="H82">
            <v>6.9779999999999981E-2</v>
          </cell>
        </row>
        <row r="83">
          <cell r="B83" t="str">
            <v>Telenor</v>
          </cell>
          <cell r="C83">
            <v>-4.1149999999999999E-2</v>
          </cell>
          <cell r="D83">
            <v>7.3730000000000004E-2</v>
          </cell>
          <cell r="E83">
            <v>0.16968</v>
          </cell>
          <cell r="F83">
            <v>-2.3360000000000002E-2</v>
          </cell>
          <cell r="G83">
            <v>-3.4720000000000001E-2</v>
          </cell>
          <cell r="H83">
            <v>-5.1140000000000005E-2</v>
          </cell>
        </row>
        <row r="84">
          <cell r="B84" t="str">
            <v>TeliaSonera</v>
          </cell>
          <cell r="C84">
            <v>-2.1690000000000001E-2</v>
          </cell>
          <cell r="D84">
            <v>-7.3400000000000002E-3</v>
          </cell>
          <cell r="E84">
            <v>0.19411999999999999</v>
          </cell>
          <cell r="F84">
            <v>-3.9000000000000011E-3</v>
          </cell>
          <cell r="G84">
            <v>-0.11579</v>
          </cell>
          <cell r="H84">
            <v>-2.6700000000000015E-2</v>
          </cell>
          <cell r="K84" t="str">
            <v>DEFINITIONS: OpFCF = EBITDA - capex; FCF = OpFCF * (1 - tax rate); EFCF = Clean net income + depreciation - capex. EFCF yield adjusts mkt cap. for the NPV of tax credits &amp; all other one-off cash items.</v>
          </cell>
        </row>
        <row r="85">
          <cell r="B85" t="str">
            <v xml:space="preserve">FTSE Eurotop 300 </v>
          </cell>
          <cell r="C85">
            <v>1.702E-2</v>
          </cell>
          <cell r="D85">
            <v>6.9089999999999999E-2</v>
          </cell>
          <cell r="E85">
            <v>8.2449999999999996E-2</v>
          </cell>
          <cell r="F85">
            <v>3.4810000000000001E-2</v>
          </cell>
          <cell r="G85">
            <v>-3.9360000000000006E-2</v>
          </cell>
          <cell r="H85">
            <v>-0.13837000000000002</v>
          </cell>
        </row>
        <row r="86">
          <cell r="B86" t="str">
            <v>FT Etop 300 Telco</v>
          </cell>
          <cell r="C86">
            <v>-1.779E-2</v>
          </cell>
          <cell r="D86">
            <v>0.10845</v>
          </cell>
          <cell r="E86">
            <v>0.22082000000000002</v>
          </cell>
          <cell r="F86">
            <v>0</v>
          </cell>
          <cell r="G86">
            <v>0</v>
          </cell>
          <cell r="H86">
            <v>0</v>
          </cell>
        </row>
      </sheetData>
      <sheetData sheetId="26" refreshError="1">
        <row r="6">
          <cell r="S6" t="str">
            <v xml:space="preserve"> Belgacom (Reduce) TP: €30.5  (-5.0%)</v>
          </cell>
        </row>
        <row r="8">
          <cell r="G8" t="str">
            <v>CAGR</v>
          </cell>
          <cell r="P8" t="str">
            <v>CAGR</v>
          </cell>
        </row>
        <row r="9">
          <cell r="B9" t="str">
            <v>EV CALCULATION (€m)</v>
          </cell>
          <cell r="C9" t="str">
            <v>2004A</v>
          </cell>
          <cell r="D9" t="str">
            <v>2005E</v>
          </cell>
          <cell r="E9" t="str">
            <v>2006E</v>
          </cell>
          <cell r="F9" t="str">
            <v>2007E</v>
          </cell>
          <cell r="G9" t="str">
            <v>04E-07E</v>
          </cell>
          <cell r="I9" t="str">
            <v>FINANCIALS (€m)</v>
          </cell>
          <cell r="K9" t="str">
            <v>2003A</v>
          </cell>
          <cell r="L9" t="str">
            <v>2004A</v>
          </cell>
          <cell r="M9" t="str">
            <v>2005E</v>
          </cell>
          <cell r="N9" t="str">
            <v>2006E</v>
          </cell>
          <cell r="O9" t="str">
            <v>2007E</v>
          </cell>
          <cell r="P9" t="str">
            <v>04E-07E</v>
          </cell>
        </row>
        <row r="11">
          <cell r="B11" t="str">
            <v>Share price, €</v>
          </cell>
          <cell r="C11">
            <v>32.1</v>
          </cell>
          <cell r="I11" t="str">
            <v>Revenue</v>
          </cell>
          <cell r="K11">
            <v>5454</v>
          </cell>
          <cell r="L11">
            <v>5540</v>
          </cell>
          <cell r="M11">
            <v>5373.6328085530258</v>
          </cell>
          <cell r="N11">
            <v>5274.6274662588121</v>
          </cell>
          <cell r="O11">
            <v>5141.265260213032</v>
          </cell>
          <cell r="P11">
            <v>-2.4591021366347166E-2</v>
          </cell>
        </row>
        <row r="12">
          <cell r="B12" t="str">
            <v>Number of shares</v>
          </cell>
          <cell r="C12">
            <v>361.82</v>
          </cell>
          <cell r="D12">
            <v>352.44499999999999</v>
          </cell>
          <cell r="E12">
            <v>352.44499999999999</v>
          </cell>
          <cell r="F12">
            <v>352.44499999999999</v>
          </cell>
          <cell r="I12" t="str">
            <v>EBITDA</v>
          </cell>
          <cell r="K12">
            <v>2250</v>
          </cell>
          <cell r="L12">
            <v>2364</v>
          </cell>
          <cell r="M12">
            <v>2284.0984965490502</v>
          </cell>
          <cell r="N12">
            <v>2209.0855270161933</v>
          </cell>
          <cell r="O12">
            <v>2114.7631443068231</v>
          </cell>
          <cell r="P12">
            <v>-3.6456290936254132E-2</v>
          </cell>
        </row>
        <row r="13">
          <cell r="B13" t="str">
            <v>Market cap.</v>
          </cell>
          <cell r="C13">
            <v>11614.422</v>
          </cell>
          <cell r="D13">
            <v>11313.4845</v>
          </cell>
          <cell r="E13">
            <v>11313.4845</v>
          </cell>
          <cell r="F13">
            <v>11313.4845</v>
          </cell>
          <cell r="I13" t="str">
            <v>Capex</v>
          </cell>
          <cell r="K13">
            <v>502</v>
          </cell>
          <cell r="L13">
            <v>556</v>
          </cell>
          <cell r="M13">
            <v>576.43505600000003</v>
          </cell>
          <cell r="N13">
            <v>577.48970364160004</v>
          </cell>
          <cell r="O13">
            <v>560.35604826479107</v>
          </cell>
          <cell r="P13">
            <v>2.6047491182943361E-3</v>
          </cell>
        </row>
        <row r="14">
          <cell r="B14" t="str">
            <v>Plus: Net debt (Cash)</v>
          </cell>
          <cell r="C14">
            <v>-110</v>
          </cell>
          <cell r="D14">
            <v>-538.40844111364822</v>
          </cell>
          <cell r="E14">
            <v>-997.5598356952496</v>
          </cell>
          <cell r="F14">
            <v>-1374.6387788267953</v>
          </cell>
          <cell r="I14" t="str">
            <v>OpFCF (EBITDA - capex)</v>
          </cell>
          <cell r="K14">
            <v>1748</v>
          </cell>
          <cell r="L14">
            <v>1808</v>
          </cell>
          <cell r="M14">
            <v>1707.6634405490502</v>
          </cell>
          <cell r="N14">
            <v>1631.5958233745932</v>
          </cell>
          <cell r="O14">
            <v>1554.407096042032</v>
          </cell>
          <cell r="P14">
            <v>-4.912787822223974E-2</v>
          </cell>
        </row>
        <row r="15">
          <cell r="B15" t="str">
            <v>Plus: Other financial liabilities</v>
          </cell>
          <cell r="C15">
            <v>380.47338652236499</v>
          </cell>
          <cell r="D15">
            <v>277.10652357893053</v>
          </cell>
          <cell r="E15">
            <v>176.50398022945569</v>
          </cell>
          <cell r="F15">
            <v>113.8592588455176</v>
          </cell>
          <cell r="I15" t="str">
            <v>FCF (OpFCF * (1-tax rate))</v>
          </cell>
          <cell r="K15">
            <v>1048.8</v>
          </cell>
          <cell r="L15">
            <v>1193.28</v>
          </cell>
          <cell r="M15">
            <v>1127.0578707623729</v>
          </cell>
          <cell r="N15">
            <v>1076.8532434272315</v>
          </cell>
          <cell r="O15">
            <v>1025.9086833877409</v>
          </cell>
          <cell r="P15">
            <v>-4.912787822223974E-2</v>
          </cell>
        </row>
        <row r="16">
          <cell r="B16" t="str">
            <v>Less: Associates</v>
          </cell>
          <cell r="C16">
            <v>544.34699999999998</v>
          </cell>
          <cell r="D16">
            <v>544.34699999999998</v>
          </cell>
          <cell r="E16">
            <v>544.34699999999998</v>
          </cell>
          <cell r="F16">
            <v>544.34699999999998</v>
          </cell>
          <cell r="I16" t="str">
            <v>EFCF</v>
          </cell>
          <cell r="K16">
            <v>1025.04</v>
          </cell>
          <cell r="L16">
            <v>1076.2045999999998</v>
          </cell>
          <cell r="M16">
            <v>1005.158917591883</v>
          </cell>
          <cell r="N16">
            <v>966.05990400046312</v>
          </cell>
          <cell r="O16">
            <v>936.73960228176588</v>
          </cell>
          <cell r="P16">
            <v>-4.5209668879434228E-2</v>
          </cell>
        </row>
        <row r="17">
          <cell r="B17" t="str">
            <v>Plus: Minorities</v>
          </cell>
          <cell r="C17">
            <v>1858.4059105256797</v>
          </cell>
          <cell r="D17">
            <v>1858.4059105256797</v>
          </cell>
          <cell r="E17">
            <v>1858.4059105256797</v>
          </cell>
          <cell r="F17">
            <v>1858.4059105256797</v>
          </cell>
          <cell r="I17" t="str">
            <v>Adj net Income</v>
          </cell>
          <cell r="K17">
            <v>733</v>
          </cell>
          <cell r="L17">
            <v>900.2</v>
          </cell>
          <cell r="M17">
            <v>892.63625787312458</v>
          </cell>
          <cell r="N17">
            <v>890.21148017599978</v>
          </cell>
          <cell r="O17">
            <v>870.12391197998409</v>
          </cell>
          <cell r="P17">
            <v>-1.1263200412560681E-2</v>
          </cell>
        </row>
        <row r="18">
          <cell r="B18" t="str">
            <v>Less: Cumulative dividends</v>
          </cell>
          <cell r="C18">
            <v>0</v>
          </cell>
          <cell r="D18">
            <v>471.0560999999999</v>
          </cell>
          <cell r="E18">
            <v>946.8227609999999</v>
          </cell>
          <cell r="F18">
            <v>1422.5894219999998</v>
          </cell>
          <cell r="I18" t="str">
            <v>Clean EPS</v>
          </cell>
          <cell r="K18">
            <v>1.8325</v>
          </cell>
          <cell r="L18">
            <v>2.6113341533034737</v>
          </cell>
          <cell r="M18">
            <v>2.5796312712624525</v>
          </cell>
          <cell r="N18">
            <v>2.6079523069299442</v>
          </cell>
          <cell r="O18">
            <v>2.5491040216607748</v>
          </cell>
          <cell r="P18">
            <v>-8.0075431773994898E-3</v>
          </cell>
        </row>
        <row r="19">
          <cell r="B19" t="str">
            <v>Less: NPV YE tax credit</v>
          </cell>
          <cell r="C19">
            <v>452.50692932339524</v>
          </cell>
          <cell r="D19">
            <v>281.41917172473603</v>
          </cell>
          <cell r="E19">
            <v>87.403432684959583</v>
          </cell>
          <cell r="F19">
            <v>-3.3111682566599714E-6</v>
          </cell>
          <cell r="I19" t="str">
            <v>DPS</v>
          </cell>
          <cell r="K19">
            <v>0.98750000000000004</v>
          </cell>
          <cell r="L19">
            <v>1.38</v>
          </cell>
          <cell r="M19">
            <v>1.3937999999999999</v>
          </cell>
          <cell r="N19">
            <v>1.3937999999999999</v>
          </cell>
          <cell r="O19">
            <v>1.3937999999999999</v>
          </cell>
          <cell r="P19">
            <v>3.3222835420891883E-3</v>
          </cell>
        </row>
        <row r="20">
          <cell r="B20" t="str">
            <v>Enterprise Value</v>
          </cell>
          <cell r="C20">
            <v>10779.954161039426</v>
          </cell>
          <cell r="D20">
            <v>11613.766221266227</v>
          </cell>
          <cell r="E20">
            <v>10772.261361374929</v>
          </cell>
          <cell r="F20">
            <v>9944.1744718555728</v>
          </cell>
          <cell r="G20">
            <v>-7.9423552531854624E-2</v>
          </cell>
          <cell r="J20" t="str">
            <v>Cash flow</v>
          </cell>
        </row>
        <row r="21">
          <cell r="J21" t="str">
            <v>OpFCF</v>
          </cell>
          <cell r="K21">
            <v>1748</v>
          </cell>
          <cell r="L21">
            <v>1808</v>
          </cell>
          <cell r="M21">
            <v>1707.6634405490502</v>
          </cell>
          <cell r="N21">
            <v>1631.5958233745932</v>
          </cell>
          <cell r="O21">
            <v>1554.407096042032</v>
          </cell>
        </row>
        <row r="22">
          <cell r="B22" t="str">
            <v>PRICE PERFORMANCE, -1Y</v>
          </cell>
          <cell r="J22" t="str">
            <v>Less: Interest payments</v>
          </cell>
          <cell r="K22">
            <v>22</v>
          </cell>
          <cell r="L22">
            <v>-17</v>
          </cell>
          <cell r="M22">
            <v>-8.0565802448220012</v>
          </cell>
          <cell r="N22">
            <v>16.546824958624455</v>
          </cell>
          <cell r="O22">
            <v>47.181005031143911</v>
          </cell>
        </row>
        <row r="23">
          <cell r="J23" t="str">
            <v>Less: Tax paid</v>
          </cell>
          <cell r="K23">
            <v>-326</v>
          </cell>
          <cell r="L23">
            <v>-239</v>
          </cell>
          <cell r="M23">
            <v>-317.240611720098</v>
          </cell>
          <cell r="N23">
            <v>-432.33564608261651</v>
          </cell>
          <cell r="O23">
            <v>-517.80720369070752</v>
          </cell>
        </row>
        <row r="24">
          <cell r="J24" t="str">
            <v>Less: Change in WC</v>
          </cell>
          <cell r="K24">
            <v>-136</v>
          </cell>
          <cell r="L24">
            <v>-9</v>
          </cell>
          <cell r="M24">
            <v>-11.651709437080449</v>
          </cell>
          <cell r="N24">
            <v>-6.933948160677744</v>
          </cell>
          <cell r="O24">
            <v>-9.3401689432785986</v>
          </cell>
        </row>
        <row r="25">
          <cell r="J25" t="str">
            <v>Less: Restructuring payments</v>
          </cell>
          <cell r="K25">
            <v>-132</v>
          </cell>
          <cell r="L25">
            <v>-79</v>
          </cell>
          <cell r="M25">
            <v>-130</v>
          </cell>
          <cell r="N25">
            <v>-120</v>
          </cell>
          <cell r="O25">
            <v>-75</v>
          </cell>
        </row>
        <row r="26">
          <cell r="J26" t="str">
            <v>Less: Minority dividends paid</v>
          </cell>
          <cell r="K26">
            <v>0</v>
          </cell>
          <cell r="L26">
            <v>-192</v>
          </cell>
          <cell r="M26">
            <v>-176.25</v>
          </cell>
          <cell r="N26">
            <v>-153.95500274651812</v>
          </cell>
          <cell r="O26">
            <v>-146.59513688409149</v>
          </cell>
        </row>
        <row r="27">
          <cell r="J27" t="str">
            <v>Sub total</v>
          </cell>
          <cell r="K27">
            <v>1176</v>
          </cell>
          <cell r="L27">
            <v>1272</v>
          </cell>
          <cell r="M27">
            <v>1064.4645391470497</v>
          </cell>
          <cell r="N27">
            <v>934.9180513434053</v>
          </cell>
          <cell r="O27">
            <v>852.84559155509851</v>
          </cell>
        </row>
        <row r="28">
          <cell r="J28" t="str">
            <v>Less: Disposals/acquis.</v>
          </cell>
          <cell r="K28">
            <v>-1514</v>
          </cell>
          <cell r="L28">
            <v>0</v>
          </cell>
          <cell r="M28">
            <v>335</v>
          </cell>
          <cell r="N28">
            <v>0</v>
          </cell>
          <cell r="O28">
            <v>0</v>
          </cell>
        </row>
        <row r="29">
          <cell r="J29" t="str">
            <v>Less: Dividends paid</v>
          </cell>
          <cell r="K29">
            <v>-280</v>
          </cell>
          <cell r="L29">
            <v>-395</v>
          </cell>
          <cell r="M29">
            <v>-471.0560999999999</v>
          </cell>
          <cell r="N29">
            <v>-475.76666099999994</v>
          </cell>
          <cell r="O29">
            <v>-475.76666099999994</v>
          </cell>
        </row>
        <row r="30">
          <cell r="J30" t="str">
            <v>Less: Share buyback</v>
          </cell>
          <cell r="K30">
            <v>-325</v>
          </cell>
          <cell r="L30">
            <v>-883</v>
          </cell>
          <cell r="M30">
            <v>-500</v>
          </cell>
          <cell r="N30">
            <v>0</v>
          </cell>
          <cell r="O30">
            <v>0</v>
          </cell>
        </row>
        <row r="31">
          <cell r="J31" t="str">
            <v>Chg in Net debt/Cash</v>
          </cell>
          <cell r="K31">
            <v>-943</v>
          </cell>
          <cell r="L31">
            <v>-6</v>
          </cell>
          <cell r="M31">
            <v>428.40843914704976</v>
          </cell>
          <cell r="N31">
            <v>459.15139034340535</v>
          </cell>
          <cell r="O31">
            <v>377.07893055509857</v>
          </cell>
        </row>
        <row r="32">
          <cell r="J32" t="str">
            <v>Net debt (Cash)</v>
          </cell>
          <cell r="K32">
            <v>-157</v>
          </cell>
          <cell r="L32">
            <v>-110</v>
          </cell>
          <cell r="M32">
            <v>-538.40843914704976</v>
          </cell>
          <cell r="N32">
            <v>-997.55982949045506</v>
          </cell>
          <cell r="O32">
            <v>-1374.6387600455537</v>
          </cell>
        </row>
        <row r="33">
          <cell r="P33" t="str">
            <v>CAGR</v>
          </cell>
        </row>
        <row r="34">
          <cell r="I34" t="str">
            <v>DIVISIONAL (€m)</v>
          </cell>
          <cell r="K34" t="str">
            <v>2003A</v>
          </cell>
          <cell r="L34" t="str">
            <v>2004A</v>
          </cell>
          <cell r="M34" t="str">
            <v>2005E</v>
          </cell>
          <cell r="N34" t="str">
            <v>2006E</v>
          </cell>
          <cell r="O34" t="str">
            <v>2007E</v>
          </cell>
          <cell r="P34" t="str">
            <v>04E-07E</v>
          </cell>
        </row>
        <row r="36">
          <cell r="I36" t="str">
            <v>Revenues</v>
          </cell>
        </row>
        <row r="38">
          <cell r="G38" t="str">
            <v>CAGR</v>
          </cell>
        </row>
        <row r="39">
          <cell r="B39" t="str">
            <v>MULTIPLES &amp; RATIOS</v>
          </cell>
          <cell r="C39" t="str">
            <v>2004A</v>
          </cell>
          <cell r="D39" t="str">
            <v>2005E</v>
          </cell>
          <cell r="E39" t="str">
            <v>2006E</v>
          </cell>
          <cell r="F39" t="str">
            <v>2007E</v>
          </cell>
          <cell r="G39" t="str">
            <v>04E-07E</v>
          </cell>
          <cell r="I39" t="str">
            <v>Proximus</v>
          </cell>
          <cell r="K39">
            <v>2181</v>
          </cell>
          <cell r="L39">
            <v>2239</v>
          </cell>
          <cell r="M39">
            <v>2253.4877509032895</v>
          </cell>
          <cell r="N39">
            <v>2237.6568745483819</v>
          </cell>
          <cell r="O39">
            <v>2217.4714415666422</v>
          </cell>
          <cell r="P39">
            <v>-3.2154131710583345E-3</v>
          </cell>
        </row>
        <row r="40">
          <cell r="I40" t="str">
            <v>International Carrier</v>
          </cell>
          <cell r="K40">
            <v>626</v>
          </cell>
          <cell r="L40">
            <v>645</v>
          </cell>
          <cell r="M40">
            <v>646.75279999999998</v>
          </cell>
          <cell r="N40">
            <v>642.73518208000019</v>
          </cell>
          <cell r="O40">
            <v>633.00491323955225</v>
          </cell>
          <cell r="P40">
            <v>-6.2378409998783413E-3</v>
          </cell>
        </row>
        <row r="41">
          <cell r="B41" t="str">
            <v>EV/Revenue</v>
          </cell>
          <cell r="C41">
            <v>2.3008027739575181</v>
          </cell>
          <cell r="D41">
            <v>2.1612504305804068</v>
          </cell>
          <cell r="E41">
            <v>2.0422790861124982</v>
          </cell>
          <cell r="F41">
            <v>1.9341881751970775</v>
          </cell>
          <cell r="G41">
            <v>-2.4591021366347166E-2</v>
          </cell>
          <cell r="I41" t="str">
            <v>Domestic fixed</v>
          </cell>
          <cell r="K41">
            <v>3108</v>
          </cell>
          <cell r="L41">
            <v>3092</v>
          </cell>
          <cell r="M41">
            <v>2896.5955490578508</v>
          </cell>
          <cell r="N41">
            <v>2806.0224367322348</v>
          </cell>
          <cell r="O41">
            <v>2692.3758729448759</v>
          </cell>
          <cell r="P41">
            <v>-4.5083491133368181E-2</v>
          </cell>
        </row>
        <row r="42">
          <cell r="B42" t="str">
            <v>EV/EBITDA</v>
          </cell>
          <cell r="C42">
            <v>5.3918982096973984</v>
          </cell>
          <cell r="D42">
            <v>5.0846170770713197</v>
          </cell>
          <cell r="E42">
            <v>4.8763441838872561</v>
          </cell>
          <cell r="F42">
            <v>4.7022639384587315</v>
          </cell>
          <cell r="G42">
            <v>-3.6456290936254132E-2</v>
          </cell>
          <cell r="I42" t="str">
            <v>Eliminations</v>
          </cell>
          <cell r="K42">
            <v>-461</v>
          </cell>
          <cell r="L42">
            <v>-436</v>
          </cell>
          <cell r="M42">
            <v>-423.20329140811475</v>
          </cell>
          <cell r="N42">
            <v>-411.78702710180551</v>
          </cell>
          <cell r="O42">
            <v>-401.58696753803895</v>
          </cell>
          <cell r="P42">
            <v>-2.7033904067555348E-2</v>
          </cell>
        </row>
        <row r="43">
          <cell r="B43" t="str">
            <v>EV/OpFCF</v>
          </cell>
          <cell r="C43">
            <v>7.0500261989627484</v>
          </cell>
          <cell r="D43">
            <v>6.8009690583597395</v>
          </cell>
          <cell r="E43">
            <v>6.6022854478107824</v>
          </cell>
          <cell r="F43">
            <v>6.3974067650464956</v>
          </cell>
          <cell r="G43">
            <v>-4.912787822223974E-2</v>
          </cell>
          <cell r="I43" t="str">
            <v>Total</v>
          </cell>
          <cell r="K43">
            <v>5454</v>
          </cell>
          <cell r="L43">
            <v>5540</v>
          </cell>
          <cell r="M43">
            <v>5373.6328085530258</v>
          </cell>
          <cell r="N43">
            <v>5274.6274662588121</v>
          </cell>
          <cell r="O43">
            <v>5141.265260213032</v>
          </cell>
          <cell r="P43">
            <v>-2.4591021366347166E-2</v>
          </cell>
        </row>
        <row r="44">
          <cell r="B44" t="str">
            <v>EV/FCF</v>
          </cell>
          <cell r="C44">
            <v>10.681857877216286</v>
          </cell>
          <cell r="D44">
            <v>10.304498573272335</v>
          </cell>
          <cell r="E44">
            <v>10.003462799713308</v>
          </cell>
          <cell r="F44">
            <v>9.6930405531007526</v>
          </cell>
          <cell r="G44">
            <v>-4.912787822223974E-2</v>
          </cell>
          <cell r="I44" t="str">
            <v>% change</v>
          </cell>
          <cell r="L44">
            <v>1.5768243491015799E-2</v>
          </cell>
          <cell r="M44">
            <v>-3.0030178961547693E-2</v>
          </cell>
          <cell r="N44">
            <v>-1.8424284989594031E-2</v>
          </cell>
          <cell r="O44">
            <v>-2.5283720395209541E-2</v>
          </cell>
        </row>
        <row r="45">
          <cell r="B45" t="str">
            <v>EV/Invested capital</v>
          </cell>
          <cell r="C45">
            <v>5.0581140348113687</v>
          </cell>
          <cell r="D45">
            <v>5.0840350330276047</v>
          </cell>
          <cell r="E45">
            <v>4.8072313052930502</v>
          </cell>
          <cell r="F45">
            <v>4.4017745966746267</v>
          </cell>
          <cell r="G45">
            <v>-3.5771127574697359E-2</v>
          </cell>
        </row>
        <row r="46">
          <cell r="B46" t="str">
            <v>EV/NFA</v>
          </cell>
          <cell r="C46">
            <v>4.7955031481281605</v>
          </cell>
          <cell r="D46">
            <v>4.566643120732925</v>
          </cell>
          <cell r="E46">
            <v>4.3703004217571939</v>
          </cell>
          <cell r="F46">
            <v>4.1525843418764481</v>
          </cell>
          <cell r="G46">
            <v>-3.4175023308552488E-2</v>
          </cell>
          <cell r="I46" t="str">
            <v>EBITDA</v>
          </cell>
        </row>
        <row r="47">
          <cell r="B47" t="str">
            <v>P/EFCF</v>
          </cell>
          <cell r="C47">
            <v>10.396959330223055</v>
          </cell>
          <cell r="D47">
            <v>10.89980764245937</v>
          </cell>
          <cell r="E47">
            <v>11.437646880683705</v>
          </cell>
          <cell r="F47">
            <v>11.822080261346342</v>
          </cell>
          <cell r="G47">
            <v>-4.5209668879434228E-2</v>
          </cell>
        </row>
        <row r="48">
          <cell r="B48" t="str">
            <v>Adjusted P/E</v>
          </cell>
          <cell r="C48">
            <v>12.292566985114421</v>
          </cell>
          <cell r="D48">
            <v>12.443638886533771</v>
          </cell>
          <cell r="E48">
            <v>12.308507296971165</v>
          </cell>
          <cell r="F48">
            <v>12.592659902159046</v>
          </cell>
          <cell r="G48">
            <v>-1.1263200412560681E-2</v>
          </cell>
        </row>
        <row r="49">
          <cell r="B49" t="str">
            <v>Dividend yield</v>
          </cell>
          <cell r="C49">
            <v>4.2990654205607472E-2</v>
          </cell>
          <cell r="D49">
            <v>4.3420560747663546E-2</v>
          </cell>
          <cell r="E49">
            <v>4.3420560747663546E-2</v>
          </cell>
          <cell r="F49">
            <v>4.3420560747663546E-2</v>
          </cell>
          <cell r="G49">
            <v>3.3222835420891883E-3</v>
          </cell>
        </row>
        <row r="50">
          <cell r="B50" t="str">
            <v>EFCF yield</v>
          </cell>
          <cell r="C50">
            <v>9.6181967076959432E-2</v>
          </cell>
          <cell r="D50">
            <v>9.1744738329562453E-2</v>
          </cell>
          <cell r="E50">
            <v>8.7430571203315849E-2</v>
          </cell>
          <cell r="F50">
            <v>8.4587481889259006E-2</v>
          </cell>
          <cell r="G50">
            <v>-4.5209668879434228E-2</v>
          </cell>
          <cell r="I50" t="str">
            <v>Proximus</v>
          </cell>
          <cell r="K50">
            <v>1113</v>
          </cell>
          <cell r="L50">
            <v>1135</v>
          </cell>
          <cell r="M50">
            <v>1110.5606227061705</v>
          </cell>
          <cell r="N50">
            <v>1080.7975746156571</v>
          </cell>
          <cell r="O50">
            <v>1056.6998072981376</v>
          </cell>
          <cell r="P50">
            <v>-2.3545700053142049E-2</v>
          </cell>
        </row>
        <row r="51">
          <cell r="B51" t="str">
            <v>Net debt/EBITDA</v>
          </cell>
          <cell r="C51">
            <v>-4.6531302876480544E-2</v>
          </cell>
          <cell r="D51">
            <v>-0.23572032551446762</v>
          </cell>
          <cell r="E51">
            <v>-0.45157139617072745</v>
          </cell>
          <cell r="F51">
            <v>-0.65002020794975335</v>
          </cell>
          <cell r="G51">
            <v>1.4083922172574264</v>
          </cell>
          <cell r="I51" t="str">
            <v>International Carrier</v>
          </cell>
          <cell r="K51">
            <v>28</v>
          </cell>
          <cell r="L51">
            <v>2</v>
          </cell>
          <cell r="M51">
            <v>24.626613469767442</v>
          </cell>
          <cell r="N51">
            <v>24.593375459155382</v>
          </cell>
          <cell r="O51">
            <v>23.851500614334405</v>
          </cell>
          <cell r="P51">
            <v>1.2846967858407701</v>
          </cell>
        </row>
        <row r="52">
          <cell r="B52" t="str">
            <v>OpFCF/Net interest</v>
          </cell>
          <cell r="C52">
            <v>66.962962962962962</v>
          </cell>
          <cell r="D52">
            <v>211.95884654867984</v>
          </cell>
          <cell r="E52">
            <v>-98.604765150491062</v>
          </cell>
          <cell r="F52">
            <v>-32.945611281475855</v>
          </cell>
          <cell r="G52">
            <v>-1.7894433474365621</v>
          </cell>
          <cell r="I52" t="str">
            <v>Domestic fixed</v>
          </cell>
          <cell r="K52">
            <v>1109</v>
          </cell>
          <cell r="L52">
            <v>1227</v>
          </cell>
          <cell r="M52">
            <v>1148.9112603731121</v>
          </cell>
          <cell r="N52">
            <v>1103.6945769413808</v>
          </cell>
          <cell r="O52">
            <v>1034.2118363943509</v>
          </cell>
          <cell r="P52">
            <v>-5.5384689571712387E-2</v>
          </cell>
        </row>
        <row r="53">
          <cell r="I53" t="str">
            <v>Total</v>
          </cell>
          <cell r="K53">
            <v>2250</v>
          </cell>
          <cell r="L53">
            <v>2364</v>
          </cell>
          <cell r="M53">
            <v>2284.0984965490502</v>
          </cell>
          <cell r="N53">
            <v>2209.0855270161933</v>
          </cell>
          <cell r="O53">
            <v>2114.7631443068231</v>
          </cell>
          <cell r="P53">
            <v>-3.6456290936254132E-2</v>
          </cell>
        </row>
        <row r="54">
          <cell r="B54" t="str">
            <v>BREAKDOWN OF VALUE</v>
          </cell>
          <cell r="D54" t="str">
            <v>RELATIVE VALUATION (2005)</v>
          </cell>
          <cell r="I54" t="str">
            <v>% change</v>
          </cell>
          <cell r="L54">
            <v>5.0666666666666638E-2</v>
          </cell>
          <cell r="M54">
            <v>-3.3799282339657233E-2</v>
          </cell>
          <cell r="N54">
            <v>-3.2841390004061055E-2</v>
          </cell>
          <cell r="O54">
            <v>-4.2697478914169196E-2</v>
          </cell>
        </row>
        <row r="55">
          <cell r="I55" t="str">
            <v>EBITDA margin</v>
          </cell>
          <cell r="K55">
            <v>0.41254125412541254</v>
          </cell>
          <cell r="L55">
            <v>0.42671480144404333</v>
          </cell>
          <cell r="M55">
            <v>0.42505667542328712</v>
          </cell>
          <cell r="N55">
            <v>0.4188135638293814</v>
          </cell>
          <cell r="O55">
            <v>0.41133126521839808</v>
          </cell>
        </row>
        <row r="57">
          <cell r="I57" t="str">
            <v>Capex</v>
          </cell>
        </row>
        <row r="61">
          <cell r="I61" t="str">
            <v>Proximus</v>
          </cell>
          <cell r="K61">
            <v>149</v>
          </cell>
          <cell r="L61">
            <v>205</v>
          </cell>
          <cell r="M61">
            <v>225.5</v>
          </cell>
          <cell r="N61">
            <v>236.77500000000001</v>
          </cell>
          <cell r="O61">
            <v>229.67175000000003</v>
          </cell>
          <cell r="P61">
            <v>3.8606986064198656E-2</v>
          </cell>
        </row>
        <row r="62">
          <cell r="I62" t="str">
            <v>International Carrier</v>
          </cell>
          <cell r="K62">
            <v>17</v>
          </cell>
          <cell r="L62">
            <v>13</v>
          </cell>
          <cell r="M62">
            <v>12.935055999999999</v>
          </cell>
          <cell r="N62">
            <v>12.854703641600004</v>
          </cell>
          <cell r="O62">
            <v>12.660098264791046</v>
          </cell>
          <cell r="P62">
            <v>-8.7925107758032306E-3</v>
          </cell>
        </row>
        <row r="63">
          <cell r="I63" t="str">
            <v>Domestic fixed</v>
          </cell>
          <cell r="K63">
            <v>336</v>
          </cell>
          <cell r="L63">
            <v>338</v>
          </cell>
          <cell r="M63">
            <v>338</v>
          </cell>
          <cell r="N63">
            <v>327.86</v>
          </cell>
          <cell r="O63">
            <v>318.02420000000001</v>
          </cell>
          <cell r="P63">
            <v>-2.0101357143681109E-2</v>
          </cell>
        </row>
        <row r="64">
          <cell r="I64" t="str">
            <v>Total</v>
          </cell>
          <cell r="K64">
            <v>502</v>
          </cell>
          <cell r="L64">
            <v>556</v>
          </cell>
          <cell r="M64">
            <v>576.43505600000003</v>
          </cell>
          <cell r="N64">
            <v>577.48970364160004</v>
          </cell>
          <cell r="O64">
            <v>560.35604826479107</v>
          </cell>
          <cell r="P64">
            <v>2.6047491182943361E-3</v>
          </cell>
        </row>
        <row r="65">
          <cell r="I65" t="str">
            <v>% change</v>
          </cell>
          <cell r="L65">
            <v>0.10756972111553775</v>
          </cell>
          <cell r="M65">
            <v>3.6753697841726662E-2</v>
          </cell>
          <cell r="N65">
            <v>1.8296035791411924E-3</v>
          </cell>
          <cell r="O65">
            <v>-2.9669196296947975E-2</v>
          </cell>
        </row>
        <row r="66">
          <cell r="I66" t="str">
            <v>Capex/sales</v>
          </cell>
          <cell r="K66">
            <v>9.2042537587092049E-2</v>
          </cell>
          <cell r="L66">
            <v>0.10036101083032491</v>
          </cell>
          <cell r="M66">
            <v>0.10727101693336923</v>
          </cell>
          <cell r="N66">
            <v>0.10948445313640358</v>
          </cell>
          <cell r="O66">
            <v>0.10899185704368274</v>
          </cell>
        </row>
        <row r="68">
          <cell r="B68" t="str">
            <v>SELECTED BOND DATA</v>
          </cell>
          <cell r="I68" t="str">
            <v>OPTION ADJUSTED CREDIT SPREAD HISTORY (BPS)</v>
          </cell>
        </row>
        <row r="70">
          <cell r="D70" t="str">
            <v>Moody's</v>
          </cell>
          <cell r="E70" t="str">
            <v>Outlook</v>
          </cell>
          <cell r="F70" t="str">
            <v>S&amp;P</v>
          </cell>
          <cell r="G70" t="str">
            <v>Outlook</v>
          </cell>
        </row>
        <row r="75">
          <cell r="E75" t="str">
            <v>Issue size</v>
          </cell>
          <cell r="F75" t="str">
            <v>Yld to mat</v>
          </cell>
          <cell r="G75" t="str">
            <v xml:space="preserve">Price </v>
          </cell>
        </row>
        <row r="76">
          <cell r="L76" t="str">
            <v>No publicly traded bonds</v>
          </cell>
        </row>
        <row r="80">
          <cell r="E80" t="str">
            <v>OAS 12m chg</v>
          </cell>
          <cell r="F80" t="str">
            <v>12m tot ret</v>
          </cell>
          <cell r="G80" t="str">
            <v xml:space="preserve">OAS </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27" refreshError="1">
        <row r="6">
          <cell r="S6" t="str">
            <v xml:space="preserve"> British Telecom (Reduce) TP: 182p  (-11.3%)</v>
          </cell>
        </row>
        <row r="8">
          <cell r="G8" t="str">
            <v>CAGR</v>
          </cell>
          <cell r="P8" t="str">
            <v>CAGR</v>
          </cell>
        </row>
        <row r="9">
          <cell r="B9" t="str">
            <v>EV CALCULATION (£m)</v>
          </cell>
          <cell r="C9" t="str">
            <v>2004A</v>
          </cell>
          <cell r="D9" t="str">
            <v>2005E</v>
          </cell>
          <cell r="E9" t="str">
            <v>2006E</v>
          </cell>
          <cell r="F9" t="str">
            <v>2007E</v>
          </cell>
          <cell r="G9" t="str">
            <v>04E-07E</v>
          </cell>
          <cell r="I9" t="str">
            <v>FINANCIALS (£m)</v>
          </cell>
          <cell r="K9" t="str">
            <v>2003A</v>
          </cell>
          <cell r="L9" t="str">
            <v>2004A</v>
          </cell>
          <cell r="M9" t="str">
            <v>2005E</v>
          </cell>
          <cell r="N9" t="str">
            <v>2006E</v>
          </cell>
          <cell r="O9" t="str">
            <v>2007E</v>
          </cell>
          <cell r="P9" t="str">
            <v>04E-07E</v>
          </cell>
        </row>
        <row r="11">
          <cell r="B11" t="str">
            <v>Share price, p</v>
          </cell>
          <cell r="C11">
            <v>205.25</v>
          </cell>
          <cell r="I11" t="str">
            <v>Revenue</v>
          </cell>
          <cell r="K11">
            <v>18519</v>
          </cell>
          <cell r="L11">
            <v>18425.700450449553</v>
          </cell>
          <cell r="M11">
            <v>19259.394911337411</v>
          </cell>
          <cell r="N11">
            <v>19668.484066935176</v>
          </cell>
          <cell r="O11">
            <v>19821.521308983363</v>
          </cell>
          <cell r="P11">
            <v>2.463926034468833E-2</v>
          </cell>
        </row>
        <row r="12">
          <cell r="B12" t="str">
            <v>Number of shares</v>
          </cell>
          <cell r="C12">
            <v>8469</v>
          </cell>
          <cell r="D12">
            <v>8369</v>
          </cell>
          <cell r="E12">
            <v>8269</v>
          </cell>
          <cell r="F12">
            <v>8269</v>
          </cell>
          <cell r="I12" t="str">
            <v>EBITDA</v>
          </cell>
          <cell r="K12">
            <v>5827.57</v>
          </cell>
          <cell r="L12">
            <v>5700.216955391631</v>
          </cell>
          <cell r="M12">
            <v>5735.3463240315641</v>
          </cell>
          <cell r="N12">
            <v>5892.8991947079994</v>
          </cell>
          <cell r="O12">
            <v>5948.5790027976709</v>
          </cell>
          <cell r="P12">
            <v>1.4317572328513828E-2</v>
          </cell>
        </row>
        <row r="13">
          <cell r="B13" t="str">
            <v>Market cap.</v>
          </cell>
          <cell r="C13">
            <v>17382.622500000001</v>
          </cell>
          <cell r="D13">
            <v>17177.372500000001</v>
          </cell>
          <cell r="E13">
            <v>16972.122500000001</v>
          </cell>
          <cell r="F13">
            <v>16972.122500000001</v>
          </cell>
          <cell r="I13" t="str">
            <v>Capex</v>
          </cell>
          <cell r="K13">
            <v>2673</v>
          </cell>
          <cell r="L13">
            <v>2917.4931128591129</v>
          </cell>
          <cell r="M13">
            <v>2856.9048833877168</v>
          </cell>
          <cell r="N13">
            <v>2819.2460313452211</v>
          </cell>
          <cell r="O13">
            <v>2742.0745148326664</v>
          </cell>
          <cell r="P13">
            <v>-2.045782953512798E-2</v>
          </cell>
        </row>
        <row r="14">
          <cell r="B14" t="str">
            <v>Plus: Net debt (Cash)</v>
          </cell>
          <cell r="C14">
            <v>8307.1060683257383</v>
          </cell>
          <cell r="D14">
            <v>8088.1513130080193</v>
          </cell>
          <cell r="E14">
            <v>7487.5425712326078</v>
          </cell>
          <cell r="F14">
            <v>6674.0117040402456</v>
          </cell>
          <cell r="I14" t="str">
            <v>OpFCF (EBITDA - capex)</v>
          </cell>
          <cell r="K14">
            <v>3154.57</v>
          </cell>
          <cell r="L14">
            <v>2782.7238425325181</v>
          </cell>
          <cell r="M14">
            <v>2878.4414406438473</v>
          </cell>
          <cell r="N14">
            <v>3073.6531633627783</v>
          </cell>
          <cell r="O14">
            <v>3206.5044879650045</v>
          </cell>
          <cell r="P14">
            <v>4.8384474836728364E-2</v>
          </cell>
        </row>
        <row r="15">
          <cell r="B15" t="str">
            <v>Plus: Other financial liabilities</v>
          </cell>
          <cell r="C15">
            <v>4010.4796563848495</v>
          </cell>
          <cell r="D15">
            <v>3954.793794736991</v>
          </cell>
          <cell r="E15">
            <v>3894.6530641573027</v>
          </cell>
          <cell r="F15">
            <v>3829.7010751312391</v>
          </cell>
          <cell r="I15" t="str">
            <v>FCF (OpFCF * (1-tax rate))</v>
          </cell>
          <cell r="K15">
            <v>2281.526550984046</v>
          </cell>
          <cell r="L15">
            <v>2031.3884050487382</v>
          </cell>
          <cell r="M15">
            <v>2130.0466660764469</v>
          </cell>
          <cell r="N15">
            <v>2274.503340888456</v>
          </cell>
          <cell r="O15">
            <v>2244.5531415755031</v>
          </cell>
          <cell r="P15">
            <v>3.382169325554707E-2</v>
          </cell>
        </row>
        <row r="16">
          <cell r="B16" t="str">
            <v>Less: Associates</v>
          </cell>
          <cell r="C16">
            <v>292.36869999999999</v>
          </cell>
          <cell r="D16">
            <v>292.36869999999999</v>
          </cell>
          <cell r="E16">
            <v>292.36869999999999</v>
          </cell>
          <cell r="F16">
            <v>292.36869999999999</v>
          </cell>
          <cell r="I16" t="str">
            <v>EFCF</v>
          </cell>
          <cell r="K16">
            <v>1576.57</v>
          </cell>
          <cell r="L16">
            <v>1402.1652238913671</v>
          </cell>
          <cell r="M16">
            <v>1587.4956477874903</v>
          </cell>
          <cell r="N16">
            <v>1795.780660038954</v>
          </cell>
          <cell r="O16">
            <v>1852.0614476329943</v>
          </cell>
          <cell r="P16">
            <v>9.7198992082693891E-2</v>
          </cell>
        </row>
        <row r="17">
          <cell r="B17" t="str">
            <v>Plus: Minorities</v>
          </cell>
          <cell r="C17">
            <v>0</v>
          </cell>
          <cell r="D17">
            <v>0</v>
          </cell>
          <cell r="E17">
            <v>0</v>
          </cell>
          <cell r="F17">
            <v>0</v>
          </cell>
          <cell r="I17" t="str">
            <v>Adj net Income</v>
          </cell>
          <cell r="K17">
            <v>1313.57</v>
          </cell>
          <cell r="L17">
            <v>1483.7421825109664</v>
          </cell>
          <cell r="M17">
            <v>1505.0851033639747</v>
          </cell>
          <cell r="N17">
            <v>1640.4686377249996</v>
          </cell>
          <cell r="O17">
            <v>1647.6033327140956</v>
          </cell>
          <cell r="P17">
            <v>3.5534897833973567E-2</v>
          </cell>
        </row>
        <row r="18">
          <cell r="B18" t="str">
            <v>Less: Cumulative dividends</v>
          </cell>
          <cell r="C18">
            <v>0</v>
          </cell>
          <cell r="D18">
            <v>916.04843816557889</v>
          </cell>
          <cell r="E18">
            <v>1937.948929257489</v>
          </cell>
          <cell r="F18">
            <v>2964.1069863874172</v>
          </cell>
          <cell r="I18" t="str">
            <v>Clean EPS</v>
          </cell>
          <cell r="K18">
            <v>15.257215866194318</v>
          </cell>
          <cell r="L18">
            <v>17.416858580948073</v>
          </cell>
          <cell r="M18">
            <v>17.877243180472437</v>
          </cell>
          <cell r="N18">
            <v>19.719541263673513</v>
          </cell>
          <cell r="O18">
            <v>19.925061467095119</v>
          </cell>
          <cell r="P18">
            <v>4.5867372662230066E-2</v>
          </cell>
        </row>
        <row r="19">
          <cell r="B19" t="str">
            <v>Less: NPV YE tax credit</v>
          </cell>
          <cell r="C19">
            <v>0</v>
          </cell>
          <cell r="D19">
            <v>0</v>
          </cell>
          <cell r="E19">
            <v>0</v>
          </cell>
          <cell r="F19">
            <v>0</v>
          </cell>
          <cell r="I19" t="str">
            <v>DPS</v>
          </cell>
          <cell r="K19">
            <v>8.5022359022010559</v>
          </cell>
          <cell r="L19">
            <v>10.167222442454026</v>
          </cell>
          <cell r="M19">
            <v>10.88072738051525</v>
          </cell>
          <cell r="N19">
            <v>12.283934260030174</v>
          </cell>
          <cell r="O19">
            <v>12.409699566210278</v>
          </cell>
          <cell r="P19">
            <v>6.8693039347057727E-2</v>
          </cell>
        </row>
        <row r="20">
          <cell r="B20" t="str">
            <v>Enterprise Value</v>
          </cell>
          <cell r="C20">
            <v>27974.355708700208</v>
          </cell>
          <cell r="D20">
            <v>28011.900469579432</v>
          </cell>
          <cell r="E20">
            <v>26124.000506132426</v>
          </cell>
          <cell r="F20">
            <v>24219.359592784069</v>
          </cell>
          <cell r="G20">
            <v>-6.265418399727285E-2</v>
          </cell>
          <cell r="J20" t="str">
            <v>Cash flow</v>
          </cell>
        </row>
        <row r="21">
          <cell r="J21" t="str">
            <v>OpFCF</v>
          </cell>
          <cell r="K21">
            <v>3154.57</v>
          </cell>
          <cell r="L21">
            <v>2782.7238425325181</v>
          </cell>
          <cell r="M21">
            <v>2878.4414406438473</v>
          </cell>
          <cell r="N21">
            <v>3073.6531633627783</v>
          </cell>
          <cell r="O21">
            <v>3206.5044879650045</v>
          </cell>
        </row>
        <row r="22">
          <cell r="B22" t="str">
            <v>PRICE PERFORMANCE, -1Y</v>
          </cell>
          <cell r="J22" t="str">
            <v>Less: Interest payments</v>
          </cell>
          <cell r="K22">
            <v>-941</v>
          </cell>
          <cell r="L22">
            <v>-775.5350305891485</v>
          </cell>
          <cell r="M22">
            <v>-722.63924816090662</v>
          </cell>
          <cell r="N22">
            <v>-648.07074522314929</v>
          </cell>
          <cell r="O22">
            <v>-590.8144896411128</v>
          </cell>
        </row>
        <row r="23">
          <cell r="J23" t="str">
            <v>Less: Tax paid</v>
          </cell>
          <cell r="K23">
            <v>-761</v>
          </cell>
          <cell r="L23">
            <v>-572.45258805200228</v>
          </cell>
          <cell r="M23">
            <v>-536.54341469545045</v>
          </cell>
          <cell r="N23">
            <v>-598.86735920067497</v>
          </cell>
          <cell r="O23">
            <v>-733.54428544889765</v>
          </cell>
        </row>
        <row r="24">
          <cell r="J24" t="str">
            <v>Less: Change in WC</v>
          </cell>
          <cell r="K24">
            <v>-108</v>
          </cell>
          <cell r="L24">
            <v>-51.018362344447667</v>
          </cell>
          <cell r="M24">
            <v>141.16757278130015</v>
          </cell>
          <cell r="N24">
            <v>69.270129353367594</v>
          </cell>
          <cell r="O24">
            <v>25.913445535045454</v>
          </cell>
        </row>
        <row r="25">
          <cell r="J25" t="str">
            <v>Less: Pension provisions</v>
          </cell>
          <cell r="K25">
            <v>-72</v>
          </cell>
          <cell r="L25">
            <v>-72</v>
          </cell>
          <cell r="M25">
            <v>-72</v>
          </cell>
          <cell r="N25">
            <v>-72</v>
          </cell>
          <cell r="O25">
            <v>-72</v>
          </cell>
        </row>
        <row r="26">
          <cell r="J26" t="str">
            <v>Less: Disposals/acquisitions</v>
          </cell>
          <cell r="K26">
            <v>0</v>
          </cell>
          <cell r="L26">
            <v>-126</v>
          </cell>
          <cell r="M26">
            <v>-351.84455958549222</v>
          </cell>
          <cell r="N26">
            <v>0</v>
          </cell>
          <cell r="O26">
            <v>0</v>
          </cell>
        </row>
        <row r="27">
          <cell r="J27" t="str">
            <v>Sub total</v>
          </cell>
          <cell r="K27">
            <v>1272.5700000000002</v>
          </cell>
          <cell r="L27">
            <v>1185.7178615469197</v>
          </cell>
          <cell r="M27">
            <v>1336.5817909832986</v>
          </cell>
          <cell r="N27">
            <v>1823.9851882923219</v>
          </cell>
          <cell r="O27">
            <v>1836.0591584100396</v>
          </cell>
        </row>
        <row r="28">
          <cell r="J28" t="str">
            <v>Less: Dividends paid (net of divs received)</v>
          </cell>
          <cell r="K28">
            <v>-729</v>
          </cell>
          <cell r="L28">
            <v>-862.82392987265894</v>
          </cell>
          <cell r="M28">
            <v>-912.62703566557889</v>
          </cell>
          <cell r="N28">
            <v>-1018.3764465169103</v>
          </cell>
          <cell r="O28">
            <v>-1022.528291217678</v>
          </cell>
        </row>
        <row r="29">
          <cell r="J29" t="str">
            <v>Less: Share buyback</v>
          </cell>
          <cell r="K29">
            <v>-144</v>
          </cell>
          <cell r="L29">
            <v>-205</v>
          </cell>
          <cell r="M29">
            <v>-205</v>
          </cell>
          <cell r="N29">
            <v>-205</v>
          </cell>
          <cell r="O29">
            <v>0</v>
          </cell>
        </row>
        <row r="30">
          <cell r="J30" t="str">
            <v>Less: Other</v>
          </cell>
          <cell r="K30">
            <v>748.43</v>
          </cell>
          <cell r="L30">
            <v>8.8107299234252423E-13</v>
          </cell>
          <cell r="M30">
            <v>0</v>
          </cell>
          <cell r="N30">
            <v>-1.0231815394945443E-12</v>
          </cell>
          <cell r="O30">
            <v>0</v>
          </cell>
        </row>
        <row r="31">
          <cell r="J31" t="str">
            <v>Chg in Net debt/Cash</v>
          </cell>
          <cell r="K31">
            <v>1148</v>
          </cell>
          <cell r="L31">
            <v>117.89393167426169</v>
          </cell>
          <cell r="M31">
            <v>218.95475531771899</v>
          </cell>
          <cell r="N31">
            <v>600.60874177541154</v>
          </cell>
          <cell r="O31">
            <v>813.53086719236126</v>
          </cell>
        </row>
        <row r="32">
          <cell r="J32" t="str">
            <v>Net debt (Cash)</v>
          </cell>
          <cell r="K32">
            <v>8425</v>
          </cell>
          <cell r="L32">
            <v>8307.1060683257383</v>
          </cell>
          <cell r="M32">
            <v>8088.1513130080193</v>
          </cell>
          <cell r="N32">
            <v>7487.5425712326078</v>
          </cell>
          <cell r="O32">
            <v>6674.0117040402456</v>
          </cell>
        </row>
        <row r="33">
          <cell r="P33" t="str">
            <v>CAGR</v>
          </cell>
        </row>
        <row r="34">
          <cell r="I34" t="str">
            <v>DIVISIONAL (£m)</v>
          </cell>
          <cell r="K34" t="str">
            <v>2003A</v>
          </cell>
          <cell r="L34" t="str">
            <v>2004A</v>
          </cell>
          <cell r="M34" t="str">
            <v>2005E</v>
          </cell>
          <cell r="N34" t="str">
            <v>2006E</v>
          </cell>
          <cell r="O34" t="str">
            <v>2007E</v>
          </cell>
          <cell r="P34" t="str">
            <v>04E-07E</v>
          </cell>
        </row>
        <row r="36">
          <cell r="I36" t="str">
            <v>Revenues</v>
          </cell>
        </row>
        <row r="37">
          <cell r="I37" t="str">
            <v>Exchange lines/ ISDN - conn. &amp; rental</v>
          </cell>
          <cell r="K37">
            <v>3779</v>
          </cell>
          <cell r="L37">
            <v>3778.1444221067704</v>
          </cell>
          <cell r="M37">
            <v>3688.491216653164</v>
          </cell>
          <cell r="N37">
            <v>3595.3109179257549</v>
          </cell>
          <cell r="O37">
            <v>3480.5483775872922</v>
          </cell>
          <cell r="P37">
            <v>-2.6977148487531744E-2</v>
          </cell>
        </row>
        <row r="38">
          <cell r="G38" t="str">
            <v>CAGR</v>
          </cell>
          <cell r="I38" t="str">
            <v>Calls</v>
          </cell>
          <cell r="K38">
            <v>4314</v>
          </cell>
          <cell r="L38">
            <v>3423.3825447609938</v>
          </cell>
          <cell r="M38">
            <v>2899.9618995568758</v>
          </cell>
          <cell r="N38">
            <v>2517.2564213211231</v>
          </cell>
          <cell r="O38">
            <v>2268.0395503246091</v>
          </cell>
          <cell r="P38">
            <v>-0.12823707070586243</v>
          </cell>
        </row>
        <row r="39">
          <cell r="B39" t="str">
            <v>MULTIPLES &amp; RATIOS</v>
          </cell>
          <cell r="C39" t="str">
            <v>2004A</v>
          </cell>
          <cell r="D39" t="str">
            <v>2005E</v>
          </cell>
          <cell r="E39" t="str">
            <v>2006E</v>
          </cell>
          <cell r="F39" t="str">
            <v>2007E</v>
          </cell>
          <cell r="G39" t="str">
            <v>04E-07E</v>
          </cell>
          <cell r="I39" t="str">
            <v>Private circuits</v>
          </cell>
          <cell r="K39">
            <v>1348</v>
          </cell>
          <cell r="L39">
            <v>1280.5999999999999</v>
          </cell>
          <cell r="M39">
            <v>1216.57</v>
          </cell>
          <cell r="N39">
            <v>1155.7414999999999</v>
          </cell>
          <cell r="O39">
            <v>1097.9544249999999</v>
          </cell>
          <cell r="P39">
            <v>-5.0000000000000044E-2</v>
          </cell>
        </row>
        <row r="40">
          <cell r="I40" t="str">
            <v>Transit, other w/sale, FRIACO etc</v>
          </cell>
          <cell r="K40">
            <v>2474</v>
          </cell>
          <cell r="L40">
            <v>2450.9533375999999</v>
          </cell>
          <cell r="M40">
            <v>2425.3420838719994</v>
          </cell>
          <cell r="N40">
            <v>2387.0362021945598</v>
          </cell>
          <cell r="O40">
            <v>2335.2372701506683</v>
          </cell>
          <cell r="P40">
            <v>-1.5991937688990321E-2</v>
          </cell>
        </row>
        <row r="41">
          <cell r="B41" t="str">
            <v>EV/Revenue</v>
          </cell>
          <cell r="C41">
            <v>1.5960228813984163</v>
          </cell>
          <cell r="D41">
            <v>1.4544538184369278</v>
          </cell>
          <cell r="E41">
            <v>1.328216268077806</v>
          </cell>
          <cell r="F41">
            <v>1.2218718843647762</v>
          </cell>
          <cell r="G41">
            <v>2.463926034468833E-2</v>
          </cell>
          <cell r="I41" t="str">
            <v>Other</v>
          </cell>
          <cell r="K41">
            <v>3217</v>
          </cell>
          <cell r="L41">
            <v>2959.64</v>
          </cell>
          <cell r="M41">
            <v>2782.0616</v>
          </cell>
          <cell r="N41">
            <v>2642.9585199999997</v>
          </cell>
          <cell r="O41">
            <v>2510.8105939999996</v>
          </cell>
          <cell r="P41">
            <v>-5.334509812059518E-2</v>
          </cell>
        </row>
        <row r="42">
          <cell r="B42" t="str">
            <v>EV/EBITDA</v>
          </cell>
          <cell r="C42">
            <v>5.1590737255877199</v>
          </cell>
          <cell r="D42">
            <v>4.884081777626454</v>
          </cell>
          <cell r="E42">
            <v>4.4331320871045214</v>
          </cell>
          <cell r="F42">
            <v>4.0714529606807748</v>
          </cell>
          <cell r="G42">
            <v>1.4317572328513828E-2</v>
          </cell>
          <cell r="I42" t="str">
            <v xml:space="preserve">Traditional Revenue </v>
          </cell>
          <cell r="K42">
            <v>15132</v>
          </cell>
          <cell r="L42">
            <v>13892.720304467766</v>
          </cell>
          <cell r="M42">
            <v>13012.426800082038</v>
          </cell>
          <cell r="N42">
            <v>12298.303561441438</v>
          </cell>
          <cell r="O42">
            <v>11692.59021706257</v>
          </cell>
          <cell r="P42">
            <v>-5.5849677725984148E-2</v>
          </cell>
        </row>
        <row r="43">
          <cell r="B43" t="str">
            <v>EV/OpFCF</v>
          </cell>
          <cell r="C43">
            <v>10.568005015527135</v>
          </cell>
          <cell r="D43">
            <v>9.7316207563054515</v>
          </cell>
          <cell r="E43">
            <v>8.4993325914336584</v>
          </cell>
          <cell r="F43">
            <v>7.5531968483707912</v>
          </cell>
          <cell r="G43">
            <v>4.8384474836728364E-2</v>
          </cell>
          <cell r="I43" t="str">
            <v xml:space="preserve">Broadband: </v>
          </cell>
          <cell r="K43">
            <v>491</v>
          </cell>
          <cell r="L43">
            <v>952.01440921354299</v>
          </cell>
          <cell r="M43">
            <v>1397.0305916316956</v>
          </cell>
          <cell r="N43">
            <v>1726.9153175072172</v>
          </cell>
          <cell r="O43">
            <v>1869.2626224611965</v>
          </cell>
          <cell r="P43">
            <v>0.25220548012012833</v>
          </cell>
        </row>
        <row r="44">
          <cell r="B44" t="str">
            <v>EV/FCF</v>
          </cell>
          <cell r="C44">
            <v>14.476719199352239</v>
          </cell>
          <cell r="D44">
            <v>13.150838859872234</v>
          </cell>
          <cell r="E44">
            <v>11.485584583018458</v>
          </cell>
          <cell r="F44">
            <v>10.790281211958273</v>
          </cell>
          <cell r="G44">
            <v>3.382169325554707E-2</v>
          </cell>
          <cell r="I44" t="str">
            <v xml:space="preserve">Mobility </v>
          </cell>
          <cell r="K44">
            <v>99</v>
          </cell>
          <cell r="L44">
            <v>213.07159883720931</v>
          </cell>
          <cell r="M44">
            <v>373.16323255813955</v>
          </cell>
          <cell r="N44">
            <v>590.84178488372106</v>
          </cell>
          <cell r="O44">
            <v>757.75458911337216</v>
          </cell>
          <cell r="P44">
            <v>0.52639758473827158</v>
          </cell>
        </row>
        <row r="45">
          <cell r="B45" t="str">
            <v>EV/Invested capital</v>
          </cell>
          <cell r="C45">
            <v>6.1696801652110782</v>
          </cell>
          <cell r="D45">
            <v>6.789910863042933</v>
          </cell>
          <cell r="E45">
            <v>8.6179675243922862</v>
          </cell>
          <cell r="F45">
            <v>15.971984167530199</v>
          </cell>
          <cell r="G45">
            <v>-0.31734526777869554</v>
          </cell>
          <cell r="I45" t="str">
            <v xml:space="preserve">Other </v>
          </cell>
          <cell r="K45">
            <v>251</v>
          </cell>
          <cell r="L45">
            <v>389.07413793103444</v>
          </cell>
          <cell r="M45">
            <v>1080.9194870655369</v>
          </cell>
          <cell r="N45">
            <v>1249.0660271027978</v>
          </cell>
          <cell r="O45">
            <v>1318.2207667462226</v>
          </cell>
          <cell r="P45">
            <v>0.50193773384522777</v>
          </cell>
        </row>
        <row r="46">
          <cell r="B46" t="str">
            <v>EV/NFA</v>
          </cell>
          <cell r="C46">
            <v>1.839989388338547</v>
          </cell>
          <cell r="D46">
            <v>1.7341707990248185</v>
          </cell>
          <cell r="E46">
            <v>1.6325245543116351</v>
          </cell>
          <cell r="F46">
            <v>1.5326721340869163</v>
          </cell>
          <cell r="G46">
            <v>-3.7801350031392289E-3</v>
          </cell>
          <cell r="I46" t="str">
            <v>ICT / Solutions / Syntegra</v>
          </cell>
          <cell r="K46">
            <v>2546</v>
          </cell>
          <cell r="L46">
            <v>2978.82</v>
          </cell>
          <cell r="M46">
            <v>3395.8548000000001</v>
          </cell>
          <cell r="N46">
            <v>3803.3573760000004</v>
          </cell>
          <cell r="O46">
            <v>4183.6931136000012</v>
          </cell>
          <cell r="P46">
            <v>0.11988093972483926</v>
          </cell>
        </row>
        <row r="47">
          <cell r="B47" t="str">
            <v>P/EFCF</v>
          </cell>
          <cell r="C47">
            <v>14.024377403580974</v>
          </cell>
          <cell r="D47">
            <v>12.212470824124374</v>
          </cell>
          <cell r="E47">
            <v>10.64160824719797</v>
          </cell>
          <cell r="F47">
            <v>10.279353477370007</v>
          </cell>
          <cell r="G47">
            <v>9.7198992082693891E-2</v>
          </cell>
          <cell r="I47" t="str">
            <v>Total New Wave</v>
          </cell>
          <cell r="K47">
            <v>3387</v>
          </cell>
          <cell r="L47">
            <v>4532.9801459817863</v>
          </cell>
          <cell r="M47">
            <v>6246.9681112553726</v>
          </cell>
          <cell r="N47">
            <v>7370.1805054937367</v>
          </cell>
          <cell r="O47">
            <v>8128.9310919207919</v>
          </cell>
          <cell r="P47">
            <v>0.21492613650884351</v>
          </cell>
        </row>
        <row r="48">
          <cell r="B48" t="str">
            <v>Adjusted P/E</v>
          </cell>
          <cell r="C48">
            <v>11.784559141136885</v>
          </cell>
          <cell r="D48">
            <v>11.481076692193652</v>
          </cell>
          <cell r="E48">
            <v>10.40845713678455</v>
          </cell>
          <cell r="F48">
            <v>10.301097456535148</v>
          </cell>
          <cell r="G48">
            <v>3.5534897833973567E-2</v>
          </cell>
          <cell r="I48" t="str">
            <v>Total</v>
          </cell>
          <cell r="K48">
            <v>18519</v>
          </cell>
          <cell r="L48">
            <v>18425.700450449553</v>
          </cell>
          <cell r="M48">
            <v>19259.394911337411</v>
          </cell>
          <cell r="N48">
            <v>19668.484066935176</v>
          </cell>
          <cell r="O48">
            <v>19821.521308983363</v>
          </cell>
          <cell r="P48">
            <v>2.463926034468833E-2</v>
          </cell>
        </row>
        <row r="49">
          <cell r="B49" t="str">
            <v>Dividend yield</v>
          </cell>
          <cell r="C49">
            <v>4.953579752718161E-2</v>
          </cell>
          <cell r="D49">
            <v>5.3012070063411694E-2</v>
          </cell>
          <cell r="E49">
            <v>5.9848644385043476E-2</v>
          </cell>
          <cell r="F49">
            <v>6.0461386437078095E-2</v>
          </cell>
          <cell r="G49">
            <v>6.8693039347057727E-2</v>
          </cell>
          <cell r="I49" t="str">
            <v>% change</v>
          </cell>
          <cell r="L49">
            <v>-5.0380446865623263E-3</v>
          </cell>
          <cell r="M49">
            <v>4.5246283208056681E-2</v>
          </cell>
          <cell r="N49">
            <v>2.1241018083955732E-2</v>
          </cell>
          <cell r="O49">
            <v>7.7808356519686317E-3</v>
          </cell>
        </row>
        <row r="50">
          <cell r="B50" t="str">
            <v>EFCF yield</v>
          </cell>
          <cell r="C50">
            <v>7.1304413110321804E-2</v>
          </cell>
          <cell r="D50">
            <v>8.1883511895448013E-2</v>
          </cell>
          <cell r="E50">
            <v>9.397075862694991E-2</v>
          </cell>
          <cell r="F50">
            <v>9.7282382807586068E-2</v>
          </cell>
          <cell r="G50">
            <v>9.7198992082693891E-2</v>
          </cell>
        </row>
        <row r="51">
          <cell r="B51" t="str">
            <v>Net debt/EBITDA</v>
          </cell>
          <cell r="C51">
            <v>1.4573315600677872</v>
          </cell>
          <cell r="D51">
            <v>1.410228930573558</v>
          </cell>
          <cell r="E51">
            <v>1.2706042176924808</v>
          </cell>
          <cell r="F51">
            <v>1.1219505870059718</v>
          </cell>
          <cell r="G51">
            <v>-8.3487371679869082E-2</v>
          </cell>
          <cell r="I51" t="str">
            <v>EBITDA</v>
          </cell>
        </row>
        <row r="52">
          <cell r="B52" t="str">
            <v>OpFCF/Net interest</v>
          </cell>
          <cell r="C52">
            <v>-3.3523591923485654</v>
          </cell>
          <cell r="D52">
            <v>-3.5881342979679127</v>
          </cell>
          <cell r="E52">
            <v>-3.9832343011667124</v>
          </cell>
          <cell r="F52">
            <v>-4.7427741276987154</v>
          </cell>
          <cell r="G52">
            <v>0.12260584443518141</v>
          </cell>
          <cell r="I52" t="str">
            <v>Domestic wireline</v>
          </cell>
          <cell r="K52">
            <v>5286.57</v>
          </cell>
          <cell r="L52">
            <v>5124.8024565874548</v>
          </cell>
          <cell r="M52">
            <v>4984.581960529752</v>
          </cell>
          <cell r="N52">
            <v>4980.7996570644236</v>
          </cell>
          <cell r="O52">
            <v>4897.8637433103677</v>
          </cell>
          <cell r="P52">
            <v>-1.4984215739268447E-2</v>
          </cell>
        </row>
        <row r="53">
          <cell r="I53" t="str">
            <v>BT GS</v>
          </cell>
          <cell r="K53">
            <v>541</v>
          </cell>
          <cell r="L53">
            <v>570.41346997432879</v>
          </cell>
          <cell r="M53">
            <v>676.2777926881929</v>
          </cell>
          <cell r="N53">
            <v>795.39584074797722</v>
          </cell>
          <cell r="O53">
            <v>917.34697490510314</v>
          </cell>
          <cell r="P53">
            <v>0.1716051899950215</v>
          </cell>
        </row>
        <row r="54">
          <cell r="B54" t="str">
            <v>BREAKDOWN OF VALUE</v>
          </cell>
          <cell r="D54" t="str">
            <v>RELATIVE VALUATION (2005)</v>
          </cell>
          <cell r="I54" t="str">
            <v>Other</v>
          </cell>
          <cell r="K54">
            <v>0</v>
          </cell>
          <cell r="L54">
            <v>5.0010288298473711</v>
          </cell>
          <cell r="M54">
            <v>74.486570813619437</v>
          </cell>
          <cell r="N54">
            <v>116.70369689559934</v>
          </cell>
          <cell r="O54">
            <v>133.36828458220026</v>
          </cell>
          <cell r="P54">
            <v>1.9876592872358723</v>
          </cell>
        </row>
        <row r="55">
          <cell r="I55" t="str">
            <v>Total</v>
          </cell>
          <cell r="K55">
            <v>5827.57</v>
          </cell>
          <cell r="L55">
            <v>5700.216955391631</v>
          </cell>
          <cell r="M55">
            <v>5735.3463240315641</v>
          </cell>
          <cell r="N55">
            <v>5892.8991947079994</v>
          </cell>
          <cell r="O55">
            <v>5948.5790027976709</v>
          </cell>
          <cell r="P55">
            <v>1.4317572328513828E-2</v>
          </cell>
        </row>
        <row r="56">
          <cell r="I56" t="str">
            <v>% change</v>
          </cell>
          <cell r="L56">
            <v>-2.1853541803593779E-2</v>
          </cell>
          <cell r="M56">
            <v>6.1628125586878912E-3</v>
          </cell>
          <cell r="N56">
            <v>2.7470506884000434E-2</v>
          </cell>
          <cell r="O56">
            <v>9.4486272800446969E-3</v>
          </cell>
        </row>
        <row r="57">
          <cell r="I57" t="str">
            <v>EBITDA margin</v>
          </cell>
          <cell r="K57">
            <v>0.31468059830444406</v>
          </cell>
          <cell r="L57">
            <v>0.3093622937548926</v>
          </cell>
          <cell r="M57">
            <v>0.29779473085394509</v>
          </cell>
          <cell r="N57">
            <v>0.29961125497285235</v>
          </cell>
          <cell r="O57">
            <v>0.30010708613479126</v>
          </cell>
        </row>
        <row r="60">
          <cell r="I60" t="str">
            <v>Capex</v>
          </cell>
        </row>
        <row r="61">
          <cell r="I61" t="str">
            <v>Domestic wireline</v>
          </cell>
          <cell r="K61">
            <v>2194</v>
          </cell>
          <cell r="L61">
            <v>2404.7306204461447</v>
          </cell>
          <cell r="M61">
            <v>2249.609727173497</v>
          </cell>
          <cell r="N61">
            <v>2158.7485791239537</v>
          </cell>
          <cell r="O61">
            <v>2042.8405651533612</v>
          </cell>
          <cell r="P61">
            <v>-5.2914153257476948E-2</v>
          </cell>
        </row>
        <row r="62">
          <cell r="I62" t="str">
            <v>BT GS</v>
          </cell>
          <cell r="K62">
            <v>479</v>
          </cell>
          <cell r="L62">
            <v>505.04261019908228</v>
          </cell>
          <cell r="M62">
            <v>540.95899051074525</v>
          </cell>
          <cell r="N62">
            <v>580.21839625712892</v>
          </cell>
          <cell r="O62">
            <v>615.02281580430611</v>
          </cell>
          <cell r="P62">
            <v>6.7876596890977803E-2</v>
          </cell>
        </row>
        <row r="63">
          <cell r="I63" t="str">
            <v>Other</v>
          </cell>
          <cell r="K63">
            <v>0</v>
          </cell>
          <cell r="L63">
            <v>7.7198822138856045</v>
          </cell>
          <cell r="M63">
            <v>66.336165703474549</v>
          </cell>
          <cell r="N63">
            <v>80.279055964138308</v>
          </cell>
          <cell r="O63">
            <v>84.211133874999163</v>
          </cell>
          <cell r="P63">
            <v>1.2177858774926587</v>
          </cell>
        </row>
        <row r="64">
          <cell r="I64" t="str">
            <v>Total</v>
          </cell>
          <cell r="K64">
            <v>2673</v>
          </cell>
          <cell r="L64">
            <v>2917.4931128591129</v>
          </cell>
          <cell r="M64">
            <v>2856.9048833877168</v>
          </cell>
          <cell r="N64">
            <v>2819.2460313452211</v>
          </cell>
          <cell r="O64">
            <v>2742.0745148326664</v>
          </cell>
          <cell r="P64">
            <v>-2.045782953512798E-2</v>
          </cell>
        </row>
        <row r="65">
          <cell r="I65" t="str">
            <v>% change</v>
          </cell>
          <cell r="L65">
            <v>9.1467681578418558E-2</v>
          </cell>
          <cell r="M65">
            <v>-2.0767222792865581E-2</v>
          </cell>
          <cell r="N65">
            <v>-1.3181696129077936E-2</v>
          </cell>
          <cell r="O65">
            <v>-2.7373104601208564E-2</v>
          </cell>
        </row>
        <row r="66">
          <cell r="I66" t="str">
            <v>Capex/sales</v>
          </cell>
          <cell r="K66">
            <v>0.14433824720557265</v>
          </cell>
          <cell r="L66">
            <v>0.15833824720557266</v>
          </cell>
          <cell r="M66">
            <v>0.14833824720557265</v>
          </cell>
          <cell r="N66">
            <v>0.14333824720557264</v>
          </cell>
          <cell r="O66">
            <v>0.13833824720557264</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BRITEL 7.125 2/15/2011</v>
          </cell>
          <cell r="D71" t="str">
            <v>Baa1</v>
          </cell>
          <cell r="E71" t="str">
            <v>STABLE</v>
          </cell>
          <cell r="F71" t="str">
            <v>A-</v>
          </cell>
          <cell r="G71" t="str">
            <v>STABLE</v>
          </cell>
        </row>
        <row r="72">
          <cell r="B72" t="str">
            <v xml:space="preserve"> BRITEL 8.875 12/15/2030</v>
          </cell>
          <cell r="D72" t="str">
            <v>Baa1</v>
          </cell>
          <cell r="E72" t="str">
            <v>STABLE</v>
          </cell>
          <cell r="F72" t="str">
            <v>A-</v>
          </cell>
          <cell r="G72" t="str">
            <v>STABLE</v>
          </cell>
        </row>
        <row r="75">
          <cell r="E75" t="str">
            <v>Issue size</v>
          </cell>
          <cell r="F75" t="str">
            <v>Yld to mat</v>
          </cell>
          <cell r="G75" t="str">
            <v xml:space="preserve">Price </v>
          </cell>
        </row>
        <row r="76">
          <cell r="B76" t="str">
            <v xml:space="preserve"> BRITEL 7.125 2/15/2011</v>
          </cell>
          <cell r="E76" t="str">
            <v>€1125</v>
          </cell>
          <cell r="F76">
            <v>3.5200000000000002E-2</v>
          </cell>
          <cell r="G76">
            <v>118.86</v>
          </cell>
        </row>
        <row r="77">
          <cell r="B77" t="str">
            <v xml:space="preserve"> BRITEL 8.875 12/15/2030</v>
          </cell>
          <cell r="E77" t="str">
            <v>US$2800</v>
          </cell>
          <cell r="F77">
            <v>5.96E-2</v>
          </cell>
          <cell r="G77">
            <v>138.07</v>
          </cell>
        </row>
        <row r="80">
          <cell r="E80" t="str">
            <v>OAS 12m chg</v>
          </cell>
          <cell r="F80" t="str">
            <v>12m tot ret</v>
          </cell>
          <cell r="G80" t="str">
            <v xml:space="preserve">OAS </v>
          </cell>
        </row>
        <row r="81">
          <cell r="B81" t="str">
            <v xml:space="preserve"> BRITEL 7.125 2/15/2011</v>
          </cell>
          <cell r="E81">
            <v>-39</v>
          </cell>
          <cell r="F81">
            <v>8.7330000000000005E-2</v>
          </cell>
          <cell r="G81">
            <v>35</v>
          </cell>
        </row>
        <row r="82">
          <cell r="B82" t="str">
            <v xml:space="preserve"> BRITEL 8.875 12/15/2030</v>
          </cell>
          <cell r="E82">
            <v>-23</v>
          </cell>
          <cell r="F82">
            <v>0.11537000000000001</v>
          </cell>
          <cell r="G82">
            <v>128</v>
          </cell>
        </row>
        <row r="84">
          <cell r="B84" t="str">
            <v>Source: Merrill Lynch Index System, Bloomberg, NSR; OAS-Option Adjusted Spread; *+ / *- credit rating watchlists (See disclaimer); Data as of 04-Mar-05</v>
          </cell>
        </row>
        <row r="86">
          <cell r="B86" t="str">
            <v>NOTE: 2004 refers to March 2005 and so on</v>
          </cell>
        </row>
        <row r="87">
          <cell r="B87" t="str">
            <v>DEFINITIONS: OpFCF = EBITDA - capex; FCF = OpFCF * (1 - tax rate); EFCF = Clean net income + depreciation - capex. EFCF yield adjusts mkt cap. for the NPV of tax credits &amp; all other one-off cash items.</v>
          </cell>
        </row>
      </sheetData>
      <sheetData sheetId="28" refreshError="1">
        <row r="6">
          <cell r="S6" t="str">
            <v xml:space="preserve"> Deutsche Telekom (Neutral) TP: €17.0  (+7.3%)</v>
          </cell>
        </row>
        <row r="8">
          <cell r="G8" t="str">
            <v>CAGR</v>
          </cell>
          <cell r="P8" t="str">
            <v>CAGR</v>
          </cell>
        </row>
        <row r="9">
          <cell r="B9" t="str">
            <v>EV CALCULATION (€m)</v>
          </cell>
          <cell r="C9" t="str">
            <v>2004A</v>
          </cell>
          <cell r="D9" t="str">
            <v>2005E</v>
          </cell>
          <cell r="E9" t="str">
            <v>2006E</v>
          </cell>
          <cell r="F9" t="str">
            <v>2007E</v>
          </cell>
          <cell r="G9" t="str">
            <v>04E-07E</v>
          </cell>
          <cell r="I9" t="str">
            <v>FINANCIALS (€m)</v>
          </cell>
          <cell r="K9" t="str">
            <v>2003A</v>
          </cell>
          <cell r="L9" t="str">
            <v>2004A</v>
          </cell>
          <cell r="M9" t="str">
            <v>2005E</v>
          </cell>
          <cell r="N9" t="str">
            <v>2006E</v>
          </cell>
          <cell r="O9" t="str">
            <v>2007E</v>
          </cell>
          <cell r="P9" t="str">
            <v>04E-07E</v>
          </cell>
        </row>
        <row r="11">
          <cell r="B11" t="str">
            <v>Share price, €</v>
          </cell>
          <cell r="C11">
            <v>15.84</v>
          </cell>
          <cell r="I11" t="str">
            <v>Revenue</v>
          </cell>
          <cell r="K11">
            <v>55838</v>
          </cell>
          <cell r="L11">
            <v>57880</v>
          </cell>
          <cell r="M11">
            <v>59046.185708653735</v>
          </cell>
          <cell r="N11">
            <v>59245.979021416199</v>
          </cell>
          <cell r="O11">
            <v>59390.376642163203</v>
          </cell>
          <cell r="P11">
            <v>8.6237393975885368E-3</v>
          </cell>
        </row>
        <row r="12">
          <cell r="B12" t="str">
            <v>Number of shares</v>
          </cell>
          <cell r="C12">
            <v>4195</v>
          </cell>
          <cell r="D12">
            <v>4195</v>
          </cell>
          <cell r="E12">
            <v>4390</v>
          </cell>
          <cell r="F12">
            <v>4390</v>
          </cell>
          <cell r="I12" t="str">
            <v>EBITDA</v>
          </cell>
          <cell r="K12">
            <v>18288</v>
          </cell>
          <cell r="L12">
            <v>19364</v>
          </cell>
          <cell r="M12">
            <v>20474.757882301292</v>
          </cell>
          <cell r="N12">
            <v>20887.045321618196</v>
          </cell>
          <cell r="O12">
            <v>21053.821053148153</v>
          </cell>
          <cell r="P12">
            <v>2.8281331223081185E-2</v>
          </cell>
        </row>
        <row r="13">
          <cell r="B13" t="str">
            <v>Market cap.</v>
          </cell>
          <cell r="C13">
            <v>66448.800000000003</v>
          </cell>
          <cell r="D13">
            <v>66448.800000000003</v>
          </cell>
          <cell r="E13">
            <v>69537.600000000006</v>
          </cell>
          <cell r="F13">
            <v>69537.600000000006</v>
          </cell>
          <cell r="I13" t="str">
            <v>Capex</v>
          </cell>
          <cell r="K13">
            <v>6208</v>
          </cell>
          <cell r="L13">
            <v>5920</v>
          </cell>
          <cell r="M13">
            <v>7110.1367264336805</v>
          </cell>
          <cell r="N13">
            <v>7471.6307385294622</v>
          </cell>
          <cell r="O13">
            <v>7575.5567484630628</v>
          </cell>
          <cell r="P13">
            <v>8.5669447810818422E-2</v>
          </cell>
        </row>
        <row r="14">
          <cell r="B14" t="str">
            <v>Plus: Net debt (Cash)</v>
          </cell>
          <cell r="C14">
            <v>34600</v>
          </cell>
          <cell r="D14">
            <v>29827.709711073476</v>
          </cell>
          <cell r="E14">
            <v>23313.496691884691</v>
          </cell>
          <cell r="F14">
            <v>18927.808107202181</v>
          </cell>
          <cell r="I14" t="str">
            <v>OpFCF (EBITDA - capex)</v>
          </cell>
          <cell r="K14">
            <v>12080</v>
          </cell>
          <cell r="L14">
            <v>13444</v>
          </cell>
          <cell r="M14">
            <v>13364.621155867611</v>
          </cell>
          <cell r="N14">
            <v>13415.414583088734</v>
          </cell>
          <cell r="O14">
            <v>13478.26430468509</v>
          </cell>
          <cell r="P14">
            <v>8.4883557413850674E-4</v>
          </cell>
        </row>
        <row r="15">
          <cell r="B15" t="str">
            <v>Plus: Other financial liabilities</v>
          </cell>
          <cell r="C15">
            <v>2400</v>
          </cell>
          <cell r="D15">
            <v>2400</v>
          </cell>
          <cell r="E15">
            <v>2400</v>
          </cell>
          <cell r="F15">
            <v>2400</v>
          </cell>
          <cell r="I15" t="str">
            <v>FCF (OpFCF * (1-tax rate))</v>
          </cell>
          <cell r="K15">
            <v>7368.8</v>
          </cell>
          <cell r="L15">
            <v>8200.84</v>
          </cell>
          <cell r="M15">
            <v>8152.4189050792429</v>
          </cell>
          <cell r="N15">
            <v>8183.4028956841275</v>
          </cell>
          <cell r="O15">
            <v>8221.7412258579043</v>
          </cell>
          <cell r="P15">
            <v>8.4883557413850674E-4</v>
          </cell>
        </row>
        <row r="16">
          <cell r="B16" t="str">
            <v>Less: Associates</v>
          </cell>
          <cell r="C16">
            <v>3605.8367691026756</v>
          </cell>
          <cell r="D16">
            <v>3605.8367691026756</v>
          </cell>
          <cell r="E16">
            <v>3605.8367691026756</v>
          </cell>
          <cell r="F16">
            <v>3605.8367691026756</v>
          </cell>
          <cell r="I16" t="str">
            <v>EFCF</v>
          </cell>
          <cell r="K16">
            <v>5259.7851351351346</v>
          </cell>
          <cell r="L16">
            <v>6429.0218709677429</v>
          </cell>
          <cell r="M16">
            <v>6435.16806822127</v>
          </cell>
          <cell r="N16">
            <v>6635.1489609809105</v>
          </cell>
          <cell r="O16">
            <v>6934.5258152954848</v>
          </cell>
          <cell r="P16">
            <v>2.5551062000646274E-2</v>
          </cell>
        </row>
        <row r="17">
          <cell r="B17" t="str">
            <v>Plus: Minorities</v>
          </cell>
          <cell r="C17">
            <v>6472.4577174688729</v>
          </cell>
          <cell r="D17">
            <v>6472.4577174688729</v>
          </cell>
          <cell r="E17">
            <v>6472.4577174688729</v>
          </cell>
          <cell r="F17">
            <v>6472.4577174688729</v>
          </cell>
          <cell r="I17" t="str">
            <v>Adj net Income</v>
          </cell>
          <cell r="K17">
            <v>3261.7851351351351</v>
          </cell>
          <cell r="L17">
            <v>4949.021870967742</v>
          </cell>
          <cell r="M17">
            <v>6155.3048906201375</v>
          </cell>
          <cell r="N17">
            <v>6687.7583788006405</v>
          </cell>
          <cell r="O17">
            <v>7007.4582836487061</v>
          </cell>
          <cell r="P17">
            <v>0.12291542947047285</v>
          </cell>
        </row>
        <row r="18">
          <cell r="B18" t="str">
            <v>Less: Cumulative dividends</v>
          </cell>
          <cell r="C18">
            <v>0</v>
          </cell>
          <cell r="D18">
            <v>2600.9</v>
          </cell>
          <cell r="E18">
            <v>5537.4</v>
          </cell>
          <cell r="F18">
            <v>8764.0499999999993</v>
          </cell>
          <cell r="I18" t="str">
            <v>Clean EPS</v>
          </cell>
          <cell r="K18">
            <v>0.77754115259478784</v>
          </cell>
          <cell r="L18">
            <v>1.1797429966550042</v>
          </cell>
          <cell r="M18">
            <v>1.4672955639142162</v>
          </cell>
          <cell r="N18">
            <v>1.5580101057194271</v>
          </cell>
          <cell r="O18">
            <v>1.5962319552730537</v>
          </cell>
          <cell r="P18">
            <v>0.10603668266154243</v>
          </cell>
        </row>
        <row r="19">
          <cell r="B19" t="str">
            <v>Less: NPV YE tax credit</v>
          </cell>
          <cell r="C19">
            <v>4227.8352335066029</v>
          </cell>
          <cell r="D19">
            <v>1804.4926722597363</v>
          </cell>
          <cell r="E19">
            <v>1555.3535340108303</v>
          </cell>
          <cell r="F19">
            <v>1165.6245300796932</v>
          </cell>
          <cell r="I19" t="str">
            <v>DPS</v>
          </cell>
          <cell r="K19">
            <v>0</v>
          </cell>
          <cell r="L19">
            <v>0.62</v>
          </cell>
          <cell r="M19">
            <v>0.7</v>
          </cell>
          <cell r="N19">
            <v>0.73499999999999999</v>
          </cell>
          <cell r="O19">
            <v>0.75705</v>
          </cell>
          <cell r="P19">
            <v>6.8835717047817546E-2</v>
          </cell>
        </row>
        <row r="20">
          <cell r="B20" t="str">
            <v>Enterprise Value</v>
          </cell>
          <cell r="C20">
            <v>103649.73896722356</v>
          </cell>
          <cell r="D20">
            <v>97137.737987179949</v>
          </cell>
          <cell r="E20">
            <v>91024.964106240062</v>
          </cell>
          <cell r="F20">
            <v>83802.354525488685</v>
          </cell>
          <cell r="G20">
            <v>-6.3672535152190957E-2</v>
          </cell>
          <cell r="J20" t="str">
            <v>Cash flow</v>
          </cell>
        </row>
        <row r="21">
          <cell r="J21" t="str">
            <v>OpFCF</v>
          </cell>
          <cell r="K21">
            <v>12080</v>
          </cell>
          <cell r="L21">
            <v>13444</v>
          </cell>
          <cell r="M21">
            <v>13364.621155867611</v>
          </cell>
          <cell r="N21">
            <v>13415.414583088734</v>
          </cell>
          <cell r="O21">
            <v>13478.26430468509</v>
          </cell>
        </row>
        <row r="22">
          <cell r="B22" t="str">
            <v>PRICE PERFORMANCE, -1Y</v>
          </cell>
          <cell r="J22" t="str">
            <v>Less: Interest payments</v>
          </cell>
          <cell r="K22">
            <v>-3776</v>
          </cell>
          <cell r="L22">
            <v>-3634</v>
          </cell>
          <cell r="M22">
            <v>-2610.5144325224164</v>
          </cell>
          <cell r="N22">
            <v>-2046.9197869725976</v>
          </cell>
          <cell r="O22">
            <v>-1542.589270651393</v>
          </cell>
        </row>
        <row r="23">
          <cell r="J23" t="str">
            <v>Less: Tax paid</v>
          </cell>
          <cell r="K23">
            <v>-536</v>
          </cell>
          <cell r="L23">
            <v>12</v>
          </cell>
          <cell r="M23">
            <v>-1485.5250990289974</v>
          </cell>
          <cell r="N23">
            <v>-4240.1169697442419</v>
          </cell>
          <cell r="O23">
            <v>-4346.6877649161543</v>
          </cell>
        </row>
        <row r="24">
          <cell r="J24" t="str">
            <v>Less: Change in WC</v>
          </cell>
          <cell r="K24">
            <v>739</v>
          </cell>
          <cell r="L24">
            <v>537</v>
          </cell>
          <cell r="M24">
            <v>-21.391335389674396</v>
          </cell>
          <cell r="N24">
            <v>-3.664807183111634</v>
          </cell>
          <cell r="O24">
            <v>-2.6486844350349656</v>
          </cell>
        </row>
        <row r="25">
          <cell r="J25" t="str">
            <v>Add: Dividend income</v>
          </cell>
          <cell r="K25">
            <v>26</v>
          </cell>
          <cell r="L25">
            <v>26</v>
          </cell>
          <cell r="M25">
            <v>26</v>
          </cell>
          <cell r="N25">
            <v>26</v>
          </cell>
          <cell r="O25">
            <v>26</v>
          </cell>
        </row>
        <row r="26">
          <cell r="J26" t="str">
            <v>Less: Other</v>
          </cell>
          <cell r="K26">
            <v>1367</v>
          </cell>
          <cell r="L26">
            <v>-274</v>
          </cell>
          <cell r="M26">
            <v>1.3642420526593924E-12</v>
          </cell>
          <cell r="N26">
            <v>0</v>
          </cell>
          <cell r="O26">
            <v>2.2737367544323206E-12</v>
          </cell>
        </row>
        <row r="27">
          <cell r="J27" t="str">
            <v>Sub total</v>
          </cell>
          <cell r="K27">
            <v>9900</v>
          </cell>
          <cell r="L27">
            <v>10111</v>
          </cell>
          <cell r="M27">
            <v>9273.1902889265239</v>
          </cell>
          <cell r="N27">
            <v>7150.7130191887827</v>
          </cell>
          <cell r="O27">
            <v>7612.3385846825095</v>
          </cell>
        </row>
        <row r="28">
          <cell r="J28" t="str">
            <v>Less: Acquisitions</v>
          </cell>
          <cell r="K28">
            <v>0</v>
          </cell>
          <cell r="L28">
            <v>-600</v>
          </cell>
          <cell r="M28">
            <v>-1900</v>
          </cell>
          <cell r="N28">
            <v>0</v>
          </cell>
          <cell r="O28">
            <v>0</v>
          </cell>
        </row>
        <row r="29">
          <cell r="J29" t="str">
            <v>Less: Dividends paid</v>
          </cell>
          <cell r="K29">
            <v>0</v>
          </cell>
          <cell r="L29">
            <v>0</v>
          </cell>
          <cell r="M29">
            <v>-2600.9</v>
          </cell>
          <cell r="N29">
            <v>-2936.5</v>
          </cell>
          <cell r="O29">
            <v>-3226.65</v>
          </cell>
        </row>
        <row r="30">
          <cell r="J30" t="str">
            <v>Plus: Disposals/ reductions</v>
          </cell>
          <cell r="K30">
            <v>4715</v>
          </cell>
          <cell r="L30">
            <v>2000</v>
          </cell>
          <cell r="M30">
            <v>0</v>
          </cell>
          <cell r="N30">
            <v>2300</v>
          </cell>
          <cell r="O30">
            <v>0</v>
          </cell>
        </row>
        <row r="31">
          <cell r="J31" t="str">
            <v>Chg in Net debt/Cash</v>
          </cell>
          <cell r="K31">
            <v>14615</v>
          </cell>
          <cell r="L31">
            <v>11511</v>
          </cell>
          <cell r="M31">
            <v>4772.2902889265242</v>
          </cell>
          <cell r="N31">
            <v>6514.2130191887827</v>
          </cell>
          <cell r="O31">
            <v>4385.6885846825098</v>
          </cell>
        </row>
        <row r="32">
          <cell r="J32" t="str">
            <v>Net debt (Cash)</v>
          </cell>
          <cell r="K32">
            <v>46111</v>
          </cell>
          <cell r="L32">
            <v>34600</v>
          </cell>
          <cell r="M32">
            <v>29827.709711073476</v>
          </cell>
          <cell r="N32">
            <v>23313.496691884691</v>
          </cell>
          <cell r="O32">
            <v>18927.808107202181</v>
          </cell>
        </row>
        <row r="33">
          <cell r="P33" t="str">
            <v>CAGR</v>
          </cell>
        </row>
        <row r="34">
          <cell r="I34" t="str">
            <v>DIVISIONAL (€m)</v>
          </cell>
          <cell r="K34" t="str">
            <v>2003A</v>
          </cell>
          <cell r="L34" t="str">
            <v>2004A</v>
          </cell>
          <cell r="M34" t="str">
            <v>2005E</v>
          </cell>
          <cell r="N34" t="str">
            <v>2006E</v>
          </cell>
          <cell r="O34" t="str">
            <v>2007E</v>
          </cell>
          <cell r="P34" t="str">
            <v>04E-07E</v>
          </cell>
        </row>
        <row r="36">
          <cell r="I36" t="str">
            <v>Revenues</v>
          </cell>
        </row>
        <row r="37">
          <cell r="I37" t="str">
            <v>T-Mobile Germany</v>
          </cell>
          <cell r="K37">
            <v>8479</v>
          </cell>
          <cell r="L37">
            <v>8704</v>
          </cell>
          <cell r="M37">
            <v>8719.5855542637601</v>
          </cell>
          <cell r="N37">
            <v>8454.6138735467994</v>
          </cell>
          <cell r="O37">
            <v>8489.5955314273506</v>
          </cell>
          <cell r="P37">
            <v>-8.2793132993241869E-3</v>
          </cell>
        </row>
        <row r="38">
          <cell r="G38" t="str">
            <v>CAGR</v>
          </cell>
          <cell r="I38" t="str">
            <v>T-Mobile UK</v>
          </cell>
          <cell r="K38">
            <v>4303</v>
          </cell>
          <cell r="L38">
            <v>4344</v>
          </cell>
          <cell r="M38">
            <v>4133.2031420767426</v>
          </cell>
          <cell r="N38">
            <v>4001.1726643159323</v>
          </cell>
          <cell r="O38">
            <v>3987.4347212861535</v>
          </cell>
          <cell r="P38">
            <v>-2.8145485175404827E-2</v>
          </cell>
        </row>
        <row r="39">
          <cell r="B39" t="str">
            <v>MULTIPLES &amp; RATIOS</v>
          </cell>
          <cell r="C39" t="str">
            <v>2004A</v>
          </cell>
          <cell r="D39" t="str">
            <v>2005E</v>
          </cell>
          <cell r="E39" t="str">
            <v>2006E</v>
          </cell>
          <cell r="F39" t="str">
            <v>2007E</v>
          </cell>
          <cell r="G39" t="str">
            <v>04E-07E</v>
          </cell>
          <cell r="I39" t="str">
            <v>T-Mobile USA</v>
          </cell>
          <cell r="K39">
            <v>7416</v>
          </cell>
          <cell r="L39">
            <v>9366</v>
          </cell>
          <cell r="M39">
            <v>11582.176952622664</v>
          </cell>
          <cell r="N39">
            <v>12683.759993245247</v>
          </cell>
          <cell r="O39">
            <v>13129.597622210345</v>
          </cell>
          <cell r="P39">
            <v>0.11917780211757956</v>
          </cell>
        </row>
        <row r="40">
          <cell r="I40" t="str">
            <v>T-Online</v>
          </cell>
          <cell r="K40">
            <v>1662</v>
          </cell>
          <cell r="L40">
            <v>1793</v>
          </cell>
          <cell r="M40">
            <v>1880.1526764132966</v>
          </cell>
          <cell r="N40">
            <v>1859.30136726872</v>
          </cell>
          <cell r="O40">
            <v>1793.7457178244631</v>
          </cell>
          <cell r="P40">
            <v>1.3861581441365622E-4</v>
          </cell>
        </row>
        <row r="41">
          <cell r="B41" t="str">
            <v>EV/Revenue</v>
          </cell>
          <cell r="C41">
            <v>1.7637799881627436</v>
          </cell>
          <cell r="D41">
            <v>1.6451145289295726</v>
          </cell>
          <cell r="E41">
            <v>1.5363905805883706</v>
          </cell>
          <cell r="F41">
            <v>1.4110426514115522</v>
          </cell>
          <cell r="G41">
            <v>8.6237393975885368E-3</v>
          </cell>
          <cell r="I41" t="str">
            <v>Other</v>
          </cell>
          <cell r="K41">
            <v>12375</v>
          </cell>
          <cell r="L41">
            <v>12508</v>
          </cell>
          <cell r="M41">
            <v>12917.263124275918</v>
          </cell>
          <cell r="N41">
            <v>13193.45657749778</v>
          </cell>
          <cell r="O41">
            <v>13446.270902287359</v>
          </cell>
          <cell r="P41">
            <v>2.4404147341102522E-2</v>
          </cell>
        </row>
        <row r="42">
          <cell r="B42" t="str">
            <v>EV/EBITDA</v>
          </cell>
          <cell r="C42">
            <v>5.2720298344794259</v>
          </cell>
          <cell r="D42">
            <v>4.7442679686653273</v>
          </cell>
          <cell r="E42">
            <v>4.3579626847474096</v>
          </cell>
          <cell r="F42">
            <v>3.9803869480004828</v>
          </cell>
          <cell r="G42">
            <v>2.8281331223081185E-2</v>
          </cell>
          <cell r="I42" t="str">
            <v>Domestic Fixed</v>
          </cell>
          <cell r="K42">
            <v>21603</v>
          </cell>
          <cell r="L42">
            <v>21165</v>
          </cell>
          <cell r="M42">
            <v>19813.804259001357</v>
          </cell>
          <cell r="N42">
            <v>19053.674545541719</v>
          </cell>
          <cell r="O42">
            <v>18543.732147127528</v>
          </cell>
          <cell r="P42">
            <v>-4.3115269791397348E-2</v>
          </cell>
        </row>
        <row r="43">
          <cell r="B43" t="str">
            <v>EV/OpFCF</v>
          </cell>
          <cell r="C43">
            <v>7.5935425256515616</v>
          </cell>
          <cell r="D43">
            <v>7.2682747123387434</v>
          </cell>
          <cell r="E43">
            <v>6.7851025805035308</v>
          </cell>
          <cell r="F43">
            <v>6.2175924608006614</v>
          </cell>
          <cell r="G43">
            <v>8.4883557413850674E-4</v>
          </cell>
          <cell r="I43" t="str">
            <v>Total</v>
          </cell>
          <cell r="K43">
            <v>55838</v>
          </cell>
          <cell r="L43">
            <v>57880</v>
          </cell>
          <cell r="M43">
            <v>59046.185708653735</v>
          </cell>
          <cell r="N43">
            <v>59245.979021416199</v>
          </cell>
          <cell r="O43">
            <v>59390.376642163203</v>
          </cell>
          <cell r="P43">
            <v>8.6237393975885368E-3</v>
          </cell>
        </row>
        <row r="44">
          <cell r="B44" t="str">
            <v>EV/FCF</v>
          </cell>
          <cell r="C44">
            <v>12.448430369920592</v>
          </cell>
          <cell r="D44">
            <v>11.915204446456956</v>
          </cell>
          <cell r="E44">
            <v>11.123118984432017</v>
          </cell>
          <cell r="F44">
            <v>10.192774525902724</v>
          </cell>
          <cell r="G44">
            <v>8.4883557413850674E-4</v>
          </cell>
          <cell r="I44" t="str">
            <v>% change</v>
          </cell>
          <cell r="L44">
            <v>3.6570077724846772E-2</v>
          </cell>
          <cell r="M44">
            <v>2.0148336362365793E-2</v>
          </cell>
          <cell r="N44">
            <v>3.3836785622070042E-3</v>
          </cell>
          <cell r="O44">
            <v>2.4372560489684947E-3</v>
          </cell>
        </row>
        <row r="45">
          <cell r="B45" t="str">
            <v>EV/Invested capital</v>
          </cell>
          <cell r="C45">
            <v>1.3824763787831049</v>
          </cell>
          <cell r="D45">
            <v>1.4245711938022836</v>
          </cell>
          <cell r="E45">
            <v>1.4335267706152381</v>
          </cell>
          <cell r="F45">
            <v>1.4268650805382863</v>
          </cell>
          <cell r="G45">
            <v>-7.3484478672921738E-2</v>
          </cell>
        </row>
        <row r="46">
          <cell r="B46" t="str">
            <v>EV/NFA</v>
          </cell>
          <cell r="C46">
            <v>2.2295707546706471</v>
          </cell>
          <cell r="D46">
            <v>2.1345136226137322</v>
          </cell>
          <cell r="E46">
            <v>1.9978813258745109</v>
          </cell>
          <cell r="F46">
            <v>1.8364146151940028</v>
          </cell>
          <cell r="G46">
            <v>-1.1247123606431542E-3</v>
          </cell>
          <cell r="I46" t="str">
            <v>EBITDA</v>
          </cell>
        </row>
        <row r="47">
          <cell r="B47" t="str">
            <v>P/EFCF</v>
          </cell>
          <cell r="C47">
            <v>9.7403564684198596</v>
          </cell>
          <cell r="D47">
            <v>10.107631477248894</v>
          </cell>
          <cell r="E47">
            <v>10.306060477032583</v>
          </cell>
          <cell r="F47">
            <v>9.9173292164014963</v>
          </cell>
          <cell r="G47">
            <v>2.5551062000646274E-2</v>
          </cell>
          <cell r="I47" t="str">
            <v>T-Mobile Germany</v>
          </cell>
          <cell r="K47">
            <v>3598</v>
          </cell>
          <cell r="L47">
            <v>3470</v>
          </cell>
          <cell r="M47">
            <v>3523.5994390607602</v>
          </cell>
          <cell r="N47">
            <v>3299.75903157219</v>
          </cell>
          <cell r="O47">
            <v>3296.8482287160741</v>
          </cell>
          <cell r="P47">
            <v>-1.6917813691689765E-2</v>
          </cell>
        </row>
        <row r="48">
          <cell r="B48" t="str">
            <v>Adjusted P/E</v>
          </cell>
          <cell r="C48">
            <v>13.426653131158311</v>
          </cell>
          <cell r="D48">
            <v>10.79537101423832</v>
          </cell>
          <cell r="E48">
            <v>10.166814670746771</v>
          </cell>
          <cell r="F48">
            <v>9.9233698133116164</v>
          </cell>
          <cell r="G48">
            <v>0.12291542947047285</v>
          </cell>
          <cell r="I48" t="str">
            <v>T-Mobile UK</v>
          </cell>
          <cell r="K48">
            <v>1060</v>
          </cell>
          <cell r="L48">
            <v>1367</v>
          </cell>
          <cell r="M48">
            <v>1347.2624411775764</v>
          </cell>
          <cell r="N48">
            <v>1261.8385478176369</v>
          </cell>
          <cell r="O48">
            <v>1268.2046206022305</v>
          </cell>
          <cell r="P48">
            <v>-2.4695400805554213E-2</v>
          </cell>
        </row>
        <row r="49">
          <cell r="B49" t="str">
            <v>Dividend yield</v>
          </cell>
          <cell r="C49">
            <v>3.9141414141414144E-2</v>
          </cell>
          <cell r="D49">
            <v>4.4191919191919192E-2</v>
          </cell>
          <cell r="E49">
            <v>4.6401515151515152E-2</v>
          </cell>
          <cell r="F49">
            <v>4.7793560606060603E-2</v>
          </cell>
          <cell r="G49">
            <v>6.8835717047817546E-2</v>
          </cell>
          <cell r="I49" t="str">
            <v>T-Mobile USA</v>
          </cell>
          <cell r="K49">
            <v>1506</v>
          </cell>
          <cell r="L49">
            <v>2209</v>
          </cell>
          <cell r="M49">
            <v>3208.129997432392</v>
          </cell>
          <cell r="N49">
            <v>3783.3690262850369</v>
          </cell>
          <cell r="O49">
            <v>3919.0263638015795</v>
          </cell>
          <cell r="P49">
            <v>0.21058184456869178</v>
          </cell>
        </row>
        <row r="50">
          <cell r="B50" t="str">
            <v>EFCF yield</v>
          </cell>
          <cell r="C50">
            <v>0.10266564711899359</v>
          </cell>
          <cell r="D50">
            <v>9.8935146404069432E-2</v>
          </cell>
          <cell r="E50">
            <v>9.7030286425015169E-2</v>
          </cell>
          <cell r="F50">
            <v>0.10083359926644142</v>
          </cell>
          <cell r="G50">
            <v>2.5551062000646274E-2</v>
          </cell>
          <cell r="I50" t="str">
            <v>T-Online</v>
          </cell>
          <cell r="K50">
            <v>310</v>
          </cell>
          <cell r="L50">
            <v>420</v>
          </cell>
          <cell r="M50">
            <v>465.76498403260643</v>
          </cell>
          <cell r="N50">
            <v>495.76864889256331</v>
          </cell>
          <cell r="O50">
            <v>490.94705327286351</v>
          </cell>
          <cell r="P50">
            <v>5.340438637595879E-2</v>
          </cell>
        </row>
        <row r="51">
          <cell r="B51" t="str">
            <v>Net debt/EBITDA</v>
          </cell>
          <cell r="C51">
            <v>1.7868209047717414</v>
          </cell>
          <cell r="D51">
            <v>1.4568040258418404</v>
          </cell>
          <cell r="E51">
            <v>1.1161701587229815</v>
          </cell>
          <cell r="F51">
            <v>0.89902009043493458</v>
          </cell>
          <cell r="G51">
            <v>-0.20464174907506083</v>
          </cell>
          <cell r="I51" t="str">
            <v>Other</v>
          </cell>
          <cell r="K51">
            <v>3214</v>
          </cell>
          <cell r="L51">
            <v>3483</v>
          </cell>
          <cell r="M51">
            <v>3656.5539643145448</v>
          </cell>
          <cell r="N51">
            <v>3763.396199913559</v>
          </cell>
          <cell r="O51">
            <v>3872.2988736507359</v>
          </cell>
          <cell r="P51">
            <v>3.5949213756164111E-2</v>
          </cell>
        </row>
        <row r="52">
          <cell r="B52" t="str">
            <v>OpFCF/Net interest</v>
          </cell>
          <cell r="C52">
            <v>4.0119367353028945</v>
          </cell>
          <cell r="D52">
            <v>5.1195354407422338</v>
          </cell>
          <cell r="E52">
            <v>6.5539522693901864</v>
          </cell>
          <cell r="F52">
            <v>8.7374290494018467</v>
          </cell>
          <cell r="G52">
            <v>0.29621346549013139</v>
          </cell>
          <cell r="I52" t="str">
            <v>Domestic Fixed</v>
          </cell>
          <cell r="K52">
            <v>8600</v>
          </cell>
          <cell r="L52">
            <v>8415</v>
          </cell>
          <cell r="M52">
            <v>8273.4470562834122</v>
          </cell>
          <cell r="N52">
            <v>8282.9138671372111</v>
          </cell>
          <cell r="O52">
            <v>8206.4959131046708</v>
          </cell>
          <cell r="P52">
            <v>-8.328392655423289E-3</v>
          </cell>
        </row>
        <row r="53">
          <cell r="I53" t="str">
            <v>Total</v>
          </cell>
          <cell r="K53">
            <v>18288</v>
          </cell>
          <cell r="L53">
            <v>19364</v>
          </cell>
          <cell r="M53">
            <v>20474.757882301292</v>
          </cell>
          <cell r="N53">
            <v>20887.045321618196</v>
          </cell>
          <cell r="O53">
            <v>21053.821053148153</v>
          </cell>
          <cell r="P53">
            <v>2.8281331223081185E-2</v>
          </cell>
        </row>
        <row r="54">
          <cell r="B54" t="str">
            <v>BREAKDOWN OF VALUE</v>
          </cell>
          <cell r="D54" t="str">
            <v>RELATIVE VALUATION (2005)</v>
          </cell>
          <cell r="I54" t="str">
            <v>% change</v>
          </cell>
          <cell r="L54">
            <v>5.8836395450568624E-2</v>
          </cell>
          <cell r="M54">
            <v>5.736200590277285E-2</v>
          </cell>
          <cell r="N54">
            <v>2.0136376785841792E-2</v>
          </cell>
          <cell r="O54">
            <v>7.9846492867683416E-3</v>
          </cell>
        </row>
        <row r="55">
          <cell r="I55" t="str">
            <v>EBITDA margin</v>
          </cell>
          <cell r="K55">
            <v>0.32751889394319283</v>
          </cell>
          <cell r="L55">
            <v>0.33455425017277124</v>
          </cell>
          <cell r="M55">
            <v>0.34675834919003984</v>
          </cell>
          <cell r="N55">
            <v>0.35254789720105661</v>
          </cell>
          <cell r="O55">
            <v>0.35449886401631853</v>
          </cell>
        </row>
        <row r="57">
          <cell r="I57" t="str">
            <v>Capex</v>
          </cell>
        </row>
        <row r="58">
          <cell r="I58" t="str">
            <v>T-Mobile Germany</v>
          </cell>
          <cell r="K58">
            <v>462</v>
          </cell>
          <cell r="L58">
            <v>371</v>
          </cell>
          <cell r="M58">
            <v>500.85</v>
          </cell>
          <cell r="N58">
            <v>601.02</v>
          </cell>
          <cell r="O58">
            <v>661.12200000000007</v>
          </cell>
          <cell r="P58">
            <v>0.21237200618665719</v>
          </cell>
        </row>
        <row r="59">
          <cell r="I59" t="str">
            <v>T-Mobile UK</v>
          </cell>
          <cell r="K59">
            <v>361</v>
          </cell>
          <cell r="L59">
            <v>361</v>
          </cell>
          <cell r="M59">
            <v>445.716961852861</v>
          </cell>
          <cell r="N59">
            <v>490.28865803814716</v>
          </cell>
          <cell r="O59">
            <v>500.09443119891012</v>
          </cell>
          <cell r="P59">
            <v>0.11476058686020107</v>
          </cell>
        </row>
        <row r="60">
          <cell r="I60" t="str">
            <v>T-Mobile USA</v>
          </cell>
          <cell r="K60">
            <v>1817</v>
          </cell>
          <cell r="L60">
            <v>1320</v>
          </cell>
          <cell r="M60">
            <v>1909.68</v>
          </cell>
          <cell r="N60">
            <v>1979.68</v>
          </cell>
          <cell r="O60">
            <v>2029.68</v>
          </cell>
          <cell r="P60">
            <v>0.15420924082283838</v>
          </cell>
        </row>
        <row r="61">
          <cell r="I61" t="str">
            <v>T-Online</v>
          </cell>
          <cell r="K61">
            <v>80</v>
          </cell>
          <cell r="L61">
            <v>80</v>
          </cell>
          <cell r="M61">
            <v>80</v>
          </cell>
          <cell r="N61">
            <v>80</v>
          </cell>
          <cell r="O61">
            <v>80</v>
          </cell>
          <cell r="P61">
            <v>0</v>
          </cell>
        </row>
        <row r="62">
          <cell r="I62" t="str">
            <v>Other</v>
          </cell>
          <cell r="K62">
            <v>1342</v>
          </cell>
          <cell r="L62">
            <v>1375</v>
          </cell>
          <cell r="M62">
            <v>1438.0217826868738</v>
          </cell>
          <cell r="N62">
            <v>1486.8933463652706</v>
          </cell>
          <cell r="O62">
            <v>1507.7141126046743</v>
          </cell>
          <cell r="P62">
            <v>3.1190176857990082E-2</v>
          </cell>
        </row>
        <row r="63">
          <cell r="I63" t="str">
            <v>Domestic Fixed</v>
          </cell>
          <cell r="K63">
            <v>2146</v>
          </cell>
          <cell r="L63">
            <v>2413</v>
          </cell>
          <cell r="M63">
            <v>2735.8679818939454</v>
          </cell>
          <cell r="N63">
            <v>2833.7487341260439</v>
          </cell>
          <cell r="O63">
            <v>2796.9462046594781</v>
          </cell>
          <cell r="P63">
            <v>5.0450512199833097E-2</v>
          </cell>
        </row>
        <row r="64">
          <cell r="I64" t="str">
            <v>Total</v>
          </cell>
          <cell r="K64">
            <v>6208</v>
          </cell>
          <cell r="L64">
            <v>5920</v>
          </cell>
          <cell r="M64">
            <v>7110.1367264336805</v>
          </cell>
          <cell r="N64">
            <v>7471.6307385294622</v>
          </cell>
          <cell r="O64">
            <v>7575.5567484630628</v>
          </cell>
          <cell r="P64">
            <v>8.5669447810818422E-2</v>
          </cell>
        </row>
        <row r="65">
          <cell r="I65" t="str">
            <v>% change</v>
          </cell>
          <cell r="L65">
            <v>-4.6391752577319534E-2</v>
          </cell>
          <cell r="M65">
            <v>0.20103660919487853</v>
          </cell>
          <cell r="N65">
            <v>5.0842061974960107E-2</v>
          </cell>
          <cell r="O65">
            <v>1.3909414633900274E-2</v>
          </cell>
        </row>
        <row r="66">
          <cell r="I66" t="str">
            <v>Capex/sales</v>
          </cell>
          <cell r="K66">
            <v>0.11117876714782048</v>
          </cell>
          <cell r="L66">
            <v>0.1022805805114029</v>
          </cell>
          <cell r="M66">
            <v>0.12041652887650671</v>
          </cell>
          <cell r="N66">
            <v>0.12611203092497841</v>
          </cell>
          <cell r="O66">
            <v>0.12755529054996637</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DT 5.25 5/20/2008</v>
          </cell>
          <cell r="D71" t="str">
            <v>Baa1</v>
          </cell>
          <cell r="E71" t="str">
            <v>STABLE</v>
          </cell>
          <cell r="F71" t="str">
            <v>A-</v>
          </cell>
          <cell r="G71" t="str">
            <v>N/A</v>
          </cell>
        </row>
        <row r="72">
          <cell r="B72" t="str">
            <v xml:space="preserve"> DT 8.125 5/29/2012</v>
          </cell>
          <cell r="D72" t="str">
            <v>Baa1</v>
          </cell>
          <cell r="E72" t="str">
            <v>STABLE</v>
          </cell>
          <cell r="F72" t="str">
            <v>A-</v>
          </cell>
          <cell r="G72" t="str">
            <v>N/A</v>
          </cell>
        </row>
        <row r="73">
          <cell r="B73" t="str">
            <v xml:space="preserve"> DT 8.75 6/15/2030</v>
          </cell>
          <cell r="D73" t="str">
            <v>Baa1</v>
          </cell>
          <cell r="E73" t="str">
            <v>STABLE</v>
          </cell>
          <cell r="F73" t="str">
            <v>A-</v>
          </cell>
          <cell r="G73" t="str">
            <v>N/A</v>
          </cell>
        </row>
        <row r="75">
          <cell r="E75" t="str">
            <v>Issue size</v>
          </cell>
          <cell r="F75" t="str">
            <v>Yld to mat</v>
          </cell>
          <cell r="G75" t="str">
            <v xml:space="preserve">Price </v>
          </cell>
        </row>
        <row r="76">
          <cell r="B76" t="str">
            <v xml:space="preserve"> DT 5.25 5/20/2008</v>
          </cell>
          <cell r="E76" t="str">
            <v>€2000</v>
          </cell>
          <cell r="F76">
            <v>3.0200000000000001E-2</v>
          </cell>
          <cell r="G76">
            <v>106.63</v>
          </cell>
        </row>
        <row r="77">
          <cell r="B77" t="str">
            <v xml:space="preserve"> DT 8.125 5/29/2012</v>
          </cell>
          <cell r="E77" t="str">
            <v>€2000</v>
          </cell>
          <cell r="F77">
            <v>3.73E-2</v>
          </cell>
          <cell r="G77">
            <v>127.15</v>
          </cell>
        </row>
        <row r="78">
          <cell r="B78" t="str">
            <v xml:space="preserve"> DT 8.75 6/15/2030</v>
          </cell>
          <cell r="E78" t="str">
            <v>US$3500</v>
          </cell>
          <cell r="F78">
            <v>5.9900000000000002E-2</v>
          </cell>
          <cell r="G78">
            <v>135.63999999999999</v>
          </cell>
        </row>
        <row r="80">
          <cell r="E80" t="str">
            <v>OAS 12m chg</v>
          </cell>
          <cell r="F80" t="str">
            <v>12m tot ret</v>
          </cell>
          <cell r="G80" t="str">
            <v xml:space="preserve">OAS </v>
          </cell>
        </row>
        <row r="81">
          <cell r="B81" t="str">
            <v xml:space="preserve"> DT 5.25 5/20/2008</v>
          </cell>
          <cell r="E81">
            <v>-29</v>
          </cell>
          <cell r="F81">
            <v>5.7839999999999996E-2</v>
          </cell>
          <cell r="G81">
            <v>32</v>
          </cell>
        </row>
        <row r="82">
          <cell r="B82" t="str">
            <v xml:space="preserve"> DT 8.125 5/29/2012</v>
          </cell>
          <cell r="E82">
            <v>-37</v>
          </cell>
          <cell r="F82">
            <v>9.8350000000000007E-2</v>
          </cell>
          <cell r="G82">
            <v>40</v>
          </cell>
        </row>
        <row r="83">
          <cell r="B83" t="str">
            <v xml:space="preserve"> DT 8.75 6/15/2030</v>
          </cell>
          <cell r="E83">
            <v>-29</v>
          </cell>
          <cell r="F83">
            <v>131</v>
          </cell>
          <cell r="G83">
            <v>0.12157999999999999</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29" refreshError="1">
        <row r="6">
          <cell r="S6" t="str">
            <v xml:space="preserve"> eircom (Reduce) TP: €1.70  (-17.9%)</v>
          </cell>
        </row>
        <row r="8">
          <cell r="G8" t="str">
            <v>CAGR</v>
          </cell>
          <cell r="P8" t="str">
            <v>CAGR</v>
          </cell>
        </row>
        <row r="9">
          <cell r="B9" t="str">
            <v>EV CALCULATION (€m)</v>
          </cell>
          <cell r="C9" t="str">
            <v>2004A</v>
          </cell>
          <cell r="D9" t="str">
            <v>2005E</v>
          </cell>
          <cell r="E9" t="str">
            <v>2006E</v>
          </cell>
          <cell r="F9" t="str">
            <v>2007E</v>
          </cell>
          <cell r="G9" t="str">
            <v>04E-07E</v>
          </cell>
          <cell r="I9" t="str">
            <v>FINANCIALS (€m)</v>
          </cell>
          <cell r="K9" t="str">
            <v>2003A</v>
          </cell>
          <cell r="L9" t="str">
            <v>2004A</v>
          </cell>
          <cell r="M9" t="str">
            <v>2005E</v>
          </cell>
          <cell r="N9" t="str">
            <v>2006E</v>
          </cell>
          <cell r="O9" t="str">
            <v>2007E</v>
          </cell>
          <cell r="P9" t="str">
            <v>04E-07E</v>
          </cell>
        </row>
        <row r="11">
          <cell r="B11" t="str">
            <v>Share price, €</v>
          </cell>
          <cell r="C11">
            <v>2.0699999999999998</v>
          </cell>
          <cell r="I11" t="str">
            <v>Revenue</v>
          </cell>
          <cell r="K11">
            <v>1628.0199446399999</v>
          </cell>
          <cell r="L11">
            <v>1608.9581354643678</v>
          </cell>
          <cell r="M11">
            <v>1566.444919973469</v>
          </cell>
          <cell r="N11">
            <v>1498.2827387710627</v>
          </cell>
          <cell r="O11">
            <v>1424.2404330482705</v>
          </cell>
          <cell r="P11">
            <v>-3.9834297048993661E-2</v>
          </cell>
        </row>
        <row r="12">
          <cell r="B12" t="str">
            <v>Number of shares</v>
          </cell>
          <cell r="C12">
            <v>827.50593615942034</v>
          </cell>
          <cell r="D12">
            <v>827.50593615942034</v>
          </cell>
          <cell r="E12">
            <v>827.50593615942034</v>
          </cell>
          <cell r="F12">
            <v>827.50593615942034</v>
          </cell>
          <cell r="I12" t="str">
            <v>EBITDA</v>
          </cell>
          <cell r="K12">
            <v>602</v>
          </cell>
          <cell r="L12">
            <v>631.63703301988335</v>
          </cell>
          <cell r="M12">
            <v>622.56459575400788</v>
          </cell>
          <cell r="N12">
            <v>578.31433490817415</v>
          </cell>
          <cell r="O12">
            <v>528.94336718202317</v>
          </cell>
          <cell r="P12">
            <v>-5.7429456130574819E-2</v>
          </cell>
        </row>
        <row r="13">
          <cell r="B13" t="str">
            <v>Market cap.</v>
          </cell>
          <cell r="C13">
            <v>1712.9372878500001</v>
          </cell>
          <cell r="D13">
            <v>1712.9372878500001</v>
          </cell>
          <cell r="E13">
            <v>1712.9372878500001</v>
          </cell>
          <cell r="F13">
            <v>1712.9372878500001</v>
          </cell>
          <cell r="I13" t="str">
            <v>Capex</v>
          </cell>
          <cell r="K13">
            <v>208</v>
          </cell>
          <cell r="L13">
            <v>199.68</v>
          </cell>
          <cell r="M13">
            <v>199.68</v>
          </cell>
          <cell r="N13">
            <v>199.68</v>
          </cell>
          <cell r="O13">
            <v>183.7056</v>
          </cell>
          <cell r="P13">
            <v>-2.7411173781143994E-2</v>
          </cell>
        </row>
        <row r="14">
          <cell r="B14" t="str">
            <v>Plus: Net debt (Cash)</v>
          </cell>
          <cell r="C14">
            <v>1772.3571022094302</v>
          </cell>
          <cell r="D14">
            <v>1717.4838256047869</v>
          </cell>
          <cell r="E14">
            <v>1704.2122128653837</v>
          </cell>
          <cell r="F14">
            <v>1626.20199077083</v>
          </cell>
          <cell r="I14" t="str">
            <v>OpFCF (EBITDA - capex)</v>
          </cell>
          <cell r="K14">
            <v>394</v>
          </cell>
          <cell r="L14">
            <v>431.95703301988334</v>
          </cell>
          <cell r="M14">
            <v>422.88459575400788</v>
          </cell>
          <cell r="N14">
            <v>378.63433490817414</v>
          </cell>
          <cell r="O14">
            <v>345.23776718202316</v>
          </cell>
          <cell r="P14">
            <v>-7.1975910110917973E-2</v>
          </cell>
        </row>
        <row r="15">
          <cell r="B15" t="str">
            <v>Plus: Other financial liabilities</v>
          </cell>
          <cell r="C15">
            <v>251.45781522887884</v>
          </cell>
          <cell r="D15">
            <v>165.226528961567</v>
          </cell>
          <cell r="E15">
            <v>72.959052655543388</v>
          </cell>
          <cell r="F15">
            <v>64.066186341431433</v>
          </cell>
          <cell r="I15" t="str">
            <v>FCF (OpFCF * (1-tax rate))</v>
          </cell>
          <cell r="K15">
            <v>344.75</v>
          </cell>
          <cell r="L15">
            <v>377.9624038923979</v>
          </cell>
          <cell r="M15">
            <v>370.02402128475688</v>
          </cell>
          <cell r="N15">
            <v>331.30504304465239</v>
          </cell>
          <cell r="O15">
            <v>302.08304628427027</v>
          </cell>
          <cell r="P15">
            <v>-7.1975910110917973E-2</v>
          </cell>
        </row>
        <row r="16">
          <cell r="B16" t="str">
            <v>Less: Associates</v>
          </cell>
          <cell r="C16">
            <v>0</v>
          </cell>
          <cell r="D16">
            <v>0</v>
          </cell>
          <cell r="E16">
            <v>0</v>
          </cell>
          <cell r="F16">
            <v>0</v>
          </cell>
          <cell r="I16" t="str">
            <v>EFCF</v>
          </cell>
          <cell r="K16">
            <v>144.18249951000001</v>
          </cell>
          <cell r="L16">
            <v>257.10893616902126</v>
          </cell>
          <cell r="M16">
            <v>239.81076460621426</v>
          </cell>
          <cell r="N16">
            <v>202.51475568826015</v>
          </cell>
          <cell r="O16">
            <v>179.66439560061991</v>
          </cell>
          <cell r="P16">
            <v>-0.11260914295282631</v>
          </cell>
        </row>
        <row r="17">
          <cell r="B17" t="str">
            <v>Plus: Minorities</v>
          </cell>
          <cell r="C17">
            <v>0</v>
          </cell>
          <cell r="D17">
            <v>0</v>
          </cell>
          <cell r="E17">
            <v>0</v>
          </cell>
          <cell r="F17">
            <v>0</v>
          </cell>
          <cell r="I17" t="str">
            <v>Adj net Income</v>
          </cell>
          <cell r="K17">
            <v>-10.817500489999997</v>
          </cell>
          <cell r="L17">
            <v>143.75767987546993</v>
          </cell>
          <cell r="M17">
            <v>219.4911852290027</v>
          </cell>
          <cell r="N17">
            <v>194.61100708629547</v>
          </cell>
          <cell r="O17">
            <v>156.49639067974638</v>
          </cell>
          <cell r="P17">
            <v>2.8705567349563088E-2</v>
          </cell>
        </row>
        <row r="18">
          <cell r="B18" t="str">
            <v>Less: Cumulative dividends</v>
          </cell>
          <cell r="C18">
            <v>61.69250049</v>
          </cell>
          <cell r="D18">
            <v>164.88391316550002</v>
          </cell>
          <cell r="E18">
            <v>269.90421627021004</v>
          </cell>
          <cell r="F18">
            <v>376.60107542721425</v>
          </cell>
          <cell r="I18" t="str">
            <v>Clean EPS</v>
          </cell>
          <cell r="K18">
            <v>-1.4623558679715019E-2</v>
          </cell>
          <cell r="L18">
            <v>0.19433776492656502</v>
          </cell>
          <cell r="M18">
            <v>0.2967175485541873</v>
          </cell>
          <cell r="N18">
            <v>0.26308346225412355</v>
          </cell>
          <cell r="O18">
            <v>0.2115584976755456</v>
          </cell>
          <cell r="P18">
            <v>2.8705567349563088E-2</v>
          </cell>
        </row>
        <row r="19">
          <cell r="B19" t="str">
            <v>Less: NPV YE tax credit</v>
          </cell>
          <cell r="C19">
            <v>-22.026077504212385</v>
          </cell>
          <cell r="D19">
            <v>-16.067902929507255</v>
          </cell>
          <cell r="E19">
            <v>-10.942656134572763</v>
          </cell>
          <cell r="F19">
            <v>-6.7086420639928566</v>
          </cell>
          <cell r="I19" t="str">
            <v>DPS</v>
          </cell>
          <cell r="K19">
            <v>0</v>
          </cell>
          <cell r="L19">
            <v>0.11</v>
          </cell>
          <cell r="M19">
            <v>0.11220000000000001</v>
          </cell>
          <cell r="N19">
            <v>0.114444</v>
          </cell>
          <cell r="O19">
            <v>0.11673288000000001</v>
          </cell>
          <cell r="P19">
            <v>2.0000000000000018E-2</v>
          </cell>
        </row>
        <row r="20">
          <cell r="B20" t="str">
            <v>Enterprise Value</v>
          </cell>
          <cell r="C20">
            <v>4485.1583536134021</v>
          </cell>
          <cell r="D20">
            <v>3446.8316321803613</v>
          </cell>
          <cell r="E20">
            <v>3231.1469932352898</v>
          </cell>
          <cell r="F20">
            <v>3033.3130315990402</v>
          </cell>
          <cell r="G20">
            <v>-6.3834638947489197E-2</v>
          </cell>
          <cell r="J20" t="str">
            <v>Cash flow</v>
          </cell>
        </row>
        <row r="21">
          <cell r="J21" t="str">
            <v>OpFCF</v>
          </cell>
          <cell r="K21">
            <v>394</v>
          </cell>
          <cell r="L21">
            <v>431.95703301988334</v>
          </cell>
          <cell r="M21">
            <v>422.88459575400788</v>
          </cell>
          <cell r="N21">
            <v>378.63433490817414</v>
          </cell>
          <cell r="O21">
            <v>345.23776718202316</v>
          </cell>
        </row>
        <row r="22">
          <cell r="B22" t="str">
            <v>PRICE PERFORMANCE, -1Y</v>
          </cell>
          <cell r="J22" t="str">
            <v>Less: Interest payments</v>
          </cell>
          <cell r="K22">
            <v>-150</v>
          </cell>
          <cell r="L22">
            <v>-119.94842773722351</v>
          </cell>
          <cell r="M22">
            <v>-118.78366126936464</v>
          </cell>
          <cell r="N22">
            <v>-116.81229193330036</v>
          </cell>
          <cell r="O22">
            <v>-113.13960092429662</v>
          </cell>
        </row>
        <row r="23">
          <cell r="J23" t="str">
            <v>Less: Tax paid</v>
          </cell>
          <cell r="K23">
            <v>-14</v>
          </cell>
          <cell r="L23">
            <v>-33.707168623638566</v>
          </cell>
          <cell r="M23">
            <v>-43.097669388428955</v>
          </cell>
          <cell r="N23">
            <v>-38.114786796613636</v>
          </cell>
          <cell r="O23">
            <v>-31.241270167106624</v>
          </cell>
        </row>
        <row r="24">
          <cell r="J24" t="str">
            <v>Less: Change in WC</v>
          </cell>
          <cell r="K24">
            <v>-24</v>
          </cell>
          <cell r="L24">
            <v>-9.6327050451181044</v>
          </cell>
          <cell r="M24">
            <v>-4.1052424827377543</v>
          </cell>
          <cell r="N24">
            <v>-6.5820070008134834</v>
          </cell>
          <cell r="O24">
            <v>-7.1498148390620031</v>
          </cell>
        </row>
        <row r="25">
          <cell r="J25" t="str">
            <v>Less: Restructuring payments</v>
          </cell>
          <cell r="K25">
            <v>-81</v>
          </cell>
          <cell r="L25">
            <v>-72.333333333333343</v>
          </cell>
          <cell r="M25">
            <v>-103.83333333333334</v>
          </cell>
          <cell r="N25">
            <v>-103.83333333333334</v>
          </cell>
          <cell r="O25">
            <v>-14</v>
          </cell>
        </row>
        <row r="26">
          <cell r="J26" t="str">
            <v>Less: Other</v>
          </cell>
          <cell r="K26">
            <v>153</v>
          </cell>
          <cell r="L26">
            <v>5.0000000000000142</v>
          </cell>
          <cell r="M26">
            <v>5.0000000000000853</v>
          </cell>
          <cell r="N26">
            <v>4.9999999999999574</v>
          </cell>
          <cell r="O26">
            <v>4.9999999999999574</v>
          </cell>
        </row>
        <row r="27">
          <cell r="J27" t="str">
            <v>Sub total</v>
          </cell>
          <cell r="K27">
            <v>278</v>
          </cell>
          <cell r="L27">
            <v>201.33539828056985</v>
          </cell>
          <cell r="M27">
            <v>158.06468928014323</v>
          </cell>
          <cell r="N27">
            <v>118.29191584411329</v>
          </cell>
          <cell r="O27">
            <v>184.7070812515579</v>
          </cell>
        </row>
        <row r="29">
          <cell r="J29" t="str">
            <v>Less: Dividends paid</v>
          </cell>
          <cell r="K29">
            <v>-400</v>
          </cell>
          <cell r="L29">
            <v>-61.69250049</v>
          </cell>
          <cell r="M29">
            <v>-103.1914126755</v>
          </cell>
          <cell r="N29">
            <v>-105.02030310471001</v>
          </cell>
          <cell r="O29">
            <v>-106.6968591570042</v>
          </cell>
        </row>
        <row r="30">
          <cell r="J30" t="str">
            <v>Less: Disposals/acquis.</v>
          </cell>
          <cell r="K30">
            <v>1</v>
          </cell>
          <cell r="L30">
            <v>0</v>
          </cell>
          <cell r="M30">
            <v>0</v>
          </cell>
          <cell r="N30">
            <v>0</v>
          </cell>
          <cell r="O30">
            <v>0</v>
          </cell>
        </row>
        <row r="31">
          <cell r="J31" t="str">
            <v>Chg in Net debt/Cash</v>
          </cell>
          <cell r="K31">
            <v>-121</v>
          </cell>
          <cell r="L31">
            <v>139.64289779056986</v>
          </cell>
          <cell r="M31">
            <v>54.873276604643223</v>
          </cell>
          <cell r="N31">
            <v>13.271612739403281</v>
          </cell>
          <cell r="O31">
            <v>78.010222094553697</v>
          </cell>
        </row>
        <row r="32">
          <cell r="J32" t="str">
            <v>Net debt (Cash)</v>
          </cell>
          <cell r="K32">
            <v>1912</v>
          </cell>
          <cell r="L32">
            <v>1772.3571022094302</v>
          </cell>
          <cell r="M32">
            <v>1717.4838256047869</v>
          </cell>
          <cell r="N32">
            <v>1704.2122128653837</v>
          </cell>
          <cell r="O32">
            <v>1626.20199077083</v>
          </cell>
        </row>
        <row r="33">
          <cell r="P33" t="str">
            <v>CAGR</v>
          </cell>
        </row>
        <row r="34">
          <cell r="I34" t="str">
            <v>DIVISIONAL (€m)</v>
          </cell>
          <cell r="K34" t="str">
            <v>2003A</v>
          </cell>
          <cell r="L34" t="str">
            <v>2004A</v>
          </cell>
          <cell r="M34" t="str">
            <v>2005E</v>
          </cell>
          <cell r="N34" t="str">
            <v>2006E</v>
          </cell>
          <cell r="O34" t="str">
            <v>2007E</v>
          </cell>
          <cell r="P34" t="str">
            <v>04E-07E</v>
          </cell>
        </row>
        <row r="36">
          <cell r="I36" t="str">
            <v>Revenues</v>
          </cell>
        </row>
        <row r="37">
          <cell r="I37" t="str">
            <v>Line rental (inc ISDN)</v>
          </cell>
          <cell r="K37">
            <v>472</v>
          </cell>
          <cell r="L37">
            <v>502.70671943385048</v>
          </cell>
          <cell r="M37">
            <v>500.51472194186994</v>
          </cell>
          <cell r="N37">
            <v>489.69294224578317</v>
          </cell>
          <cell r="O37">
            <v>465.83289800287582</v>
          </cell>
          <cell r="P37">
            <v>-2.5073619958891014E-2</v>
          </cell>
        </row>
        <row r="38">
          <cell r="G38" t="str">
            <v>CAGR</v>
          </cell>
          <cell r="I38" t="str">
            <v>Voice &amp; narrowband data</v>
          </cell>
          <cell r="K38">
            <v>708</v>
          </cell>
          <cell r="L38">
            <v>636.15671208976073</v>
          </cell>
          <cell r="M38">
            <v>581.36141911790435</v>
          </cell>
          <cell r="N38">
            <v>524.85233170605704</v>
          </cell>
          <cell r="O38">
            <v>472.00504187487621</v>
          </cell>
          <cell r="P38">
            <v>-9.4696551607900137E-2</v>
          </cell>
        </row>
        <row r="39">
          <cell r="B39" t="str">
            <v>MULTIPLES &amp; RATIOS</v>
          </cell>
          <cell r="C39" t="str">
            <v>2004A</v>
          </cell>
          <cell r="D39" t="str">
            <v>2005E</v>
          </cell>
          <cell r="E39" t="str">
            <v>2006E</v>
          </cell>
          <cell r="F39" t="str">
            <v>2007E</v>
          </cell>
          <cell r="G39" t="str">
            <v>04E-07E</v>
          </cell>
          <cell r="I39" t="str">
            <v>Broadband</v>
          </cell>
          <cell r="K39">
            <v>17.019944640000002</v>
          </cell>
          <cell r="L39">
            <v>57.149828355687283</v>
          </cell>
          <cell r="M39">
            <v>94.775138021575643</v>
          </cell>
          <cell r="N39">
            <v>109.6905980257514</v>
          </cell>
          <cell r="O39">
            <v>118.2131061826577</v>
          </cell>
          <cell r="P39">
            <v>0.27413926513217457</v>
          </cell>
        </row>
        <row r="40">
          <cell r="I40" t="str">
            <v>Interconnection</v>
          </cell>
          <cell r="K40">
            <v>159</v>
          </cell>
          <cell r="L40">
            <v>143.51374999999999</v>
          </cell>
          <cell r="M40">
            <v>129.13487086500004</v>
          </cell>
          <cell r="N40">
            <v>117.37512462475802</v>
          </cell>
          <cell r="O40">
            <v>113.75092870144988</v>
          </cell>
          <cell r="P40">
            <v>-7.4548182223266535E-2</v>
          </cell>
        </row>
        <row r="41">
          <cell r="B41" t="str">
            <v>EV/Revenue</v>
          </cell>
          <cell r="C41">
            <v>2.2978135358602669</v>
          </cell>
          <cell r="D41">
            <v>2.2004167450961125</v>
          </cell>
          <cell r="E41">
            <v>2.156566921331267</v>
          </cell>
          <cell r="F41">
            <v>2.1297759572145463</v>
          </cell>
          <cell r="G41">
            <v>-3.9834297048993661E-2</v>
          </cell>
          <cell r="I41" t="str">
            <v>Leased lines</v>
          </cell>
          <cell r="K41">
            <v>136</v>
          </cell>
          <cell r="L41">
            <v>126.48</v>
          </cell>
          <cell r="M41">
            <v>120.15599999999999</v>
          </cell>
          <cell r="N41">
            <v>114.14819999999999</v>
          </cell>
          <cell r="O41">
            <v>108.44078999999998</v>
          </cell>
          <cell r="P41">
            <v>-5.0000000000000044E-2</v>
          </cell>
        </row>
        <row r="42">
          <cell r="B42" t="str">
            <v>EV/EBITDA</v>
          </cell>
          <cell r="C42">
            <v>5.8531808444267392</v>
          </cell>
          <cell r="D42">
            <v>5.5365044136597481</v>
          </cell>
          <cell r="E42">
            <v>5.587181223422963</v>
          </cell>
          <cell r="F42">
            <v>5.7346650318335461</v>
          </cell>
          <cell r="G42">
            <v>-5.7429456130574819E-2</v>
          </cell>
          <cell r="I42" t="str">
            <v>Other</v>
          </cell>
          <cell r="K42">
            <v>136</v>
          </cell>
          <cell r="L42">
            <v>142.95112558506924</v>
          </cell>
          <cell r="M42">
            <v>140.50277002711908</v>
          </cell>
          <cell r="N42">
            <v>142.52354216871305</v>
          </cell>
          <cell r="O42">
            <v>145.99766828641111</v>
          </cell>
          <cell r="P42">
            <v>7.0540494954347555E-3</v>
          </cell>
        </row>
        <row r="43">
          <cell r="B43" t="str">
            <v>EV/OpFCF</v>
          </cell>
          <cell r="C43">
            <v>8.5589202158732789</v>
          </cell>
          <cell r="D43">
            <v>8.1507618550981338</v>
          </cell>
          <cell r="E43">
            <v>8.5336872421221468</v>
          </cell>
          <cell r="F43">
            <v>8.7861564404098242</v>
          </cell>
          <cell r="G43">
            <v>-7.1975910110917973E-2</v>
          </cell>
          <cell r="I43" t="str">
            <v>Total</v>
          </cell>
          <cell r="K43">
            <v>1628.0199446399999</v>
          </cell>
          <cell r="L43">
            <v>1608.9581354643678</v>
          </cell>
          <cell r="M43">
            <v>1566.444919973469</v>
          </cell>
          <cell r="N43">
            <v>1498.2827387710627</v>
          </cell>
          <cell r="O43">
            <v>1424.2404330482705</v>
          </cell>
          <cell r="P43">
            <v>-3.9834297048993661E-2</v>
          </cell>
        </row>
        <row r="44">
          <cell r="B44" t="str">
            <v>EV/FCF</v>
          </cell>
          <cell r="C44">
            <v>9.7816231038551766</v>
          </cell>
          <cell r="D44">
            <v>9.3151564058264373</v>
          </cell>
          <cell r="E44">
            <v>9.7527854195681662</v>
          </cell>
          <cell r="F44">
            <v>10.041321646182656</v>
          </cell>
          <cell r="G44">
            <v>-7.1975910110917973E-2</v>
          </cell>
          <cell r="I44" t="str">
            <v>% change</v>
          </cell>
          <cell r="L44">
            <v>-1.1708584552904355E-2</v>
          </cell>
          <cell r="M44">
            <v>-2.642282266631435E-2</v>
          </cell>
          <cell r="N44">
            <v>-4.3513934217081052E-2</v>
          </cell>
          <cell r="O44">
            <v>-4.9418113021527543E-2</v>
          </cell>
        </row>
        <row r="45">
          <cell r="B45" t="str">
            <v>EV/Invested capital</v>
          </cell>
          <cell r="C45">
            <v>1.5787155224565346</v>
          </cell>
          <cell r="D45">
            <v>1.4920313856784417</v>
          </cell>
          <cell r="E45">
            <v>1.4089011613119109</v>
          </cell>
          <cell r="F45">
            <v>1.3483959572580524</v>
          </cell>
          <cell r="G45">
            <v>-1.3308515136356225E-2</v>
          </cell>
        </row>
        <row r="46">
          <cell r="B46" t="str">
            <v>EV/NFA</v>
          </cell>
          <cell r="C46">
            <v>1.8233364105976357</v>
          </cell>
          <cell r="D46">
            <v>1.7162682758389216</v>
          </cell>
          <cell r="E46">
            <v>1.6144228847324624</v>
          </cell>
          <cell r="F46">
            <v>1.5325510542679712</v>
          </cell>
          <cell r="G46">
            <v>-8.0193844901970124E-3</v>
          </cell>
          <cell r="I46" t="str">
            <v>EBITDA</v>
          </cell>
        </row>
        <row r="47">
          <cell r="B47" t="str">
            <v>P/EFCF</v>
          </cell>
          <cell r="C47">
            <v>7.053123876608332</v>
          </cell>
          <cell r="D47">
            <v>7.1774581035486671</v>
          </cell>
          <cell r="E47">
            <v>8.0183737087274913</v>
          </cell>
          <cell r="F47">
            <v>8.9651158031105567</v>
          </cell>
          <cell r="G47">
            <v>-0.11260914295282631</v>
          </cell>
        </row>
        <row r="48">
          <cell r="B48" t="str">
            <v>Adjusted P/E</v>
          </cell>
          <cell r="C48">
            <v>10.651558130156518</v>
          </cell>
          <cell r="D48">
            <v>6.9763315654448768</v>
          </cell>
          <cell r="E48">
            <v>7.8682254759156942</v>
          </cell>
          <cell r="F48">
            <v>9.7845277913375668</v>
          </cell>
          <cell r="G48">
            <v>2.8705567349563088E-2</v>
          </cell>
        </row>
        <row r="49">
          <cell r="B49" t="str">
            <v>Dividend yield</v>
          </cell>
          <cell r="C49">
            <v>5.3140096618357495E-2</v>
          </cell>
          <cell r="D49">
            <v>5.4202898550724646E-2</v>
          </cell>
          <cell r="E49">
            <v>5.5286956521739136E-2</v>
          </cell>
          <cell r="F49">
            <v>5.6392695652173926E-2</v>
          </cell>
          <cell r="G49">
            <v>2.0000000000000018E-2</v>
          </cell>
        </row>
        <row r="50">
          <cell r="B50" t="str">
            <v>EFCF yield</v>
          </cell>
          <cell r="C50">
            <v>0.14178114796997932</v>
          </cell>
          <cell r="D50">
            <v>0.13932509052272721</v>
          </cell>
          <cell r="E50">
            <v>0.12471356865190299</v>
          </cell>
          <cell r="F50">
            <v>0.1115434559867077</v>
          </cell>
          <cell r="G50">
            <v>-0.11260914295282631</v>
          </cell>
        </row>
        <row r="51">
          <cell r="B51" t="str">
            <v>Net debt/EBITDA</v>
          </cell>
          <cell r="C51">
            <v>2.8059740160194786</v>
          </cell>
          <cell r="D51">
            <v>2.7587238935819784</v>
          </cell>
          <cell r="E51">
            <v>2.9468614384873959</v>
          </cell>
          <cell r="F51">
            <v>3.0744349805056004</v>
          </cell>
          <cell r="G51">
            <v>3.0925358853966856E-2</v>
          </cell>
          <cell r="I51" t="str">
            <v>Meteor</v>
          </cell>
          <cell r="K51">
            <v>0</v>
          </cell>
          <cell r="L51">
            <v>0</v>
          </cell>
          <cell r="M51">
            <v>4.2011492642999988</v>
          </cell>
          <cell r="N51">
            <v>45.155293806009666</v>
          </cell>
          <cell r="O51">
            <v>60.406795421140409</v>
          </cell>
          <cell r="P51" t="str">
            <v>nm</v>
          </cell>
        </row>
        <row r="52">
          <cell r="B52" t="str">
            <v>OpFCF/Net interest</v>
          </cell>
          <cell r="C52">
            <v>3.6011896209777032</v>
          </cell>
          <cell r="D52">
            <v>3.5601242732789342</v>
          </cell>
          <cell r="E52">
            <v>3.2413911981486825</v>
          </cell>
          <cell r="F52">
            <v>3.0514317211798092</v>
          </cell>
          <cell r="G52">
            <v>-5.3720956365346129E-2</v>
          </cell>
          <cell r="I52" t="str">
            <v>Domestic fixed</v>
          </cell>
          <cell r="K52">
            <v>602</v>
          </cell>
          <cell r="L52">
            <v>631.63703301988335</v>
          </cell>
          <cell r="M52">
            <v>622.56459575400788</v>
          </cell>
          <cell r="N52">
            <v>578.31433490817415</v>
          </cell>
          <cell r="O52">
            <v>528.94336718202317</v>
          </cell>
          <cell r="P52">
            <v>-5.7429456130574819E-2</v>
          </cell>
        </row>
        <row r="53">
          <cell r="I53" t="str">
            <v>Total</v>
          </cell>
          <cell r="K53">
            <v>602</v>
          </cell>
          <cell r="L53">
            <v>631.63703301988335</v>
          </cell>
          <cell r="M53">
            <v>622.56459575400788</v>
          </cell>
          <cell r="N53">
            <v>578.31433490817415</v>
          </cell>
          <cell r="O53">
            <v>528.94336718202317</v>
          </cell>
          <cell r="P53">
            <v>-5.7429456130574819E-2</v>
          </cell>
        </row>
        <row r="54">
          <cell r="B54" t="str">
            <v>BREAKDOWN OF VALUE</v>
          </cell>
          <cell r="D54" t="str">
            <v>RELATIVE VALUATION (2005)</v>
          </cell>
          <cell r="I54" t="str">
            <v>% change</v>
          </cell>
          <cell r="L54">
            <v>4.9230951860271377E-2</v>
          </cell>
          <cell r="M54">
            <v>-1.4363371353480869E-2</v>
          </cell>
          <cell r="N54">
            <v>-7.1077380801330081E-2</v>
          </cell>
          <cell r="O54">
            <v>-8.537047198387393E-2</v>
          </cell>
        </row>
        <row r="55">
          <cell r="I55" t="str">
            <v>EBITDA margin</v>
          </cell>
          <cell r="K55">
            <v>0.36977433967070888</v>
          </cell>
          <cell r="L55">
            <v>0.39257518209918124</v>
          </cell>
          <cell r="M55">
            <v>0.39743791040195164</v>
          </cell>
          <cell r="N55">
            <v>0.38598478107177903</v>
          </cell>
          <cell r="O55">
            <v>0.37138628767190474</v>
          </cell>
        </row>
        <row r="57">
          <cell r="I57" t="str">
            <v>Capex</v>
          </cell>
        </row>
        <row r="62">
          <cell r="I62" t="str">
            <v>Meteor</v>
          </cell>
          <cell r="K62">
            <v>0</v>
          </cell>
          <cell r="L62">
            <v>0</v>
          </cell>
          <cell r="M62">
            <v>12.603447792899997</v>
          </cell>
          <cell r="N62">
            <v>85.475176018714009</v>
          </cell>
          <cell r="O62">
            <v>63.932214851738479</v>
          </cell>
          <cell r="P62" t="str">
            <v>nm</v>
          </cell>
        </row>
        <row r="63">
          <cell r="I63" t="str">
            <v>Domestic fixed</v>
          </cell>
          <cell r="K63">
            <v>208</v>
          </cell>
          <cell r="L63">
            <v>199.68</v>
          </cell>
          <cell r="M63">
            <v>199.68</v>
          </cell>
          <cell r="N63">
            <v>199.68</v>
          </cell>
          <cell r="O63">
            <v>183.7056</v>
          </cell>
          <cell r="P63">
            <v>-2.7411173781143994E-2</v>
          </cell>
        </row>
        <row r="64">
          <cell r="I64" t="str">
            <v>Total</v>
          </cell>
          <cell r="K64">
            <v>208</v>
          </cell>
          <cell r="L64">
            <v>199.68</v>
          </cell>
          <cell r="M64">
            <v>199.68</v>
          </cell>
          <cell r="N64">
            <v>199.68</v>
          </cell>
          <cell r="O64">
            <v>183.7056</v>
          </cell>
          <cell r="P64">
            <v>-2.7411173781143994E-2</v>
          </cell>
        </row>
        <row r="65">
          <cell r="I65" t="str">
            <v>% change</v>
          </cell>
          <cell r="L65">
            <v>-3.9999999999999925E-2</v>
          </cell>
          <cell r="M65">
            <v>0</v>
          </cell>
          <cell r="N65">
            <v>0</v>
          </cell>
          <cell r="O65">
            <v>-7.999999999999996E-2</v>
          </cell>
        </row>
        <row r="66">
          <cell r="I66" t="str">
            <v>Capex/sales</v>
          </cell>
          <cell r="K66">
            <v>0.12776256254403232</v>
          </cell>
          <cell r="L66">
            <v>0.12410515575184283</v>
          </cell>
          <cell r="M66">
            <v>0.12747336178496593</v>
          </cell>
          <cell r="N66">
            <v>0.13327257588496524</v>
          </cell>
          <cell r="O66">
            <v>0.12898496330905235</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EIRCOM 7.25 8/15/2013 EUR</v>
          </cell>
          <cell r="D71" t="str">
            <v>B1</v>
          </cell>
          <cell r="E71" t="str">
            <v>N/A</v>
          </cell>
          <cell r="F71" t="str">
            <v>BB-</v>
          </cell>
          <cell r="G71" t="str">
            <v>N/A</v>
          </cell>
        </row>
        <row r="75">
          <cell r="E75" t="str">
            <v>Issue size</v>
          </cell>
          <cell r="F75" t="str">
            <v>Yld to mat</v>
          </cell>
          <cell r="G75" t="str">
            <v xml:space="preserve">Price </v>
          </cell>
        </row>
        <row r="76">
          <cell r="B76" t="str">
            <v xml:space="preserve"> EIRCOM 7.25 8/15/2013 EUR</v>
          </cell>
          <cell r="E76" t="str">
            <v>€281.8</v>
          </cell>
          <cell r="F76">
            <v>5.8200000000000002E-2</v>
          </cell>
          <cell r="G76">
            <v>116</v>
          </cell>
        </row>
        <row r="80">
          <cell r="E80" t="str">
            <v>OAS 12m chg</v>
          </cell>
          <cell r="F80" t="str">
            <v>12m tot ret</v>
          </cell>
          <cell r="G80" t="str">
            <v xml:space="preserve">OAS </v>
          </cell>
        </row>
        <row r="81">
          <cell r="B81" t="str">
            <v xml:space="preserve"> EIRCOM 7.25 8/15/2013 EUR</v>
          </cell>
          <cell r="E81">
            <v>-105</v>
          </cell>
          <cell r="F81">
            <v>0.12316000000000001</v>
          </cell>
          <cell r="G81">
            <v>143</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30"/>
      <sheetData sheetId="31" refreshError="1">
        <row r="6">
          <cell r="S6" t="str">
            <v xml:space="preserve"> KPN (Neutral) TP: €8.0  (+11.9%)</v>
          </cell>
        </row>
        <row r="8">
          <cell r="G8" t="str">
            <v>CAGR</v>
          </cell>
          <cell r="P8" t="str">
            <v>CAGR</v>
          </cell>
        </row>
        <row r="9">
          <cell r="B9" t="str">
            <v>EV CALCULATION (€m)</v>
          </cell>
          <cell r="C9" t="str">
            <v>2004A</v>
          </cell>
          <cell r="D9" t="str">
            <v>2005E</v>
          </cell>
          <cell r="E9" t="str">
            <v>2006E</v>
          </cell>
          <cell r="F9" t="str">
            <v>2007E</v>
          </cell>
          <cell r="G9" t="str">
            <v>04E-07E</v>
          </cell>
          <cell r="I9" t="str">
            <v>FINANCIALS (€m)</v>
          </cell>
          <cell r="K9" t="str">
            <v>2003A</v>
          </cell>
          <cell r="L9" t="str">
            <v>2004A</v>
          </cell>
          <cell r="M9" t="str">
            <v>2005E</v>
          </cell>
          <cell r="N9" t="str">
            <v>2006E</v>
          </cell>
          <cell r="O9" t="str">
            <v>2007E</v>
          </cell>
          <cell r="P9" t="str">
            <v>04E-07E</v>
          </cell>
        </row>
        <row r="11">
          <cell r="B11" t="str">
            <v>Share price, €</v>
          </cell>
          <cell r="C11">
            <v>7.15</v>
          </cell>
          <cell r="I11" t="str">
            <v>Revenue</v>
          </cell>
          <cell r="K11">
            <v>12209</v>
          </cell>
          <cell r="L11">
            <v>12046</v>
          </cell>
          <cell r="M11">
            <v>11782.624740019075</v>
          </cell>
          <cell r="N11">
            <v>11519.038639019414</v>
          </cell>
          <cell r="O11">
            <v>11443.561652478089</v>
          </cell>
          <cell r="P11">
            <v>-1.6956389011091866E-2</v>
          </cell>
        </row>
        <row r="12">
          <cell r="B12" t="str">
            <v>Number of shares</v>
          </cell>
          <cell r="C12">
            <v>2329</v>
          </cell>
          <cell r="D12">
            <v>2186.1428571428573</v>
          </cell>
          <cell r="E12">
            <v>2186.1428571428573</v>
          </cell>
          <cell r="F12">
            <v>2186.1428571428573</v>
          </cell>
          <cell r="I12" t="str">
            <v>EBITDA</v>
          </cell>
          <cell r="K12">
            <v>4958</v>
          </cell>
          <cell r="L12">
            <v>4840</v>
          </cell>
          <cell r="M12">
            <v>4498.0532337705072</v>
          </cell>
          <cell r="N12">
            <v>4441.3250106116147</v>
          </cell>
          <cell r="O12">
            <v>4453.9183505177007</v>
          </cell>
          <cell r="P12">
            <v>-2.7329756532867955E-2</v>
          </cell>
        </row>
        <row r="13">
          <cell r="B13" t="str">
            <v>Market cap.</v>
          </cell>
          <cell r="C13">
            <v>16652.350000000002</v>
          </cell>
          <cell r="D13">
            <v>15630.921428571432</v>
          </cell>
          <cell r="E13">
            <v>15630.921428571432</v>
          </cell>
          <cell r="F13">
            <v>15630.921428571432</v>
          </cell>
          <cell r="I13" t="str">
            <v>Capex</v>
          </cell>
          <cell r="K13">
            <v>1421</v>
          </cell>
          <cell r="L13">
            <v>1697</v>
          </cell>
          <cell r="M13">
            <v>1719.2119871641792</v>
          </cell>
          <cell r="N13">
            <v>1708.9885303611943</v>
          </cell>
          <cell r="O13">
            <v>1709.115735675015</v>
          </cell>
          <cell r="P13">
            <v>2.3741929005380857E-3</v>
          </cell>
        </row>
        <row r="14">
          <cell r="B14" t="str">
            <v>Plus: Net debt (Cash)</v>
          </cell>
          <cell r="C14">
            <v>7883</v>
          </cell>
          <cell r="D14">
            <v>7333.5290997697757</v>
          </cell>
          <cell r="E14">
            <v>6032.3949674635051</v>
          </cell>
          <cell r="F14">
            <v>4878.1656193150438</v>
          </cell>
          <cell r="I14" t="str">
            <v>OpFCF (EBITDA - capex)</v>
          </cell>
          <cell r="K14">
            <v>3537</v>
          </cell>
          <cell r="L14">
            <v>3143</v>
          </cell>
          <cell r="M14">
            <v>2778.8412466063282</v>
          </cell>
          <cell r="N14">
            <v>2732.3364802504202</v>
          </cell>
          <cell r="O14">
            <v>2744.8026148426857</v>
          </cell>
          <cell r="P14">
            <v>-4.4151830954151317E-2</v>
          </cell>
        </row>
        <row r="15">
          <cell r="B15" t="str">
            <v>Plus: Other financial liabilities</v>
          </cell>
          <cell r="C15">
            <v>965.77606817221726</v>
          </cell>
          <cell r="D15">
            <v>965.77606817221726</v>
          </cell>
          <cell r="E15">
            <v>965.77606817221726</v>
          </cell>
          <cell r="F15">
            <v>965.77606817221726</v>
          </cell>
          <cell r="I15" t="str">
            <v>FCF (OpFCF * (1-tax rate))</v>
          </cell>
          <cell r="K15">
            <v>2316.7350000000001</v>
          </cell>
          <cell r="L15">
            <v>2058.665</v>
          </cell>
          <cell r="M15">
            <v>1820.141016527145</v>
          </cell>
          <cell r="N15">
            <v>1857.9888065702855</v>
          </cell>
          <cell r="O15">
            <v>1921.3618303898797</v>
          </cell>
          <cell r="P15">
            <v>-2.2745169201930704E-2</v>
          </cell>
        </row>
        <row r="16">
          <cell r="B16" t="str">
            <v>Less: Associates</v>
          </cell>
          <cell r="C16">
            <v>280</v>
          </cell>
          <cell r="D16">
            <v>280</v>
          </cell>
          <cell r="E16">
            <v>280</v>
          </cell>
          <cell r="F16">
            <v>280</v>
          </cell>
          <cell r="I16" t="str">
            <v>EFCF</v>
          </cell>
          <cell r="K16">
            <v>2087.6999999999998</v>
          </cell>
          <cell r="L16">
            <v>1812.2627499999999</v>
          </cell>
          <cell r="M16">
            <v>1606.6024719058798</v>
          </cell>
          <cell r="N16">
            <v>1670.0550752800393</v>
          </cell>
          <cell r="O16">
            <v>1766.9672595150396</v>
          </cell>
          <cell r="P16">
            <v>-8.4016863307243561E-3</v>
          </cell>
        </row>
        <row r="17">
          <cell r="B17" t="str">
            <v>Plus: Minorities</v>
          </cell>
          <cell r="C17">
            <v>77.807199806636618</v>
          </cell>
          <cell r="D17">
            <v>77.807199806636618</v>
          </cell>
          <cell r="E17">
            <v>77.807199806636618</v>
          </cell>
          <cell r="F17">
            <v>77.807199806636618</v>
          </cell>
          <cell r="I17" t="str">
            <v>Adj net Income</v>
          </cell>
          <cell r="K17">
            <v>1325.7</v>
          </cell>
          <cell r="L17">
            <v>1478.2627500000001</v>
          </cell>
          <cell r="M17">
            <v>1364.5263792367441</v>
          </cell>
          <cell r="N17">
            <v>1471.6711464034897</v>
          </cell>
          <cell r="O17">
            <v>1612.8949596334458</v>
          </cell>
          <cell r="P17">
            <v>2.9480560718570858E-2</v>
          </cell>
        </row>
        <row r="18">
          <cell r="B18" t="str">
            <v>Less: Cumulative dividends</v>
          </cell>
          <cell r="C18">
            <v>0</v>
          </cell>
          <cell r="D18">
            <v>842.80687499999988</v>
          </cell>
          <cell r="E18">
            <v>1646.214375</v>
          </cell>
          <cell r="F18">
            <v>2449.6218749999998</v>
          </cell>
          <cell r="I18" t="str">
            <v>Clean EPS</v>
          </cell>
          <cell r="K18">
            <v>0.53219590525893212</v>
          </cell>
          <cell r="L18">
            <v>0.61338703319502075</v>
          </cell>
          <cell r="M18">
            <v>0.60442223974291021</v>
          </cell>
          <cell r="N18">
            <v>0.67318160000159621</v>
          </cell>
          <cell r="O18">
            <v>0.73778113555734948</v>
          </cell>
          <cell r="P18">
            <v>6.3484060782771801E-2</v>
          </cell>
        </row>
        <row r="19">
          <cell r="B19" t="str">
            <v>Less: NPV YE tax credit</v>
          </cell>
          <cell r="C19">
            <v>839.45158127529771</v>
          </cell>
          <cell r="D19">
            <v>297.84362561005008</v>
          </cell>
          <cell r="E19">
            <v>-272.08844399262176</v>
          </cell>
          <cell r="F19">
            <v>-649.64085510290818</v>
          </cell>
          <cell r="I19" t="str">
            <v>DPS</v>
          </cell>
          <cell r="K19">
            <v>0.25</v>
          </cell>
          <cell r="L19">
            <v>0.35</v>
          </cell>
          <cell r="M19">
            <v>0.36749999999999999</v>
          </cell>
          <cell r="N19">
            <v>0.36749999999999999</v>
          </cell>
          <cell r="O19">
            <v>0.36749999999999999</v>
          </cell>
          <cell r="P19">
            <v>1.6396356814853519E-2</v>
          </cell>
        </row>
        <row r="20">
          <cell r="B20" t="str">
            <v>Enterprise Value</v>
          </cell>
          <cell r="C20">
            <v>26234.339580957268</v>
          </cell>
          <cell r="D20">
            <v>22587.383295710013</v>
          </cell>
          <cell r="E20">
            <v>21052.773733006416</v>
          </cell>
          <cell r="F20">
            <v>19472.689295968237</v>
          </cell>
          <cell r="G20">
            <v>-7.3185339626353985E-2</v>
          </cell>
          <cell r="J20" t="str">
            <v>Cash flow</v>
          </cell>
        </row>
        <row r="21">
          <cell r="J21" t="str">
            <v>OpFCF</v>
          </cell>
          <cell r="K21">
            <v>3537</v>
          </cell>
          <cell r="L21">
            <v>3143</v>
          </cell>
          <cell r="M21">
            <v>2778.8412466063282</v>
          </cell>
          <cell r="N21">
            <v>2732.3364802504202</v>
          </cell>
          <cell r="O21">
            <v>2744.8026148426857</v>
          </cell>
        </row>
        <row r="22">
          <cell r="B22" t="str">
            <v>PRICE PERFORMANCE, -1Y</v>
          </cell>
          <cell r="J22" t="str">
            <v>Less: Interest payments</v>
          </cell>
          <cell r="K22">
            <v>-862</v>
          </cell>
          <cell r="L22">
            <v>-620</v>
          </cell>
          <cell r="M22">
            <v>-551.28158243785469</v>
          </cell>
          <cell r="N22">
            <v>-457.50392746300872</v>
          </cell>
          <cell r="O22">
            <v>-362.54841569989065</v>
          </cell>
        </row>
        <row r="23">
          <cell r="J23" t="str">
            <v>Less: Tax paid</v>
          </cell>
          <cell r="K23">
            <v>179</v>
          </cell>
          <cell r="L23">
            <v>0</v>
          </cell>
          <cell r="M23">
            <v>0</v>
          </cell>
          <cell r="N23">
            <v>0</v>
          </cell>
          <cell r="O23">
            <v>-246.38423418748343</v>
          </cell>
        </row>
        <row r="24">
          <cell r="J24" t="str">
            <v>Less: Change in WC</v>
          </cell>
          <cell r="K24">
            <v>200</v>
          </cell>
          <cell r="L24">
            <v>-448</v>
          </cell>
          <cell r="M24">
            <v>-11.281888938249693</v>
          </cell>
          <cell r="N24">
            <v>-11.290920481140972</v>
          </cell>
          <cell r="O24">
            <v>-3.233116806850802</v>
          </cell>
        </row>
        <row r="25">
          <cell r="J25" t="str">
            <v>Less: restructuring payments</v>
          </cell>
          <cell r="K25">
            <v>0</v>
          </cell>
          <cell r="L25">
            <v>-150</v>
          </cell>
          <cell r="M25">
            <v>-110</v>
          </cell>
          <cell r="N25">
            <v>-200</v>
          </cell>
          <cell r="O25">
            <v>-190</v>
          </cell>
        </row>
        <row r="26">
          <cell r="J26" t="str">
            <v>Plus: Dividend income</v>
          </cell>
          <cell r="K26">
            <v>0</v>
          </cell>
          <cell r="L26">
            <v>0</v>
          </cell>
          <cell r="M26">
            <v>0</v>
          </cell>
          <cell r="N26">
            <v>0</v>
          </cell>
          <cell r="O26">
            <v>0</v>
          </cell>
        </row>
        <row r="27">
          <cell r="J27" t="str">
            <v>Sub total</v>
          </cell>
          <cell r="K27">
            <v>3054</v>
          </cell>
          <cell r="L27">
            <v>1925</v>
          </cell>
          <cell r="M27">
            <v>2106.2777752302236</v>
          </cell>
          <cell r="N27">
            <v>2063.5416323062705</v>
          </cell>
          <cell r="O27">
            <v>1942.636848148461</v>
          </cell>
        </row>
        <row r="28">
          <cell r="J28" t="str">
            <v>Less: Disposals/acquis.</v>
          </cell>
          <cell r="K28">
            <v>1081</v>
          </cell>
          <cell r="L28">
            <v>351.63</v>
          </cell>
          <cell r="M28">
            <v>271</v>
          </cell>
          <cell r="N28">
            <v>41.000000000000227</v>
          </cell>
          <cell r="O28">
            <v>15.000000000000568</v>
          </cell>
        </row>
        <row r="29">
          <cell r="J29" t="str">
            <v>Less: Dividends paid</v>
          </cell>
          <cell r="K29">
            <v>0</v>
          </cell>
          <cell r="L29">
            <v>-815.63</v>
          </cell>
          <cell r="M29">
            <v>-842.80687499999988</v>
          </cell>
          <cell r="N29">
            <v>-803.40750000000003</v>
          </cell>
          <cell r="O29">
            <v>-803.40750000000003</v>
          </cell>
        </row>
        <row r="30">
          <cell r="J30" t="str">
            <v>Less: Share buyback</v>
          </cell>
          <cell r="K30">
            <v>0</v>
          </cell>
          <cell r="L30">
            <v>-1009</v>
          </cell>
          <cell r="M30">
            <v>-985</v>
          </cell>
          <cell r="N30">
            <v>0</v>
          </cell>
          <cell r="O30">
            <v>0</v>
          </cell>
        </row>
        <row r="31">
          <cell r="J31" t="str">
            <v>Chg in Net debt/Cash</v>
          </cell>
          <cell r="K31">
            <v>4135</v>
          </cell>
          <cell r="L31">
            <v>452</v>
          </cell>
          <cell r="M31">
            <v>549.47090023022429</v>
          </cell>
          <cell r="N31">
            <v>1301.1341323062709</v>
          </cell>
          <cell r="O31">
            <v>1154.2293481484614</v>
          </cell>
        </row>
        <row r="32">
          <cell r="J32" t="str">
            <v>Net debt (Cash)</v>
          </cell>
          <cell r="K32">
            <v>8335</v>
          </cell>
          <cell r="L32">
            <v>7883</v>
          </cell>
          <cell r="M32">
            <v>7333.5290997697757</v>
          </cell>
          <cell r="N32">
            <v>6032.3949674635051</v>
          </cell>
          <cell r="O32">
            <v>4878.1656193150438</v>
          </cell>
        </row>
        <row r="33">
          <cell r="P33" t="str">
            <v>CAGR</v>
          </cell>
        </row>
        <row r="34">
          <cell r="I34" t="str">
            <v>DIVISIONAL (€m)</v>
          </cell>
          <cell r="K34" t="str">
            <v>2003A</v>
          </cell>
          <cell r="L34" t="str">
            <v>2004A</v>
          </cell>
          <cell r="M34" t="str">
            <v>2005E</v>
          </cell>
          <cell r="N34" t="str">
            <v>2006E</v>
          </cell>
          <cell r="O34" t="str">
            <v>2007E</v>
          </cell>
          <cell r="P34" t="str">
            <v>04E-07E</v>
          </cell>
        </row>
        <row r="36">
          <cell r="I36" t="str">
            <v>Revenues</v>
          </cell>
        </row>
        <row r="37">
          <cell r="I37" t="str">
            <v>KPN Mobile NL</v>
          </cell>
          <cell r="K37">
            <v>2375</v>
          </cell>
          <cell r="L37">
            <v>2292</v>
          </cell>
          <cell r="M37">
            <v>2222.8698492562189</v>
          </cell>
          <cell r="N37">
            <v>2193.7665001537407</v>
          </cell>
          <cell r="O37">
            <v>2188.0149314998753</v>
          </cell>
          <cell r="P37">
            <v>-1.5357548079890981E-2</v>
          </cell>
        </row>
        <row r="38">
          <cell r="G38" t="str">
            <v>CAGR</v>
          </cell>
          <cell r="I38" t="str">
            <v>e-plus</v>
          </cell>
          <cell r="K38">
            <v>2453</v>
          </cell>
          <cell r="L38">
            <v>2751</v>
          </cell>
          <cell r="M38">
            <v>2923.8596190451817</v>
          </cell>
          <cell r="N38">
            <v>3007.8302733167861</v>
          </cell>
          <cell r="O38">
            <v>3153.0098893032646</v>
          </cell>
          <cell r="P38">
            <v>4.6513690534427221E-2</v>
          </cell>
        </row>
        <row r="39">
          <cell r="B39" t="str">
            <v>MULTIPLES &amp; RATIOS</v>
          </cell>
          <cell r="C39" t="str">
            <v>2004A</v>
          </cell>
          <cell r="D39" t="str">
            <v>2005E</v>
          </cell>
          <cell r="E39" t="str">
            <v>2006E</v>
          </cell>
          <cell r="F39" t="str">
            <v>2007E</v>
          </cell>
          <cell r="G39" t="str">
            <v>04E-07E</v>
          </cell>
          <cell r="I39" t="str">
            <v>Base</v>
          </cell>
          <cell r="K39">
            <v>337</v>
          </cell>
          <cell r="L39">
            <v>432</v>
          </cell>
          <cell r="M39">
            <v>515.73417895153989</v>
          </cell>
          <cell r="N39">
            <v>552.50813453857688</v>
          </cell>
          <cell r="O39">
            <v>580.99179710099349</v>
          </cell>
          <cell r="P39">
            <v>0.10381277981571091</v>
          </cell>
        </row>
        <row r="40">
          <cell r="I40" t="str">
            <v>Other</v>
          </cell>
          <cell r="K40">
            <v>462</v>
          </cell>
          <cell r="L40">
            <v>364</v>
          </cell>
          <cell r="M40">
            <v>349.2790200000004</v>
          </cell>
          <cell r="N40">
            <v>352.64379059999931</v>
          </cell>
          <cell r="O40">
            <v>356.52218431800134</v>
          </cell>
          <cell r="P40">
            <v>-6.8952517786045053E-3</v>
          </cell>
        </row>
        <row r="41">
          <cell r="B41" t="str">
            <v>EV/Revenue</v>
          </cell>
          <cell r="C41">
            <v>2.0305065321852531</v>
          </cell>
          <cell r="D41">
            <v>1.9170077800231671</v>
          </cell>
          <cell r="E41">
            <v>1.8276502399855292</v>
          </cell>
          <cell r="F41">
            <v>1.7016283817330116</v>
          </cell>
          <cell r="G41">
            <v>-1.6956389011091866E-2</v>
          </cell>
          <cell r="I41" t="str">
            <v>Domestic fixed</v>
          </cell>
          <cell r="K41">
            <v>7752</v>
          </cell>
          <cell r="L41">
            <v>7254</v>
          </cell>
          <cell r="M41">
            <v>6794.9903330018951</v>
          </cell>
          <cell r="N41">
            <v>6413.4881352511984</v>
          </cell>
          <cell r="O41">
            <v>6159.6608255294523</v>
          </cell>
          <cell r="P41">
            <v>-5.3051379111937913E-2</v>
          </cell>
        </row>
        <row r="42">
          <cell r="B42" t="str">
            <v>EV/EBITDA</v>
          </cell>
          <cell r="C42">
            <v>5.0536119187404047</v>
          </cell>
          <cell r="D42">
            <v>5.0215909242977252</v>
          </cell>
          <cell r="E42">
            <v>4.7402011072608348</v>
          </cell>
          <cell r="F42">
            <v>4.3720355344423485</v>
          </cell>
          <cell r="G42">
            <v>-2.7329756532867955E-2</v>
          </cell>
          <cell r="I42" t="str">
            <v>Eliminations</v>
          </cell>
          <cell r="K42">
            <v>-1170</v>
          </cell>
          <cell r="L42">
            <v>-1047</v>
          </cell>
          <cell r="M42">
            <v>-1024.1082602357606</v>
          </cell>
          <cell r="N42">
            <v>-1001.1981948408871</v>
          </cell>
          <cell r="O42">
            <v>-994.63797527349811</v>
          </cell>
          <cell r="P42">
            <v>-1.6956389011091866E-2</v>
          </cell>
        </row>
        <row r="43">
          <cell r="B43" t="str">
            <v>EV/OpFCF</v>
          </cell>
          <cell r="C43">
            <v>7.7822086181048551</v>
          </cell>
          <cell r="D43">
            <v>8.1283460590974563</v>
          </cell>
          <cell r="E43">
            <v>7.7050443403211144</v>
          </cell>
          <cell r="F43">
            <v>7.0943860191142694</v>
          </cell>
          <cell r="G43">
            <v>-4.4151830954151317E-2</v>
          </cell>
          <cell r="I43" t="str">
            <v>Total</v>
          </cell>
          <cell r="K43">
            <v>12209</v>
          </cell>
          <cell r="L43">
            <v>12046</v>
          </cell>
          <cell r="M43">
            <v>11782.624740019075</v>
          </cell>
          <cell r="N43">
            <v>11519.038639019414</v>
          </cell>
          <cell r="O43">
            <v>11443.561652478089</v>
          </cell>
          <cell r="P43">
            <v>-1.6956389011091866E-2</v>
          </cell>
        </row>
        <row r="44">
          <cell r="B44" t="str">
            <v>EV/FCF</v>
          </cell>
          <cell r="C44">
            <v>11.881234531457794</v>
          </cell>
          <cell r="D44">
            <v>12.409688639843447</v>
          </cell>
          <cell r="E44">
            <v>11.330947559295758</v>
          </cell>
          <cell r="F44">
            <v>10.134837170163243</v>
          </cell>
          <cell r="G44">
            <v>-2.2745169201930704E-2</v>
          </cell>
          <cell r="I44" t="str">
            <v>% change</v>
          </cell>
          <cell r="L44">
            <v>-1.3350806781882163E-2</v>
          </cell>
          <cell r="M44">
            <v>-2.1864125849321403E-2</v>
          </cell>
          <cell r="N44">
            <v>-2.2370745637379397E-2</v>
          </cell>
          <cell r="O44">
            <v>-6.5523685531929665E-3</v>
          </cell>
        </row>
        <row r="45">
          <cell r="B45" t="str">
            <v>EV/Invested capital</v>
          </cell>
          <cell r="C45">
            <v>1.64732500583941</v>
          </cell>
          <cell r="D45">
            <v>1.6161335279939388</v>
          </cell>
          <cell r="E45">
            <v>1.5637327143241098</v>
          </cell>
          <cell r="F45">
            <v>1.4728128486807526</v>
          </cell>
          <cell r="G45">
            <v>-3.7937093088969975E-2</v>
          </cell>
        </row>
        <row r="46">
          <cell r="B46" t="str">
            <v>EV/NFA</v>
          </cell>
          <cell r="C46">
            <v>2.7775927420739905</v>
          </cell>
          <cell r="D46">
            <v>2.6375039689895923</v>
          </cell>
          <cell r="E46">
            <v>2.51660667299761</v>
          </cell>
          <cell r="F46">
            <v>2.3714018075941428</v>
          </cell>
          <cell r="G46">
            <v>-2.303118268657689E-2</v>
          </cell>
          <cell r="I46" t="str">
            <v>EBITDA</v>
          </cell>
        </row>
        <row r="47">
          <cell r="B47" t="str">
            <v>P/EFCF</v>
          </cell>
          <cell r="C47">
            <v>9.4574215275686342</v>
          </cell>
          <cell r="D47">
            <v>9.9187165536327555</v>
          </cell>
          <cell r="E47">
            <v>9.8170830275475165</v>
          </cell>
          <cell r="F47">
            <v>9.4156394805847317</v>
          </cell>
          <cell r="G47">
            <v>-8.4016863307243561E-3</v>
          </cell>
        </row>
        <row r="48">
          <cell r="B48" t="str">
            <v>Adjusted P/E</v>
          </cell>
          <cell r="C48">
            <v>11.656588113310709</v>
          </cell>
          <cell r="D48">
            <v>11.829478682057163</v>
          </cell>
          <cell r="E48">
            <v>10.621205332978571</v>
          </cell>
          <cell r="F48">
            <v>9.6912209534858924</v>
          </cell>
          <cell r="G48">
            <v>2.9480560718570858E-2</v>
          </cell>
          <cell r="I48" t="str">
            <v>KPN Mobile NL</v>
          </cell>
          <cell r="K48">
            <v>1064</v>
          </cell>
          <cell r="L48">
            <v>914</v>
          </cell>
          <cell r="M48">
            <v>868.2212128522192</v>
          </cell>
          <cell r="N48">
            <v>830.71495251597617</v>
          </cell>
          <cell r="O48">
            <v>820.44872725659548</v>
          </cell>
          <cell r="P48">
            <v>-3.5353003050302423E-2</v>
          </cell>
        </row>
        <row r="49">
          <cell r="B49" t="str">
            <v>Dividend yield</v>
          </cell>
          <cell r="C49">
            <v>4.8951048951048945E-2</v>
          </cell>
          <cell r="D49">
            <v>5.1398601398601397E-2</v>
          </cell>
          <cell r="E49">
            <v>5.1398601398601397E-2</v>
          </cell>
          <cell r="F49">
            <v>5.1398601398601397E-2</v>
          </cell>
          <cell r="G49">
            <v>1.6396356814853519E-2</v>
          </cell>
          <cell r="I49" t="str">
            <v>e-plus</v>
          </cell>
          <cell r="K49">
            <v>620</v>
          </cell>
          <cell r="L49">
            <v>710</v>
          </cell>
          <cell r="M49">
            <v>780.55939400518128</v>
          </cell>
          <cell r="N49">
            <v>799.57472020658361</v>
          </cell>
          <cell r="O49">
            <v>878.18226337434339</v>
          </cell>
          <cell r="P49">
            <v>7.3434223771708051E-2</v>
          </cell>
        </row>
        <row r="50">
          <cell r="B50" t="str">
            <v>EFCF yield</v>
          </cell>
          <cell r="C50">
            <v>0.10573706555058093</v>
          </cell>
          <cell r="D50">
            <v>0.10081949560638946</v>
          </cell>
          <cell r="E50">
            <v>0.10186325176164043</v>
          </cell>
          <cell r="F50">
            <v>0.10620627542739114</v>
          </cell>
          <cell r="G50">
            <v>-8.4016863307243561E-3</v>
          </cell>
          <cell r="I50" t="str">
            <v>KPN Orange</v>
          </cell>
          <cell r="K50">
            <v>48</v>
          </cell>
          <cell r="L50">
            <v>119</v>
          </cell>
          <cell r="M50">
            <v>177.69417895153987</v>
          </cell>
          <cell r="N50">
            <v>194.18573453857687</v>
          </cell>
          <cell r="O50">
            <v>201.17005310099347</v>
          </cell>
          <cell r="P50">
            <v>0.19125697464259983</v>
          </cell>
        </row>
        <row r="51">
          <cell r="B51" t="str">
            <v>Net debt/EBITDA</v>
          </cell>
          <cell r="C51">
            <v>1.6287190082644629</v>
          </cell>
          <cell r="D51">
            <v>1.6303784589988994</v>
          </cell>
          <cell r="E51">
            <v>1.3582421806668872</v>
          </cell>
          <cell r="F51">
            <v>1.0952525923040397</v>
          </cell>
          <cell r="G51">
            <v>-0.12389523658758472</v>
          </cell>
          <cell r="I51" t="str">
            <v>Other</v>
          </cell>
          <cell r="K51">
            <v>80</v>
          </cell>
          <cell r="L51">
            <v>74</v>
          </cell>
          <cell r="M51">
            <v>31.091852999999901</v>
          </cell>
          <cell r="N51">
            <v>31.596568590000061</v>
          </cell>
          <cell r="O51">
            <v>32.178327647700144</v>
          </cell>
          <cell r="P51">
            <v>-0.24239310842112782</v>
          </cell>
        </row>
        <row r="52">
          <cell r="B52" t="str">
            <v>OpFCF/Net interest</v>
          </cell>
          <cell r="C52">
            <v>5.0693548387096774</v>
          </cell>
          <cell r="D52">
            <v>5.0406930598295174</v>
          </cell>
          <cell r="E52">
            <v>5.972268905760032</v>
          </cell>
          <cell r="F52">
            <v>7.5708581143401572</v>
          </cell>
          <cell r="G52">
            <v>0.14304713260451218</v>
          </cell>
          <cell r="I52" t="str">
            <v>Domestic fixed</v>
          </cell>
          <cell r="K52">
            <v>3146</v>
          </cell>
          <cell r="L52">
            <v>3023</v>
          </cell>
          <cell r="M52">
            <v>2640.4865949615669</v>
          </cell>
          <cell r="N52">
            <v>2585.2530347604779</v>
          </cell>
          <cell r="O52">
            <v>2521.9389791380681</v>
          </cell>
          <cell r="P52">
            <v>-5.8618898078622861E-2</v>
          </cell>
        </row>
        <row r="53">
          <cell r="I53" t="str">
            <v>Total</v>
          </cell>
          <cell r="K53">
            <v>4958</v>
          </cell>
          <cell r="L53">
            <v>4840</v>
          </cell>
          <cell r="M53">
            <v>4498.0532337705072</v>
          </cell>
          <cell r="N53">
            <v>4441.3250106116147</v>
          </cell>
          <cell r="O53">
            <v>4453.9183505177007</v>
          </cell>
          <cell r="P53">
            <v>-2.7329756532867955E-2</v>
          </cell>
        </row>
        <row r="54">
          <cell r="B54" t="str">
            <v>BREAKDOWN OF VALUE</v>
          </cell>
          <cell r="D54" t="str">
            <v>RELATIVE VALUATION (2005)</v>
          </cell>
          <cell r="I54" t="str">
            <v>% change</v>
          </cell>
          <cell r="L54">
            <v>-2.3799919322307406E-2</v>
          </cell>
          <cell r="M54">
            <v>-7.0650158311878708E-2</v>
          </cell>
          <cell r="N54">
            <v>-1.2611727832162578E-2</v>
          </cell>
          <cell r="O54">
            <v>2.8354916327890667E-3</v>
          </cell>
        </row>
        <row r="55">
          <cell r="I55" t="str">
            <v>EBITDA margin</v>
          </cell>
          <cell r="K55">
            <v>0.40609386518142354</v>
          </cell>
          <cell r="L55">
            <v>0.4017931263489955</v>
          </cell>
          <cell r="M55">
            <v>0.38175307565326272</v>
          </cell>
          <cell r="N55">
            <v>0.38556386082143512</v>
          </cell>
          <cell r="O55">
            <v>0.38920735394938955</v>
          </cell>
        </row>
        <row r="57">
          <cell r="I57" t="str">
            <v>Capex</v>
          </cell>
        </row>
        <row r="59">
          <cell r="I59" t="str">
            <v>KPN Mobile NL</v>
          </cell>
          <cell r="K59">
            <v>178</v>
          </cell>
          <cell r="L59">
            <v>214</v>
          </cell>
          <cell r="M59">
            <v>235.4</v>
          </cell>
          <cell r="N59">
            <v>223.63</v>
          </cell>
          <cell r="O59">
            <v>212.4485</v>
          </cell>
          <cell r="P59">
            <v>-2.4225305820895215E-3</v>
          </cell>
        </row>
        <row r="60">
          <cell r="I60" t="str">
            <v>e-plus</v>
          </cell>
          <cell r="K60">
            <v>576</v>
          </cell>
          <cell r="L60">
            <v>781</v>
          </cell>
          <cell r="M60">
            <v>741.95</v>
          </cell>
          <cell r="N60">
            <v>667.755</v>
          </cell>
          <cell r="O60">
            <v>600.97950000000003</v>
          </cell>
          <cell r="P60">
            <v>-8.3632788356559074E-2</v>
          </cell>
        </row>
        <row r="61">
          <cell r="I61" t="str">
            <v>KPN Orange</v>
          </cell>
          <cell r="K61">
            <v>100</v>
          </cell>
          <cell r="L61">
            <v>42</v>
          </cell>
          <cell r="M61">
            <v>52.5</v>
          </cell>
          <cell r="N61">
            <v>63</v>
          </cell>
          <cell r="O61">
            <v>69.3</v>
          </cell>
          <cell r="P61">
            <v>0.18166575046750122</v>
          </cell>
        </row>
        <row r="62">
          <cell r="I62" t="str">
            <v>Other</v>
          </cell>
          <cell r="K62">
            <v>31</v>
          </cell>
          <cell r="L62">
            <v>42</v>
          </cell>
          <cell r="M62">
            <v>40.461987164179362</v>
          </cell>
          <cell r="N62">
            <v>40.813530361194239</v>
          </cell>
          <cell r="O62">
            <v>41.218735675014926</v>
          </cell>
          <cell r="P62">
            <v>-6.2393591531388903E-3</v>
          </cell>
        </row>
        <row r="63">
          <cell r="I63" t="str">
            <v>Domestic fixed</v>
          </cell>
          <cell r="K63">
            <v>536</v>
          </cell>
          <cell r="L63">
            <v>618</v>
          </cell>
          <cell r="M63">
            <v>648.9</v>
          </cell>
          <cell r="N63">
            <v>713.79</v>
          </cell>
          <cell r="O63">
            <v>785.1690000000001</v>
          </cell>
          <cell r="P63">
            <v>8.3074231263342124E-2</v>
          </cell>
        </row>
        <row r="64">
          <cell r="I64" t="str">
            <v>Total</v>
          </cell>
          <cell r="K64">
            <v>1421</v>
          </cell>
          <cell r="L64">
            <v>1697</v>
          </cell>
          <cell r="M64">
            <v>1719.2119871641792</v>
          </cell>
          <cell r="N64">
            <v>1708.9885303611943</v>
          </cell>
          <cell r="O64">
            <v>1709.115735675015</v>
          </cell>
          <cell r="P64">
            <v>2.3741929005380857E-3</v>
          </cell>
        </row>
        <row r="65">
          <cell r="I65" t="str">
            <v>% change</v>
          </cell>
          <cell r="L65">
            <v>0.19422941590429277</v>
          </cell>
          <cell r="M65">
            <v>1.3088972990087822E-2</v>
          </cell>
          <cell r="N65">
            <v>-5.94659464877767E-3</v>
          </cell>
          <cell r="O65">
            <v>7.4433099790160995E-5</v>
          </cell>
        </row>
        <row r="66">
          <cell r="I66" t="str">
            <v>Capex/sales</v>
          </cell>
          <cell r="K66">
            <v>0.1163895486935867</v>
          </cell>
          <cell r="L66">
            <v>0.1408766395483978</v>
          </cell>
          <cell r="M66">
            <v>0.14591078177385763</v>
          </cell>
          <cell r="N66">
            <v>0.14836207985032648</v>
          </cell>
          <cell r="O66">
            <v>0.14935173048199624</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KPN 4.75 11/5/2008 EUR EMTN</v>
          </cell>
          <cell r="D71" t="str">
            <v>Baa1</v>
          </cell>
          <cell r="E71" t="str">
            <v>STABLE</v>
          </cell>
          <cell r="F71" t="str">
            <v>A-</v>
          </cell>
          <cell r="G71" t="str">
            <v>STABLE</v>
          </cell>
        </row>
        <row r="72">
          <cell r="B72" t="str">
            <v xml:space="preserve"> KPN 8.375 10/1/2030 USD</v>
          </cell>
          <cell r="D72" t="str">
            <v>Baa1</v>
          </cell>
          <cell r="E72" t="str">
            <v>STABLE</v>
          </cell>
          <cell r="F72" t="str">
            <v>A-</v>
          </cell>
          <cell r="G72" t="str">
            <v>STABLE</v>
          </cell>
        </row>
        <row r="75">
          <cell r="E75" t="str">
            <v>Issue size</v>
          </cell>
          <cell r="F75" t="str">
            <v>Yld to mat</v>
          </cell>
          <cell r="G75" t="str">
            <v xml:space="preserve">Price </v>
          </cell>
        </row>
        <row r="76">
          <cell r="B76" t="str">
            <v xml:space="preserve"> KPN 4.75 11/5/2008 EUR EMTN</v>
          </cell>
          <cell r="E76" t="str">
            <v>€1500</v>
          </cell>
          <cell r="F76">
            <v>3.1400000000000004E-2</v>
          </cell>
          <cell r="G76">
            <v>105.4</v>
          </cell>
        </row>
        <row r="77">
          <cell r="B77" t="str">
            <v xml:space="preserve"> KPN 8.375 10/1/2030 USD</v>
          </cell>
          <cell r="E77" t="str">
            <v>US$991.9</v>
          </cell>
          <cell r="F77">
            <v>5.8700000000000002E-2</v>
          </cell>
          <cell r="G77">
            <v>132.88999999999999</v>
          </cell>
        </row>
        <row r="80">
          <cell r="E80" t="str">
            <v>OAS 12m chg</v>
          </cell>
          <cell r="F80" t="str">
            <v>12m tot ret</v>
          </cell>
          <cell r="G80" t="str">
            <v xml:space="preserve">OAS </v>
          </cell>
        </row>
        <row r="81">
          <cell r="B81" t="str">
            <v xml:space="preserve"> KPN 4.75 11/5/2008 EUR EMTN</v>
          </cell>
          <cell r="E81">
            <v>-25</v>
          </cell>
          <cell r="F81">
            <v>6.055E-2</v>
          </cell>
          <cell r="G81">
            <v>34</v>
          </cell>
        </row>
        <row r="82">
          <cell r="B82" t="str">
            <v xml:space="preserve"> KPN 8.375 10/1/2030 USD</v>
          </cell>
          <cell r="E82">
            <v>-14</v>
          </cell>
          <cell r="F82">
            <v>0.10204000000000001</v>
          </cell>
          <cell r="G82">
            <v>118</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32" refreshError="1">
        <row r="6">
          <cell r="S6" t="str">
            <v xml:space="preserve"> OTE (Buy) TP €17.5  (+16.7%)</v>
          </cell>
        </row>
        <row r="8">
          <cell r="G8" t="str">
            <v>CAGR</v>
          </cell>
          <cell r="P8" t="str">
            <v>CAGR</v>
          </cell>
        </row>
        <row r="9">
          <cell r="B9" t="str">
            <v>EV CALCULATION (€m)</v>
          </cell>
          <cell r="C9" t="str">
            <v>2004A</v>
          </cell>
          <cell r="D9" t="str">
            <v>2005E</v>
          </cell>
          <cell r="E9" t="str">
            <v>2006E</v>
          </cell>
          <cell r="F9" t="str">
            <v>2007E</v>
          </cell>
          <cell r="G9" t="str">
            <v>04E-07E</v>
          </cell>
          <cell r="I9" t="str">
            <v>FINANCIALS (€m)</v>
          </cell>
          <cell r="K9" t="str">
            <v>2003A</v>
          </cell>
          <cell r="L9" t="str">
            <v>2004A</v>
          </cell>
          <cell r="M9" t="str">
            <v>2005E</v>
          </cell>
          <cell r="N9" t="str">
            <v>2006E</v>
          </cell>
          <cell r="O9" t="str">
            <v>2007E</v>
          </cell>
          <cell r="P9" t="str">
            <v>04E-07E</v>
          </cell>
        </row>
        <row r="11">
          <cell r="B11" t="str">
            <v>Share price, €</v>
          </cell>
          <cell r="C11">
            <v>15</v>
          </cell>
          <cell r="I11" t="str">
            <v>Revenue</v>
          </cell>
          <cell r="K11">
            <v>4914.2598333333326</v>
          </cell>
          <cell r="L11">
            <v>5028.6112619842816</v>
          </cell>
          <cell r="M11">
            <v>5100.8908627335759</v>
          </cell>
          <cell r="N11">
            <v>5147.2326591026658</v>
          </cell>
          <cell r="O11">
            <v>5233.682356397966</v>
          </cell>
          <cell r="P11">
            <v>1.341290966793296E-2</v>
          </cell>
        </row>
        <row r="12">
          <cell r="B12" t="str">
            <v>Number of shares</v>
          </cell>
          <cell r="C12">
            <v>491.46</v>
          </cell>
          <cell r="D12">
            <v>491.46</v>
          </cell>
          <cell r="E12">
            <v>491.46</v>
          </cell>
          <cell r="F12">
            <v>491.46</v>
          </cell>
          <cell r="I12" t="str">
            <v>EBITDA</v>
          </cell>
          <cell r="K12">
            <v>1871.9520000000002</v>
          </cell>
          <cell r="L12">
            <v>1745.0329999999999</v>
          </cell>
          <cell r="M12">
            <v>1904.7624838672489</v>
          </cell>
          <cell r="N12">
            <v>2113.681401807245</v>
          </cell>
          <cell r="O12">
            <v>2197.0692295209547</v>
          </cell>
          <cell r="P12">
            <v>7.9808393959797108E-2</v>
          </cell>
        </row>
        <row r="13">
          <cell r="B13" t="str">
            <v>Market cap.</v>
          </cell>
          <cell r="C13">
            <v>7371.9</v>
          </cell>
          <cell r="D13">
            <v>7371.9</v>
          </cell>
          <cell r="E13">
            <v>7371.9</v>
          </cell>
          <cell r="F13">
            <v>7371.9</v>
          </cell>
          <cell r="I13" t="str">
            <v>Capex</v>
          </cell>
          <cell r="K13">
            <v>923</v>
          </cell>
          <cell r="L13">
            <v>883.7</v>
          </cell>
          <cell r="M13">
            <v>748.95877033581814</v>
          </cell>
          <cell r="N13">
            <v>715.76651186672007</v>
          </cell>
          <cell r="O13">
            <v>683.72523352659778</v>
          </cell>
          <cell r="P13">
            <v>-8.1965678977440226E-2</v>
          </cell>
        </row>
        <row r="14">
          <cell r="B14" t="str">
            <v>Plus: Net debt (Cash)</v>
          </cell>
          <cell r="C14">
            <v>2240.4253155815431</v>
          </cell>
          <cell r="D14">
            <v>1489.4458584896579</v>
          </cell>
          <cell r="E14">
            <v>583.57046630847367</v>
          </cell>
          <cell r="F14">
            <v>228.88515737421562</v>
          </cell>
          <cell r="I14" t="str">
            <v>OpFCF (EBITDA - capex)</v>
          </cell>
          <cell r="K14">
            <v>948.95200000000023</v>
          </cell>
          <cell r="L14">
            <v>861.33299999999974</v>
          </cell>
          <cell r="M14">
            <v>1155.8037135314307</v>
          </cell>
          <cell r="N14">
            <v>1397.914889940525</v>
          </cell>
          <cell r="O14">
            <v>1513.3439959943569</v>
          </cell>
          <cell r="P14">
            <v>0.20667094929821128</v>
          </cell>
        </row>
        <row r="15">
          <cell r="B15" t="str">
            <v>Plus: Other financial liabilities</v>
          </cell>
          <cell r="C15">
            <v>1543.6581278943975</v>
          </cell>
          <cell r="D15">
            <v>1568.380863513672</v>
          </cell>
          <cell r="E15">
            <v>1428.1675239596291</v>
          </cell>
          <cell r="F15">
            <v>1257.3059173034701</v>
          </cell>
          <cell r="I15" t="str">
            <v>FCF (OpFCF * (1-tax rate))</v>
          </cell>
          <cell r="K15">
            <v>616.81880000000012</v>
          </cell>
          <cell r="L15">
            <v>559.86644999999987</v>
          </cell>
          <cell r="M15">
            <v>751.27241379543</v>
          </cell>
          <cell r="N15">
            <v>978.54042295836746</v>
          </cell>
          <cell r="O15">
            <v>1059.3407971960498</v>
          </cell>
          <cell r="P15">
            <v>0.23685014687345363</v>
          </cell>
        </row>
        <row r="16">
          <cell r="B16" t="str">
            <v>Less: Associates</v>
          </cell>
          <cell r="C16">
            <v>100.5</v>
          </cell>
          <cell r="D16">
            <v>100.5</v>
          </cell>
          <cell r="E16">
            <v>100.5</v>
          </cell>
          <cell r="F16">
            <v>100.5</v>
          </cell>
          <cell r="I16" t="str">
            <v>EFCF</v>
          </cell>
          <cell r="K16">
            <v>452.20380000000023</v>
          </cell>
          <cell r="L16">
            <v>385.40898632962296</v>
          </cell>
          <cell r="M16">
            <v>569.42886136589254</v>
          </cell>
          <cell r="N16">
            <v>771.66250149133793</v>
          </cell>
          <cell r="O16">
            <v>870.03058653690755</v>
          </cell>
          <cell r="P16">
            <v>0.31180987165490026</v>
          </cell>
        </row>
        <row r="17">
          <cell r="B17" t="str">
            <v>Plus: Minorities</v>
          </cell>
          <cell r="C17">
            <v>2862.9897633616174</v>
          </cell>
          <cell r="D17">
            <v>2862.9897633616174</v>
          </cell>
          <cell r="E17">
            <v>2862.9897633616174</v>
          </cell>
          <cell r="F17">
            <v>2862.9897633616174</v>
          </cell>
          <cell r="I17" t="str">
            <v>Adj net Income</v>
          </cell>
          <cell r="K17">
            <v>451.00380000000024</v>
          </cell>
          <cell r="L17">
            <v>258.30272425978427</v>
          </cell>
          <cell r="M17">
            <v>373.42445779275562</v>
          </cell>
          <cell r="N17">
            <v>578.86041975880471</v>
          </cell>
          <cell r="O17">
            <v>680.51637477201962</v>
          </cell>
          <cell r="P17">
            <v>0.38113627203940736</v>
          </cell>
        </row>
        <row r="18">
          <cell r="B18" t="str">
            <v>Less: Cumulative dividends</v>
          </cell>
          <cell r="C18">
            <v>0</v>
          </cell>
          <cell r="D18">
            <v>0</v>
          </cell>
          <cell r="E18">
            <v>0</v>
          </cell>
          <cell r="F18">
            <v>344.02199999999999</v>
          </cell>
          <cell r="I18" t="str">
            <v>Clean EPS</v>
          </cell>
          <cell r="K18">
            <v>0.91848522493534057</v>
          </cell>
          <cell r="L18">
            <v>0.52558239584052469</v>
          </cell>
          <cell r="M18">
            <v>0.75982675658803489</v>
          </cell>
          <cell r="N18">
            <v>1.1778383179888592</v>
          </cell>
          <cell r="O18">
            <v>1.3846831375331048</v>
          </cell>
          <cell r="P18">
            <v>0.38113627203940736</v>
          </cell>
        </row>
        <row r="19">
          <cell r="B19" t="str">
            <v>Less: NPV YE tax credit</v>
          </cell>
          <cell r="C19">
            <v>0</v>
          </cell>
          <cell r="D19">
            <v>0</v>
          </cell>
          <cell r="E19">
            <v>0</v>
          </cell>
          <cell r="F19">
            <v>0</v>
          </cell>
          <cell r="I19" t="str">
            <v>DPS</v>
          </cell>
          <cell r="K19">
            <v>0</v>
          </cell>
          <cell r="L19">
            <v>0</v>
          </cell>
          <cell r="M19">
            <v>0</v>
          </cell>
          <cell r="N19">
            <v>0.7</v>
          </cell>
          <cell r="O19">
            <v>0.7</v>
          </cell>
          <cell r="P19" t="str">
            <v>nm</v>
          </cell>
        </row>
        <row r="20">
          <cell r="B20" t="str">
            <v>Enterprise Value</v>
          </cell>
          <cell r="C20">
            <v>14432.626689504799</v>
          </cell>
          <cell r="D20">
            <v>13192.216485364948</v>
          </cell>
          <cell r="E20">
            <v>12146.12775362972</v>
          </cell>
          <cell r="F20">
            <v>11276.558838039302</v>
          </cell>
          <cell r="G20">
            <v>-6.7758717654752609E-2</v>
          </cell>
          <cell r="J20" t="str">
            <v>Cash flow</v>
          </cell>
        </row>
        <row r="21">
          <cell r="J21" t="str">
            <v>OpFCF</v>
          </cell>
          <cell r="K21">
            <v>948.95200000000023</v>
          </cell>
          <cell r="L21">
            <v>861.33299999999974</v>
          </cell>
          <cell r="M21">
            <v>1155.8037135314307</v>
          </cell>
          <cell r="N21">
            <v>1397.914889940525</v>
          </cell>
          <cell r="O21">
            <v>1513.3439959943569</v>
          </cell>
        </row>
        <row r="22">
          <cell r="B22" t="str">
            <v>PRICE PERFORMANCE, -1Y</v>
          </cell>
          <cell r="J22" t="str">
            <v>Less: Interest payments</v>
          </cell>
          <cell r="K22">
            <v>-80.099999999999994</v>
          </cell>
          <cell r="L22">
            <v>-104.78984775554471</v>
          </cell>
          <cell r="M22">
            <v>-104.71853990837538</v>
          </cell>
          <cell r="N22">
            <v>-74.988927763227139</v>
          </cell>
          <cell r="O22">
            <v>-36.915054286935437</v>
          </cell>
        </row>
        <row r="23">
          <cell r="J23" t="str">
            <v>Less: Tax paid</v>
          </cell>
          <cell r="K23">
            <v>-298.14820000000003</v>
          </cell>
          <cell r="L23">
            <v>-220.1699115611157</v>
          </cell>
          <cell r="M23">
            <v>0</v>
          </cell>
          <cell r="N23">
            <v>-59.781161754695802</v>
          </cell>
          <cell r="O23">
            <v>-390.46041898276007</v>
          </cell>
        </row>
        <row r="24">
          <cell r="J24" t="str">
            <v>Less: Change in WC</v>
          </cell>
          <cell r="K24">
            <v>120.7</v>
          </cell>
          <cell r="L24">
            <v>-1.5706783311664196</v>
          </cell>
          <cell r="M24">
            <v>-0.99279916326048578</v>
          </cell>
          <cell r="N24">
            <v>-0.63652947971843332</v>
          </cell>
          <cell r="O24">
            <v>-1.1874330550964487</v>
          </cell>
        </row>
        <row r="25">
          <cell r="J25" t="str">
            <v>Less: Restructuring costs</v>
          </cell>
          <cell r="K25">
            <v>-26</v>
          </cell>
          <cell r="L25">
            <v>-28.9</v>
          </cell>
          <cell r="M25">
            <v>-83.333333333333329</v>
          </cell>
          <cell r="N25">
            <v>-250</v>
          </cell>
          <cell r="O25">
            <v>-270.83333333333331</v>
          </cell>
        </row>
        <row r="26">
          <cell r="J26" t="str">
            <v>Less: Other</v>
          </cell>
          <cell r="K26">
            <v>15.5</v>
          </cell>
          <cell r="L26">
            <v>-28.100000000000165</v>
          </cell>
          <cell r="M26">
            <v>-9.0999999999999091</v>
          </cell>
          <cell r="N26">
            <v>-9.1000000000000796</v>
          </cell>
          <cell r="O26">
            <v>-9.0999999999996817</v>
          </cell>
        </row>
        <row r="27">
          <cell r="J27" t="str">
            <v>Less: minority dividends</v>
          </cell>
          <cell r="K27">
            <v>-46.169099200000005</v>
          </cell>
          <cell r="L27">
            <v>-67.76105437999999</v>
          </cell>
          <cell r="M27">
            <v>-199.89511042099997</v>
          </cell>
          <cell r="N27">
            <v>-89.613994417549975</v>
          </cell>
          <cell r="O27">
            <v>-98.575393859304981</v>
          </cell>
        </row>
        <row r="28">
          <cell r="J28" t="str">
            <v>Sub total</v>
          </cell>
          <cell r="K28">
            <v>634.73470080000027</v>
          </cell>
          <cell r="L28">
            <v>410.04150797217289</v>
          </cell>
          <cell r="M28">
            <v>757.76393070546169</v>
          </cell>
          <cell r="N28">
            <v>913.79427652533332</v>
          </cell>
          <cell r="O28">
            <v>706.27236247692713</v>
          </cell>
        </row>
        <row r="29">
          <cell r="J29" t="str">
            <v>Less: Disposals/acquis.</v>
          </cell>
          <cell r="K29">
            <v>-488.15</v>
          </cell>
          <cell r="L29">
            <v>0</v>
          </cell>
          <cell r="M29">
            <v>-16</v>
          </cell>
          <cell r="N29">
            <v>-16</v>
          </cell>
          <cell r="O29">
            <v>-16</v>
          </cell>
        </row>
        <row r="30">
          <cell r="J30" t="str">
            <v>Less: Dividends paid</v>
          </cell>
          <cell r="K30">
            <v>-336.3</v>
          </cell>
          <cell r="L30">
            <v>-173</v>
          </cell>
          <cell r="M30">
            <v>0</v>
          </cell>
          <cell r="N30">
            <v>0</v>
          </cell>
          <cell r="O30">
            <v>-344.02199999999999</v>
          </cell>
        </row>
        <row r="31">
          <cell r="J31" t="str">
            <v>Chg in Net debt/Cash</v>
          </cell>
          <cell r="K31">
            <v>-189.71529919999966</v>
          </cell>
          <cell r="L31">
            <v>237.04150797217289</v>
          </cell>
          <cell r="M31">
            <v>741.76393070546169</v>
          </cell>
          <cell r="N31">
            <v>897.79427652533332</v>
          </cell>
          <cell r="O31">
            <v>346.25036247692714</v>
          </cell>
        </row>
        <row r="32">
          <cell r="J32" t="str">
            <v>Net debt (Cash)</v>
          </cell>
          <cell r="K32">
            <v>2652.8152991999996</v>
          </cell>
          <cell r="L32">
            <v>2415.7737912278267</v>
          </cell>
          <cell r="M32">
            <v>1674.009860522365</v>
          </cell>
          <cell r="N32">
            <v>776.21558399703144</v>
          </cell>
          <cell r="O32">
            <v>429.96522152010454</v>
          </cell>
        </row>
        <row r="33">
          <cell r="P33" t="str">
            <v>CAGR</v>
          </cell>
        </row>
        <row r="34">
          <cell r="I34" t="str">
            <v>DIVISIONAL (€m)</v>
          </cell>
          <cell r="K34" t="str">
            <v>2003A</v>
          </cell>
          <cell r="L34" t="str">
            <v>2004A</v>
          </cell>
          <cell r="M34" t="str">
            <v>2005E</v>
          </cell>
          <cell r="N34" t="str">
            <v>2006E</v>
          </cell>
          <cell r="O34" t="str">
            <v>2007E</v>
          </cell>
          <cell r="P34" t="str">
            <v>04E-07E</v>
          </cell>
        </row>
        <row r="36">
          <cell r="I36" t="str">
            <v>Revenues</v>
          </cell>
        </row>
        <row r="37">
          <cell r="I37" t="str">
            <v>CosmOTE</v>
          </cell>
          <cell r="K37">
            <v>1357.174</v>
          </cell>
          <cell r="L37">
            <v>1587.7750000000001</v>
          </cell>
          <cell r="M37">
            <v>1669.3392419528575</v>
          </cell>
          <cell r="N37">
            <v>1720.6953645950773</v>
          </cell>
          <cell r="O37">
            <v>1815</v>
          </cell>
          <cell r="P37">
            <v>4.5592734012938507E-2</v>
          </cell>
        </row>
        <row r="38">
          <cell r="G38" t="str">
            <v>CAGR</v>
          </cell>
          <cell r="I38" t="str">
            <v>Globul, MTS</v>
          </cell>
          <cell r="K38">
            <v>106.1</v>
          </cell>
          <cell r="L38">
            <v>201.3</v>
          </cell>
          <cell r="M38">
            <v>288.15673693507449</v>
          </cell>
          <cell r="N38">
            <v>342.08210489267555</v>
          </cell>
          <cell r="O38">
            <v>364.75885279712213</v>
          </cell>
          <cell r="P38">
            <v>0.21914123901369509</v>
          </cell>
        </row>
        <row r="39">
          <cell r="B39" t="str">
            <v>MULTIPLES &amp; RATIOS</v>
          </cell>
          <cell r="C39" t="str">
            <v>2004A</v>
          </cell>
          <cell r="D39" t="str">
            <v>2005E</v>
          </cell>
          <cell r="E39" t="str">
            <v>2006E</v>
          </cell>
          <cell r="F39" t="str">
            <v>2007E</v>
          </cell>
          <cell r="G39" t="str">
            <v>04E-07E</v>
          </cell>
          <cell r="I39" t="str">
            <v>RomTelecom</v>
          </cell>
          <cell r="K39">
            <v>664.48583333333329</v>
          </cell>
          <cell r="L39">
            <v>839.1</v>
          </cell>
          <cell r="M39">
            <v>858.78817808771589</v>
          </cell>
          <cell r="N39">
            <v>875.96394164947026</v>
          </cell>
          <cell r="O39">
            <v>884.54838827763501</v>
          </cell>
          <cell r="P39">
            <v>1.7737924451736387E-2</v>
          </cell>
        </row>
        <row r="40">
          <cell r="I40" t="str">
            <v>Other</v>
          </cell>
          <cell r="K40">
            <v>284.8</v>
          </cell>
          <cell r="L40">
            <v>174.6</v>
          </cell>
          <cell r="M40">
            <v>189.40199999999999</v>
          </cell>
          <cell r="N40">
            <v>201.19404</v>
          </cell>
          <cell r="O40">
            <v>210.72067079999999</v>
          </cell>
          <cell r="P40">
            <v>6.4684586783425146E-2</v>
          </cell>
        </row>
        <row r="41">
          <cell r="B41" t="str">
            <v>EV/Revenue</v>
          </cell>
          <cell r="C41">
            <v>2.7678562691969457</v>
          </cell>
          <cell r="D41">
            <v>2.5862573500141925</v>
          </cell>
          <cell r="E41">
            <v>2.3597394091269219</v>
          </cell>
          <cell r="F41">
            <v>2.1546127697746429</v>
          </cell>
          <cell r="G41">
            <v>1.341290966793296E-2</v>
          </cell>
          <cell r="I41" t="str">
            <v>Domestic fixed</v>
          </cell>
          <cell r="K41">
            <v>3088.9</v>
          </cell>
          <cell r="L41">
            <v>2826.7</v>
          </cell>
          <cell r="M41">
            <v>2704.7050610872247</v>
          </cell>
          <cell r="N41">
            <v>2622.3348982649727</v>
          </cell>
          <cell r="O41">
            <v>2584.0219228220371</v>
          </cell>
          <cell r="P41">
            <v>-2.9477760560141952E-2</v>
          </cell>
        </row>
        <row r="42">
          <cell r="B42" t="str">
            <v>EV/EBITDA</v>
          </cell>
          <cell r="C42">
            <v>7.8293383803065808</v>
          </cell>
          <cell r="D42">
            <v>6.8090177720668841</v>
          </cell>
          <cell r="E42">
            <v>5.6588860411307733</v>
          </cell>
          <cell r="F42">
            <v>5.0572761919680662</v>
          </cell>
          <cell r="G42">
            <v>7.9808393959797108E-2</v>
          </cell>
          <cell r="I42" t="str">
            <v>Eliminations</v>
          </cell>
          <cell r="K42">
            <v>-587.20000000000005</v>
          </cell>
          <cell r="L42">
            <v>-600.86373801571892</v>
          </cell>
          <cell r="M42">
            <v>-609.50035532929644</v>
          </cell>
          <cell r="N42">
            <v>-615.0376902995298</v>
          </cell>
          <cell r="O42">
            <v>-625.36747829882813</v>
          </cell>
          <cell r="P42">
            <v>1.341290966793296E-2</v>
          </cell>
        </row>
        <row r="43">
          <cell r="B43" t="str">
            <v>EV/OpFCF</v>
          </cell>
          <cell r="C43">
            <v>15.568187311696057</v>
          </cell>
          <cell r="D43">
            <v>11.099852979143485</v>
          </cell>
          <cell r="E43">
            <v>8.4901449293140452</v>
          </cell>
          <cell r="F43">
            <v>7.2938149672685393</v>
          </cell>
          <cell r="G43">
            <v>0.20667094929821128</v>
          </cell>
          <cell r="I43" t="str">
            <v>Total</v>
          </cell>
          <cell r="K43">
            <v>4914.2598333333326</v>
          </cell>
          <cell r="L43">
            <v>5028.6112619842816</v>
          </cell>
          <cell r="M43">
            <v>5100.8908627335759</v>
          </cell>
          <cell r="N43">
            <v>5147.2326591026658</v>
          </cell>
          <cell r="O43">
            <v>5233.682356397966</v>
          </cell>
          <cell r="P43">
            <v>1.341290966793296E-2</v>
          </cell>
        </row>
        <row r="44">
          <cell r="B44" t="str">
            <v>EV/FCF</v>
          </cell>
          <cell r="C44">
            <v>23.951057402609319</v>
          </cell>
          <cell r="D44">
            <v>17.076696890989975</v>
          </cell>
          <cell r="E44">
            <v>12.128778470448637</v>
          </cell>
          <cell r="F44">
            <v>10.419735667526483</v>
          </cell>
          <cell r="G44">
            <v>0.23685014687345363</v>
          </cell>
          <cell r="I44" t="str">
            <v>% change</v>
          </cell>
          <cell r="L44">
            <v>2.3269308609875639E-2</v>
          </cell>
          <cell r="M44">
            <v>1.4373670380074755E-2</v>
          </cell>
          <cell r="N44">
            <v>9.0850397736710331E-3</v>
          </cell>
          <cell r="O44">
            <v>1.6795373945729386E-2</v>
          </cell>
        </row>
        <row r="45">
          <cell r="B45" t="str">
            <v>EV/Invested capital</v>
          </cell>
          <cell r="C45">
            <v>1.9562870552510532</v>
          </cell>
          <cell r="D45">
            <v>1.9854412899263623</v>
          </cell>
          <cell r="E45">
            <v>1.8994441885716604</v>
          </cell>
          <cell r="F45">
            <v>1.7417210896460258</v>
          </cell>
          <cell r="G45">
            <v>-3.0949698373420986E-2</v>
          </cell>
        </row>
        <row r="46">
          <cell r="B46" t="str">
            <v>EV/NFA</v>
          </cell>
          <cell r="C46">
            <v>2.0521778832724573</v>
          </cell>
          <cell r="D46">
            <v>2.0029816207053739</v>
          </cell>
          <cell r="E46">
            <v>1.8997656949489981</v>
          </cell>
          <cell r="F46">
            <v>1.8176350483426442</v>
          </cell>
          <cell r="G46">
            <v>-2.9271525559107614E-2</v>
          </cell>
          <cell r="I46" t="str">
            <v>EBITDA</v>
          </cell>
        </row>
        <row r="47">
          <cell r="B47" t="str">
            <v>P/EFCF</v>
          </cell>
          <cell r="C47">
            <v>23.132719900488574</v>
          </cell>
          <cell r="D47">
            <v>15.700435067637008</v>
          </cell>
          <cell r="E47">
            <v>11.404036747868863</v>
          </cell>
          <cell r="F47">
            <v>9.918278794831096</v>
          </cell>
          <cell r="G47">
            <v>0.31180987165490026</v>
          </cell>
          <cell r="I47" t="str">
            <v>CosmOTE</v>
          </cell>
          <cell r="K47">
            <v>576.15200000000004</v>
          </cell>
          <cell r="L47">
            <v>674.53300000000002</v>
          </cell>
          <cell r="M47">
            <v>722.41025851371046</v>
          </cell>
          <cell r="N47">
            <v>775.87366213040809</v>
          </cell>
          <cell r="O47">
            <v>784.66375976946995</v>
          </cell>
          <cell r="P47">
            <v>5.170385179033854E-2</v>
          </cell>
        </row>
        <row r="48">
          <cell r="B48" t="str">
            <v>Adjusted P/E</v>
          </cell>
          <cell r="C48">
            <v>28.539768680820483</v>
          </cell>
          <cell r="D48">
            <v>19.74134218088972</v>
          </cell>
          <cell r="E48">
            <v>12.73519444129842</v>
          </cell>
          <cell r="F48">
            <v>10.83280325542448</v>
          </cell>
          <cell r="G48">
            <v>0.38113627203940736</v>
          </cell>
          <cell r="I48" t="str">
            <v>Globul, MTS</v>
          </cell>
          <cell r="K48">
            <v>9.9999999999999645E-2</v>
          </cell>
          <cell r="L48">
            <v>36.9</v>
          </cell>
          <cell r="M48">
            <v>77.354857927276072</v>
          </cell>
          <cell r="N48">
            <v>115.68284195707022</v>
          </cell>
          <cell r="O48">
            <v>137.44354111884888</v>
          </cell>
          <cell r="P48">
            <v>0.55012239226288084</v>
          </cell>
        </row>
        <row r="49">
          <cell r="B49" t="str">
            <v>Dividend yield</v>
          </cell>
          <cell r="C49">
            <v>0</v>
          </cell>
          <cell r="D49">
            <v>0</v>
          </cell>
          <cell r="E49">
            <v>4.6666666666666662E-2</v>
          </cell>
          <cell r="F49">
            <v>4.6666666666666662E-2</v>
          </cell>
          <cell r="G49" t="str">
            <v>nm</v>
          </cell>
          <cell r="I49" t="str">
            <v>RomTelecom</v>
          </cell>
          <cell r="K49">
            <v>174.3</v>
          </cell>
          <cell r="L49">
            <v>285</v>
          </cell>
          <cell r="M49">
            <v>298.49017808771583</v>
          </cell>
          <cell r="N49">
            <v>315.6659416494702</v>
          </cell>
          <cell r="O49">
            <v>324.25038827763495</v>
          </cell>
          <cell r="P49">
            <v>4.3947234792812262E-2</v>
          </cell>
        </row>
        <row r="50">
          <cell r="B50" t="str">
            <v>EFCF yield</v>
          </cell>
          <cell r="C50">
            <v>4.3228812016129568E-2</v>
          </cell>
          <cell r="D50">
            <v>6.3692502512957744E-2</v>
          </cell>
          <cell r="E50">
            <v>8.7688247776549447E-2</v>
          </cell>
          <cell r="F50">
            <v>0.10082394543306741</v>
          </cell>
          <cell r="G50">
            <v>0.31180987165490026</v>
          </cell>
          <cell r="I50" t="str">
            <v>Other</v>
          </cell>
          <cell r="K50">
            <v>37.6</v>
          </cell>
          <cell r="L50">
            <v>66.7</v>
          </cell>
          <cell r="M50">
            <v>65.992199999999968</v>
          </cell>
          <cell r="N50">
            <v>64.054529999999971</v>
          </cell>
          <cell r="O50">
            <v>66.161033099999969</v>
          </cell>
          <cell r="P50">
            <v>-2.7007753771055576E-3</v>
          </cell>
        </row>
        <row r="51">
          <cell r="B51" t="str">
            <v>Net debt/EBITDA</v>
          </cell>
          <cell r="C51">
            <v>1.2838870758212271</v>
          </cell>
          <cell r="D51">
            <v>0.7819588379678859</v>
          </cell>
          <cell r="E51">
            <v>0.27609197195448087</v>
          </cell>
          <cell r="F51">
            <v>0.10417748985730475</v>
          </cell>
          <cell r="G51">
            <v>-0.56707198784598889</v>
          </cell>
          <cell r="I51" t="str">
            <v>Domestic fixed</v>
          </cell>
          <cell r="K51">
            <v>1076.3</v>
          </cell>
          <cell r="L51">
            <v>674.4</v>
          </cell>
          <cell r="M51">
            <v>733.0149893385468</v>
          </cell>
          <cell r="N51">
            <v>834.90442607029672</v>
          </cell>
          <cell r="O51">
            <v>877.05050725500087</v>
          </cell>
          <cell r="P51">
            <v>9.153001082062806E-2</v>
          </cell>
        </row>
        <row r="52">
          <cell r="B52" t="str">
            <v>OpFCF/Net interest</v>
          </cell>
          <cell r="C52">
            <v>8.5131465844268153</v>
          </cell>
          <cell r="D52">
            <v>12.102274796446769</v>
          </cell>
          <cell r="E52">
            <v>22.033673534581226</v>
          </cell>
          <cell r="F52">
            <v>60.862096824129274</v>
          </cell>
          <cell r="G52">
            <v>0.92642571316271782</v>
          </cell>
          <cell r="I52" t="str">
            <v>Adjustments</v>
          </cell>
          <cell r="K52">
            <v>7.5</v>
          </cell>
          <cell r="L52">
            <v>7.5</v>
          </cell>
          <cell r="M52">
            <v>7.5</v>
          </cell>
          <cell r="N52">
            <v>7.5</v>
          </cell>
          <cell r="O52">
            <v>7.5</v>
          </cell>
          <cell r="P52">
            <v>0</v>
          </cell>
        </row>
        <row r="53">
          <cell r="I53" t="str">
            <v>Total</v>
          </cell>
          <cell r="K53">
            <v>1871.9520000000002</v>
          </cell>
          <cell r="L53">
            <v>1745.0329999999999</v>
          </cell>
          <cell r="M53">
            <v>1904.7624838672489</v>
          </cell>
          <cell r="N53">
            <v>2113.681401807245</v>
          </cell>
          <cell r="O53">
            <v>2197.0692295209547</v>
          </cell>
          <cell r="P53">
            <v>7.9808393959797108E-2</v>
          </cell>
        </row>
        <row r="54">
          <cell r="B54" t="str">
            <v>BREAKDOWN OF VALUE</v>
          </cell>
          <cell r="D54" t="str">
            <v>RELATIVE VALUATION (2005)</v>
          </cell>
          <cell r="I54" t="str">
            <v>% change</v>
          </cell>
          <cell r="L54">
            <v>-6.7800349581613406E-2</v>
          </cell>
          <cell r="M54">
            <v>9.1533789829332246E-2</v>
          </cell>
          <cell r="N54">
            <v>0.10968239857172479</v>
          </cell>
          <cell r="O54">
            <v>3.945146493809859E-2</v>
          </cell>
        </row>
        <row r="55">
          <cell r="I55" t="str">
            <v>EBITDA margin</v>
          </cell>
          <cell r="K55">
            <v>0.3809224712341388</v>
          </cell>
          <cell r="L55">
            <v>0.34702085905749908</v>
          </cell>
          <cell r="M55">
            <v>0.37341761177114924</v>
          </cell>
          <cell r="N55">
            <v>0.41064423191931843</v>
          </cell>
          <cell r="O55">
            <v>0.41979414872878673</v>
          </cell>
        </row>
        <row r="57">
          <cell r="I57" t="str">
            <v>Capex</v>
          </cell>
        </row>
        <row r="58">
          <cell r="I58" t="str">
            <v>CosmOTE</v>
          </cell>
          <cell r="K58">
            <v>184</v>
          </cell>
          <cell r="L58">
            <v>218.3</v>
          </cell>
          <cell r="M58">
            <v>183.49750473152361</v>
          </cell>
          <cell r="N58">
            <v>175.86532789024869</v>
          </cell>
          <cell r="O58">
            <v>176.49892403777091</v>
          </cell>
          <cell r="P58">
            <v>-6.8400080859322698E-2</v>
          </cell>
        </row>
        <row r="59">
          <cell r="I59" t="str">
            <v>Globul</v>
          </cell>
          <cell r="K59">
            <v>84.7</v>
          </cell>
          <cell r="L59">
            <v>88.7</v>
          </cell>
          <cell r="M59">
            <v>60.289184233768623</v>
          </cell>
          <cell r="N59">
            <v>54.316420978535113</v>
          </cell>
          <cell r="O59">
            <v>47.627004975510772</v>
          </cell>
          <cell r="P59">
            <v>-0.18721337073659849</v>
          </cell>
        </row>
        <row r="60">
          <cell r="I60" t="str">
            <v>MTS</v>
          </cell>
          <cell r="K60">
            <v>59.3</v>
          </cell>
          <cell r="L60">
            <v>25</v>
          </cell>
          <cell r="M60">
            <v>32.9</v>
          </cell>
          <cell r="N60">
            <v>28.2</v>
          </cell>
          <cell r="O60">
            <v>21.15</v>
          </cell>
          <cell r="P60">
            <v>-5.4220010727988988E-2</v>
          </cell>
        </row>
        <row r="61">
          <cell r="I61" t="str">
            <v>RomTelecom</v>
          </cell>
          <cell r="K61">
            <v>48.833333333333336</v>
          </cell>
          <cell r="L61">
            <v>137.1</v>
          </cell>
          <cell r="M61">
            <v>103.05458137052591</v>
          </cell>
          <cell r="N61">
            <v>105.11567299793643</v>
          </cell>
          <cell r="O61">
            <v>106.14580659331619</v>
          </cell>
          <cell r="P61">
            <v>-8.1762280253635411E-2</v>
          </cell>
        </row>
        <row r="62">
          <cell r="I62" t="str">
            <v>Other</v>
          </cell>
          <cell r="K62">
            <v>55.16666666666665</v>
          </cell>
          <cell r="L62">
            <v>46.6</v>
          </cell>
          <cell r="M62">
            <v>38.017499999999927</v>
          </cell>
          <cell r="N62">
            <v>37.629089999999955</v>
          </cell>
          <cell r="O62">
            <v>33.395497919999968</v>
          </cell>
          <cell r="P62">
            <v>-0.10511477964922933</v>
          </cell>
        </row>
        <row r="63">
          <cell r="I63" t="str">
            <v>Domestic fixed</v>
          </cell>
          <cell r="K63">
            <v>491</v>
          </cell>
          <cell r="L63">
            <v>368</v>
          </cell>
          <cell r="M63">
            <v>331.2</v>
          </cell>
          <cell r="N63">
            <v>314.64</v>
          </cell>
          <cell r="O63">
            <v>298.90799999999996</v>
          </cell>
          <cell r="P63">
            <v>-6.6967926027583502E-2</v>
          </cell>
        </row>
        <row r="64">
          <cell r="I64" t="str">
            <v>Total</v>
          </cell>
          <cell r="K64">
            <v>923</v>
          </cell>
          <cell r="L64">
            <v>883.7</v>
          </cell>
          <cell r="M64">
            <v>748.95877033581814</v>
          </cell>
          <cell r="N64">
            <v>715.76651186672007</v>
          </cell>
          <cell r="O64">
            <v>683.72523352659778</v>
          </cell>
          <cell r="P64">
            <v>-8.1965678977440226E-2</v>
          </cell>
        </row>
        <row r="65">
          <cell r="I65" t="str">
            <v>% change</v>
          </cell>
          <cell r="L65">
            <v>-4.2578548212350964E-2</v>
          </cell>
          <cell r="M65">
            <v>-0.15247395005565456</v>
          </cell>
          <cell r="N65">
            <v>-4.4317871401940212E-2</v>
          </cell>
          <cell r="O65">
            <v>-4.4764986638671567E-2</v>
          </cell>
        </row>
        <row r="66">
          <cell r="I66" t="str">
            <v>Capex/sales</v>
          </cell>
          <cell r="K66">
            <v>0.18782075659477918</v>
          </cell>
          <cell r="L66">
            <v>0.17573440338899721</v>
          </cell>
          <cell r="M66">
            <v>0.14682901290980571</v>
          </cell>
          <cell r="N66">
            <v>0.13905851148984238</v>
          </cell>
          <cell r="O66">
            <v>0.13063942115072597</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OTE 6.125 2/7/2007 EUR</v>
          </cell>
          <cell r="D71" t="str">
            <v>Baa1</v>
          </cell>
          <cell r="E71" t="str">
            <v>STABLE</v>
          </cell>
          <cell r="F71" t="str">
            <v>BBB+</v>
          </cell>
          <cell r="G71" t="str">
            <v>N/A</v>
          </cell>
        </row>
        <row r="72">
          <cell r="B72" t="str">
            <v xml:space="preserve"> OTE 5 8/5/2013</v>
          </cell>
          <cell r="D72" t="str">
            <v>Baa1</v>
          </cell>
          <cell r="E72" t="str">
            <v>STABLE</v>
          </cell>
          <cell r="F72" t="str">
            <v>BBB+</v>
          </cell>
          <cell r="G72" t="str">
            <v>N/A</v>
          </cell>
        </row>
        <row r="75">
          <cell r="E75" t="str">
            <v>Issue size</v>
          </cell>
          <cell r="F75" t="str">
            <v>Yld to mat</v>
          </cell>
          <cell r="G75" t="str">
            <v xml:space="preserve">Price </v>
          </cell>
        </row>
        <row r="76">
          <cell r="B76" t="str">
            <v xml:space="preserve"> OTE 6.125 2/7/2007 EUR</v>
          </cell>
          <cell r="E76" t="str">
            <v>€1100</v>
          </cell>
          <cell r="F76">
            <v>2.75E-2</v>
          </cell>
          <cell r="G76">
            <v>106.2</v>
          </cell>
        </row>
        <row r="77">
          <cell r="B77" t="str">
            <v xml:space="preserve"> OTE 5 8/5/2013</v>
          </cell>
          <cell r="E77" t="str">
            <v>€1250</v>
          </cell>
          <cell r="F77">
            <v>4.1500000000000002E-2</v>
          </cell>
          <cell r="G77">
            <v>105.62</v>
          </cell>
        </row>
        <row r="80">
          <cell r="E80" t="str">
            <v>OAS 12m chg</v>
          </cell>
          <cell r="F80" t="str">
            <v>12m tot ret</v>
          </cell>
          <cell r="G80" t="str">
            <v xml:space="preserve">OAS </v>
          </cell>
        </row>
        <row r="81">
          <cell r="B81" t="str">
            <v xml:space="preserve"> OTE 6.125 2/7/2007 EUR</v>
          </cell>
          <cell r="E81">
            <v>-32</v>
          </cell>
          <cell r="F81">
            <v>4.4660000000000005E-2</v>
          </cell>
          <cell r="G81">
            <v>31</v>
          </cell>
        </row>
        <row r="82">
          <cell r="B82" t="str">
            <v xml:space="preserve"> OTE 5 8/5/2013</v>
          </cell>
          <cell r="E82">
            <v>-31</v>
          </cell>
          <cell r="F82">
            <v>0.10980000000000001</v>
          </cell>
          <cell r="G82">
            <v>65</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33" refreshError="1">
        <row r="6">
          <cell r="S6" t="str">
            <v xml:space="preserve"> Portugal Telecom (Neutral) TP: €9.3  (+1.4%)</v>
          </cell>
        </row>
        <row r="8">
          <cell r="G8" t="str">
            <v>CAGR</v>
          </cell>
          <cell r="P8" t="str">
            <v>CAGR</v>
          </cell>
        </row>
        <row r="9">
          <cell r="B9" t="str">
            <v>EV CALCULATION (€m)</v>
          </cell>
          <cell r="C9" t="str">
            <v>2004A</v>
          </cell>
          <cell r="D9" t="str">
            <v>2005E</v>
          </cell>
          <cell r="E9" t="str">
            <v>2006E</v>
          </cell>
          <cell r="F9" t="str">
            <v>2007E</v>
          </cell>
          <cell r="G9" t="str">
            <v>04E-07E</v>
          </cell>
          <cell r="I9" t="str">
            <v>FINANCIALS (€m)</v>
          </cell>
          <cell r="K9" t="str">
            <v>2003A</v>
          </cell>
          <cell r="L9" t="str">
            <v>2004A</v>
          </cell>
          <cell r="M9" t="str">
            <v>2005E</v>
          </cell>
          <cell r="N9" t="str">
            <v>2006E</v>
          </cell>
          <cell r="O9" t="str">
            <v>2007E</v>
          </cell>
          <cell r="P9" t="str">
            <v>04E-07E</v>
          </cell>
        </row>
        <row r="11">
          <cell r="B11" t="str">
            <v>Share price, €</v>
          </cell>
          <cell r="C11">
            <v>9.17</v>
          </cell>
          <cell r="I11" t="str">
            <v>Revenue</v>
          </cell>
          <cell r="K11">
            <v>5776</v>
          </cell>
          <cell r="L11">
            <v>6024</v>
          </cell>
          <cell r="M11">
            <v>6280.950947260555</v>
          </cell>
          <cell r="N11">
            <v>6128.4474577699812</v>
          </cell>
          <cell r="O11">
            <v>6280.1284511323674</v>
          </cell>
          <cell r="P11">
            <v>1.3976417428929189E-2</v>
          </cell>
        </row>
        <row r="12">
          <cell r="B12" t="str">
            <v>Number of shares</v>
          </cell>
          <cell r="C12">
            <v>1166.22</v>
          </cell>
          <cell r="D12">
            <v>1098.48</v>
          </cell>
          <cell r="E12">
            <v>1098.48</v>
          </cell>
          <cell r="F12">
            <v>1098.48</v>
          </cell>
          <cell r="I12" t="str">
            <v>EBITDA</v>
          </cell>
          <cell r="K12">
            <v>2268</v>
          </cell>
          <cell r="L12">
            <v>2326</v>
          </cell>
          <cell r="M12">
            <v>2448.9299859941575</v>
          </cell>
          <cell r="N12">
            <v>2498.6707552613889</v>
          </cell>
          <cell r="O12">
            <v>2560.6275927623242</v>
          </cell>
          <cell r="P12">
            <v>3.255272431125511E-2</v>
          </cell>
        </row>
        <row r="13">
          <cell r="B13" t="str">
            <v>Market cap.</v>
          </cell>
          <cell r="C13">
            <v>10694.2374</v>
          </cell>
          <cell r="D13">
            <v>10073.061600000001</v>
          </cell>
          <cell r="E13">
            <v>10073.061600000001</v>
          </cell>
          <cell r="F13">
            <v>10073.061600000001</v>
          </cell>
          <cell r="I13" t="str">
            <v>Capex</v>
          </cell>
          <cell r="K13">
            <v>652</v>
          </cell>
          <cell r="L13">
            <v>784</v>
          </cell>
          <cell r="M13">
            <v>891.3989103989046</v>
          </cell>
          <cell r="N13">
            <v>879.47450820541303</v>
          </cell>
          <cell r="O13">
            <v>880.75851299733642</v>
          </cell>
          <cell r="P13">
            <v>3.9553701090571769E-2</v>
          </cell>
        </row>
        <row r="14">
          <cell r="B14" t="str">
            <v>Plus: Net debt (Cash)</v>
          </cell>
          <cell r="C14">
            <v>3123</v>
          </cell>
          <cell r="D14">
            <v>2905.3801120026969</v>
          </cell>
          <cell r="E14">
            <v>2414.596844116335</v>
          </cell>
          <cell r="F14">
            <v>1818.1832407886911</v>
          </cell>
          <cell r="I14" t="str">
            <v>OpFCF (EBITDA - capex)</v>
          </cell>
          <cell r="K14">
            <v>1616</v>
          </cell>
          <cell r="L14">
            <v>1542</v>
          </cell>
          <cell r="M14">
            <v>1557.5310755952528</v>
          </cell>
          <cell r="N14">
            <v>1619.1962470559758</v>
          </cell>
          <cell r="O14">
            <v>1679.8690797649879</v>
          </cell>
          <cell r="P14">
            <v>2.8956513996733824E-2</v>
          </cell>
        </row>
        <row r="15">
          <cell r="B15" t="str">
            <v>Plus: Other financial liabilities</v>
          </cell>
          <cell r="C15">
            <v>1644.9035701067742</v>
          </cell>
          <cell r="D15">
            <v>1644.9035701067742</v>
          </cell>
          <cell r="E15">
            <v>1644.9035701067742</v>
          </cell>
          <cell r="F15">
            <v>1644.9035701067742</v>
          </cell>
          <cell r="I15" t="str">
            <v>FCF (OpFCF * (1-tax rate))</v>
          </cell>
          <cell r="K15">
            <v>1082.72</v>
          </cell>
          <cell r="L15">
            <v>1079.4000000000001</v>
          </cell>
          <cell r="M15">
            <v>1129.2100298065582</v>
          </cell>
          <cell r="N15">
            <v>1173.9172791155825</v>
          </cell>
          <cell r="O15">
            <v>1217.9050828296163</v>
          </cell>
          <cell r="P15">
            <v>4.1062995397278756E-2</v>
          </cell>
        </row>
        <row r="16">
          <cell r="B16" t="str">
            <v>Less: Associates</v>
          </cell>
          <cell r="C16">
            <v>100</v>
          </cell>
          <cell r="D16">
            <v>100</v>
          </cell>
          <cell r="E16">
            <v>100</v>
          </cell>
          <cell r="F16">
            <v>100</v>
          </cell>
          <cell r="I16" t="str">
            <v>EFCF</v>
          </cell>
          <cell r="K16">
            <v>1085</v>
          </cell>
          <cell r="L16">
            <v>987</v>
          </cell>
          <cell r="M16">
            <v>984.01495574053399</v>
          </cell>
          <cell r="N16">
            <v>997.49242747988001</v>
          </cell>
          <cell r="O16">
            <v>1055.0109240818651</v>
          </cell>
          <cell r="P16">
            <v>2.246064616335941E-2</v>
          </cell>
        </row>
        <row r="17">
          <cell r="B17" t="str">
            <v>Plus: Minorities</v>
          </cell>
          <cell r="C17">
            <v>1739.4874847612291</v>
          </cell>
          <cell r="D17">
            <v>1739.4874847612291</v>
          </cell>
          <cell r="E17">
            <v>1739.4874847612291</v>
          </cell>
          <cell r="F17">
            <v>1739.4874847612291</v>
          </cell>
          <cell r="I17" t="str">
            <v>Adj net Income</v>
          </cell>
          <cell r="K17">
            <v>783</v>
          </cell>
          <cell r="L17">
            <v>812.96156862745102</v>
          </cell>
          <cell r="M17">
            <v>972.70641035550989</v>
          </cell>
          <cell r="N17">
            <v>946.68878688482323</v>
          </cell>
          <cell r="O17">
            <v>998.31268614520127</v>
          </cell>
          <cell r="P17">
            <v>7.0858754497653775E-2</v>
          </cell>
        </row>
        <row r="18">
          <cell r="B18" t="str">
            <v>Less: Cumulative dividends</v>
          </cell>
          <cell r="C18">
            <v>0</v>
          </cell>
          <cell r="D18">
            <v>408.17699999999996</v>
          </cell>
          <cell r="E18">
            <v>831.09179999999992</v>
          </cell>
          <cell r="F18">
            <v>1275.1523400000001</v>
          </cell>
          <cell r="I18" t="str">
            <v>Clean EPS</v>
          </cell>
          <cell r="K18">
            <v>0.62440191387559807</v>
          </cell>
          <cell r="L18">
            <v>0.67180799152758919</v>
          </cell>
          <cell r="M18">
            <v>0.8590156845105229</v>
          </cell>
          <cell r="N18">
            <v>0.86181704435631523</v>
          </cell>
          <cell r="O18">
            <v>0.90881280145554411</v>
          </cell>
          <cell r="P18">
            <v>0.10596934648232037</v>
          </cell>
        </row>
        <row r="19">
          <cell r="B19" t="str">
            <v>Less: NPV YE tax credit</v>
          </cell>
          <cell r="C19">
            <v>133.26607486631013</v>
          </cell>
          <cell r="D19">
            <v>0</v>
          </cell>
          <cell r="E19">
            <v>0</v>
          </cell>
          <cell r="F19">
            <v>0</v>
          </cell>
          <cell r="I19" t="str">
            <v>DPS</v>
          </cell>
          <cell r="K19">
            <v>0.22</v>
          </cell>
          <cell r="L19">
            <v>0.35</v>
          </cell>
          <cell r="M19">
            <v>0.38500000000000001</v>
          </cell>
          <cell r="N19">
            <v>0.40425000000000005</v>
          </cell>
          <cell r="O19">
            <v>0.42446250000000008</v>
          </cell>
          <cell r="P19">
            <v>6.6408900387890268E-2</v>
          </cell>
        </row>
        <row r="20">
          <cell r="B20" t="str">
            <v>Enterprise Value</v>
          </cell>
          <cell r="C20">
            <v>15068.344667215395</v>
          </cell>
          <cell r="D20">
            <v>15854.655766870703</v>
          </cell>
          <cell r="E20">
            <v>14940.957698984339</v>
          </cell>
          <cell r="F20">
            <v>13900.483555656694</v>
          </cell>
          <cell r="G20">
            <v>-6.4314299225923688E-2</v>
          </cell>
          <cell r="J20" t="str">
            <v>Cash flow</v>
          </cell>
        </row>
        <row r="21">
          <cell r="J21" t="str">
            <v>OpFCF</v>
          </cell>
          <cell r="K21">
            <v>1616</v>
          </cell>
          <cell r="L21">
            <v>1542</v>
          </cell>
          <cell r="M21">
            <v>1557.531075595253</v>
          </cell>
          <cell r="N21">
            <v>1619.1962470559765</v>
          </cell>
          <cell r="O21">
            <v>1679.8690797649876</v>
          </cell>
        </row>
        <row r="22">
          <cell r="B22" t="str">
            <v>PRICE PERFORMANCE, -1Y</v>
          </cell>
          <cell r="J22" t="str">
            <v>Less: Interest payments</v>
          </cell>
          <cell r="K22">
            <v>-286</v>
          </cell>
          <cell r="L22">
            <v>-253</v>
          </cell>
          <cell r="M22">
            <v>-193.05271537097437</v>
          </cell>
          <cell r="N22">
            <v>-170.36682790553292</v>
          </cell>
          <cell r="O22">
            <v>-135.55045862823189</v>
          </cell>
        </row>
        <row r="23">
          <cell r="J23" t="str">
            <v>Less: Tax paid</v>
          </cell>
          <cell r="K23">
            <v>-50</v>
          </cell>
          <cell r="L23">
            <v>-66</v>
          </cell>
          <cell r="M23">
            <v>-190.09133878668007</v>
          </cell>
          <cell r="N23">
            <v>-372.24365160278188</v>
          </cell>
          <cell r="O23">
            <v>-396.63789913049413</v>
          </cell>
        </row>
        <row r="24">
          <cell r="J24" t="str">
            <v>Less: Change in WC</v>
          </cell>
          <cell r="K24">
            <v>32</v>
          </cell>
          <cell r="L24">
            <v>37</v>
          </cell>
          <cell r="M24">
            <v>-45.907298240384762</v>
          </cell>
          <cell r="N24">
            <v>-21.272285175594163</v>
          </cell>
          <cell r="O24">
            <v>21.322820080468944</v>
          </cell>
        </row>
        <row r="25">
          <cell r="J25" t="str">
            <v>Add: Dividend income</v>
          </cell>
          <cell r="K25">
            <v>-2</v>
          </cell>
          <cell r="L25">
            <v>-160</v>
          </cell>
          <cell r="M25">
            <v>-125</v>
          </cell>
          <cell r="N25">
            <v>-100</v>
          </cell>
          <cell r="O25">
            <v>-80</v>
          </cell>
        </row>
        <row r="26">
          <cell r="J26" t="str">
            <v>Add: FX movements</v>
          </cell>
          <cell r="K26">
            <v>-42</v>
          </cell>
          <cell r="L26">
            <v>-33</v>
          </cell>
          <cell r="M26">
            <v>0</v>
          </cell>
          <cell r="N26">
            <v>0</v>
          </cell>
          <cell r="O26">
            <v>0</v>
          </cell>
        </row>
        <row r="27">
          <cell r="J27" t="str">
            <v>Sub total</v>
          </cell>
          <cell r="K27">
            <v>1268</v>
          </cell>
          <cell r="L27">
            <v>1067</v>
          </cell>
          <cell r="M27">
            <v>1003.4797231972138</v>
          </cell>
          <cell r="N27">
            <v>955.31348237206748</v>
          </cell>
          <cell r="O27">
            <v>1089.0035420867307</v>
          </cell>
        </row>
        <row r="28">
          <cell r="J28" t="str">
            <v>Less: Disposals/acquis.</v>
          </cell>
          <cell r="K28">
            <v>-51.36</v>
          </cell>
          <cell r="L28">
            <v>-203.12</v>
          </cell>
          <cell r="M28">
            <v>117.14716479999959</v>
          </cell>
          <cell r="N28">
            <v>-41.61541448699495</v>
          </cell>
          <cell r="O28">
            <v>-48.529398768418673</v>
          </cell>
        </row>
        <row r="29">
          <cell r="J29" t="str">
            <v>Less: Dividends paid</v>
          </cell>
          <cell r="K29">
            <v>-200.64</v>
          </cell>
          <cell r="L29">
            <v>-275.88</v>
          </cell>
          <cell r="M29">
            <v>-408.17699999999996</v>
          </cell>
          <cell r="N29">
            <v>-422.91480000000001</v>
          </cell>
          <cell r="O29">
            <v>-444.06054000000006</v>
          </cell>
        </row>
        <row r="30">
          <cell r="J30" t="str">
            <v>Less: Share buyback</v>
          </cell>
          <cell r="K30">
            <v>-196</v>
          </cell>
          <cell r="L30">
            <v>-495</v>
          </cell>
          <cell r="M30">
            <v>-494.83</v>
          </cell>
          <cell r="N30">
            <v>0</v>
          </cell>
          <cell r="O30">
            <v>0</v>
          </cell>
        </row>
        <row r="31">
          <cell r="J31" t="str">
            <v>Chg in Net debt/Cash</v>
          </cell>
          <cell r="K31">
            <v>820</v>
          </cell>
          <cell r="L31">
            <v>93</v>
          </cell>
          <cell r="M31">
            <v>217.61988799721365</v>
          </cell>
          <cell r="N31">
            <v>490.78326788507252</v>
          </cell>
          <cell r="O31">
            <v>596.41360331831208</v>
          </cell>
        </row>
        <row r="32">
          <cell r="J32" t="str">
            <v>Net debt (Cash)</v>
          </cell>
          <cell r="K32">
            <v>3216</v>
          </cell>
          <cell r="L32">
            <v>3123</v>
          </cell>
          <cell r="M32">
            <v>2905.3801120027861</v>
          </cell>
          <cell r="N32">
            <v>2414.5968441177588</v>
          </cell>
          <cell r="O32">
            <v>1818.1832408001997</v>
          </cell>
        </row>
        <row r="33">
          <cell r="P33" t="str">
            <v>CAGR</v>
          </cell>
        </row>
        <row r="34">
          <cell r="I34" t="str">
            <v>DIVISIONAL (€m)</v>
          </cell>
          <cell r="K34" t="str">
            <v>2003A</v>
          </cell>
          <cell r="L34" t="str">
            <v>2004A</v>
          </cell>
          <cell r="M34" t="str">
            <v>2005E</v>
          </cell>
          <cell r="N34" t="str">
            <v>2006E</v>
          </cell>
          <cell r="O34" t="str">
            <v>2007E</v>
          </cell>
          <cell r="P34" t="str">
            <v>04E-07E</v>
          </cell>
        </row>
        <row r="36">
          <cell r="I36" t="str">
            <v>Revenues</v>
          </cell>
        </row>
        <row r="38">
          <cell r="G38" t="str">
            <v>CAGR</v>
          </cell>
          <cell r="I38" t="str">
            <v>TMN</v>
          </cell>
          <cell r="K38">
            <v>1347</v>
          </cell>
          <cell r="L38">
            <v>1444</v>
          </cell>
          <cell r="M38">
            <v>1458.1247346756977</v>
          </cell>
          <cell r="N38">
            <v>1465.0073030839521</v>
          </cell>
          <cell r="O38">
            <v>1491.5578673803905</v>
          </cell>
          <cell r="P38">
            <v>1.0859905915013401E-2</v>
          </cell>
        </row>
        <row r="39">
          <cell r="B39" t="str">
            <v>MULTIPLES &amp; RATIOS</v>
          </cell>
          <cell r="C39" t="str">
            <v>2004A</v>
          </cell>
          <cell r="D39" t="str">
            <v>2005E</v>
          </cell>
          <cell r="E39" t="str">
            <v>2006E</v>
          </cell>
          <cell r="F39" t="str">
            <v>2007E</v>
          </cell>
          <cell r="G39" t="str">
            <v>04E-07E</v>
          </cell>
          <cell r="I39" t="str">
            <v>Telesp Celular/Vivo</v>
          </cell>
          <cell r="K39">
            <v>1361</v>
          </cell>
          <cell r="L39">
            <v>1503</v>
          </cell>
          <cell r="M39">
            <v>1715.7341883817098</v>
          </cell>
          <cell r="N39">
            <v>1807.7273373163071</v>
          </cell>
          <cell r="O39">
            <v>1928.5725697386504</v>
          </cell>
          <cell r="P39">
            <v>8.6656632144261225E-2</v>
          </cell>
        </row>
        <row r="40">
          <cell r="I40" t="str">
            <v>PT Multimedia</v>
          </cell>
          <cell r="K40">
            <v>684</v>
          </cell>
          <cell r="L40">
            <v>730</v>
          </cell>
          <cell r="M40">
            <v>789.09210460684926</v>
          </cell>
          <cell r="N40">
            <v>592.51794536664931</v>
          </cell>
          <cell r="O40">
            <v>627.39272246456392</v>
          </cell>
          <cell r="P40">
            <v>-4.9237146231497442E-2</v>
          </cell>
        </row>
        <row r="41">
          <cell r="B41" t="str">
            <v>EV/Revenue</v>
          </cell>
          <cell r="C41">
            <v>2.8167932237718611</v>
          </cell>
          <cell r="D41">
            <v>2.5242444814484228</v>
          </cell>
          <cell r="E41">
            <v>2.4379678216937921</v>
          </cell>
          <cell r="F41">
            <v>2.2134075224449119</v>
          </cell>
          <cell r="G41">
            <v>1.3976417428929189E-2</v>
          </cell>
          <cell r="I41" t="str">
            <v>Other</v>
          </cell>
          <cell r="K41">
            <v>55</v>
          </cell>
          <cell r="L41">
            <v>0</v>
          </cell>
          <cell r="M41">
            <v>0</v>
          </cell>
          <cell r="N41">
            <v>0</v>
          </cell>
          <cell r="O41">
            <v>0</v>
          </cell>
          <cell r="P41" t="str">
            <v>nm</v>
          </cell>
        </row>
        <row r="42">
          <cell r="B42" t="str">
            <v>EV/EBITDA</v>
          </cell>
          <cell r="C42">
            <v>7.02699353967785</v>
          </cell>
          <cell r="D42">
            <v>6.2477216716024175</v>
          </cell>
          <cell r="E42">
            <v>5.7744823347443166</v>
          </cell>
          <cell r="F42">
            <v>5.2467175916361084</v>
          </cell>
          <cell r="G42">
            <v>3.255272431125511E-2</v>
          </cell>
          <cell r="I42" t="str">
            <v>Domestic fixed</v>
          </cell>
          <cell r="K42">
            <v>2329</v>
          </cell>
          <cell r="L42">
            <v>2347</v>
          </cell>
          <cell r="M42">
            <v>2317.9999195962987</v>
          </cell>
          <cell r="N42">
            <v>2263.1948720030728</v>
          </cell>
          <cell r="O42">
            <v>2232.6052915487626</v>
          </cell>
          <cell r="P42">
            <v>-1.6518292171180504E-2</v>
          </cell>
        </row>
        <row r="43">
          <cell r="B43" t="str">
            <v>EV/OpFCF</v>
          </cell>
          <cell r="C43">
            <v>10.405314384881521</v>
          </cell>
          <cell r="D43">
            <v>9.6306471041763455</v>
          </cell>
          <cell r="E43">
            <v>8.7479598402683614</v>
          </cell>
          <cell r="F43">
            <v>7.8595568204952251</v>
          </cell>
          <cell r="G43">
            <v>2.8956513996733824E-2</v>
          </cell>
          <cell r="I43" t="str">
            <v>Total</v>
          </cell>
          <cell r="K43">
            <v>5776</v>
          </cell>
          <cell r="L43">
            <v>6024</v>
          </cell>
          <cell r="M43">
            <v>6280.950947260555</v>
          </cell>
          <cell r="N43">
            <v>6128.4474577699812</v>
          </cell>
          <cell r="O43">
            <v>6280.1284511323674</v>
          </cell>
          <cell r="P43">
            <v>1.3976417428929189E-2</v>
          </cell>
        </row>
        <row r="44">
          <cell r="B44" t="str">
            <v>EV/FCF</v>
          </cell>
          <cell r="C44">
            <v>14.864734835545029</v>
          </cell>
          <cell r="D44">
            <v>13.283651178174269</v>
          </cell>
          <cell r="E44">
            <v>12.06615150381843</v>
          </cell>
          <cell r="F44">
            <v>10.840768028269276</v>
          </cell>
          <cell r="G44">
            <v>4.1062995397278756E-2</v>
          </cell>
          <cell r="I44" t="str">
            <v>% change</v>
          </cell>
          <cell r="L44">
            <v>4.2936288088642582E-2</v>
          </cell>
          <cell r="M44">
            <v>4.2654539717887685E-2</v>
          </cell>
          <cell r="N44">
            <v>-2.4280318501307296E-2</v>
          </cell>
          <cell r="O44">
            <v>2.4750313094400012E-2</v>
          </cell>
        </row>
        <row r="45">
          <cell r="B45" t="str">
            <v>EV/Invested capital</v>
          </cell>
          <cell r="C45">
            <v>2.6475834576379609</v>
          </cell>
          <cell r="D45">
            <v>2.4221089576194346</v>
          </cell>
          <cell r="E45">
            <v>2.3010772692628771</v>
          </cell>
          <cell r="F45">
            <v>2.1776311208751165</v>
          </cell>
          <cell r="G45">
            <v>-1.3381934832166209E-3</v>
          </cell>
        </row>
        <row r="46">
          <cell r="B46" t="str">
            <v>EV/NFA</v>
          </cell>
          <cell r="C46">
            <v>4.1763136549351936</v>
          </cell>
          <cell r="D46">
            <v>3.780962829849515</v>
          </cell>
          <cell r="E46">
            <v>3.543165634937449</v>
          </cell>
          <cell r="F46">
            <v>3.2862518947489598</v>
          </cell>
          <cell r="G46">
            <v>1.3508539226994465E-2</v>
          </cell>
          <cell r="I46" t="str">
            <v>EBITDA</v>
          </cell>
        </row>
        <row r="47">
          <cell r="B47" t="str">
            <v>P/EFCF</v>
          </cell>
          <cell r="C47">
            <v>11.179895026033357</v>
          </cell>
          <cell r="D47">
            <v>10.52669482007763</v>
          </cell>
          <cell r="E47">
            <v>10.354406144781438</v>
          </cell>
          <cell r="F47">
            <v>9.6473518592782064</v>
          </cell>
          <cell r="G47">
            <v>2.246064616335941E-2</v>
          </cell>
        </row>
        <row r="48">
          <cell r="B48" t="str">
            <v>Adjusted P/E</v>
          </cell>
          <cell r="C48">
            <v>13.649733429262749</v>
          </cell>
          <cell r="D48">
            <v>10.675008809909183</v>
          </cell>
          <cell r="E48">
            <v>10.640309402152756</v>
          </cell>
          <cell r="F48">
            <v>10.090086743181251</v>
          </cell>
          <cell r="G48">
            <v>7.0858754497653775E-2</v>
          </cell>
          <cell r="I48" t="str">
            <v>TMN</v>
          </cell>
          <cell r="K48">
            <v>690</v>
          </cell>
          <cell r="L48">
            <v>747</v>
          </cell>
          <cell r="M48">
            <v>751.40441427243445</v>
          </cell>
          <cell r="N48">
            <v>766.71626459374374</v>
          </cell>
          <cell r="O48">
            <v>770.82434503543891</v>
          </cell>
          <cell r="P48">
            <v>1.0520062477021419E-2</v>
          </cell>
        </row>
        <row r="49">
          <cell r="B49" t="str">
            <v>Dividend yield</v>
          </cell>
          <cell r="C49">
            <v>3.8167938931297711E-2</v>
          </cell>
          <cell r="D49">
            <v>4.1984732824427481E-2</v>
          </cell>
          <cell r="E49">
            <v>4.408396946564886E-2</v>
          </cell>
          <cell r="F49">
            <v>4.6288167938931306E-2</v>
          </cell>
          <cell r="G49">
            <v>6.6408900387890268E-2</v>
          </cell>
          <cell r="I49" t="str">
            <v>Telesp celular/Vivo</v>
          </cell>
          <cell r="K49">
            <v>509</v>
          </cell>
          <cell r="L49">
            <v>496</v>
          </cell>
          <cell r="M49">
            <v>583.34962404978137</v>
          </cell>
          <cell r="N49">
            <v>614.62729468754446</v>
          </cell>
          <cell r="O49">
            <v>655.71467371114113</v>
          </cell>
          <cell r="P49">
            <v>9.751654350639094E-2</v>
          </cell>
        </row>
        <row r="50">
          <cell r="B50" t="str">
            <v>EFCF yield</v>
          </cell>
          <cell r="C50">
            <v>8.9446278133328908E-2</v>
          </cell>
          <cell r="D50">
            <v>9.499657937196905E-2</v>
          </cell>
          <cell r="E50">
            <v>9.6577243157879647E-2</v>
          </cell>
          <cell r="F50">
            <v>0.10365538798486591</v>
          </cell>
          <cell r="G50">
            <v>2.246064616335941E-2</v>
          </cell>
          <cell r="I50" t="str">
            <v>PT Multimedia</v>
          </cell>
          <cell r="K50">
            <v>135</v>
          </cell>
          <cell r="L50">
            <v>192</v>
          </cell>
          <cell r="M50">
            <v>223.84266027363694</v>
          </cell>
          <cell r="N50">
            <v>237.00717814665973</v>
          </cell>
          <cell r="O50">
            <v>263.50494343511684</v>
          </cell>
          <cell r="P50">
            <v>0.11129453716410231</v>
          </cell>
        </row>
        <row r="51">
          <cell r="B51" t="str">
            <v>Net debt/EBITDA</v>
          </cell>
          <cell r="C51">
            <v>1.3426483233018056</v>
          </cell>
          <cell r="D51">
            <v>1.1863875768678789</v>
          </cell>
          <cell r="E51">
            <v>0.9663525452611067</v>
          </cell>
          <cell r="F51">
            <v>0.71005375632435974</v>
          </cell>
          <cell r="G51">
            <v>-0.19132071492035574</v>
          </cell>
          <cell r="I51" t="str">
            <v>Other</v>
          </cell>
          <cell r="K51">
            <v>20</v>
          </cell>
          <cell r="L51">
            <v>0</v>
          </cell>
          <cell r="M51">
            <v>0</v>
          </cell>
          <cell r="N51">
            <v>0</v>
          </cell>
          <cell r="O51">
            <v>0</v>
          </cell>
          <cell r="P51" t="str">
            <v>nm</v>
          </cell>
        </row>
        <row r="52">
          <cell r="B52" t="str">
            <v>OpFCF/Net interest</v>
          </cell>
          <cell r="C52">
            <v>7.5960591133004929</v>
          </cell>
          <cell r="D52">
            <v>8.0679055593822753</v>
          </cell>
          <cell r="E52">
            <v>9.504175589600818</v>
          </cell>
          <cell r="F52">
            <v>12.392942796226041</v>
          </cell>
          <cell r="G52">
            <v>0.1772319394568409</v>
          </cell>
          <cell r="I52" t="str">
            <v>Domestic fixed</v>
          </cell>
          <cell r="K52">
            <v>914</v>
          </cell>
          <cell r="L52">
            <v>891</v>
          </cell>
          <cell r="M52">
            <v>890.33328739830472</v>
          </cell>
          <cell r="N52">
            <v>880.32001783344094</v>
          </cell>
          <cell r="O52">
            <v>870.58363058062741</v>
          </cell>
          <cell r="P52">
            <v>-7.697091498585551E-3</v>
          </cell>
        </row>
        <row r="53">
          <cell r="I53" t="str">
            <v>Total</v>
          </cell>
          <cell r="K53">
            <v>2268</v>
          </cell>
          <cell r="L53">
            <v>2326</v>
          </cell>
          <cell r="M53">
            <v>2448.9299859941575</v>
          </cell>
          <cell r="N53">
            <v>2498.6707552613889</v>
          </cell>
          <cell r="O53">
            <v>2560.6275927623242</v>
          </cell>
          <cell r="P53">
            <v>3.255272431125511E-2</v>
          </cell>
        </row>
        <row r="54">
          <cell r="B54" t="str">
            <v>BREAKDOWN OF VALUE</v>
          </cell>
          <cell r="D54" t="str">
            <v>RELATIVE VALUATION (2005)</v>
          </cell>
          <cell r="I54" t="str">
            <v>% change</v>
          </cell>
          <cell r="L54">
            <v>2.5573192239858988E-2</v>
          </cell>
          <cell r="M54">
            <v>5.2850380908924022E-2</v>
          </cell>
          <cell r="N54">
            <v>2.0311225535930788E-2</v>
          </cell>
          <cell r="O54">
            <v>2.4795918938289141E-2</v>
          </cell>
        </row>
        <row r="55">
          <cell r="I55" t="str">
            <v>EBITDA margin</v>
          </cell>
          <cell r="K55">
            <v>0.39265927977839338</v>
          </cell>
          <cell r="L55">
            <v>0.38612217795484727</v>
          </cell>
          <cell r="M55">
            <v>0.3898979639480008</v>
          </cell>
          <cell r="N55">
            <v>0.40771676227613524</v>
          </cell>
          <cell r="O55">
            <v>0.40773490744454732</v>
          </cell>
        </row>
        <row r="57">
          <cell r="I57" t="str">
            <v>Capex</v>
          </cell>
        </row>
        <row r="59">
          <cell r="I59" t="str">
            <v>TMN</v>
          </cell>
          <cell r="K59">
            <v>169</v>
          </cell>
          <cell r="L59">
            <v>159</v>
          </cell>
          <cell r="M59">
            <v>174.9</v>
          </cell>
          <cell r="N59">
            <v>183.64500000000001</v>
          </cell>
          <cell r="O59">
            <v>183.64500000000001</v>
          </cell>
          <cell r="P59">
            <v>4.9205748562267893E-2</v>
          </cell>
        </row>
        <row r="60">
          <cell r="I60" t="str">
            <v>Telesp celular/Vivo</v>
          </cell>
          <cell r="K60">
            <v>165</v>
          </cell>
          <cell r="L60">
            <v>265</v>
          </cell>
          <cell r="M60">
            <v>317.41082485061634</v>
          </cell>
          <cell r="N60">
            <v>307.31364734377223</v>
          </cell>
          <cell r="O60">
            <v>308.57161115818406</v>
          </cell>
          <cell r="P60">
            <v>5.2050768783463486E-2</v>
          </cell>
        </row>
        <row r="61">
          <cell r="I61" t="str">
            <v>PT Multimedia</v>
          </cell>
          <cell r="K61">
            <v>57</v>
          </cell>
          <cell r="L61">
            <v>81</v>
          </cell>
          <cell r="M61">
            <v>102.58197359889041</v>
          </cell>
          <cell r="N61">
            <v>77.027332897664408</v>
          </cell>
          <cell r="O61">
            <v>81.561053920393306</v>
          </cell>
          <cell r="P61">
            <v>2.3035534370008381E-3</v>
          </cell>
        </row>
        <row r="62">
          <cell r="I62" t="str">
            <v>Other</v>
          </cell>
          <cell r="K62">
            <v>8</v>
          </cell>
          <cell r="L62">
            <v>0</v>
          </cell>
          <cell r="M62">
            <v>0</v>
          </cell>
          <cell r="N62">
            <v>5.9685589803848416E-13</v>
          </cell>
          <cell r="O62">
            <v>-2.5579538487363607E-13</v>
          </cell>
          <cell r="P62" t="str">
            <v>nm</v>
          </cell>
        </row>
        <row r="63">
          <cell r="I63" t="str">
            <v>Domestic fixed</v>
          </cell>
          <cell r="K63">
            <v>253</v>
          </cell>
          <cell r="L63">
            <v>279</v>
          </cell>
          <cell r="M63">
            <v>296.50611194939779</v>
          </cell>
          <cell r="N63">
            <v>311.4885279639758</v>
          </cell>
          <cell r="O63">
            <v>306.98084791875931</v>
          </cell>
          <cell r="P63">
            <v>3.237075341818918E-2</v>
          </cell>
        </row>
        <row r="64">
          <cell r="I64" t="str">
            <v>Total</v>
          </cell>
          <cell r="K64">
            <v>652</v>
          </cell>
          <cell r="L64">
            <v>784</v>
          </cell>
          <cell r="M64">
            <v>891.3989103989046</v>
          </cell>
          <cell r="N64">
            <v>879.47450820541303</v>
          </cell>
          <cell r="O64">
            <v>880.75851299733642</v>
          </cell>
          <cell r="P64">
            <v>3.9553701090571769E-2</v>
          </cell>
        </row>
        <row r="65">
          <cell r="I65" t="str">
            <v>% change</v>
          </cell>
          <cell r="L65">
            <v>0.20245398773006129</v>
          </cell>
          <cell r="M65">
            <v>0.13698840612105179</v>
          </cell>
          <cell r="N65">
            <v>-1.3377178336638651E-2</v>
          </cell>
          <cell r="O65">
            <v>1.4599681741127579E-3</v>
          </cell>
        </row>
        <row r="66">
          <cell r="I66" t="str">
            <v>Capex/sales</v>
          </cell>
          <cell r="K66">
            <v>0.1128808864265928</v>
          </cell>
          <cell r="L66">
            <v>0.13014608233731739</v>
          </cell>
          <cell r="M66">
            <v>0.14192101130604903</v>
          </cell>
          <cell r="N66">
            <v>0.1435069019136922</v>
          </cell>
          <cell r="O66">
            <v>0.14024530228175941</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PORTEL 4.625 4/7/2009</v>
          </cell>
          <cell r="D71" t="str">
            <v>A3</v>
          </cell>
          <cell r="E71" t="str">
            <v>STABLE</v>
          </cell>
          <cell r="F71" t="str">
            <v>A-</v>
          </cell>
          <cell r="G71" t="str">
            <v>N/A</v>
          </cell>
        </row>
        <row r="75">
          <cell r="E75" t="str">
            <v>Issue size</v>
          </cell>
          <cell r="F75" t="str">
            <v>Yld to mat</v>
          </cell>
          <cell r="G75" t="str">
            <v xml:space="preserve">Price </v>
          </cell>
        </row>
        <row r="76">
          <cell r="B76" t="str">
            <v xml:space="preserve"> PORTEL 4.625 4/7/2009</v>
          </cell>
          <cell r="E76" t="str">
            <v>€879.5</v>
          </cell>
          <cell r="F76">
            <v>3.1699999999999999E-2</v>
          </cell>
          <cell r="G76">
            <v>105.38</v>
          </cell>
        </row>
        <row r="80">
          <cell r="E80" t="str">
            <v>OAS 12m chg</v>
          </cell>
          <cell r="F80" t="str">
            <v>12m tot ret</v>
          </cell>
          <cell r="G80" t="str">
            <v xml:space="preserve">OAS </v>
          </cell>
        </row>
        <row r="81">
          <cell r="B81" t="str">
            <v xml:space="preserve"> PORTEL 4.625 4/7/2009</v>
          </cell>
          <cell r="E81">
            <v>-22</v>
          </cell>
          <cell r="F81">
            <v>6.3320000000000001E-2</v>
          </cell>
          <cell r="G81">
            <v>30</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34" refreshError="1">
        <row r="6">
          <cell r="S6" t="str">
            <v xml:space="preserve"> Swisscom (Neutral) TP: CHF455  (+0.2%)</v>
          </cell>
        </row>
        <row r="8">
          <cell r="G8" t="str">
            <v>CAGR</v>
          </cell>
          <cell r="P8" t="str">
            <v>CAGR</v>
          </cell>
        </row>
        <row r="9">
          <cell r="B9" t="str">
            <v>EV CALCULATION (CHFm)</v>
          </cell>
          <cell r="C9" t="str">
            <v>2004E</v>
          </cell>
          <cell r="D9" t="str">
            <v>2005E</v>
          </cell>
          <cell r="E9" t="str">
            <v>2006E</v>
          </cell>
          <cell r="F9" t="str">
            <v>2007E</v>
          </cell>
          <cell r="G9" t="str">
            <v>04E-07E</v>
          </cell>
          <cell r="I9" t="str">
            <v>FINANCIALS (CHFm)</v>
          </cell>
          <cell r="K9" t="str">
            <v>2003A</v>
          </cell>
          <cell r="L9" t="str">
            <v>2004E</v>
          </cell>
          <cell r="M9" t="str">
            <v>2005E</v>
          </cell>
          <cell r="N9" t="str">
            <v>2006E</v>
          </cell>
          <cell r="O9" t="str">
            <v>2007E</v>
          </cell>
          <cell r="P9" t="str">
            <v>04E-07E</v>
          </cell>
        </row>
        <row r="11">
          <cell r="B11" t="str">
            <v>Share price, CHF</v>
          </cell>
          <cell r="C11">
            <v>454</v>
          </cell>
          <cell r="I11" t="str">
            <v>Revenue</v>
          </cell>
          <cell r="K11">
            <v>14581</v>
          </cell>
          <cell r="L11">
            <v>10092.719927798891</v>
          </cell>
          <cell r="M11">
            <v>9998.5582976754649</v>
          </cell>
          <cell r="N11">
            <v>9807.5717107960172</v>
          </cell>
          <cell r="O11">
            <v>9620.4969142422633</v>
          </cell>
          <cell r="P11">
            <v>-1.5845926764841312E-2</v>
          </cell>
        </row>
        <row r="12">
          <cell r="B12" t="str">
            <v>Number of shares</v>
          </cell>
          <cell r="C12">
            <v>61.2</v>
          </cell>
          <cell r="D12">
            <v>61.2</v>
          </cell>
          <cell r="E12">
            <v>61.2</v>
          </cell>
          <cell r="F12">
            <v>61.2</v>
          </cell>
          <cell r="I12" t="str">
            <v>EBITDA</v>
          </cell>
          <cell r="K12">
            <v>4729</v>
          </cell>
          <cell r="L12">
            <v>4440.0572877586665</v>
          </cell>
          <cell r="M12">
            <v>4364.072497352041</v>
          </cell>
          <cell r="N12">
            <v>4255.83769753862</v>
          </cell>
          <cell r="O12">
            <v>4171.6819135392261</v>
          </cell>
          <cell r="P12">
            <v>-2.056819144273847E-2</v>
          </cell>
        </row>
        <row r="13">
          <cell r="B13" t="str">
            <v>Market cap.</v>
          </cell>
          <cell r="C13">
            <v>27784.800000000003</v>
          </cell>
          <cell r="D13">
            <v>27784.800000000003</v>
          </cell>
          <cell r="E13">
            <v>27784.800000000003</v>
          </cell>
          <cell r="F13">
            <v>27784.800000000003</v>
          </cell>
          <cell r="I13" t="str">
            <v>Capex</v>
          </cell>
          <cell r="K13">
            <v>1213</v>
          </cell>
          <cell r="L13">
            <v>1185.7163855421686</v>
          </cell>
          <cell r="M13">
            <v>1152.8264216867469</v>
          </cell>
          <cell r="N13">
            <v>1136.3028674698794</v>
          </cell>
          <cell r="O13">
            <v>1129.8352229951806</v>
          </cell>
          <cell r="P13">
            <v>-1.5962997349429742E-2</v>
          </cell>
        </row>
        <row r="14">
          <cell r="B14" t="str">
            <v>Plus: Net debt (Cash)</v>
          </cell>
          <cell r="C14">
            <v>-1515.7059085069827</v>
          </cell>
          <cell r="D14">
            <v>-2913.950540197422</v>
          </cell>
          <cell r="E14">
            <v>-4239.1755572566308</v>
          </cell>
          <cell r="F14">
            <v>-5486.2610641242791</v>
          </cell>
          <cell r="I14" t="str">
            <v>OpFCF (EBITDA - capex)</v>
          </cell>
          <cell r="K14">
            <v>3516</v>
          </cell>
          <cell r="L14">
            <v>3254.3409022164979</v>
          </cell>
          <cell r="M14">
            <v>3211.246075665294</v>
          </cell>
          <cell r="N14">
            <v>3119.5348300687406</v>
          </cell>
          <cell r="O14">
            <v>3041.8466905440455</v>
          </cell>
          <cell r="P14">
            <v>-2.2256901697115694E-2</v>
          </cell>
        </row>
        <row r="15">
          <cell r="B15" t="str">
            <v>Plus: Other financial liabilities</v>
          </cell>
          <cell r="C15">
            <v>300</v>
          </cell>
          <cell r="D15">
            <v>300</v>
          </cell>
          <cell r="E15">
            <v>300</v>
          </cell>
          <cell r="F15">
            <v>300</v>
          </cell>
          <cell r="I15" t="str">
            <v>FCF (OpFCF * (1-tax rate))</v>
          </cell>
          <cell r="K15">
            <v>2742.48</v>
          </cell>
          <cell r="L15">
            <v>2538.3859037288685</v>
          </cell>
          <cell r="M15">
            <v>2504.7719390189295</v>
          </cell>
          <cell r="N15">
            <v>2433.2371674536175</v>
          </cell>
          <cell r="O15">
            <v>2372.6404186243553</v>
          </cell>
          <cell r="P15">
            <v>-2.2256901697115694E-2</v>
          </cell>
        </row>
        <row r="16">
          <cell r="B16" t="str">
            <v>Less: Associates</v>
          </cell>
          <cell r="C16">
            <v>524.6533909499999</v>
          </cell>
          <cell r="D16">
            <v>524.6533909499999</v>
          </cell>
          <cell r="E16">
            <v>524.6533909499999</v>
          </cell>
          <cell r="F16">
            <v>524.6533909499999</v>
          </cell>
          <cell r="I16" t="str">
            <v>EFCF</v>
          </cell>
          <cell r="K16">
            <v>2501.02</v>
          </cell>
          <cell r="L16">
            <v>2303.5859114848954</v>
          </cell>
          <cell r="M16">
            <v>2246.2065029137257</v>
          </cell>
          <cell r="N16">
            <v>2183.5768705126329</v>
          </cell>
          <cell r="O16">
            <v>2128.9735492919949</v>
          </cell>
          <cell r="P16">
            <v>-2.5933477721718057E-2</v>
          </cell>
        </row>
        <row r="17">
          <cell r="B17" t="str">
            <v>Plus: Minorities</v>
          </cell>
          <cell r="C17">
            <v>3664.5629058920094</v>
          </cell>
          <cell r="D17">
            <v>3664.5629058920094</v>
          </cell>
          <cell r="E17">
            <v>3664.5629058920094</v>
          </cell>
          <cell r="F17">
            <v>3664.5629058920094</v>
          </cell>
          <cell r="I17" t="str">
            <v>Adj net Income</v>
          </cell>
          <cell r="K17">
            <v>2150.02</v>
          </cell>
          <cell r="L17">
            <v>2066.6292556706762</v>
          </cell>
          <cell r="M17">
            <v>2064.4059454733765</v>
          </cell>
          <cell r="N17">
            <v>2027.9000897249132</v>
          </cell>
          <cell r="O17">
            <v>2001.1832211435797</v>
          </cell>
          <cell r="P17">
            <v>-1.0669435093199731E-2</v>
          </cell>
        </row>
        <row r="18">
          <cell r="B18" t="str">
            <v>Less: Cumulative dividends</v>
          </cell>
          <cell r="C18">
            <v>0</v>
          </cell>
          <cell r="D18">
            <v>819.46800000000007</v>
          </cell>
          <cell r="E18">
            <v>1663.5200400000001</v>
          </cell>
          <cell r="F18">
            <v>2532.8936412000003</v>
          </cell>
          <cell r="I18" t="str">
            <v>Clean EPS</v>
          </cell>
          <cell r="K18">
            <v>32.47764350453172</v>
          </cell>
          <cell r="L18">
            <v>32.443159429680946</v>
          </cell>
          <cell r="M18">
            <v>33.732123292048634</v>
          </cell>
          <cell r="N18">
            <v>33.135622381126034</v>
          </cell>
          <cell r="O18">
            <v>32.699072240908166</v>
          </cell>
          <cell r="P18">
            <v>2.6224620317853997E-3</v>
          </cell>
        </row>
        <row r="19">
          <cell r="B19" t="str">
            <v>Less: NPV YE tax credit</v>
          </cell>
          <cell r="C19">
            <v>0</v>
          </cell>
          <cell r="D19">
            <v>0</v>
          </cell>
          <cell r="E19">
            <v>0</v>
          </cell>
          <cell r="F19">
            <v>0</v>
          </cell>
          <cell r="I19" t="str">
            <v>DPS</v>
          </cell>
          <cell r="K19">
            <v>13</v>
          </cell>
          <cell r="L19">
            <v>13.39</v>
          </cell>
          <cell r="M19">
            <v>13.791700000000001</v>
          </cell>
          <cell r="N19">
            <v>14.205451</v>
          </cell>
          <cell r="O19">
            <v>14.63161453</v>
          </cell>
          <cell r="P19">
            <v>3.0000000000000027E-2</v>
          </cell>
        </row>
        <row r="20">
          <cell r="B20" t="str">
            <v>Enterprise Value</v>
          </cell>
          <cell r="C20">
            <v>24961.453581032685</v>
          </cell>
          <cell r="D20">
            <v>27491.290974744588</v>
          </cell>
          <cell r="E20">
            <v>25322.013917685381</v>
          </cell>
          <cell r="F20">
            <v>23205.554809617734</v>
          </cell>
          <cell r="G20">
            <v>-7.9053030253906642E-2</v>
          </cell>
          <cell r="J20" t="str">
            <v>Cash flow</v>
          </cell>
        </row>
        <row r="21">
          <cell r="J21" t="str">
            <v>OpFCF</v>
          </cell>
          <cell r="K21">
            <v>3516</v>
          </cell>
          <cell r="L21">
            <v>3254.3409022164979</v>
          </cell>
          <cell r="M21">
            <v>3211.246075665294</v>
          </cell>
          <cell r="N21">
            <v>3119.5348300687406</v>
          </cell>
          <cell r="O21">
            <v>3041.8466905440455</v>
          </cell>
        </row>
        <row r="22">
          <cell r="B22" t="str">
            <v>PRICE PERFORMANCE, -1Y</v>
          </cell>
          <cell r="J22" t="str">
            <v>Less: Interest payments</v>
          </cell>
          <cell r="K22">
            <v>-14</v>
          </cell>
          <cell r="L22">
            <v>-40.561470457465077</v>
          </cell>
          <cell r="M22">
            <v>-23.651717756477979</v>
          </cell>
          <cell r="N22">
            <v>-3.4369512729732321E-2</v>
          </cell>
          <cell r="O22">
            <v>22.827183106904556</v>
          </cell>
        </row>
        <row r="23">
          <cell r="J23" t="str">
            <v>Less: Tax paid</v>
          </cell>
          <cell r="K23">
            <v>-73</v>
          </cell>
          <cell r="L23">
            <v>-412.98517202274479</v>
          </cell>
          <cell r="M23">
            <v>-667.48617226965621</v>
          </cell>
          <cell r="N23">
            <v>-655.48500930030502</v>
          </cell>
          <cell r="O23">
            <v>-648.03160024339536</v>
          </cell>
        </row>
        <row r="24">
          <cell r="J24" t="str">
            <v>Less: Change in WC</v>
          </cell>
          <cell r="K24">
            <v>37</v>
          </cell>
          <cell r="L24">
            <v>-105.31665031010584</v>
          </cell>
          <cell r="M24">
            <v>3.2403457339711537</v>
          </cell>
          <cell r="N24">
            <v>6.5723434399902487</v>
          </cell>
          <cell r="O24">
            <v>6.4377285965829287</v>
          </cell>
        </row>
        <row r="25">
          <cell r="J25" t="str">
            <v>Less: Restructuring costs</v>
          </cell>
          <cell r="K25">
            <v>-88</v>
          </cell>
          <cell r="L25">
            <v>-25</v>
          </cell>
          <cell r="M25">
            <v>-25</v>
          </cell>
          <cell r="N25">
            <v>-25</v>
          </cell>
          <cell r="O25">
            <v>-25</v>
          </cell>
        </row>
        <row r="26">
          <cell r="J26" t="str">
            <v>Less: Minority dividends</v>
          </cell>
          <cell r="K26">
            <v>-393</v>
          </cell>
          <cell r="L26">
            <v>-359.17170091919991</v>
          </cell>
          <cell r="M26">
            <v>-280.6358996826915</v>
          </cell>
          <cell r="N26">
            <v>-276.31073763648641</v>
          </cell>
          <cell r="O26">
            <v>-281.62089393649023</v>
          </cell>
        </row>
        <row r="27">
          <cell r="J27" t="str">
            <v>Sub total</v>
          </cell>
          <cell r="K27">
            <v>2985</v>
          </cell>
          <cell r="L27">
            <v>2311.3059085069826</v>
          </cell>
          <cell r="M27">
            <v>2217.7126316904396</v>
          </cell>
          <cell r="N27">
            <v>2169.2770570592093</v>
          </cell>
          <cell r="O27">
            <v>2116.4591080676478</v>
          </cell>
        </row>
        <row r="28">
          <cell r="J28" t="str">
            <v>Less: Disposals/acquis.</v>
          </cell>
          <cell r="K28">
            <v>473</v>
          </cell>
          <cell r="L28">
            <v>573</v>
          </cell>
          <cell r="M28">
            <v>-3.4106051316484809E-13</v>
          </cell>
          <cell r="N28">
            <v>-9.0949470177292824E-13</v>
          </cell>
          <cell r="O28">
            <v>9.0949470177292824E-13</v>
          </cell>
        </row>
        <row r="29">
          <cell r="J29" t="str">
            <v>Less: Dividends paid</v>
          </cell>
          <cell r="K29">
            <v>-1324</v>
          </cell>
          <cell r="L29">
            <v>-860.6</v>
          </cell>
          <cell r="M29">
            <v>-819.46800000000007</v>
          </cell>
          <cell r="N29">
            <v>-844.05204000000003</v>
          </cell>
          <cell r="O29">
            <v>-869.37360120000005</v>
          </cell>
        </row>
        <row r="30">
          <cell r="J30" t="str">
            <v>Less: Share buyback</v>
          </cell>
          <cell r="K30">
            <v>0</v>
          </cell>
          <cell r="L30">
            <v>-2000</v>
          </cell>
          <cell r="M30">
            <v>0</v>
          </cell>
          <cell r="N30">
            <v>0</v>
          </cell>
          <cell r="O30">
            <v>0</v>
          </cell>
        </row>
        <row r="31">
          <cell r="J31" t="str">
            <v>Chg in Net debt/Cash</v>
          </cell>
          <cell r="K31">
            <v>2134</v>
          </cell>
          <cell r="L31">
            <v>23.705908506983178</v>
          </cell>
          <cell r="M31">
            <v>1398.2446316904391</v>
          </cell>
          <cell r="N31">
            <v>1325.2250170592083</v>
          </cell>
          <cell r="O31">
            <v>1247.0855068676487</v>
          </cell>
        </row>
        <row r="32">
          <cell r="J32" t="str">
            <v>Net debt (Cash)</v>
          </cell>
          <cell r="K32">
            <v>-1492</v>
          </cell>
          <cell r="L32">
            <v>-1515.7059085069827</v>
          </cell>
          <cell r="M32">
            <v>-2913.950540197422</v>
          </cell>
          <cell r="N32">
            <v>-4239.1755572566308</v>
          </cell>
          <cell r="O32">
            <v>-5486.2610641242791</v>
          </cell>
        </row>
        <row r="33">
          <cell r="P33" t="str">
            <v>CAGR</v>
          </cell>
        </row>
        <row r="34">
          <cell r="I34" t="str">
            <v>DIVISIONAL (CHFm)</v>
          </cell>
          <cell r="K34" t="str">
            <v>2003A</v>
          </cell>
          <cell r="L34" t="str">
            <v>2004E</v>
          </cell>
          <cell r="M34" t="str">
            <v>2005E</v>
          </cell>
          <cell r="N34" t="str">
            <v>2006E</v>
          </cell>
          <cell r="O34" t="str">
            <v>2007E</v>
          </cell>
          <cell r="P34" t="str">
            <v>04E-07E</v>
          </cell>
        </row>
        <row r="36">
          <cell r="I36" t="str">
            <v>Revenues</v>
          </cell>
        </row>
        <row r="38">
          <cell r="G38" t="str">
            <v>CAGR</v>
          </cell>
        </row>
        <row r="39">
          <cell r="B39" t="str">
            <v>MULTIPLES &amp; RATIOS</v>
          </cell>
          <cell r="C39" t="str">
            <v>2004E</v>
          </cell>
          <cell r="D39" t="str">
            <v>2005E</v>
          </cell>
          <cell r="E39" t="str">
            <v>2006E</v>
          </cell>
          <cell r="F39" t="str">
            <v>2007E</v>
          </cell>
          <cell r="G39" t="str">
            <v>04E-07E</v>
          </cell>
        </row>
        <row r="40">
          <cell r="I40" t="str">
            <v xml:space="preserve">Mobile </v>
          </cell>
          <cell r="K40">
            <v>4140</v>
          </cell>
          <cell r="L40">
            <v>4340.3599886171387</v>
          </cell>
          <cell r="M40">
            <v>4419.9794638765043</v>
          </cell>
          <cell r="N40">
            <v>4471.5296977339385</v>
          </cell>
          <cell r="O40">
            <v>4492.733888271353</v>
          </cell>
          <cell r="P40">
            <v>1.1567764686695847E-2</v>
          </cell>
        </row>
        <row r="41">
          <cell r="B41" t="str">
            <v>EV/Revenue</v>
          </cell>
          <cell r="C41">
            <v>2.9436072554243791</v>
          </cell>
          <cell r="D41">
            <v>2.7495254972045275</v>
          </cell>
          <cell r="E41">
            <v>2.5818841466956917</v>
          </cell>
          <cell r="F41">
            <v>2.4120952396194877</v>
          </cell>
          <cell r="G41">
            <v>-1.5845926764841312E-2</v>
          </cell>
          <cell r="I41" t="str">
            <v>debitel</v>
          </cell>
          <cell r="K41">
            <v>4555</v>
          </cell>
          <cell r="L41">
            <v>0</v>
          </cell>
          <cell r="M41">
            <v>0</v>
          </cell>
          <cell r="N41">
            <v>0</v>
          </cell>
          <cell r="O41">
            <v>0</v>
          </cell>
          <cell r="P41" t="str">
            <v>nm</v>
          </cell>
        </row>
        <row r="42">
          <cell r="B42" t="str">
            <v>EV/EBITDA</v>
          </cell>
          <cell r="C42">
            <v>6.6911306951699459</v>
          </cell>
          <cell r="D42">
            <v>6.2994579011749448</v>
          </cell>
          <cell r="E42">
            <v>5.9499482163829844</v>
          </cell>
          <cell r="F42">
            <v>5.562637634068869</v>
          </cell>
          <cell r="G42">
            <v>-2.056819144273847E-2</v>
          </cell>
          <cell r="I42" t="str">
            <v>Domestic fixed</v>
          </cell>
          <cell r="K42">
            <v>5886</v>
          </cell>
          <cell r="L42">
            <v>5752.3599391817525</v>
          </cell>
          <cell r="M42">
            <v>5578.5788337989607</v>
          </cell>
          <cell r="N42">
            <v>5336.0420130620787</v>
          </cell>
          <cell r="O42">
            <v>5127.7630259709103</v>
          </cell>
          <cell r="P42">
            <v>-3.7588882638213694E-2</v>
          </cell>
        </row>
        <row r="43">
          <cell r="B43" t="str">
            <v>EV/OpFCF</v>
          </cell>
          <cell r="C43">
            <v>9.1290385669800411</v>
          </cell>
          <cell r="D43">
            <v>8.5609418671065391</v>
          </cell>
          <cell r="E43">
            <v>8.1172403249388942</v>
          </cell>
          <cell r="F43">
            <v>7.6287719830703677</v>
          </cell>
          <cell r="G43">
            <v>-2.2256901697115694E-2</v>
          </cell>
          <cell r="I43" t="str">
            <v>Total</v>
          </cell>
          <cell r="K43">
            <v>14581</v>
          </cell>
          <cell r="L43">
            <v>10092.719927798891</v>
          </cell>
          <cell r="M43">
            <v>9998.5582976754649</v>
          </cell>
          <cell r="N43">
            <v>9807.5717107960172</v>
          </cell>
          <cell r="O43">
            <v>9620.4969142422633</v>
          </cell>
          <cell r="P43">
            <v>-1.5845926764841312E-2</v>
          </cell>
        </row>
        <row r="44">
          <cell r="B44" t="str">
            <v>EV/FCF</v>
          </cell>
          <cell r="C44">
            <v>11.703895598692359</v>
          </cell>
          <cell r="D44">
            <v>10.975566496290433</v>
          </cell>
          <cell r="E44">
            <v>10.406718365306276</v>
          </cell>
          <cell r="F44">
            <v>9.7804769013722677</v>
          </cell>
          <cell r="G44">
            <v>-2.2256901697115694E-2</v>
          </cell>
          <cell r="I44" t="str">
            <v>% change</v>
          </cell>
          <cell r="L44">
            <v>-0.30781702710384118</v>
          </cell>
          <cell r="M44">
            <v>-9.329658486219583E-3</v>
          </cell>
          <cell r="N44">
            <v>-1.9101412543031326E-2</v>
          </cell>
          <cell r="O44">
            <v>-1.9074527525281826E-2</v>
          </cell>
        </row>
        <row r="45">
          <cell r="B45" t="str">
            <v>EV/Invested capital</v>
          </cell>
          <cell r="C45">
            <v>5.4013006205283576</v>
          </cell>
          <cell r="D45">
            <v>5.2669264649143077</v>
          </cell>
          <cell r="E45">
            <v>5.0788834430195084</v>
          </cell>
          <cell r="F45">
            <v>4.8351375322408865</v>
          </cell>
          <cell r="G45">
            <v>-4.4425696681835602E-2</v>
          </cell>
        </row>
        <row r="46">
          <cell r="B46" t="str">
            <v>EV/NFA</v>
          </cell>
          <cell r="C46">
            <v>4.4525040923946433</v>
          </cell>
          <cell r="D46">
            <v>4.2171932959321774</v>
          </cell>
          <cell r="E46">
            <v>3.9696916709509429</v>
          </cell>
          <cell r="F46">
            <v>3.7070993141283619</v>
          </cell>
          <cell r="G46">
            <v>-2.1055677494389857E-2</v>
          </cell>
          <cell r="I46" t="str">
            <v>EBITDA</v>
          </cell>
        </row>
        <row r="47">
          <cell r="B47" t="str">
            <v>P/EFCF</v>
          </cell>
          <cell r="C47">
            <v>12.090023542103534</v>
          </cell>
          <cell r="D47">
            <v>12.389778240819679</v>
          </cell>
          <cell r="E47">
            <v>12.735143361109543</v>
          </cell>
          <cell r="F47">
            <v>13.050796243682798</v>
          </cell>
          <cell r="G47">
            <v>-2.5933477721718057E-2</v>
          </cell>
        </row>
        <row r="48">
          <cell r="B48" t="str">
            <v>Adjusted P/E</v>
          </cell>
          <cell r="C48">
            <v>13.993704928276918</v>
          </cell>
          <cell r="D48">
            <v>13.458980807977104</v>
          </cell>
          <cell r="E48">
            <v>13.701266714658036</v>
          </cell>
          <cell r="F48">
            <v>13.884185968800161</v>
          </cell>
          <cell r="G48">
            <v>-1.0669435093199731E-2</v>
          </cell>
        </row>
        <row r="49">
          <cell r="B49" t="str">
            <v>Dividend yield</v>
          </cell>
          <cell r="C49">
            <v>2.9493392070484584E-2</v>
          </cell>
          <cell r="D49">
            <v>3.0378193832599119E-2</v>
          </cell>
          <cell r="E49">
            <v>3.1289539647577094E-2</v>
          </cell>
          <cell r="F49">
            <v>3.2228225837004403E-2</v>
          </cell>
          <cell r="G49">
            <v>3.0000000000000027E-2</v>
          </cell>
        </row>
        <row r="50">
          <cell r="B50" t="str">
            <v>EFCF yield</v>
          </cell>
          <cell r="C50">
            <v>8.2712824877263294E-2</v>
          </cell>
          <cell r="D50">
            <v>8.0711694798973443E-2</v>
          </cell>
          <cell r="E50">
            <v>7.852286948365185E-2</v>
          </cell>
          <cell r="F50">
            <v>7.6623677308888125E-2</v>
          </cell>
          <cell r="G50">
            <v>-2.5933477721718057E-2</v>
          </cell>
          <cell r="I50" t="str">
            <v xml:space="preserve">Mobile </v>
          </cell>
          <cell r="K50">
            <v>1984</v>
          </cell>
          <cell r="L50">
            <v>1953.7167159496385</v>
          </cell>
          <cell r="M50">
            <v>1917.8111259618126</v>
          </cell>
          <cell r="N50">
            <v>1935.7441426584555</v>
          </cell>
          <cell r="O50">
            <v>1966.0950536006785</v>
          </cell>
          <cell r="P50">
            <v>2.1074851846227816E-3</v>
          </cell>
        </row>
        <row r="51">
          <cell r="B51" t="str">
            <v>Net debt/EBITDA</v>
          </cell>
          <cell r="C51">
            <v>-0.3413708000313006</v>
          </cell>
          <cell r="D51">
            <v>-0.66771359595091517</v>
          </cell>
          <cell r="E51">
            <v>-0.99608487412674929</v>
          </cell>
          <cell r="F51">
            <v>-1.3151196993995578</v>
          </cell>
          <cell r="G51">
            <v>0.56763988441824309</v>
          </cell>
          <cell r="I51" t="str">
            <v>debitel</v>
          </cell>
          <cell r="K51">
            <v>137</v>
          </cell>
          <cell r="L51">
            <v>0</v>
          </cell>
          <cell r="M51">
            <v>0</v>
          </cell>
          <cell r="N51">
            <v>0</v>
          </cell>
          <cell r="O51">
            <v>0</v>
          </cell>
          <cell r="P51" t="str">
            <v>nm</v>
          </cell>
        </row>
        <row r="52">
          <cell r="B52" t="str">
            <v>OpFCF/Net interest</v>
          </cell>
          <cell r="C52">
            <v>80.232320611482109</v>
          </cell>
          <cell r="D52">
            <v>135.77221361800517</v>
          </cell>
          <cell r="E52">
            <v>90764.592870416192</v>
          </cell>
          <cell r="F52">
            <v>-133.25545584395718</v>
          </cell>
          <cell r="G52">
            <v>-2.1842549676745415</v>
          </cell>
          <cell r="I52" t="str">
            <v>Domestic fixed</v>
          </cell>
          <cell r="K52">
            <v>2608</v>
          </cell>
          <cell r="L52">
            <v>2486.340571809028</v>
          </cell>
          <cell r="M52">
            <v>2446.2613713902283</v>
          </cell>
          <cell r="N52">
            <v>2320.0935548801644</v>
          </cell>
          <cell r="O52">
            <v>2205.5868599385476</v>
          </cell>
          <cell r="P52">
            <v>-3.9152385363443232E-2</v>
          </cell>
        </row>
        <row r="53">
          <cell r="I53" t="str">
            <v>Total</v>
          </cell>
          <cell r="K53">
            <v>4729</v>
          </cell>
          <cell r="L53">
            <v>4440.0572877586665</v>
          </cell>
          <cell r="M53">
            <v>4364.072497352041</v>
          </cell>
          <cell r="N53">
            <v>4255.83769753862</v>
          </cell>
          <cell r="O53">
            <v>4171.6819135392261</v>
          </cell>
          <cell r="P53">
            <v>-2.056819144273847E-2</v>
          </cell>
        </row>
        <row r="54">
          <cell r="B54" t="str">
            <v>BREAKDOWN OF VALUE</v>
          </cell>
          <cell r="D54" t="str">
            <v>RELATIVE VALUATION (2005)</v>
          </cell>
          <cell r="I54" t="str">
            <v>% change</v>
          </cell>
          <cell r="L54">
            <v>-6.110017175752458E-2</v>
          </cell>
          <cell r="M54">
            <v>-1.7113470723928992E-2</v>
          </cell>
          <cell r="N54">
            <v>-2.4801329464415156E-2</v>
          </cell>
          <cell r="O54">
            <v>-1.977419957722204E-2</v>
          </cell>
        </row>
        <row r="55">
          <cell r="I55" t="str">
            <v>EBITDA margin</v>
          </cell>
          <cell r="K55">
            <v>0.32432617790275015</v>
          </cell>
          <cell r="L55">
            <v>0.43992673129957677</v>
          </cell>
          <cell r="M55">
            <v>0.43647017574189984</v>
          </cell>
          <cell r="N55">
            <v>0.43393388527089355</v>
          </cell>
          <cell r="O55">
            <v>0.43362437000145321</v>
          </cell>
        </row>
        <row r="57">
          <cell r="I57" t="str">
            <v>Capex</v>
          </cell>
        </row>
        <row r="61">
          <cell r="I61" t="str">
            <v xml:space="preserve">Mobile </v>
          </cell>
          <cell r="K61">
            <v>431</v>
          </cell>
          <cell r="L61">
            <v>525.82000000000005</v>
          </cell>
          <cell r="M61">
            <v>499.52899999999994</v>
          </cell>
          <cell r="N61">
            <v>489.53841999999992</v>
          </cell>
          <cell r="O61">
            <v>489.53841999999992</v>
          </cell>
          <cell r="P61">
            <v>-2.3550261019707697E-2</v>
          </cell>
        </row>
        <row r="62">
          <cell r="I62" t="str">
            <v>debitel</v>
          </cell>
          <cell r="K62">
            <v>48.781793842034809</v>
          </cell>
          <cell r="L62">
            <v>0</v>
          </cell>
          <cell r="M62">
            <v>0</v>
          </cell>
          <cell r="N62">
            <v>0</v>
          </cell>
          <cell r="O62">
            <v>0</v>
          </cell>
          <cell r="P62" t="str">
            <v>nm</v>
          </cell>
        </row>
        <row r="63">
          <cell r="I63" t="str">
            <v>Domestic fixed</v>
          </cell>
          <cell r="K63">
            <v>733.21820615796514</v>
          </cell>
          <cell r="L63">
            <v>659.89638554216867</v>
          </cell>
          <cell r="M63">
            <v>653.29742168674693</v>
          </cell>
          <cell r="N63">
            <v>646.76444746987943</v>
          </cell>
          <cell r="O63">
            <v>640.29680299518066</v>
          </cell>
          <cell r="P63">
            <v>-1.0000000000000009E-2</v>
          </cell>
        </row>
        <row r="64">
          <cell r="I64" t="str">
            <v>Total</v>
          </cell>
          <cell r="K64">
            <v>1213</v>
          </cell>
          <cell r="L64">
            <v>1185.7163855421686</v>
          </cell>
          <cell r="M64">
            <v>1152.8264216867469</v>
          </cell>
          <cell r="N64">
            <v>1136.3028674698794</v>
          </cell>
          <cell r="O64">
            <v>1129.8352229951806</v>
          </cell>
          <cell r="P64">
            <v>-1.5962997349429742E-2</v>
          </cell>
        </row>
        <row r="65">
          <cell r="I65" t="str">
            <v>% change</v>
          </cell>
          <cell r="L65">
            <v>-2.2492674738525453E-2</v>
          </cell>
          <cell r="M65">
            <v>-2.7738474610336739E-2</v>
          </cell>
          <cell r="N65">
            <v>-1.4333080770903228E-2</v>
          </cell>
          <cell r="O65">
            <v>-5.6918315176831547E-3</v>
          </cell>
        </row>
        <row r="66">
          <cell r="I66" t="str">
            <v>Capex/sales</v>
          </cell>
          <cell r="K66">
            <v>8.3190453329675604E-2</v>
          </cell>
          <cell r="L66">
            <v>0.11748234311707093</v>
          </cell>
          <cell r="M66">
            <v>0.11529926489049568</v>
          </cell>
          <cell r="N66">
            <v>0.11585975621458423</v>
          </cell>
          <cell r="O66">
            <v>0.11744042257552863</v>
          </cell>
        </row>
        <row r="68">
          <cell r="B68" t="str">
            <v>SELECTED BOND DATA</v>
          </cell>
          <cell r="I68" t="str">
            <v>OPTION ADJUSTED CREDIT SPREAD HISTORY (BPS)</v>
          </cell>
        </row>
        <row r="70">
          <cell r="D70" t="str">
            <v>Moody's</v>
          </cell>
          <cell r="E70" t="str">
            <v>Outlook</v>
          </cell>
          <cell r="F70" t="str">
            <v>S&amp;P</v>
          </cell>
          <cell r="G70" t="str">
            <v>Outlook</v>
          </cell>
        </row>
        <row r="75">
          <cell r="E75" t="str">
            <v>Issue size</v>
          </cell>
          <cell r="F75" t="str">
            <v>Yld to mat</v>
          </cell>
          <cell r="G75" t="str">
            <v xml:space="preserve">Price </v>
          </cell>
        </row>
        <row r="76">
          <cell r="L76" t="str">
            <v>No publicly traded bonds</v>
          </cell>
        </row>
        <row r="80">
          <cell r="E80" t="str">
            <v>OAS 12m chg</v>
          </cell>
          <cell r="F80" t="str">
            <v>12m tot ret</v>
          </cell>
          <cell r="G80" t="str">
            <v xml:space="preserve">OAS </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35" refreshError="1">
        <row r="6">
          <cell r="S6" t="str">
            <v xml:space="preserve"> TDC (Neutral) TP: DKK250.0  (-1.6%)</v>
          </cell>
        </row>
        <row r="8">
          <cell r="G8" t="str">
            <v>CAGR</v>
          </cell>
          <cell r="P8" t="str">
            <v>CAGR</v>
          </cell>
        </row>
        <row r="9">
          <cell r="B9" t="str">
            <v>EV CALCULATION (DKKm)</v>
          </cell>
          <cell r="C9" t="str">
            <v>2004A</v>
          </cell>
          <cell r="D9" t="str">
            <v>2005E</v>
          </cell>
          <cell r="E9" t="str">
            <v>2006E</v>
          </cell>
          <cell r="F9" t="str">
            <v>2007E</v>
          </cell>
          <cell r="G9" t="str">
            <v>04E-07E</v>
          </cell>
          <cell r="I9" t="str">
            <v>FINANCIALS (DKKm)</v>
          </cell>
          <cell r="K9" t="str">
            <v>2003A</v>
          </cell>
          <cell r="L9" t="str">
            <v>2004A</v>
          </cell>
          <cell r="M9" t="str">
            <v>2005E</v>
          </cell>
          <cell r="N9" t="str">
            <v>2006E</v>
          </cell>
          <cell r="O9" t="str">
            <v>2007E</v>
          </cell>
          <cell r="P9" t="str">
            <v>04E-07E</v>
          </cell>
        </row>
        <row r="11">
          <cell r="B11" t="str">
            <v>Share price, DKK</v>
          </cell>
          <cell r="C11">
            <v>254</v>
          </cell>
          <cell r="I11" t="str">
            <v>Revenue</v>
          </cell>
          <cell r="K11">
            <v>42939</v>
          </cell>
          <cell r="L11">
            <v>45038</v>
          </cell>
          <cell r="M11">
            <v>47284.149975673885</v>
          </cell>
          <cell r="N11">
            <v>47309.487934461213</v>
          </cell>
          <cell r="O11">
            <v>47441.366310876896</v>
          </cell>
          <cell r="P11">
            <v>1.7480349625438096E-2</v>
          </cell>
        </row>
        <row r="12">
          <cell r="B12" t="str">
            <v>Number of shares</v>
          </cell>
          <cell r="C12">
            <v>216.458</v>
          </cell>
          <cell r="D12">
            <v>198.37517700000001</v>
          </cell>
          <cell r="E12">
            <v>198.37517700000001</v>
          </cell>
          <cell r="F12">
            <v>198.37517700000001</v>
          </cell>
          <cell r="I12" t="str">
            <v>EBITDA</v>
          </cell>
          <cell r="K12">
            <v>11654</v>
          </cell>
          <cell r="L12">
            <v>12432</v>
          </cell>
          <cell r="M12">
            <v>12790.546667650382</v>
          </cell>
          <cell r="N12">
            <v>12583.318499843002</v>
          </cell>
          <cell r="O12">
            <v>12405.031545741651</v>
          </cell>
          <cell r="P12">
            <v>-7.2361589656022574E-4</v>
          </cell>
        </row>
        <row r="13">
          <cell r="B13" t="str">
            <v>Market cap.</v>
          </cell>
          <cell r="C13">
            <v>54980.332000000002</v>
          </cell>
          <cell r="D13">
            <v>50387.294957999999</v>
          </cell>
          <cell r="E13">
            <v>50387.294957999999</v>
          </cell>
          <cell r="F13">
            <v>50387.294957999999</v>
          </cell>
          <cell r="I13" t="str">
            <v>Capex</v>
          </cell>
          <cell r="K13">
            <v>5505</v>
          </cell>
          <cell r="L13">
            <v>5254</v>
          </cell>
          <cell r="M13">
            <v>5298.5479718064335</v>
          </cell>
          <cell r="N13">
            <v>5259.1598487644915</v>
          </cell>
          <cell r="O13">
            <v>5201.4601346861155</v>
          </cell>
          <cell r="P13">
            <v>-3.3444979849691636E-3</v>
          </cell>
        </row>
        <row r="14">
          <cell r="B14" t="str">
            <v>Plus: Net debt (Cash)</v>
          </cell>
          <cell r="C14">
            <v>20010</v>
          </cell>
          <cell r="D14">
            <v>18353.697266456278</v>
          </cell>
          <cell r="E14">
            <v>16736.617444062042</v>
          </cell>
          <cell r="F14">
            <v>15381.482775235045</v>
          </cell>
          <cell r="I14" t="str">
            <v>OpFCF (EBITDA - capex)</v>
          </cell>
          <cell r="K14">
            <v>6149</v>
          </cell>
          <cell r="L14">
            <v>7178</v>
          </cell>
          <cell r="M14">
            <v>7491.9986958439486</v>
          </cell>
          <cell r="N14">
            <v>7324.158651078511</v>
          </cell>
          <cell r="O14">
            <v>7203.5714110555355</v>
          </cell>
          <cell r="P14">
            <v>1.1860827164054122E-3</v>
          </cell>
        </row>
        <row r="15">
          <cell r="B15" t="str">
            <v>Plus: Other financial liabilities</v>
          </cell>
          <cell r="C15">
            <v>1482.7473725853652</v>
          </cell>
          <cell r="D15">
            <v>1101.1022990529816</v>
          </cell>
          <cell r="E15">
            <v>791.70270530812934</v>
          </cell>
          <cell r="F15">
            <v>559.51223208006672</v>
          </cell>
          <cell r="I15" t="str">
            <v>FCF (OpFCF * (1-tax rate))</v>
          </cell>
          <cell r="K15">
            <v>4181.32</v>
          </cell>
          <cell r="L15">
            <v>4881.04</v>
          </cell>
          <cell r="M15">
            <v>5094.5591131738847</v>
          </cell>
          <cell r="N15">
            <v>4980.4278827333874</v>
          </cell>
          <cell r="O15">
            <v>4898.4285595177635</v>
          </cell>
          <cell r="P15">
            <v>1.1860827164054122E-3</v>
          </cell>
        </row>
        <row r="16">
          <cell r="B16" t="str">
            <v>Less: Associates</v>
          </cell>
          <cell r="C16">
            <v>4444.3603808462703</v>
          </cell>
          <cell r="D16">
            <v>4444.3603808462703</v>
          </cell>
          <cell r="E16">
            <v>4444.3603808462703</v>
          </cell>
          <cell r="F16">
            <v>4444.3603808462703</v>
          </cell>
          <cell r="I16" t="str">
            <v>EFCF</v>
          </cell>
          <cell r="K16">
            <v>4826.88</v>
          </cell>
          <cell r="L16">
            <v>5107.68</v>
          </cell>
          <cell r="M16">
            <v>5241.967051641248</v>
          </cell>
          <cell r="N16">
            <v>5129.4639647409385</v>
          </cell>
          <cell r="O16">
            <v>5070.1943575079031</v>
          </cell>
          <cell r="P16">
            <v>-2.4523672543932395E-3</v>
          </cell>
        </row>
        <row r="17">
          <cell r="B17" t="str">
            <v>Plus: Minorities</v>
          </cell>
          <cell r="C17">
            <v>0</v>
          </cell>
          <cell r="D17">
            <v>0</v>
          </cell>
          <cell r="E17">
            <v>0</v>
          </cell>
          <cell r="F17">
            <v>0</v>
          </cell>
          <cell r="I17" t="str">
            <v>Adj net Income</v>
          </cell>
          <cell r="K17">
            <v>2870.88</v>
          </cell>
          <cell r="L17">
            <v>4082.68</v>
          </cell>
          <cell r="M17">
            <v>3972.1114395438117</v>
          </cell>
          <cell r="N17">
            <v>4173.0395095465801</v>
          </cell>
          <cell r="O17">
            <v>4311.2165241387211</v>
          </cell>
          <cell r="P17">
            <v>1.8321307933819586E-2</v>
          </cell>
        </row>
        <row r="18">
          <cell r="B18" t="str">
            <v>Less: Cumulative dividends</v>
          </cell>
          <cell r="C18">
            <v>0</v>
          </cell>
          <cell r="D18">
            <v>2705.7249999999999</v>
          </cell>
          <cell r="E18">
            <v>5284.6023009999999</v>
          </cell>
          <cell r="F18">
            <v>7962.6671905000003</v>
          </cell>
          <cell r="I18" t="str">
            <v>Clean EPS</v>
          </cell>
          <cell r="K18">
            <v>13.262988662927683</v>
          </cell>
          <cell r="L18">
            <v>18.861303347531624</v>
          </cell>
          <cell r="M18">
            <v>19.150403872078979</v>
          </cell>
          <cell r="N18">
            <v>21.036097220705088</v>
          </cell>
          <cell r="O18">
            <v>21.732641096212966</v>
          </cell>
          <cell r="P18">
            <v>4.8367629295201109E-2</v>
          </cell>
        </row>
        <row r="19">
          <cell r="B19" t="str">
            <v>Less: NPV YE tax credit</v>
          </cell>
          <cell r="C19">
            <v>1523.5222259440666</v>
          </cell>
          <cell r="D19">
            <v>984.0438481989919</v>
          </cell>
          <cell r="E19">
            <v>690.12361625058008</v>
          </cell>
          <cell r="F19">
            <v>516.43905898142793</v>
          </cell>
          <cell r="I19" t="str">
            <v>DPS</v>
          </cell>
          <cell r="K19">
            <v>12</v>
          </cell>
          <cell r="L19">
            <v>12.5</v>
          </cell>
          <cell r="M19">
            <v>13</v>
          </cell>
          <cell r="N19">
            <v>13.5</v>
          </cell>
          <cell r="O19">
            <v>14</v>
          </cell>
          <cell r="P19">
            <v>3.8498820370220788E-2</v>
          </cell>
        </row>
        <row r="20">
          <cell r="B20" t="str">
            <v>Enterprise Value</v>
          </cell>
          <cell r="C20">
            <v>85963.296054452221</v>
          </cell>
          <cell r="D20">
            <v>61707.965294463989</v>
          </cell>
          <cell r="E20">
            <v>57496.52880927331</v>
          </cell>
          <cell r="F20">
            <v>53404.823334987406</v>
          </cell>
          <cell r="G20">
            <v>-8.8437499033411582E-2</v>
          </cell>
          <cell r="J20" t="str">
            <v>Cash flow</v>
          </cell>
        </row>
        <row r="21">
          <cell r="J21" t="str">
            <v>OpFCF</v>
          </cell>
          <cell r="K21">
            <v>6149</v>
          </cell>
          <cell r="L21">
            <v>7178</v>
          </cell>
          <cell r="M21">
            <v>7491.9986958439486</v>
          </cell>
          <cell r="N21">
            <v>7324.158651078511</v>
          </cell>
          <cell r="O21">
            <v>7203.5714110555355</v>
          </cell>
        </row>
        <row r="22">
          <cell r="B22" t="str">
            <v>PRICE PERFORMANCE, -1Y</v>
          </cell>
          <cell r="J22" t="str">
            <v>Less: Interest payments</v>
          </cell>
          <cell r="K22">
            <v>-824</v>
          </cell>
          <cell r="L22">
            <v>-1238</v>
          </cell>
          <cell r="M22">
            <v>-1188.6427314762027</v>
          </cell>
          <cell r="N22">
            <v>-1087.2217877274184</v>
          </cell>
          <cell r="O22">
            <v>-995.13209348234932</v>
          </cell>
        </row>
        <row r="23">
          <cell r="J23" t="str">
            <v>Less: Tax paid</v>
          </cell>
          <cell r="K23">
            <v>-544</v>
          </cell>
          <cell r="L23">
            <v>-453</v>
          </cell>
          <cell r="M23">
            <v>-1229.2289127264987</v>
          </cell>
          <cell r="N23">
            <v>-1643.7832986101555</v>
          </cell>
          <cell r="O23">
            <v>-1868.8077760652809</v>
          </cell>
        </row>
        <row r="24">
          <cell r="J24" t="str">
            <v>Less: Change in WC</v>
          </cell>
          <cell r="K24">
            <v>525</v>
          </cell>
          <cell r="L24">
            <v>1313</v>
          </cell>
          <cell r="M24">
            <v>-217.09931809752425</v>
          </cell>
          <cell r="N24">
            <v>-2.1964413467012776</v>
          </cell>
          <cell r="O24">
            <v>-11.431983180910095</v>
          </cell>
        </row>
        <row r="25">
          <cell r="J25" t="str">
            <v>Less: restructuring costs</v>
          </cell>
          <cell r="K25">
            <v>-109</v>
          </cell>
          <cell r="L25">
            <v>-400</v>
          </cell>
          <cell r="M25">
            <v>-400</v>
          </cell>
          <cell r="N25">
            <v>-300</v>
          </cell>
          <cell r="O25">
            <v>-200</v>
          </cell>
        </row>
        <row r="26">
          <cell r="J26" t="str">
            <v>Plus: Dividends received</v>
          </cell>
          <cell r="K26">
            <v>423</v>
          </cell>
          <cell r="L26">
            <v>492</v>
          </cell>
          <cell r="M26">
            <v>0</v>
          </cell>
          <cell r="N26">
            <v>0</v>
          </cell>
          <cell r="O26">
            <v>0</v>
          </cell>
        </row>
        <row r="27">
          <cell r="J27" t="str">
            <v>Sub total</v>
          </cell>
          <cell r="K27">
            <v>5620</v>
          </cell>
          <cell r="L27">
            <v>6892</v>
          </cell>
          <cell r="M27">
            <v>4457.0277335437222</v>
          </cell>
          <cell r="N27">
            <v>4290.9571233942361</v>
          </cell>
          <cell r="O27">
            <v>4128.1995583269945</v>
          </cell>
        </row>
        <row r="28">
          <cell r="J28" t="str">
            <v>Less: Disposals/acquis.</v>
          </cell>
          <cell r="K28">
            <v>-6614</v>
          </cell>
          <cell r="L28">
            <v>9166.7538173233461</v>
          </cell>
          <cell r="M28">
            <v>-95</v>
          </cell>
          <cell r="N28">
            <v>-95</v>
          </cell>
          <cell r="O28">
            <v>-95</v>
          </cell>
        </row>
        <row r="29">
          <cell r="J29" t="str">
            <v>Less: Dividends paid</v>
          </cell>
          <cell r="K29">
            <v>-2453</v>
          </cell>
          <cell r="L29">
            <v>-2597.4960000000001</v>
          </cell>
          <cell r="M29">
            <v>-2705.7249999999999</v>
          </cell>
          <cell r="N29">
            <v>-2578.877301</v>
          </cell>
          <cell r="O29">
            <v>-2678.0648894999999</v>
          </cell>
        </row>
        <row r="30">
          <cell r="J30" t="str">
            <v>Less: Share buyback</v>
          </cell>
          <cell r="K30">
            <v>0</v>
          </cell>
          <cell r="L30">
            <v>-3533</v>
          </cell>
          <cell r="M30">
            <v>0</v>
          </cell>
          <cell r="N30">
            <v>0</v>
          </cell>
          <cell r="O30">
            <v>0</v>
          </cell>
        </row>
        <row r="31">
          <cell r="J31" t="str">
            <v>Chg in Net debt/Cash</v>
          </cell>
          <cell r="K31">
            <v>-3447</v>
          </cell>
          <cell r="L31">
            <v>9928.2578173233451</v>
          </cell>
          <cell r="M31">
            <v>1656.3027335437223</v>
          </cell>
          <cell r="N31">
            <v>1617.0798223942361</v>
          </cell>
          <cell r="O31">
            <v>1355.1346688269946</v>
          </cell>
        </row>
        <row r="32">
          <cell r="J32" t="str">
            <v>Net debt (Cash)</v>
          </cell>
          <cell r="K32">
            <v>28682</v>
          </cell>
          <cell r="L32">
            <v>20010</v>
          </cell>
          <cell r="M32">
            <v>18353.697266456278</v>
          </cell>
          <cell r="N32">
            <v>16736.617444062042</v>
          </cell>
          <cell r="O32">
            <v>15381.482775235047</v>
          </cell>
        </row>
        <row r="33">
          <cell r="P33" t="str">
            <v>CAGR</v>
          </cell>
        </row>
        <row r="34">
          <cell r="I34" t="str">
            <v>DIVISIONAL (DKKm)</v>
          </cell>
          <cell r="K34" t="str">
            <v>2003A</v>
          </cell>
          <cell r="L34" t="str">
            <v>2004A</v>
          </cell>
          <cell r="M34" t="str">
            <v>2005E</v>
          </cell>
          <cell r="N34" t="str">
            <v>2006E</v>
          </cell>
          <cell r="O34" t="str">
            <v>2007E</v>
          </cell>
          <cell r="P34" t="str">
            <v>04E-07E</v>
          </cell>
        </row>
        <row r="36">
          <cell r="I36" t="str">
            <v>Revenues</v>
          </cell>
        </row>
        <row r="37">
          <cell r="I37" t="str">
            <v>TDC Mobile</v>
          </cell>
          <cell r="K37">
            <v>13175</v>
          </cell>
          <cell r="L37">
            <v>15105</v>
          </cell>
          <cell r="M37">
            <v>14479.121909624673</v>
          </cell>
          <cell r="N37">
            <v>14716.368489801866</v>
          </cell>
          <cell r="O37">
            <v>15091.700636042468</v>
          </cell>
          <cell r="P37">
            <v>-2.9357318897660356E-4</v>
          </cell>
        </row>
        <row r="38">
          <cell r="G38" t="str">
            <v>CAGR</v>
          </cell>
          <cell r="I38" t="str">
            <v>TDC Switzerland</v>
          </cell>
          <cell r="K38">
            <v>9471</v>
          </cell>
          <cell r="L38">
            <v>9692</v>
          </cell>
          <cell r="M38">
            <v>9915.4297391444088</v>
          </cell>
          <cell r="N38">
            <v>10072.755960565084</v>
          </cell>
          <cell r="O38">
            <v>10142.740581751801</v>
          </cell>
          <cell r="P38">
            <v>1.5267858496925246E-2</v>
          </cell>
        </row>
        <row r="39">
          <cell r="B39" t="str">
            <v>MULTIPLES &amp; RATIOS</v>
          </cell>
          <cell r="C39" t="str">
            <v>2004A</v>
          </cell>
          <cell r="D39" t="str">
            <v>2005E</v>
          </cell>
          <cell r="E39" t="str">
            <v>2006E</v>
          </cell>
          <cell r="F39" t="str">
            <v>2007E</v>
          </cell>
          <cell r="G39" t="str">
            <v>04E-07E</v>
          </cell>
          <cell r="I39" t="str">
            <v>TDC Cable TV</v>
          </cell>
          <cell r="K39">
            <v>1524</v>
          </cell>
          <cell r="L39">
            <v>1766</v>
          </cell>
          <cell r="M39">
            <v>2042.9559652445751</v>
          </cell>
          <cell r="N39">
            <v>2302.979869821359</v>
          </cell>
          <cell r="O39">
            <v>2458.3613584878958</v>
          </cell>
          <cell r="P39">
            <v>0.11656756312633676</v>
          </cell>
        </row>
        <row r="40">
          <cell r="I40" t="str">
            <v>TDC Directories</v>
          </cell>
          <cell r="K40">
            <v>1463</v>
          </cell>
          <cell r="L40">
            <v>1436</v>
          </cell>
          <cell r="M40">
            <v>1500.62</v>
          </cell>
          <cell r="N40">
            <v>1497.6187599999998</v>
          </cell>
          <cell r="O40">
            <v>1494.6235224799998</v>
          </cell>
          <cell r="P40">
            <v>1.342696960027201E-2</v>
          </cell>
        </row>
        <row r="41">
          <cell r="B41" t="str">
            <v>EV/Revenue</v>
          </cell>
          <cell r="C41">
            <v>1.5654602061768956</v>
          </cell>
          <cell r="D41">
            <v>1.3050454608195492</v>
          </cell>
          <cell r="E41">
            <v>1.2153276503208916</v>
          </cell>
          <cell r="F41">
            <v>1.1257016289335509</v>
          </cell>
          <cell r="G41">
            <v>1.7480349625438096E-2</v>
          </cell>
          <cell r="I41" t="str">
            <v>Other/elims</v>
          </cell>
          <cell r="K41">
            <v>-1279</v>
          </cell>
          <cell r="L41">
            <v>-1551</v>
          </cell>
          <cell r="M41">
            <v>-1356.3292572542668</v>
          </cell>
          <cell r="N41">
            <v>-1322.6931882669342</v>
          </cell>
          <cell r="O41">
            <v>-1279.2455207675048</v>
          </cell>
          <cell r="P41">
            <v>-6.2191778574438916E-2</v>
          </cell>
        </row>
        <row r="42">
          <cell r="B42" t="str">
            <v>EV/EBITDA</v>
          </cell>
          <cell r="C42">
            <v>5.6712674361160742</v>
          </cell>
          <cell r="D42">
            <v>4.8244978809650618</v>
          </cell>
          <cell r="E42">
            <v>4.5692659539683973</v>
          </cell>
          <cell r="F42">
            <v>4.3050937144387991</v>
          </cell>
          <cell r="G42">
            <v>-7.2361589656022574E-4</v>
          </cell>
          <cell r="I42" t="str">
            <v>TDC Solutions</v>
          </cell>
          <cell r="K42">
            <v>18585</v>
          </cell>
          <cell r="L42">
            <v>18590</v>
          </cell>
          <cell r="M42">
            <v>20702.351618914498</v>
          </cell>
          <cell r="N42">
            <v>20042.458042539834</v>
          </cell>
          <cell r="O42">
            <v>19533.185732882237</v>
          </cell>
          <cell r="P42">
            <v>1.6633843761499234E-2</v>
          </cell>
        </row>
        <row r="43">
          <cell r="B43" t="str">
            <v>EV/OpFCF</v>
          </cell>
          <cell r="C43">
            <v>9.8224013326546427</v>
          </cell>
          <cell r="D43">
            <v>8.23651575496074</v>
          </cell>
          <cell r="E43">
            <v>7.8502571487588853</v>
          </cell>
          <cell r="F43">
            <v>7.4136591820309343</v>
          </cell>
          <cell r="G43">
            <v>1.1860827164054122E-3</v>
          </cell>
          <cell r="I43" t="str">
            <v>Total</v>
          </cell>
          <cell r="K43">
            <v>42939</v>
          </cell>
          <cell r="L43">
            <v>45038</v>
          </cell>
          <cell r="M43">
            <v>47284.149975673885</v>
          </cell>
          <cell r="N43">
            <v>47309.487934461213</v>
          </cell>
          <cell r="O43">
            <v>47441.366310876896</v>
          </cell>
          <cell r="P43">
            <v>1.7480349625438096E-2</v>
          </cell>
        </row>
        <row r="44">
          <cell r="B44" t="str">
            <v>EV/FCF</v>
          </cell>
          <cell r="C44">
            <v>14.444707842139181</v>
          </cell>
          <cell r="D44">
            <v>12.112523169059912</v>
          </cell>
          <cell r="E44">
            <v>11.544495806998361</v>
          </cell>
          <cell r="F44">
            <v>10.902439973574905</v>
          </cell>
          <cell r="G44">
            <v>1.1860827164054122E-3</v>
          </cell>
          <cell r="I44" t="str">
            <v>% change</v>
          </cell>
          <cell r="L44">
            <v>4.888329956449855E-2</v>
          </cell>
          <cell r="M44">
            <v>4.9872329492292922E-2</v>
          </cell>
          <cell r="N44">
            <v>5.3586579858921901E-4</v>
          </cell>
          <cell r="O44">
            <v>2.7875671915615907E-3</v>
          </cell>
        </row>
        <row r="45">
          <cell r="B45" t="str">
            <v>EV/Invested capital</v>
          </cell>
          <cell r="C45">
            <v>1.2590213708177684</v>
          </cell>
          <cell r="D45">
            <v>1.1160765395579866</v>
          </cell>
          <cell r="E45">
            <v>1.0403379234861374</v>
          </cell>
          <cell r="F45">
            <v>0.96146633055933617</v>
          </cell>
          <cell r="G45">
            <v>-2.7146061209304406E-3</v>
          </cell>
        </row>
        <row r="46">
          <cell r="B46" t="str">
            <v>EV/NFA</v>
          </cell>
          <cell r="C46">
            <v>2.689293083335051</v>
          </cell>
          <cell r="D46">
            <v>2.3501905443045934</v>
          </cell>
          <cell r="E46">
            <v>2.190441435439435</v>
          </cell>
          <cell r="F46">
            <v>2.039524498895958</v>
          </cell>
          <cell r="G46">
            <v>-4.0781039318771306E-4</v>
          </cell>
          <cell r="I46" t="str">
            <v>EBITDA</v>
          </cell>
        </row>
        <row r="47">
          <cell r="B47" t="str">
            <v>P/EFCF</v>
          </cell>
          <cell r="C47">
            <v>10.75626451669668</v>
          </cell>
          <cell r="D47">
            <v>9.6346186290967228</v>
          </cell>
          <cell r="E47">
            <v>9.8429142682567754</v>
          </cell>
          <cell r="F47">
            <v>9.9464368770048726</v>
          </cell>
          <cell r="G47">
            <v>-2.4523672543932395E-3</v>
          </cell>
          <cell r="I47" t="str">
            <v>TDC Mobile</v>
          </cell>
          <cell r="K47">
            <v>2374</v>
          </cell>
          <cell r="L47">
            <v>2682</v>
          </cell>
          <cell r="M47">
            <v>2632.9276570969009</v>
          </cell>
          <cell r="N47">
            <v>2653.732886792207</v>
          </cell>
          <cell r="O47">
            <v>2665.2496144793795</v>
          </cell>
          <cell r="P47">
            <v>-2.086176788063332E-3</v>
          </cell>
        </row>
        <row r="48">
          <cell r="B48" t="str">
            <v>Adjusted P/E</v>
          </cell>
          <cell r="C48">
            <v>13.466725778165321</v>
          </cell>
          <cell r="D48">
            <v>13.263427847092482</v>
          </cell>
          <cell r="E48">
            <v>12.074483081871136</v>
          </cell>
          <cell r="F48">
            <v>11.68748882731335</v>
          </cell>
          <cell r="G48">
            <v>1.8321307933819586E-2</v>
          </cell>
          <cell r="I48" t="str">
            <v>TDC Switzerland</v>
          </cell>
          <cell r="K48">
            <v>2205</v>
          </cell>
          <cell r="L48">
            <v>2455</v>
          </cell>
          <cell r="M48">
            <v>2556.7329749768169</v>
          </cell>
          <cell r="N48">
            <v>2546.3727123411418</v>
          </cell>
          <cell r="O48">
            <v>2564.0646856571902</v>
          </cell>
          <cell r="P48">
            <v>1.4594476349260921E-2</v>
          </cell>
        </row>
        <row r="49">
          <cell r="B49" t="str">
            <v>Dividend yield</v>
          </cell>
          <cell r="C49">
            <v>4.9212598425196853E-2</v>
          </cell>
          <cell r="D49">
            <v>5.1181102362204724E-2</v>
          </cell>
          <cell r="E49">
            <v>5.3149606299212601E-2</v>
          </cell>
          <cell r="F49">
            <v>5.5118110236220472E-2</v>
          </cell>
          <cell r="G49">
            <v>3.8498820370220788E-2</v>
          </cell>
          <cell r="I49" t="str">
            <v>TDC Cable TV</v>
          </cell>
          <cell r="K49">
            <v>173</v>
          </cell>
          <cell r="L49">
            <v>355</v>
          </cell>
          <cell r="M49">
            <v>476.35459465200773</v>
          </cell>
          <cell r="N49">
            <v>536.98418421326767</v>
          </cell>
          <cell r="O49">
            <v>570.72213939620076</v>
          </cell>
          <cell r="P49">
            <v>0.17147256528397148</v>
          </cell>
        </row>
        <row r="50">
          <cell r="B50" t="str">
            <v>EFCF yield</v>
          </cell>
          <cell r="C50">
            <v>9.296907847958974E-2</v>
          </cell>
          <cell r="D50">
            <v>0.10379238021731155</v>
          </cell>
          <cell r="E50">
            <v>0.10159592705434632</v>
          </cell>
          <cell r="F50">
            <v>0.10053851568815522</v>
          </cell>
          <cell r="G50">
            <v>-2.4523672543932395E-3</v>
          </cell>
          <cell r="I50" t="str">
            <v>TDC Directories</v>
          </cell>
          <cell r="K50">
            <v>413</v>
          </cell>
          <cell r="L50">
            <v>472</v>
          </cell>
          <cell r="M50">
            <v>483.80891428571431</v>
          </cell>
          <cell r="N50">
            <v>482.84129645714285</v>
          </cell>
          <cell r="O50">
            <v>481.87561386422851</v>
          </cell>
          <cell r="P50">
            <v>6.9262202927904415E-3</v>
          </cell>
        </row>
        <row r="51">
          <cell r="B51" t="str">
            <v>Net debt/EBITDA</v>
          </cell>
          <cell r="C51">
            <v>1.6095559845559846</v>
          </cell>
          <cell r="D51">
            <v>1.4349423635563689</v>
          </cell>
          <cell r="E51">
            <v>1.3300638813418622</v>
          </cell>
          <cell r="F51">
            <v>1.2399390294589889</v>
          </cell>
          <cell r="G51">
            <v>-8.3291170397862491E-2</v>
          </cell>
          <cell r="I51" t="str">
            <v>Other</v>
          </cell>
          <cell r="K51">
            <v>775</v>
          </cell>
          <cell r="L51">
            <v>574</v>
          </cell>
          <cell r="M51">
            <v>274.03632000000107</v>
          </cell>
          <cell r="N51">
            <v>268.81194816000152</v>
          </cell>
          <cell r="O51">
            <v>263.69719084800272</v>
          </cell>
          <cell r="P51">
            <v>-0.22838995936059203</v>
          </cell>
        </row>
        <row r="52">
          <cell r="B52" t="str">
            <v>OpFCF/Net interest</v>
          </cell>
          <cell r="C52">
            <v>7.9755555555555553</v>
          </cell>
          <cell r="D52">
            <v>6.3029861685516417</v>
          </cell>
          <cell r="E52">
            <v>6.7365819318135109</v>
          </cell>
          <cell r="F52">
            <v>7.2388092578217158</v>
          </cell>
          <cell r="G52">
            <v>-3.1791860061133326E-2</v>
          </cell>
          <cell r="I52" t="str">
            <v>TDC Solutions</v>
          </cell>
          <cell r="K52">
            <v>5714</v>
          </cell>
          <cell r="L52">
            <v>5894</v>
          </cell>
          <cell r="M52">
            <v>6366.6862066389403</v>
          </cell>
          <cell r="N52">
            <v>6094.5754718792432</v>
          </cell>
          <cell r="O52">
            <v>5859.4223014966483</v>
          </cell>
          <cell r="P52">
            <v>-1.9593675777697106E-3</v>
          </cell>
        </row>
        <row r="53">
          <cell r="I53" t="str">
            <v>Total</v>
          </cell>
          <cell r="K53">
            <v>11654</v>
          </cell>
          <cell r="L53">
            <v>12432</v>
          </cell>
          <cell r="M53">
            <v>12790.546667650382</v>
          </cell>
          <cell r="N53">
            <v>12583.318499843002</v>
          </cell>
          <cell r="O53">
            <v>12405.031545741651</v>
          </cell>
          <cell r="P53">
            <v>-7.2361589656022574E-4</v>
          </cell>
        </row>
        <row r="54">
          <cell r="B54" t="str">
            <v>BREAKDOWN OF VALUE</v>
          </cell>
          <cell r="D54" t="str">
            <v>RELATIVE VALUATION (2005)</v>
          </cell>
          <cell r="I54" t="str">
            <v>% change</v>
          </cell>
          <cell r="L54">
            <v>6.6758194611292287E-2</v>
          </cell>
          <cell r="M54">
            <v>2.8840626419754045E-2</v>
          </cell>
          <cell r="N54">
            <v>-1.6201666214275101E-2</v>
          </cell>
          <cell r="O54">
            <v>-1.4168516365820061E-2</v>
          </cell>
        </row>
        <row r="55">
          <cell r="I55" t="str">
            <v>EBITDA margin</v>
          </cell>
          <cell r="K55">
            <v>0.27140827685786811</v>
          </cell>
          <cell r="L55">
            <v>0.27603357165060616</v>
          </cell>
          <cell r="M55">
            <v>0.27050389346600689</v>
          </cell>
          <cell r="N55">
            <v>0.26597875075872573</v>
          </cell>
          <cell r="O55">
            <v>0.2614813296997634</v>
          </cell>
        </row>
        <row r="57">
          <cell r="I57" t="str">
            <v>Capex</v>
          </cell>
        </row>
        <row r="58">
          <cell r="I58" t="str">
            <v>TDC Mobile</v>
          </cell>
          <cell r="K58">
            <v>934</v>
          </cell>
          <cell r="L58">
            <v>1023</v>
          </cell>
          <cell r="M58">
            <v>968.88513696862708</v>
          </cell>
          <cell r="N58">
            <v>960.07276811728752</v>
          </cell>
          <cell r="O58">
            <v>954.83386097669802</v>
          </cell>
          <cell r="P58">
            <v>-2.2723641661942962E-2</v>
          </cell>
        </row>
        <row r="59">
          <cell r="I59" t="str">
            <v>TDC Switzerland</v>
          </cell>
          <cell r="K59">
            <v>1675</v>
          </cell>
          <cell r="L59">
            <v>1196</v>
          </cell>
          <cell r="M59">
            <v>1203.1684588126195</v>
          </cell>
          <cell r="N59">
            <v>1222.258901923748</v>
          </cell>
          <cell r="O59">
            <v>1230.7510491154512</v>
          </cell>
          <cell r="P59">
            <v>9.5930331555813542E-3</v>
          </cell>
        </row>
        <row r="60">
          <cell r="I60" t="str">
            <v>TDC Cable TV</v>
          </cell>
          <cell r="K60">
            <v>276</v>
          </cell>
          <cell r="L60">
            <v>225</v>
          </cell>
          <cell r="M60">
            <v>269.24390132504783</v>
          </cell>
          <cell r="N60">
            <v>303.51279977271656</v>
          </cell>
          <cell r="O60">
            <v>323.99073415504847</v>
          </cell>
          <cell r="P60">
            <v>0.12923246974728397</v>
          </cell>
        </row>
        <row r="61">
          <cell r="I61" t="str">
            <v>TDC Directories</v>
          </cell>
          <cell r="K61">
            <v>35</v>
          </cell>
          <cell r="L61">
            <v>54</v>
          </cell>
          <cell r="M61">
            <v>36.90139470013947</v>
          </cell>
          <cell r="N61">
            <v>36.827591910739187</v>
          </cell>
          <cell r="O61">
            <v>36.753936726917708</v>
          </cell>
          <cell r="P61">
            <v>-0.12036324482857874</v>
          </cell>
        </row>
        <row r="62">
          <cell r="I62" t="str">
            <v>Other</v>
          </cell>
          <cell r="K62">
            <v>166</v>
          </cell>
          <cell r="L62">
            <v>299</v>
          </cell>
          <cell r="M62">
            <v>68.509079999999358</v>
          </cell>
          <cell r="N62">
            <v>67.202987040000608</v>
          </cell>
          <cell r="O62">
            <v>65.924297712000225</v>
          </cell>
          <cell r="P62">
            <v>-0.39587782882684786</v>
          </cell>
        </row>
        <row r="63">
          <cell r="I63" t="str">
            <v>TDC Solutions</v>
          </cell>
          <cell r="K63">
            <v>2419</v>
          </cell>
          <cell r="L63">
            <v>2457</v>
          </cell>
          <cell r="M63">
            <v>2751.84</v>
          </cell>
          <cell r="N63">
            <v>2669.2847999999999</v>
          </cell>
          <cell r="O63">
            <v>2589.2062559999999</v>
          </cell>
          <cell r="P63">
            <v>1.7623584688667426E-2</v>
          </cell>
        </row>
        <row r="64">
          <cell r="I64" t="str">
            <v>Total</v>
          </cell>
          <cell r="K64">
            <v>5505</v>
          </cell>
          <cell r="L64">
            <v>5254</v>
          </cell>
          <cell r="M64">
            <v>5298.5479718064335</v>
          </cell>
          <cell r="N64">
            <v>5259.1598487644915</v>
          </cell>
          <cell r="O64">
            <v>5201.4601346861155</v>
          </cell>
          <cell r="P64">
            <v>-3.3444979849691636E-3</v>
          </cell>
        </row>
        <row r="65">
          <cell r="I65" t="str">
            <v>% change</v>
          </cell>
          <cell r="L65">
            <v>-4.559491371480473E-2</v>
          </cell>
          <cell r="M65">
            <v>8.4788678733218603E-3</v>
          </cell>
          <cell r="N65">
            <v>-7.4337579373681129E-3</v>
          </cell>
          <cell r="O65">
            <v>-1.097127977426493E-2</v>
          </cell>
        </row>
        <row r="66">
          <cell r="I66" t="str">
            <v>Capex/sales</v>
          </cell>
          <cell r="K66">
            <v>0.12820512820512819</v>
          </cell>
          <cell r="L66">
            <v>0.11665704516186332</v>
          </cell>
          <cell r="M66">
            <v>0.11205759169895957</v>
          </cell>
          <cell r="N66">
            <v>0.11116501315867362</v>
          </cell>
          <cell r="O66">
            <v>0.10963976249338281</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TELDAN 5.625 2/6/2009</v>
          </cell>
          <cell r="D71" t="str">
            <v>Baa1</v>
          </cell>
          <cell r="E71" t="str">
            <v>NEG</v>
          </cell>
          <cell r="F71" t="str">
            <v>BBB+</v>
          </cell>
          <cell r="G71" t="str">
            <v>STABLE</v>
          </cell>
        </row>
        <row r="72">
          <cell r="B72" t="str">
            <v xml:space="preserve"> TELDAN 6.5 4/19/2012</v>
          </cell>
          <cell r="D72" t="str">
            <v>Baa1</v>
          </cell>
          <cell r="E72" t="str">
            <v>NEG</v>
          </cell>
          <cell r="F72" t="str">
            <v>BBB+</v>
          </cell>
          <cell r="G72" t="str">
            <v>STABLE</v>
          </cell>
        </row>
        <row r="75">
          <cell r="E75" t="str">
            <v>Issue size</v>
          </cell>
          <cell r="F75" t="str">
            <v>Yld to mat</v>
          </cell>
          <cell r="G75" t="str">
            <v xml:space="preserve">Price </v>
          </cell>
        </row>
        <row r="76">
          <cell r="B76" t="str">
            <v xml:space="preserve"> TELDAN 5.625 2/6/2009</v>
          </cell>
          <cell r="E76" t="str">
            <v>€350</v>
          </cell>
          <cell r="F76">
            <v>3.2799999999999996E-2</v>
          </cell>
          <cell r="G76">
            <v>108.41</v>
          </cell>
        </row>
        <row r="77">
          <cell r="B77" t="str">
            <v xml:space="preserve"> TELDAN 6.5 4/19/2012</v>
          </cell>
          <cell r="E77" t="str">
            <v>€750</v>
          </cell>
          <cell r="F77">
            <v>3.8100000000000002E-2</v>
          </cell>
          <cell r="G77">
            <v>116.26</v>
          </cell>
        </row>
        <row r="80">
          <cell r="E80" t="str">
            <v>OAS 12m chg</v>
          </cell>
          <cell r="F80" t="str">
            <v>12m tot ret</v>
          </cell>
          <cell r="G80" t="str">
            <v xml:space="preserve">OAS </v>
          </cell>
        </row>
        <row r="81">
          <cell r="B81" t="str">
            <v xml:space="preserve"> TELDAN 5.625 2/6/2009</v>
          </cell>
          <cell r="E81">
            <v>-30</v>
          </cell>
          <cell r="F81">
            <v>6.5970000000000001E-2</v>
          </cell>
          <cell r="G81">
            <v>44</v>
          </cell>
        </row>
        <row r="82">
          <cell r="B82" t="str">
            <v xml:space="preserve"> TELDAN 6.5 4/19/2012</v>
          </cell>
          <cell r="E82">
            <v>-36</v>
          </cell>
          <cell r="F82">
            <v>9.8460000000000006E-2</v>
          </cell>
          <cell r="G82">
            <v>48</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36" refreshError="1">
        <row r="6">
          <cell r="S6" t="str">
            <v xml:space="preserve"> Telecom Italia (Neutral) TP: €2.8  (-3.6%)</v>
          </cell>
        </row>
        <row r="8">
          <cell r="G8" t="str">
            <v>CAGR</v>
          </cell>
          <cell r="P8" t="str">
            <v>CAGR</v>
          </cell>
        </row>
        <row r="9">
          <cell r="B9" t="str">
            <v>EV CALCULATION (€m)</v>
          </cell>
          <cell r="C9" t="str">
            <v>2004A</v>
          </cell>
          <cell r="D9" t="str">
            <v>2005E</v>
          </cell>
          <cell r="E9" t="str">
            <v>2006E</v>
          </cell>
          <cell r="F9" t="str">
            <v>2007E</v>
          </cell>
          <cell r="G9" t="str">
            <v>04E-07E</v>
          </cell>
          <cell r="I9" t="str">
            <v>FINANCIALS (€m)</v>
          </cell>
          <cell r="K9" t="str">
            <v>2003A</v>
          </cell>
          <cell r="L9" t="str">
            <v>2004A</v>
          </cell>
          <cell r="M9" t="str">
            <v>2005E</v>
          </cell>
          <cell r="N9" t="str">
            <v>2006E</v>
          </cell>
          <cell r="O9" t="str">
            <v>2007E</v>
          </cell>
          <cell r="P9" t="str">
            <v>04E-07E</v>
          </cell>
        </row>
        <row r="11">
          <cell r="B11" t="str">
            <v>Share price, €</v>
          </cell>
          <cell r="C11">
            <v>2.9049999999999998</v>
          </cell>
          <cell r="D11">
            <v>2.3519999999999999</v>
          </cell>
          <cell r="I11" t="str">
            <v>Revenue</v>
          </cell>
          <cell r="K11">
            <v>30850</v>
          </cell>
          <cell r="L11">
            <v>31237</v>
          </cell>
          <cell r="M11">
            <v>32383.824464475885</v>
          </cell>
          <cell r="N11">
            <v>33118.359208154594</v>
          </cell>
          <cell r="O11">
            <v>33489.870480629652</v>
          </cell>
          <cell r="P11">
            <v>2.3484767501466886E-2</v>
          </cell>
        </row>
        <row r="12">
          <cell r="B12" t="str">
            <v>Number of shares</v>
          </cell>
          <cell r="C12">
            <v>10287.061839</v>
          </cell>
          <cell r="D12">
            <v>12484.061839</v>
          </cell>
          <cell r="E12">
            <v>12578.061839</v>
          </cell>
          <cell r="F12">
            <v>12672.061839</v>
          </cell>
          <cell r="I12" t="str">
            <v>EBITDA</v>
          </cell>
          <cell r="K12">
            <v>13568</v>
          </cell>
          <cell r="L12">
            <v>13846</v>
          </cell>
          <cell r="M12">
            <v>14909.34949844967</v>
          </cell>
          <cell r="N12">
            <v>15238.740984445563</v>
          </cell>
          <cell r="O12">
            <v>15307.184290571622</v>
          </cell>
          <cell r="P12">
            <v>3.4007434193628061E-2</v>
          </cell>
        </row>
        <row r="13">
          <cell r="B13" t="str">
            <v>Market cap.</v>
          </cell>
          <cell r="C13">
            <v>43515.920996582994</v>
          </cell>
          <cell r="D13">
            <v>49898.205996582998</v>
          </cell>
          <cell r="E13">
            <v>50171.275996582997</v>
          </cell>
          <cell r="F13">
            <v>50444.345996582997</v>
          </cell>
          <cell r="I13" t="str">
            <v>Capex</v>
          </cell>
          <cell r="K13">
            <v>4894</v>
          </cell>
          <cell r="L13">
            <v>5335</v>
          </cell>
          <cell r="M13">
            <v>4911.8464722099998</v>
          </cell>
          <cell r="N13">
            <v>4700.1391319152399</v>
          </cell>
          <cell r="O13">
            <v>4664.5202442378186</v>
          </cell>
          <cell r="P13">
            <v>-4.3780668279818191E-2</v>
          </cell>
        </row>
        <row r="14">
          <cell r="B14" t="str">
            <v>Plus: Net debt (Cash)</v>
          </cell>
          <cell r="C14">
            <v>29525</v>
          </cell>
          <cell r="D14">
            <v>40651.541250752947</v>
          </cell>
          <cell r="E14">
            <v>36763.306145810559</v>
          </cell>
          <cell r="F14">
            <v>32377.845646446574</v>
          </cell>
          <cell r="I14" t="str">
            <v>OpFCF (EBITDA - capex)</v>
          </cell>
          <cell r="K14">
            <v>8674</v>
          </cell>
          <cell r="L14">
            <v>8511</v>
          </cell>
          <cell r="M14">
            <v>9997.5030262396704</v>
          </cell>
          <cell r="N14">
            <v>10538.601852530323</v>
          </cell>
          <cell r="O14">
            <v>10642.664046333804</v>
          </cell>
          <cell r="P14">
            <v>7.7349433266995726E-2</v>
          </cell>
        </row>
        <row r="15">
          <cell r="B15" t="str">
            <v>Plus: Other financial liabilities</v>
          </cell>
          <cell r="C15">
            <v>3219.0887418962398</v>
          </cell>
          <cell r="D15">
            <v>2963.1701612479392</v>
          </cell>
          <cell r="E15">
            <v>2686.7780941477745</v>
          </cell>
          <cell r="F15">
            <v>2488.2746616795966</v>
          </cell>
          <cell r="I15" t="str">
            <v>FCF (OpFCF * (1-tax rate))</v>
          </cell>
          <cell r="K15">
            <v>5030.92</v>
          </cell>
          <cell r="L15">
            <v>5106.6000000000004</v>
          </cell>
          <cell r="M15">
            <v>5998.5018157438017</v>
          </cell>
          <cell r="N15">
            <v>6323.1611115181931</v>
          </cell>
          <cell r="O15">
            <v>6385.5984278002825</v>
          </cell>
          <cell r="P15">
            <v>7.7349433266995726E-2</v>
          </cell>
        </row>
        <row r="16">
          <cell r="B16" t="str">
            <v>Less: Associates</v>
          </cell>
          <cell r="C16">
            <v>476.42061583731362</v>
          </cell>
          <cell r="D16">
            <v>476.42061583731362</v>
          </cell>
          <cell r="E16">
            <v>476.42061583731362</v>
          </cell>
          <cell r="F16">
            <v>476.42061583731362</v>
          </cell>
          <cell r="I16" t="str">
            <v>EFCF</v>
          </cell>
          <cell r="K16">
            <v>3850.0026082143404</v>
          </cell>
          <cell r="L16">
            <v>3670.5986219598667</v>
          </cell>
          <cell r="M16">
            <v>4904.4046532520233</v>
          </cell>
          <cell r="N16">
            <v>5430.807271746834</v>
          </cell>
          <cell r="O16">
            <v>5565.2123292157621</v>
          </cell>
          <cell r="P16">
            <v>0.14881019351794378</v>
          </cell>
        </row>
        <row r="17">
          <cell r="B17" t="str">
            <v>Plus: Minorities</v>
          </cell>
          <cell r="C17">
            <v>18114.19236868179</v>
          </cell>
          <cell r="D17">
            <v>792.7038546</v>
          </cell>
          <cell r="E17">
            <v>792.7038546</v>
          </cell>
          <cell r="F17">
            <v>792.7038546</v>
          </cell>
          <cell r="I17" t="str">
            <v>Adj net Income</v>
          </cell>
          <cell r="K17">
            <v>3434.7037799999998</v>
          </cell>
          <cell r="L17">
            <v>3570.9537799999998</v>
          </cell>
          <cell r="M17">
            <v>4137.583293863845</v>
          </cell>
          <cell r="N17">
            <v>5047.8098236752303</v>
          </cell>
          <cell r="O17">
            <v>5341.6287635520603</v>
          </cell>
          <cell r="P17">
            <v>0.14365883919731504</v>
          </cell>
        </row>
        <row r="18">
          <cell r="B18" t="str">
            <v>Less: Cumulative dividends</v>
          </cell>
          <cell r="C18">
            <v>0</v>
          </cell>
          <cell r="D18">
            <v>1821.6251636033999</v>
          </cell>
          <cell r="E18">
            <v>3893.6566272067998</v>
          </cell>
          <cell r="F18">
            <v>6076.8898174024198</v>
          </cell>
          <cell r="I18" t="str">
            <v>Clean EPS</v>
          </cell>
          <cell r="K18">
            <v>0.21356136480699167</v>
          </cell>
          <cell r="L18">
            <v>0.22203305197966328</v>
          </cell>
          <cell r="M18">
            <v>0.22634503077424023</v>
          </cell>
          <cell r="N18">
            <v>0.27472594531898814</v>
          </cell>
          <cell r="O18">
            <v>0.2892372594322774</v>
          </cell>
          <cell r="P18">
            <v>9.21413986374231E-2</v>
          </cell>
        </row>
        <row r="19">
          <cell r="B19" t="str">
            <v>Less: NPV YE tax credit</v>
          </cell>
          <cell r="C19">
            <v>2005.1520300466091</v>
          </cell>
          <cell r="D19">
            <v>1565.5641924503377</v>
          </cell>
          <cell r="E19">
            <v>1040.8093278463648</v>
          </cell>
          <cell r="F19">
            <v>324.07407407407408</v>
          </cell>
          <cell r="I19" t="str">
            <v>DPS</v>
          </cell>
          <cell r="K19">
            <v>5.3608426225800032E-2</v>
          </cell>
          <cell r="L19">
            <v>0.1041</v>
          </cell>
          <cell r="M19">
            <v>0.10929999999999999</v>
          </cell>
          <cell r="N19">
            <v>0.10929999999999999</v>
          </cell>
          <cell r="O19">
            <v>0.11476500000000001</v>
          </cell>
          <cell r="P19">
            <v>3.3045801934706187E-2</v>
          </cell>
        </row>
        <row r="20">
          <cell r="B20" t="str">
            <v>Enterprise Value</v>
          </cell>
          <cell r="C20">
            <v>84585.978405590591</v>
          </cell>
          <cell r="D20">
            <v>90442.011291292816</v>
          </cell>
          <cell r="E20">
            <v>85003.177520250843</v>
          </cell>
          <cell r="F20">
            <v>79225.785651995349</v>
          </cell>
          <cell r="G20">
            <v>-4.8237421275952208E-2</v>
          </cell>
          <cell r="J20" t="str">
            <v>Cash flow</v>
          </cell>
        </row>
        <row r="21">
          <cell r="J21" t="str">
            <v>OpFCF</v>
          </cell>
          <cell r="K21">
            <v>8674</v>
          </cell>
          <cell r="L21">
            <v>8511</v>
          </cell>
          <cell r="M21">
            <v>9997.5030262396704</v>
          </cell>
          <cell r="N21">
            <v>10538.601852530323</v>
          </cell>
          <cell r="O21">
            <v>10642.664046333804</v>
          </cell>
        </row>
        <row r="22">
          <cell r="B22" t="str">
            <v>PRICE PERFORMANCE, -1Y</v>
          </cell>
          <cell r="J22" t="str">
            <v>Less: Interest payments</v>
          </cell>
          <cell r="K22">
            <v>-1655.0562199999999</v>
          </cell>
          <cell r="L22">
            <v>-1942</v>
          </cell>
          <cell r="M22">
            <v>-1977.9668150000002</v>
          </cell>
          <cell r="N22">
            <v>-1774.416815</v>
          </cell>
          <cell r="O22">
            <v>-1545.354315</v>
          </cell>
        </row>
        <row r="23">
          <cell r="J23" t="str">
            <v>Less: Tax paid</v>
          </cell>
          <cell r="K23">
            <v>-500</v>
          </cell>
          <cell r="L23">
            <v>-1326</v>
          </cell>
          <cell r="M23">
            <v>-2292.241268562635</v>
          </cell>
          <cell r="N23">
            <v>-2261.9940939845351</v>
          </cell>
          <cell r="O23">
            <v>-2087.7685573992003</v>
          </cell>
        </row>
        <row r="24">
          <cell r="J24" t="str">
            <v>Less: Change in WC</v>
          </cell>
          <cell r="K24">
            <v>-250</v>
          </cell>
          <cell r="L24">
            <v>1335</v>
          </cell>
          <cell r="M24">
            <v>0</v>
          </cell>
          <cell r="N24">
            <v>0</v>
          </cell>
          <cell r="O24">
            <v>0</v>
          </cell>
        </row>
        <row r="25">
          <cell r="J25" t="str">
            <v>Less: Provisions</v>
          </cell>
          <cell r="K25">
            <v>540</v>
          </cell>
          <cell r="L25">
            <v>0</v>
          </cell>
          <cell r="M25">
            <v>-404</v>
          </cell>
          <cell r="N25">
            <v>-404</v>
          </cell>
          <cell r="O25">
            <v>-304</v>
          </cell>
        </row>
        <row r="26">
          <cell r="J26" t="str">
            <v>Less: Minority divs (net)</v>
          </cell>
          <cell r="K26">
            <v>-135.5724326498987</v>
          </cell>
          <cell r="L26">
            <v>-1042</v>
          </cell>
          <cell r="M26">
            <v>-985.2173773447804</v>
          </cell>
          <cell r="N26">
            <v>43.075625000000002</v>
          </cell>
          <cell r="O26">
            <v>44.152515624999992</v>
          </cell>
        </row>
        <row r="27">
          <cell r="J27" t="str">
            <v>Less: Other</v>
          </cell>
          <cell r="K27">
            <v>-892.94377999999983</v>
          </cell>
          <cell r="L27">
            <v>-10.006347518200073</v>
          </cell>
          <cell r="M27">
            <v>19.006347518198254</v>
          </cell>
          <cell r="N27">
            <v>19.000000000001819</v>
          </cell>
          <cell r="O27">
            <v>19.000000000000909</v>
          </cell>
        </row>
        <row r="28">
          <cell r="J28" t="str">
            <v>Sub total</v>
          </cell>
          <cell r="K28">
            <v>5780.4275673501015</v>
          </cell>
          <cell r="L28">
            <v>5525.9936524818004</v>
          </cell>
          <cell r="M28">
            <v>4357.083912850454</v>
          </cell>
          <cell r="N28">
            <v>6160.2665685457896</v>
          </cell>
          <cell r="O28">
            <v>6768.6936895596045</v>
          </cell>
        </row>
        <row r="29">
          <cell r="J29" t="str">
            <v>Plus: Asset sales</v>
          </cell>
          <cell r="K29">
            <v>-4854</v>
          </cell>
          <cell r="L29">
            <v>33</v>
          </cell>
          <cell r="M29">
            <v>-13662</v>
          </cell>
          <cell r="N29">
            <v>-200</v>
          </cell>
          <cell r="O29">
            <v>-200</v>
          </cell>
        </row>
        <row r="30">
          <cell r="J30" t="str">
            <v>Less: Dividends</v>
          </cell>
          <cell r="K30">
            <v>-873.4275673501013</v>
          </cell>
          <cell r="L30">
            <v>-1737.9936524817999</v>
          </cell>
          <cell r="M30">
            <v>-1821.6251636033999</v>
          </cell>
          <cell r="N30">
            <v>-2072.0314636034</v>
          </cell>
          <cell r="O30">
            <v>-2183.2331901956204</v>
          </cell>
        </row>
        <row r="31">
          <cell r="J31" t="str">
            <v>Chg in Net debt/Cash</v>
          </cell>
          <cell r="K31">
            <v>53.000000000000227</v>
          </cell>
          <cell r="L31">
            <v>3821</v>
          </cell>
          <cell r="M31">
            <v>-11126.541250752945</v>
          </cell>
          <cell r="N31">
            <v>3888.2351049423896</v>
          </cell>
          <cell r="O31">
            <v>4385.4604993639841</v>
          </cell>
        </row>
        <row r="32">
          <cell r="J32" t="str">
            <v>Net debt (Cash)</v>
          </cell>
          <cell r="K32">
            <v>33346</v>
          </cell>
          <cell r="L32">
            <v>29525</v>
          </cell>
          <cell r="M32">
            <v>40651.541250752947</v>
          </cell>
          <cell r="N32">
            <v>36763.306145810559</v>
          </cell>
          <cell r="O32">
            <v>32377.845646446574</v>
          </cell>
        </row>
        <row r="33">
          <cell r="P33" t="str">
            <v>CAGR</v>
          </cell>
        </row>
        <row r="34">
          <cell r="I34" t="str">
            <v>DIVISIONAL (€m)</v>
          </cell>
          <cell r="K34" t="str">
            <v>2003A</v>
          </cell>
          <cell r="L34" t="str">
            <v>2004A</v>
          </cell>
          <cell r="M34" t="str">
            <v>2005E</v>
          </cell>
          <cell r="N34" t="str">
            <v>2006E</v>
          </cell>
          <cell r="O34" t="str">
            <v>2007E</v>
          </cell>
          <cell r="P34" t="str">
            <v>04E-07E</v>
          </cell>
        </row>
        <row r="36">
          <cell r="I36" t="str">
            <v>Revenues</v>
          </cell>
        </row>
        <row r="37">
          <cell r="I37" t="str">
            <v>TIM</v>
          </cell>
          <cell r="K37">
            <v>11781.969087165</v>
          </cell>
          <cell r="L37">
            <v>12900</v>
          </cell>
          <cell r="M37">
            <v>13791.437689037783</v>
          </cell>
          <cell r="N37">
            <v>14421.830364955096</v>
          </cell>
          <cell r="O37">
            <v>14837.689302919685</v>
          </cell>
          <cell r="P37">
            <v>4.7752858066267834E-2</v>
          </cell>
        </row>
        <row r="38">
          <cell r="G38" t="str">
            <v>CAGR</v>
          </cell>
          <cell r="I38" t="str">
            <v xml:space="preserve">South America </v>
          </cell>
          <cell r="K38">
            <v>1126</v>
          </cell>
          <cell r="L38">
            <v>1076</v>
          </cell>
          <cell r="M38">
            <v>1054.48</v>
          </cell>
          <cell r="N38">
            <v>1033.3904</v>
          </cell>
          <cell r="O38">
            <v>1012.722592</v>
          </cell>
          <cell r="P38">
            <v>-2.0000000000000018E-2</v>
          </cell>
        </row>
        <row r="39">
          <cell r="B39" t="str">
            <v>MULTIPLES &amp; RATIOS</v>
          </cell>
          <cell r="C39" t="str">
            <v>2004A</v>
          </cell>
          <cell r="D39" t="str">
            <v>2005E</v>
          </cell>
          <cell r="E39" t="str">
            <v>2006E</v>
          </cell>
          <cell r="F39" t="str">
            <v>2007E</v>
          </cell>
          <cell r="G39" t="str">
            <v>04E-07E</v>
          </cell>
          <cell r="I39" t="str">
            <v>IT services</v>
          </cell>
          <cell r="K39">
            <v>1991</v>
          </cell>
          <cell r="L39">
            <v>1694</v>
          </cell>
          <cell r="M39">
            <v>1725.52</v>
          </cell>
          <cell r="N39">
            <v>1757.7926</v>
          </cell>
          <cell r="O39">
            <v>1790.838448</v>
          </cell>
          <cell r="P39">
            <v>1.8703194246461718E-2</v>
          </cell>
        </row>
        <row r="40">
          <cell r="I40" t="str">
            <v xml:space="preserve">Internet and Media </v>
          </cell>
          <cell r="K40">
            <v>1297</v>
          </cell>
          <cell r="L40">
            <v>597</v>
          </cell>
          <cell r="M40">
            <v>644.76</v>
          </cell>
          <cell r="N40">
            <v>696.34080000000006</v>
          </cell>
          <cell r="O40">
            <v>738.12124800000015</v>
          </cell>
          <cell r="P40">
            <v>7.329175239386454E-2</v>
          </cell>
        </row>
        <row r="41">
          <cell r="B41" t="str">
            <v>EV/Revenue</v>
          </cell>
          <cell r="C41">
            <v>2.9417879265383071</v>
          </cell>
          <cell r="D41">
            <v>2.7928143999948207</v>
          </cell>
          <cell r="E41">
            <v>2.5666482142424756</v>
          </cell>
          <cell r="F41">
            <v>2.3656641400813743</v>
          </cell>
          <cell r="G41">
            <v>2.3484767501466886E-2</v>
          </cell>
          <cell r="I41" t="str">
            <v>Other (inc Olivetti)</v>
          </cell>
          <cell r="K41">
            <v>-2561.969087165</v>
          </cell>
          <cell r="L41">
            <v>-2601</v>
          </cell>
          <cell r="M41">
            <v>-2586.3717959672194</v>
          </cell>
          <cell r="N41">
            <v>-2664.4884908751483</v>
          </cell>
          <cell r="O41">
            <v>-2704.6494088228446</v>
          </cell>
          <cell r="P41">
            <v>1.3110636805917286E-2</v>
          </cell>
        </row>
        <row r="42">
          <cell r="B42" t="str">
            <v>EV/EBITDA</v>
          </cell>
          <cell r="C42">
            <v>6.6367636473549831</v>
          </cell>
          <cell r="D42">
            <v>6.0661272512725866</v>
          </cell>
          <cell r="E42">
            <v>5.5780971411624494</v>
          </cell>
          <cell r="F42">
            <v>5.1757256036169919</v>
          </cell>
          <cell r="G42">
            <v>3.4007434193628061E-2</v>
          </cell>
          <cell r="I42" t="str">
            <v>Domestic fixed</v>
          </cell>
          <cell r="K42">
            <v>17216</v>
          </cell>
          <cell r="L42">
            <v>17571</v>
          </cell>
          <cell r="M42">
            <v>17753.998571405322</v>
          </cell>
          <cell r="N42">
            <v>17873.493534074645</v>
          </cell>
          <cell r="O42">
            <v>17815.148298532811</v>
          </cell>
          <cell r="P42">
            <v>4.6103643808348416E-3</v>
          </cell>
        </row>
        <row r="43">
          <cell r="B43" t="str">
            <v>EV/OpFCF</v>
          </cell>
          <cell r="C43">
            <v>10.796925092383633</v>
          </cell>
          <cell r="D43">
            <v>9.0464600064552805</v>
          </cell>
          <cell r="E43">
            <v>8.0658875541295405</v>
          </cell>
          <cell r="F43">
            <v>7.4441686129599409</v>
          </cell>
          <cell r="G43">
            <v>7.7349433266995726E-2</v>
          </cell>
          <cell r="I43" t="str">
            <v>Total</v>
          </cell>
          <cell r="K43">
            <v>30850</v>
          </cell>
          <cell r="L43">
            <v>31237</v>
          </cell>
          <cell r="M43">
            <v>32383.824464475885</v>
          </cell>
          <cell r="N43">
            <v>33118.359208154594</v>
          </cell>
          <cell r="O43">
            <v>33489.870480629652</v>
          </cell>
          <cell r="P43">
            <v>2.3484767501466886E-2</v>
          </cell>
        </row>
        <row r="44">
          <cell r="B44" t="str">
            <v>EV/FCF</v>
          </cell>
          <cell r="C44">
            <v>17.994875153972721</v>
          </cell>
          <cell r="D44">
            <v>15.077433344092135</v>
          </cell>
          <cell r="E44">
            <v>13.443145923549235</v>
          </cell>
          <cell r="F44">
            <v>12.406947688266568</v>
          </cell>
          <cell r="G44">
            <v>7.7349433266995726E-2</v>
          </cell>
          <cell r="I44" t="str">
            <v>% change</v>
          </cell>
          <cell r="L44">
            <v>1.2544570502431185E-2</v>
          </cell>
          <cell r="M44">
            <v>3.6713655744017748E-2</v>
          </cell>
          <cell r="N44">
            <v>2.268214937011126E-2</v>
          </cell>
          <cell r="O44">
            <v>1.1217683525323485E-2</v>
          </cell>
        </row>
        <row r="45">
          <cell r="B45" t="str">
            <v>EV/Invested capital</v>
          </cell>
          <cell r="C45">
            <v>1.8607017707536297</v>
          </cell>
          <cell r="D45">
            <v>1.3572800809284364</v>
          </cell>
          <cell r="E45">
            <v>1.3330619183921566</v>
          </cell>
          <cell r="F45">
            <v>1.3077349050078126</v>
          </cell>
          <cell r="G45">
            <v>7.048596329424317E-2</v>
          </cell>
        </row>
        <row r="46">
          <cell r="B46" t="str">
            <v>EV/NFA</v>
          </cell>
          <cell r="C46">
            <v>3.8745469267309147</v>
          </cell>
          <cell r="D46">
            <v>4.1375622175907578</v>
          </cell>
          <cell r="E46">
            <v>4.2949575519494312</v>
          </cell>
          <cell r="F46">
            <v>4.4314857266361987</v>
          </cell>
          <cell r="G46">
            <v>-8.9906913227962293E-2</v>
          </cell>
          <cell r="I46" t="str">
            <v>EBITDA</v>
          </cell>
        </row>
        <row r="47">
          <cell r="B47" t="str">
            <v>P/EFCF</v>
          </cell>
          <cell r="C47">
            <v>12.054907034092622</v>
          </cell>
          <cell r="D47">
            <v>10.361029115011615</v>
          </cell>
          <cell r="E47">
            <v>9.4527589790779043</v>
          </cell>
          <cell r="F47">
            <v>9.3666532271009082</v>
          </cell>
          <cell r="G47">
            <v>0.14881019351794378</v>
          </cell>
          <cell r="I47" t="str">
            <v>TIM</v>
          </cell>
          <cell r="K47">
            <v>5501.6489693886469</v>
          </cell>
          <cell r="L47">
            <v>6052.3019520227817</v>
          </cell>
          <cell r="M47">
            <v>6443.3058054476141</v>
          </cell>
          <cell r="N47">
            <v>6617.7767855490301</v>
          </cell>
          <cell r="O47">
            <v>6613.0172509137528</v>
          </cell>
          <cell r="P47">
            <v>2.9974223881697792E-2</v>
          </cell>
        </row>
        <row r="48">
          <cell r="B48" t="str">
            <v>Adjusted P/E</v>
          </cell>
          <cell r="C48">
            <v>13.083637657091153</v>
          </cell>
          <cell r="D48">
            <v>12.834388234913309</v>
          </cell>
          <cell r="E48">
            <v>10.574174188851961</v>
          </cell>
          <cell r="F48">
            <v>10.043657603802536</v>
          </cell>
          <cell r="G48">
            <v>0.14365883919731504</v>
          </cell>
          <cell r="I48" t="str">
            <v xml:space="preserve">South America </v>
          </cell>
          <cell r="K48">
            <v>380.0560224089636</v>
          </cell>
          <cell r="L48">
            <v>376.6</v>
          </cell>
          <cell r="M48">
            <v>369.06799999999998</v>
          </cell>
          <cell r="N48">
            <v>361.68663999999995</v>
          </cell>
          <cell r="O48">
            <v>354.45290719999997</v>
          </cell>
          <cell r="P48">
            <v>-2.0000000000000018E-2</v>
          </cell>
        </row>
        <row r="49">
          <cell r="B49" t="str">
            <v>Dividend yield</v>
          </cell>
          <cell r="C49">
            <v>3.5834767641996557E-2</v>
          </cell>
          <cell r="D49">
            <v>3.7624784853700514E-2</v>
          </cell>
          <cell r="E49">
            <v>3.7624784853700514E-2</v>
          </cell>
          <cell r="F49">
            <v>3.9506024096385546E-2</v>
          </cell>
          <cell r="G49">
            <v>3.3045801934706187E-2</v>
          </cell>
          <cell r="I49" t="str">
            <v>IT services</v>
          </cell>
          <cell r="K49">
            <v>171.02521008403363</v>
          </cell>
          <cell r="L49">
            <v>141</v>
          </cell>
          <cell r="M49">
            <v>165.04329999999999</v>
          </cell>
          <cell r="N49">
            <v>175.77926000000002</v>
          </cell>
          <cell r="O49">
            <v>179.08384480000001</v>
          </cell>
          <cell r="P49">
            <v>8.2960041084666258E-2</v>
          </cell>
        </row>
        <row r="50">
          <cell r="B50" t="str">
            <v>EFCF yield</v>
          </cell>
          <cell r="C50">
            <v>8.295377120469602E-2</v>
          </cell>
          <cell r="D50">
            <v>9.6515509115899151E-2</v>
          </cell>
          <cell r="E50">
            <v>0.10578922007990813</v>
          </cell>
          <cell r="F50">
            <v>0.1067617190211185</v>
          </cell>
          <cell r="G50">
            <v>0.14881019351794378</v>
          </cell>
          <cell r="I50" t="str">
            <v xml:space="preserve">Internet and Media </v>
          </cell>
          <cell r="K50">
            <v>305.63820280112049</v>
          </cell>
          <cell r="L50">
            <v>24</v>
          </cell>
          <cell r="M50">
            <v>38.685600000000001</v>
          </cell>
          <cell r="N50">
            <v>55.707264000000009</v>
          </cell>
          <cell r="O50">
            <v>73.812124800000021</v>
          </cell>
          <cell r="P50">
            <v>0.45424916090799838</v>
          </cell>
        </row>
        <row r="51">
          <cell r="B51" t="str">
            <v>Net debt/EBITDA</v>
          </cell>
          <cell r="C51">
            <v>2.1323848042756031</v>
          </cell>
          <cell r="D51">
            <v>2.7265804758940049</v>
          </cell>
          <cell r="E51">
            <v>2.4124897314899885</v>
          </cell>
          <cell r="F51">
            <v>2.1152058426832645</v>
          </cell>
          <cell r="G51">
            <v>-2.6926506020900076E-3</v>
          </cell>
          <cell r="I51" t="str">
            <v>Other (inc Olivetti)</v>
          </cell>
          <cell r="K51">
            <v>-533.16605776037431</v>
          </cell>
          <cell r="L51">
            <v>-315.97739411764906</v>
          </cell>
          <cell r="M51">
            <v>-270.80085000000145</v>
          </cell>
          <cell r="N51">
            <v>-229.93534149999959</v>
          </cell>
          <cell r="O51">
            <v>-234.06848808499853</v>
          </cell>
          <cell r="P51">
            <v>-9.5179748608212211E-2</v>
          </cell>
        </row>
        <row r="52">
          <cell r="B52" t="str">
            <v>OpFCF/Net interest</v>
          </cell>
          <cell r="C52">
            <v>5.9598911301344284</v>
          </cell>
          <cell r="D52">
            <v>5.0544341545182441</v>
          </cell>
          <cell r="E52">
            <v>5.9391918310525718</v>
          </cell>
          <cell r="F52">
            <v>6.8868763254036045</v>
          </cell>
          <cell r="G52">
            <v>4.9368409249608058E-2</v>
          </cell>
          <cell r="I52" t="str">
            <v>Domestic fixed</v>
          </cell>
          <cell r="K52">
            <v>7843.4061624649858</v>
          </cell>
          <cell r="L52">
            <v>8014.4061624649858</v>
          </cell>
          <cell r="M52">
            <v>8164.0476430020572</v>
          </cell>
          <cell r="N52">
            <v>8257.7263763965329</v>
          </cell>
          <cell r="O52">
            <v>8320.8866509428681</v>
          </cell>
          <cell r="P52">
            <v>1.2587944586775812E-2</v>
          </cell>
        </row>
        <row r="53">
          <cell r="I53" t="str">
            <v>Total</v>
          </cell>
          <cell r="K53">
            <v>13668.608509387375</v>
          </cell>
          <cell r="L53">
            <v>14292.330720370119</v>
          </cell>
          <cell r="M53">
            <v>14909.34949844967</v>
          </cell>
          <cell r="N53">
            <v>15238.740984445563</v>
          </cell>
          <cell r="O53">
            <v>15307.184290571622</v>
          </cell>
          <cell r="P53">
            <v>2.3129840107777078E-2</v>
          </cell>
        </row>
        <row r="54">
          <cell r="B54" t="str">
            <v>BREAKDOWN OF VALUE</v>
          </cell>
          <cell r="D54" t="str">
            <v>RELATIVE VALUATION (2005)</v>
          </cell>
          <cell r="I54" t="str">
            <v>% change</v>
          </cell>
          <cell r="L54">
            <v>4.5631726927754412E-2</v>
          </cell>
          <cell r="M54">
            <v>4.3171319650485485E-2</v>
          </cell>
          <cell r="N54">
            <v>2.2092948188661365E-2</v>
          </cell>
          <cell r="O54">
            <v>4.4914016319275163E-3</v>
          </cell>
        </row>
        <row r="55">
          <cell r="I55" t="str">
            <v>EBITDA margin</v>
          </cell>
          <cell r="K55">
            <v>0.4430667263982942</v>
          </cell>
          <cell r="L55">
            <v>0.45754492173928735</v>
          </cell>
          <cell r="M55">
            <v>0.46039495782237805</v>
          </cell>
          <cell r="N55">
            <v>0.46012970898308853</v>
          </cell>
          <cell r="O55">
            <v>0.45706908002003799</v>
          </cell>
        </row>
        <row r="57">
          <cell r="I57" t="str">
            <v>Capex</v>
          </cell>
        </row>
        <row r="58">
          <cell r="I58" t="str">
            <v>TIM</v>
          </cell>
          <cell r="K58">
            <v>1951</v>
          </cell>
          <cell r="L58">
            <v>1846</v>
          </cell>
          <cell r="M58">
            <v>2170.431</v>
          </cell>
          <cell r="N58">
            <v>2054.97669</v>
          </cell>
          <cell r="O58">
            <v>2043.8265668365225</v>
          </cell>
          <cell r="P58">
            <v>3.4516561845208571E-2</v>
          </cell>
        </row>
        <row r="59">
          <cell r="I59" t="str">
            <v xml:space="preserve">South America </v>
          </cell>
          <cell r="K59">
            <v>157.63999999999999</v>
          </cell>
          <cell r="L59">
            <v>157</v>
          </cell>
          <cell r="M59">
            <v>147.62720000000002</v>
          </cell>
          <cell r="N59">
            <v>144.67465600000003</v>
          </cell>
          <cell r="O59">
            <v>141.78116288000001</v>
          </cell>
          <cell r="P59">
            <v>-3.3415943690153771E-2</v>
          </cell>
        </row>
        <row r="60">
          <cell r="I60" t="str">
            <v>IT services</v>
          </cell>
          <cell r="K60">
            <v>189.64</v>
          </cell>
          <cell r="L60">
            <v>205</v>
          </cell>
          <cell r="M60">
            <v>158.97710000000001</v>
          </cell>
          <cell r="N60">
            <v>161.01739300000003</v>
          </cell>
          <cell r="O60">
            <v>163.09160459</v>
          </cell>
          <cell r="P60">
            <v>-7.3399390556813104E-2</v>
          </cell>
        </row>
        <row r="61">
          <cell r="I61" t="str">
            <v xml:space="preserve">Internet and Media </v>
          </cell>
          <cell r="K61">
            <v>47.6</v>
          </cell>
          <cell r="L61">
            <v>47.76</v>
          </cell>
          <cell r="M61">
            <v>51.580800000000004</v>
          </cell>
          <cell r="N61">
            <v>55.707264000000009</v>
          </cell>
          <cell r="O61">
            <v>59.049699840000017</v>
          </cell>
          <cell r="P61">
            <v>7.329175239386454E-2</v>
          </cell>
        </row>
        <row r="62">
          <cell r="I62" t="str">
            <v>Other (inc Olivetti)</v>
          </cell>
          <cell r="K62">
            <v>246.12</v>
          </cell>
          <cell r="L62">
            <v>175</v>
          </cell>
          <cell r="M62">
            <v>175</v>
          </cell>
          <cell r="N62">
            <v>175</v>
          </cell>
          <cell r="O62">
            <v>175</v>
          </cell>
          <cell r="P62">
            <v>0</v>
          </cell>
        </row>
        <row r="63">
          <cell r="I63" t="str">
            <v>Domestic fixed</v>
          </cell>
          <cell r="K63">
            <v>2302</v>
          </cell>
          <cell r="L63">
            <v>2274.5802749999998</v>
          </cell>
          <cell r="M63">
            <v>2208.23037221</v>
          </cell>
          <cell r="N63">
            <v>2108.76312891524</v>
          </cell>
          <cell r="O63">
            <v>2081.7712100912963</v>
          </cell>
          <cell r="P63">
            <v>-2.9093869843961562E-2</v>
          </cell>
        </row>
        <row r="64">
          <cell r="I64" t="str">
            <v>Total</v>
          </cell>
          <cell r="K64">
            <v>4894</v>
          </cell>
          <cell r="L64">
            <v>4705.3402750000005</v>
          </cell>
          <cell r="M64">
            <v>4911.8464722099998</v>
          </cell>
          <cell r="N64">
            <v>4700.1391319152399</v>
          </cell>
          <cell r="O64">
            <v>4664.5202442378186</v>
          </cell>
          <cell r="P64">
            <v>-2.900154717497716E-3</v>
          </cell>
        </row>
        <row r="65">
          <cell r="I65" t="str">
            <v>% change</v>
          </cell>
          <cell r="L65">
            <v>-3.8549187780956173E-2</v>
          </cell>
          <cell r="M65">
            <v>4.3887622390922365E-2</v>
          </cell>
          <cell r="N65">
            <v>-4.3101375723477386E-2</v>
          </cell>
          <cell r="O65">
            <v>-7.5782624040976465E-3</v>
          </cell>
        </row>
        <row r="66">
          <cell r="I66" t="str">
            <v>Capex/sales</v>
          </cell>
          <cell r="K66">
            <v>0.15863857374392221</v>
          </cell>
          <cell r="L66">
            <v>0.15063355235778086</v>
          </cell>
          <cell r="M66">
            <v>0.15167592319425252</v>
          </cell>
          <cell r="N66">
            <v>0.14191944420839378</v>
          </cell>
          <cell r="O66">
            <v>0.13928152534766447</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TITIM 6.575 7/30/2009</v>
          </cell>
          <cell r="D71" t="str">
            <v>Baa2</v>
          </cell>
          <cell r="E71" t="str">
            <v>STABLE</v>
          </cell>
          <cell r="F71" t="str">
            <v>BBB+</v>
          </cell>
          <cell r="G71" t="str">
            <v>N/A</v>
          </cell>
        </row>
        <row r="72">
          <cell r="B72" t="str">
            <v xml:space="preserve"> TITIM 6.875 1/24/2013</v>
          </cell>
          <cell r="D72" t="str">
            <v>Baa2</v>
          </cell>
          <cell r="E72" t="str">
            <v>STABLE</v>
          </cell>
          <cell r="F72" t="str">
            <v>BBB+</v>
          </cell>
          <cell r="G72" t="str">
            <v>N/A</v>
          </cell>
        </row>
        <row r="73">
          <cell r="B73" t="str">
            <v xml:space="preserve"> TITIM 7.75 1/24/2033</v>
          </cell>
          <cell r="D73" t="str">
            <v>Baa2</v>
          </cell>
          <cell r="E73" t="str">
            <v>STABLE</v>
          </cell>
          <cell r="F73" t="str">
            <v>BBB+</v>
          </cell>
          <cell r="G73" t="str">
            <v>N/A</v>
          </cell>
        </row>
        <row r="74">
          <cell r="B74" t="str">
            <v xml:space="preserve"> TITIM 6.25 2/1/2012</v>
          </cell>
          <cell r="D74" t="str">
            <v>Baa2</v>
          </cell>
          <cell r="E74" t="str">
            <v>STABLE</v>
          </cell>
          <cell r="F74" t="str">
            <v>BBB+</v>
          </cell>
          <cell r="G74" t="str">
            <v>STABLE</v>
          </cell>
        </row>
        <row r="75">
          <cell r="E75" t="str">
            <v>Issue size</v>
          </cell>
          <cell r="F75" t="str">
            <v>Yld to mat</v>
          </cell>
          <cell r="G75" t="str">
            <v xml:space="preserve">Price </v>
          </cell>
        </row>
        <row r="76">
          <cell r="B76" t="str">
            <v xml:space="preserve"> TITIM 6.575 7/30/2009</v>
          </cell>
          <cell r="E76" t="str">
            <v>€2350</v>
          </cell>
          <cell r="F76">
            <v>3.4599999999999999E-2</v>
          </cell>
          <cell r="G76">
            <v>112.38</v>
          </cell>
        </row>
        <row r="77">
          <cell r="B77" t="str">
            <v xml:space="preserve"> TITIM 6.875 1/24/2013</v>
          </cell>
          <cell r="E77" t="str">
            <v>€850</v>
          </cell>
          <cell r="F77">
            <v>0.04</v>
          </cell>
          <cell r="G77">
            <v>118.86</v>
          </cell>
        </row>
        <row r="78">
          <cell r="B78" t="str">
            <v xml:space="preserve"> TITIM 7.75 1/24/2033</v>
          </cell>
          <cell r="E78" t="str">
            <v>€800</v>
          </cell>
          <cell r="F78">
            <v>4.9599999999999998E-2</v>
          </cell>
          <cell r="G78">
            <v>140.5</v>
          </cell>
        </row>
        <row r="79">
          <cell r="B79" t="str">
            <v xml:space="preserve"> TITIM 6.25 2/1/2012</v>
          </cell>
          <cell r="E79" t="str">
            <v>€1250</v>
          </cell>
          <cell r="F79">
            <v>3.85E-2</v>
          </cell>
          <cell r="G79">
            <v>114.11</v>
          </cell>
        </row>
        <row r="80">
          <cell r="E80" t="str">
            <v>OAS 12m chg</v>
          </cell>
          <cell r="F80" t="str">
            <v>12m tot ret</v>
          </cell>
          <cell r="G80" t="str">
            <v xml:space="preserve">OAS </v>
          </cell>
        </row>
        <row r="81">
          <cell r="B81" t="str">
            <v xml:space="preserve"> TITIM 6.575 7/30/2009</v>
          </cell>
          <cell r="E81">
            <v>-56</v>
          </cell>
          <cell r="F81">
            <v>8.4239999999999995E-2</v>
          </cell>
          <cell r="G81">
            <v>53</v>
          </cell>
        </row>
        <row r="82">
          <cell r="B82" t="str">
            <v xml:space="preserve"> TITIM 6.875 1/24/2013</v>
          </cell>
          <cell r="E82">
            <v>-40</v>
          </cell>
          <cell r="F82">
            <v>0.10714</v>
          </cell>
          <cell r="G82">
            <v>58</v>
          </cell>
        </row>
        <row r="83">
          <cell r="B83" t="str">
            <v xml:space="preserve"> TITIM 7.75 1/24/2033</v>
          </cell>
          <cell r="E83">
            <v>-42</v>
          </cell>
          <cell r="F83">
            <v>88</v>
          </cell>
          <cell r="G83">
            <v>0.21</v>
          </cell>
        </row>
        <row r="84">
          <cell r="B84" t="str">
            <v xml:space="preserve"> TITIM 6.25 2/1/2012</v>
          </cell>
          <cell r="E84">
            <v>-41</v>
          </cell>
          <cell r="F84">
            <v>54</v>
          </cell>
          <cell r="G84">
            <v>0.10093000000000001</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37" refreshError="1">
        <row r="6">
          <cell r="S6" t="str">
            <v xml:space="preserve"> Telefonica (Neutral) TP: €14.5  (+2.7%)</v>
          </cell>
        </row>
        <row r="8">
          <cell r="G8" t="str">
            <v>CAGR</v>
          </cell>
          <cell r="P8" t="str">
            <v>CAGR</v>
          </cell>
        </row>
        <row r="9">
          <cell r="B9" t="str">
            <v>EV CALCULATION (€m)</v>
          </cell>
          <cell r="C9" t="str">
            <v>2004A</v>
          </cell>
          <cell r="D9" t="str">
            <v>2005E</v>
          </cell>
          <cell r="E9" t="str">
            <v>2006E</v>
          </cell>
          <cell r="F9" t="str">
            <v>2007E</v>
          </cell>
          <cell r="G9" t="str">
            <v>04E-07E</v>
          </cell>
          <cell r="I9" t="str">
            <v>FINANCIALS (€m)</v>
          </cell>
          <cell r="K9" t="str">
            <v>2003A</v>
          </cell>
          <cell r="L9" t="str">
            <v>2004A</v>
          </cell>
          <cell r="M9" t="str">
            <v>2005E</v>
          </cell>
          <cell r="N9" t="str">
            <v>2006E</v>
          </cell>
          <cell r="O9" t="str">
            <v>2007E</v>
          </cell>
          <cell r="P9" t="str">
            <v>04E-07E</v>
          </cell>
        </row>
        <row r="11">
          <cell r="B11" t="str">
            <v>Share price, €</v>
          </cell>
          <cell r="C11">
            <v>14.12</v>
          </cell>
          <cell r="I11" t="str">
            <v>Revenue</v>
          </cell>
          <cell r="K11">
            <v>28399.8</v>
          </cell>
          <cell r="L11">
            <v>30323.363900000004</v>
          </cell>
          <cell r="M11">
            <v>34663.457954123667</v>
          </cell>
          <cell r="N11">
            <v>35984.540629908173</v>
          </cell>
          <cell r="O11">
            <v>37182.756094166347</v>
          </cell>
          <cell r="P11">
            <v>7.0339122940753063E-2</v>
          </cell>
        </row>
        <row r="12">
          <cell r="B12" t="str">
            <v>Number of shares</v>
          </cell>
          <cell r="C12">
            <v>4792.9483333333328</v>
          </cell>
          <cell r="D12">
            <v>4709.6149999999998</v>
          </cell>
          <cell r="E12">
            <v>4709.6149999999998</v>
          </cell>
          <cell r="F12">
            <v>4709.6149999999998</v>
          </cell>
          <cell r="I12" t="str">
            <v>EBITDA</v>
          </cell>
          <cell r="K12">
            <v>12602.1</v>
          </cell>
          <cell r="L12">
            <v>13215.6</v>
          </cell>
          <cell r="M12">
            <v>15102.887301776129</v>
          </cell>
          <cell r="N12">
            <v>15889.648597478552</v>
          </cell>
          <cell r="O12">
            <v>16351.608746560181</v>
          </cell>
          <cell r="P12">
            <v>7.3555580756607064E-2</v>
          </cell>
        </row>
        <row r="13">
          <cell r="B13" t="str">
            <v>Market cap.</v>
          </cell>
          <cell r="C13">
            <v>67676.430466666658</v>
          </cell>
          <cell r="D13">
            <v>66499.763799999986</v>
          </cell>
          <cell r="E13">
            <v>66499.763799999986</v>
          </cell>
          <cell r="F13">
            <v>66499.763799999986</v>
          </cell>
          <cell r="I13" t="str">
            <v>Capex</v>
          </cell>
          <cell r="K13">
            <v>3724.5</v>
          </cell>
          <cell r="L13">
            <v>3772.0403919801761</v>
          </cell>
          <cell r="M13">
            <v>4118.5866334117891</v>
          </cell>
          <cell r="N13">
            <v>4010.1741227025586</v>
          </cell>
          <cell r="O13">
            <v>3943.292086389466</v>
          </cell>
          <cell r="P13">
            <v>1.4910013677063461E-2</v>
          </cell>
        </row>
        <row r="14">
          <cell r="B14" t="str">
            <v>Plus: Net debt (Cash)</v>
          </cell>
          <cell r="C14">
            <v>22982.2</v>
          </cell>
          <cell r="D14">
            <v>20074.57560409552</v>
          </cell>
          <cell r="E14">
            <v>14198.002112823826</v>
          </cell>
          <cell r="F14">
            <v>8335.5757625948463</v>
          </cell>
          <cell r="I14" t="str">
            <v>OpFCF (EBITDA - capex)</v>
          </cell>
          <cell r="K14">
            <v>8877.6</v>
          </cell>
          <cell r="L14">
            <v>9443.5596080198247</v>
          </cell>
          <cell r="M14">
            <v>10984.30066836434</v>
          </cell>
          <cell r="N14">
            <v>11879.474474775994</v>
          </cell>
          <cell r="O14">
            <v>12408.316660170716</v>
          </cell>
          <cell r="P14">
            <v>9.5281403770771211E-2</v>
          </cell>
        </row>
        <row r="15">
          <cell r="B15" t="str">
            <v>Plus: Other financial liabilities</v>
          </cell>
          <cell r="C15">
            <v>5478.9068178865464</v>
          </cell>
          <cell r="D15">
            <v>4951.2144451386048</v>
          </cell>
          <cell r="E15">
            <v>4449.5670852983094</v>
          </cell>
          <cell r="F15">
            <v>3953.5863508491902</v>
          </cell>
          <cell r="I15" t="str">
            <v>FCF (OpFCF * (1-tax rate))</v>
          </cell>
          <cell r="K15">
            <v>5770.44</v>
          </cell>
          <cell r="L15">
            <v>6138.3137452128867</v>
          </cell>
          <cell r="M15">
            <v>7139.7954344368209</v>
          </cell>
          <cell r="N15">
            <v>7721.6584086043968</v>
          </cell>
          <cell r="O15">
            <v>8065.4058291109659</v>
          </cell>
          <cell r="P15">
            <v>9.5281403770771211E-2</v>
          </cell>
        </row>
        <row r="16">
          <cell r="B16" t="str">
            <v>Less: Associates</v>
          </cell>
          <cell r="C16">
            <v>3140.9830715300227</v>
          </cell>
          <cell r="D16">
            <v>3140.9830715300227</v>
          </cell>
          <cell r="E16">
            <v>3140.9830715300227</v>
          </cell>
          <cell r="F16">
            <v>3140.9830715300227</v>
          </cell>
          <cell r="I16" t="str">
            <v>EFCF</v>
          </cell>
          <cell r="K16">
            <v>5432.3450000000012</v>
          </cell>
          <cell r="L16">
            <v>5815.1690436427298</v>
          </cell>
          <cell r="M16">
            <v>6823.3935110637321</v>
          </cell>
          <cell r="N16">
            <v>7397.5774386572848</v>
          </cell>
          <cell r="O16">
            <v>7779.2759086464021</v>
          </cell>
          <cell r="P16">
            <v>0.10185795216388094</v>
          </cell>
        </row>
        <row r="17">
          <cell r="B17" t="str">
            <v>Plus: Minorities</v>
          </cell>
          <cell r="C17">
            <v>6308.7014941735761</v>
          </cell>
          <cell r="D17">
            <v>6308.7014941735761</v>
          </cell>
          <cell r="E17">
            <v>6308.7014941735761</v>
          </cell>
          <cell r="F17">
            <v>6308.7014941735761</v>
          </cell>
          <cell r="I17" t="str">
            <v>Adj net Income</v>
          </cell>
          <cell r="K17">
            <v>2704.3449999999993</v>
          </cell>
          <cell r="L17">
            <v>3495.9850000000001</v>
          </cell>
          <cell r="M17">
            <v>3977.263349671116</v>
          </cell>
          <cell r="N17">
            <v>4970.8095249644284</v>
          </cell>
          <cell r="O17">
            <v>5623.4917085427851</v>
          </cell>
          <cell r="P17">
            <v>0.17168849677012554</v>
          </cell>
        </row>
        <row r="18">
          <cell r="B18" t="str">
            <v>Less: Cumulative dividends</v>
          </cell>
          <cell r="C18">
            <v>0</v>
          </cell>
          <cell r="D18">
            <v>2354.8074999999999</v>
          </cell>
          <cell r="E18">
            <v>4709.6149999999998</v>
          </cell>
          <cell r="F18">
            <v>7182.162875</v>
          </cell>
          <cell r="I18" t="str">
            <v>Clean EPS</v>
          </cell>
          <cell r="K18">
            <v>0.54253839062796216</v>
          </cell>
          <cell r="L18">
            <v>0.71510352442957004</v>
          </cell>
          <cell r="M18">
            <v>0.8370927317515624</v>
          </cell>
          <cell r="N18">
            <v>1.055459846497947</v>
          </cell>
          <cell r="O18">
            <v>1.1940448865868625</v>
          </cell>
          <cell r="P18">
            <v>0.18636204749408125</v>
          </cell>
        </row>
        <row r="19">
          <cell r="B19" t="str">
            <v>Less: NPV YE tax credit</v>
          </cell>
          <cell r="C19">
            <v>5885.3610808431404</v>
          </cell>
          <cell r="D19">
            <v>4372.33635650216</v>
          </cell>
          <cell r="E19">
            <v>2762.2120016073118</v>
          </cell>
          <cell r="F19">
            <v>1441.1026210728237</v>
          </cell>
          <cell r="I19" t="str">
            <v>DPS</v>
          </cell>
          <cell r="K19">
            <v>0.25</v>
          </cell>
          <cell r="L19">
            <v>0.5</v>
          </cell>
          <cell r="M19">
            <v>0.5</v>
          </cell>
          <cell r="N19">
            <v>0.5</v>
          </cell>
          <cell r="O19">
            <v>0.52500000000000002</v>
          </cell>
          <cell r="P19">
            <v>1.6396356814853519E-2</v>
          </cell>
        </row>
        <row r="20">
          <cell r="B20" t="str">
            <v>Enterprise Value</v>
          </cell>
          <cell r="C20">
            <v>89391.609067958474</v>
          </cell>
          <cell r="D20">
            <v>87966.128415375497</v>
          </cell>
          <cell r="E20">
            <v>80843.224419158345</v>
          </cell>
          <cell r="F20">
            <v>73333.378840014746</v>
          </cell>
          <cell r="G20">
            <v>-7.752605708521032E-2</v>
          </cell>
          <cell r="J20" t="str">
            <v>Cash flow</v>
          </cell>
        </row>
        <row r="21">
          <cell r="J21" t="str">
            <v>OpFCF</v>
          </cell>
          <cell r="K21">
            <v>8877.6</v>
          </cell>
          <cell r="L21">
            <v>9443.5596080198247</v>
          </cell>
          <cell r="M21">
            <v>10984.30066836434</v>
          </cell>
          <cell r="N21">
            <v>11879.474474775994</v>
          </cell>
          <cell r="O21">
            <v>12408.316660170716</v>
          </cell>
        </row>
        <row r="22">
          <cell r="B22" t="str">
            <v>PRICE PERFORMANCE, -1Y</v>
          </cell>
          <cell r="J22" t="str">
            <v>Less: Interest payments</v>
          </cell>
          <cell r="K22">
            <v>-1496.9</v>
          </cell>
          <cell r="L22">
            <v>-1152.2</v>
          </cell>
          <cell r="M22">
            <v>-1415.5861340614329</v>
          </cell>
          <cell r="N22">
            <v>-1140.3386657537901</v>
          </cell>
          <cell r="O22">
            <v>-883.00366813128016</v>
          </cell>
        </row>
        <row r="23">
          <cell r="J23" t="str">
            <v>Less: Tax paid</v>
          </cell>
          <cell r="K23">
            <v>-277.7</v>
          </cell>
          <cell r="L23">
            <v>-326</v>
          </cell>
          <cell r="M23">
            <v>-454.66115551860213</v>
          </cell>
          <cell r="N23">
            <v>-1014.7338947652713</v>
          </cell>
          <cell r="O23">
            <v>-1783.3098430930372</v>
          </cell>
        </row>
        <row r="24">
          <cell r="J24" t="str">
            <v>Less: Change in WC</v>
          </cell>
          <cell r="K24">
            <v>-358.8</v>
          </cell>
          <cell r="L24">
            <v>-266.10000000000002</v>
          </cell>
          <cell r="M24">
            <v>-250</v>
          </cell>
          <cell r="N24">
            <v>-100</v>
          </cell>
          <cell r="O24">
            <v>-50</v>
          </cell>
        </row>
        <row r="25">
          <cell r="J25" t="str">
            <v>Less:Provision utilisation</v>
          </cell>
          <cell r="K25">
            <v>-1006.4</v>
          </cell>
          <cell r="L25">
            <v>-956.6</v>
          </cell>
          <cell r="M25">
            <v>-867.80605000000003</v>
          </cell>
          <cell r="N25">
            <v>-804.82257099999993</v>
          </cell>
          <cell r="O25">
            <v>-764.04063042000007</v>
          </cell>
        </row>
        <row r="26">
          <cell r="J26" t="str">
            <v>Less: Minority dividends (net)</v>
          </cell>
          <cell r="K26">
            <v>-241.2</v>
          </cell>
          <cell r="L26">
            <v>-461</v>
          </cell>
          <cell r="M26">
            <v>-283.81543287982652</v>
          </cell>
          <cell r="N26">
            <v>-288.19835198523663</v>
          </cell>
          <cell r="O26">
            <v>-292.98829329741727</v>
          </cell>
        </row>
        <row r="27">
          <cell r="J27" t="str">
            <v>Sub total</v>
          </cell>
          <cell r="K27">
            <v>5496.6000000000013</v>
          </cell>
          <cell r="L27">
            <v>6281.6596080198233</v>
          </cell>
          <cell r="M27">
            <v>7712.4318959044786</v>
          </cell>
          <cell r="N27">
            <v>8531.3809912716952</v>
          </cell>
          <cell r="O27">
            <v>8634.9742252289816</v>
          </cell>
        </row>
        <row r="28">
          <cell r="J28" t="str">
            <v>Less: Disposals/acquis.</v>
          </cell>
          <cell r="K28">
            <v>-518.80000000000109</v>
          </cell>
          <cell r="L28">
            <v>-3332.0854413531579</v>
          </cell>
          <cell r="M28">
            <v>-1450</v>
          </cell>
          <cell r="N28">
            <v>-300.00000000000182</v>
          </cell>
          <cell r="O28">
            <v>-300.00000000000136</v>
          </cell>
        </row>
        <row r="29">
          <cell r="J29" t="str">
            <v>Less: Dividends paid</v>
          </cell>
          <cell r="K29">
            <v>-1233</v>
          </cell>
          <cell r="L29">
            <v>-2396.4741666666664</v>
          </cell>
          <cell r="M29">
            <v>-2354.8074999999999</v>
          </cell>
          <cell r="N29">
            <v>-2354.8074999999999</v>
          </cell>
          <cell r="O29">
            <v>-2472.5478750000002</v>
          </cell>
        </row>
        <row r="30">
          <cell r="J30" t="str">
            <v>Less: Share buyback/Issue</v>
          </cell>
          <cell r="K30">
            <v>-447</v>
          </cell>
          <cell r="L30">
            <v>-2300</v>
          </cell>
          <cell r="M30">
            <v>-1000</v>
          </cell>
          <cell r="N30">
            <v>0</v>
          </cell>
          <cell r="O30">
            <v>0</v>
          </cell>
        </row>
        <row r="31">
          <cell r="J31" t="str">
            <v>Chg in Net debt/Cash</v>
          </cell>
          <cell r="K31">
            <v>3297.8</v>
          </cell>
          <cell r="L31">
            <v>-1746.9</v>
          </cell>
          <cell r="M31">
            <v>2907.6243959044805</v>
          </cell>
          <cell r="N31">
            <v>5876.5734912716935</v>
          </cell>
          <cell r="O31">
            <v>5862.4263502289796</v>
          </cell>
        </row>
        <row r="32">
          <cell r="J32" t="str">
            <v>Net debt (Cash)</v>
          </cell>
          <cell r="K32">
            <v>21235.3</v>
          </cell>
          <cell r="L32">
            <v>22982.2</v>
          </cell>
          <cell r="M32">
            <v>20074.57560409552</v>
          </cell>
          <cell r="N32">
            <v>14198.002112823826</v>
          </cell>
          <cell r="O32">
            <v>8335.5757625948463</v>
          </cell>
        </row>
        <row r="33">
          <cell r="P33" t="str">
            <v>CAGR</v>
          </cell>
        </row>
        <row r="34">
          <cell r="I34" t="str">
            <v>DIVISIONAL (€m)</v>
          </cell>
          <cell r="K34" t="str">
            <v>2003A</v>
          </cell>
          <cell r="L34" t="str">
            <v>2004A</v>
          </cell>
          <cell r="M34" t="str">
            <v>2005E</v>
          </cell>
          <cell r="N34" t="str">
            <v>2006E</v>
          </cell>
          <cell r="O34" t="str">
            <v>2007E</v>
          </cell>
          <cell r="P34" t="str">
            <v>04E-07E</v>
          </cell>
        </row>
        <row r="36">
          <cell r="I36" t="str">
            <v>Revenues</v>
          </cell>
        </row>
        <row r="37">
          <cell r="I37" t="str">
            <v>Mobile (TEM + Chile)</v>
          </cell>
          <cell r="K37">
            <v>10428</v>
          </cell>
          <cell r="L37">
            <v>12054.3</v>
          </cell>
          <cell r="M37">
            <v>15832.321137760209</v>
          </cell>
          <cell r="N37">
            <v>16912.722373841614</v>
          </cell>
          <cell r="O37">
            <v>17992.021701748876</v>
          </cell>
          <cell r="P37">
            <v>0.14282392437473268</v>
          </cell>
        </row>
        <row r="38">
          <cell r="G38" t="str">
            <v>CAGR</v>
          </cell>
          <cell r="I38" t="str">
            <v>Latinoamericana</v>
          </cell>
          <cell r="K38">
            <v>6745</v>
          </cell>
          <cell r="L38">
            <v>6883</v>
          </cell>
          <cell r="M38">
            <v>7354.3599229913107</v>
          </cell>
          <cell r="N38">
            <v>7712.1186591119131</v>
          </cell>
          <cell r="O38">
            <v>7914.7752085015882</v>
          </cell>
          <cell r="P38">
            <v>4.7659780507883109E-2</v>
          </cell>
        </row>
        <row r="39">
          <cell r="B39" t="str">
            <v>MULTIPLES &amp; RATIOS</v>
          </cell>
          <cell r="C39" t="str">
            <v>2004A</v>
          </cell>
          <cell r="D39" t="str">
            <v>2005E</v>
          </cell>
          <cell r="E39" t="str">
            <v>2006E</v>
          </cell>
          <cell r="F39" t="str">
            <v>2007E</v>
          </cell>
          <cell r="G39" t="str">
            <v>04E-07E</v>
          </cell>
          <cell r="I39" t="str">
            <v>Terra</v>
          </cell>
          <cell r="K39">
            <v>545.1</v>
          </cell>
          <cell r="L39">
            <v>539.20000000000005</v>
          </cell>
          <cell r="M39">
            <v>555.41744244123709</v>
          </cell>
          <cell r="N39">
            <v>549.23739471357464</v>
          </cell>
          <cell r="O39">
            <v>542.21552952163768</v>
          </cell>
          <cell r="P39">
            <v>1.8607352704889113E-3</v>
          </cell>
        </row>
        <row r="40">
          <cell r="I40" t="str">
            <v>Other</v>
          </cell>
          <cell r="K40">
            <v>2460.8000000000002</v>
          </cell>
          <cell r="L40">
            <v>2458.9</v>
          </cell>
          <cell r="M40">
            <v>2630.4529999999977</v>
          </cell>
          <cell r="N40">
            <v>2766.2470399999947</v>
          </cell>
          <cell r="O40">
            <v>2887.222164200004</v>
          </cell>
          <cell r="P40">
            <v>5.4985390030207304E-2</v>
          </cell>
        </row>
        <row r="41">
          <cell r="B41" t="str">
            <v>EV/Revenue</v>
          </cell>
          <cell r="C41">
            <v>3.0807892862557242</v>
          </cell>
          <cell r="D41">
            <v>2.537719362326655</v>
          </cell>
          <cell r="E41">
            <v>2.246609877575215</v>
          </cell>
          <cell r="F41">
            <v>1.9722416125984841</v>
          </cell>
          <cell r="G41">
            <v>7.0339122940753063E-2</v>
          </cell>
          <cell r="I41" t="str">
            <v>Eliminations</v>
          </cell>
          <cell r="K41">
            <v>-2474.5</v>
          </cell>
          <cell r="L41">
            <v>-2568.0360999999984</v>
          </cell>
          <cell r="M41">
            <v>-2645.0771829999985</v>
          </cell>
          <cell r="N41">
            <v>-2724.4294984899984</v>
          </cell>
          <cell r="O41">
            <v>-2778.9180884597986</v>
          </cell>
          <cell r="P41">
            <v>2.6655820615915093E-2</v>
          </cell>
        </row>
        <row r="42">
          <cell r="B42" t="str">
            <v>EV/EBITDA</v>
          </cell>
          <cell r="C42">
            <v>7.0689105773747389</v>
          </cell>
          <cell r="D42">
            <v>5.8244577118065726</v>
          </cell>
          <cell r="E42">
            <v>5.0877918365033539</v>
          </cell>
          <cell r="F42">
            <v>4.4847806706139286</v>
          </cell>
          <cell r="G42">
            <v>7.3555580756607064E-2</v>
          </cell>
          <cell r="I42" t="str">
            <v>Domestic fixed</v>
          </cell>
          <cell r="K42">
            <v>10695.4</v>
          </cell>
          <cell r="L42">
            <v>10956</v>
          </cell>
          <cell r="M42">
            <v>10935.983633930909</v>
          </cell>
          <cell r="N42">
            <v>10768.644660731074</v>
          </cell>
          <cell r="O42">
            <v>10625.439578654041</v>
          </cell>
          <cell r="P42">
            <v>-1.0160089121325044E-2</v>
          </cell>
        </row>
        <row r="43">
          <cell r="B43" t="str">
            <v>EV/OpFCF</v>
          </cell>
          <cell r="C43">
            <v>9.8924450635137546</v>
          </cell>
          <cell r="D43">
            <v>8.0083503785293289</v>
          </cell>
          <cell r="E43">
            <v>6.8052862599953325</v>
          </cell>
          <cell r="F43">
            <v>5.9100183246778784</v>
          </cell>
          <cell r="G43">
            <v>9.5281403770771211E-2</v>
          </cell>
          <cell r="I43" t="str">
            <v>Total</v>
          </cell>
          <cell r="K43">
            <v>28399.8</v>
          </cell>
          <cell r="L43">
            <v>30323.363900000004</v>
          </cell>
          <cell r="M43">
            <v>34663.457954123667</v>
          </cell>
          <cell r="N43">
            <v>35984.540629908173</v>
          </cell>
          <cell r="O43">
            <v>37182.756094166347</v>
          </cell>
          <cell r="P43">
            <v>7.0339122940753063E-2</v>
          </cell>
        </row>
        <row r="44">
          <cell r="B44" t="str">
            <v>EV/FCF</v>
          </cell>
          <cell r="C44">
            <v>15.219146251559621</v>
          </cell>
          <cell r="D44">
            <v>12.320539043891277</v>
          </cell>
          <cell r="E44">
            <v>10.469671169223588</v>
          </cell>
          <cell r="F44">
            <v>9.0923358841198123</v>
          </cell>
          <cell r="G44">
            <v>9.5281403770771211E-2</v>
          </cell>
          <cell r="I44" t="str">
            <v>% change</v>
          </cell>
          <cell r="L44">
            <v>6.7731600222536992E-2</v>
          </cell>
          <cell r="M44">
            <v>0.14312706428074295</v>
          </cell>
          <cell r="N44">
            <v>3.8111681688910881E-2</v>
          </cell>
          <cell r="O44">
            <v>3.3298061981157812E-2</v>
          </cell>
        </row>
        <row r="45">
          <cell r="B45" t="str">
            <v>EV/Invested capital</v>
          </cell>
          <cell r="C45">
            <v>2.1733997768052618</v>
          </cell>
          <cell r="D45">
            <v>2.2068287877366255</v>
          </cell>
          <cell r="E45">
            <v>2.2579608789622552</v>
          </cell>
          <cell r="F45">
            <v>2.2683933202024469</v>
          </cell>
          <cell r="G45">
            <v>-9.0586925643158178E-2</v>
          </cell>
        </row>
        <row r="46">
          <cell r="B46" t="str">
            <v>EV/NFA</v>
          </cell>
          <cell r="C46">
            <v>4.0011775958794766</v>
          </cell>
          <cell r="D46">
            <v>4.1243626762753127</v>
          </cell>
          <cell r="E46">
            <v>4.1009392033993164</v>
          </cell>
          <cell r="F46">
            <v>3.9941400101493141</v>
          </cell>
          <cell r="G46">
            <v>-7.6984582136493396E-2</v>
          </cell>
          <cell r="I46" t="str">
            <v>EBITDA</v>
          </cell>
        </row>
        <row r="47">
          <cell r="B47" t="str">
            <v>P/EFCF</v>
          </cell>
          <cell r="C47">
            <v>11.038317736441796</v>
          </cell>
          <cell r="D47">
            <v>9.3792552307009132</v>
          </cell>
          <cell r="E47">
            <v>8.8011010110692567</v>
          </cell>
          <cell r="F47">
            <v>8.4753331409204762</v>
          </cell>
          <cell r="G47">
            <v>0.10185795216388094</v>
          </cell>
          <cell r="I47" t="str">
            <v>Mobile (TEM + Chile)</v>
          </cell>
          <cell r="K47">
            <v>4581</v>
          </cell>
          <cell r="L47">
            <v>4755.2</v>
          </cell>
          <cell r="M47">
            <v>6171.7136640441358</v>
          </cell>
          <cell r="N47">
            <v>6602.8157947778218</v>
          </cell>
          <cell r="O47">
            <v>6972.6092989337485</v>
          </cell>
          <cell r="P47">
            <v>0.13607982540273222</v>
          </cell>
        </row>
        <row r="48">
          <cell r="B48" t="str">
            <v>Adjusted P/E</v>
          </cell>
          <cell r="C48">
            <v>19.745392824435264</v>
          </cell>
          <cell r="D48">
            <v>16.867904193188743</v>
          </cell>
          <cell r="E48">
            <v>13.378055116782186</v>
          </cell>
          <cell r="F48">
            <v>11.825351089071324</v>
          </cell>
          <cell r="G48">
            <v>0.17168849677012554</v>
          </cell>
          <cell r="I48" t="str">
            <v>Latinoamericana</v>
          </cell>
          <cell r="K48">
            <v>3065.3</v>
          </cell>
          <cell r="L48">
            <v>3141</v>
          </cell>
          <cell r="M48">
            <v>3501.4776055469829</v>
          </cell>
          <cell r="N48">
            <v>3649.2814767636146</v>
          </cell>
          <cell r="O48">
            <v>3711.9436435744537</v>
          </cell>
          <cell r="P48">
            <v>5.7250288951433914E-2</v>
          </cell>
        </row>
        <row r="49">
          <cell r="B49" t="str">
            <v>Dividend yield</v>
          </cell>
          <cell r="C49">
            <v>3.5410764872521247E-2</v>
          </cell>
          <cell r="D49">
            <v>3.5410764872521247E-2</v>
          </cell>
          <cell r="E49">
            <v>3.5410764872521247E-2</v>
          </cell>
          <cell r="F49">
            <v>3.7181303116147313E-2</v>
          </cell>
          <cell r="G49">
            <v>1.6396356814853519E-2</v>
          </cell>
          <cell r="I49" t="str">
            <v>Terra</v>
          </cell>
          <cell r="K49">
            <v>-39.5</v>
          </cell>
          <cell r="L49">
            <v>20.9</v>
          </cell>
          <cell r="M49">
            <v>27.770872122061856</v>
          </cell>
          <cell r="N49">
            <v>54.923739471357464</v>
          </cell>
          <cell r="O49">
            <v>81.332329428245643</v>
          </cell>
          <cell r="P49">
            <v>0.57291640369680463</v>
          </cell>
        </row>
        <row r="50">
          <cell r="B50" t="str">
            <v>EFCF yield</v>
          </cell>
          <cell r="C50">
            <v>9.0593514689164059E-2</v>
          </cell>
          <cell r="D50">
            <v>0.10661827356256622</v>
          </cell>
          <cell r="E50">
            <v>0.11362214781335736</v>
          </cell>
          <cell r="F50">
            <v>0.11798946228695306</v>
          </cell>
          <cell r="G50">
            <v>0.10185795216388094</v>
          </cell>
          <cell r="I50" t="str">
            <v>Media</v>
          </cell>
          <cell r="K50">
            <v>210.3</v>
          </cell>
          <cell r="L50">
            <v>182.6</v>
          </cell>
          <cell r="M50">
            <v>192.45500000000001</v>
          </cell>
          <cell r="N50">
            <v>202.07774999999998</v>
          </cell>
          <cell r="O50">
            <v>212.18163750000002</v>
          </cell>
          <cell r="P50">
            <v>5.1321811037659204E-2</v>
          </cell>
        </row>
        <row r="51">
          <cell r="B51" t="str">
            <v>Net debt/EBITDA</v>
          </cell>
          <cell r="C51">
            <v>1.7390205514694754</v>
          </cell>
          <cell r="D51">
            <v>1.3291879362520775</v>
          </cell>
          <cell r="E51">
            <v>0.89353782909188029</v>
          </cell>
          <cell r="F51">
            <v>0.5097709890073272</v>
          </cell>
          <cell r="G51">
            <v>-0.33571139832162333</v>
          </cell>
          <cell r="I51" t="str">
            <v>Other</v>
          </cell>
          <cell r="K51">
            <v>22.600000000000364</v>
          </cell>
          <cell r="L51">
            <v>61.400000000000546</v>
          </cell>
          <cell r="M51">
            <v>101.83880000000045</v>
          </cell>
          <cell r="N51">
            <v>136.70851800000037</v>
          </cell>
          <cell r="O51">
            <v>161.05298030000267</v>
          </cell>
          <cell r="P51">
            <v>0.37911388686750103</v>
          </cell>
        </row>
        <row r="52">
          <cell r="B52" t="str">
            <v>OpFCF/Net interest</v>
          </cell>
          <cell r="C52">
            <v>7.9773269201045993</v>
          </cell>
          <cell r="D52">
            <v>7.7595424284423293</v>
          </cell>
          <cell r="E52">
            <v>10.417496864340199</v>
          </cell>
          <cell r="F52">
            <v>14.052395372751629</v>
          </cell>
          <cell r="G52">
            <v>0.20771461913048483</v>
          </cell>
          <cell r="I52" t="str">
            <v>Domestic fixed</v>
          </cell>
          <cell r="K52">
            <v>4762.3999999999996</v>
          </cell>
          <cell r="L52">
            <v>5054.5</v>
          </cell>
          <cell r="M52">
            <v>5107.6313600629483</v>
          </cell>
          <cell r="N52">
            <v>5243.8413184657575</v>
          </cell>
          <cell r="O52">
            <v>5212.4888568237311</v>
          </cell>
          <cell r="P52">
            <v>1.031231373819641E-2</v>
          </cell>
        </row>
        <row r="53">
          <cell r="I53" t="str">
            <v>Total</v>
          </cell>
          <cell r="K53">
            <v>12602.1</v>
          </cell>
          <cell r="L53">
            <v>13215.6</v>
          </cell>
          <cell r="M53">
            <v>15102.887301776129</v>
          </cell>
          <cell r="N53">
            <v>15889.648597478552</v>
          </cell>
          <cell r="O53">
            <v>16351.608746560181</v>
          </cell>
          <cell r="P53">
            <v>7.3555580756607064E-2</v>
          </cell>
        </row>
        <row r="54">
          <cell r="B54" t="str">
            <v>BREAKDOWN OF VALUE</v>
          </cell>
          <cell r="D54" t="str">
            <v>RELATIVE VALUATION (2005)</v>
          </cell>
          <cell r="I54" t="str">
            <v>% change</v>
          </cell>
          <cell r="L54">
            <v>4.8682362463398965E-2</v>
          </cell>
          <cell r="M54">
            <v>0.14280753819547565</v>
          </cell>
          <cell r="N54">
            <v>5.2093436174280194E-2</v>
          </cell>
          <cell r="O54">
            <v>2.9073024884573861E-2</v>
          </cell>
        </row>
        <row r="55">
          <cell r="I55" t="str">
            <v>EBITDA margin</v>
          </cell>
          <cell r="K55">
            <v>0.44373904041577761</v>
          </cell>
          <cell r="L55">
            <v>0.43582235940518455</v>
          </cell>
          <cell r="M55">
            <v>0.43570053864113822</v>
          </cell>
          <cell r="N55">
            <v>0.44156874922760686</v>
          </cell>
          <cell r="O55">
            <v>0.43976322532814094</v>
          </cell>
        </row>
        <row r="57">
          <cell r="I57" t="str">
            <v>Capex</v>
          </cell>
        </row>
        <row r="58">
          <cell r="I58" t="str">
            <v>Mobile (TEM + Chile)</v>
          </cell>
          <cell r="K58">
            <v>1339.7</v>
          </cell>
          <cell r="L58">
            <v>1669</v>
          </cell>
          <cell r="M58">
            <v>1889.4655268702263</v>
          </cell>
          <cell r="N58">
            <v>1722.0481131482097</v>
          </cell>
          <cell r="O58">
            <v>1646.8495057809253</v>
          </cell>
          <cell r="P58">
            <v>-4.4436219043297864E-3</v>
          </cell>
        </row>
        <row r="59">
          <cell r="I59" t="str">
            <v>Latinoamericana</v>
          </cell>
          <cell r="K59">
            <v>654</v>
          </cell>
          <cell r="L59">
            <v>753.3403919801757</v>
          </cell>
          <cell r="M59">
            <v>782.54641613475155</v>
          </cell>
          <cell r="N59">
            <v>838.07096646837067</v>
          </cell>
          <cell r="O59">
            <v>857.30998061607966</v>
          </cell>
          <cell r="P59">
            <v>4.4036163294731701E-2</v>
          </cell>
        </row>
        <row r="60">
          <cell r="I60" t="str">
            <v>Terra</v>
          </cell>
          <cell r="K60">
            <v>80.400000000000006</v>
          </cell>
          <cell r="L60">
            <v>25.4</v>
          </cell>
          <cell r="M60">
            <v>65</v>
          </cell>
          <cell r="N60">
            <v>65</v>
          </cell>
          <cell r="O60">
            <v>65</v>
          </cell>
          <cell r="P60">
            <v>0.36781243191116819</v>
          </cell>
        </row>
        <row r="61">
          <cell r="I61" t="str">
            <v>Media</v>
          </cell>
          <cell r="K61">
            <v>139</v>
          </cell>
          <cell r="L61">
            <v>24.3</v>
          </cell>
          <cell r="M61">
            <v>65</v>
          </cell>
          <cell r="N61">
            <v>70</v>
          </cell>
          <cell r="O61">
            <v>70</v>
          </cell>
          <cell r="P61">
            <v>0.42286573887499368</v>
          </cell>
        </row>
        <row r="62">
          <cell r="I62" t="str">
            <v>Other</v>
          </cell>
          <cell r="K62">
            <v>31.500000000000227</v>
          </cell>
          <cell r="L62">
            <v>92.400000000000091</v>
          </cell>
          <cell r="M62">
            <v>47.719999999999118</v>
          </cell>
          <cell r="N62">
            <v>49.817599999999629</v>
          </cell>
          <cell r="O62">
            <v>51.233479999999872</v>
          </cell>
          <cell r="P62">
            <v>-0.17846268375854135</v>
          </cell>
        </row>
        <row r="63">
          <cell r="I63" t="str">
            <v>Domestic fixed</v>
          </cell>
          <cell r="K63">
            <v>1479.9</v>
          </cell>
          <cell r="L63">
            <v>1207.5999999999999</v>
          </cell>
          <cell r="M63">
            <v>1268.8546904068121</v>
          </cell>
          <cell r="N63">
            <v>1265.2374430859786</v>
          </cell>
          <cell r="O63">
            <v>1252.8991199924612</v>
          </cell>
          <cell r="P63">
            <v>1.2350729032606145E-2</v>
          </cell>
        </row>
        <row r="64">
          <cell r="I64" t="str">
            <v>Total</v>
          </cell>
          <cell r="K64">
            <v>3724.5</v>
          </cell>
          <cell r="L64">
            <v>3772.0403919801761</v>
          </cell>
          <cell r="M64">
            <v>4118.5866334117891</v>
          </cell>
          <cell r="N64">
            <v>4010.1741227025586</v>
          </cell>
          <cell r="O64">
            <v>3943.292086389466</v>
          </cell>
          <cell r="P64">
            <v>1.4910013677063461E-2</v>
          </cell>
        </row>
        <row r="65">
          <cell r="I65" t="str">
            <v>% change</v>
          </cell>
          <cell r="L65">
            <v>1.2764234657048235E-2</v>
          </cell>
          <cell r="M65">
            <v>9.1872356979106895E-2</v>
          </cell>
          <cell r="N65">
            <v>-2.6322746213407355E-2</v>
          </cell>
          <cell r="O65">
            <v>-1.6678087850215073E-2</v>
          </cell>
        </row>
        <row r="66">
          <cell r="I66" t="str">
            <v>Capex/sales</v>
          </cell>
          <cell r="K66">
            <v>0.13114528975556167</v>
          </cell>
          <cell r="L66">
            <v>0.12439386357066326</v>
          </cell>
          <cell r="M66">
            <v>0.11881638118339632</v>
          </cell>
          <cell r="N66">
            <v>0.11144158164880238</v>
          </cell>
          <cell r="O66">
            <v>0.10605163523658577</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TELEFO 4.5 4/14/2009</v>
          </cell>
          <cell r="D71" t="str">
            <v>A3</v>
          </cell>
          <cell r="E71" t="str">
            <v>STABLE</v>
          </cell>
          <cell r="F71" t="str">
            <v>A</v>
          </cell>
          <cell r="G71" t="str">
            <v>NEG</v>
          </cell>
        </row>
        <row r="72">
          <cell r="B72" t="str">
            <v xml:space="preserve"> TELEFO 5.125 2/14/2013</v>
          </cell>
          <cell r="D72" t="str">
            <v>A3</v>
          </cell>
          <cell r="E72" t="str">
            <v>STABLE</v>
          </cell>
          <cell r="F72" t="str">
            <v>A</v>
          </cell>
          <cell r="G72" t="str">
            <v>N/A</v>
          </cell>
        </row>
        <row r="73">
          <cell r="B73" t="str">
            <v xml:space="preserve"> TELEFO 8.25 9/15/2030</v>
          </cell>
          <cell r="D73" t="str">
            <v>A3</v>
          </cell>
          <cell r="E73" t="str">
            <v>STABLE</v>
          </cell>
          <cell r="F73" t="str">
            <v>A</v>
          </cell>
          <cell r="G73" t="str">
            <v>N/A</v>
          </cell>
        </row>
        <row r="75">
          <cell r="E75" t="str">
            <v>Issue size</v>
          </cell>
          <cell r="F75" t="str">
            <v>Yld to mat</v>
          </cell>
          <cell r="G75" t="str">
            <v xml:space="preserve">Price </v>
          </cell>
        </row>
        <row r="76">
          <cell r="B76" t="str">
            <v xml:space="preserve"> TELEFO 4.5 4/14/2009</v>
          </cell>
          <cell r="E76" t="str">
            <v>€500</v>
          </cell>
          <cell r="F76">
            <v>3.2199999999999999E-2</v>
          </cell>
          <cell r="G76">
            <v>104.74</v>
          </cell>
        </row>
        <row r="77">
          <cell r="B77" t="str">
            <v xml:space="preserve"> TELEFO 5.125 2/14/2013</v>
          </cell>
          <cell r="E77" t="str">
            <v>€1500</v>
          </cell>
          <cell r="F77">
            <v>3.8199999999999998E-2</v>
          </cell>
          <cell r="G77">
            <v>108.55</v>
          </cell>
        </row>
        <row r="78">
          <cell r="B78" t="str">
            <v xml:space="preserve"> TELEFO 8.25 9/15/2030</v>
          </cell>
          <cell r="E78" t="str">
            <v>US$1250</v>
          </cell>
          <cell r="F78">
            <v>5.5500000000000001E-2</v>
          </cell>
          <cell r="G78">
            <v>136.56</v>
          </cell>
        </row>
        <row r="80">
          <cell r="E80" t="str">
            <v>OAS 12m chg</v>
          </cell>
          <cell r="F80" t="str">
            <v>12m tot ret</v>
          </cell>
          <cell r="G80" t="str">
            <v xml:space="preserve">OAS </v>
          </cell>
        </row>
        <row r="81">
          <cell r="B81" t="str">
            <v xml:space="preserve"> TELEFO 4.5 4/14/2009</v>
          </cell>
          <cell r="E81">
            <v>-8</v>
          </cell>
          <cell r="F81">
            <v>5.7149999999999999E-2</v>
          </cell>
          <cell r="G81">
            <v>34</v>
          </cell>
        </row>
        <row r="82">
          <cell r="B82" t="str">
            <v xml:space="preserve"> TELEFO 5.125 2/14/2013</v>
          </cell>
          <cell r="E82">
            <v>-28</v>
          </cell>
          <cell r="F82">
            <v>0.10024</v>
          </cell>
          <cell r="G82">
            <v>37</v>
          </cell>
        </row>
        <row r="83">
          <cell r="B83" t="str">
            <v xml:space="preserve"> TELEFO 8.25 9/15/2030</v>
          </cell>
          <cell r="E83">
            <v>-31</v>
          </cell>
          <cell r="F83">
            <v>86</v>
          </cell>
          <cell r="G83">
            <v>0.12347</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38" refreshError="1">
        <row r="6">
          <cell r="S6" t="str">
            <v xml:space="preserve"> Telekom Austria (Neutral) TP: €16.0  (+6.0%)</v>
          </cell>
        </row>
        <row r="8">
          <cell r="G8" t="str">
            <v>CAGR</v>
          </cell>
          <cell r="P8" t="str">
            <v>CAGR</v>
          </cell>
        </row>
        <row r="9">
          <cell r="B9" t="str">
            <v>EV CALCULATION (€m)</v>
          </cell>
          <cell r="C9" t="str">
            <v>2004E</v>
          </cell>
          <cell r="D9" t="str">
            <v>2005E</v>
          </cell>
          <cell r="E9" t="str">
            <v>2006E</v>
          </cell>
          <cell r="F9" t="str">
            <v>2007E</v>
          </cell>
          <cell r="G9" t="str">
            <v>04E-07E</v>
          </cell>
          <cell r="I9" t="str">
            <v>FINANCIALS (€m)</v>
          </cell>
          <cell r="K9" t="str">
            <v>2003A</v>
          </cell>
          <cell r="L9" t="str">
            <v>2004E</v>
          </cell>
          <cell r="M9" t="str">
            <v>2005E</v>
          </cell>
          <cell r="N9" t="str">
            <v>2006E</v>
          </cell>
          <cell r="O9" t="str">
            <v>2007E</v>
          </cell>
          <cell r="P9" t="str">
            <v>04E-07E</v>
          </cell>
        </row>
        <row r="11">
          <cell r="B11" t="str">
            <v>Share price, €</v>
          </cell>
          <cell r="C11">
            <v>15.1</v>
          </cell>
          <cell r="I11" t="str">
            <v>Revenue</v>
          </cell>
          <cell r="K11">
            <v>3924</v>
          </cell>
          <cell r="L11">
            <v>4017.0445564924826</v>
          </cell>
          <cell r="M11">
            <v>3985.002513002818</v>
          </cell>
          <cell r="N11">
            <v>3968.7268440994585</v>
          </cell>
          <cell r="O11">
            <v>3949.1161176109817</v>
          </cell>
          <cell r="P11">
            <v>-5.6687586461606765E-3</v>
          </cell>
        </row>
        <row r="12">
          <cell r="B12" t="str">
            <v>Number of shares</v>
          </cell>
          <cell r="C12">
            <v>477.5</v>
          </cell>
          <cell r="D12">
            <v>477.5</v>
          </cell>
          <cell r="E12">
            <v>477.5</v>
          </cell>
          <cell r="F12">
            <v>477.5</v>
          </cell>
          <cell r="I12" t="str">
            <v>EBITDA</v>
          </cell>
          <cell r="K12">
            <v>1592</v>
          </cell>
          <cell r="L12">
            <v>1615.9684900519471</v>
          </cell>
          <cell r="M12">
            <v>1587.9917169733451</v>
          </cell>
          <cell r="N12">
            <v>1565.2542507846676</v>
          </cell>
          <cell r="O12">
            <v>1537.6244853767359</v>
          </cell>
          <cell r="P12">
            <v>-1.6428809792106813E-2</v>
          </cell>
        </row>
        <row r="13">
          <cell r="B13" t="str">
            <v>Market cap.</v>
          </cell>
          <cell r="C13">
            <v>7210.25</v>
          </cell>
          <cell r="D13">
            <v>7210.25</v>
          </cell>
          <cell r="E13">
            <v>7210.25</v>
          </cell>
          <cell r="F13">
            <v>7210.25</v>
          </cell>
          <cell r="I13" t="str">
            <v>Capex</v>
          </cell>
          <cell r="K13">
            <v>591</v>
          </cell>
          <cell r="L13">
            <v>557.41393060177757</v>
          </cell>
          <cell r="M13">
            <v>563.15513450469382</v>
          </cell>
          <cell r="N13">
            <v>541.99652711427018</v>
          </cell>
          <cell r="O13">
            <v>520.94606574475745</v>
          </cell>
          <cell r="P13">
            <v>-2.2301426685567449E-2</v>
          </cell>
        </row>
        <row r="14">
          <cell r="B14" t="str">
            <v>Plus: Net debt (Cash)</v>
          </cell>
          <cell r="C14">
            <v>2220.3594074007146</v>
          </cell>
          <cell r="D14">
            <v>1503.2707535651407</v>
          </cell>
          <cell r="E14">
            <v>826.23735723740413</v>
          </cell>
          <cell r="F14">
            <v>268.0689758187134</v>
          </cell>
          <cell r="I14" t="str">
            <v>OpFCF (EBITDA - capex)</v>
          </cell>
          <cell r="K14">
            <v>1001</v>
          </cell>
          <cell r="L14">
            <v>1058.5545594501696</v>
          </cell>
          <cell r="M14">
            <v>1024.8365824686512</v>
          </cell>
          <cell r="N14">
            <v>1023.2577236703975</v>
          </cell>
          <cell r="O14">
            <v>1016.6784196319785</v>
          </cell>
          <cell r="P14">
            <v>-1.3364390219966604E-2</v>
          </cell>
        </row>
        <row r="15">
          <cell r="B15" t="str">
            <v>Plus: Other financial liabilities</v>
          </cell>
          <cell r="C15">
            <v>104.12740118446646</v>
          </cell>
          <cell r="D15">
            <v>92.457593279223786</v>
          </cell>
          <cell r="E15">
            <v>79.854200741561698</v>
          </cell>
          <cell r="F15">
            <v>66.24253680088664</v>
          </cell>
          <cell r="I15" t="str">
            <v>FCF (OpFCF * (1-tax rate))</v>
          </cell>
          <cell r="K15">
            <v>660.66</v>
          </cell>
          <cell r="L15">
            <v>698.6460092371118</v>
          </cell>
          <cell r="M15">
            <v>768.62743685148837</v>
          </cell>
          <cell r="N15">
            <v>767.44329275279813</v>
          </cell>
          <cell r="O15">
            <v>762.50881472398385</v>
          </cell>
          <cell r="P15">
            <v>2.9585842206757418E-2</v>
          </cell>
        </row>
        <row r="16">
          <cell r="B16" t="str">
            <v>Less: Associates</v>
          </cell>
          <cell r="C16">
            <v>0</v>
          </cell>
          <cell r="D16">
            <v>0</v>
          </cell>
          <cell r="E16">
            <v>0</v>
          </cell>
          <cell r="F16">
            <v>0</v>
          </cell>
          <cell r="I16" t="str">
            <v>EFCF</v>
          </cell>
          <cell r="K16">
            <v>785.86</v>
          </cell>
          <cell r="L16">
            <v>823.66292874864257</v>
          </cell>
          <cell r="M16">
            <v>828.217557413279</v>
          </cell>
          <cell r="N16">
            <v>839.16417577380673</v>
          </cell>
          <cell r="O16">
            <v>845.39196180225497</v>
          </cell>
          <cell r="P16">
            <v>8.7174444493587355E-3</v>
          </cell>
        </row>
        <row r="17">
          <cell r="B17" t="str">
            <v>Plus: Minorities</v>
          </cell>
          <cell r="C17">
            <v>36.978435363194805</v>
          </cell>
          <cell r="D17">
            <v>36.978435363194805</v>
          </cell>
          <cell r="E17">
            <v>36.978435363194805</v>
          </cell>
          <cell r="F17">
            <v>36.978435363194805</v>
          </cell>
          <cell r="I17" t="str">
            <v>Adj net Income</v>
          </cell>
          <cell r="K17">
            <v>311.86</v>
          </cell>
          <cell r="L17">
            <v>324.39258760518015</v>
          </cell>
          <cell r="M17">
            <v>403.67252014008164</v>
          </cell>
          <cell r="N17">
            <v>472.14036279881662</v>
          </cell>
          <cell r="O17">
            <v>526.55227153235649</v>
          </cell>
          <cell r="P17">
            <v>0.17523176912083183</v>
          </cell>
        </row>
        <row r="18">
          <cell r="B18" t="str">
            <v>Less: Cumulative dividends</v>
          </cell>
          <cell r="C18">
            <v>0</v>
          </cell>
          <cell r="D18">
            <v>111.735</v>
          </cell>
          <cell r="E18">
            <v>279.33749999999998</v>
          </cell>
          <cell r="F18">
            <v>497.22075000000007</v>
          </cell>
          <cell r="I18" t="str">
            <v>Clean EPS</v>
          </cell>
          <cell r="K18">
            <v>0.62372000000000005</v>
          </cell>
          <cell r="L18">
            <v>0.66371884932006164</v>
          </cell>
          <cell r="M18">
            <v>0.84538747673315529</v>
          </cell>
          <cell r="N18">
            <v>0.98877562889804527</v>
          </cell>
          <cell r="O18">
            <v>1.1027272702248303</v>
          </cell>
          <cell r="P18">
            <v>0.18438978855157728</v>
          </cell>
        </row>
        <row r="19">
          <cell r="B19" t="str">
            <v>Less: NPV YE tax credit</v>
          </cell>
          <cell r="C19">
            <v>200.6</v>
          </cell>
          <cell r="D19">
            <v>75.288216286415974</v>
          </cell>
          <cell r="E19">
            <v>0</v>
          </cell>
          <cell r="F19">
            <v>0</v>
          </cell>
          <cell r="I19" t="str">
            <v>DPS</v>
          </cell>
          <cell r="K19">
            <v>0.13</v>
          </cell>
          <cell r="L19">
            <v>0.23400000000000001</v>
          </cell>
          <cell r="M19">
            <v>0.35100000000000003</v>
          </cell>
          <cell r="N19">
            <v>0.45630000000000004</v>
          </cell>
          <cell r="O19">
            <v>0.54756000000000005</v>
          </cell>
          <cell r="P19">
            <v>0.32761439426177286</v>
          </cell>
        </row>
        <row r="20">
          <cell r="B20" t="str">
            <v>Enterprise Value</v>
          </cell>
          <cell r="C20">
            <v>11372.557935971594</v>
          </cell>
          <cell r="D20">
            <v>8655.9335659211429</v>
          </cell>
          <cell r="E20">
            <v>7873.9824933421614</v>
          </cell>
          <cell r="F20">
            <v>7084.3191979827943</v>
          </cell>
          <cell r="G20">
            <v>-8.9033763744599814E-2</v>
          </cell>
          <cell r="J20" t="str">
            <v>Cash flow</v>
          </cell>
        </row>
        <row r="21">
          <cell r="J21" t="str">
            <v>OpFCF</v>
          </cell>
          <cell r="K21">
            <v>998</v>
          </cell>
          <cell r="L21">
            <v>1068.5545594501696</v>
          </cell>
          <cell r="M21">
            <v>1024.8365824686512</v>
          </cell>
          <cell r="N21">
            <v>1023.2577236703974</v>
          </cell>
          <cell r="O21">
            <v>1016.6784196319785</v>
          </cell>
        </row>
        <row r="22">
          <cell r="B22" t="str">
            <v>PRICE PERFORMANCE, -1Y</v>
          </cell>
          <cell r="J22" t="str">
            <v>Less: Interest payments</v>
          </cell>
          <cell r="K22">
            <v>-183</v>
          </cell>
          <cell r="L22">
            <v>-129.75138143056702</v>
          </cell>
          <cell r="M22">
            <v>-99.466833066896143</v>
          </cell>
          <cell r="N22">
            <v>-62.226586521437838</v>
          </cell>
          <cell r="O22">
            <v>-29.231470540540123</v>
          </cell>
        </row>
        <row r="23">
          <cell r="J23" t="str">
            <v>Less: Tax paid</v>
          </cell>
          <cell r="K23">
            <v>-16</v>
          </cell>
          <cell r="L23">
            <v>-26.511012470842445</v>
          </cell>
          <cell r="M23">
            <v>-24.070594571194675</v>
          </cell>
          <cell r="N23">
            <v>-45.137816818994708</v>
          </cell>
          <cell r="O23">
            <v>-139.88023412477446</v>
          </cell>
        </row>
        <row r="24">
          <cell r="J24" t="str">
            <v>Less: Change in WC</v>
          </cell>
          <cell r="K24">
            <v>-171</v>
          </cell>
          <cell r="L24">
            <v>-60.651572949474684</v>
          </cell>
          <cell r="M24">
            <v>-2.4755009949864615</v>
          </cell>
          <cell r="N24">
            <v>-1.2574240022280208</v>
          </cell>
          <cell r="O24">
            <v>-1.5150835479731626</v>
          </cell>
        </row>
        <row r="25">
          <cell r="J25" t="str">
            <v>Less: Restructuring costs</v>
          </cell>
          <cell r="K25">
            <v>-82</v>
          </cell>
          <cell r="L25">
            <v>-70</v>
          </cell>
          <cell r="M25">
            <v>-70</v>
          </cell>
          <cell r="N25">
            <v>-70</v>
          </cell>
          <cell r="O25">
            <v>-70</v>
          </cell>
        </row>
        <row r="26">
          <cell r="J26" t="str">
            <v>Less: Other</v>
          </cell>
          <cell r="K26">
            <v>102</v>
          </cell>
          <cell r="L26">
            <v>0</v>
          </cell>
          <cell r="M26">
            <v>4.2632564145606011E-14</v>
          </cell>
          <cell r="N26">
            <v>-5.6843418860808015E-14</v>
          </cell>
          <cell r="O26">
            <v>-1.1368683772161603E-13</v>
          </cell>
        </row>
        <row r="27">
          <cell r="J27" t="str">
            <v>Sub total</v>
          </cell>
          <cell r="K27">
            <v>648</v>
          </cell>
          <cell r="L27">
            <v>781.64059259928536</v>
          </cell>
          <cell r="M27">
            <v>828.82365383557396</v>
          </cell>
          <cell r="N27">
            <v>844.63589632773665</v>
          </cell>
          <cell r="O27">
            <v>776.05163141869059</v>
          </cell>
        </row>
        <row r="28">
          <cell r="J28" t="str">
            <v>Less: Disposals/acquis.</v>
          </cell>
          <cell r="K28">
            <v>-82</v>
          </cell>
          <cell r="L28">
            <v>-30</v>
          </cell>
          <cell r="M28">
            <v>0</v>
          </cell>
          <cell r="N28">
            <v>0</v>
          </cell>
          <cell r="O28">
            <v>0</v>
          </cell>
        </row>
        <row r="29">
          <cell r="J29" t="str">
            <v>Less: Dividends paid</v>
          </cell>
          <cell r="K29">
            <v>0</v>
          </cell>
          <cell r="L29">
            <v>-65</v>
          </cell>
          <cell r="M29">
            <v>-111.735</v>
          </cell>
          <cell r="N29">
            <v>-167.60249999999999</v>
          </cell>
          <cell r="O29">
            <v>-217.88325000000003</v>
          </cell>
        </row>
        <row r="30">
          <cell r="J30" t="str">
            <v>Less: Share buyback</v>
          </cell>
          <cell r="K30">
            <v>0</v>
          </cell>
          <cell r="L30">
            <v>-270</v>
          </cell>
          <cell r="M30">
            <v>0</v>
          </cell>
          <cell r="N30">
            <v>0</v>
          </cell>
          <cell r="O30">
            <v>0</v>
          </cell>
        </row>
        <row r="31">
          <cell r="J31" t="str">
            <v>Chg in Net debt/Cash</v>
          </cell>
          <cell r="K31">
            <v>566</v>
          </cell>
          <cell r="L31">
            <v>416.64059259928536</v>
          </cell>
          <cell r="M31">
            <v>717.08865383557395</v>
          </cell>
          <cell r="N31">
            <v>677.03339632773668</v>
          </cell>
          <cell r="O31">
            <v>558.16838141869061</v>
          </cell>
        </row>
        <row r="32">
          <cell r="J32" t="str">
            <v>Net debt (Cash)</v>
          </cell>
          <cell r="K32">
            <v>2637</v>
          </cell>
          <cell r="L32">
            <v>2220.3594074007146</v>
          </cell>
          <cell r="M32">
            <v>1503.2707535651407</v>
          </cell>
          <cell r="N32">
            <v>826.23735723740401</v>
          </cell>
          <cell r="O32">
            <v>268.0689758187134</v>
          </cell>
        </row>
        <row r="33">
          <cell r="P33" t="str">
            <v>CAGR</v>
          </cell>
        </row>
        <row r="34">
          <cell r="I34" t="str">
            <v>DIVISIONAL (€m)</v>
          </cell>
          <cell r="K34" t="str">
            <v>2003A</v>
          </cell>
          <cell r="L34" t="str">
            <v>2004E</v>
          </cell>
          <cell r="M34" t="str">
            <v>2005E</v>
          </cell>
          <cell r="N34" t="str">
            <v>2006E</v>
          </cell>
          <cell r="O34" t="str">
            <v>2007E</v>
          </cell>
          <cell r="P34" t="str">
            <v>04E-07E</v>
          </cell>
        </row>
        <row r="36">
          <cell r="I36" t="str">
            <v>Revenues</v>
          </cell>
        </row>
        <row r="38">
          <cell r="G38" t="str">
            <v>CAGR</v>
          </cell>
          <cell r="I38" t="str">
            <v>Mobilkom Austria</v>
          </cell>
          <cell r="K38">
            <v>1599</v>
          </cell>
          <cell r="L38">
            <v>1626.5825785069351</v>
          </cell>
          <cell r="M38">
            <v>1630.1480875826933</v>
          </cell>
          <cell r="N38">
            <v>1621.1936583788051</v>
          </cell>
          <cell r="O38">
            <v>1601.8178015852393</v>
          </cell>
          <cell r="P38">
            <v>-5.1009875457762588E-3</v>
          </cell>
        </row>
        <row r="39">
          <cell r="B39" t="str">
            <v>MULTIPLES &amp; RATIOS</v>
          </cell>
          <cell r="C39" t="str">
            <v>2004E</v>
          </cell>
          <cell r="D39" t="str">
            <v>2005E</v>
          </cell>
          <cell r="E39" t="str">
            <v>2006E</v>
          </cell>
          <cell r="F39" t="str">
            <v>2007E</v>
          </cell>
          <cell r="G39" t="str">
            <v>04E-07E</v>
          </cell>
          <cell r="I39" t="str">
            <v>VIP-net</v>
          </cell>
          <cell r="K39">
            <v>341</v>
          </cell>
          <cell r="L39">
            <v>378.15599235701904</v>
          </cell>
          <cell r="M39">
            <v>401.77540630263428</v>
          </cell>
          <cell r="N39">
            <v>418.79420656321082</v>
          </cell>
          <cell r="O39">
            <v>442.06829644213576</v>
          </cell>
          <cell r="P39">
            <v>5.3431080706900946E-2</v>
          </cell>
        </row>
        <row r="40">
          <cell r="I40" t="str">
            <v>SiMobil</v>
          </cell>
          <cell r="K40">
            <v>82</v>
          </cell>
          <cell r="L40">
            <v>85.870978613784132</v>
          </cell>
          <cell r="M40">
            <v>90.853806979926347</v>
          </cell>
          <cell r="N40">
            <v>96.936530154280504</v>
          </cell>
          <cell r="O40">
            <v>101.54711945020065</v>
          </cell>
          <cell r="P40">
            <v>5.7483822102696536E-2</v>
          </cell>
        </row>
        <row r="41">
          <cell r="B41" t="str">
            <v>EV/Revenue</v>
          </cell>
          <cell r="C41">
            <v>2.3328382625984232</v>
          </cell>
          <cell r="D41">
            <v>2.172127504983338</v>
          </cell>
          <cell r="E41">
            <v>1.9840071646777298</v>
          </cell>
          <cell r="F41">
            <v>1.7938999479884765</v>
          </cell>
          <cell r="G41">
            <v>-5.6687586461606765E-3</v>
          </cell>
          <cell r="I41" t="str">
            <v>Eliminations</v>
          </cell>
          <cell r="K41">
            <v>-263</v>
          </cell>
          <cell r="L41">
            <v>-260.136501355164</v>
          </cell>
          <cell r="M41">
            <v>-258.59552841232016</v>
          </cell>
          <cell r="N41">
            <v>-257.79555639697674</v>
          </cell>
          <cell r="O41">
            <v>-256.67692326922065</v>
          </cell>
          <cell r="P41">
            <v>-4.4528273991401024E-3</v>
          </cell>
        </row>
        <row r="42">
          <cell r="B42" t="str">
            <v>EV/EBITDA</v>
          </cell>
          <cell r="C42">
            <v>5.7990705274501551</v>
          </cell>
          <cell r="D42">
            <v>5.4508682088210385</v>
          </cell>
          <cell r="E42">
            <v>5.0304814629284067</v>
          </cell>
          <cell r="F42">
            <v>4.6073142469808248</v>
          </cell>
          <cell r="G42">
            <v>-1.6428809792106813E-2</v>
          </cell>
          <cell r="I42" t="str">
            <v>Domestic fixed</v>
          </cell>
          <cell r="K42">
            <v>2165</v>
          </cell>
          <cell r="L42">
            <v>2186.5715083699083</v>
          </cell>
          <cell r="M42">
            <v>2120.8207405498842</v>
          </cell>
          <cell r="N42">
            <v>2089.5980054001388</v>
          </cell>
          <cell r="O42">
            <v>2060.3598234026267</v>
          </cell>
          <cell r="P42">
            <v>-1.9622965515986412E-2</v>
          </cell>
        </row>
        <row r="43">
          <cell r="B43" t="str">
            <v>EV/OpFCF</v>
          </cell>
          <cell r="C43">
            <v>8.8527465686944709</v>
          </cell>
          <cell r="D43">
            <v>8.4461598209838691</v>
          </cell>
          <cell r="E43">
            <v>7.6950139844519345</v>
          </cell>
          <cell r="F43">
            <v>6.9681022643789428</v>
          </cell>
          <cell r="G43">
            <v>-1.3364390219966604E-2</v>
          </cell>
          <cell r="I43" t="str">
            <v>Total</v>
          </cell>
          <cell r="K43">
            <v>3924</v>
          </cell>
          <cell r="L43">
            <v>4017.0445564924826</v>
          </cell>
          <cell r="M43">
            <v>3985.002513002818</v>
          </cell>
          <cell r="N43">
            <v>3968.7268440994585</v>
          </cell>
          <cell r="O43">
            <v>3949.1161176109817</v>
          </cell>
          <cell r="P43">
            <v>-5.6687586461606765E-3</v>
          </cell>
        </row>
        <row r="44">
          <cell r="B44" t="str">
            <v>EV/FCF</v>
          </cell>
          <cell r="C44">
            <v>13.413252376809806</v>
          </cell>
          <cell r="D44">
            <v>11.261546427978493</v>
          </cell>
          <cell r="E44">
            <v>10.260018645935912</v>
          </cell>
          <cell r="F44">
            <v>9.2908030191719249</v>
          </cell>
          <cell r="G44">
            <v>2.9585842206757418E-2</v>
          </cell>
          <cell r="I44" t="str">
            <v>% change</v>
          </cell>
          <cell r="L44">
            <v>2.3711660675963975E-2</v>
          </cell>
          <cell r="M44">
            <v>-7.976521803293668E-3</v>
          </cell>
          <cell r="N44">
            <v>-4.084230524385557E-3</v>
          </cell>
          <cell r="O44">
            <v>-4.941314244802042E-3</v>
          </cell>
        </row>
        <row r="45">
          <cell r="B45" t="str">
            <v>EV/Invested capital</v>
          </cell>
          <cell r="C45">
            <v>1.9407507185325283</v>
          </cell>
          <cell r="D45">
            <v>2.0183004510261879</v>
          </cell>
          <cell r="E45">
            <v>2.0691120768964555</v>
          </cell>
          <cell r="F45">
            <v>2.053925875692201</v>
          </cell>
          <cell r="G45">
            <v>-0.10608283396364737</v>
          </cell>
        </row>
        <row r="46">
          <cell r="B46" t="str">
            <v>EV/NFA</v>
          </cell>
          <cell r="C46">
            <v>2.3678007473243809</v>
          </cell>
          <cell r="D46">
            <v>2.4498956304304662</v>
          </cell>
          <cell r="E46">
            <v>2.4869180592261464</v>
          </cell>
          <cell r="F46">
            <v>2.4880647118990353</v>
          </cell>
          <cell r="G46">
            <v>-0.10395440755244711</v>
          </cell>
          <cell r="I46" t="str">
            <v>EBITDA</v>
          </cell>
        </row>
        <row r="47">
          <cell r="B47" t="str">
            <v>P/EFCF</v>
          </cell>
          <cell r="C47">
            <v>8.5103380950378256</v>
          </cell>
          <cell r="D47">
            <v>8.6148400499957667</v>
          </cell>
          <cell r="E47">
            <v>8.5921804197031086</v>
          </cell>
          <cell r="F47">
            <v>8.5288840275092941</v>
          </cell>
          <cell r="G47">
            <v>8.7174444493587355E-3</v>
          </cell>
        </row>
        <row r="48">
          <cell r="B48" t="str">
            <v>Adjusted P/E</v>
          </cell>
          <cell r="C48">
            <v>22.750596906309053</v>
          </cell>
          <cell r="D48">
            <v>17.861631991937209</v>
          </cell>
          <cell r="E48">
            <v>15.271411995488203</v>
          </cell>
          <cell r="F48">
            <v>13.693322372377102</v>
          </cell>
          <cell r="G48">
            <v>0.17523176912083183</v>
          </cell>
        </row>
        <row r="49">
          <cell r="B49" t="str">
            <v>Dividend yield</v>
          </cell>
          <cell r="C49">
            <v>1.5496688741721856E-2</v>
          </cell>
          <cell r="D49">
            <v>2.3245033112582785E-2</v>
          </cell>
          <cell r="E49">
            <v>3.021854304635762E-2</v>
          </cell>
          <cell r="F49">
            <v>3.6262251655629144E-2</v>
          </cell>
          <cell r="G49">
            <v>0.32761439426177286</v>
          </cell>
          <cell r="I49" t="str">
            <v>Mobilkom Austria</v>
          </cell>
          <cell r="K49">
            <v>584</v>
          </cell>
          <cell r="L49">
            <v>585.27064884054278</v>
          </cell>
          <cell r="M49">
            <v>563.93747843434494</v>
          </cell>
          <cell r="N49">
            <v>545.21746548333056</v>
          </cell>
          <cell r="O49">
            <v>526.21427181741376</v>
          </cell>
          <cell r="P49">
            <v>-3.4834122910932352E-2</v>
          </cell>
        </row>
        <row r="50">
          <cell r="B50" t="str">
            <v>EFCF yield</v>
          </cell>
          <cell r="C50">
            <v>0.11750414482158776</v>
          </cell>
          <cell r="D50">
            <v>0.11607876573407667</v>
          </cell>
          <cell r="E50">
            <v>0.11638489314154249</v>
          </cell>
          <cell r="F50">
            <v>0.11724863379248361</v>
          </cell>
          <cell r="G50">
            <v>8.7174444493587355E-3</v>
          </cell>
          <cell r="I50" t="str">
            <v>VIP-net</v>
          </cell>
          <cell r="K50">
            <v>139</v>
          </cell>
          <cell r="L50">
            <v>151.26239694280761</v>
          </cell>
          <cell r="M50">
            <v>160.71016252105372</v>
          </cell>
          <cell r="N50">
            <v>163.32974055965224</v>
          </cell>
          <cell r="O50">
            <v>167.98595264801159</v>
          </cell>
          <cell r="P50">
            <v>3.5572866676077952E-2</v>
          </cell>
        </row>
        <row r="51">
          <cell r="B51" t="str">
            <v>Net debt/EBITDA</v>
          </cell>
          <cell r="C51">
            <v>1.3740115732883744</v>
          </cell>
          <cell r="D51">
            <v>0.94664898909568651</v>
          </cell>
          <cell r="E51">
            <v>0.52786143645558437</v>
          </cell>
          <cell r="F51">
            <v>0.17433968980601489</v>
          </cell>
          <cell r="G51">
            <v>-0.49750089483922377</v>
          </cell>
          <cell r="I51" t="str">
            <v>SiMobil</v>
          </cell>
          <cell r="K51">
            <v>13</v>
          </cell>
          <cell r="L51">
            <v>17.174195722756828</v>
          </cell>
          <cell r="M51">
            <v>19.987837535583797</v>
          </cell>
          <cell r="N51">
            <v>22.295401935484517</v>
          </cell>
          <cell r="O51">
            <v>24.371308668048155</v>
          </cell>
          <cell r="P51">
            <v>0.1237442453294102</v>
          </cell>
        </row>
        <row r="52">
          <cell r="B52" t="str">
            <v>OpFCF/Net interest</v>
          </cell>
          <cell r="C52">
            <v>8.1583297825358922</v>
          </cell>
          <cell r="D52">
            <v>10.303299611232219</v>
          </cell>
          <cell r="E52">
            <v>16.444060021159483</v>
          </cell>
          <cell r="F52">
            <v>34.780269375157921</v>
          </cell>
          <cell r="G52">
            <v>0.62147613667056656</v>
          </cell>
          <cell r="I52" t="str">
            <v>Domestic fixed</v>
          </cell>
          <cell r="K52">
            <v>853</v>
          </cell>
          <cell r="L52">
            <v>872.26124854584009</v>
          </cell>
          <cell r="M52">
            <v>843.35623848236264</v>
          </cell>
          <cell r="N52">
            <v>834.41164280620023</v>
          </cell>
          <cell r="O52">
            <v>819.05295224326233</v>
          </cell>
          <cell r="P52">
            <v>-2.0761529024192815E-2</v>
          </cell>
        </row>
        <row r="53">
          <cell r="I53" t="str">
            <v>Total</v>
          </cell>
          <cell r="K53">
            <v>1592</v>
          </cell>
          <cell r="L53">
            <v>1615.9684900519471</v>
          </cell>
          <cell r="M53">
            <v>1587.9917169733451</v>
          </cell>
          <cell r="N53">
            <v>1565.2542507846676</v>
          </cell>
          <cell r="O53">
            <v>1537.6244853767359</v>
          </cell>
          <cell r="P53">
            <v>-1.6428809792106813E-2</v>
          </cell>
        </row>
        <row r="54">
          <cell r="B54" t="str">
            <v>BREAKDOWN OF VALUE</v>
          </cell>
          <cell r="D54" t="str">
            <v>RELATIVE VALUATION (2005)</v>
          </cell>
          <cell r="I54" t="str">
            <v>% change</v>
          </cell>
          <cell r="L54">
            <v>1.5055584203484296E-2</v>
          </cell>
          <cell r="M54">
            <v>-1.7312697153954226E-2</v>
          </cell>
          <cell r="N54">
            <v>-1.4318378330092418E-2</v>
          </cell>
          <cell r="O54">
            <v>-1.7651934434345651E-2</v>
          </cell>
        </row>
        <row r="55">
          <cell r="I55" t="str">
            <v>EBITDA margin</v>
          </cell>
          <cell r="K55">
            <v>0.40570846075433231</v>
          </cell>
          <cell r="L55">
            <v>0.40227796015858586</v>
          </cell>
          <cell r="M55">
            <v>0.39849202398036787</v>
          </cell>
          <cell r="N55">
            <v>0.39439707298370102</v>
          </cell>
          <cell r="O55">
            <v>0.38935914761273771</v>
          </cell>
        </row>
        <row r="57">
          <cell r="I57" t="str">
            <v>Capex</v>
          </cell>
        </row>
        <row r="60">
          <cell r="I60" t="str">
            <v>Mobilkom Austria</v>
          </cell>
          <cell r="K60">
            <v>203</v>
          </cell>
          <cell r="L60">
            <v>182.7</v>
          </cell>
          <cell r="M60">
            <v>186.35400000000001</v>
          </cell>
          <cell r="N60">
            <v>190.08108000000001</v>
          </cell>
          <cell r="O60">
            <v>186.27945840000001</v>
          </cell>
          <cell r="P60">
            <v>6.4884752993454864E-3</v>
          </cell>
        </row>
        <row r="61">
          <cell r="I61" t="str">
            <v>VIP-net</v>
          </cell>
          <cell r="K61">
            <v>71</v>
          </cell>
          <cell r="L61">
            <v>75.631198471403806</v>
          </cell>
          <cell r="M61">
            <v>72.319573134474169</v>
          </cell>
          <cell r="N61">
            <v>62.819130984481617</v>
          </cell>
          <cell r="O61">
            <v>61.88956150189901</v>
          </cell>
          <cell r="P61">
            <v>-6.4654327880310114E-2</v>
          </cell>
        </row>
        <row r="62">
          <cell r="I62" t="str">
            <v>SiMobil</v>
          </cell>
          <cell r="K62">
            <v>16</v>
          </cell>
          <cell r="L62">
            <v>25.761293584135238</v>
          </cell>
          <cell r="M62">
            <v>18.17076139598527</v>
          </cell>
          <cell r="N62">
            <v>17.448575427770489</v>
          </cell>
          <cell r="O62">
            <v>15.232067917530097</v>
          </cell>
          <cell r="P62">
            <v>-0.16067453417741362</v>
          </cell>
        </row>
        <row r="63">
          <cell r="I63" t="str">
            <v>Domestic fixed</v>
          </cell>
          <cell r="K63">
            <v>301</v>
          </cell>
          <cell r="L63">
            <v>273.32143854623854</v>
          </cell>
          <cell r="M63">
            <v>286.31079997423438</v>
          </cell>
          <cell r="N63">
            <v>271.64774070201804</v>
          </cell>
          <cell r="O63">
            <v>257.54497792532834</v>
          </cell>
          <cell r="P63">
            <v>-1.9622965515986412E-2</v>
          </cell>
        </row>
        <row r="64">
          <cell r="I64" t="str">
            <v>Total</v>
          </cell>
          <cell r="K64">
            <v>591</v>
          </cell>
          <cell r="L64">
            <v>557.41393060177757</v>
          </cell>
          <cell r="M64">
            <v>563.15513450469382</v>
          </cell>
          <cell r="N64">
            <v>541.99652711427018</v>
          </cell>
          <cell r="O64">
            <v>520.94606574475745</v>
          </cell>
          <cell r="P64">
            <v>-2.2301426685567449E-2</v>
          </cell>
        </row>
        <row r="65">
          <cell r="I65" t="str">
            <v>% change</v>
          </cell>
          <cell r="L65">
            <v>-5.6829220639970313E-2</v>
          </cell>
          <cell r="M65">
            <v>1.0299713709555292E-2</v>
          </cell>
          <cell r="N65">
            <v>-3.7571543068737334E-2</v>
          </cell>
          <cell r="O65">
            <v>-3.883873847234931E-2</v>
          </cell>
        </row>
        <row r="66">
          <cell r="I66" t="str">
            <v>Capex/sales</v>
          </cell>
          <cell r="K66">
            <v>0.15061162079510704</v>
          </cell>
          <cell r="L66">
            <v>0.13876219762134986</v>
          </cell>
          <cell r="M66">
            <v>0.14131863974166975</v>
          </cell>
          <cell r="N66">
            <v>0.13656685088319659</v>
          </cell>
          <cell r="O66">
            <v>0.1319145981607408</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TKA 5 7/22/2013</v>
          </cell>
          <cell r="D71" t="str">
            <v>Baa2</v>
          </cell>
          <cell r="E71" t="str">
            <v>N/A</v>
          </cell>
          <cell r="F71" t="str">
            <v>BBB</v>
          </cell>
          <cell r="G71" t="str">
            <v>N/A</v>
          </cell>
        </row>
        <row r="75">
          <cell r="E75" t="str">
            <v>Issue size</v>
          </cell>
          <cell r="F75" t="str">
            <v>Yld to mat</v>
          </cell>
          <cell r="G75" t="str">
            <v xml:space="preserve">Price </v>
          </cell>
        </row>
        <row r="76">
          <cell r="B76" t="str">
            <v xml:space="preserve"> TKA 5 7/22/2013</v>
          </cell>
          <cell r="E76" t="str">
            <v>€750</v>
          </cell>
          <cell r="F76">
            <v>3.95E-2</v>
          </cell>
          <cell r="G76">
            <v>107.04</v>
          </cell>
        </row>
        <row r="80">
          <cell r="E80" t="str">
            <v>OAS 12m chg</v>
          </cell>
          <cell r="F80" t="str">
            <v>12m tot ret</v>
          </cell>
          <cell r="G80" t="str">
            <v xml:space="preserve">OAS </v>
          </cell>
        </row>
        <row r="81">
          <cell r="B81" t="str">
            <v xml:space="preserve"> TKA 5 7/22/2013</v>
          </cell>
          <cell r="E81">
            <v>-26</v>
          </cell>
          <cell r="F81">
            <v>0.10459</v>
          </cell>
          <cell r="G81">
            <v>46</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39" refreshError="1">
        <row r="6">
          <cell r="S6" t="str">
            <v xml:space="preserve"> Telenor (Buy) TP: NOK69.0  (+18.5%)</v>
          </cell>
        </row>
        <row r="8">
          <cell r="G8" t="str">
            <v>CAGR</v>
          </cell>
          <cell r="P8" t="str">
            <v>CAGR</v>
          </cell>
        </row>
        <row r="9">
          <cell r="B9" t="str">
            <v>EV CALCULATION (NOKm)</v>
          </cell>
          <cell r="C9" t="str">
            <v>2004A</v>
          </cell>
          <cell r="D9" t="str">
            <v>2005E</v>
          </cell>
          <cell r="E9" t="str">
            <v>2006E</v>
          </cell>
          <cell r="F9" t="str">
            <v>2007E</v>
          </cell>
          <cell r="G9" t="str">
            <v>04E-07E</v>
          </cell>
          <cell r="I9" t="str">
            <v>FINANCIALS (NOKm)</v>
          </cell>
          <cell r="K9" t="str">
            <v>2003A</v>
          </cell>
          <cell r="L9" t="str">
            <v>2004A</v>
          </cell>
          <cell r="M9" t="str">
            <v>2005E</v>
          </cell>
          <cell r="N9" t="str">
            <v>2006E</v>
          </cell>
          <cell r="O9" t="str">
            <v>2007E</v>
          </cell>
          <cell r="P9" t="str">
            <v>04E-07E</v>
          </cell>
        </row>
        <row r="11">
          <cell r="B11" t="str">
            <v>Share price, NOK</v>
          </cell>
          <cell r="C11">
            <v>58.25</v>
          </cell>
          <cell r="I11" t="str">
            <v>Revenue</v>
          </cell>
          <cell r="K11">
            <v>53230</v>
          </cell>
          <cell r="L11">
            <v>61301</v>
          </cell>
          <cell r="M11">
            <v>67492.677613992928</v>
          </cell>
          <cell r="N11">
            <v>72789.035203312902</v>
          </cell>
          <cell r="O11">
            <v>75093.078876422704</v>
          </cell>
          <cell r="P11">
            <v>6.9984411750646069E-2</v>
          </cell>
        </row>
        <row r="12">
          <cell r="B12" t="str">
            <v>Number of shares</v>
          </cell>
          <cell r="C12">
            <v>1761.7393079999999</v>
          </cell>
          <cell r="D12">
            <v>1744.2011640000001</v>
          </cell>
          <cell r="E12">
            <v>1744.2011640000001</v>
          </cell>
          <cell r="F12">
            <v>1744.2011640000001</v>
          </cell>
          <cell r="I12" t="str">
            <v>EBITDA</v>
          </cell>
          <cell r="K12">
            <v>18291</v>
          </cell>
          <cell r="L12">
            <v>21024</v>
          </cell>
          <cell r="M12">
            <v>24619.175319702896</v>
          </cell>
          <cell r="N12">
            <v>27041.781641463487</v>
          </cell>
          <cell r="O12">
            <v>28023.950749977525</v>
          </cell>
          <cell r="P12">
            <v>0.10053705820624415</v>
          </cell>
        </row>
        <row r="13">
          <cell r="B13" t="str">
            <v>Market cap.</v>
          </cell>
          <cell r="C13">
            <v>102621.31469099999</v>
          </cell>
          <cell r="D13">
            <v>101599.71780300001</v>
          </cell>
          <cell r="E13">
            <v>101599.71780300001</v>
          </cell>
          <cell r="F13">
            <v>101599.71780300001</v>
          </cell>
          <cell r="I13" t="str">
            <v>Capex</v>
          </cell>
          <cell r="K13">
            <v>6496</v>
          </cell>
          <cell r="L13">
            <v>12790.8</v>
          </cell>
          <cell r="M13">
            <v>14339.714462059603</v>
          </cell>
          <cell r="N13">
            <v>11704.305513741941</v>
          </cell>
          <cell r="O13">
            <v>10661.080550221086</v>
          </cell>
          <cell r="P13">
            <v>-5.8902747572522451E-2</v>
          </cell>
        </row>
        <row r="14">
          <cell r="B14" t="str">
            <v>Plus: Net debt (Cash)</v>
          </cell>
          <cell r="C14">
            <v>19361</v>
          </cell>
          <cell r="D14">
            <v>14884.112649340981</v>
          </cell>
          <cell r="E14">
            <v>8336.9725403576867</v>
          </cell>
          <cell r="F14">
            <v>168.9425583115335</v>
          </cell>
          <cell r="I14" t="str">
            <v>OpFCF (EBITDA - capex)</v>
          </cell>
          <cell r="K14">
            <v>11795</v>
          </cell>
          <cell r="L14">
            <v>8233.2000000000007</v>
          </cell>
          <cell r="M14">
            <v>10279.460857643293</v>
          </cell>
          <cell r="N14">
            <v>15337.476127721549</v>
          </cell>
          <cell r="O14">
            <v>17362.870199756439</v>
          </cell>
          <cell r="P14">
            <v>0.28238260316982156</v>
          </cell>
        </row>
        <row r="15">
          <cell r="B15" t="str">
            <v>Plus: Other financial liabilities</v>
          </cell>
          <cell r="C15">
            <v>1447</v>
          </cell>
          <cell r="D15">
            <v>1447</v>
          </cell>
          <cell r="E15">
            <v>1447</v>
          </cell>
          <cell r="F15">
            <v>1447</v>
          </cell>
          <cell r="I15" t="str">
            <v>FCF (OpFCF * (1-tax rate))</v>
          </cell>
          <cell r="K15">
            <v>7271.2033898305099</v>
          </cell>
          <cell r="L15">
            <v>5680.9080000000004</v>
          </cell>
          <cell r="M15">
            <v>7092.8279917738719</v>
          </cell>
          <cell r="N15">
            <v>10582.858528127868</v>
          </cell>
          <cell r="O15">
            <v>11980.380437831942</v>
          </cell>
          <cell r="P15">
            <v>0.28238260316982156</v>
          </cell>
        </row>
        <row r="16">
          <cell r="B16" t="str">
            <v>Less: Associates</v>
          </cell>
          <cell r="C16">
            <v>18947.083655233047</v>
          </cell>
          <cell r="D16">
            <v>18947.083655233047</v>
          </cell>
          <cell r="E16">
            <v>18947.083655233047</v>
          </cell>
          <cell r="F16">
            <v>18947.083655233047</v>
          </cell>
          <cell r="I16" t="str">
            <v>EFCF</v>
          </cell>
          <cell r="K16">
            <v>9400</v>
          </cell>
          <cell r="L16">
            <v>5761.9</v>
          </cell>
          <cell r="M16">
            <v>5054.0677284025714</v>
          </cell>
          <cell r="N16">
            <v>9436.2259178165932</v>
          </cell>
          <cell r="O16">
            <v>11501.143982514299</v>
          </cell>
          <cell r="P16">
            <v>0.25909483168162528</v>
          </cell>
        </row>
        <row r="17">
          <cell r="B17" t="str">
            <v>Plus: Minorities</v>
          </cell>
          <cell r="C17">
            <v>16892.684077970571</v>
          </cell>
          <cell r="D17">
            <v>16892.684077970571</v>
          </cell>
          <cell r="E17">
            <v>16892.684077970571</v>
          </cell>
          <cell r="F17">
            <v>16892.684077970571</v>
          </cell>
          <cell r="I17" t="str">
            <v>Adj net Income</v>
          </cell>
          <cell r="K17">
            <v>5985</v>
          </cell>
          <cell r="L17">
            <v>8182.7027722772291</v>
          </cell>
          <cell r="M17">
            <v>9186.3349356101589</v>
          </cell>
          <cell r="N17">
            <v>11067.714683620889</v>
          </cell>
          <cell r="O17">
            <v>12003.605134463485</v>
          </cell>
          <cell r="P17">
            <v>0.13624410087517647</v>
          </cell>
        </row>
        <row r="18">
          <cell r="B18" t="str">
            <v>Less: Cumulative dividends</v>
          </cell>
          <cell r="C18">
            <v>0</v>
          </cell>
          <cell r="D18">
            <v>2674.3202309999997</v>
          </cell>
          <cell r="E18">
            <v>5435.2483527000004</v>
          </cell>
          <cell r="F18">
            <v>8731.7885526600003</v>
          </cell>
          <cell r="I18" t="str">
            <v>Clean EPS</v>
          </cell>
          <cell r="K18">
            <v>3.3181415856835912</v>
          </cell>
          <cell r="L18">
            <v>4.5895977662429175</v>
          </cell>
          <cell r="M18">
            <v>5.2404397672900123</v>
          </cell>
          <cell r="N18">
            <v>6.3454347537752751</v>
          </cell>
          <cell r="O18">
            <v>6.8820072949243167</v>
          </cell>
          <cell r="P18">
            <v>0.14458179596512077</v>
          </cell>
        </row>
        <row r="19">
          <cell r="B19" t="str">
            <v>Less: NPV YE tax credit</v>
          </cell>
          <cell r="C19">
            <v>3577.6078157844972</v>
          </cell>
          <cell r="D19">
            <v>1863.8164410472568</v>
          </cell>
          <cell r="E19">
            <v>1995.0017563310375</v>
          </cell>
          <cell r="F19">
            <v>2109.5218968375211</v>
          </cell>
          <cell r="I19" t="str">
            <v>DPS</v>
          </cell>
          <cell r="K19">
            <v>1</v>
          </cell>
          <cell r="L19">
            <v>1.5</v>
          </cell>
          <cell r="M19">
            <v>1.575</v>
          </cell>
          <cell r="N19">
            <v>1.89</v>
          </cell>
          <cell r="O19">
            <v>2.2680000000000002</v>
          </cell>
          <cell r="P19">
            <v>0.14775870966343341</v>
          </cell>
        </row>
        <row r="20">
          <cell r="B20" t="str">
            <v>Enterprise Value</v>
          </cell>
          <cell r="C20">
            <v>128518.77819797256</v>
          </cell>
          <cell r="D20">
            <v>111338.29420303126</v>
          </cell>
          <cell r="E20">
            <v>101899.04065706418</v>
          </cell>
          <cell r="F20">
            <v>90319.95033455154</v>
          </cell>
          <cell r="G20">
            <v>-8.4729547534305727E-2</v>
          </cell>
          <cell r="J20" t="str">
            <v>Cash flow</v>
          </cell>
        </row>
        <row r="21">
          <cell r="J21" t="str">
            <v>OpFCF</v>
          </cell>
          <cell r="K21">
            <v>11795</v>
          </cell>
          <cell r="L21">
            <v>8233.2000000000007</v>
          </cell>
          <cell r="M21">
            <v>10279.460857643293</v>
          </cell>
          <cell r="N21">
            <v>15337.476127721549</v>
          </cell>
          <cell r="O21">
            <v>17362.870199756439</v>
          </cell>
        </row>
        <row r="22">
          <cell r="B22" t="str">
            <v>PRICE PERFORMANCE, -1Y</v>
          </cell>
          <cell r="J22" t="str">
            <v>Less: Interest payments</v>
          </cell>
          <cell r="K22">
            <v>-1365</v>
          </cell>
          <cell r="L22">
            <v>1526</v>
          </cell>
          <cell r="M22">
            <v>-1019.7209117926782</v>
          </cell>
          <cell r="N22">
            <v>-665.23709117673229</v>
          </cell>
          <cell r="O22">
            <v>-192.06249741072014</v>
          </cell>
        </row>
        <row r="23">
          <cell r="J23" t="str">
            <v>Less: Tax paid</v>
          </cell>
          <cell r="K23">
            <v>-3283</v>
          </cell>
          <cell r="L23">
            <v>516</v>
          </cell>
          <cell r="M23">
            <v>-2151.5222174480423</v>
          </cell>
          <cell r="N23">
            <v>-5036.2356187282257</v>
          </cell>
          <cell r="O23">
            <v>-5433.6333448314217</v>
          </cell>
        </row>
        <row r="24">
          <cell r="J24" t="str">
            <v>Less: Change in WC</v>
          </cell>
          <cell r="K24">
            <v>-1014</v>
          </cell>
          <cell r="L24">
            <v>-773</v>
          </cell>
          <cell r="M24">
            <v>272.98985325644526</v>
          </cell>
          <cell r="N24">
            <v>-97.935187133296949</v>
          </cell>
          <cell r="O24">
            <v>-42.604175508143385</v>
          </cell>
        </row>
        <row r="25">
          <cell r="J25" t="str">
            <v>Less: non-cash interest gains</v>
          </cell>
          <cell r="K25">
            <v>0</v>
          </cell>
          <cell r="L25">
            <v>-2509</v>
          </cell>
          <cell r="M25">
            <v>0</v>
          </cell>
          <cell r="N25">
            <v>0</v>
          </cell>
          <cell r="O25">
            <v>0</v>
          </cell>
        </row>
        <row r="26">
          <cell r="J26" t="str">
            <v>Les: Other</v>
          </cell>
          <cell r="K26">
            <v>-800</v>
          </cell>
          <cell r="L26">
            <v>-3364.2525000000005</v>
          </cell>
          <cell r="M26">
            <v>-230</v>
          </cell>
          <cell r="N26">
            <v>-230</v>
          </cell>
          <cell r="O26">
            <v>-230</v>
          </cell>
        </row>
        <row r="27">
          <cell r="J27" t="str">
            <v>Sub total</v>
          </cell>
          <cell r="K27">
            <v>5333</v>
          </cell>
          <cell r="L27">
            <v>3628.9475000000002</v>
          </cell>
          <cell r="M27">
            <v>7151.2075816590186</v>
          </cell>
          <cell r="N27">
            <v>9308.068230683295</v>
          </cell>
          <cell r="O27">
            <v>11464.570182006153</v>
          </cell>
        </row>
        <row r="28">
          <cell r="J28" t="str">
            <v>Less: Disposals/acquis.</v>
          </cell>
          <cell r="K28">
            <v>4521</v>
          </cell>
          <cell r="L28">
            <v>-512.22699999999986</v>
          </cell>
          <cell r="M28">
            <v>0</v>
          </cell>
          <cell r="N28">
            <v>0</v>
          </cell>
          <cell r="O28">
            <v>0</v>
          </cell>
        </row>
        <row r="29">
          <cell r="J29" t="str">
            <v>Less: Dividends paid</v>
          </cell>
          <cell r="K29">
            <v>-799</v>
          </cell>
          <cell r="L29">
            <v>-1803.7204999999999</v>
          </cell>
          <cell r="M29">
            <v>-2674.3202309999997</v>
          </cell>
          <cell r="N29">
            <v>-2760.9281217000007</v>
          </cell>
          <cell r="O29">
            <v>-3296.5401999600003</v>
          </cell>
        </row>
        <row r="30">
          <cell r="J30" t="str">
            <v>Less: Share buyback</v>
          </cell>
          <cell r="K30">
            <v>0</v>
          </cell>
          <cell r="L30">
            <v>-2857</v>
          </cell>
          <cell r="M30">
            <v>0</v>
          </cell>
          <cell r="N30">
            <v>0</v>
          </cell>
          <cell r="O30">
            <v>0</v>
          </cell>
        </row>
        <row r="31">
          <cell r="J31" t="str">
            <v>Chg in Net debt/Cash</v>
          </cell>
          <cell r="K31">
            <v>9055</v>
          </cell>
          <cell r="L31">
            <v>-1543.9999999999995</v>
          </cell>
          <cell r="M31">
            <v>4476.8873506590189</v>
          </cell>
          <cell r="N31">
            <v>6547.1401089832943</v>
          </cell>
          <cell r="O31">
            <v>8168.0299820461532</v>
          </cell>
        </row>
        <row r="32">
          <cell r="J32" t="str">
            <v>Net debt (Cash)</v>
          </cell>
          <cell r="K32">
            <v>17817</v>
          </cell>
          <cell r="L32">
            <v>19361</v>
          </cell>
          <cell r="M32">
            <v>14884.112649340981</v>
          </cell>
          <cell r="N32">
            <v>8336.9725403576867</v>
          </cell>
          <cell r="O32">
            <v>168.9425583115335</v>
          </cell>
        </row>
        <row r="33">
          <cell r="P33" t="str">
            <v>CAGR</v>
          </cell>
        </row>
        <row r="34">
          <cell r="I34" t="str">
            <v>DIVISIONAL (NOKm)</v>
          </cell>
          <cell r="K34" t="str">
            <v>2003A</v>
          </cell>
          <cell r="L34" t="str">
            <v>2004A</v>
          </cell>
          <cell r="M34" t="str">
            <v>2005E</v>
          </cell>
          <cell r="N34" t="str">
            <v>2006E</v>
          </cell>
          <cell r="O34" t="str">
            <v>2007E</v>
          </cell>
          <cell r="P34" t="str">
            <v>04E-07E</v>
          </cell>
        </row>
        <row r="36">
          <cell r="I36" t="str">
            <v>Revenues</v>
          </cell>
        </row>
        <row r="37">
          <cell r="I37" t="str">
            <v xml:space="preserve">Norway mobile </v>
          </cell>
          <cell r="K37">
            <v>9639</v>
          </cell>
          <cell r="L37">
            <v>10508</v>
          </cell>
          <cell r="M37">
            <v>10739.333953521807</v>
          </cell>
          <cell r="N37">
            <v>11249.088398094549</v>
          </cell>
          <cell r="O37">
            <v>11353.393452631368</v>
          </cell>
          <cell r="P37">
            <v>2.6128794948889755E-2</v>
          </cell>
        </row>
        <row r="38">
          <cell r="G38" t="str">
            <v>CAGR</v>
          </cell>
          <cell r="I38" t="str">
            <v>International mobile</v>
          </cell>
          <cell r="K38">
            <v>14171</v>
          </cell>
          <cell r="L38">
            <v>22444.276397515525</v>
          </cell>
          <cell r="M38">
            <v>28700.447239691999</v>
          </cell>
          <cell r="N38">
            <v>32964.990545725639</v>
          </cell>
          <cell r="O38">
            <v>35122.358800852628</v>
          </cell>
          <cell r="P38">
            <v>0.1609834324934456</v>
          </cell>
        </row>
        <row r="39">
          <cell r="B39" t="str">
            <v>MULTIPLES &amp; RATIOS</v>
          </cell>
          <cell r="C39" t="str">
            <v>2004A</v>
          </cell>
          <cell r="D39" t="str">
            <v>2005E</v>
          </cell>
          <cell r="E39" t="str">
            <v>2006E</v>
          </cell>
          <cell r="F39" t="str">
            <v>2007E</v>
          </cell>
          <cell r="G39" t="str">
            <v>04E-07E</v>
          </cell>
          <cell r="I39" t="str">
            <v>Wireline</v>
          </cell>
          <cell r="K39">
            <v>20509</v>
          </cell>
          <cell r="L39">
            <v>19266</v>
          </cell>
          <cell r="M39">
            <v>18856.320469762581</v>
          </cell>
          <cell r="N39">
            <v>18630.551278632109</v>
          </cell>
          <cell r="O39">
            <v>18254.275728069795</v>
          </cell>
          <cell r="P39">
            <v>-1.7820157531933778E-2</v>
          </cell>
        </row>
        <row r="40">
          <cell r="I40" t="str">
            <v>Broadcasting &amp; Group</v>
          </cell>
          <cell r="K40">
            <v>11209</v>
          </cell>
          <cell r="L40">
            <v>11030</v>
          </cell>
          <cell r="M40">
            <v>11616.92339157997</v>
          </cell>
          <cell r="N40">
            <v>12008.369262996428</v>
          </cell>
          <cell r="O40">
            <v>12265.521486567392</v>
          </cell>
          <cell r="P40">
            <v>3.6024840227416366E-2</v>
          </cell>
        </row>
        <row r="41">
          <cell r="B41" t="str">
            <v>EV/Revenue</v>
          </cell>
          <cell r="C41">
            <v>1.9216212997822713</v>
          </cell>
          <cell r="D41">
            <v>1.6496351624957317</v>
          </cell>
          <cell r="E41">
            <v>1.3999229468070538</v>
          </cell>
          <cell r="F41">
            <v>1.2027733006285042</v>
          </cell>
          <cell r="G41">
            <v>6.9984411750646069E-2</v>
          </cell>
          <cell r="I41" t="str">
            <v>EDB Business Partner</v>
          </cell>
          <cell r="K41">
            <v>4270</v>
          </cell>
          <cell r="L41">
            <v>4235</v>
          </cell>
          <cell r="M41">
            <v>4362.05</v>
          </cell>
          <cell r="N41">
            <v>4449.2910000000002</v>
          </cell>
          <cell r="O41">
            <v>4493.7839100000001</v>
          </cell>
          <cell r="P41">
            <v>1.9967319214357238E-2</v>
          </cell>
        </row>
        <row r="42">
          <cell r="B42" t="str">
            <v>EV/EBITDA</v>
          </cell>
          <cell r="C42">
            <v>5.6029921659985265</v>
          </cell>
          <cell r="D42">
            <v>4.5224217609728967</v>
          </cell>
          <cell r="E42">
            <v>3.7682073617820047</v>
          </cell>
          <cell r="F42">
            <v>3.2229556474874972</v>
          </cell>
          <cell r="G42">
            <v>0.10053705820624415</v>
          </cell>
          <cell r="I42" t="str">
            <v>Eliminations</v>
          </cell>
          <cell r="K42">
            <v>-6800</v>
          </cell>
          <cell r="L42">
            <v>-6581.2763975155276</v>
          </cell>
          <cell r="M42">
            <v>-6782.3974405634408</v>
          </cell>
          <cell r="N42">
            <v>-6513.2552821358222</v>
          </cell>
          <cell r="O42">
            <v>-6396.2545016984868</v>
          </cell>
          <cell r="P42">
            <v>-9.4603410521094666E-3</v>
          </cell>
        </row>
        <row r="43">
          <cell r="B43" t="str">
            <v>EV/OpFCF</v>
          </cell>
          <cell r="C43">
            <v>14.307596960835763</v>
          </cell>
          <cell r="D43">
            <v>10.831141413437619</v>
          </cell>
          <cell r="E43">
            <v>6.6437945727516343</v>
          </cell>
          <cell r="F43">
            <v>5.2019020643152949</v>
          </cell>
          <cell r="G43">
            <v>0.28238260316982156</v>
          </cell>
          <cell r="I43" t="str">
            <v>Total</v>
          </cell>
          <cell r="K43">
            <v>53230</v>
          </cell>
          <cell r="L43">
            <v>61301</v>
          </cell>
          <cell r="M43">
            <v>67492.677613992928</v>
          </cell>
          <cell r="N43">
            <v>72789.035203312902</v>
          </cell>
          <cell r="O43">
            <v>75093.078876422704</v>
          </cell>
          <cell r="P43">
            <v>6.9984411750646069E-2</v>
          </cell>
        </row>
        <row r="44">
          <cell r="B44" t="str">
            <v>EV/FCF</v>
          </cell>
          <cell r="C44">
            <v>20.735647769327194</v>
          </cell>
          <cell r="D44">
            <v>15.697306396286406</v>
          </cell>
          <cell r="E44">
            <v>9.6286877865965721</v>
          </cell>
          <cell r="F44">
            <v>7.538988499007675</v>
          </cell>
          <cell r="G44">
            <v>0.28238260316982156</v>
          </cell>
          <cell r="I44" t="str">
            <v>% change</v>
          </cell>
          <cell r="L44">
            <v>0.15162502348299833</v>
          </cell>
          <cell r="M44">
            <v>0.10100451238956842</v>
          </cell>
          <cell r="N44">
            <v>7.8473069621139313E-2</v>
          </cell>
          <cell r="O44">
            <v>3.1653719089340671E-2</v>
          </cell>
        </row>
        <row r="45">
          <cell r="B45" t="str">
            <v>EV/Invested capital</v>
          </cell>
          <cell r="C45">
            <v>1.9371371040610592</v>
          </cell>
          <cell r="D45">
            <v>1.7460413361002451</v>
          </cell>
          <cell r="E45">
            <v>1.5289418352390183</v>
          </cell>
          <cell r="F45">
            <v>1.3206252616064769</v>
          </cell>
          <cell r="G45">
            <v>3.9943381821394119E-2</v>
          </cell>
        </row>
        <row r="46">
          <cell r="B46" t="str">
            <v>EV/NFA</v>
          </cell>
          <cell r="C46">
            <v>3.1416804186679026</v>
          </cell>
          <cell r="D46">
            <v>2.2451503662243972</v>
          </cell>
          <cell r="E46">
            <v>1.9457389500547857</v>
          </cell>
          <cell r="F46">
            <v>1.6790762847418479</v>
          </cell>
          <cell r="G46">
            <v>0.1278377707821956</v>
          </cell>
          <cell r="I46" t="str">
            <v>EBITDA</v>
          </cell>
        </row>
        <row r="47">
          <cell r="B47" t="str">
            <v>P/EFCF</v>
          </cell>
          <cell r="C47">
            <v>17.189417878688538</v>
          </cell>
          <cell r="D47">
            <v>19.73378805382097</v>
          </cell>
          <cell r="E47">
            <v>10.555567121236969</v>
          </cell>
          <cell r="F47">
            <v>8.6504608634951321</v>
          </cell>
          <cell r="G47">
            <v>0.25909483168162528</v>
          </cell>
        </row>
        <row r="48">
          <cell r="B48" t="str">
            <v>Adjusted P/E</v>
          </cell>
          <cell r="C48">
            <v>12.691744019146133</v>
          </cell>
          <cell r="D48">
            <v>11.115479346521106</v>
          </cell>
          <cell r="E48">
            <v>9.1798280591166144</v>
          </cell>
          <cell r="F48">
            <v>8.4641002986092584</v>
          </cell>
          <cell r="G48">
            <v>0.13624410087517647</v>
          </cell>
          <cell r="I48" t="str">
            <v xml:space="preserve">Norway mobile </v>
          </cell>
          <cell r="K48">
            <v>4262</v>
          </cell>
          <cell r="L48">
            <v>4283</v>
          </cell>
          <cell r="M48">
            <v>4277.2097285890814</v>
          </cell>
          <cell r="N48">
            <v>4196.6250763356511</v>
          </cell>
          <cell r="O48">
            <v>4015.4105338792651</v>
          </cell>
          <cell r="P48">
            <v>-2.127512464615422E-2</v>
          </cell>
        </row>
        <row r="49">
          <cell r="B49" t="str">
            <v>Dividend yield</v>
          </cell>
          <cell r="C49">
            <v>2.575107296137339E-2</v>
          </cell>
          <cell r="D49">
            <v>2.7038626609442059E-2</v>
          </cell>
          <cell r="E49">
            <v>3.2446351931330469E-2</v>
          </cell>
          <cell r="F49">
            <v>3.893562231759657E-2</v>
          </cell>
          <cell r="G49">
            <v>0.14775870966343341</v>
          </cell>
          <cell r="I49" t="str">
            <v>International mobile</v>
          </cell>
          <cell r="K49">
            <v>5305</v>
          </cell>
          <cell r="L49">
            <v>7897</v>
          </cell>
          <cell r="M49">
            <v>11192.9044846536</v>
          </cell>
          <cell r="N49">
            <v>13514.02754921274</v>
          </cell>
          <cell r="O49">
            <v>14846.379460000069</v>
          </cell>
          <cell r="P49">
            <v>0.23420169780186906</v>
          </cell>
        </row>
        <row r="50">
          <cell r="B50" t="str">
            <v>EFCF yield</v>
          </cell>
          <cell r="C50">
            <v>5.8175326649065953E-2</v>
          </cell>
          <cell r="D50">
            <v>5.0674507969410074E-2</v>
          </cell>
          <cell r="E50">
            <v>9.4736738302585263E-2</v>
          </cell>
          <cell r="F50">
            <v>0.11560077732043053</v>
          </cell>
          <cell r="G50">
            <v>0.25909483168162528</v>
          </cell>
          <cell r="I50" t="str">
            <v>Wireline</v>
          </cell>
          <cell r="K50">
            <v>6665</v>
          </cell>
          <cell r="L50">
            <v>6277</v>
          </cell>
          <cell r="M50">
            <v>6014.2494768474935</v>
          </cell>
          <cell r="N50">
            <v>5982.4289378167468</v>
          </cell>
          <cell r="O50">
            <v>5799.7248370594798</v>
          </cell>
          <cell r="P50">
            <v>-2.6016154881938425E-2</v>
          </cell>
        </row>
        <row r="51">
          <cell r="B51" t="str">
            <v>Net debt/EBITDA</v>
          </cell>
          <cell r="C51">
            <v>0.92089992389649922</v>
          </cell>
          <cell r="D51">
            <v>0.60457397358184961</v>
          </cell>
          <cell r="E51">
            <v>0.30829967680733383</v>
          </cell>
          <cell r="F51">
            <v>6.0285061096058698E-3</v>
          </cell>
          <cell r="G51">
            <v>-0.81293217818017305</v>
          </cell>
          <cell r="I51" t="str">
            <v>Broadcasting &amp; Group</v>
          </cell>
          <cell r="K51">
            <v>1660</v>
          </cell>
          <cell r="L51">
            <v>1938</v>
          </cell>
          <cell r="M51">
            <v>2306.0221296127202</v>
          </cell>
          <cell r="N51">
            <v>2414.3489680983503</v>
          </cell>
          <cell r="O51">
            <v>2418.7412979387127</v>
          </cell>
          <cell r="P51">
            <v>7.6659927066698552E-2</v>
          </cell>
        </row>
        <row r="52">
          <cell r="B52" t="str">
            <v>OpFCF/Net interest</v>
          </cell>
          <cell r="C52">
            <v>-5.3952817824377464</v>
          </cell>
          <cell r="D52">
            <v>10.080661030646034</v>
          </cell>
          <cell r="E52">
            <v>23.055653888136661</v>
          </cell>
          <cell r="F52">
            <v>90.402189046966512</v>
          </cell>
          <cell r="G52">
            <v>-3.5589095691419677</v>
          </cell>
          <cell r="I52" t="str">
            <v>EDB Business Partner</v>
          </cell>
          <cell r="K52">
            <v>399</v>
          </cell>
          <cell r="L52">
            <v>629</v>
          </cell>
          <cell r="M52">
            <v>828.78950000000009</v>
          </cell>
          <cell r="N52">
            <v>934.35110999999995</v>
          </cell>
          <cell r="O52">
            <v>943.69462109999995</v>
          </cell>
          <cell r="P52">
            <v>0.14479294604332082</v>
          </cell>
        </row>
        <row r="53">
          <cell r="I53" t="str">
            <v>Total</v>
          </cell>
          <cell r="K53">
            <v>18291</v>
          </cell>
          <cell r="L53">
            <v>21024</v>
          </cell>
          <cell r="M53">
            <v>24619.175319702896</v>
          </cell>
          <cell r="N53">
            <v>27041.781641463487</v>
          </cell>
          <cell r="O53">
            <v>28023.950749977525</v>
          </cell>
          <cell r="P53">
            <v>0.10053705820624415</v>
          </cell>
        </row>
        <row r="54">
          <cell r="B54" t="str">
            <v>BREAKDOWN OF VALUE</v>
          </cell>
          <cell r="D54" t="str">
            <v>RELATIVE VALUATION (2005)</v>
          </cell>
          <cell r="I54" t="str">
            <v>% change</v>
          </cell>
          <cell r="L54">
            <v>0.14941774643267181</v>
          </cell>
          <cell r="M54">
            <v>0.17100339229941475</v>
          </cell>
          <cell r="N54">
            <v>9.8403227983910657E-2</v>
          </cell>
          <cell r="O54">
            <v>3.6320428939788041E-2</v>
          </cell>
        </row>
        <row r="55">
          <cell r="I55" t="str">
            <v>EBITDA margin</v>
          </cell>
          <cell r="K55">
            <v>0.34362201765921474</v>
          </cell>
          <cell r="L55">
            <v>0.34296341005856346</v>
          </cell>
          <cell r="M55">
            <v>0.36476809322199305</v>
          </cell>
          <cell r="N55">
            <v>0.37150899947953581</v>
          </cell>
          <cell r="O55">
            <v>0.37318952917212622</v>
          </cell>
        </row>
        <row r="57">
          <cell r="I57" t="str">
            <v>Capex</v>
          </cell>
        </row>
        <row r="59">
          <cell r="I59" t="str">
            <v xml:space="preserve">Norway mobile </v>
          </cell>
          <cell r="K59">
            <v>500</v>
          </cell>
          <cell r="L59">
            <v>973</v>
          </cell>
          <cell r="M59">
            <v>1022.1714830493311</v>
          </cell>
          <cell r="N59">
            <v>1100.4542998135971</v>
          </cell>
          <cell r="O59">
            <v>1098.7154954159389</v>
          </cell>
          <cell r="P59">
            <v>4.133580924609892E-2</v>
          </cell>
        </row>
        <row r="60">
          <cell r="I60" t="str">
            <v>International mobile</v>
          </cell>
          <cell r="K60">
            <v>3181</v>
          </cell>
          <cell r="L60">
            <v>8451</v>
          </cell>
          <cell r="M60">
            <v>10610.620667883346</v>
          </cell>
          <cell r="N60">
            <v>7942.2815584725067</v>
          </cell>
          <cell r="O60">
            <v>6951.7713881616764</v>
          </cell>
          <cell r="P60">
            <v>-6.3022576504195738E-2</v>
          </cell>
        </row>
        <row r="61">
          <cell r="I61" t="str">
            <v>Wireline</v>
          </cell>
          <cell r="K61">
            <v>1867</v>
          </cell>
          <cell r="L61">
            <v>1804.8</v>
          </cell>
          <cell r="M61">
            <v>1756.6032582039602</v>
          </cell>
          <cell r="N61">
            <v>1688.6900670762125</v>
          </cell>
          <cell r="O61">
            <v>1623.8458622977307</v>
          </cell>
          <cell r="P61">
            <v>-3.4604566394785485E-2</v>
          </cell>
        </row>
        <row r="62">
          <cell r="I62" t="str">
            <v>Broadcasting &amp; Group</v>
          </cell>
          <cell r="K62">
            <v>738</v>
          </cell>
          <cell r="L62">
            <v>1329</v>
          </cell>
          <cell r="M62">
            <v>732.21655292296327</v>
          </cell>
          <cell r="N62">
            <v>750.41503837962387</v>
          </cell>
          <cell r="O62">
            <v>762.05860884574031</v>
          </cell>
          <cell r="P62">
            <v>-0.16921662429346052</v>
          </cell>
        </row>
        <row r="63">
          <cell r="I63" t="str">
            <v>EDB Business Partner</v>
          </cell>
          <cell r="K63">
            <v>210</v>
          </cell>
          <cell r="L63">
            <v>233</v>
          </cell>
          <cell r="M63">
            <v>218.10249999999999</v>
          </cell>
          <cell r="N63">
            <v>222.46455000000003</v>
          </cell>
          <cell r="O63">
            <v>224.68919550000001</v>
          </cell>
          <cell r="P63">
            <v>-1.2033794271544496E-2</v>
          </cell>
        </row>
        <row r="64">
          <cell r="I64" t="str">
            <v>Total</v>
          </cell>
          <cell r="K64">
            <v>6496</v>
          </cell>
          <cell r="L64">
            <v>12790.8</v>
          </cell>
          <cell r="M64">
            <v>14339.714462059601</v>
          </cell>
          <cell r="N64">
            <v>11704.305513741941</v>
          </cell>
          <cell r="O64">
            <v>10661.080550221086</v>
          </cell>
          <cell r="P64">
            <v>-5.8902747572522451E-2</v>
          </cell>
        </row>
        <row r="65">
          <cell r="I65" t="str">
            <v>% change</v>
          </cell>
          <cell r="L65">
            <v>0.96902709359605899</v>
          </cell>
          <cell r="M65">
            <v>0.12109598008409184</v>
          </cell>
          <cell r="N65">
            <v>-0.18378392089260176</v>
          </cell>
          <cell r="O65">
            <v>-8.913172697824856E-2</v>
          </cell>
        </row>
        <row r="66">
          <cell r="I66" t="str">
            <v>Capex/sales</v>
          </cell>
          <cell r="K66">
            <v>0.12203644561337591</v>
          </cell>
          <cell r="L66">
            <v>0.20865564998939656</v>
          </cell>
          <cell r="M66">
            <v>0.21246326222337664</v>
          </cell>
          <cell r="N66">
            <v>0.16079764597854204</v>
          </cell>
          <cell r="O66">
            <v>0.14197154664234166</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TELNOR 5.875 12/5/2012</v>
          </cell>
          <cell r="D71" t="str">
            <v>A2</v>
          </cell>
          <cell r="E71" t="str">
            <v>STABLE</v>
          </cell>
          <cell r="F71" t="str">
            <v>A-</v>
          </cell>
          <cell r="G71" t="str">
            <v>STABLE</v>
          </cell>
        </row>
        <row r="75">
          <cell r="E75" t="str">
            <v>Issue size</v>
          </cell>
          <cell r="F75" t="str">
            <v>Yld to mat</v>
          </cell>
          <cell r="G75" t="str">
            <v xml:space="preserve">Price </v>
          </cell>
        </row>
        <row r="76">
          <cell r="B76" t="str">
            <v xml:space="preserve"> TELNOR 5.875 12/5/2012</v>
          </cell>
          <cell r="E76" t="str">
            <v>€500</v>
          </cell>
          <cell r="F76">
            <v>3.7400000000000003E-2</v>
          </cell>
          <cell r="G76">
            <v>113.84</v>
          </cell>
        </row>
        <row r="80">
          <cell r="E80" t="str">
            <v>OAS 12m chg</v>
          </cell>
          <cell r="F80" t="str">
            <v>12m tot ret</v>
          </cell>
          <cell r="G80" t="str">
            <v xml:space="preserve">OAS </v>
          </cell>
        </row>
        <row r="81">
          <cell r="B81" t="str">
            <v xml:space="preserve"> TELNOR 5.875 12/5/2012</v>
          </cell>
          <cell r="E81">
            <v>-17</v>
          </cell>
          <cell r="F81">
            <v>8.8030000000000011E-2</v>
          </cell>
          <cell r="G81">
            <v>33</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40" refreshError="1">
        <row r="6">
          <cell r="S6" t="str">
            <v xml:space="preserve"> TeliaSonera (Reduce) TP: SEK38.0  (-6.4%)</v>
          </cell>
        </row>
        <row r="8">
          <cell r="G8" t="str">
            <v>CAGR</v>
          </cell>
          <cell r="P8" t="str">
            <v>CAGR</v>
          </cell>
        </row>
        <row r="9">
          <cell r="B9" t="str">
            <v>EV CALCULATION (SEKm)</v>
          </cell>
          <cell r="C9" t="str">
            <v>2004A</v>
          </cell>
          <cell r="D9" t="str">
            <v>2005E</v>
          </cell>
          <cell r="E9" t="str">
            <v>2006E</v>
          </cell>
          <cell r="F9" t="str">
            <v>2007E</v>
          </cell>
          <cell r="G9" t="str">
            <v>04E-07E</v>
          </cell>
          <cell r="I9" t="str">
            <v>FINANCIALS (SEKm)</v>
          </cell>
          <cell r="K9" t="str">
            <v>2003A</v>
          </cell>
          <cell r="L9" t="str">
            <v>2004A</v>
          </cell>
          <cell r="M9" t="str">
            <v>2005E</v>
          </cell>
          <cell r="N9" t="str">
            <v>2006E</v>
          </cell>
          <cell r="O9" t="str">
            <v>2007E</v>
          </cell>
          <cell r="P9" t="str">
            <v>04E-07E</v>
          </cell>
        </row>
        <row r="11">
          <cell r="B11" t="str">
            <v>Share price, SEK</v>
          </cell>
          <cell r="C11">
            <v>40.6</v>
          </cell>
          <cell r="I11" t="str">
            <v>Revenue</v>
          </cell>
          <cell r="K11">
            <v>80642</v>
          </cell>
          <cell r="L11">
            <v>81937</v>
          </cell>
          <cell r="M11">
            <v>86898.318079753357</v>
          </cell>
          <cell r="N11">
            <v>86340.350309310423</v>
          </cell>
          <cell r="O11">
            <v>85452.81177196007</v>
          </cell>
          <cell r="P11">
            <v>1.4103074851949282E-2</v>
          </cell>
        </row>
        <row r="12">
          <cell r="B12" t="str">
            <v>Number of shares</v>
          </cell>
          <cell r="C12">
            <v>4675.232</v>
          </cell>
          <cell r="D12">
            <v>4425.232</v>
          </cell>
          <cell r="E12">
            <v>4175.232</v>
          </cell>
          <cell r="F12">
            <v>3925.232</v>
          </cell>
          <cell r="I12" t="str">
            <v>EBITDA</v>
          </cell>
          <cell r="K12">
            <v>30690</v>
          </cell>
          <cell r="L12">
            <v>30008</v>
          </cell>
          <cell r="M12">
            <v>30959.151899094988</v>
          </cell>
          <cell r="N12">
            <v>31227.162664017702</v>
          </cell>
          <cell r="O12">
            <v>30908.428464766104</v>
          </cell>
          <cell r="P12">
            <v>9.9036866901673903E-3</v>
          </cell>
        </row>
        <row r="13">
          <cell r="B13" t="str">
            <v>Market cap.</v>
          </cell>
          <cell r="C13">
            <v>189814.4192</v>
          </cell>
          <cell r="D13">
            <v>179664.4192</v>
          </cell>
          <cell r="E13">
            <v>169514.4192</v>
          </cell>
          <cell r="F13">
            <v>159364.4192</v>
          </cell>
          <cell r="I13" t="str">
            <v>Capex</v>
          </cell>
          <cell r="K13">
            <v>8960</v>
          </cell>
          <cell r="L13">
            <v>10355</v>
          </cell>
          <cell r="M13">
            <v>10529.29460387281</v>
          </cell>
          <cell r="N13">
            <v>10259.479513829072</v>
          </cell>
          <cell r="O13">
            <v>9915.0432137701027</v>
          </cell>
          <cell r="P13">
            <v>-1.4367906979088407E-2</v>
          </cell>
        </row>
        <row r="14">
          <cell r="B14" t="str">
            <v>Plus: Net debt (Cash)</v>
          </cell>
          <cell r="C14">
            <v>7062</v>
          </cell>
          <cell r="D14">
            <v>8129.9866090218711</v>
          </cell>
          <cell r="E14">
            <v>9266.0031993039884</v>
          </cell>
          <cell r="F14">
            <v>10245.894455094729</v>
          </cell>
          <cell r="I14" t="str">
            <v>OpFCF (EBITDA - capex)</v>
          </cell>
          <cell r="K14">
            <v>21730</v>
          </cell>
          <cell r="L14">
            <v>19653</v>
          </cell>
          <cell r="M14">
            <v>20429.85729522218</v>
          </cell>
          <cell r="N14">
            <v>20967.68315018863</v>
          </cell>
          <cell r="O14">
            <v>20993.385250996002</v>
          </cell>
          <cell r="P14">
            <v>2.2236084154617197E-2</v>
          </cell>
        </row>
        <row r="15">
          <cell r="B15" t="str">
            <v>Plus: Other financial liabilities</v>
          </cell>
          <cell r="C15">
            <v>7678.1676790042929</v>
          </cell>
          <cell r="D15">
            <v>6497.5926533246375</v>
          </cell>
          <cell r="E15">
            <v>5472.5716255906091</v>
          </cell>
          <cell r="F15">
            <v>4531.548915637858</v>
          </cell>
          <cell r="I15" t="str">
            <v>FCF (OpFCF * (1-tax rate))</v>
          </cell>
          <cell r="K15">
            <v>15645.6</v>
          </cell>
          <cell r="L15">
            <v>14150.16</v>
          </cell>
          <cell r="M15">
            <v>14709.49725255997</v>
          </cell>
          <cell r="N15">
            <v>15096.731868135814</v>
          </cell>
          <cell r="O15">
            <v>15115.237380717121</v>
          </cell>
          <cell r="P15">
            <v>2.2236084154617197E-2</v>
          </cell>
        </row>
        <row r="16">
          <cell r="B16" t="str">
            <v>Less: Associates</v>
          </cell>
          <cell r="C16">
            <v>31707.975209960056</v>
          </cell>
          <cell r="D16">
            <v>31707.975209960056</v>
          </cell>
          <cell r="E16">
            <v>31707.975209960056</v>
          </cell>
          <cell r="F16">
            <v>31707.975209960056</v>
          </cell>
          <cell r="I16" t="str">
            <v>EFCF</v>
          </cell>
          <cell r="K16">
            <v>0</v>
          </cell>
          <cell r="L16">
            <v>11738.523256958633</v>
          </cell>
          <cell r="M16">
            <v>12313.816726463065</v>
          </cell>
          <cell r="N16">
            <v>12562.241631360914</v>
          </cell>
          <cell r="O16">
            <v>12482.6867195267</v>
          </cell>
          <cell r="P16">
            <v>2.0700205271858785E-2</v>
          </cell>
        </row>
        <row r="17">
          <cell r="B17" t="str">
            <v>Plus: Minorities</v>
          </cell>
          <cell r="C17">
            <v>12427.445861839475</v>
          </cell>
          <cell r="D17">
            <v>12427.445861839475</v>
          </cell>
          <cell r="E17">
            <v>12427.445861839475</v>
          </cell>
          <cell r="F17">
            <v>12427.445861839475</v>
          </cell>
          <cell r="I17" t="str">
            <v>Adj net Income</v>
          </cell>
          <cell r="K17">
            <v>11960.403076923076</v>
          </cell>
          <cell r="L17">
            <v>14589.523256958633</v>
          </cell>
          <cell r="M17">
            <v>14166.342479967934</v>
          </cell>
          <cell r="N17">
            <v>14728.097481526183</v>
          </cell>
          <cell r="O17">
            <v>14969.236201911597</v>
          </cell>
          <cell r="P17">
            <v>8.6012766345762159E-3</v>
          </cell>
        </row>
        <row r="18">
          <cell r="B18" t="str">
            <v>Less: Cumulative dividends</v>
          </cell>
          <cell r="C18">
            <v>0</v>
          </cell>
          <cell r="D18">
            <v>5460.2784000000001</v>
          </cell>
          <cell r="E18">
            <v>10878.57072</v>
          </cell>
          <cell r="F18">
            <v>16237.027656</v>
          </cell>
          <cell r="I18" t="str">
            <v>Clean EPS</v>
          </cell>
          <cell r="K18">
            <v>3.0669451650982826</v>
          </cell>
          <cell r="L18">
            <v>3.120598776051891</v>
          </cell>
          <cell r="M18">
            <v>3.1133231184625165</v>
          </cell>
          <cell r="N18">
            <v>3.4249541609676371</v>
          </cell>
          <cell r="O18">
            <v>3.6958959886524023</v>
          </cell>
          <cell r="P18">
            <v>5.8020141925805735E-2</v>
          </cell>
        </row>
        <row r="19">
          <cell r="B19" t="str">
            <v>Less: NPV YE tax credit</v>
          </cell>
          <cell r="C19">
            <v>6380.7754847092629</v>
          </cell>
          <cell r="D19">
            <v>5530.2865534769144</v>
          </cell>
          <cell r="E19">
            <v>4634.908050078936</v>
          </cell>
          <cell r="F19">
            <v>3669.519550590393</v>
          </cell>
          <cell r="I19" t="str">
            <v>DPS</v>
          </cell>
          <cell r="K19">
            <v>1</v>
          </cell>
          <cell r="L19">
            <v>1.2</v>
          </cell>
          <cell r="M19">
            <v>1.26</v>
          </cell>
          <cell r="N19">
            <v>1.3230000000000002</v>
          </cell>
          <cell r="O19">
            <v>1.3891500000000003</v>
          </cell>
          <cell r="P19">
            <v>5.0000000000000044E-2</v>
          </cell>
        </row>
        <row r="20">
          <cell r="B20" t="str">
            <v>Enterprise Value</v>
          </cell>
          <cell r="C20">
            <v>175148.20657293004</v>
          </cell>
          <cell r="D20">
            <v>164020.90416074902</v>
          </cell>
          <cell r="E20">
            <v>149458.98590669513</v>
          </cell>
          <cell r="F20">
            <v>134954.78601602165</v>
          </cell>
          <cell r="G20">
            <v>-8.9671611551227381E-2</v>
          </cell>
          <cell r="J20" t="str">
            <v>Cash flow</v>
          </cell>
        </row>
        <row r="21">
          <cell r="J21" t="str">
            <v>OpFCF</v>
          </cell>
          <cell r="K21">
            <v>21598</v>
          </cell>
          <cell r="L21">
            <v>19653</v>
          </cell>
          <cell r="M21">
            <v>20429.85729522218</v>
          </cell>
          <cell r="N21">
            <v>20967.68315018863</v>
          </cell>
          <cell r="O21">
            <v>20993.385250996002</v>
          </cell>
        </row>
        <row r="22">
          <cell r="B22" t="str">
            <v>PRICE PERFORMANCE, -1Y</v>
          </cell>
          <cell r="J22" t="str">
            <v>Less: Interest payments</v>
          </cell>
          <cell r="K22">
            <v>-562</v>
          </cell>
          <cell r="L22">
            <v>-1345</v>
          </cell>
          <cell r="M22">
            <v>-540.76966522554687</v>
          </cell>
          <cell r="N22">
            <v>-609.23709520814646</v>
          </cell>
          <cell r="O22">
            <v>-663.87816485996791</v>
          </cell>
        </row>
        <row r="23">
          <cell r="J23" t="str">
            <v>Less: Tax paid</v>
          </cell>
          <cell r="K23">
            <v>-1308</v>
          </cell>
          <cell r="L23">
            <v>-4416.1844025791397</v>
          </cell>
          <cell r="M23">
            <v>-4654.319933524479</v>
          </cell>
          <cell r="N23">
            <v>-4898.4029959434365</v>
          </cell>
          <cell r="O23">
            <v>-4981.8392231144762</v>
          </cell>
        </row>
        <row r="24">
          <cell r="J24" t="str">
            <v>Less: Change in WC</v>
          </cell>
          <cell r="K24">
            <v>479</v>
          </cell>
          <cell r="L24">
            <v>-311.2942759356165</v>
          </cell>
          <cell r="M24">
            <v>-642.27590549402157</v>
          </cell>
          <cell r="N24">
            <v>72.232670680838282</v>
          </cell>
          <cell r="O24">
            <v>114.89781718770143</v>
          </cell>
        </row>
        <row r="25">
          <cell r="J25" t="str">
            <v>Less:Provision utilisation</v>
          </cell>
          <cell r="K25">
            <v>-2582</v>
          </cell>
          <cell r="L25">
            <v>-2172</v>
          </cell>
          <cell r="M25">
            <v>-1500</v>
          </cell>
          <cell r="N25">
            <v>-1250</v>
          </cell>
          <cell r="O25">
            <v>-1084</v>
          </cell>
        </row>
        <row r="26">
          <cell r="J26" t="str">
            <v>Less: Other</v>
          </cell>
          <cell r="K26">
            <v>-836.08908760000008</v>
          </cell>
          <cell r="L26">
            <v>-1788.2893214852438</v>
          </cell>
          <cell r="M26">
            <v>0</v>
          </cell>
          <cell r="N26">
            <v>0</v>
          </cell>
          <cell r="O26">
            <v>0</v>
          </cell>
        </row>
        <row r="27">
          <cell r="J27" t="str">
            <v>Sub total</v>
          </cell>
          <cell r="K27">
            <v>16788.910912399999</v>
          </cell>
          <cell r="L27">
            <v>9620.232</v>
          </cell>
          <cell r="M27">
            <v>13092.491790978132</v>
          </cell>
          <cell r="N27">
            <v>14282.275729717883</v>
          </cell>
          <cell r="O27">
            <v>14378.565680209258</v>
          </cell>
        </row>
        <row r="28">
          <cell r="J28" t="str">
            <v>Less: Disposals/acquis.</v>
          </cell>
          <cell r="K28">
            <v>4639</v>
          </cell>
          <cell r="L28">
            <v>6200</v>
          </cell>
          <cell r="M28">
            <v>1299.8</v>
          </cell>
          <cell r="N28">
            <v>0</v>
          </cell>
          <cell r="O28">
            <v>0</v>
          </cell>
        </row>
        <row r="29">
          <cell r="J29" t="str">
            <v>Less: Dividends paid</v>
          </cell>
          <cell r="K29">
            <v>-1559.9109123999999</v>
          </cell>
          <cell r="L29">
            <v>-4675.232</v>
          </cell>
          <cell r="M29">
            <v>-5460.2784000000001</v>
          </cell>
          <cell r="N29">
            <v>-5418.2923199999996</v>
          </cell>
          <cell r="O29">
            <v>-5358.4569360000005</v>
          </cell>
        </row>
        <row r="30">
          <cell r="J30" t="str">
            <v>Less: Share buyback</v>
          </cell>
          <cell r="K30">
            <v>0</v>
          </cell>
          <cell r="L30">
            <v>0</v>
          </cell>
          <cell r="M30">
            <v>-10000</v>
          </cell>
          <cell r="N30">
            <v>-10000</v>
          </cell>
          <cell r="O30">
            <v>-10000</v>
          </cell>
        </row>
        <row r="31">
          <cell r="J31" t="str">
            <v>Chg in Net debt/Cash</v>
          </cell>
          <cell r="K31">
            <v>19868</v>
          </cell>
          <cell r="L31">
            <v>11145</v>
          </cell>
          <cell r="M31">
            <v>-1067.9866090218675</v>
          </cell>
          <cell r="N31">
            <v>-1136.0165902821172</v>
          </cell>
          <cell r="O31">
            <v>-979.89125579074243</v>
          </cell>
        </row>
        <row r="32">
          <cell r="J32" t="str">
            <v>Net debt (Cash)</v>
          </cell>
          <cell r="K32">
            <v>18207</v>
          </cell>
          <cell r="L32">
            <v>7062</v>
          </cell>
          <cell r="M32">
            <v>8129.9866090218711</v>
          </cell>
          <cell r="N32">
            <v>9266.0031993039884</v>
          </cell>
          <cell r="O32">
            <v>10245.894455094729</v>
          </cell>
        </row>
        <row r="33">
          <cell r="P33" t="str">
            <v>CAGR</v>
          </cell>
        </row>
        <row r="34">
          <cell r="I34" t="str">
            <v>DIVISIONAL (SEKm)</v>
          </cell>
          <cell r="K34" t="str">
            <v>2003A</v>
          </cell>
          <cell r="L34" t="str">
            <v>2004A</v>
          </cell>
          <cell r="M34" t="str">
            <v>2005E</v>
          </cell>
          <cell r="N34" t="str">
            <v>2006E</v>
          </cell>
          <cell r="O34" t="str">
            <v>2007E</v>
          </cell>
          <cell r="P34" t="str">
            <v>04E-07E</v>
          </cell>
        </row>
        <row r="36">
          <cell r="I36" t="str">
            <v>Revenues</v>
          </cell>
        </row>
        <row r="37">
          <cell r="I37" t="str">
            <v>Sweden</v>
          </cell>
          <cell r="K37">
            <v>40477</v>
          </cell>
          <cell r="L37">
            <v>39667</v>
          </cell>
          <cell r="M37">
            <v>38234.00834126983</v>
          </cell>
          <cell r="N37">
            <v>37025.399173308877</v>
          </cell>
          <cell r="O37">
            <v>35910.129723951082</v>
          </cell>
          <cell r="P37">
            <v>-3.262274372067453E-2</v>
          </cell>
        </row>
        <row r="38">
          <cell r="G38" t="str">
            <v>CAGR</v>
          </cell>
          <cell r="I38" t="str">
            <v>Finland</v>
          </cell>
          <cell r="K38">
            <v>17394</v>
          </cell>
          <cell r="L38">
            <v>17898</v>
          </cell>
          <cell r="M38">
            <v>17267.019402999998</v>
          </cell>
          <cell r="N38">
            <v>16937.603401879998</v>
          </cell>
          <cell r="O38">
            <v>16654.269546711599</v>
          </cell>
          <cell r="P38">
            <v>-2.3721567440396774E-2</v>
          </cell>
        </row>
        <row r="39">
          <cell r="B39" t="str">
            <v>MULTIPLES &amp; RATIOS</v>
          </cell>
          <cell r="C39" t="str">
            <v>2004A</v>
          </cell>
          <cell r="D39" t="str">
            <v>2005E</v>
          </cell>
          <cell r="E39" t="str">
            <v>2006E</v>
          </cell>
          <cell r="F39" t="str">
            <v>2007E</v>
          </cell>
          <cell r="G39" t="str">
            <v>04E-07E</v>
          </cell>
          <cell r="I39" t="str">
            <v>Norway</v>
          </cell>
          <cell r="K39">
            <v>6011</v>
          </cell>
          <cell r="L39">
            <v>6142</v>
          </cell>
          <cell r="M39">
            <v>6196.7790241448911</v>
          </cell>
          <cell r="N39">
            <v>6036.2312808499437</v>
          </cell>
          <cell r="O39">
            <v>6027.2976257252822</v>
          </cell>
          <cell r="P39">
            <v>-6.264186550495987E-3</v>
          </cell>
        </row>
        <row r="40">
          <cell r="I40" t="str">
            <v>Baltic</v>
          </cell>
          <cell r="K40">
            <v>5823</v>
          </cell>
          <cell r="L40">
            <v>5810</v>
          </cell>
          <cell r="M40">
            <v>9400.109388228957</v>
          </cell>
          <cell r="N40">
            <v>9375.38278359574</v>
          </cell>
          <cell r="O40">
            <v>9160.1018540406676</v>
          </cell>
          <cell r="P40">
            <v>0.16387960178365057</v>
          </cell>
        </row>
        <row r="41">
          <cell r="B41" t="str">
            <v>EV/Revenue</v>
          </cell>
          <cell r="C41">
            <v>2.1833028063777591</v>
          </cell>
          <cell r="D41">
            <v>1.8875037835624651</v>
          </cell>
          <cell r="E41">
            <v>1.7310444696050575</v>
          </cell>
          <cell r="F41">
            <v>1.5792901745136587</v>
          </cell>
          <cell r="G41">
            <v>1.4103074851949282E-2</v>
          </cell>
          <cell r="I41" t="str">
            <v>International carrier</v>
          </cell>
          <cell r="K41">
            <v>3589</v>
          </cell>
          <cell r="L41">
            <v>2702</v>
          </cell>
          <cell r="M41">
            <v>2431.8000000000002</v>
          </cell>
          <cell r="N41">
            <v>2188.62</v>
          </cell>
          <cell r="O41">
            <v>2079.1890000000003</v>
          </cell>
          <cell r="P41">
            <v>-8.3632788356559074E-2</v>
          </cell>
        </row>
        <row r="42">
          <cell r="B42" t="str">
            <v>EV/EBITDA</v>
          </cell>
          <cell r="C42">
            <v>5.9615196629623588</v>
          </cell>
          <cell r="D42">
            <v>5.2979779515712044</v>
          </cell>
          <cell r="E42">
            <v>4.786185268087551</v>
          </cell>
          <cell r="F42">
            <v>4.366277831623262</v>
          </cell>
          <cell r="G42">
            <v>9.9036866901673903E-3</v>
          </cell>
          <cell r="I42" t="str">
            <v>Other</v>
          </cell>
          <cell r="K42">
            <v>7348</v>
          </cell>
          <cell r="L42">
            <v>9718</v>
          </cell>
          <cell r="M42">
            <v>13368.601923109683</v>
          </cell>
          <cell r="N42">
            <v>14777.113669675864</v>
          </cell>
          <cell r="O42">
            <v>15621.824021531442</v>
          </cell>
          <cell r="P42">
            <v>0.17143523324912291</v>
          </cell>
        </row>
        <row r="43">
          <cell r="B43" t="str">
            <v>EV/OpFCF</v>
          </cell>
          <cell r="C43">
            <v>9.1025941101192931</v>
          </cell>
          <cell r="D43">
            <v>8.0284899591103702</v>
          </cell>
          <cell r="E43">
            <v>7.1280639275279478</v>
          </cell>
          <cell r="F43">
            <v>6.4284432645096583</v>
          </cell>
          <cell r="G43">
            <v>2.2236084154617197E-2</v>
          </cell>
          <cell r="I43" t="str">
            <v>Total</v>
          </cell>
          <cell r="K43">
            <v>80642</v>
          </cell>
          <cell r="L43">
            <v>81937</v>
          </cell>
          <cell r="M43">
            <v>86898.318079753357</v>
          </cell>
          <cell r="N43">
            <v>86340.350309310423</v>
          </cell>
          <cell r="O43">
            <v>85452.81177196007</v>
          </cell>
          <cell r="P43">
            <v>1.4103074851949282E-2</v>
          </cell>
        </row>
        <row r="44">
          <cell r="B44" t="str">
            <v>EV/FCF</v>
          </cell>
          <cell r="C44">
            <v>12.642491819610129</v>
          </cell>
          <cell r="D44">
            <v>11.150680498764403</v>
          </cell>
          <cell r="E44">
            <v>9.9000887882332602</v>
          </cell>
          <cell r="F44">
            <v>8.9283934229300819</v>
          </cell>
          <cell r="G44">
            <v>2.2236084154617197E-2</v>
          </cell>
          <cell r="I44" t="str">
            <v>% change</v>
          </cell>
          <cell r="L44">
            <v>1.60586294982763E-2</v>
          </cell>
          <cell r="M44">
            <v>6.0550399450228332E-2</v>
          </cell>
          <cell r="N44">
            <v>-6.4209271568506088E-3</v>
          </cell>
          <cell r="O44">
            <v>-1.0279533661501139E-2</v>
          </cell>
        </row>
        <row r="45">
          <cell r="B45" t="str">
            <v>EV/Invested capital</v>
          </cell>
          <cell r="C45">
            <v>1.3137013552133245</v>
          </cell>
          <cell r="D45">
            <v>1.2064868369401636</v>
          </cell>
          <cell r="E45">
            <v>1.089447422201997</v>
          </cell>
          <cell r="F45">
            <v>0.97385022272659993</v>
          </cell>
          <cell r="G45">
            <v>5.8492884260146205E-3</v>
          </cell>
        </row>
        <row r="46">
          <cell r="B46" t="str">
            <v>EV/NFA</v>
          </cell>
          <cell r="C46">
            <v>3.7628472097550474</v>
          </cell>
          <cell r="D46">
            <v>3.5066298450141269</v>
          </cell>
          <cell r="E46">
            <v>3.2321432223206559</v>
          </cell>
          <cell r="F46">
            <v>2.9400533953886607</v>
          </cell>
          <cell r="G46">
            <v>-1.1632305399059351E-2</v>
          </cell>
          <cell r="I46" t="str">
            <v>EBITDA</v>
          </cell>
        </row>
        <row r="47">
          <cell r="B47" t="str">
            <v>P/EFCF</v>
          </cell>
          <cell r="C47">
            <v>13.649165296322227</v>
          </cell>
          <cell r="D47">
            <v>12.160401726030431</v>
          </cell>
          <cell r="E47">
            <v>11.10162658406527</v>
          </cell>
          <cell r="F47">
            <v>10.361205431630628</v>
          </cell>
          <cell r="G47">
            <v>2.0700205271858785E-2</v>
          </cell>
          <cell r="I47" t="str">
            <v>Sweden</v>
          </cell>
          <cell r="K47">
            <v>17723</v>
          </cell>
          <cell r="L47">
            <v>16598</v>
          </cell>
          <cell r="M47">
            <v>15330.223879627436</v>
          </cell>
          <cell r="N47">
            <v>15143.746277036564</v>
          </cell>
          <cell r="O47">
            <v>14758.168123019332</v>
          </cell>
          <cell r="P47">
            <v>-3.8404923382374889E-2</v>
          </cell>
        </row>
        <row r="48">
          <cell r="B48" t="str">
            <v>Adjusted P/E</v>
          </cell>
          <cell r="C48">
            <v>13.01032363134045</v>
          </cell>
          <cell r="D48">
            <v>13.040728011569163</v>
          </cell>
          <cell r="E48">
            <v>11.854173250753657</v>
          </cell>
          <cell r="F48">
            <v>10.985157624742458</v>
          </cell>
          <cell r="G48">
            <v>8.6012766345762159E-3</v>
          </cell>
          <cell r="I48" t="str">
            <v>Finland</v>
          </cell>
          <cell r="K48">
            <v>6738</v>
          </cell>
          <cell r="L48">
            <v>6663</v>
          </cell>
          <cell r="M48">
            <v>6138.9741754968354</v>
          </cell>
          <cell r="N48">
            <v>5855.1761017219551</v>
          </cell>
          <cell r="O48">
            <v>5672.6821564297861</v>
          </cell>
          <cell r="P48">
            <v>-5.2222897270571278E-2</v>
          </cell>
        </row>
        <row r="49">
          <cell r="B49" t="str">
            <v>Dividend yield</v>
          </cell>
          <cell r="C49">
            <v>2.9556650246305417E-2</v>
          </cell>
          <cell r="D49">
            <v>3.1034482758620689E-2</v>
          </cell>
          <cell r="E49">
            <v>3.2586206896551728E-2</v>
          </cell>
          <cell r="F49">
            <v>3.421551724137932E-2</v>
          </cell>
          <cell r="G49">
            <v>5.0000000000000044E-2</v>
          </cell>
          <cell r="I49" t="str">
            <v>Norway</v>
          </cell>
          <cell r="K49">
            <v>2499</v>
          </cell>
          <cell r="L49">
            <v>2059</v>
          </cell>
          <cell r="M49">
            <v>2097.2091589253114</v>
          </cell>
          <cell r="N49">
            <v>1980.9688486134182</v>
          </cell>
          <cell r="O49">
            <v>1916.223347570417</v>
          </cell>
          <cell r="P49">
            <v>-2.3670091348349187E-2</v>
          </cell>
        </row>
        <row r="50">
          <cell r="B50" t="str">
            <v>EFCF yield</v>
          </cell>
          <cell r="C50">
            <v>7.3264553420673312E-2</v>
          </cell>
          <cell r="D50">
            <v>8.2234125362767446E-2</v>
          </cell>
          <cell r="E50">
            <v>9.0076890303205745E-2</v>
          </cell>
          <cell r="F50">
            <v>9.6513866711609234E-2</v>
          </cell>
          <cell r="G50">
            <v>2.0700205271858785E-2</v>
          </cell>
          <cell r="I50" t="str">
            <v>Baltic</v>
          </cell>
          <cell r="K50">
            <v>2846</v>
          </cell>
          <cell r="L50">
            <v>2795</v>
          </cell>
          <cell r="M50">
            <v>4039.1652263458973</v>
          </cell>
          <cell r="N50">
            <v>3953.7094881643302</v>
          </cell>
          <cell r="O50">
            <v>3781.7950614408442</v>
          </cell>
          <cell r="P50">
            <v>0.10604312193041232</v>
          </cell>
        </row>
        <row r="51">
          <cell r="B51" t="str">
            <v>Net debt/EBITDA</v>
          </cell>
          <cell r="C51">
            <v>0.23533724340175954</v>
          </cell>
          <cell r="D51">
            <v>0.2626036603173077</v>
          </cell>
          <cell r="E51">
            <v>0.29672895033723246</v>
          </cell>
          <cell r="F51">
            <v>0.33149192514832909</v>
          </cell>
          <cell r="G51">
            <v>0.12097027701310981</v>
          </cell>
          <cell r="I51" t="str">
            <v>International carrier</v>
          </cell>
          <cell r="K51">
            <v>144</v>
          </cell>
          <cell r="L51">
            <v>167</v>
          </cell>
          <cell r="M51">
            <v>24.318000000000001</v>
          </cell>
          <cell r="N51">
            <v>21.886200000000002</v>
          </cell>
          <cell r="O51">
            <v>20.791890000000002</v>
          </cell>
          <cell r="P51">
            <v>-0.50066443545204309</v>
          </cell>
        </row>
        <row r="52">
          <cell r="B52" t="str">
            <v>OpFCF/Net interest</v>
          </cell>
          <cell r="C52">
            <v>14.611895910780669</v>
          </cell>
          <cell r="D52">
            <v>37.779222114282604</v>
          </cell>
          <cell r="E52">
            <v>34.41629427214211</v>
          </cell>
          <cell r="F52">
            <v>31.622346331309366</v>
          </cell>
          <cell r="G52">
            <v>0.29348830670880766</v>
          </cell>
          <cell r="I52" t="str">
            <v>Other</v>
          </cell>
          <cell r="K52">
            <v>740</v>
          </cell>
          <cell r="L52">
            <v>1726</v>
          </cell>
          <cell r="M52">
            <v>3329.2614586995087</v>
          </cell>
          <cell r="N52">
            <v>4271.6757484814361</v>
          </cell>
          <cell r="O52">
            <v>4758.7678863057263</v>
          </cell>
          <cell r="P52">
            <v>0.4022256601621681</v>
          </cell>
        </row>
        <row r="53">
          <cell r="I53" t="str">
            <v>Total</v>
          </cell>
          <cell r="K53">
            <v>30690</v>
          </cell>
          <cell r="L53">
            <v>30008</v>
          </cell>
          <cell r="M53">
            <v>30959.151899094988</v>
          </cell>
          <cell r="N53">
            <v>31227.162664017702</v>
          </cell>
          <cell r="O53">
            <v>30908.428464766104</v>
          </cell>
          <cell r="P53">
            <v>9.9036866901673903E-3</v>
          </cell>
        </row>
        <row r="54">
          <cell r="B54" t="str">
            <v>BREAKDOWN OF VALUE</v>
          </cell>
          <cell r="D54" t="str">
            <v>RELATIVE VALUATION (2005)</v>
          </cell>
          <cell r="I54" t="str">
            <v>% change</v>
          </cell>
          <cell r="L54">
            <v>-2.2222222222222254E-2</v>
          </cell>
          <cell r="M54">
            <v>3.1696610873599873E-2</v>
          </cell>
          <cell r="N54">
            <v>8.6569155962747946E-3</v>
          </cell>
          <cell r="O54">
            <v>-1.0206953564143917E-2</v>
          </cell>
        </row>
        <row r="55">
          <cell r="I55" t="str">
            <v>EBITDA margin</v>
          </cell>
          <cell r="K55">
            <v>0.38057091838000051</v>
          </cell>
          <cell r="L55">
            <v>0.3662325933339029</v>
          </cell>
          <cell r="M55">
            <v>0.35626871248165426</v>
          </cell>
          <cell r="N55">
            <v>0.36167519070918519</v>
          </cell>
          <cell r="O55">
            <v>0.36170171377448102</v>
          </cell>
        </row>
        <row r="57">
          <cell r="I57" t="str">
            <v>Capex</v>
          </cell>
        </row>
        <row r="58">
          <cell r="I58" t="str">
            <v>Sweden</v>
          </cell>
          <cell r="K58">
            <v>3105</v>
          </cell>
          <cell r="L58">
            <v>3973</v>
          </cell>
          <cell r="M58">
            <v>3672.2491354208541</v>
          </cell>
          <cell r="N58">
            <v>3565.3725739326451</v>
          </cell>
          <cell r="O58">
            <v>3499.6417142107739</v>
          </cell>
          <cell r="P58">
            <v>-4.1405337526025376E-2</v>
          </cell>
        </row>
        <row r="59">
          <cell r="I59" t="str">
            <v>Finland</v>
          </cell>
          <cell r="K59">
            <v>2348</v>
          </cell>
          <cell r="L59">
            <v>2375</v>
          </cell>
          <cell r="M59">
            <v>2028.9288962699998</v>
          </cell>
          <cell r="N59">
            <v>1993.0241460191996</v>
          </cell>
          <cell r="O59">
            <v>1965.1488441181436</v>
          </cell>
          <cell r="P59">
            <v>-6.1190925632838455E-2</v>
          </cell>
        </row>
        <row r="60">
          <cell r="I60" t="str">
            <v>Norway</v>
          </cell>
          <cell r="K60">
            <v>861</v>
          </cell>
          <cell r="L60">
            <v>866</v>
          </cell>
          <cell r="M60">
            <v>836.56516825956032</v>
          </cell>
          <cell r="N60">
            <v>814.89122291474246</v>
          </cell>
          <cell r="O60">
            <v>813.68517947291309</v>
          </cell>
          <cell r="P60">
            <v>-2.0556238004441174E-2</v>
          </cell>
        </row>
        <row r="61">
          <cell r="I61" t="str">
            <v>Baltic</v>
          </cell>
          <cell r="K61">
            <v>758</v>
          </cell>
          <cell r="L61">
            <v>717</v>
          </cell>
          <cell r="M61">
            <v>1099.2178830502498</v>
          </cell>
          <cell r="N61">
            <v>1087.3992512791908</v>
          </cell>
          <cell r="O61">
            <v>1043.9977639254912</v>
          </cell>
          <cell r="P61">
            <v>0.13342678321835488</v>
          </cell>
        </row>
        <row r="62">
          <cell r="I62" t="str">
            <v>International carrier</v>
          </cell>
          <cell r="K62">
            <v>57</v>
          </cell>
          <cell r="L62">
            <v>17</v>
          </cell>
          <cell r="M62">
            <v>0</v>
          </cell>
          <cell r="N62">
            <v>0</v>
          </cell>
          <cell r="O62">
            <v>0</v>
          </cell>
          <cell r="P62" t="str">
            <v>nm</v>
          </cell>
        </row>
        <row r="63">
          <cell r="I63" t="str">
            <v>Other</v>
          </cell>
          <cell r="K63">
            <v>1831</v>
          </cell>
          <cell r="L63">
            <v>2407</v>
          </cell>
          <cell r="M63">
            <v>2892.333520872146</v>
          </cell>
          <cell r="N63">
            <v>2798.7923196832935</v>
          </cell>
          <cell r="O63">
            <v>2592.5697120427808</v>
          </cell>
          <cell r="P63">
            <v>2.5065108044774354E-2</v>
          </cell>
        </row>
        <row r="64">
          <cell r="I64" t="str">
            <v>Total</v>
          </cell>
          <cell r="K64">
            <v>8960</v>
          </cell>
          <cell r="L64">
            <v>10355</v>
          </cell>
          <cell r="M64">
            <v>10529.29460387281</v>
          </cell>
          <cell r="N64">
            <v>10259.479513829072</v>
          </cell>
          <cell r="O64">
            <v>9915.0432137701027</v>
          </cell>
          <cell r="P64">
            <v>-1.4367906979088407E-2</v>
          </cell>
        </row>
        <row r="65">
          <cell r="I65" t="str">
            <v>% change</v>
          </cell>
          <cell r="L65">
            <v>0.15569196428571419</v>
          </cell>
          <cell r="M65">
            <v>1.6831926979508305E-2</v>
          </cell>
          <cell r="N65">
            <v>-2.5625181951362319E-2</v>
          </cell>
          <cell r="O65">
            <v>-3.3572492600106307E-2</v>
          </cell>
        </row>
        <row r="66">
          <cell r="I66" t="str">
            <v>Capex/sales</v>
          </cell>
          <cell r="K66">
            <v>0.11110835544753354</v>
          </cell>
          <cell r="L66">
            <v>0.12637758277701161</v>
          </cell>
          <cell r="M66">
            <v>0.121167990779859</v>
          </cell>
          <cell r="N66">
            <v>0.11882601213771948</v>
          </cell>
          <cell r="O66">
            <v>0.11602945541721262</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TLIASS 4.625 4/16/2009</v>
          </cell>
          <cell r="D71" t="str">
            <v>Baa1</v>
          </cell>
          <cell r="E71" t="str">
            <v>POS</v>
          </cell>
          <cell r="F71" t="str">
            <v>A</v>
          </cell>
          <cell r="G71" t="str">
            <v>STABLE</v>
          </cell>
        </row>
        <row r="72">
          <cell r="B72" t="str">
            <v xml:space="preserve"> TLIASS 4.125 5/11/2015</v>
          </cell>
          <cell r="D72" t="str">
            <v>A2</v>
          </cell>
          <cell r="E72" t="str">
            <v>STABLE</v>
          </cell>
          <cell r="F72" t="str">
            <v>A-</v>
          </cell>
          <cell r="G72" t="str">
            <v>STABLE</v>
          </cell>
        </row>
        <row r="75">
          <cell r="E75" t="str">
            <v>Issue size</v>
          </cell>
          <cell r="F75" t="str">
            <v>Yld to mat</v>
          </cell>
          <cell r="G75" t="str">
            <v xml:space="preserve">Price </v>
          </cell>
        </row>
        <row r="76">
          <cell r="B76" t="str">
            <v xml:space="preserve"> TLIASS 4.625 4/16/2009</v>
          </cell>
          <cell r="E76" t="str">
            <v>€N/A</v>
          </cell>
          <cell r="F76" t="str">
            <v>N/A</v>
          </cell>
          <cell r="G76" t="str">
            <v>N/A</v>
          </cell>
        </row>
        <row r="77">
          <cell r="B77" t="str">
            <v xml:space="preserve"> TLIASS 4.125 5/11/2015</v>
          </cell>
          <cell r="E77" t="str">
            <v>€750</v>
          </cell>
          <cell r="F77">
            <v>4.1599999999999998E-2</v>
          </cell>
          <cell r="G77">
            <v>99.38</v>
          </cell>
        </row>
        <row r="80">
          <cell r="E80" t="str">
            <v>OAS 12m chg</v>
          </cell>
          <cell r="F80" t="str">
            <v>12m tot ret</v>
          </cell>
          <cell r="G80" t="str">
            <v xml:space="preserve">OAS </v>
          </cell>
        </row>
        <row r="81">
          <cell r="B81" t="str">
            <v xml:space="preserve"> TLIASS 4.625 4/16/2009</v>
          </cell>
          <cell r="E81" t="str">
            <v>N/A</v>
          </cell>
          <cell r="F81" t="str">
            <v>N/A</v>
          </cell>
          <cell r="G81" t="str">
            <v>N/A</v>
          </cell>
        </row>
        <row r="82">
          <cell r="B82" t="str">
            <v xml:space="preserve"> TLIASS 4.125 5/11/2015</v>
          </cell>
          <cell r="E82" t="str">
            <v>N/A</v>
          </cell>
          <cell r="F82" t="str">
            <v>N/A</v>
          </cell>
          <cell r="G82">
            <v>87</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41">
        <row r="4">
          <cell r="AR4" t="str">
            <v xml:space="preserve"> Belgacom (Reduce) TP: €30.5  (-5.0%)</v>
          </cell>
        </row>
        <row r="11">
          <cell r="E11" t="str">
            <v>Method</v>
          </cell>
          <cell r="F11" t="str">
            <v>Driver</v>
          </cell>
          <cell r="H11" t="str">
            <v>Multiple</v>
          </cell>
          <cell r="J11" t="str">
            <v>100% EV</v>
          </cell>
          <cell r="L11" t="str">
            <v>05E net debt</v>
          </cell>
          <cell r="N11" t="str">
            <v>100% equity</v>
          </cell>
          <cell r="P11" t="str">
            <v>Ownership</v>
          </cell>
          <cell r="R11" t="str">
            <v>Belg equity</v>
          </cell>
          <cell r="T11" t="str">
            <v>Minority</v>
          </cell>
          <cell r="V11" t="str">
            <v>% of equity</v>
          </cell>
          <cell r="X11" t="str">
            <v>Per share</v>
          </cell>
        </row>
        <row r="13">
          <cell r="B13" t="str">
            <v>Domestic wireline</v>
          </cell>
          <cell r="E13" t="str">
            <v>DCF, 8.8x 05E FCF</v>
          </cell>
          <cell r="F13">
            <v>535.20143184625397</v>
          </cell>
          <cell r="G13" t="str">
            <v>x</v>
          </cell>
          <cell r="H13">
            <v>8.8080226274095246</v>
          </cell>
          <cell r="I13" t="str">
            <v>=</v>
          </cell>
          <cell r="J13">
            <v>4714.0663219237813</v>
          </cell>
          <cell r="K13" t="str">
            <v>-</v>
          </cell>
          <cell r="L13">
            <v>572.41156987242425</v>
          </cell>
          <cell r="M13" t="str">
            <v>=</v>
          </cell>
          <cell r="N13">
            <v>4141.6547520513568</v>
          </cell>
          <cell r="O13" t="str">
            <v>x</v>
          </cell>
          <cell r="P13">
            <v>1</v>
          </cell>
          <cell r="Q13" t="str">
            <v>=</v>
          </cell>
          <cell r="R13">
            <v>4141.6547520513568</v>
          </cell>
          <cell r="T13">
            <v>0</v>
          </cell>
          <cell r="V13">
            <v>0.41162592896627537</v>
          </cell>
          <cell r="X13">
            <v>12.546043632459451</v>
          </cell>
        </row>
        <row r="14">
          <cell r="B14" t="str">
            <v>Proximus</v>
          </cell>
          <cell r="E14" t="str">
            <v>DCF, 6.7x 04E OpFCF</v>
          </cell>
          <cell r="F14">
            <v>930</v>
          </cell>
          <cell r="G14" t="str">
            <v>x</v>
          </cell>
          <cell r="H14">
            <v>6.7001524952189992</v>
          </cell>
          <cell r="I14" t="str">
            <v>=</v>
          </cell>
          <cell r="J14">
            <v>6231.1418205536693</v>
          </cell>
          <cell r="K14" t="str">
            <v>-</v>
          </cell>
          <cell r="L14">
            <v>-1110.8200109860725</v>
          </cell>
          <cell r="M14" t="str">
            <v>=</v>
          </cell>
          <cell r="N14">
            <v>7341.961831539742</v>
          </cell>
          <cell r="O14" t="str">
            <v>x</v>
          </cell>
          <cell r="P14">
            <v>0.75</v>
          </cell>
          <cell r="Q14" t="str">
            <v>=</v>
          </cell>
          <cell r="R14">
            <v>5506.4713736548065</v>
          </cell>
          <cell r="T14">
            <v>1835.4904578849355</v>
          </cell>
          <cell r="V14">
            <v>0.72969429860024415</v>
          </cell>
          <cell r="X14">
            <v>22.240524379953754</v>
          </cell>
        </row>
        <row r="15">
          <cell r="B15" t="str">
            <v>International Carrier</v>
          </cell>
          <cell r="E15" t="str">
            <v>DCF, 7.0x 04E OpFCF</v>
          </cell>
          <cell r="F15">
            <v>11.691557469767442</v>
          </cell>
          <cell r="G15" t="str">
            <v>x</v>
          </cell>
          <cell r="H15">
            <v>7</v>
          </cell>
          <cell r="I15" t="str">
            <v>=</v>
          </cell>
          <cell r="J15">
            <v>81.840902288372092</v>
          </cell>
          <cell r="K15" t="str">
            <v>-</v>
          </cell>
          <cell r="M15" t="str">
            <v>=</v>
          </cell>
          <cell r="N15">
            <v>81.840902288372092</v>
          </cell>
          <cell r="O15" t="str">
            <v>x</v>
          </cell>
          <cell r="P15">
            <v>0.72</v>
          </cell>
          <cell r="Q15" t="str">
            <v>=</v>
          </cell>
          <cell r="R15">
            <v>58.925449647627907</v>
          </cell>
          <cell r="T15">
            <v>22.915452640744185</v>
          </cell>
          <cell r="V15">
            <v>8.1339076887574427E-3</v>
          </cell>
          <cell r="X15">
            <v>0.2479152880913611</v>
          </cell>
        </row>
        <row r="16">
          <cell r="B16" t="str">
            <v>Tax credit</v>
          </cell>
          <cell r="E16" t="str">
            <v>End 2004 remaining</v>
          </cell>
          <cell r="F16">
            <v>18</v>
          </cell>
          <cell r="G16" t="str">
            <v>x</v>
          </cell>
          <cell r="H16">
            <v>10.222222222222221</v>
          </cell>
          <cell r="I16" t="str">
            <v>=</v>
          </cell>
          <cell r="J16">
            <v>87.403435806252389</v>
          </cell>
          <cell r="K16" t="str">
            <v>-</v>
          </cell>
          <cell r="M16" t="str">
            <v>=</v>
          </cell>
          <cell r="N16">
            <v>87.403435806252389</v>
          </cell>
          <cell r="O16" t="str">
            <v>x</v>
          </cell>
          <cell r="P16">
            <v>1</v>
          </cell>
          <cell r="Q16" t="str">
            <v>=</v>
          </cell>
          <cell r="R16">
            <v>87.403435806252389</v>
          </cell>
          <cell r="T16">
            <v>0</v>
          </cell>
          <cell r="V16">
            <v>8.6867502513996928E-3</v>
          </cell>
          <cell r="X16">
            <v>0.26476550676006561</v>
          </cell>
        </row>
        <row r="17">
          <cell r="B17" t="str">
            <v>Total</v>
          </cell>
          <cell r="E17" t="str">
            <v>End 2004 remaining</v>
          </cell>
          <cell r="J17">
            <v>11114.452480572076</v>
          </cell>
          <cell r="K17" t="str">
            <v>-</v>
          </cell>
          <cell r="L17">
            <v>-538.40844111364822</v>
          </cell>
          <cell r="M17" t="str">
            <v>=</v>
          </cell>
          <cell r="N17">
            <v>11652.860921685722</v>
          </cell>
          <cell r="O17" t="str">
            <v>x</v>
          </cell>
          <cell r="P17">
            <v>1</v>
          </cell>
          <cell r="Q17" t="str">
            <v>=</v>
          </cell>
          <cell r="R17">
            <v>9794.4550111600438</v>
          </cell>
          <cell r="T17">
            <v>1858.4059105256797</v>
          </cell>
          <cell r="V17">
            <v>1.1581408855066766</v>
          </cell>
          <cell r="X17">
            <v>35.299248807264632</v>
          </cell>
        </row>
        <row r="18">
          <cell r="B18" t="str">
            <v>Total</v>
          </cell>
          <cell r="J18">
            <v>9977.0716936918507</v>
          </cell>
          <cell r="L18">
            <v>-228.16923046509135</v>
          </cell>
          <cell r="N18">
            <v>10205.240924156942</v>
          </cell>
          <cell r="R18">
            <v>8597.2209241569417</v>
          </cell>
          <cell r="T18">
            <v>1608.02</v>
          </cell>
          <cell r="V18">
            <v>1.1733586767434414</v>
          </cell>
          <cell r="X18">
            <v>30.718536658211388</v>
          </cell>
        </row>
        <row r="19">
          <cell r="B19" t="str">
            <v>Associates</v>
          </cell>
        </row>
        <row r="20">
          <cell r="B20" t="str">
            <v>Treasury shares</v>
          </cell>
          <cell r="E20" t="str">
            <v>Mkt value</v>
          </cell>
          <cell r="F20">
            <v>352.44499999999999</v>
          </cell>
          <cell r="G20" t="str">
            <v>x</v>
          </cell>
          <cell r="H20">
            <v>32.1</v>
          </cell>
          <cell r="I20" t="str">
            <v>=</v>
          </cell>
          <cell r="N20">
            <v>11313.4845</v>
          </cell>
          <cell r="O20" t="str">
            <v>x</v>
          </cell>
          <cell r="P20">
            <v>3.1409156038530839E-2</v>
          </cell>
          <cell r="Q20" t="str">
            <v>=</v>
          </cell>
          <cell r="R20">
            <v>355.34700000000004</v>
          </cell>
          <cell r="T20" t="str">
            <v>BREAKDOWN OF VALUE</v>
          </cell>
        </row>
        <row r="21">
          <cell r="B21" t="str">
            <v>Other assets</v>
          </cell>
          <cell r="E21" t="str">
            <v>Book value</v>
          </cell>
          <cell r="F21">
            <v>352.69499999999999</v>
          </cell>
          <cell r="G21" t="str">
            <v>x</v>
          </cell>
          <cell r="H21">
            <v>26.2</v>
          </cell>
          <cell r="I21" t="str">
            <v>=</v>
          </cell>
          <cell r="N21">
            <v>9240.6090000000004</v>
          </cell>
          <cell r="O21" t="str">
            <v>x</v>
          </cell>
          <cell r="P21">
            <v>3.1409156038530839E-2</v>
          </cell>
          <cell r="Q21" t="str">
            <v>=</v>
          </cell>
          <cell r="R21">
            <v>189</v>
          </cell>
          <cell r="T21" t="str">
            <v>BREAKDOWN OF VALUE</v>
          </cell>
        </row>
        <row r="22">
          <cell r="B22" t="str">
            <v>Total</v>
          </cell>
          <cell r="E22" t="str">
            <v>Book value</v>
          </cell>
          <cell r="R22">
            <v>544.34699999999998</v>
          </cell>
          <cell r="AA22">
            <v>1114.3333879901668</v>
          </cell>
          <cell r="AB22">
            <v>1071.5711066153692</v>
          </cell>
          <cell r="AC22">
            <v>1007.7205454725549</v>
          </cell>
          <cell r="AE22">
            <v>776.33338799016678</v>
          </cell>
          <cell r="AF22">
            <v>743.71110661536954</v>
          </cell>
          <cell r="AG22">
            <v>689.69634547255487</v>
          </cell>
        </row>
        <row r="23">
          <cell r="B23" t="str">
            <v>Total</v>
          </cell>
          <cell r="R23">
            <v>663.23972997205237</v>
          </cell>
          <cell r="AA23">
            <v>1033.784554057426</v>
          </cell>
          <cell r="AB23">
            <v>1002.5799694605035</v>
          </cell>
          <cell r="AC23">
            <v>985.23991574419074</v>
          </cell>
          <cell r="AE23">
            <v>808.28455405742602</v>
          </cell>
          <cell r="AF23">
            <v>765.80496946050357</v>
          </cell>
          <cell r="AG23">
            <v>755.56816574419076</v>
          </cell>
        </row>
        <row r="24">
          <cell r="B24" t="str">
            <v xml:space="preserve">Total EV </v>
          </cell>
          <cell r="J24">
            <v>11114.452480572076</v>
          </cell>
          <cell r="AA24">
            <v>24.626613469767442</v>
          </cell>
          <cell r="AB24">
            <v>24.593375459155382</v>
          </cell>
          <cell r="AC24">
            <v>23.851500614334405</v>
          </cell>
          <cell r="AE24">
            <v>11.691557469767442</v>
          </cell>
          <cell r="AF24">
            <v>11.738671817555378</v>
          </cell>
          <cell r="AG24">
            <v>11.19140234954336</v>
          </cell>
        </row>
        <row r="25">
          <cell r="B25" t="str">
            <v>Less: end 2005E (net debt)/cash</v>
          </cell>
          <cell r="J25">
            <v>538.40844111364822</v>
          </cell>
          <cell r="AA25">
            <v>2172.7445555173604</v>
          </cell>
          <cell r="AB25">
            <v>2098.7444515350285</v>
          </cell>
          <cell r="AC25">
            <v>2016.81196183108</v>
          </cell>
          <cell r="AE25">
            <v>1596.3094995173603</v>
          </cell>
          <cell r="AF25">
            <v>1521.2547478934284</v>
          </cell>
          <cell r="AG25">
            <v>1456.4559135662889</v>
          </cell>
        </row>
        <row r="26">
          <cell r="B26" t="str">
            <v xml:space="preserve">Less: Restructuring charge </v>
          </cell>
          <cell r="J26">
            <v>-277.10652357893053</v>
          </cell>
        </row>
        <row r="27">
          <cell r="B27" t="str">
            <v xml:space="preserve">Less: minorities </v>
          </cell>
          <cell r="J27">
            <v>-1858.4059105256797</v>
          </cell>
        </row>
        <row r="28">
          <cell r="B28" t="str">
            <v xml:space="preserve">Plus: associates </v>
          </cell>
          <cell r="J28">
            <v>544.34699999999998</v>
          </cell>
        </row>
        <row r="29">
          <cell r="B29" t="str">
            <v xml:space="preserve">Group equity value </v>
          </cell>
          <cell r="J29">
            <v>10061.695487581113</v>
          </cell>
        </row>
        <row r="30">
          <cell r="B30" t="str">
            <v xml:space="preserve">Number of shares </v>
          </cell>
          <cell r="J30">
            <v>352.44499999999999</v>
          </cell>
        </row>
        <row r="31">
          <cell r="B31" t="str">
            <v xml:space="preserve">Fair value per share </v>
          </cell>
          <cell r="J31">
            <v>28.548271326252646</v>
          </cell>
        </row>
        <row r="32">
          <cell r="B32" t="str">
            <v>Plus: 2005 dividend per share not yet received</v>
          </cell>
          <cell r="J32">
            <v>1.38</v>
          </cell>
        </row>
        <row r="33">
          <cell r="B33" t="str">
            <v>Plus: 2005 special dividend per share not yet received</v>
          </cell>
          <cell r="J33">
            <v>0.55096418732782371</v>
          </cell>
        </row>
        <row r="34">
          <cell r="B34" t="str">
            <v xml:space="preserve">Fair value per share </v>
          </cell>
          <cell r="J34">
            <v>30.47923551358047</v>
          </cell>
        </row>
        <row r="35">
          <cell r="B35" t="str">
            <v xml:space="preserve">Current price </v>
          </cell>
          <cell r="J35">
            <v>32.1</v>
          </cell>
        </row>
        <row r="36">
          <cell r="B36" t="str">
            <v xml:space="preserve">% upside/downside to current price </v>
          </cell>
          <cell r="J36">
            <v>-5.0491105495935606E-2</v>
          </cell>
        </row>
      </sheetData>
      <sheetData sheetId="42">
        <row r="4">
          <cell r="AR4" t="str">
            <v xml:space="preserve"> British Telecom (Reduce) TP: 182p  (-11.3%)</v>
          </cell>
        </row>
        <row r="11">
          <cell r="E11" t="str">
            <v>Method</v>
          </cell>
          <cell r="F11" t="str">
            <v>Driver</v>
          </cell>
          <cell r="H11" t="str">
            <v>Multiple</v>
          </cell>
          <cell r="J11" t="str">
            <v>100% EV</v>
          </cell>
          <cell r="L11" t="str">
            <v>05E net debt</v>
          </cell>
          <cell r="N11" t="str">
            <v>100% equity</v>
          </cell>
          <cell r="P11" t="str">
            <v>Ownership</v>
          </cell>
          <cell r="R11" t="str">
            <v>BT equity</v>
          </cell>
          <cell r="T11" t="str">
            <v>Minority</v>
          </cell>
          <cell r="V11" t="str">
            <v>% of equity</v>
          </cell>
          <cell r="X11" t="str">
            <v>Per share</v>
          </cell>
        </row>
        <row r="13">
          <cell r="B13" t="str">
            <v>Domestic wireline</v>
          </cell>
          <cell r="E13" t="str">
            <v>DCF, 10.4x 05E FCF</v>
          </cell>
          <cell r="F13">
            <v>2023.8794526836286</v>
          </cell>
          <cell r="G13" t="str">
            <v>x</v>
          </cell>
          <cell r="H13">
            <v>10.446665320267655</v>
          </cell>
          <cell r="I13" t="str">
            <v>=</v>
          </cell>
          <cell r="J13">
            <v>21142.791290752346</v>
          </cell>
          <cell r="K13" t="str">
            <v>-</v>
          </cell>
          <cell r="L13">
            <v>8088.1513130080193</v>
          </cell>
          <cell r="M13" t="str">
            <v>=</v>
          </cell>
          <cell r="N13">
            <v>13054.639977744326</v>
          </cell>
          <cell r="O13" t="str">
            <v>x</v>
          </cell>
          <cell r="P13">
            <v>1</v>
          </cell>
          <cell r="Q13" t="str">
            <v>=</v>
          </cell>
          <cell r="R13">
            <v>13054.639977744326</v>
          </cell>
          <cell r="T13">
            <v>0</v>
          </cell>
          <cell r="V13">
            <v>0.90415763313580477</v>
          </cell>
          <cell r="X13">
            <v>1.6487318726268112</v>
          </cell>
        </row>
        <row r="14">
          <cell r="B14" t="str">
            <v>BT GS/Solutions</v>
          </cell>
          <cell r="E14" t="str">
            <v>DCF, 34.1x 05E OpFCF</v>
          </cell>
          <cell r="F14">
            <v>143.42695802117623</v>
          </cell>
          <cell r="G14" t="str">
            <v>x</v>
          </cell>
          <cell r="H14">
            <v>34.149786536481074</v>
          </cell>
          <cell r="I14" t="str">
            <v>=</v>
          </cell>
          <cell r="J14">
            <v>4898</v>
          </cell>
          <cell r="K14" t="str">
            <v>-</v>
          </cell>
          <cell r="M14" t="str">
            <v>=</v>
          </cell>
          <cell r="N14">
            <v>4898</v>
          </cell>
          <cell r="O14" t="str">
            <v>x</v>
          </cell>
          <cell r="P14">
            <v>1</v>
          </cell>
          <cell r="Q14" t="str">
            <v>=</v>
          </cell>
          <cell r="R14">
            <v>4898</v>
          </cell>
          <cell r="T14">
            <v>0</v>
          </cell>
          <cell r="V14">
            <v>0.33923295430965772</v>
          </cell>
          <cell r="X14">
            <v>0.618591452992445</v>
          </cell>
        </row>
        <row r="15">
          <cell r="B15" t="str">
            <v>Total</v>
          </cell>
          <cell r="J15">
            <v>26040.791290752346</v>
          </cell>
          <cell r="L15">
            <v>8088.1513130080193</v>
          </cell>
          <cell r="N15">
            <v>17952.639977744326</v>
          </cell>
          <cell r="R15">
            <v>17952.639977744326</v>
          </cell>
          <cell r="T15">
            <v>0</v>
          </cell>
          <cell r="V15">
            <v>1.2433905874454625</v>
          </cell>
          <cell r="X15">
            <v>2.2673233256192562</v>
          </cell>
        </row>
        <row r="17">
          <cell r="B17" t="str">
            <v>Associates</v>
          </cell>
        </row>
        <row r="18">
          <cell r="B18" t="str">
            <v>Albacom (net of Albacom contingent liability)</v>
          </cell>
          <cell r="E18" t="str">
            <v>10x 06E operating profit</v>
          </cell>
          <cell r="R18">
            <v>292.36869999999999</v>
          </cell>
          <cell r="T18" t="str">
            <v>BREAKDOWN OF VALUE</v>
          </cell>
        </row>
        <row r="19">
          <cell r="B19" t="str">
            <v>Total</v>
          </cell>
          <cell r="R19">
            <v>292.36869999999999</v>
          </cell>
        </row>
        <row r="21">
          <cell r="B21" t="str">
            <v xml:space="preserve">Total EV </v>
          </cell>
          <cell r="J21">
            <v>26040.791290752346</v>
          </cell>
          <cell r="AA21">
            <v>4276.1036184846835</v>
          </cell>
          <cell r="AB21">
            <v>4248.0260520624324</v>
          </cell>
          <cell r="AC21">
            <v>4140.4316239008431</v>
          </cell>
          <cell r="AE21">
            <v>2003.6045295222543</v>
          </cell>
          <cell r="AF21">
            <v>2111.900431068852</v>
          </cell>
          <cell r="AG21">
            <v>2142.9727346859418</v>
          </cell>
        </row>
        <row r="22">
          <cell r="B22" t="str">
            <v>Less: end 2005E (net debt)/cash</v>
          </cell>
          <cell r="J22">
            <v>-8088.1513130080193</v>
          </cell>
          <cell r="AA22">
            <v>1238.933894786212</v>
          </cell>
          <cell r="AB22">
            <v>1387.6529009689116</v>
          </cell>
          <cell r="AC22">
            <v>1523.0939728080309</v>
          </cell>
          <cell r="AE22">
            <v>529.17628597982184</v>
          </cell>
          <cell r="AF22">
            <v>644.37732029230858</v>
          </cell>
          <cell r="AG22">
            <v>757.07038358162561</v>
          </cell>
        </row>
        <row r="23">
          <cell r="B23" t="str">
            <v>Less: Net debt premium</v>
          </cell>
          <cell r="J23">
            <v>-1820.6401897496733</v>
          </cell>
          <cell r="AA23">
            <v>5515.0375132708959</v>
          </cell>
          <cell r="AB23">
            <v>5635.6789530313436</v>
          </cell>
          <cell r="AC23">
            <v>5663.5255967088742</v>
          </cell>
          <cell r="AE23">
            <v>2532.7808155020762</v>
          </cell>
          <cell r="AF23">
            <v>2756.2777513611604</v>
          </cell>
          <cell r="AG23">
            <v>2900.0431182675675</v>
          </cell>
        </row>
        <row r="24">
          <cell r="B24" t="str">
            <v xml:space="preserve">Less: Pension deficit net of tax </v>
          </cell>
          <cell r="J24">
            <v>-1985.9127372334181</v>
          </cell>
        </row>
        <row r="25">
          <cell r="B25" t="str">
            <v xml:space="preserve">Less: minorities </v>
          </cell>
          <cell r="J25">
            <v>0</v>
          </cell>
        </row>
        <row r="26">
          <cell r="B26" t="str">
            <v xml:space="preserve">Plus: associates </v>
          </cell>
          <cell r="J26">
            <v>292.36869999999999</v>
          </cell>
        </row>
        <row r="27">
          <cell r="B27" t="str">
            <v xml:space="preserve">Group equity value </v>
          </cell>
          <cell r="J27">
            <v>14438.455750761234</v>
          </cell>
        </row>
        <row r="28">
          <cell r="B28" t="str">
            <v xml:space="preserve">Number of shares </v>
          </cell>
          <cell r="J28">
            <v>8419</v>
          </cell>
        </row>
        <row r="29">
          <cell r="B29" t="str">
            <v xml:space="preserve">Fair value per share </v>
          </cell>
          <cell r="J29">
            <v>1.7149846479108248</v>
          </cell>
        </row>
        <row r="30">
          <cell r="B30" t="str">
            <v>Plus: 2005 dividend per share not yet received</v>
          </cell>
          <cell r="J30">
            <v>0.10851582612562141</v>
          </cell>
        </row>
        <row r="31">
          <cell r="B31" t="str">
            <v xml:space="preserve">Fair value per share </v>
          </cell>
          <cell r="J31">
            <v>1.8235004740364462</v>
          </cell>
        </row>
        <row r="32">
          <cell r="B32" t="str">
            <v xml:space="preserve">Current price </v>
          </cell>
          <cell r="J32">
            <v>2.0525000000000002</v>
          </cell>
        </row>
        <row r="33">
          <cell r="B33" t="str">
            <v xml:space="preserve">% upside/downside to current price </v>
          </cell>
          <cell r="J33">
            <v>-0.11157102361196292</v>
          </cell>
        </row>
      </sheetData>
      <sheetData sheetId="43">
        <row r="4">
          <cell r="AR4" t="str">
            <v xml:space="preserve"> Deutsche Telekom (Neutral) TP: €17.0  (+7.3%)</v>
          </cell>
        </row>
        <row r="11">
          <cell r="E11" t="str">
            <v>Method</v>
          </cell>
          <cell r="F11" t="str">
            <v>Driver</v>
          </cell>
          <cell r="H11" t="str">
            <v>Multiple</v>
          </cell>
          <cell r="J11" t="str">
            <v>100% EV</v>
          </cell>
          <cell r="L11" t="str">
            <v>05E net debt</v>
          </cell>
          <cell r="N11" t="str">
            <v>100% equity</v>
          </cell>
          <cell r="P11" t="str">
            <v>Ownership</v>
          </cell>
          <cell r="R11" t="str">
            <v>DT equity</v>
          </cell>
          <cell r="T11" t="str">
            <v>Minority</v>
          </cell>
          <cell r="V11" t="str">
            <v>% of equity</v>
          </cell>
          <cell r="X11" t="str">
            <v>Per share</v>
          </cell>
        </row>
        <row r="13">
          <cell r="B13" t="str">
            <v>Domestic wireline</v>
          </cell>
          <cell r="E13" t="str">
            <v>DCF, 13.2x 05E FCF</v>
          </cell>
          <cell r="F13">
            <v>3377.9232353775747</v>
          </cell>
          <cell r="G13" t="str">
            <v>x</v>
          </cell>
          <cell r="H13">
            <v>13.182309352886325</v>
          </cell>
          <cell r="I13" t="str">
            <v>=</v>
          </cell>
          <cell r="J13">
            <v>44528.829059049836</v>
          </cell>
          <cell r="K13" t="str">
            <v>-</v>
          </cell>
          <cell r="L13">
            <v>32662.709711073476</v>
          </cell>
          <cell r="M13" t="str">
            <v>=</v>
          </cell>
          <cell r="N13">
            <v>11866.119347976361</v>
          </cell>
          <cell r="O13" t="str">
            <v>x</v>
          </cell>
          <cell r="P13">
            <v>1</v>
          </cell>
          <cell r="Q13" t="str">
            <v>=</v>
          </cell>
          <cell r="R13">
            <v>11866.119347976361</v>
          </cell>
          <cell r="T13">
            <v>0</v>
          </cell>
          <cell r="V13">
            <v>0.17000293739028241</v>
          </cell>
          <cell r="X13">
            <v>2.9340357539534558</v>
          </cell>
        </row>
        <row r="14">
          <cell r="B14" t="str">
            <v>T-systems IT business</v>
          </cell>
          <cell r="E14" t="str">
            <v>DCF, 10.0x 04E FCF</v>
          </cell>
          <cell r="F14">
            <v>427.61</v>
          </cell>
          <cell r="G14" t="str">
            <v>x</v>
          </cell>
          <cell r="H14">
            <v>10</v>
          </cell>
          <cell r="I14" t="str">
            <v>=</v>
          </cell>
          <cell r="J14">
            <v>4276.1000000000004</v>
          </cell>
          <cell r="K14" t="str">
            <v>-</v>
          </cell>
          <cell r="M14" t="str">
            <v>=</v>
          </cell>
          <cell r="N14">
            <v>4276.1000000000004</v>
          </cell>
          <cell r="O14" t="str">
            <v>x</v>
          </cell>
          <cell r="P14">
            <v>1</v>
          </cell>
          <cell r="Q14" t="str">
            <v>=</v>
          </cell>
          <cell r="R14">
            <v>4276.1000000000004</v>
          </cell>
          <cell r="T14">
            <v>0</v>
          </cell>
          <cell r="V14">
            <v>6.1262620007151714E-2</v>
          </cell>
          <cell r="X14">
            <v>1.0573153631410253</v>
          </cell>
        </row>
        <row r="15">
          <cell r="C15" t="str">
            <v>T-Com/IT-systems</v>
          </cell>
          <cell r="J15">
            <v>48804.929059049835</v>
          </cell>
        </row>
        <row r="16">
          <cell r="B16" t="str">
            <v>T-Mobile Germany</v>
          </cell>
          <cell r="E16" t="str">
            <v>DCF, 6.3x 04E OpFCF</v>
          </cell>
          <cell r="F16">
            <v>3099</v>
          </cell>
          <cell r="G16" t="str">
            <v>x</v>
          </cell>
          <cell r="H16">
            <v>6.2775652173531142</v>
          </cell>
          <cell r="I16" t="str">
            <v>=</v>
          </cell>
          <cell r="J16">
            <v>19454.174608577301</v>
          </cell>
          <cell r="K16" t="str">
            <v>-</v>
          </cell>
          <cell r="M16" t="str">
            <v>=</v>
          </cell>
          <cell r="N16">
            <v>19454.174608577301</v>
          </cell>
          <cell r="O16" t="str">
            <v>x</v>
          </cell>
          <cell r="P16">
            <v>1</v>
          </cell>
          <cell r="Q16" t="str">
            <v>=</v>
          </cell>
          <cell r="R16">
            <v>19454.174608577301</v>
          </cell>
          <cell r="T16">
            <v>0</v>
          </cell>
          <cell r="V16">
            <v>0.27871511578261748</v>
          </cell>
          <cell r="X16">
            <v>4.8102705013626492</v>
          </cell>
        </row>
        <row r="17">
          <cell r="B17" t="str">
            <v>T-Mobile UK</v>
          </cell>
          <cell r="E17" t="str">
            <v>DCF, 5.9x 04E OpFCF</v>
          </cell>
          <cell r="F17">
            <v>1006</v>
          </cell>
          <cell r="G17" t="str">
            <v>x</v>
          </cell>
          <cell r="H17">
            <v>5.8740834859215951</v>
          </cell>
          <cell r="I17" t="str">
            <v>=</v>
          </cell>
          <cell r="J17">
            <v>5909.3279868371246</v>
          </cell>
          <cell r="K17" t="str">
            <v>-</v>
          </cell>
          <cell r="M17" t="str">
            <v>=</v>
          </cell>
          <cell r="N17">
            <v>5909.3279868371246</v>
          </cell>
          <cell r="O17" t="str">
            <v>x</v>
          </cell>
          <cell r="P17">
            <v>1</v>
          </cell>
          <cell r="Q17" t="str">
            <v>=</v>
          </cell>
          <cell r="R17">
            <v>5909.3279868371246</v>
          </cell>
          <cell r="T17">
            <v>0</v>
          </cell>
          <cell r="V17">
            <v>8.4661470722207047E-2</v>
          </cell>
          <cell r="X17">
            <v>1.4611499418446992</v>
          </cell>
        </row>
        <row r="18">
          <cell r="B18" t="str">
            <v>T-Mobile USA</v>
          </cell>
          <cell r="E18" t="str">
            <v>DCF, 18.6x 04E OpFCF</v>
          </cell>
          <cell r="F18">
            <v>889</v>
          </cell>
          <cell r="G18" t="str">
            <v>x</v>
          </cell>
          <cell r="H18">
            <v>18.635548954923319</v>
          </cell>
          <cell r="I18" t="str">
            <v>=</v>
          </cell>
          <cell r="J18">
            <v>16567.00302092683</v>
          </cell>
          <cell r="K18" t="str">
            <v>-</v>
          </cell>
          <cell r="M18" t="str">
            <v>=</v>
          </cell>
          <cell r="N18">
            <v>16567.00302092683</v>
          </cell>
          <cell r="O18" t="str">
            <v>x</v>
          </cell>
          <cell r="P18">
            <v>1</v>
          </cell>
          <cell r="Q18" t="str">
            <v>=</v>
          </cell>
          <cell r="R18">
            <v>16567.00302092683</v>
          </cell>
          <cell r="T18">
            <v>0</v>
          </cell>
          <cell r="V18">
            <v>0.23735132731422906</v>
          </cell>
          <cell r="X18">
            <v>4.0963838112368078</v>
          </cell>
        </row>
        <row r="19">
          <cell r="B19" t="str">
            <v>T-Mobile Austria</v>
          </cell>
          <cell r="E19" t="str">
            <v>DCF, 14.5x 04E OpFCF</v>
          </cell>
          <cell r="F19">
            <v>119</v>
          </cell>
          <cell r="G19" t="str">
            <v>x</v>
          </cell>
          <cell r="H19">
            <v>14.456319533601059</v>
          </cell>
          <cell r="I19" t="str">
            <v>=</v>
          </cell>
          <cell r="J19">
            <v>1720.302024498526</v>
          </cell>
          <cell r="K19" t="str">
            <v>-</v>
          </cell>
          <cell r="M19" t="str">
            <v>=</v>
          </cell>
          <cell r="N19">
            <v>1720.302024498526</v>
          </cell>
          <cell r="O19" t="str">
            <v>x</v>
          </cell>
          <cell r="P19">
            <v>1</v>
          </cell>
          <cell r="Q19" t="str">
            <v>=</v>
          </cell>
          <cell r="R19">
            <v>1720.302024498526</v>
          </cell>
          <cell r="T19">
            <v>0</v>
          </cell>
          <cell r="V19">
            <v>2.4646338772336237E-2</v>
          </cell>
          <cell r="X19">
            <v>0.42536464529475454</v>
          </cell>
        </row>
        <row r="20">
          <cell r="B20" t="str">
            <v>T-Mobile Neths</v>
          </cell>
          <cell r="E20" t="str">
            <v>DCF based</v>
          </cell>
          <cell r="J20">
            <v>807.6706680892861</v>
          </cell>
          <cell r="K20" t="str">
            <v>-</v>
          </cell>
          <cell r="M20" t="str">
            <v>=</v>
          </cell>
          <cell r="N20">
            <v>807.6706680892861</v>
          </cell>
          <cell r="O20" t="str">
            <v>x</v>
          </cell>
          <cell r="P20">
            <v>1</v>
          </cell>
          <cell r="Q20" t="str">
            <v>=</v>
          </cell>
          <cell r="R20">
            <v>807.6706680892861</v>
          </cell>
          <cell r="T20">
            <v>0</v>
          </cell>
          <cell r="V20">
            <v>1.1571296562305907E-2</v>
          </cell>
          <cell r="X20">
            <v>0.19970594834760133</v>
          </cell>
        </row>
        <row r="21">
          <cell r="B21" t="str">
            <v>T-Mobile Czech</v>
          </cell>
          <cell r="E21" t="str">
            <v>DCF, 8.8x 04E OpFCF</v>
          </cell>
          <cell r="F21">
            <v>274</v>
          </cell>
          <cell r="G21" t="str">
            <v>x</v>
          </cell>
          <cell r="H21">
            <v>8.8101082329097871</v>
          </cell>
          <cell r="I21" t="str">
            <v>=</v>
          </cell>
          <cell r="J21">
            <v>2413.9696558172818</v>
          </cell>
          <cell r="K21" t="str">
            <v>-</v>
          </cell>
          <cell r="M21" t="str">
            <v>=</v>
          </cell>
          <cell r="N21">
            <v>2413.9696558172818</v>
          </cell>
          <cell r="O21" t="str">
            <v>x</v>
          </cell>
          <cell r="P21">
            <v>0.55900000000000005</v>
          </cell>
          <cell r="Q21" t="str">
            <v>=</v>
          </cell>
          <cell r="R21">
            <v>1349.4090376018607</v>
          </cell>
          <cell r="T21">
            <v>1064.5606182154211</v>
          </cell>
          <cell r="V21">
            <v>3.4584342212092549E-2</v>
          </cell>
          <cell r="X21">
            <v>0.59688201942233932</v>
          </cell>
        </row>
        <row r="22">
          <cell r="B22" t="str">
            <v>T-Mobile Croatia</v>
          </cell>
          <cell r="C22" t="str">
            <v>T-Mobile</v>
          </cell>
          <cell r="E22" t="str">
            <v>DCF, 6.0x 04E OpFCF</v>
          </cell>
          <cell r="F22">
            <v>141.65655356332641</v>
          </cell>
          <cell r="G22" t="str">
            <v>x</v>
          </cell>
          <cell r="H22">
            <v>6</v>
          </cell>
          <cell r="I22" t="str">
            <v>=</v>
          </cell>
          <cell r="J22">
            <v>46872.447964746345</v>
          </cell>
          <cell r="K22" t="str">
            <v>-</v>
          </cell>
          <cell r="M22" t="str">
            <v>=</v>
          </cell>
          <cell r="N22">
            <v>849.93932137995853</v>
          </cell>
          <cell r="O22" t="str">
            <v>x</v>
          </cell>
          <cell r="P22">
            <v>0.51</v>
          </cell>
          <cell r="Q22" t="str">
            <v>=</v>
          </cell>
          <cell r="R22">
            <v>433.46905390377884</v>
          </cell>
          <cell r="T22">
            <v>416.47026747617969</v>
          </cell>
          <cell r="V22">
            <v>1.1273729780404199E-2</v>
          </cell>
          <cell r="X22">
            <v>0.20260770473896511</v>
          </cell>
        </row>
        <row r="23">
          <cell r="B23" t="str">
            <v>T-Online</v>
          </cell>
          <cell r="E23" t="str">
            <v>Fair value</v>
          </cell>
          <cell r="F23">
            <v>1224</v>
          </cell>
          <cell r="G23" t="str">
            <v>x</v>
          </cell>
          <cell r="H23">
            <v>6</v>
          </cell>
          <cell r="I23" t="str">
            <v>=</v>
          </cell>
          <cell r="J23">
            <v>3409</v>
          </cell>
          <cell r="K23" t="str">
            <v>-</v>
          </cell>
          <cell r="L23">
            <v>-3935</v>
          </cell>
          <cell r="M23" t="str">
            <v>=</v>
          </cell>
          <cell r="N23">
            <v>794.30975517241109</v>
          </cell>
          <cell r="O23" t="str">
            <v>x</v>
          </cell>
          <cell r="P23">
            <v>0.51</v>
          </cell>
          <cell r="Q23" t="str">
            <v>=</v>
          </cell>
          <cell r="R23">
            <v>405.09797513792967</v>
          </cell>
          <cell r="T23">
            <v>1916.7839999999997</v>
          </cell>
          <cell r="V23">
            <v>0.10521565944026617</v>
          </cell>
          <cell r="X23">
            <v>1.8158892511652418</v>
          </cell>
        </row>
        <row r="24">
          <cell r="B24" t="str">
            <v>Matav</v>
          </cell>
          <cell r="C24" t="str">
            <v>T-Mobile</v>
          </cell>
          <cell r="E24" t="str">
            <v>Mkt value</v>
          </cell>
          <cell r="F24">
            <v>1037</v>
          </cell>
          <cell r="G24" t="str">
            <v>x</v>
          </cell>
          <cell r="H24">
            <v>980</v>
          </cell>
          <cell r="I24" t="str">
            <v>=</v>
          </cell>
          <cell r="J24">
            <v>47794.197264707829</v>
          </cell>
          <cell r="K24" t="str">
            <v>-</v>
          </cell>
          <cell r="L24">
            <v>1100</v>
          </cell>
          <cell r="M24" t="str">
            <v>=</v>
          </cell>
          <cell r="N24">
            <v>4203.9829611196365</v>
          </cell>
          <cell r="O24" t="str">
            <v>x</v>
          </cell>
          <cell r="P24">
            <v>0.59499999999999997</v>
          </cell>
          <cell r="Q24" t="str">
            <v>=</v>
          </cell>
          <cell r="R24">
            <v>2501.3698618661838</v>
          </cell>
          <cell r="T24">
            <v>1702.6130992534527</v>
          </cell>
          <cell r="V24">
            <v>6.0229417147310102E-2</v>
          </cell>
          <cell r="X24">
            <v>1.0394835881234983</v>
          </cell>
        </row>
        <row r="25">
          <cell r="B25" t="str">
            <v>Slovak Telecom</v>
          </cell>
          <cell r="E25" t="str">
            <v>DCF, 5.0x 04E EBITDA</v>
          </cell>
          <cell r="F25">
            <v>197</v>
          </cell>
          <cell r="G25" t="str">
            <v>x</v>
          </cell>
          <cell r="H25">
            <v>5</v>
          </cell>
          <cell r="I25" t="str">
            <v>=</v>
          </cell>
          <cell r="J25">
            <v>985</v>
          </cell>
          <cell r="K25" t="str">
            <v>-</v>
          </cell>
          <cell r="L25">
            <v>1100</v>
          </cell>
          <cell r="M25" t="str">
            <v>=</v>
          </cell>
          <cell r="N25">
            <v>985</v>
          </cell>
          <cell r="O25" t="str">
            <v>x</v>
          </cell>
          <cell r="P25">
            <v>0.51</v>
          </cell>
          <cell r="Q25" t="str">
            <v>=</v>
          </cell>
          <cell r="R25">
            <v>502.35</v>
          </cell>
          <cell r="T25">
            <v>482.65</v>
          </cell>
          <cell r="V25">
            <v>1.4111849747911517E-2</v>
          </cell>
          <cell r="X25">
            <v>0.24355268415002221</v>
          </cell>
        </row>
        <row r="26">
          <cell r="B26" t="str">
            <v>Hrvatske Telecom</v>
          </cell>
          <cell r="E26" t="str">
            <v>DCF, 5.0x 04E EBITDA</v>
          </cell>
          <cell r="F26">
            <v>533</v>
          </cell>
          <cell r="G26" t="str">
            <v>x</v>
          </cell>
          <cell r="H26">
            <v>5</v>
          </cell>
          <cell r="I26" t="str">
            <v>=</v>
          </cell>
          <cell r="J26">
            <v>2665</v>
          </cell>
          <cell r="K26" t="str">
            <v>-</v>
          </cell>
          <cell r="M26" t="str">
            <v>=</v>
          </cell>
          <cell r="N26">
            <v>2665</v>
          </cell>
          <cell r="O26" t="str">
            <v>x</v>
          </cell>
          <cell r="P26">
            <v>0.51</v>
          </cell>
          <cell r="Q26" t="str">
            <v>=</v>
          </cell>
          <cell r="R26">
            <v>1359.15</v>
          </cell>
          <cell r="T26">
            <v>1305.8499999999999</v>
          </cell>
          <cell r="V26">
            <v>3.8180791449933187E-2</v>
          </cell>
          <cell r="X26">
            <v>0.6589521860505676</v>
          </cell>
        </row>
        <row r="27">
          <cell r="B27" t="str">
            <v>Hrvatske Telecom</v>
          </cell>
          <cell r="C27" t="str">
            <v>Eastern Europe</v>
          </cell>
          <cell r="E27" t="str">
            <v>DCF, 5.0x 04E EBITDA</v>
          </cell>
          <cell r="F27">
            <v>321</v>
          </cell>
          <cell r="G27" t="str">
            <v>x</v>
          </cell>
          <cell r="H27">
            <v>5</v>
          </cell>
          <cell r="I27" t="str">
            <v>=</v>
          </cell>
          <cell r="J27">
            <v>8953.9829611196365</v>
          </cell>
          <cell r="K27" t="str">
            <v>-</v>
          </cell>
          <cell r="M27" t="str">
            <v>=</v>
          </cell>
          <cell r="N27">
            <v>1605</v>
          </cell>
          <cell r="O27" t="str">
            <v>x</v>
          </cell>
          <cell r="P27">
            <v>0.51</v>
          </cell>
          <cell r="Q27" t="str">
            <v>=</v>
          </cell>
          <cell r="R27">
            <v>818.55000000000007</v>
          </cell>
          <cell r="T27">
            <v>786.44999999999993</v>
          </cell>
          <cell r="V27">
            <v>2.1288974215442624E-2</v>
          </cell>
          <cell r="X27">
            <v>0.38259833134684151</v>
          </cell>
        </row>
        <row r="28">
          <cell r="B28" t="str">
            <v>Total</v>
          </cell>
          <cell r="C28" t="str">
            <v>Eastern Europe</v>
          </cell>
          <cell r="J28">
            <v>108040.35998491582</v>
          </cell>
          <cell r="L28">
            <v>29827.709711073476</v>
          </cell>
          <cell r="N28">
            <v>78212.650273842344</v>
          </cell>
          <cell r="R28">
            <v>71740.192556373469</v>
          </cell>
          <cell r="T28">
            <v>6472.4577174688729</v>
          </cell>
          <cell r="V28">
            <v>1.1205331665486433</v>
          </cell>
          <cell r="X28">
            <v>19.33898569409266</v>
          </cell>
        </row>
        <row r="29">
          <cell r="B29" t="str">
            <v>Total</v>
          </cell>
          <cell r="J29">
            <v>115060.23895107402</v>
          </cell>
          <cell r="L29">
            <v>36918.171332074679</v>
          </cell>
          <cell r="N29">
            <v>78142.067618999339</v>
          </cell>
          <cell r="R29">
            <v>73581.031465777109</v>
          </cell>
          <cell r="T29">
            <v>4561.0361532222441</v>
          </cell>
          <cell r="V29">
            <v>1.036488761795795</v>
          </cell>
          <cell r="X29">
            <v>18.627429706555265</v>
          </cell>
        </row>
        <row r="30">
          <cell r="B30" t="str">
            <v>Associates</v>
          </cell>
        </row>
        <row r="31">
          <cell r="B31" t="str">
            <v>PTC</v>
          </cell>
          <cell r="E31" t="str">
            <v>€600 2003A Sub</v>
          </cell>
          <cell r="F31">
            <v>6.2</v>
          </cell>
          <cell r="G31" t="str">
            <v>x</v>
          </cell>
          <cell r="H31">
            <v>600</v>
          </cell>
          <cell r="I31" t="str">
            <v>=</v>
          </cell>
          <cell r="J31">
            <v>3720</v>
          </cell>
          <cell r="K31" t="str">
            <v>-</v>
          </cell>
          <cell r="L31">
            <v>1000</v>
          </cell>
          <cell r="M31" t="str">
            <v>=</v>
          </cell>
          <cell r="N31">
            <v>2720</v>
          </cell>
          <cell r="O31" t="str">
            <v>x</v>
          </cell>
          <cell r="P31">
            <v>0.49</v>
          </cell>
          <cell r="Q31" t="str">
            <v>=</v>
          </cell>
          <cell r="R31">
            <v>1332.8</v>
          </cell>
          <cell r="T31" t="str">
            <v>BREAKDOWN OF VALUE</v>
          </cell>
        </row>
        <row r="32">
          <cell r="B32" t="str">
            <v>MTS</v>
          </cell>
          <cell r="E32" t="str">
            <v>Mkt value</v>
          </cell>
          <cell r="F32">
            <v>398</v>
          </cell>
          <cell r="G32" t="str">
            <v>x</v>
          </cell>
          <cell r="H32">
            <v>39.01</v>
          </cell>
          <cell r="I32" t="str">
            <v>=</v>
          </cell>
          <cell r="J32">
            <v>3720</v>
          </cell>
          <cell r="K32" t="str">
            <v>-</v>
          </cell>
          <cell r="L32">
            <v>1000</v>
          </cell>
          <cell r="M32" t="str">
            <v>=</v>
          </cell>
          <cell r="N32">
            <v>11751.867691026757</v>
          </cell>
          <cell r="O32" t="str">
            <v>x</v>
          </cell>
          <cell r="P32">
            <v>0.1</v>
          </cell>
          <cell r="Q32" t="str">
            <v>=</v>
          </cell>
          <cell r="R32">
            <v>1175.1867691026757</v>
          </cell>
          <cell r="T32" t="str">
            <v>BREAKDOWN OF VALUE</v>
          </cell>
        </row>
        <row r="33">
          <cell r="B33" t="str">
            <v>SES (satellite)</v>
          </cell>
          <cell r="E33" t="str">
            <v>Mkt value</v>
          </cell>
          <cell r="F33">
            <v>310</v>
          </cell>
          <cell r="G33" t="str">
            <v>x</v>
          </cell>
          <cell r="H33">
            <v>10.94</v>
          </cell>
          <cell r="I33" t="str">
            <v>=</v>
          </cell>
          <cell r="N33">
            <v>3391.3999999999996</v>
          </cell>
          <cell r="O33" t="str">
            <v>x</v>
          </cell>
          <cell r="P33">
            <v>0.25</v>
          </cell>
          <cell r="Q33" t="str">
            <v>=</v>
          </cell>
          <cell r="R33">
            <v>847.84999999999991</v>
          </cell>
          <cell r="AA33" t="str">
            <v>EBITDA</v>
          </cell>
          <cell r="AB33" t="str">
            <v>EBITDA</v>
          </cell>
          <cell r="AC33" t="str">
            <v>EBITDA</v>
          </cell>
          <cell r="AE33" t="str">
            <v>OpFCF</v>
          </cell>
          <cell r="AF33" t="str">
            <v>OpFCF</v>
          </cell>
          <cell r="AG33" t="str">
            <v>OpFCF</v>
          </cell>
        </row>
        <row r="34">
          <cell r="B34" t="str">
            <v>Other satellite</v>
          </cell>
          <cell r="E34" t="str">
            <v>Mkt value</v>
          </cell>
          <cell r="F34">
            <v>310</v>
          </cell>
          <cell r="G34" t="str">
            <v>x</v>
          </cell>
          <cell r="H34">
            <v>13.13</v>
          </cell>
          <cell r="I34" t="str">
            <v>=</v>
          </cell>
          <cell r="N34">
            <v>250</v>
          </cell>
          <cell r="O34" t="str">
            <v>x</v>
          </cell>
          <cell r="P34">
            <v>1</v>
          </cell>
          <cell r="Q34" t="str">
            <v>=</v>
          </cell>
          <cell r="R34">
            <v>250</v>
          </cell>
          <cell r="AA34">
            <v>8417.7181228641221</v>
          </cell>
          <cell r="AB34">
            <v>7818.7336663604892</v>
          </cell>
          <cell r="AC34">
            <v>8203.274760367276</v>
          </cell>
          <cell r="AE34">
            <v>5935.406890894682</v>
          </cell>
          <cell r="AF34">
            <v>4378.8322868448822</v>
          </cell>
          <cell r="AG34">
            <v>4840.2605910970142</v>
          </cell>
        </row>
        <row r="35">
          <cell r="B35" t="str">
            <v>Total</v>
          </cell>
          <cell r="N35">
            <v>250</v>
          </cell>
          <cell r="O35" t="str">
            <v>x</v>
          </cell>
          <cell r="P35">
            <v>1</v>
          </cell>
          <cell r="Q35" t="str">
            <v>=</v>
          </cell>
          <cell r="R35">
            <v>2882.95</v>
          </cell>
          <cell r="AA35">
            <v>1597.9361657841141</v>
          </cell>
          <cell r="AB35">
            <v>1623.9823407250508</v>
          </cell>
          <cell r="AC35">
            <v>1642.8505519977191</v>
          </cell>
          <cell r="AE35">
            <v>660.49616578411405</v>
          </cell>
          <cell r="AF35">
            <v>639.67034072505066</v>
          </cell>
          <cell r="AG35">
            <v>658.53855199771897</v>
          </cell>
        </row>
        <row r="36">
          <cell r="B36" t="str">
            <v>Total</v>
          </cell>
          <cell r="R36">
            <v>3824.0478240971879</v>
          </cell>
          <cell r="AA36">
            <v>10015.654288648237</v>
          </cell>
          <cell r="AB36">
            <v>9442.7160070855407</v>
          </cell>
          <cell r="AC36">
            <v>9846.1253123649949</v>
          </cell>
          <cell r="AE36">
            <v>6595.903056678796</v>
          </cell>
          <cell r="AF36">
            <v>5018.5026275699329</v>
          </cell>
          <cell r="AG36">
            <v>5498.7991430947332</v>
          </cell>
        </row>
        <row r="37">
          <cell r="B37" t="str">
            <v xml:space="preserve">Total EV </v>
          </cell>
          <cell r="J37">
            <v>108040.35998491582</v>
          </cell>
          <cell r="AA37">
            <v>3656.2783626623595</v>
          </cell>
          <cell r="AB37">
            <v>3249.1502293388185</v>
          </cell>
          <cell r="AC37">
            <v>3538.460479318398</v>
          </cell>
          <cell r="AE37">
            <v>3016.3783626623595</v>
          </cell>
          <cell r="AF37">
            <v>2449.2752293388185</v>
          </cell>
          <cell r="AG37">
            <v>2618.6042293183982</v>
          </cell>
        </row>
        <row r="38">
          <cell r="B38" t="str">
            <v>Less: end 2005E (net debt)/cash</v>
          </cell>
          <cell r="J38">
            <v>-29827.709711073476</v>
          </cell>
          <cell r="AA38">
            <v>1300.5516578107045</v>
          </cell>
          <cell r="AB38">
            <v>1085.0911907524592</v>
          </cell>
          <cell r="AC38">
            <v>1266.1312569899342</v>
          </cell>
          <cell r="AE38">
            <v>827.4079248406772</v>
          </cell>
          <cell r="AF38">
            <v>517.31871118842651</v>
          </cell>
          <cell r="AG38">
            <v>641.58152946949815</v>
          </cell>
        </row>
        <row r="39">
          <cell r="B39" t="str">
            <v>Less: net debt adjustment</v>
          </cell>
          <cell r="J39">
            <v>-800</v>
          </cell>
          <cell r="AA39">
            <v>3226.7183383325737</v>
          </cell>
          <cell r="AB39">
            <v>3800.6693085141242</v>
          </cell>
          <cell r="AC39">
            <v>4312.9189090125201</v>
          </cell>
          <cell r="AE39">
            <v>1224.4369097611448</v>
          </cell>
          <cell r="AF39">
            <v>1371.5342585141234</v>
          </cell>
          <cell r="AG39">
            <v>1700.8271065125191</v>
          </cell>
        </row>
        <row r="40">
          <cell r="B40" t="str">
            <v>Plus: US tax credit (end 2005)</v>
          </cell>
          <cell r="J40">
            <v>1804.4926722597359</v>
          </cell>
          <cell r="AA40">
            <v>245.00592170870857</v>
          </cell>
          <cell r="AB40">
            <v>448.13734802547197</v>
          </cell>
          <cell r="AC40">
            <v>445.66543157401486</v>
          </cell>
          <cell r="AE40">
            <v>117.50592170870857</v>
          </cell>
          <cell r="AF40">
            <v>269.63734802547197</v>
          </cell>
          <cell r="AG40">
            <v>267.16543157401486</v>
          </cell>
        </row>
        <row r="41">
          <cell r="B41" t="str">
            <v>Less: US 3G mobile licences</v>
          </cell>
          <cell r="J41">
            <v>-3200</v>
          </cell>
          <cell r="AA41">
            <v>155.96146219181105</v>
          </cell>
          <cell r="AB41">
            <v>172.25403083188337</v>
          </cell>
          <cell r="AC41">
            <v>210.99487731398688</v>
          </cell>
          <cell r="AE41">
            <v>-8.8885378081889428</v>
          </cell>
          <cell r="AF41">
            <v>7.4040308318833752</v>
          </cell>
          <cell r="AG41">
            <v>46.144877313986882</v>
          </cell>
        </row>
        <row r="42">
          <cell r="B42" t="str">
            <v>Less: NextWave/other licence purchase</v>
          </cell>
          <cell r="J42">
            <v>-2000</v>
          </cell>
          <cell r="AA42">
            <v>414.74657624686921</v>
          </cell>
          <cell r="AB42">
            <v>426.35350005260204</v>
          </cell>
          <cell r="AC42">
            <v>450.03827773732235</v>
          </cell>
          <cell r="AE42">
            <v>302.54657624686922</v>
          </cell>
          <cell r="AF42">
            <v>309.66550005260206</v>
          </cell>
          <cell r="AG42">
            <v>331.01651773732237</v>
          </cell>
        </row>
        <row r="43">
          <cell r="B43" t="str">
            <v>Less: cost of T-Online minority buyout</v>
          </cell>
          <cell r="J43">
            <v>-951.02599999999904</v>
          </cell>
          <cell r="AA43">
            <v>9806.9317727166326</v>
          </cell>
          <cell r="AB43">
            <v>10068.57551077857</v>
          </cell>
          <cell r="AC43">
            <v>11166.088784473184</v>
          </cell>
          <cell r="AE43">
            <v>5862.3376774043327</v>
          </cell>
          <cell r="AF43">
            <v>5410.5958350229857</v>
          </cell>
          <cell r="AG43">
            <v>6147.8556761006594</v>
          </cell>
        </row>
        <row r="44">
          <cell r="B44" t="str">
            <v>Less: restructuring charge</v>
          </cell>
          <cell r="J44">
            <v>-400</v>
          </cell>
          <cell r="AA44">
            <v>20820.746061364869</v>
          </cell>
          <cell r="AB44">
            <v>20479.506717864111</v>
          </cell>
          <cell r="AC44">
            <v>21953.35194083818</v>
          </cell>
          <cell r="AE44">
            <v>13063.990558644533</v>
          </cell>
          <cell r="AF44">
            <v>11016.67579241748</v>
          </cell>
          <cell r="AG44">
            <v>12217.952920149779</v>
          </cell>
        </row>
        <row r="45">
          <cell r="B45" t="str">
            <v xml:space="preserve">Less: minorities </v>
          </cell>
          <cell r="J45">
            <v>-6472.4577174688729</v>
          </cell>
        </row>
        <row r="46">
          <cell r="B46" t="str">
            <v xml:space="preserve">Plus: associates </v>
          </cell>
          <cell r="J46">
            <v>3605.8367691026756</v>
          </cell>
        </row>
        <row r="47">
          <cell r="B47" t="str">
            <v xml:space="preserve">Group equity value </v>
          </cell>
          <cell r="J47">
            <v>69799.495997735881</v>
          </cell>
        </row>
        <row r="48">
          <cell r="B48" t="str">
            <v xml:space="preserve">Number of shares </v>
          </cell>
          <cell r="J48">
            <v>4195</v>
          </cell>
        </row>
        <row r="49">
          <cell r="B49" t="str">
            <v xml:space="preserve">Fair value per share </v>
          </cell>
          <cell r="J49">
            <v>16.638735637124167</v>
          </cell>
        </row>
        <row r="50">
          <cell r="B50" t="str">
            <v>Plus: 2005 dividend per share not yet received</v>
          </cell>
          <cell r="J50">
            <v>0.62</v>
          </cell>
        </row>
        <row r="51">
          <cell r="B51" t="str">
            <v xml:space="preserve">Fair value per share </v>
          </cell>
          <cell r="D51">
            <v>254.08454785000001</v>
          </cell>
          <cell r="J51">
            <v>17.258735637124168</v>
          </cell>
        </row>
        <row r="52">
          <cell r="B52" t="str">
            <v xml:space="preserve">Current price </v>
          </cell>
          <cell r="D52">
            <v>250.69547999999998</v>
          </cell>
          <cell r="J52">
            <v>15.84</v>
          </cell>
        </row>
        <row r="53">
          <cell r="B53" t="str">
            <v xml:space="preserve">% upside/downside to current price </v>
          </cell>
          <cell r="D53">
            <v>0.83208520552504572</v>
          </cell>
          <cell r="J53">
            <v>8.9566643757838849E-2</v>
          </cell>
        </row>
        <row r="55">
          <cell r="B55" t="str">
            <v>EUR/HUF</v>
          </cell>
          <cell r="D55">
            <v>241.73742125000001</v>
          </cell>
        </row>
        <row r="56">
          <cell r="B56" t="str">
            <v>EUR/US$</v>
          </cell>
          <cell r="D56">
            <v>0.75691632290050337</v>
          </cell>
        </row>
      </sheetData>
      <sheetData sheetId="44">
        <row r="4">
          <cell r="AR4" t="str">
            <v xml:space="preserve"> eircom (Reduce) TP: €1.70  (-17.9%)</v>
          </cell>
        </row>
        <row r="11">
          <cell r="E11" t="str">
            <v>Method</v>
          </cell>
          <cell r="F11" t="str">
            <v>Driver</v>
          </cell>
          <cell r="H11" t="str">
            <v>Multiple</v>
          </cell>
          <cell r="J11" t="str">
            <v>100% EV</v>
          </cell>
          <cell r="L11" t="str">
            <v>05E net debt</v>
          </cell>
          <cell r="N11" t="str">
            <v>100% equity</v>
          </cell>
          <cell r="P11" t="str">
            <v>Ownership</v>
          </cell>
          <cell r="R11" t="str">
            <v>eircom equity</v>
          </cell>
          <cell r="T11" t="str">
            <v>Minority</v>
          </cell>
          <cell r="V11" t="str">
            <v>% of equity</v>
          </cell>
          <cell r="X11" t="str">
            <v>Per share</v>
          </cell>
        </row>
        <row r="13">
          <cell r="B13" t="str">
            <v>Domestic wireline</v>
          </cell>
          <cell r="E13" t="str">
            <v>DCF, 8.3x 05E FCF</v>
          </cell>
          <cell r="F13">
            <v>370.02402128475688</v>
          </cell>
          <cell r="G13" t="str">
            <v>x</v>
          </cell>
          <cell r="H13">
            <v>8.2664644673325789</v>
          </cell>
          <cell r="I13" t="str">
            <v>=</v>
          </cell>
          <cell r="J13">
            <v>3058.790424009957</v>
          </cell>
          <cell r="K13" t="str">
            <v>-</v>
          </cell>
          <cell r="L13">
            <v>1717.4838256047869</v>
          </cell>
          <cell r="M13" t="str">
            <v>=</v>
          </cell>
          <cell r="N13">
            <v>1341.30659840517</v>
          </cell>
          <cell r="O13" t="str">
            <v>x</v>
          </cell>
          <cell r="P13">
            <v>1</v>
          </cell>
          <cell r="Q13" t="str">
            <v>=</v>
          </cell>
          <cell r="R13">
            <v>1341.30659840517</v>
          </cell>
          <cell r="T13">
            <v>0</v>
          </cell>
          <cell r="V13">
            <v>1.0313141266104364</v>
          </cell>
          <cell r="X13">
            <v>1.7446603857894989</v>
          </cell>
        </row>
        <row r="14">
          <cell r="B14" t="str">
            <v>MVNO</v>
          </cell>
          <cell r="E14" t="str">
            <v>DCF, 75% probability; 100% EV is €166m</v>
          </cell>
          <cell r="F14">
            <v>-40.319882212704343</v>
          </cell>
          <cell r="G14" t="str">
            <v>x</v>
          </cell>
          <cell r="H14">
            <v>-9.6945872207660884</v>
          </cell>
          <cell r="I14" t="str">
            <v>=</v>
          </cell>
          <cell r="J14">
            <v>124.5</v>
          </cell>
          <cell r="K14" t="str">
            <v>-</v>
          </cell>
          <cell r="L14">
            <v>0</v>
          </cell>
          <cell r="M14" t="str">
            <v>=</v>
          </cell>
          <cell r="N14">
            <v>124.5</v>
          </cell>
          <cell r="O14" t="str">
            <v>x</v>
          </cell>
          <cell r="P14">
            <v>1</v>
          </cell>
          <cell r="Q14" t="str">
            <v>=</v>
          </cell>
          <cell r="R14">
            <v>124.5</v>
          </cell>
          <cell r="T14">
            <v>0</v>
          </cell>
          <cell r="V14">
            <v>9.5726516902002012E-2</v>
          </cell>
          <cell r="X14">
            <v>0.16193927494955906</v>
          </cell>
        </row>
        <row r="15">
          <cell r="B15" t="str">
            <v>Total</v>
          </cell>
          <cell r="J15">
            <v>3183.290424009957</v>
          </cell>
          <cell r="L15">
            <v>1717.4838256047869</v>
          </cell>
          <cell r="N15">
            <v>1465.80659840517</v>
          </cell>
          <cell r="R15">
            <v>1465.80659840517</v>
          </cell>
          <cell r="T15">
            <v>0</v>
          </cell>
          <cell r="V15">
            <v>1.1270406435124383</v>
          </cell>
          <cell r="X15">
            <v>1.9065996607390578</v>
          </cell>
        </row>
        <row r="17">
          <cell r="B17" t="str">
            <v>Associates</v>
          </cell>
        </row>
        <row r="18">
          <cell r="B18" t="str">
            <v>Total</v>
          </cell>
          <cell r="R18">
            <v>0</v>
          </cell>
        </row>
        <row r="19">
          <cell r="T19" t="str">
            <v>BREAKDOWN OF VALUE</v>
          </cell>
        </row>
        <row r="20">
          <cell r="B20" t="str">
            <v xml:space="preserve">Total EV </v>
          </cell>
          <cell r="J20">
            <v>3183.290424009957</v>
          </cell>
        </row>
        <row r="21">
          <cell r="B21" t="str">
            <v>Less: end 2005E (net debt)/cash</v>
          </cell>
          <cell r="J21">
            <v>-1717.4838256047869</v>
          </cell>
          <cell r="AA21">
            <v>599.76943439257821</v>
          </cell>
          <cell r="AB21">
            <v>591.35285657399982</v>
          </cell>
          <cell r="AC21">
            <v>553.26260354971032</v>
          </cell>
          <cell r="AE21">
            <v>382.36713586397815</v>
          </cell>
          <cell r="AF21">
            <v>363.2061298873237</v>
          </cell>
          <cell r="AG21">
            <v>372.9066689173527</v>
          </cell>
        </row>
        <row r="22">
          <cell r="B22" t="str">
            <v>Less: NPV provisions</v>
          </cell>
          <cell r="J22">
            <v>165.226528961567</v>
          </cell>
          <cell r="AA22">
            <v>4.2011492642999988</v>
          </cell>
          <cell r="AB22">
            <v>42.548281525946912</v>
          </cell>
          <cell r="AC22">
            <v>51.384906348022128</v>
          </cell>
          <cell r="AE22">
            <v>-8.4022985285999994</v>
          </cell>
          <cell r="AF22">
            <v>-19.146726686676097</v>
          </cell>
          <cell r="AG22">
            <v>14.014065367642395</v>
          </cell>
        </row>
        <row r="23">
          <cell r="B23" t="str">
            <v xml:space="preserve">Less: minorities </v>
          </cell>
          <cell r="J23">
            <v>0</v>
          </cell>
          <cell r="AA23">
            <v>603.97058365687815</v>
          </cell>
          <cell r="AB23">
            <v>633.90113809994671</v>
          </cell>
          <cell r="AC23">
            <v>604.64750989773245</v>
          </cell>
          <cell r="AE23">
            <v>382.36713586397815</v>
          </cell>
          <cell r="AF23">
            <v>363.2061298873237</v>
          </cell>
          <cell r="AG23">
            <v>372.9066689173527</v>
          </cell>
        </row>
        <row r="24">
          <cell r="B24" t="str">
            <v xml:space="preserve">Plus: associates </v>
          </cell>
          <cell r="J24">
            <v>0</v>
          </cell>
        </row>
        <row r="25">
          <cell r="B25" t="str">
            <v xml:space="preserve">Group equity value </v>
          </cell>
          <cell r="J25">
            <v>1300.580069443603</v>
          </cell>
        </row>
        <row r="26">
          <cell r="B26" t="str">
            <v xml:space="preserve">Number of shares </v>
          </cell>
          <cell r="J26">
            <v>827.50593615942034</v>
          </cell>
        </row>
        <row r="27">
          <cell r="B27" t="str">
            <v xml:space="preserve">Fair value per share </v>
          </cell>
          <cell r="J27">
            <v>1.5716866944541703</v>
          </cell>
        </row>
        <row r="28">
          <cell r="B28" t="str">
            <v>Plus: March 2005 Dividend per share not yet received</v>
          </cell>
          <cell r="J28">
            <v>0.06</v>
          </cell>
        </row>
        <row r="29">
          <cell r="B29" t="str">
            <v>Plus: March 2006 Dividend per share not yet received</v>
          </cell>
          <cell r="J29">
            <v>0.06</v>
          </cell>
        </row>
        <row r="30">
          <cell r="B30" t="str">
            <v xml:space="preserve">Fair value per share </v>
          </cell>
          <cell r="J30">
            <v>1.6916866944541704</v>
          </cell>
        </row>
        <row r="31">
          <cell r="B31" t="str">
            <v xml:space="preserve">Current price </v>
          </cell>
          <cell r="J31">
            <v>2.0699999999999998</v>
          </cell>
        </row>
        <row r="32">
          <cell r="B32" t="str">
            <v xml:space="preserve">% upside/downside to current price </v>
          </cell>
          <cell r="J32">
            <v>-0.18276005098832337</v>
          </cell>
        </row>
      </sheetData>
      <sheetData sheetId="45"/>
      <sheetData sheetId="46">
        <row r="4">
          <cell r="AR4" t="str">
            <v xml:space="preserve"> KPN (Neutral) TP: €8.0  (+11.9%)</v>
          </cell>
        </row>
        <row r="11">
          <cell r="E11" t="str">
            <v>Method</v>
          </cell>
          <cell r="F11" t="str">
            <v>Driver</v>
          </cell>
          <cell r="H11" t="str">
            <v>Multiple</v>
          </cell>
          <cell r="J11" t="str">
            <v>100% EV</v>
          </cell>
          <cell r="L11" t="str">
            <v>05E net debt</v>
          </cell>
          <cell r="N11" t="str">
            <v>100% equity</v>
          </cell>
          <cell r="P11" t="str">
            <v>Ownership</v>
          </cell>
          <cell r="R11" t="str">
            <v>KPN equity</v>
          </cell>
          <cell r="T11" t="str">
            <v>Minority</v>
          </cell>
          <cell r="V11" t="str">
            <v>% of equity</v>
          </cell>
          <cell r="X11" t="str">
            <v>Per share</v>
          </cell>
        </row>
        <row r="13">
          <cell r="B13" t="str">
            <v>Domestic wireline</v>
          </cell>
          <cell r="E13" t="str">
            <v>DCF, 11.4x 05E FCF</v>
          </cell>
          <cell r="F13">
            <v>1348.7867818222887</v>
          </cell>
          <cell r="G13" t="str">
            <v>x</v>
          </cell>
          <cell r="H13">
            <v>11.397258676260316</v>
          </cell>
          <cell r="I13" t="str">
            <v>=</v>
          </cell>
          <cell r="J13">
            <v>15372.47185154931</v>
          </cell>
          <cell r="K13" t="str">
            <v>-</v>
          </cell>
          <cell r="L13">
            <v>1833.5290997697757</v>
          </cell>
          <cell r="M13" t="str">
            <v>=</v>
          </cell>
          <cell r="N13">
            <v>13538.942751779534</v>
          </cell>
          <cell r="O13" t="str">
            <v>x</v>
          </cell>
          <cell r="P13">
            <v>1</v>
          </cell>
          <cell r="Q13" t="str">
            <v>=</v>
          </cell>
          <cell r="R13">
            <v>13538.942751779534</v>
          </cell>
          <cell r="T13">
            <v>0</v>
          </cell>
          <cell r="V13">
            <v>0.80943333617272006</v>
          </cell>
          <cell r="X13">
            <v>6.4859868939419147</v>
          </cell>
        </row>
        <row r="14">
          <cell r="B14" t="str">
            <v>KPN Mobile Neths</v>
          </cell>
          <cell r="E14" t="str">
            <v>DCF, 7.3x 04E OpFCF</v>
          </cell>
          <cell r="F14">
            <v>632.82121285221922</v>
          </cell>
          <cell r="G14" t="str">
            <v>x</v>
          </cell>
          <cell r="H14">
            <v>7.3115891923191505</v>
          </cell>
          <cell r="I14" t="str">
            <v>=</v>
          </cell>
          <cell r="J14">
            <v>4626.9287405605828</v>
          </cell>
          <cell r="K14" t="str">
            <v>-</v>
          </cell>
          <cell r="M14" t="str">
            <v>=</v>
          </cell>
          <cell r="N14">
            <v>4626.9287405605828</v>
          </cell>
          <cell r="O14" t="str">
            <v>x</v>
          </cell>
          <cell r="P14">
            <v>1</v>
          </cell>
          <cell r="Q14" t="str">
            <v>=</v>
          </cell>
          <cell r="R14">
            <v>4626.9287405605828</v>
          </cell>
          <cell r="T14">
            <v>0</v>
          </cell>
          <cell r="V14">
            <v>0.27662354700577585</v>
          </cell>
          <cell r="X14">
            <v>2.2165836521123201</v>
          </cell>
        </row>
        <row r="15">
          <cell r="B15" t="str">
            <v>e-plus</v>
          </cell>
          <cell r="E15" t="str">
            <v>DCF, 90.3x 04E OpFCF</v>
          </cell>
          <cell r="F15">
            <v>38.609394005181343</v>
          </cell>
          <cell r="G15" t="str">
            <v>x</v>
          </cell>
          <cell r="H15">
            <v>90.262875894093185</v>
          </cell>
          <cell r="I15" t="str">
            <v>=</v>
          </cell>
          <cell r="J15">
            <v>3484.9949394358291</v>
          </cell>
          <cell r="K15" t="str">
            <v>-</v>
          </cell>
          <cell r="M15" t="str">
            <v>=</v>
          </cell>
          <cell r="N15">
            <v>3484.9949394358291</v>
          </cell>
          <cell r="O15" t="str">
            <v>x</v>
          </cell>
          <cell r="P15">
            <v>1</v>
          </cell>
          <cell r="Q15" t="str">
            <v>=</v>
          </cell>
          <cell r="R15">
            <v>3484.9949394358291</v>
          </cell>
          <cell r="T15">
            <v>0</v>
          </cell>
          <cell r="V15">
            <v>0.20835238999749958</v>
          </cell>
          <cell r="X15">
            <v>1.6695270758614962</v>
          </cell>
        </row>
        <row r="16">
          <cell r="B16" t="str">
            <v>Base</v>
          </cell>
          <cell r="E16" t="str">
            <v>DCF based</v>
          </cell>
          <cell r="J16">
            <v>922.57442011187356</v>
          </cell>
          <cell r="K16" t="str">
            <v>-</v>
          </cell>
          <cell r="M16" t="str">
            <v>=</v>
          </cell>
          <cell r="N16">
            <v>922.57442011187356</v>
          </cell>
          <cell r="O16" t="str">
            <v>x</v>
          </cell>
          <cell r="P16">
            <v>1</v>
          </cell>
          <cell r="Q16" t="str">
            <v>=</v>
          </cell>
          <cell r="R16">
            <v>922.57442011187356</v>
          </cell>
          <cell r="T16">
            <v>0</v>
          </cell>
          <cell r="V16">
            <v>5.515663256945328E-2</v>
          </cell>
          <cell r="X16">
            <v>0.44196993127437323</v>
          </cell>
        </row>
        <row r="17">
          <cell r="B17" t="str">
            <v>Mobilcom/Hutch</v>
          </cell>
          <cell r="J17">
            <v>80</v>
          </cell>
          <cell r="K17" t="str">
            <v>-</v>
          </cell>
          <cell r="M17" t="str">
            <v>=</v>
          </cell>
          <cell r="N17">
            <v>80</v>
          </cell>
          <cell r="O17" t="str">
            <v>x</v>
          </cell>
          <cell r="P17">
            <v>1</v>
          </cell>
          <cell r="Q17" t="str">
            <v>=</v>
          </cell>
          <cell r="R17">
            <v>80</v>
          </cell>
          <cell r="T17">
            <v>0</v>
          </cell>
          <cell r="V17">
            <v>4.7828451660530411E-3</v>
          </cell>
          <cell r="X17">
            <v>3.8324923964033503E-2</v>
          </cell>
        </row>
        <row r="18">
          <cell r="C18" t="str">
            <v>KPN Mobile</v>
          </cell>
          <cell r="J18">
            <v>9114.4981001082851</v>
          </cell>
          <cell r="K18" t="str">
            <v>-</v>
          </cell>
          <cell r="L18">
            <v>5500</v>
          </cell>
          <cell r="M18" t="str">
            <v>=</v>
          </cell>
          <cell r="N18">
            <v>3614.4981001082851</v>
          </cell>
          <cell r="O18" t="str">
            <v>x</v>
          </cell>
          <cell r="P18">
            <v>0.97847358121330719</v>
          </cell>
          <cell r="Q18" t="str">
            <v>=</v>
          </cell>
          <cell r="R18">
            <v>3536.6909003016485</v>
          </cell>
          <cell r="T18">
            <v>77.807199806636618</v>
          </cell>
          <cell r="V18">
            <v>0.21609480957263516</v>
          </cell>
          <cell r="X18">
            <v>1.7315670606849198</v>
          </cell>
        </row>
        <row r="19">
          <cell r="B19" t="str">
            <v>Depreciation tax shield</v>
          </cell>
          <cell r="J19">
            <v>118.74449853191115</v>
          </cell>
          <cell r="K19" t="str">
            <v>-</v>
          </cell>
          <cell r="L19">
            <v>8367.0064918675344</v>
          </cell>
          <cell r="M19" t="str">
            <v>=</v>
          </cell>
          <cell r="N19">
            <v>27770.552345536609</v>
          </cell>
          <cell r="O19" t="str">
            <v>x</v>
          </cell>
          <cell r="P19">
            <v>1</v>
          </cell>
          <cell r="Q19" t="str">
            <v>=</v>
          </cell>
          <cell r="R19">
            <v>27770.552345536609</v>
          </cell>
          <cell r="T19">
            <v>0</v>
          </cell>
          <cell r="V19">
            <v>7.0992068849842962E-3</v>
          </cell>
          <cell r="X19">
            <v>5.6885923467284785E-2</v>
          </cell>
        </row>
        <row r="20">
          <cell r="B20" t="str">
            <v>Total</v>
          </cell>
          <cell r="J20">
            <v>24605.714450189505</v>
          </cell>
          <cell r="L20">
            <v>7333.5290997697757</v>
          </cell>
          <cell r="N20">
            <v>26386.683450528017</v>
          </cell>
          <cell r="R20">
            <v>26308.87625072138</v>
          </cell>
          <cell r="T20">
            <v>77.807199806636618</v>
          </cell>
          <cell r="V20">
            <v>1.5775427673691214</v>
          </cell>
          <cell r="X20">
            <v>12.640845461306343</v>
          </cell>
        </row>
        <row r="21">
          <cell r="B21" t="str">
            <v>Associates</v>
          </cell>
        </row>
        <row r="22">
          <cell r="B22" t="str">
            <v>Associates</v>
          </cell>
          <cell r="E22" t="str">
            <v>Book value</v>
          </cell>
          <cell r="N22">
            <v>200</v>
          </cell>
          <cell r="O22" t="str">
            <v>x</v>
          </cell>
          <cell r="P22">
            <v>1</v>
          </cell>
          <cell r="Q22" t="str">
            <v>=</v>
          </cell>
          <cell r="R22">
            <v>200</v>
          </cell>
          <cell r="T22" t="str">
            <v>BREAKDOWN OF VALUE</v>
          </cell>
        </row>
        <row r="23">
          <cell r="B23" t="str">
            <v>Other</v>
          </cell>
          <cell r="E23" t="str">
            <v>Book value</v>
          </cell>
          <cell r="N23">
            <v>200</v>
          </cell>
          <cell r="O23" t="str">
            <v>x</v>
          </cell>
          <cell r="P23">
            <v>1</v>
          </cell>
          <cell r="Q23" t="str">
            <v>=</v>
          </cell>
          <cell r="R23">
            <v>600</v>
          </cell>
          <cell r="T23" t="str">
            <v>BREAKDOWN OF VALUE</v>
          </cell>
        </row>
        <row r="24">
          <cell r="B24" t="str">
            <v>Total</v>
          </cell>
          <cell r="R24">
            <v>200</v>
          </cell>
          <cell r="AA24">
            <v>2902.4191100853277</v>
          </cell>
          <cell r="AB24">
            <v>2699.3353508272121</v>
          </cell>
          <cell r="AC24">
            <v>2542.8071099920735</v>
          </cell>
          <cell r="AE24">
            <v>2222.6191100853275</v>
          </cell>
          <cell r="AF24">
            <v>1985.5453508272121</v>
          </cell>
          <cell r="AG24">
            <v>1757.6381099920734</v>
          </cell>
        </row>
        <row r="25">
          <cell r="B25" t="str">
            <v xml:space="preserve">Total EV </v>
          </cell>
          <cell r="J25">
            <v>26195.010664005793</v>
          </cell>
          <cell r="AA25">
            <v>910.7702963833176</v>
          </cell>
          <cell r="AB25">
            <v>1038.6281004990417</v>
          </cell>
          <cell r="AC25">
            <v>1037.3908920363835</v>
          </cell>
          <cell r="AE25">
            <v>708.07029638331755</v>
          </cell>
          <cell r="AF25">
            <v>810.25310049904169</v>
          </cell>
          <cell r="AG25">
            <v>797.5971420363835</v>
          </cell>
        </row>
        <row r="26">
          <cell r="B26" t="str">
            <v xml:space="preserve">Total EV </v>
          </cell>
          <cell r="J26">
            <v>24605.714450189505</v>
          </cell>
          <cell r="AA26">
            <v>640.69738247159898</v>
          </cell>
          <cell r="AB26">
            <v>742.67829736243743</v>
          </cell>
          <cell r="AC26">
            <v>832.16011688665026</v>
          </cell>
          <cell r="AE26">
            <v>172.69738247159898</v>
          </cell>
          <cell r="AF26">
            <v>134.27829736243746</v>
          </cell>
          <cell r="AG26">
            <v>223.76011688665028</v>
          </cell>
        </row>
        <row r="27">
          <cell r="B27" t="str">
            <v>Less: end 2005E (net debt)/cash</v>
          </cell>
          <cell r="J27">
            <v>-7333.5290997697757</v>
          </cell>
          <cell r="AA27">
            <v>193.12661061189613</v>
          </cell>
          <cell r="AB27">
            <v>220.94724252880451</v>
          </cell>
          <cell r="AC27">
            <v>225.52064755149593</v>
          </cell>
          <cell r="AE27">
            <v>109.12661061189613</v>
          </cell>
          <cell r="AF27">
            <v>120.14724252880451</v>
          </cell>
          <cell r="AG27">
            <v>134.80064755149593</v>
          </cell>
        </row>
        <row r="28">
          <cell r="B28" t="str">
            <v xml:space="preserve">Less: Pension charge </v>
          </cell>
          <cell r="J28">
            <v>-312</v>
          </cell>
          <cell r="AA28">
            <v>1722.5942894668128</v>
          </cell>
          <cell r="AB28">
            <v>1980.2536403902836</v>
          </cell>
          <cell r="AC28">
            <v>2073.0716564745298</v>
          </cell>
          <cell r="AE28">
            <v>967.89428946681267</v>
          </cell>
          <cell r="AF28">
            <v>1042.6786403902836</v>
          </cell>
          <cell r="AG28">
            <v>1134.1579064745297</v>
          </cell>
        </row>
        <row r="29">
          <cell r="B29" t="str">
            <v>Plus: Tax credit</v>
          </cell>
          <cell r="J29">
            <v>297.84362561005008</v>
          </cell>
          <cell r="AA29">
            <v>4640.6443995521413</v>
          </cell>
          <cell r="AB29">
            <v>4679.5889912174953</v>
          </cell>
          <cell r="AC29">
            <v>4615.8787664666033</v>
          </cell>
          <cell r="AE29">
            <v>3177.9804355881774</v>
          </cell>
          <cell r="AF29">
            <v>3021.7177750012788</v>
          </cell>
          <cell r="AG29">
            <v>2885.6151110611981</v>
          </cell>
        </row>
        <row r="30">
          <cell r="B30" t="str">
            <v xml:space="preserve">Less: Restructuring charge </v>
          </cell>
          <cell r="J30">
            <v>-653.77606817221726</v>
          </cell>
        </row>
        <row r="31">
          <cell r="B31" t="str">
            <v xml:space="preserve">Less: minorities </v>
          </cell>
          <cell r="J31">
            <v>-77.807199806636618</v>
          </cell>
        </row>
        <row r="32">
          <cell r="B32" t="str">
            <v xml:space="preserve">Plus: associates </v>
          </cell>
          <cell r="J32">
            <v>200</v>
          </cell>
        </row>
        <row r="33">
          <cell r="B33" t="str">
            <v xml:space="preserve">Group equity value </v>
          </cell>
          <cell r="J33">
            <v>16726.445708050924</v>
          </cell>
        </row>
        <row r="34">
          <cell r="B34" t="str">
            <v xml:space="preserve">Number of shares </v>
          </cell>
          <cell r="J34">
            <v>2186.1428571428573</v>
          </cell>
        </row>
        <row r="35">
          <cell r="B35" t="str">
            <v xml:space="preserve">Fair value per share </v>
          </cell>
          <cell r="J35">
            <v>7.6511219993698267</v>
          </cell>
        </row>
        <row r="36">
          <cell r="B36" t="str">
            <v>Plus: 2005 dividend per share not yet received</v>
          </cell>
          <cell r="J36">
            <v>0.361875</v>
          </cell>
        </row>
        <row r="37">
          <cell r="B37" t="str">
            <v xml:space="preserve">Fair value per share </v>
          </cell>
          <cell r="J37">
            <v>8.0129969993698271</v>
          </cell>
        </row>
        <row r="38">
          <cell r="B38" t="str">
            <v xml:space="preserve">Current price </v>
          </cell>
          <cell r="J38">
            <v>7.15</v>
          </cell>
        </row>
        <row r="39">
          <cell r="B39" t="str">
            <v xml:space="preserve">% upside/downside to current price </v>
          </cell>
          <cell r="D39">
            <v>0.83208520552504572</v>
          </cell>
          <cell r="J39">
            <v>0.120698881030745</v>
          </cell>
        </row>
        <row r="40">
          <cell r="B40" t="str">
            <v>EUR/CSZ</v>
          </cell>
          <cell r="D40">
            <v>29.6099484</v>
          </cell>
        </row>
        <row r="41">
          <cell r="B41" t="str">
            <v>EUR/CSZ</v>
          </cell>
          <cell r="D41">
            <v>28.809278499999998</v>
          </cell>
        </row>
        <row r="42">
          <cell r="B42" t="str">
            <v>EUR/US$</v>
          </cell>
          <cell r="D42">
            <v>0.75691632290050337</v>
          </cell>
        </row>
        <row r="43">
          <cell r="B43" t="str">
            <v>EUR/CSZ</v>
          </cell>
          <cell r="D43">
            <v>29.548576670000003</v>
          </cell>
        </row>
      </sheetData>
      <sheetData sheetId="47">
        <row r="4">
          <cell r="AR4" t="str">
            <v xml:space="preserve"> OTE (Buy) TP €17.5  (+16.7%)</v>
          </cell>
        </row>
        <row r="11">
          <cell r="E11" t="str">
            <v>Method</v>
          </cell>
          <cell r="F11" t="str">
            <v>Driver</v>
          </cell>
          <cell r="H11" t="str">
            <v>Multiple</v>
          </cell>
          <cell r="J11" t="str">
            <v>100% EV</v>
          </cell>
          <cell r="L11" t="str">
            <v>05E net debt</v>
          </cell>
          <cell r="N11" t="str">
            <v>100% equity</v>
          </cell>
          <cell r="P11" t="str">
            <v>Ownership</v>
          </cell>
          <cell r="R11" t="str">
            <v>OTE equity</v>
          </cell>
          <cell r="T11" t="str">
            <v>Minority</v>
          </cell>
          <cell r="V11" t="str">
            <v>% of equity</v>
          </cell>
          <cell r="X11" t="str">
            <v>Per share</v>
          </cell>
        </row>
        <row r="13">
          <cell r="B13" t="str">
            <v>Domestic wireline</v>
          </cell>
          <cell r="E13" t="str">
            <v>DCF, 22.4x 05E FCF</v>
          </cell>
          <cell r="F13">
            <v>287.30974307005545</v>
          </cell>
          <cell r="G13" t="str">
            <v>x</v>
          </cell>
          <cell r="H13">
            <v>22.377645719033321</v>
          </cell>
          <cell r="I13" t="str">
            <v>=</v>
          </cell>
          <cell r="J13">
            <v>6429.3156420481901</v>
          </cell>
          <cell r="K13" t="str">
            <v>-</v>
          </cell>
          <cell r="L13">
            <v>1019.3555424657961</v>
          </cell>
          <cell r="M13" t="str">
            <v>=</v>
          </cell>
          <cell r="N13">
            <v>5409.9600995823939</v>
          </cell>
          <cell r="O13" t="str">
            <v>x</v>
          </cell>
          <cell r="P13">
            <v>1</v>
          </cell>
          <cell r="Q13" t="str">
            <v>=</v>
          </cell>
          <cell r="R13">
            <v>5409.9600995823939</v>
          </cell>
          <cell r="T13">
            <v>0</v>
          </cell>
          <cell r="V13">
            <v>0.63516204719182645</v>
          </cell>
          <cell r="X13">
            <v>11.00793574163186</v>
          </cell>
        </row>
        <row r="14">
          <cell r="B14" t="str">
            <v>CosmOTE group</v>
          </cell>
          <cell r="E14" t="str">
            <v>NSR value</v>
          </cell>
          <cell r="F14">
            <v>330.13911999999999</v>
          </cell>
          <cell r="G14" t="str">
            <v>x</v>
          </cell>
          <cell r="H14">
            <v>16.2</v>
          </cell>
          <cell r="I14" t="str">
            <v>=</v>
          </cell>
          <cell r="J14">
            <v>5435.2537439999996</v>
          </cell>
          <cell r="K14" t="str">
            <v>-</v>
          </cell>
          <cell r="L14">
            <v>87</v>
          </cell>
          <cell r="M14" t="str">
            <v>=</v>
          </cell>
          <cell r="N14">
            <v>5348.2537439999996</v>
          </cell>
          <cell r="O14" t="str">
            <v>x</v>
          </cell>
          <cell r="P14">
            <v>0.58950000000000002</v>
          </cell>
          <cell r="Q14" t="str">
            <v>=</v>
          </cell>
          <cell r="R14">
            <v>3152.7955820879997</v>
          </cell>
          <cell r="T14">
            <v>2195.4581619119999</v>
          </cell>
          <cell r="V14">
            <v>0.6279173477088329</v>
          </cell>
          <cell r="X14">
            <v>10.882378513002074</v>
          </cell>
        </row>
        <row r="15">
          <cell r="B15" t="str">
            <v>RomTelecom/CosmoRom</v>
          </cell>
          <cell r="E15" t="str">
            <v>DCF, 10.2x 04E OpFCF</v>
          </cell>
          <cell r="F15">
            <v>147.9</v>
          </cell>
          <cell r="G15" t="str">
            <v>x</v>
          </cell>
          <cell r="H15">
            <v>10.151048716067411</v>
          </cell>
          <cell r="I15" t="str">
            <v>=</v>
          </cell>
          <cell r="J15">
            <v>1501.3401051063702</v>
          </cell>
          <cell r="K15" t="str">
            <v>-</v>
          </cell>
          <cell r="L15">
            <v>75.09031602386186</v>
          </cell>
          <cell r="M15" t="str">
            <v>=</v>
          </cell>
          <cell r="N15">
            <v>1426.2497890825084</v>
          </cell>
          <cell r="O15" t="str">
            <v>x</v>
          </cell>
          <cell r="P15">
            <v>0.54010000000000002</v>
          </cell>
          <cell r="Q15" t="str">
            <v>=</v>
          </cell>
          <cell r="R15">
            <v>770.31751108346282</v>
          </cell>
          <cell r="T15">
            <v>655.9322779990456</v>
          </cell>
          <cell r="V15">
            <v>0.16745035437701011</v>
          </cell>
          <cell r="X15">
            <v>2.902066880483678</v>
          </cell>
        </row>
        <row r="16">
          <cell r="B16" t="str">
            <v>GloBul</v>
          </cell>
          <cell r="E16" t="str">
            <v>DCF based</v>
          </cell>
          <cell r="F16">
            <v>446.24999707871234</v>
          </cell>
          <cell r="G16" t="str">
            <v>x</v>
          </cell>
          <cell r="H16">
            <v>0.3</v>
          </cell>
          <cell r="I16" t="str">
            <v>=</v>
          </cell>
          <cell r="J16">
            <v>438.81985473217748</v>
          </cell>
          <cell r="K16" t="str">
            <v>-</v>
          </cell>
          <cell r="L16">
            <v>215</v>
          </cell>
          <cell r="M16" t="str">
            <v>=</v>
          </cell>
          <cell r="N16">
            <v>223.81985473217748</v>
          </cell>
          <cell r="O16" t="str">
            <v>x</v>
          </cell>
          <cell r="P16">
            <v>1</v>
          </cell>
          <cell r="Q16" t="str">
            <v>=</v>
          </cell>
          <cell r="R16">
            <v>223.81985473217748</v>
          </cell>
          <cell r="T16">
            <v>0</v>
          </cell>
          <cell r="V16">
            <v>2.6277805107072939E-2</v>
          </cell>
          <cell r="X16">
            <v>0.45541825322951507</v>
          </cell>
        </row>
        <row r="17">
          <cell r="B17" t="str">
            <v>MTS</v>
          </cell>
          <cell r="E17" t="str">
            <v>DCF based</v>
          </cell>
          <cell r="F17">
            <v>35.651200000000003</v>
          </cell>
          <cell r="G17" t="str">
            <v>x</v>
          </cell>
          <cell r="H17">
            <v>8.1441220235900467</v>
          </cell>
          <cell r="I17" t="str">
            <v>=</v>
          </cell>
          <cell r="J17">
            <v>63.635299637573389</v>
          </cell>
          <cell r="K17" t="str">
            <v>-</v>
          </cell>
          <cell r="L17">
            <v>20</v>
          </cell>
          <cell r="M17" t="str">
            <v>=</v>
          </cell>
          <cell r="N17">
            <v>43.635299637573389</v>
          </cell>
          <cell r="O17" t="str">
            <v>x</v>
          </cell>
          <cell r="P17">
            <v>1</v>
          </cell>
          <cell r="Q17" t="str">
            <v>=</v>
          </cell>
          <cell r="R17">
            <v>43.635299637573389</v>
          </cell>
          <cell r="T17">
            <v>0</v>
          </cell>
          <cell r="V17">
            <v>5.123048181033589E-3</v>
          </cell>
          <cell r="X17">
            <v>8.8787082646753321E-2</v>
          </cell>
        </row>
        <row r="18">
          <cell r="B18" t="str">
            <v>ArmenTel</v>
          </cell>
          <cell r="E18" t="str">
            <v>DCF, 6.2x 04E OpFCF</v>
          </cell>
          <cell r="F18">
            <v>30.624000000000002</v>
          </cell>
          <cell r="G18" t="str">
            <v>x</v>
          </cell>
          <cell r="H18">
            <v>6.1714091727311207</v>
          </cell>
          <cell r="I18" t="str">
            <v>=</v>
          </cell>
          <cell r="J18">
            <v>32</v>
          </cell>
          <cell r="K18" t="str">
            <v>-</v>
          </cell>
          <cell r="L18">
            <v>0</v>
          </cell>
          <cell r="M18" t="str">
            <v>=</v>
          </cell>
          <cell r="N18">
            <v>32</v>
          </cell>
          <cell r="O18" t="str">
            <v>x</v>
          </cell>
          <cell r="P18">
            <v>1</v>
          </cell>
          <cell r="Q18" t="str">
            <v>=</v>
          </cell>
          <cell r="R18">
            <v>32</v>
          </cell>
          <cell r="T18">
            <v>11.599323450571788</v>
          </cell>
          <cell r="V18">
            <v>1.3618307516674743E-2</v>
          </cell>
          <cell r="X18">
            <v>0.23601765048166248</v>
          </cell>
        </row>
        <row r="19">
          <cell r="B19" t="str">
            <v>OTENet</v>
          </cell>
          <cell r="E19" t="str">
            <v>DCF based</v>
          </cell>
          <cell r="J19">
            <v>42.660017110881029</v>
          </cell>
          <cell r="K19" t="str">
            <v>-</v>
          </cell>
          <cell r="L19">
            <v>0</v>
          </cell>
          <cell r="M19" t="str">
            <v>=</v>
          </cell>
          <cell r="N19">
            <v>42.660017110881029</v>
          </cell>
          <cell r="O19" t="str">
            <v>x</v>
          </cell>
          <cell r="P19">
            <v>1</v>
          </cell>
          <cell r="Q19" t="str">
            <v>=</v>
          </cell>
          <cell r="R19">
            <v>42.660017110881029</v>
          </cell>
          <cell r="T19">
            <v>0</v>
          </cell>
          <cell r="V19">
            <v>5.0085441117166717E-3</v>
          </cell>
          <cell r="X19">
            <v>8.6802623022994796E-2</v>
          </cell>
        </row>
        <row r="20">
          <cell r="B20" t="str">
            <v>Other (Yellow Pages, Insurance)</v>
          </cell>
          <cell r="E20" t="str">
            <v>DCF based</v>
          </cell>
          <cell r="J20">
            <v>-35.225987795503912</v>
          </cell>
          <cell r="K20" t="str">
            <v>-</v>
          </cell>
          <cell r="L20">
            <v>1693.250034860941</v>
          </cell>
          <cell r="M20" t="str">
            <v>=</v>
          </cell>
          <cell r="N20">
            <v>14229.417451947997</v>
          </cell>
          <cell r="O20" t="str">
            <v>x</v>
          </cell>
          <cell r="P20">
            <v>1</v>
          </cell>
          <cell r="Q20" t="str">
            <v>=</v>
          </cell>
          <cell r="R20">
            <v>11012.636583879073</v>
          </cell>
          <cell r="T20">
            <v>0</v>
          </cell>
          <cell r="V20">
            <v>-4.135744092507017E-3</v>
          </cell>
          <cell r="X20">
            <v>-7.1676205175403726E-2</v>
          </cell>
        </row>
        <row r="21">
          <cell r="B21" t="str">
            <v>Total</v>
          </cell>
          <cell r="J21">
            <v>14064.791909345406</v>
          </cell>
          <cell r="L21">
            <v>1489.4458584896579</v>
          </cell>
          <cell r="N21">
            <v>12575.346050855749</v>
          </cell>
          <cell r="R21">
            <v>9712.3562874941308</v>
          </cell>
          <cell r="T21">
            <v>2862.9897633616174</v>
          </cell>
          <cell r="V21">
            <v>1.4764217101016606</v>
          </cell>
          <cell r="X21">
            <v>25.587730539323136</v>
          </cell>
        </row>
        <row r="22">
          <cell r="B22" t="str">
            <v>Associates</v>
          </cell>
        </row>
        <row r="23">
          <cell r="B23" t="str">
            <v>Associates</v>
          </cell>
          <cell r="E23" t="str">
            <v>Book value</v>
          </cell>
          <cell r="N23">
            <v>450</v>
          </cell>
          <cell r="O23" t="str">
            <v>x</v>
          </cell>
          <cell r="P23">
            <v>0.2</v>
          </cell>
          <cell r="Q23" t="str">
            <v>=</v>
          </cell>
          <cell r="R23">
            <v>90</v>
          </cell>
          <cell r="T23" t="str">
            <v>BREAKDOWN OF VALUE</v>
          </cell>
        </row>
        <row r="24">
          <cell r="B24" t="str">
            <v>Telecom Srbija</v>
          </cell>
          <cell r="E24" t="str">
            <v>Book value</v>
          </cell>
          <cell r="F24">
            <v>491.46</v>
          </cell>
          <cell r="G24" t="str">
            <v>x</v>
          </cell>
          <cell r="H24">
            <v>17.2</v>
          </cell>
          <cell r="I24" t="str">
            <v>=</v>
          </cell>
          <cell r="N24">
            <v>450</v>
          </cell>
          <cell r="O24" t="str">
            <v>x</v>
          </cell>
          <cell r="P24">
            <v>0.2</v>
          </cell>
          <cell r="Q24" t="str">
            <v>=</v>
          </cell>
          <cell r="R24">
            <v>90</v>
          </cell>
          <cell r="T24" t="str">
            <v>BREAKDOWN OF VALUE</v>
          </cell>
        </row>
        <row r="25">
          <cell r="B25" t="str">
            <v>Treasury stock</v>
          </cell>
          <cell r="E25" t="str">
            <v>Mkt value</v>
          </cell>
          <cell r="F25">
            <v>491.46</v>
          </cell>
          <cell r="G25" t="str">
            <v>x</v>
          </cell>
          <cell r="H25">
            <v>15</v>
          </cell>
          <cell r="I25" t="str">
            <v>=</v>
          </cell>
          <cell r="N25">
            <v>7371.9</v>
          </cell>
          <cell r="O25" t="str">
            <v>x</v>
          </cell>
          <cell r="P25">
            <v>1.424327513938062E-3</v>
          </cell>
          <cell r="Q25" t="str">
            <v>=</v>
          </cell>
          <cell r="R25">
            <v>102.6</v>
          </cell>
        </row>
        <row r="26">
          <cell r="B26" t="str">
            <v>Total</v>
          </cell>
          <cell r="R26">
            <v>100.5</v>
          </cell>
        </row>
        <row r="27">
          <cell r="B27" t="str">
            <v xml:space="preserve">Total EV </v>
          </cell>
          <cell r="J27">
            <v>15807.985423790886</v>
          </cell>
        </row>
        <row r="28">
          <cell r="B28" t="str">
            <v xml:space="preserve">Total EV </v>
          </cell>
          <cell r="J28">
            <v>14064.791909345406</v>
          </cell>
          <cell r="AA28">
            <v>768.88832943217949</v>
          </cell>
          <cell r="AB28">
            <v>891.18080168977008</v>
          </cell>
          <cell r="AC28">
            <v>930.45592015920147</v>
          </cell>
          <cell r="AE28">
            <v>551.2046688435388</v>
          </cell>
          <cell r="AF28">
            <v>414.30436001648377</v>
          </cell>
          <cell r="AG28">
            <v>613.50331145296821</v>
          </cell>
        </row>
        <row r="29">
          <cell r="B29" t="str">
            <v>Less: end 2005E (net debt)/cash</v>
          </cell>
          <cell r="J29">
            <v>-1489.4458584896579</v>
          </cell>
          <cell r="AA29">
            <v>327.51955035719527</v>
          </cell>
          <cell r="AB29">
            <v>423.63563449726587</v>
          </cell>
          <cell r="AC29">
            <v>410.05542243343109</v>
          </cell>
          <cell r="AE29">
            <v>192.37974690718792</v>
          </cell>
          <cell r="AF29">
            <v>267.07707838570332</v>
          </cell>
          <cell r="AG29">
            <v>253.89416316024213</v>
          </cell>
        </row>
        <row r="30">
          <cell r="B30" t="str">
            <v>Less: Youth account reserve/other liabilities</v>
          </cell>
          <cell r="J30">
            <v>-584.1</v>
          </cell>
          <cell r="AA30">
            <v>63.503700000000002</v>
          </cell>
          <cell r="AB30">
            <v>70.466825</v>
          </cell>
          <cell r="AC30">
            <v>67.263787500000007</v>
          </cell>
          <cell r="AE30">
            <v>35.651200000000003</v>
          </cell>
          <cell r="AF30">
            <v>38.436450000000001</v>
          </cell>
          <cell r="AG30">
            <v>40.358272499999998</v>
          </cell>
        </row>
        <row r="31">
          <cell r="B31" t="str">
            <v>Less: RomTelecom vendor financing</v>
          </cell>
          <cell r="J31">
            <v>-100</v>
          </cell>
          <cell r="AA31">
            <v>12.1365</v>
          </cell>
          <cell r="AB31">
            <v>12.743325</v>
          </cell>
          <cell r="AC31">
            <v>13.125624750000002</v>
          </cell>
          <cell r="AE31">
            <v>5.8724999999999996</v>
          </cell>
          <cell r="AF31">
            <v>6.1661250000000001</v>
          </cell>
          <cell r="AG31">
            <v>6.3511087500000007</v>
          </cell>
        </row>
        <row r="32">
          <cell r="B32" t="str">
            <v>Less: Restructuring charge (adjusted for tax)</v>
          </cell>
          <cell r="J32">
            <v>-611.30767182058935</v>
          </cell>
          <cell r="AA32">
            <v>3.2640000000000104</v>
          </cell>
          <cell r="AB32">
            <v>3.3292800000000109</v>
          </cell>
          <cell r="AC32">
            <v>3.3958656000000107</v>
          </cell>
          <cell r="AE32">
            <v>-20.775359999999985</v>
          </cell>
          <cell r="AF32">
            <v>-21.190867199999985</v>
          </cell>
          <cell r="AG32">
            <v>-20.614684543999985</v>
          </cell>
        </row>
        <row r="33">
          <cell r="B33" t="str">
            <v xml:space="preserve">Less: minorities </v>
          </cell>
          <cell r="J33">
            <v>-2862.9897633616174</v>
          </cell>
          <cell r="AA33">
            <v>2032.2370262063414</v>
          </cell>
          <cell r="AB33">
            <v>2232.7266531351561</v>
          </cell>
          <cell r="AC33">
            <v>2309.7998063888417</v>
          </cell>
          <cell r="AE33">
            <v>1275.6971592522868</v>
          </cell>
          <cell r="AF33">
            <v>1256.3053331503074</v>
          </cell>
          <cell r="AG33">
            <v>1498.1367572654194</v>
          </cell>
        </row>
        <row r="34">
          <cell r="B34" t="str">
            <v xml:space="preserve">Plus: associates </v>
          </cell>
          <cell r="J34">
            <v>100.5</v>
          </cell>
        </row>
        <row r="35">
          <cell r="B35" t="str">
            <v xml:space="preserve">Group equity value </v>
          </cell>
          <cell r="J35">
            <v>8517.4486156735402</v>
          </cell>
        </row>
        <row r="36">
          <cell r="B36" t="str">
            <v xml:space="preserve">Number of shares </v>
          </cell>
          <cell r="J36">
            <v>491.46</v>
          </cell>
        </row>
        <row r="37">
          <cell r="B37" t="str">
            <v xml:space="preserve">Fair value per share </v>
          </cell>
          <cell r="J37">
            <v>17.330909159796402</v>
          </cell>
        </row>
        <row r="38">
          <cell r="B38" t="str">
            <v xml:space="preserve">Current price </v>
          </cell>
          <cell r="J38">
            <v>15</v>
          </cell>
        </row>
        <row r="39">
          <cell r="B39" t="str">
            <v xml:space="preserve">% upside/downside to current price </v>
          </cell>
          <cell r="J39">
            <v>0.1553939439864267</v>
          </cell>
        </row>
      </sheetData>
      <sheetData sheetId="48">
        <row r="4">
          <cell r="AR4" t="str">
            <v xml:space="preserve"> Portugal Telecom (Neutral) TP: €9.3  (+1.4%)</v>
          </cell>
        </row>
        <row r="11">
          <cell r="E11" t="str">
            <v>Method</v>
          </cell>
          <cell r="F11" t="str">
            <v>Driver</v>
          </cell>
          <cell r="H11" t="str">
            <v>Multiple</v>
          </cell>
          <cell r="J11" t="str">
            <v>100% EV</v>
          </cell>
          <cell r="L11" t="str">
            <v>05E net debt</v>
          </cell>
          <cell r="N11" t="str">
            <v>100% equity</v>
          </cell>
          <cell r="P11" t="str">
            <v>Ownership</v>
          </cell>
          <cell r="R11" t="str">
            <v>PT equity</v>
          </cell>
          <cell r="T11" t="str">
            <v>Minority</v>
          </cell>
          <cell r="V11" t="str">
            <v>% of equity</v>
          </cell>
          <cell r="X11" t="str">
            <v>Per share</v>
          </cell>
        </row>
        <row r="13">
          <cell r="B13" t="str">
            <v>Domestic wireline</v>
          </cell>
          <cell r="E13" t="str">
            <v>DCF, 11.7x 05E FCF</v>
          </cell>
          <cell r="F13">
            <v>494.86120220045751</v>
          </cell>
          <cell r="G13" t="str">
            <v>x</v>
          </cell>
          <cell r="H13">
            <v>11.721486297945981</v>
          </cell>
          <cell r="I13" t="str">
            <v>=</v>
          </cell>
          <cell r="J13">
            <v>5800.5088009777382</v>
          </cell>
          <cell r="K13" t="str">
            <v>-</v>
          </cell>
          <cell r="L13">
            <v>2182.1999734760652</v>
          </cell>
          <cell r="M13" t="str">
            <v>=</v>
          </cell>
          <cell r="N13">
            <v>3618.308827501673</v>
          </cell>
          <cell r="O13" t="str">
            <v>x</v>
          </cell>
          <cell r="P13">
            <v>1</v>
          </cell>
          <cell r="Q13" t="str">
            <v>=</v>
          </cell>
          <cell r="R13">
            <v>3618.308827501673</v>
          </cell>
          <cell r="T13">
            <v>0</v>
          </cell>
          <cell r="V13">
            <v>0.36649157543150251</v>
          </cell>
          <cell r="X13">
            <v>3.4221953158224743</v>
          </cell>
        </row>
        <row r="14">
          <cell r="B14" t="str">
            <v>TMN</v>
          </cell>
          <cell r="E14" t="str">
            <v>DCF, 9.8x 04E OpFCF</v>
          </cell>
          <cell r="F14">
            <v>588</v>
          </cell>
          <cell r="G14" t="str">
            <v>x</v>
          </cell>
          <cell r="H14">
            <v>9.7718019407039733</v>
          </cell>
          <cell r="I14" t="str">
            <v>=</v>
          </cell>
          <cell r="J14">
            <v>5745.8195411339366</v>
          </cell>
          <cell r="K14" t="str">
            <v>-</v>
          </cell>
          <cell r="M14" t="str">
            <v>=</v>
          </cell>
          <cell r="N14">
            <v>5745.8195411339366</v>
          </cell>
          <cell r="O14" t="str">
            <v>x</v>
          </cell>
          <cell r="P14">
            <v>1</v>
          </cell>
          <cell r="Q14" t="str">
            <v>=</v>
          </cell>
          <cell r="R14">
            <v>5745.8195411339366</v>
          </cell>
          <cell r="T14">
            <v>0</v>
          </cell>
          <cell r="V14">
            <v>0.5819830634051415</v>
          </cell>
          <cell r="X14">
            <v>5.4343942589352414</v>
          </cell>
        </row>
        <row r="15">
          <cell r="B15" t="str">
            <v>PT Multimedia</v>
          </cell>
          <cell r="E15" t="str">
            <v>NSR value</v>
          </cell>
          <cell r="F15">
            <v>141.2073</v>
          </cell>
          <cell r="G15" t="str">
            <v>x</v>
          </cell>
          <cell r="H15">
            <v>12</v>
          </cell>
          <cell r="I15" t="str">
            <v>=</v>
          </cell>
          <cell r="J15">
            <v>1690.0376021608088</v>
          </cell>
          <cell r="K15" t="str">
            <v>-</v>
          </cell>
          <cell r="L15">
            <v>-4.4499978391912123</v>
          </cell>
          <cell r="M15" t="str">
            <v>=</v>
          </cell>
          <cell r="N15">
            <v>1694.4875999999999</v>
          </cell>
          <cell r="O15" t="str">
            <v>x</v>
          </cell>
          <cell r="P15">
            <v>0.55200000000000005</v>
          </cell>
          <cell r="Q15" t="str">
            <v>=</v>
          </cell>
          <cell r="R15">
            <v>935.35715520000008</v>
          </cell>
          <cell r="T15">
            <v>759.13044479999985</v>
          </cell>
          <cell r="V15">
            <v>0.17163140563154666</v>
          </cell>
          <cell r="X15">
            <v>1.602645822646156</v>
          </cell>
        </row>
        <row r="16">
          <cell r="B16" t="str">
            <v>Vivo</v>
          </cell>
          <cell r="E16" t="str">
            <v>DCF, 5.2x 04E EBITDA</v>
          </cell>
          <cell r="F16">
            <v>1074.0882352941178</v>
          </cell>
          <cell r="G16" t="str">
            <v>x</v>
          </cell>
          <cell r="H16">
            <v>5.2</v>
          </cell>
          <cell r="I16" t="str">
            <v>=</v>
          </cell>
          <cell r="J16">
            <v>5585.2588235294124</v>
          </cell>
          <cell r="K16" t="str">
            <v>-</v>
          </cell>
          <cell r="L16">
            <v>727.6301363658232</v>
          </cell>
          <cell r="M16" t="str">
            <v>=</v>
          </cell>
          <cell r="N16">
            <v>4857.6286871635893</v>
          </cell>
          <cell r="O16" t="str">
            <v>x</v>
          </cell>
          <cell r="P16">
            <v>0.2981819725019641</v>
          </cell>
          <cell r="Q16" t="str">
            <v>=</v>
          </cell>
          <cell r="R16">
            <v>1448.4573036205654</v>
          </cell>
          <cell r="T16">
            <v>4136.8015199088468</v>
          </cell>
          <cell r="V16">
            <v>0.49201991186834981</v>
          </cell>
          <cell r="X16">
            <v>4.594343637244001</v>
          </cell>
        </row>
        <row r="17">
          <cell r="B17" t="str">
            <v>Tax credit</v>
          </cell>
          <cell r="E17" t="str">
            <v>End 2004 remaining</v>
          </cell>
          <cell r="J17">
            <v>0</v>
          </cell>
          <cell r="K17" t="str">
            <v>-</v>
          </cell>
          <cell r="M17" t="str">
            <v>=</v>
          </cell>
          <cell r="N17">
            <v>0</v>
          </cell>
          <cell r="O17" t="str">
            <v>x</v>
          </cell>
          <cell r="P17">
            <v>1</v>
          </cell>
          <cell r="Q17" t="str">
            <v>=</v>
          </cell>
          <cell r="R17">
            <v>0</v>
          </cell>
          <cell r="T17">
            <v>0</v>
          </cell>
          <cell r="V17">
            <v>0</v>
          </cell>
          <cell r="X17">
            <v>0</v>
          </cell>
        </row>
        <row r="18">
          <cell r="B18" t="str">
            <v>Shareholder loan to Vivo</v>
          </cell>
          <cell r="J18">
            <v>44</v>
          </cell>
          <cell r="K18" t="str">
            <v>-</v>
          </cell>
          <cell r="L18">
            <v>3286.779539589008</v>
          </cell>
          <cell r="M18" t="str">
            <v>=</v>
          </cell>
          <cell r="N18">
            <v>13691.477774231746</v>
          </cell>
          <cell r="O18" t="str">
            <v>x</v>
          </cell>
          <cell r="P18">
            <v>1</v>
          </cell>
          <cell r="Q18" t="str">
            <v>=</v>
          </cell>
          <cell r="R18">
            <v>10051.052113975504</v>
          </cell>
          <cell r="T18">
            <v>0</v>
          </cell>
          <cell r="V18">
            <v>4.4566757808012607E-3</v>
          </cell>
          <cell r="X18">
            <v>4.1615185733097644E-2</v>
          </cell>
        </row>
        <row r="19">
          <cell r="B19" t="str">
            <v>Total</v>
          </cell>
          <cell r="J19">
            <v>18865.624767801895</v>
          </cell>
          <cell r="L19">
            <v>2905.3801120026969</v>
          </cell>
          <cell r="N19">
            <v>15960.244655799199</v>
          </cell>
          <cell r="R19">
            <v>11791.942827456174</v>
          </cell>
          <cell r="T19">
            <v>4895.9319647088469</v>
          </cell>
          <cell r="V19">
            <v>1.6165826321173418</v>
          </cell>
          <cell r="X19">
            <v>15.09519422038097</v>
          </cell>
        </row>
        <row r="20">
          <cell r="B20" t="str">
            <v>Associates</v>
          </cell>
        </row>
        <row r="21">
          <cell r="B21" t="str">
            <v>Associates</v>
          </cell>
          <cell r="N21">
            <v>501.21513743861897</v>
          </cell>
          <cell r="O21" t="str">
            <v>x</v>
          </cell>
          <cell r="P21">
            <v>0.32179999999999997</v>
          </cell>
          <cell r="Q21" t="str">
            <v>=</v>
          </cell>
          <cell r="R21">
            <v>161.29103122774757</v>
          </cell>
          <cell r="T21" t="str">
            <v>BREAKDOWN OF VALUE</v>
          </cell>
        </row>
        <row r="22">
          <cell r="B22" t="str">
            <v>Other</v>
          </cell>
          <cell r="N22">
            <v>100</v>
          </cell>
          <cell r="O22" t="str">
            <v>x</v>
          </cell>
          <cell r="P22">
            <v>1</v>
          </cell>
          <cell r="Q22" t="str">
            <v>=</v>
          </cell>
          <cell r="R22">
            <v>100</v>
          </cell>
          <cell r="T22" t="str">
            <v>BREAKDOWN OF VALUE</v>
          </cell>
        </row>
        <row r="23">
          <cell r="B23" t="str">
            <v>Total</v>
          </cell>
          <cell r="R23">
            <v>100</v>
          </cell>
        </row>
        <row r="25">
          <cell r="B25" t="str">
            <v xml:space="preserve">Total EV </v>
          </cell>
          <cell r="J25">
            <v>18865.624767801895</v>
          </cell>
          <cell r="AA25">
            <v>670.16790934187839</v>
          </cell>
          <cell r="AB25">
            <v>679.55779254532695</v>
          </cell>
          <cell r="AC25">
            <v>689.20547215491831</v>
          </cell>
          <cell r="AE25">
            <v>476.41790934187839</v>
          </cell>
          <cell r="AF25">
            <v>495.49529254532695</v>
          </cell>
          <cell r="AG25">
            <v>505.14297215491831</v>
          </cell>
        </row>
        <row r="26">
          <cell r="B26" t="str">
            <v>Less: end 2005E (net debt)/cash</v>
          </cell>
          <cell r="J26">
            <v>-2905.3801120026969</v>
          </cell>
          <cell r="AA26">
            <v>198.88794257737669</v>
          </cell>
          <cell r="AB26">
            <v>227.06426104097878</v>
          </cell>
          <cell r="AC26">
            <v>248.70046847035442</v>
          </cell>
          <cell r="AE26">
            <v>100.25064114550077</v>
          </cell>
          <cell r="AF26">
            <v>86.463128663187646</v>
          </cell>
          <cell r="AG26">
            <v>90.797077172865187</v>
          </cell>
        </row>
        <row r="27">
          <cell r="B27" t="str">
            <v xml:space="preserve">Less: Pension charge </v>
          </cell>
          <cell r="J27">
            <v>-1539.9035701067742</v>
          </cell>
          <cell r="AA27">
            <v>1991.9460532112696</v>
          </cell>
          <cell r="AB27">
            <v>2038.2909211002695</v>
          </cell>
          <cell r="AC27">
            <v>2075.0758305224031</v>
          </cell>
          <cell r="AE27">
            <v>129.47649345873253</v>
          </cell>
          <cell r="AF27">
            <v>163.06327368802164</v>
          </cell>
          <cell r="AG27">
            <v>228.25834135746436</v>
          </cell>
        </row>
        <row r="28">
          <cell r="B28" t="str">
            <v>Less: MediTelecom commitment</v>
          </cell>
          <cell r="J28">
            <v>-105</v>
          </cell>
          <cell r="AA28">
            <v>2291.3203860104672</v>
          </cell>
          <cell r="AB28">
            <v>2285.3050679621501</v>
          </cell>
          <cell r="AC28">
            <v>2322.3810927779464</v>
          </cell>
          <cell r="AE28">
            <v>1355.1597807643122</v>
          </cell>
          <cell r="AF28">
            <v>1392.4907926517096</v>
          </cell>
          <cell r="AG28">
            <v>1464.3127548700061</v>
          </cell>
        </row>
        <row r="29">
          <cell r="B29" t="str">
            <v>Add: Vivo net consolidated debt (mid-2005)</v>
          </cell>
          <cell r="J29">
            <v>353.42035194911415</v>
          </cell>
        </row>
        <row r="30">
          <cell r="B30" t="str">
            <v xml:space="preserve">Less: minorities </v>
          </cell>
          <cell r="J30">
            <v>-4895.9319647088469</v>
          </cell>
        </row>
        <row r="31">
          <cell r="B31" t="str">
            <v xml:space="preserve">Plus: associates </v>
          </cell>
          <cell r="J31">
            <v>100</v>
          </cell>
        </row>
        <row r="32">
          <cell r="B32" t="str">
            <v xml:space="preserve">Group equity value </v>
          </cell>
          <cell r="J32">
            <v>9872.8294729326917</v>
          </cell>
        </row>
        <row r="33">
          <cell r="B33" t="str">
            <v xml:space="preserve">Number of shares </v>
          </cell>
          <cell r="J33">
            <v>1098.48</v>
          </cell>
        </row>
        <row r="34">
          <cell r="B34" t="str">
            <v xml:space="preserve">Fair value per share </v>
          </cell>
          <cell r="J34">
            <v>8.9877189142566927</v>
          </cell>
        </row>
        <row r="35">
          <cell r="B35" t="str">
            <v>Plus: 2005 Dividend per share not yet received</v>
          </cell>
          <cell r="J35">
            <v>0.35</v>
          </cell>
        </row>
        <row r="36">
          <cell r="B36" t="str">
            <v xml:space="preserve">Fair value per share </v>
          </cell>
          <cell r="J36">
            <v>9.3377189142566923</v>
          </cell>
        </row>
        <row r="37">
          <cell r="B37" t="str">
            <v xml:space="preserve">Current price </v>
          </cell>
          <cell r="J37">
            <v>9.17</v>
          </cell>
        </row>
        <row r="38">
          <cell r="B38" t="str">
            <v xml:space="preserve">% upside/downside to current price </v>
          </cell>
          <cell r="J38">
            <v>1.8289957934208623E-2</v>
          </cell>
        </row>
      </sheetData>
      <sheetData sheetId="49">
        <row r="4">
          <cell r="AR4" t="str">
            <v xml:space="preserve"> Swisscom (Neutral) TP: CHF455  (+0.2%)</v>
          </cell>
        </row>
        <row r="11">
          <cell r="E11" t="str">
            <v>Method</v>
          </cell>
          <cell r="F11" t="str">
            <v>Driver</v>
          </cell>
          <cell r="H11" t="str">
            <v>Multiple</v>
          </cell>
          <cell r="J11" t="str">
            <v>100% EV</v>
          </cell>
          <cell r="L11" t="str">
            <v>05E net debt</v>
          </cell>
          <cell r="N11" t="str">
            <v>100% equity</v>
          </cell>
          <cell r="P11" t="str">
            <v>Ownership</v>
          </cell>
          <cell r="R11" t="str">
            <v>Swiss equity</v>
          </cell>
          <cell r="T11" t="str">
            <v>Minority</v>
          </cell>
          <cell r="V11" t="str">
            <v>% of equity</v>
          </cell>
          <cell r="X11" t="str">
            <v>Per share</v>
          </cell>
        </row>
        <row r="13">
          <cell r="B13" t="str">
            <v>Domestic wireline</v>
          </cell>
          <cell r="E13" t="str">
            <v>DCF, 9.3x 05E FCF</v>
          </cell>
          <cell r="F13">
            <v>1398.5118807687156</v>
          </cell>
          <cell r="G13" t="str">
            <v>x</v>
          </cell>
          <cell r="H13">
            <v>9.2843521039758894</v>
          </cell>
          <cell r="I13" t="str">
            <v>=</v>
          </cell>
          <cell r="J13">
            <v>12984.276722650302</v>
          </cell>
          <cell r="K13" t="str">
            <v>-</v>
          </cell>
          <cell r="L13">
            <v>-2963.8507942882761</v>
          </cell>
          <cell r="M13" t="str">
            <v>=</v>
          </cell>
          <cell r="N13">
            <v>15948.127516938577</v>
          </cell>
          <cell r="O13" t="str">
            <v>x</v>
          </cell>
          <cell r="P13">
            <v>1</v>
          </cell>
          <cell r="Q13" t="str">
            <v>=</v>
          </cell>
          <cell r="R13">
            <v>15948.127516938577</v>
          </cell>
          <cell r="T13">
            <v>0</v>
          </cell>
          <cell r="V13">
            <v>0.58803028044757144</v>
          </cell>
          <cell r="X13">
            <v>260.59031890422511</v>
          </cell>
        </row>
        <row r="14">
          <cell r="B14" t="str">
            <v>Swisscom mobile</v>
          </cell>
          <cell r="E14" t="str">
            <v>DCF, 10.3x 04E OpFCF</v>
          </cell>
          <cell r="F14">
            <v>1427.8967159496385</v>
          </cell>
          <cell r="G14" t="str">
            <v>x</v>
          </cell>
          <cell r="H14">
            <v>10.300571262170786</v>
          </cell>
          <cell r="I14" t="str">
            <v>=</v>
          </cell>
          <cell r="J14">
            <v>14708.151877658889</v>
          </cell>
          <cell r="K14" t="str">
            <v>-</v>
          </cell>
          <cell r="L14">
            <v>49.900254090854105</v>
          </cell>
          <cell r="M14" t="str">
            <v>=</v>
          </cell>
          <cell r="N14">
            <v>14658.251623568034</v>
          </cell>
          <cell r="O14" t="str">
            <v>x</v>
          </cell>
          <cell r="P14">
            <v>0.75</v>
          </cell>
          <cell r="Q14" t="str">
            <v>=</v>
          </cell>
          <cell r="R14">
            <v>10993.688717676025</v>
          </cell>
          <cell r="T14">
            <v>3664.5629058920094</v>
          </cell>
          <cell r="V14">
            <v>0.54047071067891672</v>
          </cell>
          <cell r="X14">
            <v>239.51391541777829</v>
          </cell>
        </row>
        <row r="15">
          <cell r="B15" t="str">
            <v>debitel loan notes</v>
          </cell>
          <cell r="E15" t="str">
            <v>Fair value</v>
          </cell>
          <cell r="F15">
            <v>320.80376895000001</v>
          </cell>
          <cell r="J15">
            <v>320.80376895000001</v>
          </cell>
          <cell r="K15" t="str">
            <v>-</v>
          </cell>
          <cell r="M15" t="str">
            <v>=</v>
          </cell>
          <cell r="N15">
            <v>320.80376895000001</v>
          </cell>
          <cell r="O15" t="str">
            <v>x</v>
          </cell>
          <cell r="P15">
            <v>1</v>
          </cell>
          <cell r="Q15" t="str">
            <v>=</v>
          </cell>
          <cell r="R15">
            <v>320.80376895000001</v>
          </cell>
          <cell r="T15">
            <v>0</v>
          </cell>
          <cell r="V15">
            <v>1.1828493973599632E-2</v>
          </cell>
          <cell r="X15">
            <v>5.241891649509804</v>
          </cell>
        </row>
        <row r="16">
          <cell r="B16" t="str">
            <v>Total</v>
          </cell>
          <cell r="J16">
            <v>28013.232369259193</v>
          </cell>
          <cell r="L16">
            <v>-2913.950540197422</v>
          </cell>
          <cell r="N16">
            <v>30927.182909456613</v>
          </cell>
          <cell r="R16">
            <v>27262.620003564603</v>
          </cell>
          <cell r="T16">
            <v>3664.5629058920094</v>
          </cell>
          <cell r="V16">
            <v>1.140329485100088</v>
          </cell>
          <cell r="X16">
            <v>505.34612597151329</v>
          </cell>
        </row>
        <row r="18">
          <cell r="B18" t="str">
            <v>Associates</v>
          </cell>
        </row>
        <row r="19">
          <cell r="B19" t="str">
            <v>Infonet</v>
          </cell>
          <cell r="E19" t="str">
            <v>Mkt Value</v>
          </cell>
          <cell r="F19">
            <v>470</v>
          </cell>
          <cell r="G19" t="str">
            <v>x</v>
          </cell>
          <cell r="H19">
            <v>2.0499999999999998</v>
          </cell>
          <cell r="I19" t="str">
            <v>=</v>
          </cell>
          <cell r="J19">
            <v>129.36000000000001</v>
          </cell>
          <cell r="K19" t="str">
            <v>-</v>
          </cell>
          <cell r="L19">
            <v>0</v>
          </cell>
          <cell r="M19" t="str">
            <v>=</v>
          </cell>
          <cell r="N19">
            <v>1132.4978999999998</v>
          </cell>
          <cell r="O19" t="str">
            <v>x</v>
          </cell>
          <cell r="P19">
            <v>0.18</v>
          </cell>
          <cell r="Q19" t="str">
            <v>=</v>
          </cell>
          <cell r="R19">
            <v>203.84962199999995</v>
          </cell>
          <cell r="T19" t="str">
            <v>BREAKDOWN OF VALUE</v>
          </cell>
        </row>
        <row r="20">
          <cell r="B20" t="str">
            <v>Total</v>
          </cell>
          <cell r="R20">
            <v>203.84962199999995</v>
          </cell>
        </row>
        <row r="21">
          <cell r="B21" t="str">
            <v xml:space="preserve">Total EV </v>
          </cell>
          <cell r="J21">
            <v>23845.768380026449</v>
          </cell>
          <cell r="T21" t="str">
            <v>BREAKDOWN OF VALUE</v>
          </cell>
        </row>
        <row r="22">
          <cell r="B22" t="str">
            <v xml:space="preserve">Total EV </v>
          </cell>
          <cell r="J22">
            <v>28013.232369259193</v>
          </cell>
        </row>
        <row r="23">
          <cell r="B23" t="str">
            <v>Less: end 2005E (net debt)/cash</v>
          </cell>
          <cell r="J23">
            <v>2913.950540197422</v>
          </cell>
          <cell r="AA23">
            <v>1837.7694674357322</v>
          </cell>
          <cell r="AB23">
            <v>1714.391037563084</v>
          </cell>
          <cell r="AC23">
            <v>1696.4515565619299</v>
          </cell>
          <cell r="AE23">
            <v>1350.4194674357323</v>
          </cell>
          <cell r="AF23">
            <v>1236.7880375630839</v>
          </cell>
          <cell r="AG23">
            <v>1218.8485565619299</v>
          </cell>
        </row>
        <row r="24">
          <cell r="B24" t="str">
            <v>Less: Pension liability</v>
          </cell>
          <cell r="J24">
            <v>-300</v>
          </cell>
          <cell r="AA24">
            <v>100.88875940033344</v>
          </cell>
          <cell r="AB24">
            <v>119.28721489408289</v>
          </cell>
          <cell r="AC24">
            <v>135.30188099649479</v>
          </cell>
          <cell r="AE24">
            <v>66.523473387617571</v>
          </cell>
          <cell r="AF24">
            <v>84.212167049236683</v>
          </cell>
          <cell r="AG24">
            <v>100.31174187414928</v>
          </cell>
        </row>
        <row r="25">
          <cell r="B25" t="str">
            <v>Less: NPV restructuring costs</v>
          </cell>
          <cell r="J25">
            <v>-45.200454188138693</v>
          </cell>
          <cell r="AA25">
            <v>4202.3968041539838</v>
          </cell>
          <cell r="AB25">
            <v>3926.6125086800685</v>
          </cell>
          <cell r="AC25">
            <v>3762.6076137438617</v>
          </cell>
          <cell r="AE25">
            <v>3085.8168041539839</v>
          </cell>
          <cell r="AF25">
            <v>2725.3950086800687</v>
          </cell>
          <cell r="AG25">
            <v>2583.098548743862</v>
          </cell>
        </row>
        <row r="26">
          <cell r="B26" t="str">
            <v xml:space="preserve">Less: minorities </v>
          </cell>
          <cell r="J26">
            <v>-3664.5629058920094</v>
          </cell>
        </row>
        <row r="27">
          <cell r="B27" t="str">
            <v xml:space="preserve">Plus: associates </v>
          </cell>
          <cell r="J27">
            <v>203.84962199999995</v>
          </cell>
        </row>
        <row r="28">
          <cell r="B28" t="str">
            <v xml:space="preserve">Group equity value </v>
          </cell>
          <cell r="J28">
            <v>27121.269171376465</v>
          </cell>
        </row>
        <row r="29">
          <cell r="B29" t="str">
            <v xml:space="preserve">Number of shares </v>
          </cell>
          <cell r="J29">
            <v>61.2</v>
          </cell>
        </row>
        <row r="30">
          <cell r="B30" t="str">
            <v xml:space="preserve">Fair value per share </v>
          </cell>
          <cell r="J30">
            <v>443.15799299634745</v>
          </cell>
        </row>
        <row r="31">
          <cell r="B31" t="str">
            <v>Plus: 2005 Dividend per share not yet received</v>
          </cell>
          <cell r="J31">
            <v>13.39</v>
          </cell>
        </row>
        <row r="32">
          <cell r="B32" t="str">
            <v xml:space="preserve">Fair value per share </v>
          </cell>
          <cell r="J32">
            <v>456.54799299634743</v>
          </cell>
        </row>
        <row r="33">
          <cell r="B33" t="str">
            <v xml:space="preserve">Current price </v>
          </cell>
          <cell r="D33">
            <v>1.5468367799999998</v>
          </cell>
          <cell r="J33">
            <v>454</v>
          </cell>
        </row>
        <row r="34">
          <cell r="B34" t="str">
            <v xml:space="preserve">% upside/downside to current price </v>
          </cell>
          <cell r="D34">
            <v>1.2870999999999999</v>
          </cell>
          <cell r="J34">
            <v>5.6123193752146694E-3</v>
          </cell>
        </row>
        <row r="35">
          <cell r="B35" t="str">
            <v>CHF/CSZ</v>
          </cell>
          <cell r="D35">
            <v>19.1422577888276</v>
          </cell>
        </row>
        <row r="36">
          <cell r="B36" t="str">
            <v>CHF/ EUR</v>
          </cell>
          <cell r="D36">
            <v>1.55287971</v>
          </cell>
        </row>
        <row r="37">
          <cell r="B37" t="str">
            <v>CHF/US$</v>
          </cell>
          <cell r="D37">
            <v>1.1754</v>
          </cell>
        </row>
        <row r="38">
          <cell r="B38" t="str">
            <v>CHF/CSZ</v>
          </cell>
          <cell r="D38">
            <v>19.028245703590269</v>
          </cell>
        </row>
      </sheetData>
      <sheetData sheetId="50">
        <row r="4">
          <cell r="AR4" t="str">
            <v xml:space="preserve"> TDC (Neutral) TP: DKK250.0  (-1.6%)</v>
          </cell>
        </row>
        <row r="11">
          <cell r="E11" t="str">
            <v>Method</v>
          </cell>
          <cell r="F11" t="str">
            <v>Driver</v>
          </cell>
          <cell r="H11" t="str">
            <v>Multiple</v>
          </cell>
          <cell r="J11" t="str">
            <v>100% EV</v>
          </cell>
          <cell r="L11" t="str">
            <v>05E net debt</v>
          </cell>
          <cell r="N11" t="str">
            <v>100% equity</v>
          </cell>
          <cell r="P11" t="str">
            <v>Ownership</v>
          </cell>
          <cell r="R11" t="str">
            <v>TDC equity</v>
          </cell>
          <cell r="T11" t="str">
            <v>Minority</v>
          </cell>
          <cell r="V11" t="str">
            <v>% of equity</v>
          </cell>
          <cell r="X11" t="str">
            <v>Per share</v>
          </cell>
        </row>
        <row r="13">
          <cell r="B13" t="str">
            <v>TDC Solutions</v>
          </cell>
          <cell r="E13" t="str">
            <v>DCF, 10.1x 05E FCF</v>
          </cell>
          <cell r="F13">
            <v>2530.3923446472581</v>
          </cell>
          <cell r="G13" t="str">
            <v>x</v>
          </cell>
          <cell r="H13">
            <v>10.088231144084451</v>
          </cell>
          <cell r="I13" t="str">
            <v>=</v>
          </cell>
          <cell r="J13">
            <v>25527.182858023349</v>
          </cell>
          <cell r="K13" t="str">
            <v>-</v>
          </cell>
          <cell r="L13">
            <v>18353.697266456278</v>
          </cell>
          <cell r="M13" t="str">
            <v>=</v>
          </cell>
          <cell r="N13">
            <v>7173.4855915670705</v>
          </cell>
          <cell r="O13" t="str">
            <v>x</v>
          </cell>
          <cell r="P13">
            <v>1</v>
          </cell>
          <cell r="Q13" t="str">
            <v>=</v>
          </cell>
          <cell r="R13">
            <v>7173.4855915670705</v>
          </cell>
          <cell r="T13">
            <v>0</v>
          </cell>
          <cell r="V13">
            <v>0.15383584810805662</v>
          </cell>
          <cell r="X13">
            <v>38.084153853253177</v>
          </cell>
        </row>
        <row r="14">
          <cell r="B14" t="str">
            <v>Denmark Mobile</v>
          </cell>
          <cell r="E14" t="str">
            <v>DCF, 7.6x 05E OpFCF</v>
          </cell>
          <cell r="F14">
            <v>1273.4822697491379</v>
          </cell>
          <cell r="G14" t="str">
            <v>x</v>
          </cell>
          <cell r="H14">
            <v>7.6348763353099267</v>
          </cell>
          <cell r="I14" t="str">
            <v>=</v>
          </cell>
          <cell r="J14">
            <v>9722.8796447444656</v>
          </cell>
          <cell r="K14" t="str">
            <v>-</v>
          </cell>
          <cell r="L14">
            <v>0</v>
          </cell>
          <cell r="M14" t="str">
            <v>=</v>
          </cell>
          <cell r="N14">
            <v>9722.8796447444656</v>
          </cell>
          <cell r="O14" t="str">
            <v>x</v>
          </cell>
          <cell r="P14">
            <v>1</v>
          </cell>
          <cell r="Q14" t="str">
            <v>=</v>
          </cell>
          <cell r="R14">
            <v>9722.8796447444656</v>
          </cell>
          <cell r="T14">
            <v>0</v>
          </cell>
          <cell r="V14">
            <v>0.20850776336125304</v>
          </cell>
          <cell r="X14">
            <v>51.618929118978166</v>
          </cell>
        </row>
        <row r="15">
          <cell r="B15" t="str">
            <v>Talkline</v>
          </cell>
          <cell r="E15" t="str">
            <v>DCF, 7.3x 05E OpFCF</v>
          </cell>
          <cell r="F15">
            <v>329.95941572313609</v>
          </cell>
          <cell r="G15" t="str">
            <v>x</v>
          </cell>
          <cell r="H15">
            <v>7.3074146777545756</v>
          </cell>
          <cell r="I15" t="str">
            <v>=</v>
          </cell>
          <cell r="J15">
            <v>2411.1502775185686</v>
          </cell>
          <cell r="K15" t="str">
            <v>-</v>
          </cell>
          <cell r="L15">
            <v>0</v>
          </cell>
          <cell r="M15" t="str">
            <v>=</v>
          </cell>
          <cell r="N15">
            <v>2411.1502775185686</v>
          </cell>
          <cell r="O15" t="str">
            <v>x</v>
          </cell>
          <cell r="P15">
            <v>1</v>
          </cell>
          <cell r="Q15" t="str">
            <v>=</v>
          </cell>
          <cell r="R15">
            <v>2411.1502775185686</v>
          </cell>
          <cell r="T15">
            <v>0</v>
          </cell>
          <cell r="V15">
            <v>5.170726881978948E-2</v>
          </cell>
          <cell r="X15">
            <v>12.800836770381167</v>
          </cell>
        </row>
        <row r="16">
          <cell r="B16" t="str">
            <v>TDC Switzerland</v>
          </cell>
          <cell r="E16" t="str">
            <v>DCF, 9.2x 05E OpFCF</v>
          </cell>
          <cell r="F16">
            <v>1353.5645161641974</v>
          </cell>
          <cell r="G16" t="str">
            <v>x</v>
          </cell>
          <cell r="H16">
            <v>9.2029719693554046</v>
          </cell>
          <cell r="I16" t="str">
            <v>=</v>
          </cell>
          <cell r="J16">
            <v>12456.816300973218</v>
          </cell>
          <cell r="K16" t="str">
            <v>-</v>
          </cell>
          <cell r="L16">
            <v>0</v>
          </cell>
          <cell r="M16" t="str">
            <v>=</v>
          </cell>
          <cell r="N16">
            <v>12456.816300973218</v>
          </cell>
          <cell r="O16" t="str">
            <v>x</v>
          </cell>
          <cell r="P16">
            <v>1</v>
          </cell>
          <cell r="Q16" t="str">
            <v>=</v>
          </cell>
          <cell r="R16">
            <v>12456.816300973218</v>
          </cell>
          <cell r="T16">
            <v>0</v>
          </cell>
          <cell r="V16">
            <v>0.26713720630305982</v>
          </cell>
          <cell r="X16">
            <v>66.133444121735579</v>
          </cell>
        </row>
        <row r="17">
          <cell r="B17" t="str">
            <v>Bite (Lithuania)</v>
          </cell>
          <cell r="E17" t="str">
            <v>DCF, 20.1x 05E OpFCF</v>
          </cell>
          <cell r="F17">
            <v>74.466800000000035</v>
          </cell>
          <cell r="G17" t="str">
            <v>x</v>
          </cell>
          <cell r="H17">
            <v>20.096220810257588</v>
          </cell>
          <cell r="I17" t="str">
            <v>=</v>
          </cell>
          <cell r="J17">
            <v>1496.5012558332905</v>
          </cell>
          <cell r="K17" t="str">
            <v>-</v>
          </cell>
          <cell r="L17">
            <v>0</v>
          </cell>
          <cell r="M17" t="str">
            <v>=</v>
          </cell>
          <cell r="N17">
            <v>1496.5012558332905</v>
          </cell>
          <cell r="O17" t="str">
            <v>x</v>
          </cell>
          <cell r="P17">
            <v>1</v>
          </cell>
          <cell r="Q17" t="str">
            <v>=</v>
          </cell>
          <cell r="R17">
            <v>1496.5012558332905</v>
          </cell>
          <cell r="T17">
            <v>0</v>
          </cell>
          <cell r="V17">
            <v>3.2092563224288113E-2</v>
          </cell>
          <cell r="X17">
            <v>7.9449499606914697</v>
          </cell>
        </row>
        <row r="18">
          <cell r="C18" t="str">
            <v>Total mobile</v>
          </cell>
          <cell r="J18">
            <v>26087.34747906954</v>
          </cell>
          <cell r="N18">
            <v>26087.34747906954</v>
          </cell>
          <cell r="R18">
            <v>26087.34747906954</v>
          </cell>
          <cell r="T18">
            <v>0</v>
          </cell>
          <cell r="V18">
            <v>0.55944480170839039</v>
          </cell>
          <cell r="X18">
            <v>138.49815997178638</v>
          </cell>
        </row>
        <row r="19">
          <cell r="B19" t="str">
            <v>TDC Cable</v>
          </cell>
          <cell r="E19" t="str">
            <v>DCF, 11.5x 05E OpFCF</v>
          </cell>
          <cell r="F19">
            <v>207.1106933269599</v>
          </cell>
          <cell r="G19" t="str">
            <v>x</v>
          </cell>
          <cell r="H19">
            <v>11.520232378519047</v>
          </cell>
          <cell r="I19" t="str">
            <v>=</v>
          </cell>
          <cell r="J19">
            <v>2385.9633152027723</v>
          </cell>
          <cell r="K19" t="str">
            <v>-</v>
          </cell>
          <cell r="L19">
            <v>0</v>
          </cell>
          <cell r="M19" t="str">
            <v>=</v>
          </cell>
          <cell r="N19">
            <v>2385.9633152027723</v>
          </cell>
          <cell r="O19" t="str">
            <v>x</v>
          </cell>
          <cell r="P19">
            <v>1</v>
          </cell>
          <cell r="Q19" t="str">
            <v>=</v>
          </cell>
          <cell r="R19">
            <v>2385.9633152027723</v>
          </cell>
          <cell r="T19">
            <v>0</v>
          </cell>
          <cell r="V19">
            <v>5.1167132834338956E-2</v>
          </cell>
          <cell r="X19">
            <v>12.667118770158442</v>
          </cell>
        </row>
        <row r="20">
          <cell r="B20" t="str">
            <v>TDC Directories</v>
          </cell>
          <cell r="E20" t="str">
            <v>DCF, 9.9x 05E OpFCF</v>
          </cell>
          <cell r="F20">
            <v>446.90751958557485</v>
          </cell>
          <cell r="G20" t="str">
            <v>x</v>
          </cell>
          <cell r="H20">
            <v>9.9390186925507003</v>
          </cell>
          <cell r="I20" t="str">
            <v>=</v>
          </cell>
          <cell r="J20">
            <v>4441.8221910024968</v>
          </cell>
          <cell r="K20" t="str">
            <v>-</v>
          </cell>
          <cell r="L20">
            <v>0</v>
          </cell>
          <cell r="M20" t="str">
            <v>=</v>
          </cell>
          <cell r="N20">
            <v>4441.8221910024968</v>
          </cell>
          <cell r="O20" t="str">
            <v>x</v>
          </cell>
          <cell r="P20">
            <v>1</v>
          </cell>
          <cell r="Q20" t="str">
            <v>=</v>
          </cell>
          <cell r="R20">
            <v>4441.8221910024968</v>
          </cell>
          <cell r="T20">
            <v>0</v>
          </cell>
          <cell r="V20">
            <v>9.5255155276444042E-2</v>
          </cell>
          <cell r="X20">
            <v>23.581707602479341</v>
          </cell>
        </row>
        <row r="21">
          <cell r="B21" t="str">
            <v>TDC Services</v>
          </cell>
          <cell r="E21" t="str">
            <v>DCF, 9.2x 05E OpFCF</v>
          </cell>
          <cell r="F21">
            <v>205.52724000000003</v>
          </cell>
          <cell r="G21" t="str">
            <v>x</v>
          </cell>
          <cell r="H21">
            <v>9.2341020503728917</v>
          </cell>
          <cell r="I21" t="str">
            <v>=</v>
          </cell>
          <cell r="J21">
            <v>-140.28975902677811</v>
          </cell>
          <cell r="K21" t="str">
            <v>-</v>
          </cell>
          <cell r="L21">
            <v>0</v>
          </cell>
          <cell r="M21" t="str">
            <v>=</v>
          </cell>
          <cell r="N21">
            <v>-140.28975902677811</v>
          </cell>
          <cell r="O21" t="str">
            <v>x</v>
          </cell>
          <cell r="P21">
            <v>1</v>
          </cell>
          <cell r="Q21" t="str">
            <v>=</v>
          </cell>
          <cell r="R21">
            <v>-140.28975902677811</v>
          </cell>
          <cell r="T21">
            <v>0</v>
          </cell>
          <cell r="V21">
            <v>4.0699716103309282E-2</v>
          </cell>
          <cell r="X21">
            <v>10.075767572545271</v>
          </cell>
        </row>
        <row r="22">
          <cell r="B22" t="str">
            <v>Easymobile</v>
          </cell>
          <cell r="I22" t="str">
            <v>=</v>
          </cell>
          <cell r="J22">
            <v>65601.194422518995</v>
          </cell>
          <cell r="K22" t="str">
            <v>-</v>
          </cell>
          <cell r="L22">
            <v>10929.229222853626</v>
          </cell>
          <cell r="M22" t="str">
            <v>=</v>
          </cell>
          <cell r="N22">
            <v>54671.96519966537</v>
          </cell>
          <cell r="O22" t="str">
            <v>x</v>
          </cell>
          <cell r="P22">
            <v>1</v>
          </cell>
          <cell r="Q22" t="str">
            <v>=</v>
          </cell>
          <cell r="R22">
            <v>54671.96519966537</v>
          </cell>
          <cell r="T22">
            <v>0</v>
          </cell>
          <cell r="V22">
            <v>6.7980848679171689E-3</v>
          </cell>
          <cell r="X22">
            <v>1.6829582519373181</v>
          </cell>
        </row>
        <row r="23">
          <cell r="B23" t="str">
            <v>Total</v>
          </cell>
          <cell r="J23">
            <v>60657.175351589642</v>
          </cell>
          <cell r="L23">
            <v>18353.697266456278</v>
          </cell>
          <cell r="N23">
            <v>42303.478085133363</v>
          </cell>
          <cell r="R23">
            <v>42303.478085133363</v>
          </cell>
          <cell r="T23">
            <v>0</v>
          </cell>
          <cell r="V23">
            <v>0.90720073889845654</v>
          </cell>
          <cell r="X23">
            <v>224.58986602215992</v>
          </cell>
        </row>
        <row r="24">
          <cell r="B24" t="str">
            <v>Associates</v>
          </cell>
        </row>
        <row r="25">
          <cell r="B25" t="str">
            <v>Associates</v>
          </cell>
          <cell r="E25" t="str">
            <v>DCF, 10.8x 05E OpFCF</v>
          </cell>
          <cell r="F25">
            <v>2022.4489795918369</v>
          </cell>
          <cell r="G25" t="str">
            <v>x</v>
          </cell>
          <cell r="H25">
            <v>10.795260977387054</v>
          </cell>
          <cell r="I25" t="str">
            <v>=</v>
          </cell>
          <cell r="J25">
            <v>21832.864548144022</v>
          </cell>
          <cell r="K25" t="str">
            <v>-</v>
          </cell>
          <cell r="L25">
            <v>0</v>
          </cell>
          <cell r="M25" t="str">
            <v>=</v>
          </cell>
          <cell r="N25">
            <v>21832.864548144022</v>
          </cell>
          <cell r="O25" t="str">
            <v>x</v>
          </cell>
          <cell r="P25">
            <v>0.19600000000000001</v>
          </cell>
          <cell r="Q25" t="str">
            <v>=</v>
          </cell>
          <cell r="R25">
            <v>4279.2414514362281</v>
          </cell>
          <cell r="T25" t="str">
            <v>BREAKDOWN OF VALUE</v>
          </cell>
        </row>
        <row r="26">
          <cell r="B26" t="str">
            <v>Treasury stock</v>
          </cell>
          <cell r="E26" t="str">
            <v>Mkt value</v>
          </cell>
          <cell r="F26">
            <v>198.37517700000001</v>
          </cell>
          <cell r="G26" t="str">
            <v>x</v>
          </cell>
          <cell r="H26">
            <v>254</v>
          </cell>
          <cell r="I26" t="str">
            <v>=</v>
          </cell>
          <cell r="J26">
            <v>8641.6320712378965</v>
          </cell>
          <cell r="K26" t="str">
            <v>-</v>
          </cell>
          <cell r="L26">
            <v>9390.8256880733934</v>
          </cell>
          <cell r="M26" t="str">
            <v>=</v>
          </cell>
          <cell r="N26">
            <v>0</v>
          </cell>
          <cell r="O26" t="str">
            <v>x</v>
          </cell>
          <cell r="P26">
            <v>0.15</v>
          </cell>
          <cell r="Q26" t="str">
            <v>=</v>
          </cell>
          <cell r="R26">
            <v>0</v>
          </cell>
          <cell r="T26" t="str">
            <v>BREAKDOWN OF VALUE</v>
          </cell>
        </row>
        <row r="27">
          <cell r="B27" t="str">
            <v>Polkomtel (Poland)</v>
          </cell>
          <cell r="E27" t="str">
            <v>DCF, 11.2x 05E OpFCF</v>
          </cell>
          <cell r="F27">
            <v>2022.4489795918369</v>
          </cell>
          <cell r="G27" t="str">
            <v>x</v>
          </cell>
          <cell r="H27">
            <v>11.211807217069298</v>
          </cell>
          <cell r="I27" t="str">
            <v>=</v>
          </cell>
          <cell r="J27">
            <v>22675.308065542195</v>
          </cell>
          <cell r="K27" t="str">
            <v>-</v>
          </cell>
          <cell r="L27">
            <v>0</v>
          </cell>
          <cell r="M27" t="str">
            <v>=</v>
          </cell>
          <cell r="N27">
            <v>22675.308065542195</v>
          </cell>
          <cell r="O27" t="str">
            <v>x</v>
          </cell>
          <cell r="P27">
            <v>0.19600000000000001</v>
          </cell>
          <cell r="Q27" t="str">
            <v>=</v>
          </cell>
          <cell r="R27">
            <v>4279.2414514362281</v>
          </cell>
        </row>
        <row r="28">
          <cell r="B28" t="str">
            <v>One (Connect Austria)</v>
          </cell>
          <cell r="E28" t="str">
            <v>Debt larger than EV</v>
          </cell>
          <cell r="J28">
            <v>8641.6320712378965</v>
          </cell>
          <cell r="K28" t="str">
            <v>-</v>
          </cell>
          <cell r="L28">
            <v>9073</v>
          </cell>
          <cell r="M28" t="str">
            <v>=</v>
          </cell>
          <cell r="N28">
            <v>0</v>
          </cell>
          <cell r="O28" t="str">
            <v>x</v>
          </cell>
          <cell r="P28">
            <v>0.15</v>
          </cell>
          <cell r="Q28" t="str">
            <v>=</v>
          </cell>
          <cell r="R28">
            <v>0</v>
          </cell>
        </row>
        <row r="29">
          <cell r="B29" t="str">
            <v>Total</v>
          </cell>
          <cell r="J29">
            <v>66249.787322817603</v>
          </cell>
          <cell r="R29">
            <v>4444.3603808462703</v>
          </cell>
          <cell r="AA29">
            <v>598.9379149754327</v>
          </cell>
          <cell r="AB29">
            <v>604.21581159735092</v>
          </cell>
          <cell r="AC29">
            <v>607.85093838102921</v>
          </cell>
          <cell r="AE29">
            <v>443.72534554582364</v>
          </cell>
          <cell r="AF29">
            <v>526.75224600794695</v>
          </cell>
          <cell r="AG29">
            <v>527.87055175194644</v>
          </cell>
        </row>
        <row r="30">
          <cell r="B30" t="str">
            <v xml:space="preserve">Total EV </v>
          </cell>
          <cell r="J30">
            <v>67864.098786077229</v>
          </cell>
          <cell r="AA30">
            <v>2455.1068191617774</v>
          </cell>
          <cell r="AB30">
            <v>2422.5059551504014</v>
          </cell>
          <cell r="AC30">
            <v>2408.308291733536</v>
          </cell>
          <cell r="AE30">
            <v>1462.096214988579</v>
          </cell>
          <cell r="AF30">
            <v>1364.3059653073124</v>
          </cell>
          <cell r="AG30">
            <v>1351.5984929770113</v>
          </cell>
        </row>
        <row r="31">
          <cell r="B31" t="str">
            <v xml:space="preserve">Total EV </v>
          </cell>
          <cell r="J31">
            <v>60657.175351589642</v>
          </cell>
          <cell r="AA31">
            <v>216.63990000000001</v>
          </cell>
          <cell r="AB31">
            <v>293.71809600000006</v>
          </cell>
          <cell r="AC31">
            <v>332.02915200000007</v>
          </cell>
          <cell r="AE31">
            <v>-21.160099999999971</v>
          </cell>
          <cell r="AF31">
            <v>115.36809600000007</v>
          </cell>
          <cell r="AG31">
            <v>171.51415200000008</v>
          </cell>
        </row>
        <row r="32">
          <cell r="B32" t="str">
            <v>Less: end 2005E (net debt)/cash</v>
          </cell>
          <cell r="J32">
            <v>-18353.697266456278</v>
          </cell>
          <cell r="AA32">
            <v>516.28209632917185</v>
          </cell>
          <cell r="AB32">
            <v>570.00199355083339</v>
          </cell>
          <cell r="AC32">
            <v>612.34302388008143</v>
          </cell>
          <cell r="AE32">
            <v>301.1645561920169</v>
          </cell>
          <cell r="AF32">
            <v>327.44795374196804</v>
          </cell>
          <cell r="AG32">
            <v>350.65797093987567</v>
          </cell>
        </row>
        <row r="33">
          <cell r="B33" t="str">
            <v>Less: NPV Danish UMTS licence</v>
          </cell>
          <cell r="J33">
            <v>-426.16226607193852</v>
          </cell>
          <cell r="AA33">
            <v>379.82277200000004</v>
          </cell>
          <cell r="AB33">
            <v>319.43566032000001</v>
          </cell>
          <cell r="AC33">
            <v>261.19930799200006</v>
          </cell>
          <cell r="AE33">
            <v>271.30198000000007</v>
          </cell>
          <cell r="AF33">
            <v>212.95710688</v>
          </cell>
          <cell r="AG33">
            <v>156.71958479520003</v>
          </cell>
        </row>
        <row r="34">
          <cell r="B34" t="str">
            <v>Less: Restructuring charge</v>
          </cell>
          <cell r="J34">
            <v>-674.94003298104315</v>
          </cell>
          <cell r="AA34">
            <v>13276.549574240151</v>
          </cell>
          <cell r="AB34">
            <v>12903.269991066763</v>
          </cell>
          <cell r="AC34">
            <v>12728.832145714387</v>
          </cell>
          <cell r="AE34">
            <v>8065.8782868616199</v>
          </cell>
          <cell r="AF34">
            <v>7792.0245067794858</v>
          </cell>
          <cell r="AG34">
            <v>7710.5396723782815</v>
          </cell>
        </row>
        <row r="35">
          <cell r="B35" t="str">
            <v>Plus: NPV tax credits</v>
          </cell>
          <cell r="J35">
            <v>984.0438481989919</v>
          </cell>
        </row>
        <row r="36">
          <cell r="B36" t="str">
            <v xml:space="preserve">Less: minorities </v>
          </cell>
          <cell r="J36">
            <v>0</v>
          </cell>
        </row>
        <row r="37">
          <cell r="B37" t="str">
            <v xml:space="preserve">Plus: associates </v>
          </cell>
          <cell r="J37">
            <v>4444.3603808462703</v>
          </cell>
        </row>
        <row r="38">
          <cell r="B38" t="str">
            <v xml:space="preserve">Group equity value </v>
          </cell>
          <cell r="J38">
            <v>46630.780015125645</v>
          </cell>
          <cell r="AA38">
            <v>0.54285214744535826</v>
          </cell>
        </row>
        <row r="39">
          <cell r="B39" t="str">
            <v xml:space="preserve">Number of shares </v>
          </cell>
          <cell r="J39">
            <v>198.37517700000001</v>
          </cell>
        </row>
        <row r="40">
          <cell r="B40" t="str">
            <v xml:space="preserve">Fair value per share </v>
          </cell>
          <cell r="J40">
            <v>235.06358366160723</v>
          </cell>
        </row>
        <row r="41">
          <cell r="B41" t="str">
            <v>Plus: 2005 dividend per share not yet received</v>
          </cell>
          <cell r="J41">
            <v>12.5</v>
          </cell>
        </row>
        <row r="42">
          <cell r="B42" t="str">
            <v xml:space="preserve">Fair value per share </v>
          </cell>
          <cell r="D42">
            <v>7.4602973025000008</v>
          </cell>
          <cell r="J42">
            <v>247.56358366160723</v>
          </cell>
        </row>
        <row r="43">
          <cell r="B43" t="str">
            <v xml:space="preserve">Current price </v>
          </cell>
          <cell r="D43">
            <v>7.4599331399999995</v>
          </cell>
          <cell r="J43">
            <v>254</v>
          </cell>
        </row>
        <row r="44">
          <cell r="B44" t="str">
            <v xml:space="preserve">% upside/downside to current price </v>
          </cell>
          <cell r="J44">
            <v>-2.5340221804695973E-2</v>
          </cell>
        </row>
        <row r="46">
          <cell r="B46" t="str">
            <v>DKK/Euro</v>
          </cell>
          <cell r="D46">
            <v>7.4440857325000005</v>
          </cell>
        </row>
      </sheetData>
      <sheetData sheetId="51">
        <row r="4">
          <cell r="AR4" t="str">
            <v xml:space="preserve"> Telecom Italia (Neutral) TP: €2.8  (-3.6%)</v>
          </cell>
        </row>
        <row r="11">
          <cell r="E11" t="str">
            <v>Method</v>
          </cell>
          <cell r="F11" t="str">
            <v>Driver</v>
          </cell>
          <cell r="H11" t="str">
            <v>Multiple</v>
          </cell>
          <cell r="J11" t="str">
            <v>100% EV</v>
          </cell>
          <cell r="L11" t="str">
            <v>05E net debt</v>
          </cell>
          <cell r="N11" t="str">
            <v>100% equity</v>
          </cell>
          <cell r="P11" t="str">
            <v>Ownership</v>
          </cell>
          <cell r="R11" t="str">
            <v>TI equity</v>
          </cell>
          <cell r="T11" t="str">
            <v>Minority</v>
          </cell>
          <cell r="V11" t="str">
            <v>% of equity</v>
          </cell>
          <cell r="X11" t="str">
            <v>Per share</v>
          </cell>
        </row>
        <row r="13">
          <cell r="B13" t="str">
            <v>Domestic wireline</v>
          </cell>
          <cell r="E13" t="str">
            <v>DCF, 13.1x 05E FCF</v>
          </cell>
          <cell r="F13">
            <v>3573.4903624752337</v>
          </cell>
          <cell r="G13" t="str">
            <v>x</v>
          </cell>
          <cell r="H13">
            <v>13.131952218432735</v>
          </cell>
          <cell r="I13" t="str">
            <v>=</v>
          </cell>
          <cell r="J13">
            <v>46926.904693054646</v>
          </cell>
          <cell r="K13" t="str">
            <v>-</v>
          </cell>
          <cell r="L13">
            <v>41248.541250752947</v>
          </cell>
          <cell r="M13" t="str">
            <v>=</v>
          </cell>
          <cell r="N13">
            <v>5678.3634423016993</v>
          </cell>
          <cell r="O13" t="str">
            <v>x</v>
          </cell>
          <cell r="P13">
            <v>1</v>
          </cell>
          <cell r="Q13" t="str">
            <v>=</v>
          </cell>
          <cell r="R13">
            <v>5678.3634423016993</v>
          </cell>
          <cell r="T13">
            <v>0</v>
          </cell>
          <cell r="V13">
            <v>0.12133198247393331</v>
          </cell>
          <cell r="X13">
            <v>0.34429529393638519</v>
          </cell>
        </row>
        <row r="14">
          <cell r="B14" t="str">
            <v>TIM</v>
          </cell>
          <cell r="E14" t="str">
            <v>NSR value</v>
          </cell>
          <cell r="F14">
            <v>8434</v>
          </cell>
          <cell r="G14" t="str">
            <v>x</v>
          </cell>
          <cell r="H14">
            <v>4.9000000000000004</v>
          </cell>
          <cell r="I14" t="str">
            <v>=</v>
          </cell>
          <cell r="J14">
            <v>40787.600000000006</v>
          </cell>
          <cell r="K14" t="str">
            <v>-</v>
          </cell>
          <cell r="L14">
            <v>-539</v>
          </cell>
          <cell r="M14" t="str">
            <v>=</v>
          </cell>
          <cell r="N14">
            <v>41326.600000000006</v>
          </cell>
          <cell r="O14" t="str">
            <v>x</v>
          </cell>
          <cell r="P14">
            <v>1</v>
          </cell>
          <cell r="Q14" t="str">
            <v>=</v>
          </cell>
          <cell r="R14">
            <v>41326.600000000006</v>
          </cell>
          <cell r="T14">
            <v>0</v>
          </cell>
          <cell r="V14">
            <v>0.88304286223615758</v>
          </cell>
          <cell r="X14">
            <v>2.5057490664288897</v>
          </cell>
        </row>
        <row r="15">
          <cell r="B15" t="str">
            <v>Telecom Italia Media</v>
          </cell>
          <cell r="E15" t="str">
            <v>Mkt value</v>
          </cell>
          <cell r="F15">
            <v>3078.1849999999999</v>
          </cell>
          <cell r="G15" t="str">
            <v>x</v>
          </cell>
          <cell r="H15">
            <v>0.38100000000000001</v>
          </cell>
          <cell r="I15" t="str">
            <v>=</v>
          </cell>
          <cell r="J15">
            <v>1114.788485</v>
          </cell>
          <cell r="K15" t="str">
            <v>-</v>
          </cell>
          <cell r="L15">
            <v>-58</v>
          </cell>
          <cell r="M15" t="str">
            <v>=</v>
          </cell>
          <cell r="N15">
            <v>1172.788485</v>
          </cell>
          <cell r="O15" t="str">
            <v>x</v>
          </cell>
          <cell r="P15">
            <v>0.64</v>
          </cell>
          <cell r="Q15" t="str">
            <v>=</v>
          </cell>
          <cell r="R15">
            <v>750.58463040000004</v>
          </cell>
          <cell r="T15">
            <v>422.2038546</v>
          </cell>
          <cell r="V15">
            <v>2.5059465346580819E-2</v>
          </cell>
          <cell r="X15">
            <v>7.1109494887246993E-2</v>
          </cell>
        </row>
        <row r="16">
          <cell r="B16" t="str">
            <v>IT market</v>
          </cell>
          <cell r="E16" t="str">
            <v>DCF based</v>
          </cell>
          <cell r="J16">
            <v>850</v>
          </cell>
          <cell r="K16" t="str">
            <v>-</v>
          </cell>
          <cell r="M16" t="str">
            <v>=</v>
          </cell>
          <cell r="N16">
            <v>850</v>
          </cell>
          <cell r="O16" t="str">
            <v>x</v>
          </cell>
          <cell r="P16">
            <v>0.77</v>
          </cell>
          <cell r="Q16" t="str">
            <v>=</v>
          </cell>
          <cell r="R16">
            <v>654.5</v>
          </cell>
          <cell r="T16">
            <v>195.5</v>
          </cell>
          <cell r="V16">
            <v>1.8162307881624276E-2</v>
          </cell>
          <cell r="X16">
            <v>5.1537912784128281E-2</v>
          </cell>
        </row>
        <row r="17">
          <cell r="B17" t="str">
            <v>IT businesses</v>
          </cell>
          <cell r="E17" t="str">
            <v>DCF based</v>
          </cell>
          <cell r="F17">
            <v>9.5473020178251122</v>
          </cell>
          <cell r="G17" t="str">
            <v>x</v>
          </cell>
          <cell r="H17">
            <v>31.422489771444393</v>
          </cell>
          <cell r="J17">
            <v>100</v>
          </cell>
          <cell r="K17" t="str">
            <v>-</v>
          </cell>
          <cell r="M17" t="str">
            <v>=</v>
          </cell>
          <cell r="N17">
            <v>100</v>
          </cell>
          <cell r="O17" t="str">
            <v>x</v>
          </cell>
          <cell r="P17">
            <v>1</v>
          </cell>
          <cell r="Q17" t="str">
            <v>=</v>
          </cell>
          <cell r="R17">
            <v>100</v>
          </cell>
          <cell r="T17">
            <v>0</v>
          </cell>
          <cell r="V17">
            <v>2.1367421037205032E-3</v>
          </cell>
          <cell r="X17">
            <v>6.0632838569562681E-3</v>
          </cell>
        </row>
        <row r="18">
          <cell r="B18" t="str">
            <v>Entel Bolivia</v>
          </cell>
          <cell r="E18" t="str">
            <v>DCF, 13.5x 04E FCF</v>
          </cell>
          <cell r="F18">
            <v>26.022116984924594</v>
          </cell>
          <cell r="G18" t="str">
            <v>x</v>
          </cell>
          <cell r="H18">
            <v>13.450097092514252</v>
          </cell>
          <cell r="J18">
            <v>350</v>
          </cell>
          <cell r="K18" t="str">
            <v>-</v>
          </cell>
          <cell r="M18" t="str">
            <v>=</v>
          </cell>
          <cell r="N18">
            <v>350</v>
          </cell>
          <cell r="O18" t="str">
            <v>x</v>
          </cell>
          <cell r="P18">
            <v>0.5</v>
          </cell>
          <cell r="Q18" t="str">
            <v>=</v>
          </cell>
          <cell r="R18">
            <v>175</v>
          </cell>
          <cell r="T18">
            <v>175</v>
          </cell>
          <cell r="V18">
            <v>7.4785973630217611E-3</v>
          </cell>
          <cell r="X18">
            <v>2.122149349934694E-2</v>
          </cell>
        </row>
        <row r="19">
          <cell r="B19" t="str">
            <v>Olivetti businesses</v>
          </cell>
          <cell r="E19" t="str">
            <v>DCF, 8.8x 05E FCF</v>
          </cell>
          <cell r="F19">
            <v>-439.44003657790472</v>
          </cell>
          <cell r="G19" t="str">
            <v>x</v>
          </cell>
          <cell r="H19">
            <v>8.8000000000000007</v>
          </cell>
          <cell r="I19" t="str">
            <v>=</v>
          </cell>
          <cell r="J19">
            <v>275</v>
          </cell>
          <cell r="K19" t="str">
            <v>-</v>
          </cell>
          <cell r="M19" t="str">
            <v>=</v>
          </cell>
          <cell r="N19">
            <v>275</v>
          </cell>
          <cell r="O19" t="str">
            <v>x</v>
          </cell>
          <cell r="P19">
            <v>1</v>
          </cell>
          <cell r="Q19" t="str">
            <v>=</v>
          </cell>
          <cell r="R19">
            <v>275</v>
          </cell>
          <cell r="T19">
            <v>0</v>
          </cell>
          <cell r="V19">
            <v>5.8760407852313842E-3</v>
          </cell>
          <cell r="X19">
            <v>1.6674030606629739E-2</v>
          </cell>
        </row>
        <row r="20">
          <cell r="B20" t="str">
            <v>Other</v>
          </cell>
          <cell r="E20" t="str">
            <v>DCF, 8.8x 04E FCF</v>
          </cell>
          <cell r="F20">
            <v>-151.27676861706129</v>
          </cell>
          <cell r="G20" t="str">
            <v>x</v>
          </cell>
          <cell r="H20">
            <v>8.8000000000000007</v>
          </cell>
          <cell r="I20" t="str">
            <v>=</v>
          </cell>
          <cell r="J20">
            <v>78128.874544552309</v>
          </cell>
          <cell r="K20" t="str">
            <v>-</v>
          </cell>
          <cell r="L20">
            <v>38380.178110160123</v>
          </cell>
          <cell r="M20" t="str">
            <v>=</v>
          </cell>
          <cell r="N20">
            <v>39748.696434392179</v>
          </cell>
          <cell r="O20" t="str">
            <v>x</v>
          </cell>
          <cell r="P20">
            <v>1</v>
          </cell>
          <cell r="Q20" t="str">
            <v>=</v>
          </cell>
          <cell r="R20">
            <v>36595.688105192181</v>
          </cell>
          <cell r="T20">
            <v>0</v>
          </cell>
          <cell r="V20">
            <v>-2.8445070792059622E-2</v>
          </cell>
          <cell r="X20">
            <v>-8.0716591039773605E-2</v>
          </cell>
        </row>
        <row r="21">
          <cell r="B21" t="str">
            <v>Total</v>
          </cell>
          <cell r="J21">
            <v>89073.057614224512</v>
          </cell>
          <cell r="L21">
            <v>40651.541250752947</v>
          </cell>
          <cell r="N21">
            <v>48421.516363471565</v>
          </cell>
          <cell r="R21">
            <v>47628.812508871568</v>
          </cell>
          <cell r="T21">
            <v>792.7038546</v>
          </cell>
          <cell r="V21">
            <v>1.0346429273982101</v>
          </cell>
          <cell r="X21">
            <v>2.9359339849598096</v>
          </cell>
        </row>
        <row r="22">
          <cell r="B22" t="str">
            <v>Associates</v>
          </cell>
          <cell r="T22" t="str">
            <v>BREAKDOWN OF VALUE</v>
          </cell>
        </row>
        <row r="23">
          <cell r="B23" t="str">
            <v>Associates</v>
          </cell>
          <cell r="E23" t="str">
            <v>Mkt value</v>
          </cell>
          <cell r="F23">
            <v>132.97999999999999</v>
          </cell>
          <cell r="G23" t="str">
            <v>x</v>
          </cell>
          <cell r="H23">
            <v>27.4</v>
          </cell>
          <cell r="I23" t="str">
            <v>=</v>
          </cell>
          <cell r="N23">
            <v>1350.7814316247468</v>
          </cell>
          <cell r="O23" t="str">
            <v>x</v>
          </cell>
          <cell r="P23">
            <v>9.8799999999999999E-2</v>
          </cell>
          <cell r="Q23" t="str">
            <v>=</v>
          </cell>
          <cell r="R23">
            <v>133.45720544452499</v>
          </cell>
          <cell r="T23" t="str">
            <v>BREAKDOWN OF VALUE</v>
          </cell>
        </row>
        <row r="24">
          <cell r="B24" t="str">
            <v>Brasil Telecom Partic.</v>
          </cell>
          <cell r="E24" t="str">
            <v>Mkt value</v>
          </cell>
          <cell r="F24">
            <v>132.97999999999999</v>
          </cell>
          <cell r="G24" t="str">
            <v>x</v>
          </cell>
          <cell r="H24">
            <v>23.96</v>
          </cell>
          <cell r="I24" t="str">
            <v>=</v>
          </cell>
          <cell r="N24">
            <v>899.04469470965216</v>
          </cell>
          <cell r="O24" t="str">
            <v>x</v>
          </cell>
          <cell r="P24">
            <v>9.8799999999999999E-2</v>
          </cell>
          <cell r="Q24" t="str">
            <v>=</v>
          </cell>
          <cell r="R24">
            <v>88.825615837313634</v>
          </cell>
        </row>
        <row r="25">
          <cell r="B25" t="str">
            <v>Treasury stock</v>
          </cell>
          <cell r="E25" t="str">
            <v>Mkt value</v>
          </cell>
          <cell r="F25">
            <v>12484.061839</v>
          </cell>
          <cell r="G25" t="str">
            <v>x</v>
          </cell>
          <cell r="H25">
            <v>2.9049999999999998</v>
          </cell>
          <cell r="I25" t="str">
            <v>=</v>
          </cell>
          <cell r="N25">
            <v>36266.199642294996</v>
          </cell>
          <cell r="O25" t="str">
            <v>x</v>
          </cell>
          <cell r="P25">
            <v>7.9301113112661501E-3</v>
          </cell>
          <cell r="Q25" t="str">
            <v>=</v>
          </cell>
          <cell r="R25">
            <v>287.59499999999997</v>
          </cell>
        </row>
        <row r="26">
          <cell r="B26" t="str">
            <v>Other</v>
          </cell>
          <cell r="N26">
            <v>100</v>
          </cell>
          <cell r="O26" t="str">
            <v>x</v>
          </cell>
          <cell r="P26">
            <v>1</v>
          </cell>
          <cell r="Q26" t="str">
            <v>=</v>
          </cell>
          <cell r="R26">
            <v>1447.3190695735198</v>
          </cell>
        </row>
        <row r="27">
          <cell r="B27" t="str">
            <v>Total</v>
          </cell>
          <cell r="R27">
            <v>476.42061583731362</v>
          </cell>
          <cell r="AA27">
            <v>5824.6087742656446</v>
          </cell>
          <cell r="AB27">
            <v>5950.1708465440615</v>
          </cell>
          <cell r="AC27">
            <v>5998.8863109832801</v>
          </cell>
          <cell r="AE27">
            <v>3554.1777742656445</v>
          </cell>
          <cell r="AF27">
            <v>3975.1941565440616</v>
          </cell>
          <cell r="AG27">
            <v>4172.6493878832798</v>
          </cell>
        </row>
        <row r="28">
          <cell r="B28" t="str">
            <v xml:space="preserve">Total EV </v>
          </cell>
          <cell r="J28">
            <v>86401.573389422469</v>
          </cell>
          <cell r="AA28">
            <v>-85</v>
          </cell>
          <cell r="AB28">
            <v>-19.440000000000001</v>
          </cell>
          <cell r="AC28">
            <v>0</v>
          </cell>
          <cell r="AE28">
            <v>-99.4</v>
          </cell>
          <cell r="AF28">
            <v>-34.992000000000004</v>
          </cell>
          <cell r="AG28">
            <v>-16.485120000000002</v>
          </cell>
        </row>
        <row r="29">
          <cell r="B29" t="str">
            <v xml:space="preserve">Total EV </v>
          </cell>
          <cell r="J29">
            <v>89073.057614224512</v>
          </cell>
          <cell r="AA29">
            <v>97.465000000000003</v>
          </cell>
          <cell r="AB29">
            <v>98.43965</v>
          </cell>
          <cell r="AC29">
            <v>99.424046500000003</v>
          </cell>
          <cell r="AE29">
            <v>-38.986000000000018</v>
          </cell>
          <cell r="AF29">
            <v>-39.375860000000017</v>
          </cell>
          <cell r="AG29">
            <v>-39.769618600000001</v>
          </cell>
        </row>
        <row r="30">
          <cell r="B30" t="str">
            <v>Less: end 2005E (net debt)/cash</v>
          </cell>
          <cell r="J30">
            <v>-40651.541250752947</v>
          </cell>
          <cell r="AA30">
            <v>36.195648241206037</v>
          </cell>
          <cell r="AB30">
            <v>36.91956120603016</v>
          </cell>
          <cell r="AC30">
            <v>37.657952430150765</v>
          </cell>
          <cell r="AE30">
            <v>15.91217002970852</v>
          </cell>
          <cell r="AF30">
            <v>16.23041343030269</v>
          </cell>
          <cell r="AG30">
            <v>16.555021698908746</v>
          </cell>
        </row>
        <row r="31">
          <cell r="B31" t="str">
            <v>Plus: Non TIM tax credit &gt;2004</v>
          </cell>
          <cell r="J31">
            <v>1565.5641924503377</v>
          </cell>
          <cell r="AA31">
            <v>35</v>
          </cell>
          <cell r="AB31">
            <v>35</v>
          </cell>
          <cell r="AC31">
            <v>35</v>
          </cell>
          <cell r="AE31">
            <v>20</v>
          </cell>
          <cell r="AF31">
            <v>20</v>
          </cell>
          <cell r="AG31">
            <v>20</v>
          </cell>
        </row>
        <row r="32">
          <cell r="B32" t="str">
            <v>Less: Factoring H1 2003</v>
          </cell>
          <cell r="J32">
            <v>-1230.5709999999999</v>
          </cell>
          <cell r="AA32">
            <v>-702.20195271246382</v>
          </cell>
          <cell r="AB32">
            <v>-661.88634176671178</v>
          </cell>
          <cell r="AC32">
            <v>-666.57467210204595</v>
          </cell>
          <cell r="AE32">
            <v>-858.20195271246325</v>
          </cell>
          <cell r="AF32">
            <v>-818.0663417667115</v>
          </cell>
          <cell r="AG32">
            <v>-822.94007210204438</v>
          </cell>
        </row>
        <row r="33">
          <cell r="B33" t="str">
            <v>Less: Other parent Co. provisions (Restructuring etc)</v>
          </cell>
          <cell r="J33">
            <v>-1640.0065686553467</v>
          </cell>
          <cell r="AA33">
            <v>12985.344267068036</v>
          </cell>
          <cell r="AB33">
            <v>13064.303637463101</v>
          </cell>
          <cell r="AC33">
            <v>13186.631736111105</v>
          </cell>
          <cell r="AE33">
            <v>7749.7722574475392</v>
          </cell>
          <cell r="AF33">
            <v>8177.0283209928239</v>
          </cell>
          <cell r="AG33">
            <v>8500.5302823247221</v>
          </cell>
        </row>
        <row r="34">
          <cell r="B34" t="str">
            <v xml:space="preserve">Less: minorities </v>
          </cell>
          <cell r="J34">
            <v>-792.7038546</v>
          </cell>
        </row>
        <row r="35">
          <cell r="B35" t="str">
            <v xml:space="preserve">Plus: associates </v>
          </cell>
          <cell r="J35">
            <v>476.42061583731362</v>
          </cell>
        </row>
        <row r="36">
          <cell r="B36" t="str">
            <v xml:space="preserve">Group equity value </v>
          </cell>
          <cell r="J36">
            <v>46800.219748503871</v>
          </cell>
        </row>
        <row r="37">
          <cell r="B37" t="str">
            <v xml:space="preserve">Number of ord shares </v>
          </cell>
          <cell r="J37">
            <v>12484.061839</v>
          </cell>
        </row>
        <row r="38">
          <cell r="B38" t="str">
            <v xml:space="preserve">Number of saver shares </v>
          </cell>
          <cell r="J38">
            <v>5795.921069</v>
          </cell>
        </row>
        <row r="39">
          <cell r="B39" t="str">
            <v>Savers/ords</v>
          </cell>
          <cell r="J39">
            <v>0.8</v>
          </cell>
        </row>
        <row r="40">
          <cell r="B40" t="str">
            <v xml:space="preserve">Fair value per ord share </v>
          </cell>
          <cell r="J40">
            <v>2.7335301690310949</v>
          </cell>
        </row>
        <row r="41">
          <cell r="B41" t="str">
            <v xml:space="preserve">Fair value per saver share </v>
          </cell>
          <cell r="J41">
            <v>2.1868241352248758</v>
          </cell>
        </row>
        <row r="42">
          <cell r="B42" t="str">
            <v>2005 ord dividend</v>
          </cell>
          <cell r="J42">
            <v>0.1041</v>
          </cell>
        </row>
        <row r="43">
          <cell r="B43" t="str">
            <v>2005 savers dividend</v>
          </cell>
          <cell r="J43">
            <v>0.11509999999999999</v>
          </cell>
        </row>
        <row r="44">
          <cell r="B44" t="str">
            <v xml:space="preserve">Fair value per ord share </v>
          </cell>
          <cell r="J44">
            <v>2.8376301690310948</v>
          </cell>
        </row>
        <row r="45">
          <cell r="B45" t="str">
            <v xml:space="preserve">Fair value per saver share </v>
          </cell>
          <cell r="J45">
            <v>2.3019241352248758</v>
          </cell>
        </row>
        <row r="46">
          <cell r="B46" t="str">
            <v xml:space="preserve">Current ord price </v>
          </cell>
          <cell r="D46">
            <v>653.77919999999995</v>
          </cell>
          <cell r="J46">
            <v>2.9049999999999998</v>
          </cell>
        </row>
        <row r="47">
          <cell r="B47" t="str">
            <v xml:space="preserve">Current saver price </v>
          </cell>
          <cell r="D47">
            <v>2.6974400999999997</v>
          </cell>
          <cell r="J47">
            <v>2.3519999999999999</v>
          </cell>
        </row>
        <row r="48">
          <cell r="B48" t="str">
            <v xml:space="preserve">% upside/downside to current ord price </v>
          </cell>
          <cell r="D48">
            <v>632.58308750000003</v>
          </cell>
          <cell r="J48">
            <v>-2.3190991727678134E-2</v>
          </cell>
        </row>
        <row r="49">
          <cell r="B49" t="str">
            <v xml:space="preserve">% upside/downside to current saver price </v>
          </cell>
          <cell r="D49">
            <v>2.7250941950000001</v>
          </cell>
          <cell r="J49">
            <v>-2.1290758832960943E-2</v>
          </cell>
        </row>
        <row r="51">
          <cell r="B51" t="str">
            <v>EUR/CLP</v>
          </cell>
          <cell r="D51">
            <v>772.87275</v>
          </cell>
        </row>
        <row r="52">
          <cell r="B52" t="str">
            <v>EUR/Brl</v>
          </cell>
          <cell r="D52">
            <v>3.5439848750000005</v>
          </cell>
        </row>
      </sheetData>
      <sheetData sheetId="52">
        <row r="4">
          <cell r="AR4" t="str">
            <v xml:space="preserve"> Telefonica (Neutral) TP: €14.5  (+2.7%)</v>
          </cell>
        </row>
        <row r="11">
          <cell r="E11" t="str">
            <v>Method</v>
          </cell>
          <cell r="F11" t="str">
            <v>Driver</v>
          </cell>
          <cell r="H11" t="str">
            <v>Multiple</v>
          </cell>
          <cell r="J11" t="str">
            <v>100% EV</v>
          </cell>
          <cell r="L11" t="str">
            <v>05E net debt</v>
          </cell>
          <cell r="N11" t="str">
            <v>100% equity</v>
          </cell>
          <cell r="P11" t="str">
            <v>Ownership</v>
          </cell>
          <cell r="R11" t="str">
            <v>Tef equity</v>
          </cell>
          <cell r="T11" t="str">
            <v>Minority</v>
          </cell>
          <cell r="V11" t="str">
            <v>% of equity</v>
          </cell>
          <cell r="X11" t="str">
            <v>Per share</v>
          </cell>
        </row>
        <row r="13">
          <cell r="B13" t="str">
            <v>Domestic wireline</v>
          </cell>
          <cell r="E13" t="str">
            <v>DCF, 12.6x 05E FCF</v>
          </cell>
          <cell r="F13">
            <v>2452.9239602764883</v>
          </cell>
          <cell r="G13" t="str">
            <v>x</v>
          </cell>
          <cell r="H13">
            <v>12.595772598440316</v>
          </cell>
          <cell r="I13" t="str">
            <v>=</v>
          </cell>
          <cell r="J13">
            <v>30896.472404908294</v>
          </cell>
          <cell r="K13" t="str">
            <v>-</v>
          </cell>
          <cell r="L13">
            <v>14600.556351652764</v>
          </cell>
          <cell r="M13" t="str">
            <v>=</v>
          </cell>
          <cell r="N13">
            <v>16295.916053255531</v>
          </cell>
          <cell r="O13" t="str">
            <v>x</v>
          </cell>
          <cell r="P13">
            <v>1</v>
          </cell>
          <cell r="Q13" t="str">
            <v>=</v>
          </cell>
          <cell r="R13">
            <v>16295.916053255531</v>
          </cell>
          <cell r="T13">
            <v>0</v>
          </cell>
          <cell r="V13">
            <v>0.24591325438032424</v>
          </cell>
          <cell r="X13">
            <v>3.5830942505957979</v>
          </cell>
        </row>
        <row r="14">
          <cell r="B14" t="str">
            <v>TEM</v>
          </cell>
          <cell r="E14" t="str">
            <v>NSR value</v>
          </cell>
          <cell r="F14">
            <v>4330</v>
          </cell>
          <cell r="G14" t="str">
            <v>x</v>
          </cell>
          <cell r="H14">
            <v>8.1999999999999993</v>
          </cell>
          <cell r="I14" t="str">
            <v>=</v>
          </cell>
          <cell r="J14">
            <v>40720.442576580615</v>
          </cell>
          <cell r="K14" t="str">
            <v>-</v>
          </cell>
          <cell r="L14">
            <v>5214.4425765806136</v>
          </cell>
          <cell r="M14" t="str">
            <v>=</v>
          </cell>
          <cell r="N14">
            <v>35506</v>
          </cell>
          <cell r="O14" t="str">
            <v>x</v>
          </cell>
          <cell r="P14">
            <v>0.9244</v>
          </cell>
          <cell r="Q14" t="str">
            <v>=</v>
          </cell>
          <cell r="R14">
            <v>32821.746399999996</v>
          </cell>
          <cell r="T14">
            <v>2684.2536000000036</v>
          </cell>
          <cell r="V14">
            <v>0.53580271164218907</v>
          </cell>
          <cell r="X14">
            <v>7.8069464794670838</v>
          </cell>
        </row>
        <row r="15">
          <cell r="B15" t="str">
            <v>Brazil fixed</v>
          </cell>
          <cell r="E15" t="str">
            <v>DCF, 10.6x 04E FCF</v>
          </cell>
          <cell r="F15">
            <v>884.17874999999992</v>
          </cell>
          <cell r="G15" t="str">
            <v>x</v>
          </cell>
          <cell r="H15">
            <v>10.618551026844861</v>
          </cell>
          <cell r="I15" t="str">
            <v>=</v>
          </cell>
          <cell r="J15">
            <v>9388.697173726905</v>
          </cell>
          <cell r="K15" t="str">
            <v>-</v>
          </cell>
          <cell r="L15">
            <v>452.10748279276288</v>
          </cell>
          <cell r="M15" t="str">
            <v>=</v>
          </cell>
          <cell r="N15">
            <v>8936.5896909341427</v>
          </cell>
          <cell r="O15" t="str">
            <v>x</v>
          </cell>
          <cell r="P15">
            <v>0.87490000000000001</v>
          </cell>
          <cell r="Q15" t="str">
            <v>=</v>
          </cell>
          <cell r="R15">
            <v>7818.6223205982815</v>
          </cell>
          <cell r="T15">
            <v>1117.9673703358612</v>
          </cell>
          <cell r="V15">
            <v>0.13485746040770985</v>
          </cell>
          <cell r="X15">
            <v>1.9649489502078561</v>
          </cell>
        </row>
        <row r="16">
          <cell r="B16" t="str">
            <v>Peru fixed</v>
          </cell>
          <cell r="E16" t="str">
            <v>DCF, 8.5x 04E FCF</v>
          </cell>
          <cell r="F16">
            <v>311.08575090543263</v>
          </cell>
          <cell r="G16" t="str">
            <v>x</v>
          </cell>
          <cell r="H16">
            <v>8.4919212727000044</v>
          </cell>
          <cell r="I16" t="str">
            <v>=</v>
          </cell>
          <cell r="J16">
            <v>2641.7157057476979</v>
          </cell>
          <cell r="K16" t="str">
            <v>-</v>
          </cell>
          <cell r="L16">
            <v>85.674900244029118</v>
          </cell>
          <cell r="M16" t="str">
            <v>=</v>
          </cell>
          <cell r="N16">
            <v>2556.0408055036687</v>
          </cell>
          <cell r="O16" t="str">
            <v>x</v>
          </cell>
          <cell r="P16">
            <v>0.97150000000000003</v>
          </cell>
          <cell r="Q16" t="str">
            <v>=</v>
          </cell>
          <cell r="R16">
            <v>2483.1936425468143</v>
          </cell>
          <cell r="T16">
            <v>72.84716295685439</v>
          </cell>
          <cell r="V16">
            <v>3.857189192409595E-2</v>
          </cell>
          <cell r="X16">
            <v>0.56201413191857919</v>
          </cell>
        </row>
        <row r="17">
          <cell r="B17" t="str">
            <v>Argentina fixed</v>
          </cell>
          <cell r="C17" t="str">
            <v>Total fixed</v>
          </cell>
          <cell r="E17" t="str">
            <v>DCF, 10.9x 04E FCF</v>
          </cell>
          <cell r="F17">
            <v>253.90787500000002</v>
          </cell>
          <cell r="G17" t="str">
            <v>x</v>
          </cell>
          <cell r="H17">
            <v>10.939699284147933</v>
          </cell>
          <cell r="I17" t="str">
            <v>=</v>
          </cell>
          <cell r="J17">
            <v>46998.832136084573</v>
          </cell>
          <cell r="K17" t="str">
            <v>-</v>
          </cell>
          <cell r="L17">
            <v>781.71519692076936</v>
          </cell>
          <cell r="M17" t="str">
            <v>=</v>
          </cell>
          <cell r="N17">
            <v>1995.9606014562537</v>
          </cell>
          <cell r="O17" t="str">
            <v>x</v>
          </cell>
          <cell r="P17">
            <v>0.98029999999999995</v>
          </cell>
          <cell r="Q17" t="str">
            <v>=</v>
          </cell>
          <cell r="R17">
            <v>1956.6401776075654</v>
          </cell>
          <cell r="T17">
            <v>39.320423848688279</v>
          </cell>
          <cell r="V17">
            <v>3.0120010775396701E-2</v>
          </cell>
          <cell r="X17">
            <v>0.43886547599543463</v>
          </cell>
        </row>
        <row r="18">
          <cell r="B18" t="str">
            <v>Other media</v>
          </cell>
          <cell r="E18" t="str">
            <v>DCF, 12.1x 04E FCF</v>
          </cell>
          <cell r="F18">
            <v>102.895</v>
          </cell>
          <cell r="G18" t="str">
            <v>x</v>
          </cell>
          <cell r="H18">
            <v>12.148306526070266</v>
          </cell>
          <cell r="I18" t="str">
            <v>=</v>
          </cell>
          <cell r="J18">
            <v>1250</v>
          </cell>
          <cell r="K18" t="str">
            <v>-</v>
          </cell>
          <cell r="L18">
            <v>0</v>
          </cell>
          <cell r="M18" t="str">
            <v>=</v>
          </cell>
          <cell r="N18">
            <v>1250</v>
          </cell>
          <cell r="O18" t="str">
            <v>x</v>
          </cell>
          <cell r="P18">
            <v>1</v>
          </cell>
          <cell r="Q18" t="str">
            <v>=</v>
          </cell>
          <cell r="R18">
            <v>1250</v>
          </cell>
          <cell r="T18">
            <v>0</v>
          </cell>
          <cell r="V18">
            <v>1.8863104533113736E-2</v>
          </cell>
          <cell r="X18">
            <v>0.27484602882143455</v>
          </cell>
        </row>
        <row r="19">
          <cell r="B19" t="str">
            <v>Atento</v>
          </cell>
          <cell r="E19" t="str">
            <v>DCF, 5.7x 04E FCF</v>
          </cell>
          <cell r="F19">
            <v>44.2</v>
          </cell>
          <cell r="G19" t="str">
            <v>x</v>
          </cell>
          <cell r="H19">
            <v>5.6561085972850673</v>
          </cell>
          <cell r="I19" t="str">
            <v>=</v>
          </cell>
          <cell r="J19">
            <v>250</v>
          </cell>
          <cell r="K19" t="str">
            <v>-</v>
          </cell>
          <cell r="L19">
            <v>0</v>
          </cell>
          <cell r="M19" t="str">
            <v>=</v>
          </cell>
          <cell r="N19">
            <v>250</v>
          </cell>
          <cell r="O19" t="str">
            <v>x</v>
          </cell>
          <cell r="P19">
            <v>0.91349999999999998</v>
          </cell>
          <cell r="Q19" t="str">
            <v>=</v>
          </cell>
          <cell r="R19">
            <v>228.375</v>
          </cell>
          <cell r="T19">
            <v>21.625</v>
          </cell>
          <cell r="V19">
            <v>3.7726209066227469E-3</v>
          </cell>
          <cell r="X19">
            <v>5.4969205764286905E-2</v>
          </cell>
        </row>
        <row r="20">
          <cell r="B20" t="str">
            <v>Terra</v>
          </cell>
          <cell r="E20" t="str">
            <v>Mkt value</v>
          </cell>
          <cell r="F20">
            <v>608</v>
          </cell>
          <cell r="G20" t="str">
            <v>x</v>
          </cell>
          <cell r="H20">
            <v>3.57</v>
          </cell>
          <cell r="I20" t="str">
            <v>=</v>
          </cell>
          <cell r="J20">
            <v>532.54739318132533</v>
          </cell>
          <cell r="K20" t="str">
            <v>-</v>
          </cell>
          <cell r="L20">
            <v>-1638.0126068186746</v>
          </cell>
          <cell r="M20" t="str">
            <v>=</v>
          </cell>
          <cell r="N20">
            <v>2170.56</v>
          </cell>
          <cell r="O20" t="str">
            <v>x</v>
          </cell>
          <cell r="P20">
            <v>0.76800000000000002</v>
          </cell>
          <cell r="Q20" t="str">
            <v>=</v>
          </cell>
          <cell r="R20">
            <v>1666.99008</v>
          </cell>
          <cell r="T20">
            <v>503.56991999999991</v>
          </cell>
          <cell r="V20">
            <v>3.275480014031628E-2</v>
          </cell>
          <cell r="X20">
            <v>0.47725583705492236</v>
          </cell>
        </row>
        <row r="21">
          <cell r="B21" t="str">
            <v>TPI</v>
          </cell>
          <cell r="E21" t="str">
            <v>Mkt value</v>
          </cell>
          <cell r="F21">
            <v>368.23</v>
          </cell>
          <cell r="G21" t="str">
            <v>x</v>
          </cell>
          <cell r="H21">
            <v>7.2</v>
          </cell>
          <cell r="I21" t="str">
            <v>=</v>
          </cell>
          <cell r="J21">
            <v>1787.3771207478746</v>
          </cell>
          <cell r="K21" t="str">
            <v>-</v>
          </cell>
          <cell r="L21">
            <v>-219.40182184002265</v>
          </cell>
          <cell r="M21" t="str">
            <v>=</v>
          </cell>
          <cell r="N21">
            <v>2006.7789425878973</v>
          </cell>
          <cell r="O21" t="str">
            <v>x</v>
          </cell>
          <cell r="P21">
            <v>0.59</v>
          </cell>
          <cell r="Q21" t="str">
            <v>=</v>
          </cell>
          <cell r="R21">
            <v>1183.9995761268594</v>
          </cell>
          <cell r="T21">
            <v>822.77936646103785</v>
          </cell>
          <cell r="V21">
            <v>3.0283264775109564E-2</v>
          </cell>
          <cell r="X21">
            <v>0.44124417847420888</v>
          </cell>
        </row>
        <row r="22">
          <cell r="B22" t="str">
            <v>CTC</v>
          </cell>
          <cell r="E22" t="str">
            <v>Mkt value</v>
          </cell>
          <cell r="F22">
            <v>211.88240534521157</v>
          </cell>
          <cell r="G22" t="str">
            <v>x</v>
          </cell>
          <cell r="H22">
            <v>11.576000000000001</v>
          </cell>
          <cell r="I22" t="str">
            <v>=</v>
          </cell>
          <cell r="J22">
            <v>2654.020583773945</v>
          </cell>
          <cell r="K22" t="str">
            <v>-</v>
          </cell>
          <cell r="L22">
            <v>797.49352456328029</v>
          </cell>
          <cell r="M22" t="str">
            <v>=</v>
          </cell>
          <cell r="N22">
            <v>1856.5270592106647</v>
          </cell>
          <cell r="O22" t="str">
            <v>x</v>
          </cell>
          <cell r="P22">
            <v>0.43640000000000001</v>
          </cell>
          <cell r="Q22" t="str">
            <v>=</v>
          </cell>
          <cell r="R22">
            <v>810.18840863953403</v>
          </cell>
          <cell r="T22">
            <v>1046.3386505711305</v>
          </cell>
          <cell r="V22">
            <v>2.8015891189156001E-2</v>
          </cell>
          <cell r="X22">
            <v>0.40820727169886994</v>
          </cell>
        </row>
        <row r="23">
          <cell r="B23" t="str">
            <v>Other</v>
          </cell>
          <cell r="C23" t="str">
            <v>02 Group</v>
          </cell>
          <cell r="J23">
            <v>-2000</v>
          </cell>
          <cell r="K23" t="str">
            <v>-</v>
          </cell>
          <cell r="L23">
            <v>0</v>
          </cell>
          <cell r="M23" t="str">
            <v>=</v>
          </cell>
          <cell r="N23">
            <v>-2000</v>
          </cell>
          <cell r="O23" t="str">
            <v>x</v>
          </cell>
          <cell r="P23">
            <v>1</v>
          </cell>
          <cell r="Q23" t="str">
            <v>=</v>
          </cell>
          <cell r="R23">
            <v>-2000</v>
          </cell>
          <cell r="T23">
            <v>0</v>
          </cell>
          <cell r="V23">
            <v>-3.0180967252981975E-2</v>
          </cell>
          <cell r="X23">
            <v>-0.43975364611429524</v>
          </cell>
        </row>
        <row r="24">
          <cell r="B24" t="str">
            <v>Total</v>
          </cell>
          <cell r="E24" t="str">
            <v>NSR value</v>
          </cell>
          <cell r="F24">
            <v>4330</v>
          </cell>
          <cell r="G24" t="str">
            <v>x</v>
          </cell>
          <cell r="H24">
            <v>6.9300536996046302</v>
          </cell>
          <cell r="I24" t="str">
            <v>=</v>
          </cell>
          <cell r="J24">
            <v>90898.94875704369</v>
          </cell>
          <cell r="K24" t="str">
            <v>-</v>
          </cell>
          <cell r="L24">
            <v>20074.57560409552</v>
          </cell>
          <cell r="M24" t="str">
            <v>=</v>
          </cell>
          <cell r="N24">
            <v>70824.373152948159</v>
          </cell>
          <cell r="O24" t="str">
            <v>x</v>
          </cell>
          <cell r="P24">
            <v>0.9244</v>
          </cell>
          <cell r="Q24" t="str">
            <v>=</v>
          </cell>
          <cell r="R24">
            <v>64515.67165877459</v>
          </cell>
          <cell r="T24">
            <v>6308.7014941735761</v>
          </cell>
          <cell r="V24">
            <v>1.0687740434210522</v>
          </cell>
          <cell r="X24">
            <v>15.57263816388418</v>
          </cell>
        </row>
        <row r="25">
          <cell r="C25" t="str">
            <v>Total mobile</v>
          </cell>
          <cell r="J25">
            <v>55897.441294631266</v>
          </cell>
        </row>
        <row r="26">
          <cell r="B26" t="str">
            <v>Associates</v>
          </cell>
          <cell r="E26" t="str">
            <v>DCF, 9.5x 05E FCF</v>
          </cell>
          <cell r="F26">
            <v>105.59575</v>
          </cell>
          <cell r="G26" t="str">
            <v>x</v>
          </cell>
          <cell r="H26">
            <v>9.4700781044691666</v>
          </cell>
          <cell r="I26" t="str">
            <v>=</v>
          </cell>
          <cell r="J26">
            <v>1000</v>
          </cell>
          <cell r="K26" t="str">
            <v>-</v>
          </cell>
          <cell r="L26">
            <v>0</v>
          </cell>
          <cell r="M26" t="str">
            <v>=</v>
          </cell>
          <cell r="N26">
            <v>1000</v>
          </cell>
          <cell r="O26" t="str">
            <v>x</v>
          </cell>
          <cell r="P26">
            <v>1</v>
          </cell>
          <cell r="Q26" t="str">
            <v>=</v>
          </cell>
          <cell r="R26">
            <v>1000</v>
          </cell>
          <cell r="T26">
            <v>0</v>
          </cell>
          <cell r="V26">
            <v>1.5212318109807006E-2</v>
          </cell>
          <cell r="X26">
            <v>0.20566821603389412</v>
          </cell>
        </row>
        <row r="27">
          <cell r="B27" t="str">
            <v>Portugal Telecom</v>
          </cell>
          <cell r="E27" t="str">
            <v>Mkt value</v>
          </cell>
          <cell r="F27">
            <v>1166.22</v>
          </cell>
          <cell r="G27" t="str">
            <v>x</v>
          </cell>
          <cell r="H27">
            <v>9.17</v>
          </cell>
          <cell r="I27" t="str">
            <v>=</v>
          </cell>
          <cell r="J27">
            <v>800</v>
          </cell>
          <cell r="K27" t="str">
            <v>-</v>
          </cell>
          <cell r="L27">
            <v>0</v>
          </cell>
          <cell r="M27" t="str">
            <v>=</v>
          </cell>
          <cell r="N27">
            <v>10694.2374</v>
          </cell>
          <cell r="O27" t="str">
            <v>x</v>
          </cell>
          <cell r="P27">
            <v>8.2000000000000003E-2</v>
          </cell>
          <cell r="Q27" t="str">
            <v>=</v>
          </cell>
          <cell r="R27">
            <v>876.92746680000005</v>
          </cell>
          <cell r="T27" t="str">
            <v>BREAKDOWN OF VALUE</v>
          </cell>
          <cell r="V27">
            <v>1.2169854487845605E-2</v>
          </cell>
          <cell r="X27">
            <v>0.16453457282711528</v>
          </cell>
        </row>
        <row r="28">
          <cell r="B28" t="str">
            <v>CANTV</v>
          </cell>
          <cell r="E28" t="str">
            <v>Mkt value</v>
          </cell>
          <cell r="F28">
            <v>803.46820809248561</v>
          </cell>
          <cell r="G28" t="str">
            <v>x</v>
          </cell>
          <cell r="H28">
            <v>8160</v>
          </cell>
          <cell r="I28" t="str">
            <v>=</v>
          </cell>
          <cell r="J28">
            <v>5793.333333333333</v>
          </cell>
          <cell r="K28" t="str">
            <v>-</v>
          </cell>
          <cell r="L28">
            <v>-620</v>
          </cell>
          <cell r="M28" t="str">
            <v>=</v>
          </cell>
          <cell r="N28">
            <v>2311.3977295558716</v>
          </cell>
          <cell r="O28" t="str">
            <v>x</v>
          </cell>
          <cell r="P28">
            <v>6.9199999999999998E-2</v>
          </cell>
          <cell r="Q28" t="str">
            <v>=</v>
          </cell>
          <cell r="R28">
            <v>159.94872288526631</v>
          </cell>
          <cell r="T28">
            <v>0</v>
          </cell>
          <cell r="V28">
            <v>9.7561666810895606E-2</v>
          </cell>
          <cell r="X28">
            <v>1.3190188254973743</v>
          </cell>
        </row>
        <row r="29">
          <cell r="B29" t="str">
            <v>BBVA</v>
          </cell>
          <cell r="E29" t="str">
            <v>Mkt value</v>
          </cell>
          <cell r="F29">
            <v>3390</v>
          </cell>
          <cell r="G29" t="str">
            <v>x</v>
          </cell>
          <cell r="H29">
            <v>13.15</v>
          </cell>
          <cell r="I29" t="str">
            <v>=</v>
          </cell>
          <cell r="J29">
            <v>1868.660291729148</v>
          </cell>
          <cell r="K29" t="str">
            <v>-</v>
          </cell>
          <cell r="L29">
            <v>-255.65277181514512</v>
          </cell>
          <cell r="M29" t="str">
            <v>=</v>
          </cell>
          <cell r="N29">
            <v>44578.5</v>
          </cell>
          <cell r="O29" t="str">
            <v>x</v>
          </cell>
          <cell r="P29">
            <v>1.1299999999999999E-2</v>
          </cell>
          <cell r="Q29" t="str">
            <v>=</v>
          </cell>
          <cell r="R29">
            <v>503.73704999999995</v>
          </cell>
          <cell r="T29">
            <v>870.96835605316028</v>
          </cell>
          <cell r="V29">
            <v>3.2315726087454449E-2</v>
          </cell>
          <cell r="X29">
            <v>0.43690367807665109</v>
          </cell>
          <cell r="AA29">
            <v>8.8585610006880877</v>
          </cell>
          <cell r="AB29">
            <v>8.6005446608622194</v>
          </cell>
          <cell r="AC29">
            <v>8.3500433600604076</v>
          </cell>
          <cell r="AE29">
            <v>9.8639191092309506</v>
          </cell>
          <cell r="AF29">
            <v>9.5450689440118381</v>
          </cell>
          <cell r="AG29">
            <v>9.2375093630162812</v>
          </cell>
        </row>
        <row r="30">
          <cell r="B30" t="str">
            <v>infonet</v>
          </cell>
          <cell r="E30" t="str">
            <v>Mkt value</v>
          </cell>
          <cell r="F30">
            <v>470</v>
          </cell>
          <cell r="G30" t="str">
            <v>x</v>
          </cell>
          <cell r="H30">
            <v>2.0499999999999998</v>
          </cell>
          <cell r="I30" t="str">
            <v>=</v>
          </cell>
          <cell r="J30">
            <v>2536.0180412216596</v>
          </cell>
          <cell r="K30" t="str">
            <v>-</v>
          </cell>
          <cell r="L30">
            <v>736</v>
          </cell>
          <cell r="M30" t="str">
            <v>=</v>
          </cell>
          <cell r="N30">
            <v>729.28887711463494</v>
          </cell>
          <cell r="O30" t="str">
            <v>x</v>
          </cell>
          <cell r="P30">
            <v>0.14530000000000001</v>
          </cell>
          <cell r="Q30" t="str">
            <v>=</v>
          </cell>
          <cell r="R30">
            <v>105.96567384475647</v>
          </cell>
          <cell r="T30">
            <v>1014.4901680325273</v>
          </cell>
          <cell r="V30">
            <v>2.7382447046455587E-2</v>
          </cell>
          <cell r="X30">
            <v>0.37020649936688321</v>
          </cell>
          <cell r="AA30">
            <v>6.8284159388484165</v>
          </cell>
          <cell r="AB30">
            <v>7.4102909103223125</v>
          </cell>
          <cell r="AC30">
            <v>7.6287960299932704</v>
          </cell>
          <cell r="AE30">
            <v>8.8367735679214796</v>
          </cell>
          <cell r="AF30">
            <v>9.7260068197980356</v>
          </cell>
          <cell r="AG30">
            <v>10.08969797515239</v>
          </cell>
        </row>
        <row r="31">
          <cell r="B31" t="str">
            <v>Treasury stock</v>
          </cell>
          <cell r="E31" t="str">
            <v>Mkt value</v>
          </cell>
          <cell r="F31">
            <v>4751.2816666666658</v>
          </cell>
          <cell r="G31" t="str">
            <v>x</v>
          </cell>
          <cell r="H31">
            <v>14.12</v>
          </cell>
          <cell r="I31" t="str">
            <v>=</v>
          </cell>
          <cell r="J31">
            <v>-2000</v>
          </cell>
          <cell r="K31" t="str">
            <v>-</v>
          </cell>
          <cell r="L31">
            <v>0</v>
          </cell>
          <cell r="M31" t="str">
            <v>=</v>
          </cell>
          <cell r="N31">
            <v>-2000</v>
          </cell>
          <cell r="O31" t="str">
            <v>x</v>
          </cell>
          <cell r="P31">
            <v>1</v>
          </cell>
          <cell r="Q31" t="str">
            <v>=</v>
          </cell>
          <cell r="R31">
            <v>-2000</v>
          </cell>
          <cell r="T31">
            <v>0</v>
          </cell>
          <cell r="V31">
            <v>-6.0849272439228025E-3</v>
          </cell>
          <cell r="X31">
            <v>-8.2267286413557641E-2</v>
          </cell>
          <cell r="AA31">
            <v>6.8404650158173643</v>
          </cell>
          <cell r="AB31">
            <v>-0.11711484901246752</v>
          </cell>
          <cell r="AC31">
            <v>-0.10651781542233961</v>
          </cell>
          <cell r="AE31">
            <v>7.288577120394101</v>
          </cell>
          <cell r="AF31">
            <v>-0.26112120761022523</v>
          </cell>
          <cell r="AG31">
            <v>-0.20597622478077196</v>
          </cell>
        </row>
        <row r="32">
          <cell r="B32" t="str">
            <v>Sogecable</v>
          </cell>
          <cell r="E32" t="str">
            <v>Mkt value</v>
          </cell>
          <cell r="F32">
            <v>126</v>
          </cell>
          <cell r="G32" t="str">
            <v>x</v>
          </cell>
          <cell r="H32">
            <v>30.71</v>
          </cell>
          <cell r="I32" t="str">
            <v>=</v>
          </cell>
          <cell r="J32">
            <v>117826.16245585265</v>
          </cell>
          <cell r="L32">
            <v>48834.194781121354</v>
          </cell>
          <cell r="N32">
            <v>3869.46</v>
          </cell>
          <cell r="O32" t="str">
            <v>x</v>
          </cell>
          <cell r="P32">
            <v>0.23830000000000001</v>
          </cell>
          <cell r="Q32" t="str">
            <v>=</v>
          </cell>
          <cell r="R32">
            <v>59403.970255876375</v>
          </cell>
          <cell r="T32">
            <v>5687.421140564069</v>
          </cell>
          <cell r="V32">
            <v>1.0587300294039648</v>
          </cell>
          <cell r="X32">
            <v>14.313868197947393</v>
          </cell>
          <cell r="AA32">
            <v>7.901213873183516</v>
          </cell>
          <cell r="AB32">
            <v>5.8973879987239455</v>
          </cell>
          <cell r="AC32">
            <v>5.6102069612611922</v>
          </cell>
          <cell r="AE32">
            <v>11.533343680923844</v>
          </cell>
          <cell r="AF32">
            <v>8.8939029013277988</v>
          </cell>
          <cell r="AG32">
            <v>8.1523357625222967</v>
          </cell>
        </row>
        <row r="33">
          <cell r="B33" t="str">
            <v>Total</v>
          </cell>
          <cell r="R33">
            <v>3140.9830715300227</v>
          </cell>
        </row>
        <row r="34">
          <cell r="B34" t="str">
            <v xml:space="preserve">Total EV </v>
          </cell>
          <cell r="J34">
            <v>101270.26047406319</v>
          </cell>
        </row>
        <row r="35">
          <cell r="B35" t="str">
            <v xml:space="preserve">Total EV </v>
          </cell>
          <cell r="E35" t="str">
            <v>Mkt value</v>
          </cell>
          <cell r="F35">
            <v>1098.48</v>
          </cell>
          <cell r="G35" t="str">
            <v>x</v>
          </cell>
          <cell r="H35">
            <v>7.76</v>
          </cell>
          <cell r="I35" t="str">
            <v>=</v>
          </cell>
          <cell r="J35">
            <v>90898.94875704369</v>
          </cell>
          <cell r="N35">
            <v>8524.2047999999995</v>
          </cell>
          <cell r="O35" t="str">
            <v>x</v>
          </cell>
          <cell r="P35">
            <v>9.69E-2</v>
          </cell>
          <cell r="Q35" t="str">
            <v>=</v>
          </cell>
          <cell r="R35">
            <v>825.99544512</v>
          </cell>
          <cell r="T35" t="str">
            <v>BREAKDOWN OF VALUE</v>
          </cell>
          <cell r="AA35" t="str">
            <v>2005E</v>
          </cell>
          <cell r="AB35" t="str">
            <v>2006E</v>
          </cell>
          <cell r="AC35" t="str">
            <v>2007E</v>
          </cell>
          <cell r="AE35" t="str">
            <v>2005E</v>
          </cell>
          <cell r="AF35" t="str">
            <v>2006E</v>
          </cell>
          <cell r="AG35" t="str">
            <v>2007E</v>
          </cell>
        </row>
        <row r="36">
          <cell r="B36" t="str">
            <v>Less: end 2005E (net debt)/cash</v>
          </cell>
          <cell r="E36" t="str">
            <v>Mkt value</v>
          </cell>
          <cell r="F36">
            <v>3390</v>
          </cell>
          <cell r="G36" t="str">
            <v>x</v>
          </cell>
          <cell r="H36">
            <v>14.9</v>
          </cell>
          <cell r="I36" t="str">
            <v>=</v>
          </cell>
          <cell r="J36">
            <v>-20074.57560409552</v>
          </cell>
          <cell r="N36">
            <v>50511</v>
          </cell>
          <cell r="O36" t="str">
            <v>x</v>
          </cell>
          <cell r="P36">
            <v>1.1299999999999999E-2</v>
          </cell>
          <cell r="Q36" t="str">
            <v>=</v>
          </cell>
          <cell r="R36">
            <v>570.77429999999993</v>
          </cell>
          <cell r="AA36" t="str">
            <v>EBITDA</v>
          </cell>
          <cell r="AB36" t="str">
            <v>EBITDA</v>
          </cell>
          <cell r="AC36" t="str">
            <v>EBITDA</v>
          </cell>
          <cell r="AE36" t="str">
            <v>OpFCF</v>
          </cell>
          <cell r="AF36" t="str">
            <v>OpFCF</v>
          </cell>
          <cell r="AG36" t="str">
            <v>OpFCF</v>
          </cell>
        </row>
        <row r="37">
          <cell r="B37" t="str">
            <v>Plus: NPV tax credit at 2004 (ex TEM)</v>
          </cell>
          <cell r="E37" t="str">
            <v>Mkt value</v>
          </cell>
          <cell r="F37">
            <v>6593</v>
          </cell>
          <cell r="G37" t="str">
            <v>x</v>
          </cell>
          <cell r="H37">
            <v>13</v>
          </cell>
          <cell r="I37" t="str">
            <v>=</v>
          </cell>
          <cell r="J37">
            <v>3561.4882474970068</v>
          </cell>
          <cell r="N37">
            <v>9447.4763640399069</v>
          </cell>
          <cell r="O37" t="str">
            <v>x</v>
          </cell>
          <cell r="P37">
            <v>0.05</v>
          </cell>
          <cell r="Q37" t="str">
            <v>=</v>
          </cell>
          <cell r="R37">
            <v>472.37381820199539</v>
          </cell>
          <cell r="AA37">
            <v>4848.5319218137283</v>
          </cell>
          <cell r="AB37">
            <v>4869.7878186742046</v>
          </cell>
          <cell r="AC37">
            <v>4952.7175461621218</v>
          </cell>
          <cell r="AE37">
            <v>3428.3862682644431</v>
          </cell>
          <cell r="AF37">
            <v>3444.3084731647177</v>
          </cell>
          <cell r="AG37">
            <v>3583.0847584550952</v>
          </cell>
        </row>
        <row r="38">
          <cell r="B38" t="str">
            <v>Less: Contingent liabilities, end 2005</v>
          </cell>
          <cell r="E38" t="str">
            <v>Mkt value</v>
          </cell>
          <cell r="F38">
            <v>4751.2816666666658</v>
          </cell>
          <cell r="G38" t="str">
            <v>x</v>
          </cell>
          <cell r="H38">
            <v>12.36</v>
          </cell>
          <cell r="I38" t="str">
            <v>=</v>
          </cell>
          <cell r="J38">
            <v>-4951.2144451386048</v>
          </cell>
          <cell r="N38">
            <v>58725.84139999999</v>
          </cell>
          <cell r="O38" t="str">
            <v>x</v>
          </cell>
          <cell r="P38">
            <v>8.2835171813952207E-3</v>
          </cell>
          <cell r="Q38" t="str">
            <v>=</v>
          </cell>
          <cell r="R38">
            <v>486.45651622879069</v>
          </cell>
          <cell r="AA38">
            <v>5645.0815422564538</v>
          </cell>
          <cell r="AB38">
            <v>6421.7128919312618</v>
          </cell>
          <cell r="AC38">
            <v>6981.2366660381085</v>
          </cell>
          <cell r="AE38">
            <v>3376.7867380779703</v>
          </cell>
          <cell r="AF38">
            <v>4250.6657245986025</v>
          </cell>
          <cell r="AG38">
            <v>4888.0449346314999</v>
          </cell>
        </row>
        <row r="39">
          <cell r="B39" t="str">
            <v xml:space="preserve">Less: minorities </v>
          </cell>
          <cell r="E39" t="str">
            <v>Mkt value</v>
          </cell>
          <cell r="F39">
            <v>126</v>
          </cell>
          <cell r="G39" t="str">
            <v>x</v>
          </cell>
          <cell r="H39">
            <v>33.97</v>
          </cell>
          <cell r="I39" t="str">
            <v>=</v>
          </cell>
          <cell r="J39">
            <v>-6308.7014941735761</v>
          </cell>
          <cell r="N39">
            <v>4280.22</v>
          </cell>
          <cell r="O39" t="str">
            <v>x</v>
          </cell>
          <cell r="P39">
            <v>0.23830000000000001</v>
          </cell>
          <cell r="Q39" t="str">
            <v>=</v>
          </cell>
          <cell r="R39">
            <v>1019.9764260000001</v>
          </cell>
          <cell r="AA39">
            <v>2202.4000369739392</v>
          </cell>
          <cell r="AB39">
            <v>2520.1551445258665</v>
          </cell>
          <cell r="AC39">
            <v>2588.9298139944344</v>
          </cell>
          <cell r="AE39">
            <v>1687.9213374222561</v>
          </cell>
          <cell r="AF39">
            <v>1910.0383838273087</v>
          </cell>
          <cell r="AG39">
            <v>1960.7491908604543</v>
          </cell>
        </row>
        <row r="40">
          <cell r="B40" t="str">
            <v xml:space="preserve">Plus: associates </v>
          </cell>
          <cell r="J40">
            <v>3140.9830715300227</v>
          </cell>
          <cell r="R40">
            <v>3375.5765055507864</v>
          </cell>
          <cell r="AA40">
            <v>486.0300270263777</v>
          </cell>
          <cell r="AB40">
            <v>487.17592164948286</v>
          </cell>
          <cell r="AC40">
            <v>491.17967449115861</v>
          </cell>
          <cell r="AE40">
            <v>346.70819251006083</v>
          </cell>
          <cell r="AF40">
            <v>347.20316087868116</v>
          </cell>
          <cell r="AG40">
            <v>346.75348923019453</v>
          </cell>
        </row>
        <row r="41">
          <cell r="B41" t="str">
            <v xml:space="preserve">Group equity value </v>
          </cell>
          <cell r="J41">
            <v>66266.928532663034</v>
          </cell>
        </row>
        <row r="42">
          <cell r="B42" t="str">
            <v xml:space="preserve">Number of shares </v>
          </cell>
          <cell r="J42">
            <v>4709.6149999999998</v>
          </cell>
        </row>
        <row r="43">
          <cell r="B43" t="str">
            <v xml:space="preserve">Fair value per share </v>
          </cell>
          <cell r="J43">
            <v>14.070561719516997</v>
          </cell>
        </row>
        <row r="44">
          <cell r="B44" t="str">
            <v>Plus: 2005 Dividend per share not yet received</v>
          </cell>
          <cell r="J44">
            <v>0.5</v>
          </cell>
        </row>
        <row r="45">
          <cell r="B45" t="str">
            <v xml:space="preserve">Fair value per share </v>
          </cell>
          <cell r="J45">
            <v>14.570561719516997</v>
          </cell>
        </row>
        <row r="46">
          <cell r="B46" t="str">
            <v xml:space="preserve">Current price </v>
          </cell>
          <cell r="J46">
            <v>14.12</v>
          </cell>
        </row>
        <row r="47">
          <cell r="B47" t="str">
            <v xml:space="preserve">% upside/downside to current price </v>
          </cell>
          <cell r="D47">
            <v>0.68117667063424581</v>
          </cell>
          <cell r="J47">
            <v>3.1909470220750524E-2</v>
          </cell>
        </row>
        <row r="48">
          <cell r="B48" t="str">
            <v>EUR/US$</v>
          </cell>
          <cell r="D48">
            <v>0.83208520552504572</v>
          </cell>
          <cell r="J48">
            <v>65736.200938062466</v>
          </cell>
        </row>
        <row r="49">
          <cell r="B49" t="str">
            <v>EUR/£</v>
          </cell>
          <cell r="D49">
            <v>0.6902199467112482</v>
          </cell>
          <cell r="J49">
            <v>4862.2</v>
          </cell>
        </row>
        <row r="50">
          <cell r="B50" t="str">
            <v>EUR/US$</v>
          </cell>
          <cell r="D50">
            <v>0.75691632290050337</v>
          </cell>
          <cell r="J50">
            <v>13.519847175776905</v>
          </cell>
        </row>
        <row r="51">
          <cell r="B51" t="str">
            <v>VEB/EUR</v>
          </cell>
          <cell r="D51">
            <v>2836.5090500000001</v>
          </cell>
          <cell r="J51">
            <v>12.36</v>
          </cell>
        </row>
        <row r="52">
          <cell r="B52" t="str">
            <v xml:space="preserve">% upside/downside to current price </v>
          </cell>
          <cell r="J52">
            <v>9.3838768266739869E-2</v>
          </cell>
        </row>
        <row r="53">
          <cell r="B53" t="str">
            <v xml:space="preserve">% upside/downside to current price </v>
          </cell>
          <cell r="J53">
            <v>4.1534669794221823E-2</v>
          </cell>
        </row>
        <row r="55">
          <cell r="B55" t="str">
            <v>EUR/£</v>
          </cell>
          <cell r="D55">
            <v>0.68447993447993438</v>
          </cell>
        </row>
        <row r="56">
          <cell r="B56" t="str">
            <v>EUR/US$</v>
          </cell>
          <cell r="D56">
            <v>0.85466433058416302</v>
          </cell>
        </row>
        <row r="57">
          <cell r="B57" t="str">
            <v>VEB/EUR</v>
          </cell>
          <cell r="D57">
            <v>2512.09735</v>
          </cell>
        </row>
        <row r="58">
          <cell r="B58" t="str">
            <v>HK$/EUR</v>
          </cell>
          <cell r="D58">
            <v>9.0721581825000008</v>
          </cell>
        </row>
        <row r="59">
          <cell r="B59" t="str">
            <v>HK$/EUR</v>
          </cell>
          <cell r="D59">
            <v>9.3712968199999995</v>
          </cell>
        </row>
      </sheetData>
      <sheetData sheetId="53">
        <row r="4">
          <cell r="AR4" t="str">
            <v xml:space="preserve"> Telekom Austria (Neutral) TP: €16.0  (+6.0%)</v>
          </cell>
        </row>
        <row r="11">
          <cell r="E11" t="str">
            <v>Method</v>
          </cell>
          <cell r="F11" t="str">
            <v>Driver</v>
          </cell>
          <cell r="H11" t="str">
            <v>Multiple</v>
          </cell>
          <cell r="J11" t="str">
            <v>100% EV</v>
          </cell>
          <cell r="L11" t="str">
            <v>05E net debt</v>
          </cell>
          <cell r="N11" t="str">
            <v>100% equity</v>
          </cell>
          <cell r="P11" t="str">
            <v>Ownership</v>
          </cell>
          <cell r="R11" t="str">
            <v>Telka equity</v>
          </cell>
          <cell r="T11" t="str">
            <v>Minority</v>
          </cell>
          <cell r="V11" t="str">
            <v>% of equity</v>
          </cell>
          <cell r="X11" t="str">
            <v>Per share</v>
          </cell>
        </row>
        <row r="13">
          <cell r="B13" t="str">
            <v>Domestic wireline</v>
          </cell>
          <cell r="E13" t="str">
            <v>DCF, 11.7x 05E FCF</v>
          </cell>
          <cell r="F13">
            <v>417.78407888109615</v>
          </cell>
          <cell r="G13" t="str">
            <v>x</v>
          </cell>
          <cell r="H13">
            <v>11.723424095469234</v>
          </cell>
          <cell r="I13" t="str">
            <v>=</v>
          </cell>
          <cell r="J13">
            <v>4897.8599370580614</v>
          </cell>
          <cell r="K13" t="str">
            <v>-</v>
          </cell>
          <cell r="L13">
            <v>1503.2707535651407</v>
          </cell>
          <cell r="M13" t="str">
            <v>=</v>
          </cell>
          <cell r="N13">
            <v>3394.5891834929207</v>
          </cell>
          <cell r="O13" t="str">
            <v>x</v>
          </cell>
          <cell r="P13">
            <v>1</v>
          </cell>
          <cell r="Q13" t="str">
            <v>=</v>
          </cell>
          <cell r="R13">
            <v>3394.5891834929207</v>
          </cell>
          <cell r="T13">
            <v>0</v>
          </cell>
          <cell r="V13">
            <v>0.44901188771482731</v>
          </cell>
          <cell r="X13">
            <v>7.2141560769984023</v>
          </cell>
        </row>
        <row r="14">
          <cell r="B14" t="str">
            <v>Mobilkom Austria</v>
          </cell>
          <cell r="E14" t="str">
            <v>DCF, 8.2x 04E OpFCF</v>
          </cell>
          <cell r="F14">
            <v>402.57064884054273</v>
          </cell>
          <cell r="G14" t="str">
            <v>x</v>
          </cell>
          <cell r="H14">
            <v>8.2177521454420752</v>
          </cell>
          <cell r="I14" t="str">
            <v>=</v>
          </cell>
          <cell r="J14">
            <v>3308.2258132013785</v>
          </cell>
          <cell r="K14" t="str">
            <v>-</v>
          </cell>
          <cell r="M14" t="str">
            <v>=</v>
          </cell>
          <cell r="N14">
            <v>3308.2258132013785</v>
          </cell>
          <cell r="O14" t="str">
            <v>x</v>
          </cell>
          <cell r="P14">
            <v>1</v>
          </cell>
          <cell r="Q14" t="str">
            <v>=</v>
          </cell>
          <cell r="R14">
            <v>3308.2258132013785</v>
          </cell>
          <cell r="T14">
            <v>0</v>
          </cell>
          <cell r="V14">
            <v>0.43758836108822136</v>
          </cell>
          <cell r="X14">
            <v>7.0306172748221387</v>
          </cell>
        </row>
        <row r="15">
          <cell r="B15" t="str">
            <v>VIP-Net</v>
          </cell>
          <cell r="E15" t="str">
            <v>DCF, 6.0x 05E FCF</v>
          </cell>
          <cell r="F15">
            <v>88.390589386579549</v>
          </cell>
          <cell r="G15" t="str">
            <v>x</v>
          </cell>
          <cell r="H15">
            <v>6</v>
          </cell>
          <cell r="I15" t="str">
            <v>=</v>
          </cell>
          <cell r="J15">
            <v>530.34353631947727</v>
          </cell>
          <cell r="K15" t="str">
            <v>-</v>
          </cell>
          <cell r="M15" t="str">
            <v>=</v>
          </cell>
          <cell r="N15">
            <v>530.34353631947727</v>
          </cell>
          <cell r="O15" t="str">
            <v>x</v>
          </cell>
          <cell r="P15">
            <v>0.99</v>
          </cell>
          <cell r="Q15" t="str">
            <v>=</v>
          </cell>
          <cell r="R15">
            <v>525.04010095628246</v>
          </cell>
          <cell r="T15">
            <v>5.3034353631948079</v>
          </cell>
          <cell r="V15">
            <v>7.0150035691546347E-2</v>
          </cell>
          <cell r="X15">
            <v>1.1270822001203606</v>
          </cell>
        </row>
        <row r="16">
          <cell r="B16" t="str">
            <v>SiMobil</v>
          </cell>
          <cell r="E16" t="str">
            <v>€350 per 03E Sub</v>
          </cell>
          <cell r="F16">
            <v>0.36199999999999999</v>
          </cell>
          <cell r="G16" t="str">
            <v>x</v>
          </cell>
          <cell r="H16">
            <v>350</v>
          </cell>
          <cell r="I16" t="str">
            <v>=</v>
          </cell>
          <cell r="J16">
            <v>126.7</v>
          </cell>
          <cell r="K16" t="str">
            <v>-</v>
          </cell>
          <cell r="M16" t="str">
            <v>=</v>
          </cell>
          <cell r="N16">
            <v>126.7</v>
          </cell>
          <cell r="O16" t="str">
            <v>x</v>
          </cell>
          <cell r="P16">
            <v>0.75</v>
          </cell>
          <cell r="Q16" t="str">
            <v>=</v>
          </cell>
          <cell r="R16">
            <v>95.025000000000006</v>
          </cell>
          <cell r="T16">
            <v>31.674999999999997</v>
          </cell>
          <cell r="V16">
            <v>1.6758966431081032E-2</v>
          </cell>
          <cell r="X16">
            <v>0.26926191228099866</v>
          </cell>
        </row>
        <row r="17">
          <cell r="B17" t="str">
            <v>Depreciation tax shield</v>
          </cell>
          <cell r="E17" t="str">
            <v>DCF, 4.8x 05E EBITDA</v>
          </cell>
          <cell r="F17">
            <v>329.2376428674163</v>
          </cell>
          <cell r="G17" t="str">
            <v>x</v>
          </cell>
          <cell r="H17">
            <v>4.8129468502588058</v>
          </cell>
          <cell r="I17" t="str">
            <v>=</v>
          </cell>
          <cell r="J17">
            <v>259.99827957196209</v>
          </cell>
          <cell r="K17" t="str">
            <v>-</v>
          </cell>
          <cell r="M17" t="str">
            <v>=</v>
          </cell>
          <cell r="N17">
            <v>259.99827957196209</v>
          </cell>
          <cell r="O17" t="str">
            <v>x</v>
          </cell>
          <cell r="P17">
            <v>1</v>
          </cell>
          <cell r="Q17" t="str">
            <v>=</v>
          </cell>
          <cell r="R17">
            <v>259.99827957196209</v>
          </cell>
          <cell r="T17">
            <v>0</v>
          </cell>
          <cell r="V17">
            <v>3.4390705915432779E-2</v>
          </cell>
          <cell r="X17">
            <v>0.55254643999460307</v>
          </cell>
        </row>
        <row r="18">
          <cell r="B18" t="str">
            <v>Total</v>
          </cell>
          <cell r="J18">
            <v>9123.1275661508807</v>
          </cell>
          <cell r="K18" t="str">
            <v>-</v>
          </cell>
          <cell r="L18">
            <v>1503.2707535651407</v>
          </cell>
          <cell r="M18" t="str">
            <v>=</v>
          </cell>
          <cell r="N18">
            <v>204</v>
          </cell>
          <cell r="O18" t="str">
            <v>x</v>
          </cell>
          <cell r="P18">
            <v>1</v>
          </cell>
          <cell r="Q18" t="str">
            <v>=</v>
          </cell>
          <cell r="R18">
            <v>204</v>
          </cell>
          <cell r="T18">
            <v>36.978435363194805</v>
          </cell>
          <cell r="V18">
            <v>0.97350925092567608</v>
          </cell>
          <cell r="X18">
            <v>15.6411174642219</v>
          </cell>
        </row>
        <row r="19">
          <cell r="B19" t="str">
            <v>Total</v>
          </cell>
          <cell r="J19">
            <v>11419.252584145941</v>
          </cell>
          <cell r="L19">
            <v>2340.707656816714</v>
          </cell>
          <cell r="N19">
            <v>9078.544927329227</v>
          </cell>
          <cell r="R19">
            <v>9008.8140274471098</v>
          </cell>
          <cell r="T19">
            <v>69.73089988211683</v>
          </cell>
          <cell r="V19">
            <v>1.0242042053316074</v>
          </cell>
          <cell r="X19">
            <v>18.756975443285615</v>
          </cell>
        </row>
        <row r="20">
          <cell r="B20" t="str">
            <v>Associates</v>
          </cell>
        </row>
        <row r="21">
          <cell r="B21" t="str">
            <v>Total</v>
          </cell>
          <cell r="R21">
            <v>0</v>
          </cell>
        </row>
        <row r="22">
          <cell r="B22" t="str">
            <v>Total</v>
          </cell>
          <cell r="R22">
            <v>0</v>
          </cell>
          <cell r="T22" t="str">
            <v>BREAKDOWN OF VALUE</v>
          </cell>
        </row>
        <row r="23">
          <cell r="B23" t="str">
            <v xml:space="preserve">Total EV </v>
          </cell>
          <cell r="J23">
            <v>9123.1275661508807</v>
          </cell>
        </row>
        <row r="24">
          <cell r="B24" t="str">
            <v>Less: end 2005E (net debt)/cash</v>
          </cell>
          <cell r="J24">
            <v>-1503.2707535651407</v>
          </cell>
          <cell r="AA24" t="str">
            <v>EBITDA</v>
          </cell>
          <cell r="AB24" t="str">
            <v>EBITDA</v>
          </cell>
          <cell r="AC24" t="str">
            <v>EBITDA</v>
          </cell>
          <cell r="AE24" t="str">
            <v>OpFCF</v>
          </cell>
          <cell r="AF24" t="str">
            <v>OpFCF</v>
          </cell>
          <cell r="AG24" t="str">
            <v>OpFCF</v>
          </cell>
        </row>
        <row r="25">
          <cell r="B25" t="str">
            <v>Plus: NPV tax credit</v>
          </cell>
          <cell r="J25">
            <v>69.711311376311087</v>
          </cell>
          <cell r="AA25">
            <v>807.12722549418845</v>
          </cell>
          <cell r="AB25">
            <v>780.08509571695708</v>
          </cell>
          <cell r="AC25">
            <v>747.11909095130568</v>
          </cell>
          <cell r="AE25">
            <v>528.91010311185391</v>
          </cell>
          <cell r="AF25">
            <v>507.0966737206565</v>
          </cell>
          <cell r="AG25">
            <v>490.60249550053624</v>
          </cell>
        </row>
        <row r="26">
          <cell r="B26" t="str">
            <v>Less: Restructuring payments</v>
          </cell>
          <cell r="J26">
            <v>-92.457593279223786</v>
          </cell>
          <cell r="AA26">
            <v>615.04278570879706</v>
          </cell>
          <cell r="AB26">
            <v>596.85225524900613</v>
          </cell>
          <cell r="AC26">
            <v>578.61423220236725</v>
          </cell>
          <cell r="AE26">
            <v>441.04278570879706</v>
          </cell>
          <cell r="AF26">
            <v>440.25225524900611</v>
          </cell>
          <cell r="AG26">
            <v>429.84423220236727</v>
          </cell>
        </row>
        <row r="27">
          <cell r="B27" t="str">
            <v xml:space="preserve">Less: minorities </v>
          </cell>
          <cell r="J27">
            <v>-36.978435363194805</v>
          </cell>
          <cell r="AA27">
            <v>419.28464095280759</v>
          </cell>
          <cell r="AB27">
            <v>460.76344889504389</v>
          </cell>
          <cell r="AC27">
            <v>484.88395158887846</v>
          </cell>
          <cell r="AE27">
            <v>94.33904421438173</v>
          </cell>
          <cell r="AF27">
            <v>101.36795875690966</v>
          </cell>
          <cell r="AG27">
            <v>111.52330886544205</v>
          </cell>
        </row>
        <row r="28">
          <cell r="B28" t="str">
            <v xml:space="preserve">Plus: associates </v>
          </cell>
          <cell r="J28">
            <v>0</v>
          </cell>
          <cell r="AA28">
            <v>97.062096055664853</v>
          </cell>
          <cell r="AB28">
            <v>105.67695783097199</v>
          </cell>
          <cell r="AC28">
            <v>110.7366570922762</v>
          </cell>
          <cell r="AE28">
            <v>6.7943467238965418</v>
          </cell>
          <cell r="AF28">
            <v>7.3973870481680386</v>
          </cell>
          <cell r="AG28">
            <v>11.073665709227623</v>
          </cell>
        </row>
        <row r="29">
          <cell r="B29" t="str">
            <v xml:space="preserve">Group equity value </v>
          </cell>
          <cell r="J29">
            <v>7560.1320953196318</v>
          </cell>
        </row>
        <row r="30">
          <cell r="B30" t="str">
            <v xml:space="preserve">Number of shares </v>
          </cell>
          <cell r="J30">
            <v>477.5</v>
          </cell>
        </row>
        <row r="31">
          <cell r="B31" t="str">
            <v xml:space="preserve">Fair value per share </v>
          </cell>
          <cell r="J31">
            <v>15.832737372397135</v>
          </cell>
        </row>
        <row r="32">
          <cell r="B32" t="str">
            <v>Plus: 2005 Dividend per share not yet received</v>
          </cell>
          <cell r="J32">
            <v>0.23400000000000001</v>
          </cell>
        </row>
        <row r="33">
          <cell r="B33" t="str">
            <v xml:space="preserve">Fair value per share </v>
          </cell>
          <cell r="J33">
            <v>16.066737372397135</v>
          </cell>
        </row>
        <row r="34">
          <cell r="B34" t="str">
            <v xml:space="preserve">Current price </v>
          </cell>
          <cell r="J34">
            <v>15.1</v>
          </cell>
        </row>
        <row r="35">
          <cell r="B35" t="str">
            <v xml:space="preserve">% upside/downside to current price </v>
          </cell>
          <cell r="J35">
            <v>6.4022342542856769E-2</v>
          </cell>
        </row>
      </sheetData>
      <sheetData sheetId="54">
        <row r="4">
          <cell r="AR4" t="str">
            <v xml:space="preserve"> Telenor (Buy) TP: NOK69.0  (+18.5%)</v>
          </cell>
        </row>
        <row r="11">
          <cell r="E11" t="str">
            <v>Method</v>
          </cell>
          <cell r="F11" t="str">
            <v>Driver</v>
          </cell>
          <cell r="H11" t="str">
            <v>Multiple</v>
          </cell>
          <cell r="J11" t="str">
            <v>100% EV</v>
          </cell>
          <cell r="L11" t="str">
            <v>05E net debt</v>
          </cell>
          <cell r="N11" t="str">
            <v>100% equity</v>
          </cell>
          <cell r="P11" t="str">
            <v>Ownership</v>
          </cell>
          <cell r="R11" t="str">
            <v>Tnor equity</v>
          </cell>
          <cell r="T11" t="str">
            <v>Minority</v>
          </cell>
          <cell r="V11" t="str">
            <v>% of equity</v>
          </cell>
          <cell r="X11" t="str">
            <v>Per share</v>
          </cell>
        </row>
        <row r="13">
          <cell r="B13" t="str">
            <v>Norway fixed</v>
          </cell>
          <cell r="E13" t="str">
            <v>DCF, 10.7x 05E FCF</v>
          </cell>
          <cell r="F13">
            <v>3266.7334636715927</v>
          </cell>
          <cell r="G13" t="str">
            <v>x</v>
          </cell>
          <cell r="H13">
            <v>10.704057284796688</v>
          </cell>
          <cell r="I13" t="str">
            <v>=</v>
          </cell>
          <cell r="J13">
            <v>34967.302129303032</v>
          </cell>
          <cell r="K13" t="str">
            <v>-</v>
          </cell>
          <cell r="L13">
            <v>13209.112649340981</v>
          </cell>
          <cell r="M13" t="str">
            <v>=</v>
          </cell>
          <cell r="N13">
            <v>21758.18947996205</v>
          </cell>
          <cell r="O13" t="str">
            <v>x</v>
          </cell>
          <cell r="P13">
            <v>1</v>
          </cell>
          <cell r="Q13" t="str">
            <v>=</v>
          </cell>
          <cell r="R13">
            <v>21758.18947996205</v>
          </cell>
          <cell r="T13">
            <v>0</v>
          </cell>
          <cell r="V13">
            <v>0.18511371259751097</v>
          </cell>
          <cell r="X13">
            <v>12.628073026943737</v>
          </cell>
        </row>
        <row r="14">
          <cell r="B14" t="str">
            <v>Czech fixed</v>
          </cell>
          <cell r="E14" t="str">
            <v>8.0x 06E OpFCF</v>
          </cell>
          <cell r="F14">
            <v>-9.517199999999999</v>
          </cell>
          <cell r="G14" t="str">
            <v>x</v>
          </cell>
          <cell r="H14">
            <v>8</v>
          </cell>
          <cell r="I14" t="str">
            <v>=</v>
          </cell>
          <cell r="J14">
            <v>-76.137599999999992</v>
          </cell>
          <cell r="K14" t="str">
            <v>-</v>
          </cell>
          <cell r="M14" t="str">
            <v>=</v>
          </cell>
          <cell r="N14">
            <v>-76.137599999999992</v>
          </cell>
          <cell r="O14" t="str">
            <v>x</v>
          </cell>
          <cell r="P14">
            <v>1</v>
          </cell>
          <cell r="Q14" t="str">
            <v>=</v>
          </cell>
          <cell r="R14">
            <v>-76.137599999999992</v>
          </cell>
          <cell r="T14">
            <v>0</v>
          </cell>
          <cell r="V14">
            <v>-6.477613322213256E-4</v>
          </cell>
          <cell r="X14">
            <v>-4.418893280535529E-2</v>
          </cell>
        </row>
        <row r="15">
          <cell r="B15" t="str">
            <v>Sweden fixed</v>
          </cell>
          <cell r="E15" t="str">
            <v>-3.7x 06E OpFCF</v>
          </cell>
          <cell r="F15">
            <v>-143.18146400000003</v>
          </cell>
          <cell r="G15" t="str">
            <v>x</v>
          </cell>
          <cell r="H15">
            <v>-3.7254160222049819</v>
          </cell>
          <cell r="I15" t="str">
            <v>=</v>
          </cell>
          <cell r="J15">
            <v>533.41052006836594</v>
          </cell>
          <cell r="K15" t="str">
            <v>-</v>
          </cell>
          <cell r="M15" t="str">
            <v>=</v>
          </cell>
          <cell r="N15">
            <v>533.41052006836594</v>
          </cell>
          <cell r="O15" t="str">
            <v>x</v>
          </cell>
          <cell r="P15">
            <v>1</v>
          </cell>
          <cell r="Q15" t="str">
            <v>=</v>
          </cell>
          <cell r="R15">
            <v>533.41052006836594</v>
          </cell>
          <cell r="T15">
            <v>0</v>
          </cell>
          <cell r="V15">
            <v>4.5381350226478753E-3</v>
          </cell>
          <cell r="X15">
            <v>0.30958214638983422</v>
          </cell>
        </row>
        <row r="16">
          <cell r="B16" t="str">
            <v>Czech fixed</v>
          </cell>
          <cell r="C16" t="str">
            <v>Total fixed</v>
          </cell>
          <cell r="E16" t="str">
            <v>DCF, 8.0x 06E OpFCF</v>
          </cell>
          <cell r="F16">
            <v>-9.4631249999999998</v>
          </cell>
          <cell r="G16" t="str">
            <v>x</v>
          </cell>
          <cell r="H16">
            <v>8</v>
          </cell>
          <cell r="I16" t="str">
            <v>=</v>
          </cell>
          <cell r="J16">
            <v>35424.575049371393</v>
          </cell>
          <cell r="K16" t="str">
            <v>-</v>
          </cell>
          <cell r="M16" t="str">
            <v>=</v>
          </cell>
          <cell r="N16">
            <v>-75.704999999999998</v>
          </cell>
          <cell r="O16" t="str">
            <v>x</v>
          </cell>
          <cell r="P16">
            <v>1</v>
          </cell>
          <cell r="Q16" t="str">
            <v>=</v>
          </cell>
          <cell r="R16">
            <v>-75.704999999999998</v>
          </cell>
          <cell r="T16">
            <v>0</v>
          </cell>
          <cell r="V16">
            <v>-6.6905728446602867E-4</v>
          </cell>
          <cell r="X16">
            <v>-4.2971738018347028E-2</v>
          </cell>
        </row>
        <row r="17">
          <cell r="B17" t="str">
            <v>Norway mobile</v>
          </cell>
          <cell r="C17" t="str">
            <v>Total fixed</v>
          </cell>
          <cell r="E17" t="str">
            <v>DCF, 7.8x 05E OpFCF</v>
          </cell>
          <cell r="F17">
            <v>3255.0382455397503</v>
          </cell>
          <cell r="G17" t="str">
            <v>x</v>
          </cell>
          <cell r="H17">
            <v>7.8000781399380275</v>
          </cell>
          <cell r="I17" t="str">
            <v>=</v>
          </cell>
          <cell r="J17">
            <v>33053.298199358833</v>
          </cell>
          <cell r="K17" t="str">
            <v>-</v>
          </cell>
          <cell r="M17" t="str">
            <v>=</v>
          </cell>
          <cell r="N17">
            <v>25389.552663696835</v>
          </cell>
          <cell r="O17" t="str">
            <v>x</v>
          </cell>
          <cell r="P17">
            <v>1</v>
          </cell>
          <cell r="Q17" t="str">
            <v>=</v>
          </cell>
          <cell r="R17">
            <v>25389.552663696835</v>
          </cell>
          <cell r="T17">
            <v>0</v>
          </cell>
          <cell r="V17">
            <v>0.21600852217484884</v>
          </cell>
          <cell r="X17">
            <v>14.735652773585311</v>
          </cell>
        </row>
        <row r="18">
          <cell r="B18" t="str">
            <v>Pannon</v>
          </cell>
          <cell r="E18" t="str">
            <v>DCF, 8.1x 05E OpFCF</v>
          </cell>
          <cell r="F18">
            <v>1428.892451591772</v>
          </cell>
          <cell r="G18" t="str">
            <v>x</v>
          </cell>
          <cell r="H18">
            <v>8.116703341747515</v>
          </cell>
          <cell r="I18" t="str">
            <v>=</v>
          </cell>
          <cell r="J18">
            <v>11597.896136832735</v>
          </cell>
          <cell r="K18" t="str">
            <v>-</v>
          </cell>
          <cell r="M18" t="str">
            <v>=</v>
          </cell>
          <cell r="N18">
            <v>11597.896136832735</v>
          </cell>
          <cell r="O18" t="str">
            <v>x</v>
          </cell>
          <cell r="P18">
            <v>1</v>
          </cell>
          <cell r="Q18" t="str">
            <v>=</v>
          </cell>
          <cell r="R18">
            <v>11597.896136832735</v>
          </cell>
          <cell r="T18">
            <v>0</v>
          </cell>
          <cell r="V18">
            <v>9.8672254609540336E-2</v>
          </cell>
          <cell r="X18">
            <v>6.7312162856984123</v>
          </cell>
        </row>
        <row r="19">
          <cell r="B19" t="str">
            <v>Digi</v>
          </cell>
          <cell r="E19" t="str">
            <v>Mkt value</v>
          </cell>
          <cell r="F19">
            <v>750</v>
          </cell>
          <cell r="G19" t="str">
            <v>x</v>
          </cell>
          <cell r="H19">
            <v>5.9</v>
          </cell>
          <cell r="I19" t="str">
            <v>=</v>
          </cell>
          <cell r="J19">
            <v>7610.6552631578961</v>
          </cell>
          <cell r="K19" t="str">
            <v>-</v>
          </cell>
          <cell r="L19">
            <v>383</v>
          </cell>
          <cell r="M19" t="str">
            <v>=</v>
          </cell>
          <cell r="N19">
            <v>13254.347391115809</v>
          </cell>
          <cell r="O19" t="str">
            <v>x</v>
          </cell>
          <cell r="P19">
            <v>1</v>
          </cell>
          <cell r="Q19" t="str">
            <v>=</v>
          </cell>
          <cell r="R19">
            <v>13254.347391115809</v>
          </cell>
          <cell r="T19">
            <v>2811.5578973684214</v>
          </cell>
          <cell r="V19">
            <v>6.1491242199644261E-2</v>
          </cell>
          <cell r="X19">
            <v>4.1948048370838693</v>
          </cell>
        </row>
        <row r="20">
          <cell r="B20" t="str">
            <v>Grameen</v>
          </cell>
          <cell r="E20" t="str">
            <v>DCF, 13.7x 05E OpFCF</v>
          </cell>
          <cell r="F20">
            <v>563.3859397603685</v>
          </cell>
          <cell r="G20" t="str">
            <v>x</v>
          </cell>
          <cell r="H20">
            <v>13.70194351637844</v>
          </cell>
          <cell r="I20" t="str">
            <v>=</v>
          </cell>
          <cell r="J20">
            <v>7719.4823245183561</v>
          </cell>
          <cell r="K20" t="str">
            <v>-</v>
          </cell>
          <cell r="L20">
            <v>-246</v>
          </cell>
          <cell r="M20" t="str">
            <v>=</v>
          </cell>
          <cell r="N20">
            <v>7965.4823245183561</v>
          </cell>
          <cell r="O20" t="str">
            <v>x</v>
          </cell>
          <cell r="P20">
            <v>0.62</v>
          </cell>
          <cell r="Q20" t="str">
            <v>=</v>
          </cell>
          <cell r="R20">
            <v>4938.5990412013807</v>
          </cell>
          <cell r="T20">
            <v>3026.8832833169754</v>
          </cell>
          <cell r="V20">
            <v>6.7768506523917652E-2</v>
          </cell>
          <cell r="X20">
            <v>4.623026772585253</v>
          </cell>
        </row>
        <row r="21">
          <cell r="B21" t="str">
            <v>Kyivstar</v>
          </cell>
          <cell r="E21" t="str">
            <v>DCF, 9.4x 06E OpFCF</v>
          </cell>
          <cell r="F21">
            <v>2286.1053813187273</v>
          </cell>
          <cell r="G21" t="str">
            <v>x</v>
          </cell>
          <cell r="H21">
            <v>9.3943765155804293</v>
          </cell>
          <cell r="I21" t="str">
            <v>=</v>
          </cell>
          <cell r="J21">
            <v>21476.534706402694</v>
          </cell>
          <cell r="K21" t="str">
            <v>-</v>
          </cell>
          <cell r="L21">
            <v>1360</v>
          </cell>
          <cell r="M21" t="str">
            <v>=</v>
          </cell>
          <cell r="N21">
            <v>20116.534706402694</v>
          </cell>
          <cell r="O21" t="str">
            <v>x</v>
          </cell>
          <cell r="P21">
            <v>0.56499999999999995</v>
          </cell>
          <cell r="Q21" t="str">
            <v>=</v>
          </cell>
          <cell r="R21">
            <v>11365.842109117521</v>
          </cell>
          <cell r="T21">
            <v>8750.6925972851732</v>
          </cell>
          <cell r="V21">
            <v>0.17114688827985047</v>
          </cell>
          <cell r="X21">
            <v>11.675285278467227</v>
          </cell>
        </row>
        <row r="22">
          <cell r="B22" t="str">
            <v>Sonofon</v>
          </cell>
          <cell r="E22" t="str">
            <v>DCF, 13.8x 06E OpFCF</v>
          </cell>
          <cell r="F22">
            <v>493.78497329963164</v>
          </cell>
          <cell r="G22" t="str">
            <v>x</v>
          </cell>
          <cell r="H22">
            <v>13.754266079608618</v>
          </cell>
          <cell r="I22" t="str">
            <v>=</v>
          </cell>
          <cell r="J22">
            <v>6791.6499088755709</v>
          </cell>
          <cell r="K22" t="str">
            <v>-</v>
          </cell>
          <cell r="L22">
            <v>1360</v>
          </cell>
          <cell r="M22" t="str">
            <v>=</v>
          </cell>
          <cell r="N22">
            <v>6791.6499088755709</v>
          </cell>
          <cell r="O22" t="str">
            <v>x</v>
          </cell>
          <cell r="P22">
            <v>1</v>
          </cell>
          <cell r="Q22" t="str">
            <v>=</v>
          </cell>
          <cell r="R22">
            <v>6791.6499088755709</v>
          </cell>
          <cell r="T22">
            <v>0</v>
          </cell>
          <cell r="V22">
            <v>5.7781808107348863E-2</v>
          </cell>
          <cell r="X22">
            <v>3.9417549471062916</v>
          </cell>
        </row>
        <row r="23">
          <cell r="B23" t="str">
            <v>Sweden mobile/other</v>
          </cell>
          <cell r="E23" t="str">
            <v>7.0x 05E EBITDA</v>
          </cell>
          <cell r="F23">
            <v>-5.8650000000000002</v>
          </cell>
          <cell r="G23" t="str">
            <v>x</v>
          </cell>
          <cell r="H23">
            <v>7</v>
          </cell>
          <cell r="I23" t="str">
            <v>=</v>
          </cell>
          <cell r="J23">
            <v>-41.055</v>
          </cell>
          <cell r="K23" t="str">
            <v>-</v>
          </cell>
          <cell r="M23" t="str">
            <v>=</v>
          </cell>
          <cell r="N23">
            <v>-41.055</v>
          </cell>
          <cell r="O23" t="str">
            <v>x</v>
          </cell>
          <cell r="P23">
            <v>1</v>
          </cell>
          <cell r="Q23" t="str">
            <v>=</v>
          </cell>
          <cell r="R23">
            <v>-41.055</v>
          </cell>
          <cell r="T23">
            <v>0</v>
          </cell>
          <cell r="V23">
            <v>-3.4928657449599838E-4</v>
          </cell>
          <cell r="X23">
            <v>-2.3827604709419022E-2</v>
          </cell>
        </row>
        <row r="24">
          <cell r="B24" t="str">
            <v>Pro Monte</v>
          </cell>
          <cell r="E24" t="str">
            <v>5.0x 08E OpFCF</v>
          </cell>
          <cell r="F24">
            <v>207.68928817959178</v>
          </cell>
          <cell r="G24" t="str">
            <v>x</v>
          </cell>
          <cell r="H24">
            <v>5</v>
          </cell>
          <cell r="I24" t="str">
            <v>=</v>
          </cell>
          <cell r="J24">
            <v>1038.4464408979588</v>
          </cell>
          <cell r="K24" t="str">
            <v>-</v>
          </cell>
          <cell r="M24" t="str">
            <v>=</v>
          </cell>
          <cell r="N24">
            <v>1038.4464408979588</v>
          </cell>
          <cell r="O24" t="str">
            <v>x</v>
          </cell>
          <cell r="P24">
            <v>1</v>
          </cell>
          <cell r="Q24" t="str">
            <v>=</v>
          </cell>
          <cell r="R24">
            <v>1038.4464408979588</v>
          </cell>
          <cell r="T24">
            <v>0</v>
          </cell>
          <cell r="V24">
            <v>8.8348654278116983E-3</v>
          </cell>
          <cell r="X24">
            <v>0.60269617112701557</v>
          </cell>
        </row>
        <row r="25">
          <cell r="B25" t="str">
            <v>Pakistan</v>
          </cell>
          <cell r="E25" t="str">
            <v>DCF</v>
          </cell>
          <cell r="F25">
            <v>210</v>
          </cell>
          <cell r="H25">
            <v>6</v>
          </cell>
          <cell r="I25" t="str">
            <v>=</v>
          </cell>
          <cell r="J25">
            <v>1757.9206416424615</v>
          </cell>
          <cell r="K25" t="str">
            <v>-</v>
          </cell>
          <cell r="M25" t="str">
            <v>=</v>
          </cell>
          <cell r="N25">
            <v>1757.9206416424615</v>
          </cell>
          <cell r="O25" t="str">
            <v>x</v>
          </cell>
          <cell r="P25">
            <v>1</v>
          </cell>
          <cell r="Q25" t="str">
            <v>=</v>
          </cell>
          <cell r="R25">
            <v>1757.9206416424615</v>
          </cell>
          <cell r="T25">
            <v>0</v>
          </cell>
          <cell r="V25">
            <v>1.4955987800635803E-2</v>
          </cell>
          <cell r="X25">
            <v>1.0202664269780739</v>
          </cell>
        </row>
        <row r="26">
          <cell r="B26" t="str">
            <v>Other (group overheads)</v>
          </cell>
          <cell r="E26" t="str">
            <v>5.5x 05E EBITDA</v>
          </cell>
          <cell r="F26">
            <v>-372.08272499999998</v>
          </cell>
          <cell r="G26" t="str">
            <v>x</v>
          </cell>
          <cell r="H26">
            <v>5.5</v>
          </cell>
          <cell r="I26" t="str">
            <v>=</v>
          </cell>
          <cell r="J26">
            <v>2268</v>
          </cell>
          <cell r="K26" t="str">
            <v>-</v>
          </cell>
          <cell r="M26" t="str">
            <v>=</v>
          </cell>
          <cell r="N26">
            <v>-2046.4549874999998</v>
          </cell>
          <cell r="O26" t="str">
            <v>x</v>
          </cell>
          <cell r="P26">
            <v>1</v>
          </cell>
          <cell r="Q26" t="str">
            <v>=</v>
          </cell>
          <cell r="R26">
            <v>-2046.4549874999998</v>
          </cell>
          <cell r="T26">
            <v>0</v>
          </cell>
          <cell r="V26">
            <v>-1.7410772194473904E-2</v>
          </cell>
          <cell r="X26">
            <v>-1.1877267201989778</v>
          </cell>
        </row>
        <row r="27">
          <cell r="B27" t="str">
            <v>DTAC</v>
          </cell>
          <cell r="C27" t="str">
            <v>Total mobile</v>
          </cell>
          <cell r="E27" t="str">
            <v>DCF, 17.5x 05E OpFCF</v>
          </cell>
          <cell r="F27">
            <v>729.15915816403754</v>
          </cell>
          <cell r="G27" t="str">
            <v>x</v>
          </cell>
          <cell r="H27">
            <v>17.455221510815687</v>
          </cell>
          <cell r="I27" t="str">
            <v>=</v>
          </cell>
          <cell r="J27">
            <v>81294.62809852451</v>
          </cell>
          <cell r="K27" t="str">
            <v>-</v>
          </cell>
          <cell r="L27">
            <v>6058</v>
          </cell>
          <cell r="M27" t="str">
            <v>=</v>
          </cell>
          <cell r="N27">
            <v>6669.634622393165</v>
          </cell>
          <cell r="O27" t="str">
            <v>x</v>
          </cell>
          <cell r="P27">
            <v>0.71696799999999994</v>
          </cell>
          <cell r="Q27" t="str">
            <v>=</v>
          </cell>
          <cell r="R27">
            <v>4781.914595947982</v>
          </cell>
          <cell r="T27">
            <v>1887.7200264451831</v>
          </cell>
          <cell r="V27">
            <v>5.982962500787474E-2</v>
          </cell>
          <cell r="X27">
            <v>3.9771226132338495</v>
          </cell>
        </row>
        <row r="28">
          <cell r="B28" t="str">
            <v>Broadcast</v>
          </cell>
          <cell r="C28" t="str">
            <v>Total mobile</v>
          </cell>
          <cell r="E28" t="str">
            <v>7.0x 05E OpFCF</v>
          </cell>
          <cell r="F28">
            <v>1454.5639645510282</v>
          </cell>
          <cell r="G28" t="str">
            <v>x</v>
          </cell>
          <cell r="H28">
            <v>7</v>
          </cell>
          <cell r="I28" t="str">
            <v>=</v>
          </cell>
          <cell r="J28">
            <v>109242.5683763133</v>
          </cell>
          <cell r="K28" t="str">
            <v>-</v>
          </cell>
          <cell r="M28" t="str">
            <v>=</v>
          </cell>
          <cell r="N28">
            <v>10181.947751857198</v>
          </cell>
          <cell r="O28" t="str">
            <v>x</v>
          </cell>
          <cell r="P28">
            <v>1</v>
          </cell>
          <cell r="Q28" t="str">
            <v>=</v>
          </cell>
          <cell r="R28">
            <v>10181.947751857198</v>
          </cell>
          <cell r="T28">
            <v>0</v>
          </cell>
          <cell r="V28">
            <v>8.6625688757604E-2</v>
          </cell>
          <cell r="X28">
            <v>5.9094245817369622</v>
          </cell>
        </row>
        <row r="29">
          <cell r="B29" t="str">
            <v>EDB</v>
          </cell>
          <cell r="E29" t="str">
            <v>Mkt value</v>
          </cell>
          <cell r="F29">
            <v>90.6</v>
          </cell>
          <cell r="G29" t="str">
            <v>x</v>
          </cell>
          <cell r="H29">
            <v>52.75</v>
          </cell>
          <cell r="I29" t="str">
            <v>=</v>
          </cell>
          <cell r="J29">
            <v>4957.1499999999996</v>
          </cell>
          <cell r="K29" t="str">
            <v>-</v>
          </cell>
          <cell r="L29">
            <v>178</v>
          </cell>
          <cell r="M29" t="str">
            <v>=</v>
          </cell>
          <cell r="N29">
            <v>8992</v>
          </cell>
          <cell r="O29" t="str">
            <v>x</v>
          </cell>
          <cell r="P29">
            <v>1</v>
          </cell>
          <cell r="Q29" t="str">
            <v>=</v>
          </cell>
          <cell r="R29">
            <v>8992</v>
          </cell>
          <cell r="T29">
            <v>2303.5502999999999</v>
          </cell>
          <cell r="V29">
            <v>4.0659917975948132E-2</v>
          </cell>
          <cell r="X29">
            <v>2.7737351612963077</v>
          </cell>
        </row>
        <row r="30">
          <cell r="B30" t="str">
            <v>Other</v>
          </cell>
          <cell r="E30" t="str">
            <v>7.0x 04E OpFCF</v>
          </cell>
          <cell r="F30">
            <v>309</v>
          </cell>
          <cell r="G30" t="str">
            <v>x</v>
          </cell>
          <cell r="H30">
            <v>7</v>
          </cell>
          <cell r="I30" t="str">
            <v>=</v>
          </cell>
          <cell r="J30">
            <v>2163</v>
          </cell>
          <cell r="K30" t="str">
            <v>-</v>
          </cell>
          <cell r="L30">
            <v>178</v>
          </cell>
          <cell r="M30" t="str">
            <v>=</v>
          </cell>
          <cell r="N30">
            <v>2163</v>
          </cell>
          <cell r="O30" t="str">
            <v>x</v>
          </cell>
          <cell r="P30">
            <v>1</v>
          </cell>
          <cell r="Q30" t="str">
            <v>=</v>
          </cell>
          <cell r="R30">
            <v>2163</v>
          </cell>
          <cell r="T30">
            <v>0</v>
          </cell>
          <cell r="V30">
            <v>1.8402310574469481E-2</v>
          </cell>
          <cell r="X30">
            <v>1.2553674092430482</v>
          </cell>
        </row>
        <row r="31">
          <cell r="B31" t="str">
            <v>Group costs</v>
          </cell>
          <cell r="E31" t="str">
            <v>7.0x 04E OpFCF</v>
          </cell>
          <cell r="F31">
            <v>-315</v>
          </cell>
          <cell r="G31" t="str">
            <v>x</v>
          </cell>
          <cell r="H31">
            <v>7</v>
          </cell>
          <cell r="I31" t="str">
            <v>=</v>
          </cell>
          <cell r="J31">
            <v>-2205</v>
          </cell>
          <cell r="K31" t="str">
            <v>-</v>
          </cell>
          <cell r="L31">
            <v>20912.61411738232</v>
          </cell>
          <cell r="M31" t="str">
            <v>=</v>
          </cell>
          <cell r="N31">
            <v>-2245.6141190067274</v>
          </cell>
          <cell r="O31" t="str">
            <v>x</v>
          </cell>
          <cell r="P31">
            <v>1</v>
          </cell>
          <cell r="Q31" t="str">
            <v>=</v>
          </cell>
          <cell r="R31">
            <v>-2245.6141190067274</v>
          </cell>
          <cell r="T31">
            <v>0</v>
          </cell>
          <cell r="V31">
            <v>-1.8759636993391216E-2</v>
          </cell>
          <cell r="X31">
            <v>-1.2797434754419421</v>
          </cell>
        </row>
        <row r="32">
          <cell r="B32" t="str">
            <v>Total</v>
          </cell>
          <cell r="J32">
            <v>131816.30089975309</v>
          </cell>
          <cell r="L32">
            <v>14884.112649340981</v>
          </cell>
          <cell r="N32">
            <v>116932.18825041212</v>
          </cell>
          <cell r="R32">
            <v>100039.50417244156</v>
          </cell>
          <cell r="T32">
            <v>16892.684077970571</v>
          </cell>
          <cell r="V32">
            <v>0.99483238295719589</v>
          </cell>
          <cell r="X32">
            <v>67.865399085085642</v>
          </cell>
        </row>
        <row r="33">
          <cell r="B33" t="str">
            <v>Associates</v>
          </cell>
        </row>
        <row r="34">
          <cell r="B34" t="str">
            <v>Associates</v>
          </cell>
          <cell r="E34" t="str">
            <v>Mkt value</v>
          </cell>
          <cell r="F34">
            <v>434.7</v>
          </cell>
          <cell r="G34" t="str">
            <v>x</v>
          </cell>
          <cell r="H34">
            <v>52</v>
          </cell>
          <cell r="I34" t="str">
            <v>=</v>
          </cell>
          <cell r="N34">
            <v>3579.8304946420908</v>
          </cell>
          <cell r="O34" t="str">
            <v>x</v>
          </cell>
          <cell r="P34">
            <v>0.249</v>
          </cell>
          <cell r="Q34" t="str">
            <v>=</v>
          </cell>
          <cell r="R34">
            <v>891.37779316588058</v>
          </cell>
          <cell r="T34" t="str">
            <v>BREAKDOWN OF VALUE</v>
          </cell>
        </row>
        <row r="35">
          <cell r="B35" t="str">
            <v>UCI</v>
          </cell>
          <cell r="E35" t="str">
            <v>Mkt value</v>
          </cell>
          <cell r="F35">
            <v>434.7</v>
          </cell>
          <cell r="G35" t="str">
            <v>x</v>
          </cell>
          <cell r="H35">
            <v>64.5</v>
          </cell>
          <cell r="I35" t="str">
            <v>=</v>
          </cell>
          <cell r="N35">
            <v>4539.6423482457285</v>
          </cell>
          <cell r="O35" t="str">
            <v>x</v>
          </cell>
          <cell r="P35">
            <v>0.249</v>
          </cell>
          <cell r="Q35" t="str">
            <v>=</v>
          </cell>
          <cell r="R35">
            <v>1130.3709447131864</v>
          </cell>
          <cell r="T35" t="str">
            <v>BREAKDOWN OF VALUE</v>
          </cell>
        </row>
        <row r="36">
          <cell r="B36" t="str">
            <v>DTAC</v>
          </cell>
          <cell r="E36" t="str">
            <v>Mkt value</v>
          </cell>
          <cell r="F36">
            <v>474.4</v>
          </cell>
          <cell r="G36" t="str">
            <v>x</v>
          </cell>
          <cell r="H36">
            <v>3.42</v>
          </cell>
          <cell r="I36" t="str">
            <v>=</v>
          </cell>
          <cell r="N36">
            <v>10070.2102464</v>
          </cell>
          <cell r="O36" t="str">
            <v>x</v>
          </cell>
          <cell r="P36">
            <v>0.29499999999999998</v>
          </cell>
          <cell r="Q36" t="str">
            <v>=</v>
          </cell>
          <cell r="R36">
            <v>2970.7120226879997</v>
          </cell>
        </row>
        <row r="37">
          <cell r="B37" t="str">
            <v>Vimpelcom</v>
          </cell>
          <cell r="E37" t="str">
            <v>Mkt value (25% discount)</v>
          </cell>
          <cell r="F37">
            <v>205</v>
          </cell>
          <cell r="G37" t="str">
            <v>x</v>
          </cell>
          <cell r="H37">
            <v>38.9</v>
          </cell>
          <cell r="I37" t="str">
            <v>=</v>
          </cell>
          <cell r="N37">
            <v>49496.126600000003</v>
          </cell>
          <cell r="O37" t="str">
            <v>x</v>
          </cell>
          <cell r="P37">
            <v>0.29899999999999999</v>
          </cell>
          <cell r="Q37" t="str">
            <v>=</v>
          </cell>
          <cell r="R37">
            <v>11099.506390050001</v>
          </cell>
          <cell r="AA37">
            <v>5909.6029253403667</v>
          </cell>
          <cell r="AB37">
            <v>5768.1069516073694</v>
          </cell>
          <cell r="AC37">
            <v>5416.1968390634229</v>
          </cell>
          <cell r="AE37">
            <v>4387.0830285631691</v>
          </cell>
          <cell r="AF37">
            <v>4289.8270552664735</v>
          </cell>
          <cell r="AG37">
            <v>3986.1689802877263</v>
          </cell>
        </row>
        <row r="38">
          <cell r="B38" t="str">
            <v>Wireless Matrix</v>
          </cell>
          <cell r="E38" t="str">
            <v>Mkt value</v>
          </cell>
          <cell r="F38">
            <v>67.2</v>
          </cell>
          <cell r="G38" t="str">
            <v>x</v>
          </cell>
          <cell r="H38">
            <v>0.64</v>
          </cell>
          <cell r="I38" t="str">
            <v>=</v>
          </cell>
          <cell r="N38">
            <v>217.1231480743422</v>
          </cell>
          <cell r="O38" t="str">
            <v>x</v>
          </cell>
          <cell r="P38">
            <v>0.253</v>
          </cell>
          <cell r="Q38" t="str">
            <v>=</v>
          </cell>
          <cell r="R38">
            <v>54.932156462808578</v>
          </cell>
          <cell r="AA38">
            <v>0</v>
          </cell>
          <cell r="AB38">
            <v>1.8926250000000002</v>
          </cell>
          <cell r="AC38">
            <v>1.9494037500000003</v>
          </cell>
          <cell r="AE38">
            <v>-45.9375</v>
          </cell>
          <cell r="AF38">
            <v>-35.959875000000004</v>
          </cell>
          <cell r="AG38">
            <v>-37.038671250000007</v>
          </cell>
        </row>
        <row r="39">
          <cell r="B39" t="str">
            <v>Otrum</v>
          </cell>
          <cell r="E39" t="str">
            <v>Mkt value</v>
          </cell>
          <cell r="F39">
            <v>21.9</v>
          </cell>
          <cell r="G39" t="str">
            <v>x</v>
          </cell>
          <cell r="H39">
            <v>29.7</v>
          </cell>
          <cell r="I39" t="str">
            <v>=</v>
          </cell>
          <cell r="J39">
            <v>1379.5</v>
          </cell>
          <cell r="K39" t="str">
            <v>-</v>
          </cell>
          <cell r="L39">
            <v>400</v>
          </cell>
          <cell r="M39" t="str">
            <v>=</v>
          </cell>
          <cell r="N39">
            <v>650.42999999999995</v>
          </cell>
          <cell r="O39" t="str">
            <v>x</v>
          </cell>
          <cell r="P39">
            <v>0.33100000000000002</v>
          </cell>
          <cell r="Q39" t="str">
            <v>=</v>
          </cell>
          <cell r="R39">
            <v>215.29232999999999</v>
          </cell>
          <cell r="AA39">
            <v>-116.14080000000001</v>
          </cell>
          <cell r="AB39">
            <v>28.165095999999998</v>
          </cell>
          <cell r="AC39">
            <v>27.883839040000002</v>
          </cell>
          <cell r="AE39">
            <v>-348.42240000000004</v>
          </cell>
          <cell r="AF39">
            <v>-98.577835999999991</v>
          </cell>
          <cell r="AG39">
            <v>-55.76767808000001</v>
          </cell>
        </row>
        <row r="40">
          <cell r="B40" t="str">
            <v>Golden Telecom</v>
          </cell>
          <cell r="E40" t="str">
            <v>Mkt value</v>
          </cell>
          <cell r="F40">
            <v>28.8</v>
          </cell>
          <cell r="G40" t="str">
            <v>x</v>
          </cell>
          <cell r="H40">
            <v>31.29</v>
          </cell>
          <cell r="I40" t="str">
            <v>=</v>
          </cell>
          <cell r="J40">
            <v>18521</v>
          </cell>
          <cell r="K40" t="str">
            <v>-</v>
          </cell>
          <cell r="L40">
            <v>0</v>
          </cell>
          <cell r="M40" t="str">
            <v>=</v>
          </cell>
          <cell r="N40">
            <v>18521</v>
          </cell>
          <cell r="O40" t="str">
            <v>x</v>
          </cell>
          <cell r="P40">
            <v>4.5999999999999999E-2</v>
          </cell>
          <cell r="Q40" t="str">
            <v>=</v>
          </cell>
          <cell r="R40">
            <v>851.96600000000001</v>
          </cell>
          <cell r="AA40">
            <v>4389.5715817715936</v>
          </cell>
          <cell r="AB40">
            <v>4084.2373894785014</v>
          </cell>
          <cell r="AC40">
            <v>3933.1468058659812</v>
          </cell>
          <cell r="AE40">
            <v>3365.0191582117959</v>
          </cell>
          <cell r="AF40">
            <v>3034.6650797608872</v>
          </cell>
          <cell r="AG40">
            <v>2900.2793789906164</v>
          </cell>
        </row>
        <row r="41">
          <cell r="B41" t="str">
            <v>A-Pressen</v>
          </cell>
          <cell r="E41" t="str">
            <v>De-list price</v>
          </cell>
          <cell r="F41">
            <v>8.9</v>
          </cell>
          <cell r="G41" t="str">
            <v>x</v>
          </cell>
          <cell r="H41">
            <v>155</v>
          </cell>
          <cell r="I41" t="str">
            <v>=</v>
          </cell>
          <cell r="J41">
            <v>1379.5</v>
          </cell>
          <cell r="K41" t="str">
            <v>-</v>
          </cell>
          <cell r="L41">
            <v>400</v>
          </cell>
          <cell r="M41" t="str">
            <v>=</v>
          </cell>
          <cell r="N41">
            <v>979.5</v>
          </cell>
          <cell r="O41" t="str">
            <v>x</v>
          </cell>
          <cell r="P41">
            <v>0.45</v>
          </cell>
          <cell r="Q41" t="str">
            <v>=</v>
          </cell>
          <cell r="R41">
            <v>440.77500000000003</v>
          </cell>
          <cell r="AA41">
            <v>2081.5455037968345</v>
          </cell>
          <cell r="AB41">
            <v>2003.2079061042755</v>
          </cell>
          <cell r="AC41">
            <v>1869.6183140441203</v>
          </cell>
          <cell r="AE41">
            <v>1365.5149835195609</v>
          </cell>
          <cell r="AF41">
            <v>1367.9496753176436</v>
          </cell>
          <cell r="AG41">
            <v>1300.0003856827004</v>
          </cell>
        </row>
        <row r="42">
          <cell r="B42" t="str">
            <v>Inmarsat</v>
          </cell>
          <cell r="E42" t="str">
            <v>Apax offer</v>
          </cell>
          <cell r="F42">
            <v>1936</v>
          </cell>
          <cell r="G42" t="str">
            <v>x</v>
          </cell>
          <cell r="H42">
            <v>5.5</v>
          </cell>
          <cell r="I42" t="str">
            <v>=</v>
          </cell>
          <cell r="J42">
            <v>9594</v>
          </cell>
          <cell r="K42" t="str">
            <v>-</v>
          </cell>
          <cell r="L42">
            <v>936.84</v>
          </cell>
          <cell r="M42" t="str">
            <v>=</v>
          </cell>
          <cell r="N42">
            <v>1070</v>
          </cell>
          <cell r="O42" t="str">
            <v>x</v>
          </cell>
          <cell r="P42">
            <v>0.46400000000000002</v>
          </cell>
          <cell r="Q42" t="str">
            <v>=</v>
          </cell>
          <cell r="R42">
            <v>496.48</v>
          </cell>
          <cell r="AA42">
            <v>2084.0042664728348</v>
          </cell>
          <cell r="AB42">
            <v>2422.9542761900802</v>
          </cell>
          <cell r="AC42">
            <v>2517.6763957284866</v>
          </cell>
          <cell r="AE42">
            <v>823.60548649832253</v>
          </cell>
          <cell r="AF42">
            <v>990.74493637965293</v>
          </cell>
          <cell r="AG42">
            <v>1290.0140121456477</v>
          </cell>
        </row>
        <row r="43">
          <cell r="B43" t="str">
            <v>Connect Austria</v>
          </cell>
          <cell r="E43" t="str">
            <v>5.5x 02E EBITDA</v>
          </cell>
          <cell r="F43">
            <v>1936</v>
          </cell>
          <cell r="G43" t="str">
            <v>x</v>
          </cell>
          <cell r="H43">
            <v>5.5</v>
          </cell>
          <cell r="I43" t="str">
            <v>=</v>
          </cell>
          <cell r="J43">
            <v>10648</v>
          </cell>
          <cell r="K43" t="str">
            <v>-</v>
          </cell>
          <cell r="L43">
            <v>10236</v>
          </cell>
          <cell r="M43" t="str">
            <v>=</v>
          </cell>
          <cell r="N43">
            <v>412</v>
          </cell>
          <cell r="O43" t="str">
            <v>x</v>
          </cell>
          <cell r="P43">
            <v>0.17499999999999999</v>
          </cell>
          <cell r="Q43" t="str">
            <v>=</v>
          </cell>
          <cell r="R43">
            <v>72.099999999999994</v>
          </cell>
          <cell r="AA43">
            <v>1511.2471552015966</v>
          </cell>
          <cell r="AB43">
            <v>2204.4372043294666</v>
          </cell>
          <cell r="AC43">
            <v>2255.4329349719706</v>
          </cell>
          <cell r="AE43">
            <v>-453.45187334950401</v>
          </cell>
          <cell r="AF43">
            <v>100.08553886422533</v>
          </cell>
          <cell r="AG43">
            <v>837.14513198325744</v>
          </cell>
        </row>
        <row r="44">
          <cell r="B44" t="str">
            <v>Bravida</v>
          </cell>
          <cell r="E44" t="str">
            <v>5.0x 02E EBITDA</v>
          </cell>
          <cell r="F44">
            <v>214</v>
          </cell>
          <cell r="G44" t="str">
            <v>x</v>
          </cell>
          <cell r="H44">
            <v>5</v>
          </cell>
          <cell r="I44" t="str">
            <v>=</v>
          </cell>
          <cell r="J44">
            <v>15309.217173681938</v>
          </cell>
          <cell r="K44" t="str">
            <v>-</v>
          </cell>
          <cell r="L44">
            <v>8717.6915870000012</v>
          </cell>
          <cell r="M44" t="str">
            <v>=</v>
          </cell>
          <cell r="N44">
            <v>6591.5255866819371</v>
          </cell>
          <cell r="O44" t="str">
            <v>x</v>
          </cell>
          <cell r="P44">
            <v>4.0000000000000001E-3</v>
          </cell>
          <cell r="Q44" t="str">
            <v>=</v>
          </cell>
          <cell r="R44">
            <v>26.36610234672775</v>
          </cell>
          <cell r="AA44">
            <v>3783.5157802330109</v>
          </cell>
          <cell r="AB44">
            <v>4643.1386362858138</v>
          </cell>
          <cell r="AC44">
            <v>4633.9052973493917</v>
          </cell>
          <cell r="AE44">
            <v>14.801697909043924</v>
          </cell>
          <cell r="AF44">
            <v>1059.7272182276647</v>
          </cell>
          <cell r="AG44">
            <v>2562.9727427230714</v>
          </cell>
        </row>
        <row r="45">
          <cell r="B45" t="str">
            <v>Intelsat</v>
          </cell>
          <cell r="E45" t="str">
            <v>10.0x 02E EBITDA</v>
          </cell>
          <cell r="F45">
            <v>713</v>
          </cell>
          <cell r="G45" t="str">
            <v>x</v>
          </cell>
          <cell r="H45">
            <v>10</v>
          </cell>
          <cell r="I45" t="str">
            <v>=</v>
          </cell>
          <cell r="J45">
            <v>7130</v>
          </cell>
          <cell r="K45" t="str">
            <v>-</v>
          </cell>
          <cell r="L45">
            <v>12758.34</v>
          </cell>
          <cell r="M45" t="str">
            <v>=</v>
          </cell>
          <cell r="N45">
            <v>0</v>
          </cell>
          <cell r="O45" t="str">
            <v>x</v>
          </cell>
          <cell r="P45">
            <v>4.1000000000000002E-2</v>
          </cell>
          <cell r="Q45" t="str">
            <v>=</v>
          </cell>
          <cell r="R45">
            <v>16907.214382053029</v>
          </cell>
          <cell r="AA45">
            <v>1159.1300498382375</v>
          </cell>
          <cell r="AB45">
            <v>1312.434145354559</v>
          </cell>
          <cell r="AC45">
            <v>1236.3751061117555</v>
          </cell>
          <cell r="AE45">
            <v>643.04346466384197</v>
          </cell>
          <cell r="AF45">
            <v>805.99123007047899</v>
          </cell>
          <cell r="AG45">
            <v>735.416977389149</v>
          </cell>
        </row>
        <row r="46">
          <cell r="B46" t="str">
            <v>Eutelsat</v>
          </cell>
          <cell r="E46" t="str">
            <v>FT sale 2003</v>
          </cell>
          <cell r="J46">
            <v>15859.420916162491</v>
          </cell>
          <cell r="K46" t="str">
            <v>-</v>
          </cell>
          <cell r="L46">
            <v>9031</v>
          </cell>
          <cell r="M46" t="str">
            <v>=</v>
          </cell>
          <cell r="N46">
            <v>6828.4209161624913</v>
          </cell>
          <cell r="O46" t="str">
            <v>x</v>
          </cell>
          <cell r="P46">
            <v>4.0000000000000001E-3</v>
          </cell>
          <cell r="Q46" t="str">
            <v>=</v>
          </cell>
          <cell r="R46">
            <v>27.313683664649965</v>
          </cell>
          <cell r="AA46">
            <v>200.94</v>
          </cell>
          <cell r="AB46">
            <v>251.125</v>
          </cell>
          <cell r="AC46">
            <v>252.15</v>
          </cell>
          <cell r="AE46">
            <v>145.54</v>
          </cell>
          <cell r="AF46">
            <v>210.125</v>
          </cell>
          <cell r="AG46">
            <v>210.125</v>
          </cell>
        </row>
        <row r="47">
          <cell r="B47" t="str">
            <v>Total</v>
          </cell>
          <cell r="J47">
            <v>150078.32996347451</v>
          </cell>
          <cell r="R47">
            <v>18947.083655233047</v>
          </cell>
          <cell r="AA47">
            <v>-530.53008</v>
          </cell>
          <cell r="AB47">
            <v>-257.52516944723629</v>
          </cell>
          <cell r="AC47">
            <v>310.54770000717895</v>
          </cell>
          <cell r="AE47">
            <v>-2530.53008</v>
          </cell>
          <cell r="AF47">
            <v>-2706.3094458291462</v>
          </cell>
          <cell r="AG47">
            <v>-1503.4978439985641</v>
          </cell>
        </row>
        <row r="48">
          <cell r="B48" t="str">
            <v xml:space="preserve">Total EV </v>
          </cell>
          <cell r="J48">
            <v>128819.22182502576</v>
          </cell>
          <cell r="AA48">
            <v>2545.5370740152794</v>
          </cell>
          <cell r="AB48">
            <v>2687.3153088482077</v>
          </cell>
          <cell r="AC48">
            <v>2929.3563516426821</v>
          </cell>
          <cell r="AE48">
            <v>729.15915816403754</v>
          </cell>
          <cell r="AF48">
            <v>884.84599026509841</v>
          </cell>
          <cell r="AG48">
            <v>1326.320663174718</v>
          </cell>
        </row>
        <row r="49">
          <cell r="B49" t="str">
            <v xml:space="preserve">Total EV </v>
          </cell>
          <cell r="J49">
            <v>131816.30089975309</v>
          </cell>
          <cell r="AA49">
            <v>1571.6974465703377</v>
          </cell>
          <cell r="AB49">
            <v>1621.0012804152589</v>
          </cell>
          <cell r="AC49">
            <v>1661.3687235653463</v>
          </cell>
          <cell r="AE49">
            <v>1298.1245685147144</v>
          </cell>
          <cell r="AF49">
            <v>1338.8464760139736</v>
          </cell>
          <cell r="AG49">
            <v>1372.1874792939611</v>
          </cell>
        </row>
        <row r="50">
          <cell r="B50" t="str">
            <v>Less: end 2005E (net debt)/cash</v>
          </cell>
          <cell r="J50">
            <v>-14884.112649340981</v>
          </cell>
          <cell r="AA50">
            <v>752.36849999999981</v>
          </cell>
          <cell r="AB50">
            <v>789.98692499999993</v>
          </cell>
          <cell r="AC50">
            <v>805.78666349999992</v>
          </cell>
          <cell r="AE50">
            <v>501.57899999999984</v>
          </cell>
          <cell r="AF50">
            <v>526.65794999999991</v>
          </cell>
          <cell r="AG50">
            <v>537.19110899999987</v>
          </cell>
        </row>
        <row r="51">
          <cell r="B51" t="str">
            <v>Less: Pension liaiblity</v>
          </cell>
          <cell r="J51">
            <v>-1447</v>
          </cell>
          <cell r="T51" t="str">
            <v>BREAKDOWN OF VALUE</v>
          </cell>
          <cell r="AA51">
            <v>547.16731213872822</v>
          </cell>
          <cell r="AB51">
            <v>549.90314869942188</v>
          </cell>
          <cell r="AC51">
            <v>552.65266444291888</v>
          </cell>
          <cell r="AE51">
            <v>331.09231213872829</v>
          </cell>
          <cell r="AF51">
            <v>332.74777369942194</v>
          </cell>
          <cell r="AG51">
            <v>334.41151256791898</v>
          </cell>
        </row>
        <row r="52">
          <cell r="B52" t="str">
            <v xml:space="preserve">Less: minorities </v>
          </cell>
          <cell r="J52">
            <v>-16892.684077970571</v>
          </cell>
          <cell r="P52" t="str">
            <v>Myr/Nkr</v>
          </cell>
          <cell r="R52">
            <v>1.7118877415938574</v>
          </cell>
          <cell r="T52" t="str">
            <v>Norway mobile</v>
          </cell>
          <cell r="V52" t="str">
            <v>Myr/Nkr</v>
          </cell>
          <cell r="X52">
            <v>1.6333684210526318</v>
          </cell>
        </row>
        <row r="53">
          <cell r="B53" t="str">
            <v xml:space="preserve">Plus: associates </v>
          </cell>
          <cell r="J53">
            <v>18947.083655233047</v>
          </cell>
          <cell r="P53" t="str">
            <v>EUR/Nkr</v>
          </cell>
          <cell r="R53">
            <v>7.7705984399999997</v>
          </cell>
          <cell r="T53" t="str">
            <v>Norway fixed</v>
          </cell>
          <cell r="V53" t="str">
            <v>EUR/Nkr</v>
          </cell>
          <cell r="X53">
            <v>8.2001138200000003</v>
          </cell>
        </row>
        <row r="54">
          <cell r="B54" t="str">
            <v xml:space="preserve">Group equity value </v>
          </cell>
          <cell r="J54">
            <v>117539.58782767458</v>
          </cell>
          <cell r="P54" t="str">
            <v>THB/Nkr</v>
          </cell>
          <cell r="R54">
            <v>0.15836874655563038</v>
          </cell>
          <cell r="T54" t="str">
            <v>Int. mobile</v>
          </cell>
          <cell r="V54" t="str">
            <v>THB/Nkr</v>
          </cell>
          <cell r="X54">
            <v>0.16190948219642626</v>
          </cell>
        </row>
        <row r="55">
          <cell r="B55" t="str">
            <v xml:space="preserve">Number of shares </v>
          </cell>
          <cell r="J55">
            <v>1761.7393079999999</v>
          </cell>
          <cell r="P55" t="str">
            <v>US$/Nkr</v>
          </cell>
          <cell r="R55">
            <v>6.4657999999999998</v>
          </cell>
          <cell r="T55" t="str">
            <v>Int. other</v>
          </cell>
          <cell r="V55" t="str">
            <v>US$/Nkr</v>
          </cell>
          <cell r="X55">
            <v>6.2068000000000003</v>
          </cell>
        </row>
        <row r="56">
          <cell r="B56" t="str">
            <v xml:space="preserve">Fair value per share </v>
          </cell>
          <cell r="J56">
            <v>66.717923187574456</v>
          </cell>
          <cell r="P56" t="str">
            <v>CA$/Nkr</v>
          </cell>
          <cell r="R56">
            <v>5.4948585025919936</v>
          </cell>
          <cell r="T56" t="str">
            <v>Norway other</v>
          </cell>
          <cell r="V56" t="str">
            <v>CA$/Nkr</v>
          </cell>
          <cell r="X56">
            <v>5.0484362926511857</v>
          </cell>
        </row>
        <row r="57">
          <cell r="B57" t="str">
            <v>Plus: 2005 Dividend per share not yet received</v>
          </cell>
          <cell r="J57">
            <v>1.5</v>
          </cell>
          <cell r="P57" t="str">
            <v>EUR/Nkr</v>
          </cell>
          <cell r="R57">
            <v>7.8513865150000006</v>
          </cell>
          <cell r="T57" t="str">
            <v>Norway fixed</v>
          </cell>
          <cell r="V57">
            <v>0.23260244580375036</v>
          </cell>
        </row>
        <row r="58">
          <cell r="B58" t="str">
            <v xml:space="preserve">Fair value per share </v>
          </cell>
          <cell r="J58">
            <v>68.217923187574456</v>
          </cell>
          <cell r="P58" t="str">
            <v>THB/Nkr</v>
          </cell>
          <cell r="R58">
            <v>0.16273311507214747</v>
          </cell>
          <cell r="T58" t="str">
            <v>Int. mobile</v>
          </cell>
          <cell r="V58">
            <v>0.42042634923939398</v>
          </cell>
        </row>
        <row r="59">
          <cell r="B59" t="str">
            <v xml:space="preserve">Current price </v>
          </cell>
          <cell r="J59">
            <v>58.25</v>
          </cell>
          <cell r="P59" t="str">
            <v>US$/Nkr</v>
          </cell>
          <cell r="R59">
            <v>6.7103000000000002</v>
          </cell>
          <cell r="T59" t="str">
            <v>Int. other</v>
          </cell>
          <cell r="V59">
            <v>0.12864178184015443</v>
          </cell>
        </row>
      </sheetData>
      <sheetData sheetId="55">
        <row r="4">
          <cell r="AR4" t="str">
            <v xml:space="preserve"> TeliaSonera (Reduce) TP: SEK38.0  (-6.4%)</v>
          </cell>
        </row>
        <row r="11">
          <cell r="E11" t="str">
            <v>Method</v>
          </cell>
          <cell r="F11" t="str">
            <v>Driver</v>
          </cell>
          <cell r="H11" t="str">
            <v>Multiple</v>
          </cell>
          <cell r="J11" t="str">
            <v>100% EV</v>
          </cell>
          <cell r="L11" t="str">
            <v>05E net debt</v>
          </cell>
          <cell r="N11" t="str">
            <v>100% equity</v>
          </cell>
          <cell r="P11" t="str">
            <v>Ownership</v>
          </cell>
          <cell r="R11" t="str">
            <v>TSon equity</v>
          </cell>
          <cell r="T11" t="str">
            <v>Minority</v>
          </cell>
          <cell r="V11" t="str">
            <v>% of equity</v>
          </cell>
          <cell r="X11" t="str">
            <v>Per share</v>
          </cell>
        </row>
        <row r="13">
          <cell r="B13" t="str">
            <v>Fixed Network (Sweden)</v>
          </cell>
          <cell r="E13" t="str">
            <v>DCF, 9.5x 05E FCF</v>
          </cell>
          <cell r="F13">
            <v>5716.8692013858954</v>
          </cell>
          <cell r="G13" t="str">
            <v>x</v>
          </cell>
          <cell r="H13">
            <v>9.4591018722987243</v>
          </cell>
          <cell r="I13" t="str">
            <v>=</v>
          </cell>
          <cell r="J13">
            <v>54076.448166516238</v>
          </cell>
          <cell r="K13" t="str">
            <v>-</v>
          </cell>
          <cell r="L13">
            <v>8946.7605553820249</v>
          </cell>
          <cell r="M13" t="str">
            <v>=</v>
          </cell>
          <cell r="N13">
            <v>45129.687611134214</v>
          </cell>
          <cell r="O13" t="str">
            <v>x</v>
          </cell>
          <cell r="P13">
            <v>1</v>
          </cell>
          <cell r="Q13" t="str">
            <v>=</v>
          </cell>
          <cell r="R13">
            <v>45129.687611134214</v>
          </cell>
          <cell r="T13">
            <v>0</v>
          </cell>
          <cell r="V13">
            <v>0.27385399981114417</v>
          </cell>
          <cell r="X13">
            <v>10.526889571232635</v>
          </cell>
        </row>
        <row r="14">
          <cell r="B14" t="str">
            <v>Fixed Network (Finland)</v>
          </cell>
          <cell r="E14" t="str">
            <v>DCF, 11.0x 05E FCF</v>
          </cell>
          <cell r="F14">
            <v>326.39493625085856</v>
          </cell>
          <cell r="G14" t="str">
            <v>x</v>
          </cell>
          <cell r="H14">
            <v>11.007916780773371</v>
          </cell>
          <cell r="I14" t="str">
            <v>=</v>
          </cell>
          <cell r="J14">
            <v>3592.9282959152806</v>
          </cell>
          <cell r="K14" t="str">
            <v>-</v>
          </cell>
          <cell r="M14" t="str">
            <v>=</v>
          </cell>
          <cell r="N14">
            <v>3592.9282959152806</v>
          </cell>
          <cell r="O14" t="str">
            <v>x</v>
          </cell>
          <cell r="P14">
            <v>1</v>
          </cell>
          <cell r="Q14" t="str">
            <v>=</v>
          </cell>
          <cell r="R14">
            <v>3592.9282959152806</v>
          </cell>
          <cell r="T14">
            <v>0</v>
          </cell>
          <cell r="V14">
            <v>2.1802450603010261E-2</v>
          </cell>
          <cell r="X14">
            <v>0.83808156915151866</v>
          </cell>
        </row>
        <row r="15">
          <cell r="B15" t="str">
            <v>Fixed Network (Denmark)</v>
          </cell>
          <cell r="E15" t="str">
            <v>DCF, 9.5x 05E FCF</v>
          </cell>
          <cell r="F15">
            <v>15.525215999999986</v>
          </cell>
          <cell r="G15" t="str">
            <v>x</v>
          </cell>
          <cell r="H15">
            <v>9.4591018722987261</v>
          </cell>
          <cell r="I15" t="str">
            <v>=</v>
          </cell>
          <cell r="J15">
            <v>146.854599733442</v>
          </cell>
          <cell r="K15" t="str">
            <v>-</v>
          </cell>
          <cell r="M15" t="str">
            <v>=</v>
          </cell>
          <cell r="N15">
            <v>146.854599733442</v>
          </cell>
          <cell r="O15" t="str">
            <v>x</v>
          </cell>
          <cell r="P15">
            <v>1</v>
          </cell>
          <cell r="Q15" t="str">
            <v>=</v>
          </cell>
          <cell r="R15">
            <v>146.854599733442</v>
          </cell>
          <cell r="T15">
            <v>0</v>
          </cell>
          <cell r="V15">
            <v>8.9113666981700031E-4</v>
          </cell>
          <cell r="X15">
            <v>3.4255104261792187E-2</v>
          </cell>
        </row>
        <row r="16">
          <cell r="C16" t="str">
            <v>Total fixed</v>
          </cell>
          <cell r="J16">
            <v>57816.231062164967</v>
          </cell>
        </row>
        <row r="17">
          <cell r="B17" t="str">
            <v>Mobile (Sweden)</v>
          </cell>
          <cell r="E17" t="str">
            <v>DCF, 6.7x 05E FCF</v>
          </cell>
          <cell r="F17">
            <v>3717.8786311706149</v>
          </cell>
          <cell r="G17" t="str">
            <v>x</v>
          </cell>
          <cell r="H17">
            <v>6.6908778162173546</v>
          </cell>
          <cell r="I17" t="str">
            <v>=</v>
          </cell>
          <cell r="J17">
            <v>24875.87165668801</v>
          </cell>
          <cell r="K17" t="str">
            <v>-</v>
          </cell>
          <cell r="M17" t="str">
            <v>=</v>
          </cell>
          <cell r="N17">
            <v>24875.87165668801</v>
          </cell>
          <cell r="O17" t="str">
            <v>x</v>
          </cell>
          <cell r="P17">
            <v>1</v>
          </cell>
          <cell r="Q17" t="str">
            <v>=</v>
          </cell>
          <cell r="R17">
            <v>24875.87165668801</v>
          </cell>
          <cell r="T17">
            <v>0</v>
          </cell>
          <cell r="V17">
            <v>0.1509506782026111</v>
          </cell>
          <cell r="X17">
            <v>5.802511999961288</v>
          </cell>
        </row>
        <row r="18">
          <cell r="B18" t="str">
            <v>Mobile (Norway)</v>
          </cell>
          <cell r="E18" t="str">
            <v>DCF, 7.8x 05E FCF</v>
          </cell>
          <cell r="F18">
            <v>1260.6439906657511</v>
          </cell>
          <cell r="G18" t="str">
            <v>x</v>
          </cell>
          <cell r="H18">
            <v>7.7611679518713208</v>
          </cell>
          <cell r="I18" t="str">
            <v>=</v>
          </cell>
          <cell r="J18">
            <v>9784.0697390741952</v>
          </cell>
          <cell r="K18" t="str">
            <v>-</v>
          </cell>
          <cell r="M18" t="str">
            <v>=</v>
          </cell>
          <cell r="N18">
            <v>9784.0697390741952</v>
          </cell>
          <cell r="O18" t="str">
            <v>x</v>
          </cell>
          <cell r="P18">
            <v>1</v>
          </cell>
          <cell r="Q18" t="str">
            <v>=</v>
          </cell>
          <cell r="R18">
            <v>9784.0697390741952</v>
          </cell>
          <cell r="T18">
            <v>0</v>
          </cell>
          <cell r="V18">
            <v>5.9371264777281413E-2</v>
          </cell>
          <cell r="X18">
            <v>2.2822188043478113</v>
          </cell>
        </row>
        <row r="19">
          <cell r="B19" t="str">
            <v>Mobile (Denmark)</v>
          </cell>
          <cell r="E19" t="str">
            <v>DCF, -25.2x 05E FCF</v>
          </cell>
          <cell r="F19">
            <v>-168.87731066633648</v>
          </cell>
          <cell r="G19" t="str">
            <v>x</v>
          </cell>
          <cell r="H19">
            <v>-25.21901366322049</v>
          </cell>
          <cell r="I19" t="str">
            <v>=</v>
          </cell>
          <cell r="J19">
            <v>4258.919205102271</v>
          </cell>
          <cell r="K19" t="str">
            <v>-</v>
          </cell>
          <cell r="M19" t="str">
            <v>=</v>
          </cell>
          <cell r="N19">
            <v>4258.919205102271</v>
          </cell>
          <cell r="O19" t="str">
            <v>x</v>
          </cell>
          <cell r="P19">
            <v>1</v>
          </cell>
          <cell r="Q19" t="str">
            <v>=</v>
          </cell>
          <cell r="R19">
            <v>4258.919205102271</v>
          </cell>
          <cell r="T19">
            <v>0</v>
          </cell>
          <cell r="V19">
            <v>2.5843787558192746E-2</v>
          </cell>
          <cell r="X19">
            <v>0.99342970310861234</v>
          </cell>
        </row>
        <row r="20">
          <cell r="B20" t="str">
            <v>Mobile (Finland)</v>
          </cell>
          <cell r="E20" t="str">
            <v>DCF, 7.8x 05E FCF</v>
          </cell>
          <cell r="F20">
            <v>3668.9710410499997</v>
          </cell>
          <cell r="G20" t="str">
            <v>x</v>
          </cell>
          <cell r="H20">
            <v>7.7720990474757192</v>
          </cell>
          <cell r="I20" t="str">
            <v>=</v>
          </cell>
          <cell r="J20">
            <v>28515.606333360702</v>
          </cell>
          <cell r="K20" t="str">
            <v>-</v>
          </cell>
          <cell r="M20" t="str">
            <v>=</v>
          </cell>
          <cell r="N20">
            <v>28515.606333360702</v>
          </cell>
          <cell r="O20" t="str">
            <v>x</v>
          </cell>
          <cell r="P20">
            <v>1</v>
          </cell>
          <cell r="Q20" t="str">
            <v>=</v>
          </cell>
          <cell r="R20">
            <v>28515.606333360702</v>
          </cell>
          <cell r="T20">
            <v>0</v>
          </cell>
          <cell r="V20">
            <v>0.17303715724157132</v>
          </cell>
          <cell r="X20">
            <v>6.6515115618476104</v>
          </cell>
        </row>
        <row r="21">
          <cell r="C21" t="str">
            <v>Total mobile</v>
          </cell>
          <cell r="J21">
            <v>67434.466934225173</v>
          </cell>
        </row>
        <row r="22">
          <cell r="B22" t="str">
            <v>International Carrier</v>
          </cell>
          <cell r="E22" t="str">
            <v>Book value</v>
          </cell>
          <cell r="J22">
            <v>-259.04395295555219</v>
          </cell>
          <cell r="K22" t="str">
            <v>-</v>
          </cell>
          <cell r="M22" t="str">
            <v>=</v>
          </cell>
          <cell r="N22">
            <v>-259.04395295555219</v>
          </cell>
          <cell r="O22" t="str">
            <v>x</v>
          </cell>
          <cell r="P22">
            <v>1</v>
          </cell>
          <cell r="Q22" t="str">
            <v>=</v>
          </cell>
          <cell r="R22">
            <v>-259.04395295555219</v>
          </cell>
          <cell r="T22">
            <v>0</v>
          </cell>
          <cell r="V22">
            <v>-1.5719192043834522E-3</v>
          </cell>
          <cell r="X22">
            <v>-6.0424240255230646E-2</v>
          </cell>
        </row>
        <row r="23">
          <cell r="B23" t="str">
            <v>Eesti Telekom</v>
          </cell>
          <cell r="E23" t="str">
            <v>NSR value</v>
          </cell>
          <cell r="F23">
            <v>139</v>
          </cell>
          <cell r="G23" t="str">
            <v>x</v>
          </cell>
          <cell r="H23">
            <v>6.4402181524495017</v>
          </cell>
          <cell r="I23" t="str">
            <v>=</v>
          </cell>
          <cell r="J23">
            <v>7468.8157915048178</v>
          </cell>
          <cell r="K23" t="str">
            <v>-</v>
          </cell>
          <cell r="L23">
            <v>-618</v>
          </cell>
          <cell r="M23" t="str">
            <v>=</v>
          </cell>
          <cell r="N23">
            <v>8086.8157915048178</v>
          </cell>
          <cell r="O23" t="str">
            <v>x</v>
          </cell>
          <cell r="P23">
            <v>0.5</v>
          </cell>
          <cell r="Q23" t="str">
            <v>=</v>
          </cell>
          <cell r="R23">
            <v>4043.4078957524089</v>
          </cell>
          <cell r="T23">
            <v>4043.4078957524089</v>
          </cell>
          <cell r="V23">
            <v>4.9072062481840428E-2</v>
          </cell>
          <cell r="X23">
            <v>1.8863196562226761</v>
          </cell>
        </row>
        <row r="24">
          <cell r="B24" t="str">
            <v>Lietuvos Telekomas (Lithuania - fixed)</v>
          </cell>
          <cell r="E24" t="str">
            <v>Mkt value</v>
          </cell>
          <cell r="F24">
            <v>776.8</v>
          </cell>
          <cell r="G24" t="str">
            <v>x</v>
          </cell>
          <cell r="H24">
            <v>2.29</v>
          </cell>
          <cell r="I24" t="str">
            <v>=</v>
          </cell>
          <cell r="J24">
            <v>4607.0702926446311</v>
          </cell>
          <cell r="K24" t="str">
            <v>-</v>
          </cell>
          <cell r="L24">
            <v>-48.773946360153261</v>
          </cell>
          <cell r="M24" t="str">
            <v>=</v>
          </cell>
          <cell r="N24">
            <v>4655.844239004784</v>
          </cell>
          <cell r="O24" t="str">
            <v>x</v>
          </cell>
          <cell r="P24">
            <v>0.9</v>
          </cell>
          <cell r="Q24" t="str">
            <v>=</v>
          </cell>
          <cell r="R24">
            <v>4190.2598151043057</v>
          </cell>
          <cell r="T24">
            <v>465.58442390047821</v>
          </cell>
          <cell r="V24">
            <v>2.8252390717514397E-2</v>
          </cell>
          <cell r="X24">
            <v>1.0860158968344171</v>
          </cell>
        </row>
        <row r="25">
          <cell r="B25" t="str">
            <v>Omnitel (Lithuania - mobile)</v>
          </cell>
          <cell r="E25" t="str">
            <v>DCF, 8.1x 05E FCF</v>
          </cell>
          <cell r="F25">
            <v>663.83828994796704</v>
          </cell>
          <cell r="G25" t="str">
            <v>x</v>
          </cell>
          <cell r="H25">
            <v>8.0859092794410525</v>
          </cell>
          <cell r="I25" t="str">
            <v>=</v>
          </cell>
          <cell r="J25">
            <v>5367.7361887385468</v>
          </cell>
          <cell r="K25" t="str">
            <v>-</v>
          </cell>
          <cell r="M25" t="str">
            <v>=</v>
          </cell>
          <cell r="N25">
            <v>5367.7361887385468</v>
          </cell>
          <cell r="O25" t="str">
            <v>x</v>
          </cell>
          <cell r="P25">
            <v>1</v>
          </cell>
          <cell r="Q25" t="str">
            <v>=</v>
          </cell>
          <cell r="R25">
            <v>5367.7361887385468</v>
          </cell>
          <cell r="T25">
            <v>0</v>
          </cell>
          <cell r="V25">
            <v>3.2572262362711574E-2</v>
          </cell>
          <cell r="X25">
            <v>1.2520708450997342</v>
          </cell>
        </row>
        <row r="26">
          <cell r="B26" t="str">
            <v>LMT (Latvia - mobile)</v>
          </cell>
          <cell r="E26" t="str">
            <v>DCF, 8.4x 05E FCF</v>
          </cell>
          <cell r="F26">
            <v>882.44487724482576</v>
          </cell>
          <cell r="G26" t="str">
            <v>x</v>
          </cell>
          <cell r="H26">
            <v>8.3974815827102791</v>
          </cell>
          <cell r="I26" t="str">
            <v>=</v>
          </cell>
          <cell r="J26">
            <v>7410.3146044204577</v>
          </cell>
          <cell r="K26" t="str">
            <v>-</v>
          </cell>
          <cell r="L26">
            <v>-150</v>
          </cell>
          <cell r="M26" t="str">
            <v>=</v>
          </cell>
          <cell r="N26">
            <v>7560.3146044204577</v>
          </cell>
          <cell r="O26" t="str">
            <v>x</v>
          </cell>
          <cell r="P26">
            <v>0.6</v>
          </cell>
          <cell r="Q26" t="str">
            <v>=</v>
          </cell>
          <cell r="R26">
            <v>4536.1887626522748</v>
          </cell>
          <cell r="T26">
            <v>3024.1258417681829</v>
          </cell>
          <cell r="V26">
            <v>4.5877170967616988E-2</v>
          </cell>
          <cell r="X26">
            <v>1.7635087051849263</v>
          </cell>
        </row>
        <row r="27">
          <cell r="B27" t="str">
            <v>Eurasia</v>
          </cell>
          <cell r="E27" t="str">
            <v>DCF, 7.0x 05E FCF</v>
          </cell>
          <cell r="F27">
            <v>1707.8324484936988</v>
          </cell>
          <cell r="G27" t="str">
            <v>x</v>
          </cell>
          <cell r="H27">
            <v>6.9897867590556464</v>
          </cell>
          <cell r="I27" t="str">
            <v>=</v>
          </cell>
          <cell r="J27">
            <v>11937.38463516684</v>
          </cell>
          <cell r="K27" t="str">
            <v>-</v>
          </cell>
          <cell r="M27" t="str">
            <v>=</v>
          </cell>
          <cell r="N27">
            <v>11937.38463516684</v>
          </cell>
          <cell r="O27" t="str">
            <v>x</v>
          </cell>
          <cell r="P27">
            <v>0.59</v>
          </cell>
          <cell r="Q27" t="str">
            <v>=</v>
          </cell>
          <cell r="R27">
            <v>7043.0569347484352</v>
          </cell>
          <cell r="T27">
            <v>4894.3277004184047</v>
          </cell>
          <cell r="V27">
            <v>7.2437916207024569E-2</v>
          </cell>
          <cell r="X27">
            <v>2.784498109238569</v>
          </cell>
        </row>
        <row r="28">
          <cell r="B28" t="str">
            <v>Other (Telia Holding, Corporate, Baltic other)</v>
          </cell>
          <cell r="E28" t="str">
            <v>DCF, 9.5x 05E FCF</v>
          </cell>
          <cell r="F28">
            <v>-758.16</v>
          </cell>
          <cell r="G28" t="str">
            <v>x</v>
          </cell>
          <cell r="H28">
            <v>9.4591018722987261</v>
          </cell>
          <cell r="I28" t="str">
            <v>=</v>
          </cell>
          <cell r="J28">
            <v>-7171.5126755020019</v>
          </cell>
          <cell r="K28" t="str">
            <v>-</v>
          </cell>
          <cell r="M28" t="str">
            <v>=</v>
          </cell>
          <cell r="N28">
            <v>-7171.5126755020019</v>
          </cell>
          <cell r="O28" t="str">
            <v>x</v>
          </cell>
          <cell r="P28">
            <v>1</v>
          </cell>
          <cell r="Q28" t="str">
            <v>=</v>
          </cell>
          <cell r="R28">
            <v>-7171.5126755020019</v>
          </cell>
          <cell r="T28">
            <v>0</v>
          </cell>
          <cell r="V28">
            <v>-4.351786007927088E-2</v>
          </cell>
          <cell r="X28">
            <v>-1.6728172958830578</v>
          </cell>
        </row>
        <row r="29">
          <cell r="C29" t="str">
            <v>Total other</v>
          </cell>
          <cell r="J29">
            <v>29360.764884017743</v>
          </cell>
        </row>
        <row r="30">
          <cell r="B30" t="str">
            <v>Tax credit (Finland UMTS/Sweden)</v>
          </cell>
          <cell r="J30">
            <v>5530.2865534769144</v>
          </cell>
          <cell r="K30" t="str">
            <v>-</v>
          </cell>
          <cell r="M30" t="str">
            <v>=</v>
          </cell>
          <cell r="N30">
            <v>5530.2865534769144</v>
          </cell>
          <cell r="O30" t="str">
            <v>x</v>
          </cell>
          <cell r="P30">
            <v>1</v>
          </cell>
          <cell r="Q30" t="str">
            <v>=</v>
          </cell>
          <cell r="R30">
            <v>5530.2865534769144</v>
          </cell>
          <cell r="T30">
            <v>0</v>
          </cell>
          <cell r="V30">
            <v>3.3558643388388779E-2</v>
          </cell>
          <cell r="X30">
            <v>1.2899871221657031</v>
          </cell>
        </row>
        <row r="31">
          <cell r="B31" t="str">
            <v>Total</v>
          </cell>
          <cell r="J31">
            <v>160141.7494338848</v>
          </cell>
          <cell r="L31">
            <v>8129.9866090218711</v>
          </cell>
          <cell r="N31">
            <v>152011.76282486293</v>
          </cell>
          <cell r="R31">
            <v>139584.31696302345</v>
          </cell>
          <cell r="T31">
            <v>12427.445861839475</v>
          </cell>
          <cell r="V31">
            <v>0.92243114170507046</v>
          </cell>
          <cell r="X31">
            <v>35.458057112519008</v>
          </cell>
          <cell r="AA31">
            <v>5.9305990581739243</v>
          </cell>
          <cell r="AB31">
            <v>5.6519306609322326</v>
          </cell>
          <cell r="AC31">
            <v>5.5789464073834214</v>
          </cell>
          <cell r="AE31">
            <v>9.7776332032857667</v>
          </cell>
          <cell r="AF31">
            <v>8.5269781893814613</v>
          </cell>
          <cell r="AG31">
            <v>8.1671737802627273</v>
          </cell>
        </row>
        <row r="33">
          <cell r="B33" t="str">
            <v>Associates</v>
          </cell>
        </row>
        <row r="34">
          <cell r="B34" t="str">
            <v>Turkcell</v>
          </cell>
          <cell r="E34" t="str">
            <v>Mkt value (25% discount)</v>
          </cell>
          <cell r="F34">
            <v>589.85599999999999</v>
          </cell>
          <cell r="G34" t="str">
            <v>x</v>
          </cell>
          <cell r="H34">
            <v>18.37</v>
          </cell>
          <cell r="I34" t="str">
            <v>=</v>
          </cell>
          <cell r="J34">
            <v>33750</v>
          </cell>
          <cell r="K34" t="str">
            <v>-</v>
          </cell>
          <cell r="L34">
            <v>3635</v>
          </cell>
          <cell r="M34" t="str">
            <v>=</v>
          </cell>
          <cell r="N34">
            <v>74090.956278943995</v>
          </cell>
          <cell r="O34" t="str">
            <v>x</v>
          </cell>
          <cell r="P34">
            <v>0.371</v>
          </cell>
          <cell r="Q34" t="str">
            <v>=</v>
          </cell>
          <cell r="R34">
            <v>20615.808584616167</v>
          </cell>
          <cell r="T34" t="str">
            <v>BREAKDOWN OF VALUE</v>
          </cell>
          <cell r="AA34" t="str">
            <v>2005E</v>
          </cell>
          <cell r="AB34" t="str">
            <v>2006E</v>
          </cell>
          <cell r="AC34" t="str">
            <v>2007E</v>
          </cell>
          <cell r="AE34" t="str">
            <v>2005E</v>
          </cell>
          <cell r="AF34" t="str">
            <v>2006E</v>
          </cell>
          <cell r="AG34" t="str">
            <v>2007E</v>
          </cell>
        </row>
        <row r="35">
          <cell r="B35" t="str">
            <v>Megafon (Russia)</v>
          </cell>
          <cell r="E35" t="str">
            <v>6.0x 05E EBITDA</v>
          </cell>
          <cell r="F35">
            <v>4500</v>
          </cell>
          <cell r="G35" t="str">
            <v>x</v>
          </cell>
          <cell r="H35">
            <v>6</v>
          </cell>
          <cell r="I35" t="str">
            <v>=</v>
          </cell>
          <cell r="J35">
            <v>27000</v>
          </cell>
          <cell r="K35" t="str">
            <v>-</v>
          </cell>
          <cell r="L35">
            <v>3635</v>
          </cell>
          <cell r="M35" t="str">
            <v>=</v>
          </cell>
          <cell r="N35">
            <v>23365</v>
          </cell>
          <cell r="O35" t="str">
            <v>x</v>
          </cell>
          <cell r="P35">
            <v>0.43</v>
          </cell>
          <cell r="Q35" t="str">
            <v>=</v>
          </cell>
          <cell r="R35">
            <v>10046.950000000001</v>
          </cell>
          <cell r="AA35" t="str">
            <v>EBITDA</v>
          </cell>
          <cell r="AB35" t="str">
            <v>EBITDA</v>
          </cell>
          <cell r="AC35" t="str">
            <v>EBITDA</v>
          </cell>
          <cell r="AE35" t="str">
            <v>OpFCF</v>
          </cell>
          <cell r="AF35" t="str">
            <v>OpFCF</v>
          </cell>
          <cell r="AG35" t="str">
            <v>OpFCF</v>
          </cell>
        </row>
        <row r="36">
          <cell r="B36" t="str">
            <v>Lattelekom (Latvia - fixed)</v>
          </cell>
          <cell r="E36" t="str">
            <v>7.7x 05E OpFCF</v>
          </cell>
          <cell r="F36">
            <v>297.94260338591954</v>
          </cell>
          <cell r="G36" t="str">
            <v>x</v>
          </cell>
          <cell r="H36">
            <v>7.6832085366386336</v>
          </cell>
          <cell r="I36" t="str">
            <v>=</v>
          </cell>
          <cell r="J36">
            <v>2289.1551537630357</v>
          </cell>
          <cell r="K36" t="str">
            <v>-</v>
          </cell>
          <cell r="L36">
            <v>156.06</v>
          </cell>
          <cell r="M36" t="str">
            <v>=</v>
          </cell>
          <cell r="N36">
            <v>2133.0951537630358</v>
          </cell>
          <cell r="O36" t="str">
            <v>x</v>
          </cell>
          <cell r="P36">
            <v>0.49</v>
          </cell>
          <cell r="Q36" t="str">
            <v>=</v>
          </cell>
          <cell r="R36">
            <v>1045.2166253438875</v>
          </cell>
          <cell r="AA36">
            <v>10398.862238147527</v>
          </cell>
          <cell r="AB36">
            <v>10089.592444281456</v>
          </cell>
          <cell r="AC36">
            <v>9941.4775454127048</v>
          </cell>
          <cell r="AE36">
            <v>7132.5222381475269</v>
          </cell>
          <cell r="AF36">
            <v>6921.2426442814558</v>
          </cell>
          <cell r="AG36">
            <v>6868.1782394127049</v>
          </cell>
        </row>
        <row r="37">
          <cell r="B37" t="str">
            <v>Total</v>
          </cell>
          <cell r="R37">
            <v>31707.975209960056</v>
          </cell>
          <cell r="AA37">
            <v>1653.5126002367506</v>
          </cell>
          <cell r="AB37">
            <v>1829.9381949012914</v>
          </cell>
          <cell r="AC37">
            <v>1803.1630565333899</v>
          </cell>
          <cell r="AE37">
            <v>431.07860023675062</v>
          </cell>
          <cell r="AF37">
            <v>871.32509090129133</v>
          </cell>
          <cell r="AG37">
            <v>975.60564940938991</v>
          </cell>
        </row>
        <row r="38">
          <cell r="AA38">
            <v>435.48400000000004</v>
          </cell>
          <cell r="AB38">
            <v>421.98399600000005</v>
          </cell>
          <cell r="AC38">
            <v>403.77205512</v>
          </cell>
          <cell r="AE38">
            <v>261.29040000000003</v>
          </cell>
          <cell r="AF38">
            <v>222.09684000000004</v>
          </cell>
          <cell r="AG38">
            <v>201.88602756</v>
          </cell>
        </row>
        <row r="39">
          <cell r="B39" t="str">
            <v xml:space="preserve">Total EV </v>
          </cell>
          <cell r="J39">
            <v>160141.7494338848</v>
          </cell>
          <cell r="AA39">
            <v>5032.8782217134249</v>
          </cell>
          <cell r="AB39">
            <v>5207.2506493137962</v>
          </cell>
          <cell r="AC39">
            <v>5235.1965493852995</v>
          </cell>
          <cell r="AE39">
            <v>4174.3326979783624</v>
          </cell>
          <cell r="AF39">
            <v>4556.049536711238</v>
          </cell>
          <cell r="AG39">
            <v>4586.3956092428398</v>
          </cell>
        </row>
        <row r="40">
          <cell r="B40" t="str">
            <v>Less: end 2005E (net debt)/cash</v>
          </cell>
          <cell r="J40">
            <v>-8129.9866090218711</v>
          </cell>
          <cell r="AA40">
            <v>2491.8743590998383</v>
          </cell>
          <cell r="AB40">
            <v>2778.3851991659931</v>
          </cell>
          <cell r="AC40">
            <v>2738.2339971897591</v>
          </cell>
          <cell r="AE40">
            <v>1541.0965902178152</v>
          </cell>
          <cell r="AF40">
            <v>1776.3763325302948</v>
          </cell>
          <cell r="AG40">
            <v>1743.8948920445164</v>
          </cell>
        </row>
        <row r="41">
          <cell r="B41" t="str">
            <v>Less: Ipse</v>
          </cell>
          <cell r="J41">
            <v>-271</v>
          </cell>
          <cell r="AA41">
            <v>533.47859925918237</v>
          </cell>
          <cell r="AB41">
            <v>1122.7179475351609</v>
          </cell>
          <cell r="AC41">
            <v>1290.0544227600944</v>
          </cell>
          <cell r="AE41">
            <v>-212.0864951760492</v>
          </cell>
          <cell r="AF41">
            <v>473.44899114017574</v>
          </cell>
          <cell r="AG41">
            <v>644.64134594459574</v>
          </cell>
        </row>
        <row r="42">
          <cell r="B42" t="str">
            <v>Less: Xfera</v>
          </cell>
          <cell r="J42">
            <v>-610</v>
          </cell>
          <cell r="AA42">
            <v>2466.6556033491497</v>
          </cell>
          <cell r="AB42">
            <v>2544.3014809141432</v>
          </cell>
          <cell r="AC42">
            <v>2633.3635026200445</v>
          </cell>
          <cell r="AE42">
            <v>1583.1231641436354</v>
          </cell>
          <cell r="AF42">
            <v>1698.560787964336</v>
          </cell>
          <cell r="AG42">
            <v>1802.6535113959931</v>
          </cell>
        </row>
        <row r="43">
          <cell r="B43" t="str">
            <v>Less: Danish UMTS liability</v>
          </cell>
          <cell r="J43">
            <v>-611</v>
          </cell>
        </row>
        <row r="44">
          <cell r="B44" t="str">
            <v>Less: Unfunded domestic pension fund</v>
          </cell>
          <cell r="J44">
            <v>-2193.3554999999978</v>
          </cell>
        </row>
        <row r="45">
          <cell r="B45" t="str">
            <v>Less: Restructuring/other</v>
          </cell>
          <cell r="J45">
            <v>-2812.2371533246396</v>
          </cell>
        </row>
        <row r="46">
          <cell r="B46" t="str">
            <v xml:space="preserve">Less: minorities </v>
          </cell>
          <cell r="J46">
            <v>-12427.445861839475</v>
          </cell>
        </row>
        <row r="47">
          <cell r="B47" t="str">
            <v xml:space="preserve">Plus: associates </v>
          </cell>
          <cell r="J47">
            <v>31707.975209960056</v>
          </cell>
        </row>
        <row r="48">
          <cell r="B48" t="str">
            <v xml:space="preserve">Group equity value </v>
          </cell>
          <cell r="J48">
            <v>164794.69951965884</v>
          </cell>
        </row>
        <row r="49">
          <cell r="B49" t="str">
            <v xml:space="preserve">Number of shares </v>
          </cell>
          <cell r="J49">
            <v>4425.232</v>
          </cell>
        </row>
        <row r="50">
          <cell r="B50" t="str">
            <v xml:space="preserve">Fair value per share </v>
          </cell>
          <cell r="J50">
            <v>37.239787545525033</v>
          </cell>
        </row>
        <row r="51">
          <cell r="B51" t="str">
            <v>Plus: 2005 Dividend per share not yet received</v>
          </cell>
          <cell r="J51">
            <v>1.2</v>
          </cell>
        </row>
        <row r="52">
          <cell r="B52" t="str">
            <v xml:space="preserve">Fair value per share </v>
          </cell>
          <cell r="J52">
            <v>38.439787545525036</v>
          </cell>
        </row>
        <row r="53">
          <cell r="B53" t="str">
            <v xml:space="preserve">Current price </v>
          </cell>
          <cell r="J53">
            <v>40.6</v>
          </cell>
        </row>
        <row r="54">
          <cell r="B54" t="str">
            <v xml:space="preserve">% upside/downside to current price </v>
          </cell>
          <cell r="D54">
            <v>7.9729999999999999</v>
          </cell>
          <cell r="J54">
            <v>-5.3207203312191309E-2</v>
          </cell>
        </row>
        <row r="55">
          <cell r="B55" t="str">
            <v>SKr/€</v>
          </cell>
          <cell r="D55">
            <v>9.5819513999999995</v>
          </cell>
        </row>
        <row r="56">
          <cell r="B56" t="str">
            <v>SKr/US$</v>
          </cell>
          <cell r="D56">
            <v>6.8376999999999999</v>
          </cell>
        </row>
        <row r="57">
          <cell r="B57" t="str">
            <v>SKr/€</v>
          </cell>
          <cell r="D57">
            <v>9.0336273550000001</v>
          </cell>
        </row>
        <row r="58">
          <cell r="B58" t="str">
            <v>Skr/LTL</v>
          </cell>
          <cell r="D58">
            <v>2.6173014354066986</v>
          </cell>
        </row>
      </sheetData>
      <sheetData sheetId="56"/>
      <sheetData sheetId="57"/>
      <sheetData sheetId="58"/>
      <sheetData sheetId="59"/>
      <sheetData sheetId="60"/>
      <sheetData sheetId="61">
        <row r="5">
          <cell r="D5">
            <v>0</v>
          </cell>
          <cell r="E5">
            <v>0</v>
          </cell>
          <cell r="F5">
            <v>0</v>
          </cell>
          <cell r="G5">
            <v>0</v>
          </cell>
        </row>
        <row r="6">
          <cell r="D6">
            <v>8396</v>
          </cell>
          <cell r="E6">
            <v>8296</v>
          </cell>
          <cell r="F6">
            <v>8296</v>
          </cell>
          <cell r="G6">
            <v>8296</v>
          </cell>
        </row>
        <row r="7">
          <cell r="D7">
            <v>7653.7728781035876</v>
          </cell>
          <cell r="E7">
            <v>7760.1367021937749</v>
          </cell>
          <cell r="F7">
            <v>7668.0019089915786</v>
          </cell>
          <cell r="G7">
            <v>7688.058817025867</v>
          </cell>
        </row>
        <row r="8">
          <cell r="D8">
            <v>3346.1349443224522</v>
          </cell>
          <cell r="E8">
            <v>3288.1600114053772</v>
          </cell>
          <cell r="F8">
            <v>3225.5254258783102</v>
          </cell>
          <cell r="G8">
            <v>3166.9541099597936</v>
          </cell>
        </row>
        <row r="9">
          <cell r="D9">
            <v>370.56824999999992</v>
          </cell>
          <cell r="E9">
            <v>1391.91975</v>
          </cell>
          <cell r="F9">
            <v>2500.3559999999998</v>
          </cell>
          <cell r="G9">
            <v>3661.7959999999998</v>
          </cell>
        </row>
        <row r="10">
          <cell r="D10">
            <v>0</v>
          </cell>
          <cell r="E10">
            <v>0</v>
          </cell>
          <cell r="F10">
            <v>0</v>
          </cell>
          <cell r="G10">
            <v>0</v>
          </cell>
        </row>
        <row r="11">
          <cell r="D11">
            <v>2054.5540685571386</v>
          </cell>
          <cell r="E11">
            <v>1994.4133379774507</v>
          </cell>
          <cell r="F11">
            <v>1929.4613489513874</v>
          </cell>
          <cell r="G11">
            <v>1906.3132008032394</v>
          </cell>
        </row>
        <row r="12">
          <cell r="C12">
            <v>18623</v>
          </cell>
          <cell r="D12">
            <v>19661.270291934823</v>
          </cell>
          <cell r="E12">
            <v>19630.256594886185</v>
          </cell>
          <cell r="F12">
            <v>19504.852757969355</v>
          </cell>
          <cell r="G12">
            <v>19118.038335809397</v>
          </cell>
        </row>
        <row r="13">
          <cell r="C13">
            <v>5537</v>
          </cell>
          <cell r="D13">
            <v>5515.0375132708959</v>
          </cell>
          <cell r="E13">
            <v>5635.6789530313436</v>
          </cell>
          <cell r="F13">
            <v>5663.5255967088742</v>
          </cell>
          <cell r="G13">
            <v>5510.626062675763</v>
          </cell>
        </row>
        <row r="14">
          <cell r="C14">
            <v>2526</v>
          </cell>
          <cell r="D14">
            <v>2532.7808155020762</v>
          </cell>
          <cell r="E14">
            <v>2756.2777513611604</v>
          </cell>
          <cell r="F14">
            <v>2900.0431182675675</v>
          </cell>
          <cell r="G14">
            <v>2897.5383361586805</v>
          </cell>
        </row>
        <row r="15">
          <cell r="C15">
            <v>1768.2</v>
          </cell>
          <cell r="D15">
            <v>1772.9465708514533</v>
          </cell>
          <cell r="E15">
            <v>1929.3944259528121</v>
          </cell>
          <cell r="F15">
            <v>2030.030182787297</v>
          </cell>
          <cell r="G15">
            <v>2028.2768353110762</v>
          </cell>
        </row>
        <row r="16">
          <cell r="C16">
            <v>7982.509</v>
          </cell>
          <cell r="D16">
            <v>8187.3173992874354</v>
          </cell>
          <cell r="E16">
            <v>8636.8302203736894</v>
          </cell>
          <cell r="F16">
            <v>9043.1810267381079</v>
          </cell>
          <cell r="G16">
            <v>9415.4594115417713</v>
          </cell>
        </row>
        <row r="17">
          <cell r="C17">
            <v>15386</v>
          </cell>
          <cell r="D17">
            <v>15468.800128393763</v>
          </cell>
          <cell r="E17">
            <v>15433.141265549388</v>
          </cell>
          <cell r="F17">
            <v>15288.283510759808</v>
          </cell>
          <cell r="G17">
            <v>15020.329117184549</v>
          </cell>
        </row>
        <row r="18">
          <cell r="C18">
            <v>1089</v>
          </cell>
          <cell r="D18">
            <v>1187.8466162166574</v>
          </cell>
          <cell r="E18">
            <v>1404.0993524947421</v>
          </cell>
          <cell r="F18">
            <v>1496.1458943810976</v>
          </cell>
          <cell r="G18">
            <v>1518.6327800708855</v>
          </cell>
        </row>
        <row r="19">
          <cell r="C19">
            <v>1338</v>
          </cell>
          <cell r="D19">
            <v>1339.3451711838493</v>
          </cell>
          <cell r="E19">
            <v>1437.1475741960667</v>
          </cell>
          <cell r="F19">
            <v>1420.003859405017</v>
          </cell>
          <cell r="G19">
            <v>1272.4027189319866</v>
          </cell>
        </row>
        <row r="20">
          <cell r="C20">
            <v>883.58400000000006</v>
          </cell>
          <cell r="D20">
            <v>982.33199999999999</v>
          </cell>
          <cell r="E20">
            <v>1070.1840000000002</v>
          </cell>
          <cell r="F20">
            <v>1161.44</v>
          </cell>
          <cell r="G20">
            <v>1161.44</v>
          </cell>
        </row>
        <row r="21">
          <cell r="C21">
            <v>599</v>
          </cell>
          <cell r="D21">
            <v>521.73298075367757</v>
          </cell>
          <cell r="E21">
            <v>418.0524465137471</v>
          </cell>
          <cell r="F21">
            <v>314.13506678313047</v>
          </cell>
          <cell r="G21">
            <v>218.72278628961055</v>
          </cell>
        </row>
        <row r="25">
          <cell r="D25">
            <v>0</v>
          </cell>
          <cell r="E25">
            <v>0</v>
          </cell>
          <cell r="F25">
            <v>0</v>
          </cell>
          <cell r="G25">
            <v>0</v>
          </cell>
        </row>
        <row r="26">
          <cell r="D26">
            <v>4195</v>
          </cell>
          <cell r="E26">
            <v>4390</v>
          </cell>
          <cell r="F26">
            <v>4390</v>
          </cell>
          <cell r="G26">
            <v>4390</v>
          </cell>
        </row>
        <row r="27">
          <cell r="D27">
            <v>40922.256819765636</v>
          </cell>
          <cell r="E27">
            <v>35909.441883708088</v>
          </cell>
          <cell r="F27">
            <v>34217.094298005475</v>
          </cell>
          <cell r="G27">
            <v>31483.477345629231</v>
          </cell>
        </row>
        <row r="28">
          <cell r="D28">
            <v>4665.2084865592469</v>
          </cell>
          <cell r="E28">
            <v>4301.7730806183945</v>
          </cell>
          <cell r="F28">
            <v>3672.8971962616824</v>
          </cell>
          <cell r="G28">
            <v>3000</v>
          </cell>
        </row>
        <row r="29">
          <cell r="D29">
            <v>0</v>
          </cell>
          <cell r="E29">
            <v>2936.5</v>
          </cell>
          <cell r="F29">
            <v>6163.15</v>
          </cell>
          <cell r="G29">
            <v>9486.5995000000003</v>
          </cell>
        </row>
        <row r="30">
          <cell r="D30">
            <v>3529.9048297109498</v>
          </cell>
          <cell r="E30">
            <v>1678.9841162718917</v>
          </cell>
          <cell r="F30">
            <v>1212.3546385510783</v>
          </cell>
          <cell r="G30">
            <v>634.448620263424</v>
          </cell>
        </row>
        <row r="31">
          <cell r="D31">
            <v>1135.3036568482971</v>
          </cell>
          <cell r="E31">
            <v>2622.7889643465028</v>
          </cell>
          <cell r="F31">
            <v>2460.5425577106043</v>
          </cell>
          <cell r="G31">
            <v>2365.5513797365761</v>
          </cell>
        </row>
        <row r="32">
          <cell r="C32">
            <v>57360</v>
          </cell>
          <cell r="D32">
            <v>59963.689187444696</v>
          </cell>
          <cell r="E32">
            <v>61793.536760284063</v>
          </cell>
          <cell r="F32">
            <v>62539.826570556143</v>
          </cell>
          <cell r="G32">
            <v>62370.790332033685</v>
          </cell>
        </row>
        <row r="33">
          <cell r="C33">
            <v>19617</v>
          </cell>
          <cell r="D33">
            <v>20820.746061364869</v>
          </cell>
          <cell r="E33">
            <v>20479.506717864111</v>
          </cell>
          <cell r="F33">
            <v>21953.35194083818</v>
          </cell>
          <cell r="G33">
            <v>22314.932992634</v>
          </cell>
        </row>
        <row r="34">
          <cell r="C34">
            <v>13106</v>
          </cell>
          <cell r="D34">
            <v>13063.990558644533</v>
          </cell>
          <cell r="E34">
            <v>11016.67579241748</v>
          </cell>
          <cell r="F34">
            <v>12217.952920149779</v>
          </cell>
          <cell r="G34">
            <v>13116.914157677988</v>
          </cell>
        </row>
        <row r="35">
          <cell r="C35">
            <v>7994.66</v>
          </cell>
          <cell r="D35">
            <v>8164.9940991528329</v>
          </cell>
          <cell r="E35">
            <v>6885.4223702609252</v>
          </cell>
          <cell r="F35">
            <v>7636.2205750936118</v>
          </cell>
          <cell r="G35">
            <v>8198.0713485487431</v>
          </cell>
        </row>
        <row r="36">
          <cell r="C36">
            <v>75893</v>
          </cell>
          <cell r="D36">
            <v>77445.970222793083</v>
          </cell>
          <cell r="E36">
            <v>75091.504440254357</v>
          </cell>
          <cell r="F36">
            <v>74196.471761985711</v>
          </cell>
          <cell r="G36">
            <v>72306.070789046105</v>
          </cell>
        </row>
        <row r="37">
          <cell r="C37">
            <v>46379</v>
          </cell>
          <cell r="D37">
            <v>46650.370564543729</v>
          </cell>
          <cell r="E37">
            <v>48507.966074880809</v>
          </cell>
          <cell r="F37">
            <v>50255.413315032289</v>
          </cell>
          <cell r="G37">
            <v>51094.129987065884</v>
          </cell>
        </row>
        <row r="38">
          <cell r="C38">
            <v>5474.5418709677415</v>
          </cell>
          <cell r="D38">
            <v>5552.9101783546957</v>
          </cell>
          <cell r="E38">
            <v>4111.5561109042701</v>
          </cell>
          <cell r="F38">
            <v>5230.4324070381481</v>
          </cell>
          <cell r="G38">
            <v>6194.1321583953722</v>
          </cell>
        </row>
        <row r="39">
          <cell r="C39">
            <v>4585.5418709677415</v>
          </cell>
          <cell r="D39">
            <v>5824.2807428984224</v>
          </cell>
          <cell r="E39">
            <v>5969.1516212413326</v>
          </cell>
          <cell r="F39">
            <v>6977.8796471896212</v>
          </cell>
          <cell r="G39">
            <v>7032.8488304289613</v>
          </cell>
        </row>
        <row r="40">
          <cell r="C40">
            <v>2600.9</v>
          </cell>
          <cell r="D40">
            <v>2936.5</v>
          </cell>
          <cell r="E40">
            <v>3226.65</v>
          </cell>
          <cell r="F40">
            <v>3323.4495000000002</v>
          </cell>
          <cell r="G40">
            <v>3423.1529850000002</v>
          </cell>
        </row>
        <row r="41">
          <cell r="C41">
            <v>3499</v>
          </cell>
          <cell r="D41">
            <v>2917.9431256505754</v>
          </cell>
          <cell r="E41">
            <v>2630.8189529141491</v>
          </cell>
          <cell r="F41">
            <v>2260.9722500272474</v>
          </cell>
          <cell r="G41">
            <v>2052.5727295253564</v>
          </cell>
        </row>
        <row r="65">
          <cell r="D65">
            <v>0</v>
          </cell>
          <cell r="E65">
            <v>0</v>
          </cell>
          <cell r="F65">
            <v>0</v>
          </cell>
          <cell r="G65">
            <v>0</v>
          </cell>
        </row>
        <row r="66">
          <cell r="D66">
            <v>2149.4248366013071</v>
          </cell>
          <cell r="E66">
            <v>2149.4248366013071</v>
          </cell>
          <cell r="F66">
            <v>2149.4248366013071</v>
          </cell>
          <cell r="G66">
            <v>2149.4248366013071</v>
          </cell>
        </row>
        <row r="67">
          <cell r="D67">
            <v>8760.2085495367028</v>
          </cell>
          <cell r="E67">
            <v>7107.3162060694331</v>
          </cell>
          <cell r="F67">
            <v>5882.0038687274964</v>
          </cell>
          <cell r="G67">
            <v>5123.2871201667258</v>
          </cell>
        </row>
        <row r="68">
          <cell r="D68">
            <v>965.77606817221726</v>
          </cell>
          <cell r="E68">
            <v>965.77606817221726</v>
          </cell>
          <cell r="F68">
            <v>965.77606817221726</v>
          </cell>
          <cell r="G68">
            <v>965.77606817221726</v>
          </cell>
        </row>
        <row r="69">
          <cell r="D69">
            <v>0</v>
          </cell>
          <cell r="E69">
            <v>827.5285620915032</v>
          </cell>
          <cell r="F69">
            <v>1655.0571241830064</v>
          </cell>
          <cell r="G69">
            <v>2482.5856862745095</v>
          </cell>
        </row>
        <row r="70">
          <cell r="D70">
            <v>365.89228754969014</v>
          </cell>
          <cell r="E70">
            <v>-269.38287756652539</v>
          </cell>
          <cell r="F70">
            <v>-710.86643502582774</v>
          </cell>
          <cell r="G70">
            <v>-803.76114667093395</v>
          </cell>
        </row>
        <row r="71">
          <cell r="D71">
            <v>86.931732408709422</v>
          </cell>
          <cell r="E71">
            <v>761.44233960373492</v>
          </cell>
          <cell r="F71">
            <v>1067.4308409419018</v>
          </cell>
          <cell r="G71">
            <v>1008.8507050602942</v>
          </cell>
        </row>
        <row r="72">
          <cell r="C72">
            <v>11763</v>
          </cell>
          <cell r="D72">
            <v>11872.901620392577</v>
          </cell>
          <cell r="E72">
            <v>11927.199848990125</v>
          </cell>
          <cell r="F72">
            <v>11796.911168770963</v>
          </cell>
          <cell r="G72">
            <v>11616.910164608953</v>
          </cell>
        </row>
        <row r="73">
          <cell r="C73">
            <v>4821</v>
          </cell>
          <cell r="D73">
            <v>4640.6443995521413</v>
          </cell>
          <cell r="E73">
            <v>4679.5889912174953</v>
          </cell>
          <cell r="F73">
            <v>4615.8787664666033</v>
          </cell>
          <cell r="G73">
            <v>4496.4233126609824</v>
          </cell>
        </row>
        <row r="74">
          <cell r="C74">
            <v>3136</v>
          </cell>
          <cell r="D74">
            <v>3177.9804355881774</v>
          </cell>
          <cell r="E74">
            <v>3021.7177750012788</v>
          </cell>
          <cell r="F74">
            <v>2885.6151110611981</v>
          </cell>
          <cell r="G74">
            <v>2727.4438025258469</v>
          </cell>
        </row>
        <row r="75">
          <cell r="C75">
            <v>2054.08</v>
          </cell>
          <cell r="D75">
            <v>2081.5771853102565</v>
          </cell>
          <cell r="E75">
            <v>2054.7680870008694</v>
          </cell>
          <cell r="F75">
            <v>2019.9305777428385</v>
          </cell>
          <cell r="G75">
            <v>1909.2106617680927</v>
          </cell>
        </row>
        <row r="76">
          <cell r="C76">
            <v>14848</v>
          </cell>
          <cell r="D76">
            <v>14865.501915924357</v>
          </cell>
          <cell r="E76">
            <v>13852.921319338266</v>
          </cell>
          <cell r="F76">
            <v>13349.693532762611</v>
          </cell>
          <cell r="G76">
            <v>13267.938903066055</v>
          </cell>
        </row>
        <row r="77">
          <cell r="C77">
            <v>8806</v>
          </cell>
          <cell r="D77">
            <v>8307.3758841306499</v>
          </cell>
          <cell r="E77">
            <v>8115.0134759725534</v>
          </cell>
          <cell r="F77">
            <v>8037.8868068138327</v>
          </cell>
          <cell r="G77">
            <v>8016.6537821711536</v>
          </cell>
        </row>
        <row r="78">
          <cell r="C78">
            <v>1811.8177500000002</v>
          </cell>
          <cell r="D78">
            <v>1928.7533825990254</v>
          </cell>
          <cell r="E78">
            <v>1808.3503702273786</v>
          </cell>
          <cell r="F78">
            <v>1795.4901533067321</v>
          </cell>
          <cell r="G78">
            <v>1713.0205211754067</v>
          </cell>
        </row>
        <row r="79">
          <cell r="C79">
            <v>1465.8177500000002</v>
          </cell>
          <cell r="D79">
            <v>1430.1292667296743</v>
          </cell>
          <cell r="E79">
            <v>1615.987962069283</v>
          </cell>
          <cell r="F79">
            <v>1718.3634841480127</v>
          </cell>
          <cell r="G79">
            <v>1691.7874965327276</v>
          </cell>
        </row>
        <row r="80">
          <cell r="C80">
            <v>815.15</v>
          </cell>
          <cell r="D80">
            <v>827.5285620915032</v>
          </cell>
          <cell r="E80">
            <v>827.5285620915032</v>
          </cell>
          <cell r="F80">
            <v>827.5285620915032</v>
          </cell>
          <cell r="G80">
            <v>827.5285620915032</v>
          </cell>
        </row>
        <row r="81">
          <cell r="C81">
            <v>620</v>
          </cell>
          <cell r="D81">
            <v>602.96893502281307</v>
          </cell>
          <cell r="E81">
            <v>543.13153795351593</v>
          </cell>
          <cell r="F81">
            <v>431.62378107712487</v>
          </cell>
          <cell r="G81">
            <v>365.6962243695267</v>
          </cell>
        </row>
        <row r="85">
          <cell r="D85">
            <v>0</v>
          </cell>
          <cell r="E85">
            <v>0</v>
          </cell>
          <cell r="F85">
            <v>0</v>
          </cell>
          <cell r="G85">
            <v>0</v>
          </cell>
        </row>
        <row r="86">
          <cell r="D86">
            <v>491.46</v>
          </cell>
          <cell r="E86">
            <v>491.46</v>
          </cell>
          <cell r="F86">
            <v>491.46</v>
          </cell>
          <cell r="G86">
            <v>491.46</v>
          </cell>
        </row>
        <row r="87">
          <cell r="D87">
            <v>1739.8187894370451</v>
          </cell>
          <cell r="E87">
            <v>1006.5929056757748</v>
          </cell>
          <cell r="F87">
            <v>502.74384735235355</v>
          </cell>
          <cell r="G87">
            <v>-107.45367440474922</v>
          </cell>
        </row>
        <row r="88">
          <cell r="D88">
            <v>1005.860405697617</v>
          </cell>
          <cell r="E88">
            <v>810.64563409645041</v>
          </cell>
          <cell r="F88">
            <v>707.23457848320186</v>
          </cell>
          <cell r="G88">
            <v>597.36599897702615</v>
          </cell>
        </row>
        <row r="89">
          <cell r="D89">
            <v>0</v>
          </cell>
          <cell r="E89">
            <v>0</v>
          </cell>
          <cell r="F89">
            <v>344.02199999999999</v>
          </cell>
          <cell r="G89">
            <v>688.04399999999998</v>
          </cell>
        </row>
        <row r="90">
          <cell r="D90">
            <v>240.39472680274105</v>
          </cell>
          <cell r="E90">
            <v>0</v>
          </cell>
          <cell r="F90">
            <v>0</v>
          </cell>
          <cell r="G90">
            <v>0</v>
          </cell>
        </row>
        <row r="91">
          <cell r="D91">
            <v>1005.860405697617</v>
          </cell>
          <cell r="E91">
            <v>810.64563409645041</v>
          </cell>
          <cell r="F91">
            <v>707.23457848320186</v>
          </cell>
          <cell r="G91">
            <v>597.36599897702615</v>
          </cell>
        </row>
        <row r="92">
          <cell r="C92">
            <v>5181.6750000000002</v>
          </cell>
          <cell r="D92">
            <v>5320.5790208866365</v>
          </cell>
          <cell r="E92">
            <v>5492.5053844842096</v>
          </cell>
          <cell r="F92">
            <v>5562.6536032644199</v>
          </cell>
          <cell r="G92">
            <v>5634.2970498934592</v>
          </cell>
        </row>
        <row r="93">
          <cell r="C93">
            <v>1809.8329999999999</v>
          </cell>
          <cell r="D93">
            <v>2032.2370262063414</v>
          </cell>
          <cell r="E93">
            <v>2232.7266531351561</v>
          </cell>
          <cell r="F93">
            <v>2309.7998063888417</v>
          </cell>
          <cell r="G93">
            <v>2359.3260046883106</v>
          </cell>
        </row>
        <row r="94">
          <cell r="C94">
            <v>966.23299999999983</v>
          </cell>
          <cell r="D94">
            <v>1275.6971592522868</v>
          </cell>
          <cell r="E94">
            <v>1256.3053331503074</v>
          </cell>
          <cell r="F94">
            <v>1498.1367572654194</v>
          </cell>
          <cell r="G94">
            <v>1591.6380848664</v>
          </cell>
        </row>
        <row r="95">
          <cell r="C95">
            <v>628.05144999999993</v>
          </cell>
          <cell r="D95">
            <v>867.474068291555</v>
          </cell>
          <cell r="E95">
            <v>891.97678653671824</v>
          </cell>
          <cell r="F95">
            <v>1108.6212003764103</v>
          </cell>
          <cell r="G95">
            <v>1177.812182801136</v>
          </cell>
        </row>
        <row r="96">
          <cell r="C96">
            <v>6725.5</v>
          </cell>
          <cell r="D96">
            <v>6515.3511976932441</v>
          </cell>
          <cell r="E96">
            <v>6474.2575469597487</v>
          </cell>
          <cell r="F96">
            <v>6459.9661775398081</v>
          </cell>
          <cell r="G96">
            <v>6425.4025396788038</v>
          </cell>
        </row>
        <row r="97">
          <cell r="C97">
            <v>6744.2</v>
          </cell>
          <cell r="D97">
            <v>6536.1894632530975</v>
          </cell>
          <cell r="E97">
            <v>6577.8098898114895</v>
          </cell>
          <cell r="F97">
            <v>6448.7195234540823</v>
          </cell>
          <cell r="G97">
            <v>6294.1164347498707</v>
          </cell>
        </row>
        <row r="98">
          <cell r="C98">
            <v>401.0714499999998</v>
          </cell>
          <cell r="D98">
            <v>656.45115123335665</v>
          </cell>
          <cell r="E98">
            <v>559.59985474535699</v>
          </cell>
          <cell r="F98">
            <v>858.15046214344557</v>
          </cell>
          <cell r="G98">
            <v>949.04277803229161</v>
          </cell>
        </row>
        <row r="99">
          <cell r="C99">
            <v>261.57144999999991</v>
          </cell>
          <cell r="D99">
            <v>448.44061448645505</v>
          </cell>
          <cell r="E99">
            <v>601.22028130374906</v>
          </cell>
          <cell r="F99">
            <v>729.06009578603789</v>
          </cell>
          <cell r="G99">
            <v>794.43968932808025</v>
          </cell>
        </row>
        <row r="100">
          <cell r="C100">
            <v>0</v>
          </cell>
          <cell r="D100">
            <v>0</v>
          </cell>
          <cell r="E100">
            <v>344.02199999999999</v>
          </cell>
          <cell r="F100">
            <v>344.02199999999999</v>
          </cell>
          <cell r="G100">
            <v>344.02199999999999</v>
          </cell>
        </row>
        <row r="101">
          <cell r="C101">
            <v>114.6</v>
          </cell>
          <cell r="D101">
            <v>113.30542760156388</v>
          </cell>
          <cell r="E101">
            <v>90.506436482410976</v>
          </cell>
          <cell r="F101">
            <v>49.739334860681588</v>
          </cell>
          <cell r="G101">
            <v>13.026562985318899</v>
          </cell>
        </row>
        <row r="102">
          <cell r="D102">
            <v>32.700000000000003</v>
          </cell>
          <cell r="E102">
            <v>32.700000000000003</v>
          </cell>
          <cell r="F102">
            <v>32.700000000000003</v>
          </cell>
          <cell r="G102">
            <v>32.700000000000003</v>
          </cell>
        </row>
        <row r="105">
          <cell r="D105">
            <v>0</v>
          </cell>
          <cell r="E105">
            <v>0</v>
          </cell>
          <cell r="F105">
            <v>0</v>
          </cell>
          <cell r="G105">
            <v>0</v>
          </cell>
        </row>
        <row r="106">
          <cell r="D106">
            <v>1098.48</v>
          </cell>
          <cell r="E106">
            <v>1098.48</v>
          </cell>
          <cell r="F106">
            <v>1098.48</v>
          </cell>
          <cell r="G106">
            <v>1098.48</v>
          </cell>
        </row>
        <row r="107">
          <cell r="D107">
            <v>3862.6996928242506</v>
          </cell>
          <cell r="E107">
            <v>3297.6562798424939</v>
          </cell>
          <cell r="F107">
            <v>2851.5442571060703</v>
          </cell>
          <cell r="G107">
            <v>2393.9431179989556</v>
          </cell>
        </row>
        <row r="108">
          <cell r="D108">
            <v>1714.2424594405036</v>
          </cell>
          <cell r="E108">
            <v>1714.2424594405036</v>
          </cell>
          <cell r="F108">
            <v>1714.2424594405036</v>
          </cell>
          <cell r="G108">
            <v>1714.2424594405036</v>
          </cell>
        </row>
        <row r="109">
          <cell r="D109">
            <v>0</v>
          </cell>
          <cell r="E109">
            <v>422.91480000000001</v>
          </cell>
          <cell r="F109">
            <v>866.97534000000007</v>
          </cell>
          <cell r="G109">
            <v>1333.2389070000002</v>
          </cell>
        </row>
        <row r="110">
          <cell r="D110">
            <v>259.12978066001477</v>
          </cell>
          <cell r="E110">
            <v>0</v>
          </cell>
          <cell r="F110">
            <v>0</v>
          </cell>
          <cell r="G110">
            <v>0</v>
          </cell>
        </row>
        <row r="111">
          <cell r="D111">
            <v>-68.218667896410636</v>
          </cell>
          <cell r="E111">
            <v>159.17427956247028</v>
          </cell>
          <cell r="F111">
            <v>123.95830526080125</v>
          </cell>
          <cell r="G111">
            <v>0</v>
          </cell>
        </row>
        <row r="112">
          <cell r="C112">
            <v>6174</v>
          </cell>
          <cell r="D112">
            <v>6338.0284509030944</v>
          </cell>
          <cell r="E112">
            <v>6385.7058568891653</v>
          </cell>
          <cell r="F112">
            <v>6450.4681794374555</v>
          </cell>
          <cell r="G112">
            <v>6497.2239428456851</v>
          </cell>
        </row>
        <row r="113">
          <cell r="C113">
            <v>2331</v>
          </cell>
          <cell r="D113">
            <v>2291.3203860104672</v>
          </cell>
          <cell r="E113">
            <v>2285.3050679621501</v>
          </cell>
          <cell r="F113">
            <v>2322.3810927779464</v>
          </cell>
          <cell r="G113">
            <v>2335.7710047735959</v>
          </cell>
        </row>
        <row r="114">
          <cell r="C114">
            <v>1556</v>
          </cell>
          <cell r="D114">
            <v>1355.159780764312</v>
          </cell>
          <cell r="E114">
            <v>1392.4907926517099</v>
          </cell>
          <cell r="F114">
            <v>1464.3127548700058</v>
          </cell>
          <cell r="G114">
            <v>1469.4923877945298</v>
          </cell>
        </row>
        <row r="115">
          <cell r="C115">
            <v>1089.2</v>
          </cell>
          <cell r="D115">
            <v>982.49084105412624</v>
          </cell>
          <cell r="E115">
            <v>1009.5558246724896</v>
          </cell>
          <cell r="F115">
            <v>1061.6267472807542</v>
          </cell>
          <cell r="G115">
            <v>1065.3819811510341</v>
          </cell>
        </row>
        <row r="116">
          <cell r="C116">
            <v>6578</v>
          </cell>
          <cell r="D116">
            <v>7117.9868734637566</v>
          </cell>
          <cell r="E116">
            <v>6842.0179557776446</v>
          </cell>
          <cell r="F116">
            <v>6730.5543637820429</v>
          </cell>
          <cell r="G116">
            <v>6638.8316410913212</v>
          </cell>
        </row>
        <row r="117">
          <cell r="C117">
            <v>3934</v>
          </cell>
          <cell r="D117">
            <v>4119.4502676175107</v>
          </cell>
          <cell r="E117">
            <v>4049.0999748021022</v>
          </cell>
          <cell r="F117">
            <v>3952.6774169106702</v>
          </cell>
          <cell r="G117">
            <v>3879.1949448321102</v>
          </cell>
        </row>
        <row r="118">
          <cell r="C118">
            <v>1011</v>
          </cell>
          <cell r="D118">
            <v>941.17538366167298</v>
          </cell>
          <cell r="E118">
            <v>893.95802040341277</v>
          </cell>
          <cell r="F118">
            <v>961.91293546503778</v>
          </cell>
          <cell r="G118">
            <v>971.13740770127367</v>
          </cell>
        </row>
        <row r="119">
          <cell r="C119">
            <v>834.13732360097333</v>
          </cell>
          <cell r="D119">
            <v>850.87828019802339</v>
          </cell>
          <cell r="E119">
            <v>757.32392586556523</v>
          </cell>
          <cell r="F119">
            <v>803.1209435407311</v>
          </cell>
          <cell r="G119">
            <v>839.02582842756783</v>
          </cell>
        </row>
        <row r="120">
          <cell r="C120">
            <v>408.17699999999996</v>
          </cell>
          <cell r="D120">
            <v>422.91480000000001</v>
          </cell>
          <cell r="E120">
            <v>444.06054000000006</v>
          </cell>
          <cell r="F120">
            <v>466.26356700000008</v>
          </cell>
          <cell r="G120">
            <v>489.57674535000012</v>
          </cell>
        </row>
        <row r="121">
          <cell r="C121">
            <v>207</v>
          </cell>
          <cell r="D121">
            <v>236.63039017037605</v>
          </cell>
          <cell r="E121">
            <v>229.13139112533582</v>
          </cell>
          <cell r="F121">
            <v>196.77441718235409</v>
          </cell>
          <cell r="G121">
            <v>167.85559600336086</v>
          </cell>
        </row>
        <row r="122">
          <cell r="D122">
            <v>88.382986111111109</v>
          </cell>
          <cell r="E122">
            <v>88.382986111111109</v>
          </cell>
          <cell r="F122">
            <v>88.382986111111109</v>
          </cell>
          <cell r="G122">
            <v>88.382986111111109</v>
          </cell>
        </row>
        <row r="125">
          <cell r="D125">
            <v>0</v>
          </cell>
          <cell r="E125">
            <v>0</v>
          </cell>
          <cell r="F125">
            <v>0</v>
          </cell>
          <cell r="G125">
            <v>0</v>
          </cell>
        </row>
        <row r="126">
          <cell r="D126">
            <v>56.5</v>
          </cell>
          <cell r="E126">
            <v>56.5</v>
          </cell>
          <cell r="F126">
            <v>56.5</v>
          </cell>
          <cell r="G126">
            <v>56.5</v>
          </cell>
        </row>
        <row r="127">
          <cell r="D127">
            <v>-1571.2116214445091</v>
          </cell>
          <cell r="E127">
            <v>-2530.1284344318719</v>
          </cell>
          <cell r="F127">
            <v>-3378.5238958758655</v>
          </cell>
          <cell r="G127">
            <v>-4134.3044963339844</v>
          </cell>
        </row>
        <row r="128">
          <cell r="D128">
            <v>300</v>
          </cell>
          <cell r="E128">
            <v>300</v>
          </cell>
          <cell r="F128">
            <v>300</v>
          </cell>
          <cell r="G128">
            <v>300</v>
          </cell>
        </row>
        <row r="129">
          <cell r="D129">
            <v>0</v>
          </cell>
          <cell r="E129">
            <v>872.98997500000007</v>
          </cell>
          <cell r="F129">
            <v>1789.6294487500004</v>
          </cell>
          <cell r="G129">
            <v>2733.7681067125004</v>
          </cell>
        </row>
        <row r="130">
          <cell r="D130">
            <v>0</v>
          </cell>
          <cell r="E130">
            <v>0</v>
          </cell>
          <cell r="F130">
            <v>0</v>
          </cell>
          <cell r="G130">
            <v>0</v>
          </cell>
        </row>
        <row r="131">
          <cell r="D131">
            <v>108.26531709250926</v>
          </cell>
          <cell r="E131">
            <v>80.84388928898494</v>
          </cell>
          <cell r="F131">
            <v>61.502961539213899</v>
          </cell>
          <cell r="G131">
            <v>50.808168846958878</v>
          </cell>
        </row>
        <row r="132">
          <cell r="C132">
            <v>10059</v>
          </cell>
          <cell r="D132">
            <v>9688.8158404634178</v>
          </cell>
          <cell r="E132">
            <v>9262.4175919048939</v>
          </cell>
          <cell r="F132">
            <v>8965.0683176424191</v>
          </cell>
          <cell r="G132">
            <v>8731.3922816807517</v>
          </cell>
        </row>
        <row r="133">
          <cell r="C133">
            <v>4436</v>
          </cell>
          <cell r="D133">
            <v>4202.3968041539838</v>
          </cell>
          <cell r="E133">
            <v>3926.6125086800685</v>
          </cell>
          <cell r="F133">
            <v>3762.6076137438617</v>
          </cell>
          <cell r="G133">
            <v>3610.6381723412696</v>
          </cell>
        </row>
        <row r="134">
          <cell r="C134">
            <v>3300</v>
          </cell>
          <cell r="D134">
            <v>3085.8168041539839</v>
          </cell>
          <cell r="E134">
            <v>2725.3950086800687</v>
          </cell>
          <cell r="F134">
            <v>2583.098548743862</v>
          </cell>
          <cell r="G134">
            <v>2466.2244105912696</v>
          </cell>
        </row>
        <row r="135">
          <cell r="C135">
            <v>2574</v>
          </cell>
          <cell r="D135">
            <v>2406.9371072401077</v>
          </cell>
          <cell r="E135">
            <v>2125.8081067704538</v>
          </cell>
          <cell r="F135">
            <v>2014.8168680202125</v>
          </cell>
          <cell r="G135">
            <v>1923.6550402611904</v>
          </cell>
        </row>
        <row r="136">
          <cell r="C136">
            <v>5255</v>
          </cell>
          <cell r="D136">
            <v>4781.6355736999203</v>
          </cell>
          <cell r="E136">
            <v>4728.042687875406</v>
          </cell>
          <cell r="F136">
            <v>4664.8432529587826</v>
          </cell>
          <cell r="G136">
            <v>4579.8076724642888</v>
          </cell>
        </row>
        <row r="137">
          <cell r="C137">
            <v>6395</v>
          </cell>
          <cell r="D137">
            <v>6240.6091054358694</v>
          </cell>
          <cell r="E137">
            <v>6201.5400475999195</v>
          </cell>
          <cell r="F137">
            <v>6148.5273140114332</v>
          </cell>
          <cell r="G137">
            <v>6070.9552648871395</v>
          </cell>
        </row>
        <row r="138">
          <cell r="C138">
            <v>2268.2665113587864</v>
          </cell>
          <cell r="D138">
            <v>2158.6108966748388</v>
          </cell>
          <cell r="E138">
            <v>1881.7186066438167</v>
          </cell>
          <cell r="F138">
            <v>1787.8105354491231</v>
          </cell>
          <cell r="G138">
            <v>1713.2206110268667</v>
          </cell>
        </row>
        <row r="139">
          <cell r="C139">
            <v>1950.32</v>
          </cell>
          <cell r="D139">
            <v>1976.7234471996551</v>
          </cell>
          <cell r="E139">
            <v>1827.6571705722399</v>
          </cell>
          <cell r="F139">
            <v>1726.6850107221651</v>
          </cell>
          <cell r="G139">
            <v>1632.8390627207048</v>
          </cell>
        </row>
        <row r="140">
          <cell r="C140">
            <v>863.85974999999996</v>
          </cell>
          <cell r="D140">
            <v>872.98997500000007</v>
          </cell>
          <cell r="E140">
            <v>916.63947375000021</v>
          </cell>
          <cell r="F140">
            <v>944.13865796250025</v>
          </cell>
          <cell r="G140">
            <v>972.46281770137534</v>
          </cell>
        </row>
        <row r="141">
          <cell r="C141">
            <v>144</v>
          </cell>
          <cell r="D141">
            <v>27.448941892777455</v>
          </cell>
          <cell r="E141">
            <v>17.293299720618094</v>
          </cell>
          <cell r="F141">
            <v>3.2567383484613046</v>
          </cell>
          <cell r="G141">
            <v>-6.7641419610492477</v>
          </cell>
        </row>
        <row r="145">
          <cell r="D145">
            <v>0</v>
          </cell>
          <cell r="E145">
            <v>0</v>
          </cell>
          <cell r="F145">
            <v>0</v>
          </cell>
          <cell r="G145">
            <v>0</v>
          </cell>
        </row>
        <row r="146">
          <cell r="D146">
            <v>198.37517700000001</v>
          </cell>
          <cell r="E146">
            <v>198.37517700000001</v>
          </cell>
          <cell r="F146">
            <v>198.37517700000001</v>
          </cell>
          <cell r="G146">
            <v>198.37517700000001</v>
          </cell>
        </row>
        <row r="147">
          <cell r="D147">
            <v>13334.056387958293</v>
          </cell>
          <cell r="E147">
            <v>11103.27935874896</v>
          </cell>
          <cell r="F147">
            <v>8927.1759376892951</v>
          </cell>
          <cell r="G147">
            <v>6779.6605618486301</v>
          </cell>
        </row>
        <row r="148">
          <cell r="D148">
            <v>899.23596249258969</v>
          </cell>
          <cell r="E148">
            <v>616.66839845730215</v>
          </cell>
          <cell r="F148">
            <v>413.724837612665</v>
          </cell>
          <cell r="G148">
            <v>295.92529612260495</v>
          </cell>
        </row>
        <row r="149">
          <cell r="D149">
            <v>0</v>
          </cell>
          <cell r="E149">
            <v>2578.877301</v>
          </cell>
          <cell r="F149">
            <v>5256.9421904999999</v>
          </cell>
          <cell r="G149">
            <v>8034.1946685000003</v>
          </cell>
        </row>
        <row r="150">
          <cell r="D150">
            <v>909.13219290705968</v>
          </cell>
          <cell r="E150">
            <v>649.21902853529309</v>
          </cell>
          <cell r="F150">
            <v>492.26210424891804</v>
          </cell>
          <cell r="G150">
            <v>318.37217170792536</v>
          </cell>
        </row>
        <row r="151">
          <cell r="D151">
            <v>-9.8962304144699829</v>
          </cell>
          <cell r="E151">
            <v>-32.550630077990945</v>
          </cell>
          <cell r="F151">
            <v>-78.537266636253037</v>
          </cell>
          <cell r="G151">
            <v>-22.446875585320413</v>
          </cell>
        </row>
        <row r="152">
          <cell r="C152">
            <v>45038</v>
          </cell>
          <cell r="D152">
            <v>49843.136786585201</v>
          </cell>
          <cell r="E152">
            <v>49936.332770927562</v>
          </cell>
          <cell r="F152">
            <v>50178.068763286166</v>
          </cell>
          <cell r="G152">
            <v>50036.177962672824</v>
          </cell>
        </row>
        <row r="153">
          <cell r="C153">
            <v>12446</v>
          </cell>
          <cell r="D153">
            <v>13276.549574240151</v>
          </cell>
          <cell r="E153">
            <v>12903.269991066763</v>
          </cell>
          <cell r="F153">
            <v>12728.832145714387</v>
          </cell>
          <cell r="G153">
            <v>12422.323917904454</v>
          </cell>
        </row>
        <row r="154">
          <cell r="C154">
            <v>7253</v>
          </cell>
          <cell r="D154">
            <v>8065.8782868616199</v>
          </cell>
          <cell r="E154">
            <v>7792.0245067794858</v>
          </cell>
          <cell r="F154">
            <v>7710.5396723782815</v>
          </cell>
          <cell r="G154">
            <v>7538.9090659769709</v>
          </cell>
        </row>
        <row r="155">
          <cell r="C155">
            <v>4932.04</v>
          </cell>
          <cell r="D155">
            <v>5807.4323665403663</v>
          </cell>
          <cell r="E155">
            <v>5610.2576448812297</v>
          </cell>
          <cell r="F155">
            <v>5551.5885641123623</v>
          </cell>
          <cell r="G155">
            <v>5428.0145275034192</v>
          </cell>
        </row>
        <row r="156">
          <cell r="C156">
            <v>58996</v>
          </cell>
          <cell r="D156">
            <v>53878.450671975428</v>
          </cell>
          <cell r="E156">
            <v>54639.982417337611</v>
          </cell>
          <cell r="F156">
            <v>55318.166201880551</v>
          </cell>
          <cell r="G156">
            <v>55805.658485131622</v>
          </cell>
        </row>
        <row r="157">
          <cell r="C157">
            <v>26252</v>
          </cell>
          <cell r="D157">
            <v>26169.38437588705</v>
          </cell>
          <cell r="E157">
            <v>26038.890893790187</v>
          </cell>
          <cell r="F157">
            <v>25841.582301433322</v>
          </cell>
          <cell r="G157">
            <v>25548.917083733482</v>
          </cell>
        </row>
        <row r="158">
          <cell r="C158">
            <v>5076.92</v>
          </cell>
          <cell r="D158">
            <v>5906.1094179340053</v>
          </cell>
          <cell r="E158">
            <v>5530.9579260843757</v>
          </cell>
          <cell r="F158">
            <v>5627.1571875978652</v>
          </cell>
          <cell r="G158">
            <v>5649.5559023136821</v>
          </cell>
        </row>
        <row r="159">
          <cell r="C159">
            <v>3941.92</v>
          </cell>
          <cell r="D159">
            <v>4496.1192840171334</v>
          </cell>
          <cell r="E159">
            <v>5571.1860755715143</v>
          </cell>
          <cell r="F159">
            <v>5532.3520951026039</v>
          </cell>
          <cell r="G159">
            <v>5412.2601370917346</v>
          </cell>
        </row>
        <row r="160">
          <cell r="C160">
            <v>2705.7249999999999</v>
          </cell>
          <cell r="D160">
            <v>2578.877301</v>
          </cell>
          <cell r="E160">
            <v>2678.0648894999999</v>
          </cell>
          <cell r="F160">
            <v>2777.2524780000003</v>
          </cell>
          <cell r="G160">
            <v>2876.4400665000003</v>
          </cell>
        </row>
        <row r="161">
          <cell r="C161">
            <v>901</v>
          </cell>
          <cell r="D161">
            <v>1034.4380362542856</v>
          </cell>
          <cell r="E161">
            <v>755.04381797285509</v>
          </cell>
          <cell r="F161">
            <v>618.88380957384709</v>
          </cell>
          <cell r="G161">
            <v>485.29634825205801</v>
          </cell>
        </row>
        <row r="165">
          <cell r="D165">
            <v>5795.921069</v>
          </cell>
          <cell r="E165">
            <v>5795.921069</v>
          </cell>
          <cell r="F165">
            <v>5795.921069</v>
          </cell>
          <cell r="G165">
            <v>5795.921069</v>
          </cell>
        </row>
        <row r="166">
          <cell r="D166">
            <v>12484.061839</v>
          </cell>
          <cell r="E166">
            <v>12578.061839</v>
          </cell>
          <cell r="F166">
            <v>12672.061839</v>
          </cell>
          <cell r="G166">
            <v>12766.061839</v>
          </cell>
        </row>
        <row r="167">
          <cell r="D167">
            <v>41195.995704348039</v>
          </cell>
          <cell r="E167">
            <v>38931.568162900294</v>
          </cell>
          <cell r="F167">
            <v>35970.790807038866</v>
          </cell>
          <cell r="G167">
            <v>33223.988988790879</v>
          </cell>
        </row>
        <row r="168">
          <cell r="D168">
            <v>691.32514940327474</v>
          </cell>
          <cell r="E168">
            <v>531.63116135553673</v>
          </cell>
          <cell r="F168">
            <v>459.16165426397976</v>
          </cell>
          <cell r="G168">
            <v>380.89458660509814</v>
          </cell>
        </row>
        <row r="169">
          <cell r="D169">
            <v>0</v>
          </cell>
          <cell r="E169">
            <v>2072.0314636034</v>
          </cell>
          <cell r="F169">
            <v>4255.2646537990204</v>
          </cell>
          <cell r="G169">
            <v>6555.7990524164716</v>
          </cell>
        </row>
        <row r="170">
          <cell r="D170">
            <v>1565.5641924503377</v>
          </cell>
          <cell r="E170">
            <v>1040.8093278463648</v>
          </cell>
          <cell r="F170">
            <v>324.07407407407408</v>
          </cell>
          <cell r="G170">
            <v>0</v>
          </cell>
        </row>
        <row r="171">
          <cell r="D171">
            <v>-1687.5913614641149</v>
          </cell>
          <cell r="E171">
            <v>-1322.5304849078802</v>
          </cell>
          <cell r="F171">
            <v>-678.26473822714661</v>
          </cell>
          <cell r="G171">
            <v>-432.45773181195403</v>
          </cell>
        </row>
        <row r="172">
          <cell r="C172">
            <v>29673</v>
          </cell>
          <cell r="D172">
            <v>29742.207509044623</v>
          </cell>
          <cell r="E172">
            <v>31415.088000160544</v>
          </cell>
          <cell r="F172">
            <v>31608.17048678669</v>
          </cell>
          <cell r="G172">
            <v>31564.482738165909</v>
          </cell>
        </row>
        <row r="173">
          <cell r="C173">
            <v>12901.6</v>
          </cell>
          <cell r="D173">
            <v>12985.344267068036</v>
          </cell>
          <cell r="E173">
            <v>13064.303637463101</v>
          </cell>
          <cell r="F173">
            <v>13186.631736111105</v>
          </cell>
          <cell r="G173">
            <v>13429.050383013486</v>
          </cell>
        </row>
        <row r="174">
          <cell r="C174">
            <v>7566.6</v>
          </cell>
          <cell r="D174">
            <v>7749.7722574475392</v>
          </cell>
          <cell r="E174">
            <v>8177.0283209928239</v>
          </cell>
          <cell r="F174">
            <v>8500.5302823247221</v>
          </cell>
          <cell r="G174">
            <v>8900.2425297593236</v>
          </cell>
        </row>
        <row r="175">
          <cell r="C175">
            <v>4539.96</v>
          </cell>
          <cell r="D175">
            <v>4649.8633544685235</v>
          </cell>
          <cell r="E175">
            <v>4906.2169925956941</v>
          </cell>
          <cell r="F175">
            <v>5100.3181693948327</v>
          </cell>
          <cell r="G175">
            <v>5340.1455178555943</v>
          </cell>
        </row>
        <row r="176">
          <cell r="C176">
            <v>55523</v>
          </cell>
          <cell r="D176">
            <v>68758.146780667914</v>
          </cell>
          <cell r="E176">
            <v>68048.670111831947</v>
          </cell>
          <cell r="F176">
            <v>66788.195911797302</v>
          </cell>
          <cell r="G176">
            <v>65907.551824144262</v>
          </cell>
        </row>
        <row r="177">
          <cell r="C177">
            <v>23875</v>
          </cell>
          <cell r="D177">
            <v>21847.434924091249</v>
          </cell>
          <cell r="E177">
            <v>21615.458353457041</v>
          </cell>
          <cell r="F177">
            <v>21253.056447211333</v>
          </cell>
          <cell r="G177">
            <v>20810.01568595706</v>
          </cell>
        </row>
        <row r="178">
          <cell r="C178">
            <v>2478.9848590722659</v>
          </cell>
          <cell r="D178">
            <v>3289.8992958320246</v>
          </cell>
          <cell r="E178">
            <v>3778.5024818493762</v>
          </cell>
          <cell r="F178">
            <v>4157.9085206431164</v>
          </cell>
          <cell r="G178">
            <v>4514.4978816310522</v>
          </cell>
        </row>
        <row r="179">
          <cell r="C179">
            <v>3799.5537800000002</v>
          </cell>
          <cell r="D179">
            <v>2982.7442274723717</v>
          </cell>
          <cell r="E179">
            <v>3733.9067112151706</v>
          </cell>
          <cell r="F179">
            <v>3989.3838303974062</v>
          </cell>
          <cell r="G179">
            <v>4271.4358006967786</v>
          </cell>
        </row>
        <row r="180">
          <cell r="C180">
            <v>1070.8831374398999</v>
          </cell>
          <cell r="D180">
            <v>1364.5079590026999</v>
          </cell>
          <cell r="E180">
            <v>1374.7821590026999</v>
          </cell>
          <cell r="F180">
            <v>1454.3091769528351</v>
          </cell>
          <cell r="G180">
            <v>1538.3519413004769</v>
          </cell>
        </row>
        <row r="181">
          <cell r="C181">
            <v>1428.0462200000002</v>
          </cell>
          <cell r="D181">
            <v>1977.9668150000002</v>
          </cell>
          <cell r="E181">
            <v>1774.416815</v>
          </cell>
          <cell r="F181">
            <v>1545.354315</v>
          </cell>
          <cell r="G181">
            <v>1397.541815</v>
          </cell>
        </row>
        <row r="185">
          <cell r="D185">
            <v>0</v>
          </cell>
          <cell r="E185">
            <v>0</v>
          </cell>
          <cell r="F185">
            <v>0</v>
          </cell>
          <cell r="G185">
            <v>0</v>
          </cell>
        </row>
        <row r="186">
          <cell r="D186">
            <v>4862.2</v>
          </cell>
          <cell r="E186">
            <v>4862.2</v>
          </cell>
          <cell r="F186">
            <v>4862.2</v>
          </cell>
          <cell r="G186">
            <v>4862.2</v>
          </cell>
        </row>
        <row r="187">
          <cell r="D187">
            <v>26841.825355234654</v>
          </cell>
          <cell r="E187">
            <v>47157.664207008063</v>
          </cell>
          <cell r="F187">
            <v>41122.480730600211</v>
          </cell>
          <cell r="G187">
            <v>34796.992666180769</v>
          </cell>
        </row>
        <row r="188">
          <cell r="D188">
            <v>4951.2144451386048</v>
          </cell>
          <cell r="E188">
            <v>4449.5670852983094</v>
          </cell>
          <cell r="F188">
            <v>3953.5863508491902</v>
          </cell>
          <cell r="G188">
            <v>3402.8051423402339</v>
          </cell>
        </row>
        <row r="189">
          <cell r="D189">
            <v>0</v>
          </cell>
          <cell r="E189">
            <v>2431.1</v>
          </cell>
          <cell r="F189">
            <v>4983.7550000000001</v>
          </cell>
          <cell r="G189">
            <v>7664.0427500000005</v>
          </cell>
        </row>
        <row r="190">
          <cell r="D190">
            <v>4372.33635650216</v>
          </cell>
          <cell r="E190">
            <v>2762.2120016073118</v>
          </cell>
          <cell r="F190">
            <v>1441.1026210728237</v>
          </cell>
          <cell r="G190">
            <v>760.03694597398135</v>
          </cell>
        </row>
        <row r="191">
          <cell r="D191">
            <v>-2796.6984169143416</v>
          </cell>
          <cell r="E191">
            <v>-1688.2214218597887</v>
          </cell>
          <cell r="F191">
            <v>-863.09277577441981</v>
          </cell>
          <cell r="G191">
            <v>-732.80830918453375</v>
          </cell>
        </row>
        <row r="192">
          <cell r="C192">
            <v>30280.9</v>
          </cell>
          <cell r="D192">
            <v>37697.713201876766</v>
          </cell>
          <cell r="E192">
            <v>53207.919949710944</v>
          </cell>
          <cell r="F192">
            <v>55349.977563915279</v>
          </cell>
          <cell r="G192">
            <v>56930.019273234437</v>
          </cell>
        </row>
        <row r="193">
          <cell r="C193">
            <v>12222.1</v>
          </cell>
          <cell r="D193">
            <v>14988.973420290866</v>
          </cell>
          <cell r="E193">
            <v>20081.955733420768</v>
          </cell>
          <cell r="F193">
            <v>21109.931514283653</v>
          </cell>
          <cell r="G193">
            <v>21817.610526040458</v>
          </cell>
        </row>
        <row r="194">
          <cell r="C194">
            <v>8446.3876098220298</v>
          </cell>
          <cell r="D194">
            <v>10268.581948968211</v>
          </cell>
          <cell r="E194">
            <v>13315.985799159133</v>
          </cell>
          <cell r="F194">
            <v>14527.257976496678</v>
          </cell>
          <cell r="G194">
            <v>15287.070041610777</v>
          </cell>
        </row>
        <row r="195">
          <cell r="C195">
            <v>5490.1519463843197</v>
          </cell>
          <cell r="D195">
            <v>6674.5782668293368</v>
          </cell>
          <cell r="E195">
            <v>8655.3907694534373</v>
          </cell>
          <cell r="F195">
            <v>9442.7176847228402</v>
          </cell>
          <cell r="G195">
            <v>9936.5955270470058</v>
          </cell>
        </row>
        <row r="196">
          <cell r="C196">
            <v>43695.1</v>
          </cell>
          <cell r="D196">
            <v>48966.16046790978</v>
          </cell>
          <cell r="E196">
            <v>72593.429761059131</v>
          </cell>
          <cell r="F196">
            <v>70255.175122826768</v>
          </cell>
          <cell r="G196">
            <v>68291.982091104175</v>
          </cell>
        </row>
        <row r="197">
          <cell r="C197">
            <v>23348.1</v>
          </cell>
          <cell r="D197">
            <v>21478.165806529309</v>
          </cell>
          <cell r="E197">
            <v>19814.598466472966</v>
          </cell>
          <cell r="F197">
            <v>18147.404693159318</v>
          </cell>
          <cell r="G197">
            <v>16550.980656715459</v>
          </cell>
        </row>
        <row r="198">
          <cell r="C198">
            <v>5263.3376098220306</v>
          </cell>
          <cell r="D198">
            <v>5937.0821808004175</v>
          </cell>
          <cell r="E198">
            <v>7249.4471762346202</v>
          </cell>
          <cell r="F198">
            <v>7710.9405085009921</v>
          </cell>
          <cell r="G198">
            <v>8389.1530080261964</v>
          </cell>
        </row>
        <row r="199">
          <cell r="C199">
            <v>2835.65</v>
          </cell>
          <cell r="D199">
            <v>4079.9804873297294</v>
          </cell>
          <cell r="E199">
            <v>5595.5374611782772</v>
          </cell>
          <cell r="F199">
            <v>6055.4057164373453</v>
          </cell>
          <cell r="G199">
            <v>6806.6066056448344</v>
          </cell>
        </row>
        <row r="200">
          <cell r="C200">
            <v>2456.1</v>
          </cell>
          <cell r="D200">
            <v>2431.1</v>
          </cell>
          <cell r="E200">
            <v>2431.1</v>
          </cell>
          <cell r="F200">
            <v>2552.6550000000002</v>
          </cell>
          <cell r="G200">
            <v>2680.28775</v>
          </cell>
        </row>
        <row r="201">
          <cell r="C201">
            <v>1639.1</v>
          </cell>
          <cell r="D201">
            <v>1617.86013032852</v>
          </cell>
          <cell r="E201">
            <v>2344.9923434336406</v>
          </cell>
          <cell r="F201">
            <v>2769.2021740641239</v>
          </cell>
          <cell r="G201">
            <v>2373.7921009517149</v>
          </cell>
        </row>
        <row r="205">
          <cell r="D205">
            <v>0</v>
          </cell>
          <cell r="E205">
            <v>0</v>
          </cell>
          <cell r="F205">
            <v>0</v>
          </cell>
          <cell r="G205">
            <v>0</v>
          </cell>
        </row>
        <row r="206">
          <cell r="D206">
            <v>484.00899999999996</v>
          </cell>
          <cell r="E206">
            <v>484.00899999999996</v>
          </cell>
          <cell r="F206">
            <v>484.00899999999996</v>
          </cell>
          <cell r="G206">
            <v>484.00899999999996</v>
          </cell>
        </row>
        <row r="207">
          <cell r="D207">
            <v>2829.6939314406209</v>
          </cell>
          <cell r="E207">
            <v>2091.0961105603869</v>
          </cell>
          <cell r="F207">
            <v>1416.0559458609694</v>
          </cell>
          <cell r="G207">
            <v>769.2833043198068</v>
          </cell>
        </row>
        <row r="208">
          <cell r="D208">
            <v>92.457593279223786</v>
          </cell>
          <cell r="E208">
            <v>79.854200741561698</v>
          </cell>
          <cell r="F208">
            <v>66.24253680088664</v>
          </cell>
          <cell r="G208">
            <v>51.541939744957574</v>
          </cell>
        </row>
        <row r="209">
          <cell r="D209">
            <v>0</v>
          </cell>
          <cell r="E209">
            <v>251.68467999999999</v>
          </cell>
          <cell r="F209">
            <v>528.53782799999999</v>
          </cell>
          <cell r="G209">
            <v>833.07629079999992</v>
          </cell>
        </row>
        <row r="210">
          <cell r="D210">
            <v>42.30889812819963</v>
          </cell>
          <cell r="E210">
            <v>0</v>
          </cell>
          <cell r="F210">
            <v>0</v>
          </cell>
          <cell r="G210">
            <v>0</v>
          </cell>
        </row>
        <row r="211">
          <cell r="D211">
            <v>-42.30889812819963</v>
          </cell>
          <cell r="E211">
            <v>0</v>
          </cell>
          <cell r="F211">
            <v>0</v>
          </cell>
          <cell r="G211">
            <v>0</v>
          </cell>
        </row>
        <row r="212">
          <cell r="C212">
            <v>4055.9</v>
          </cell>
          <cell r="D212">
            <v>4372.4778043855185</v>
          </cell>
          <cell r="E212">
            <v>4630.032205000929</v>
          </cell>
          <cell r="F212">
            <v>4604.3313631824094</v>
          </cell>
          <cell r="G212">
            <v>4579.1466724939773</v>
          </cell>
        </row>
        <row r="213">
          <cell r="C213">
            <v>1601.1</v>
          </cell>
          <cell r="D213">
            <v>1767.3786827896106</v>
          </cell>
          <cell r="E213">
            <v>1908.0185968309536</v>
          </cell>
          <cell r="F213">
            <v>1861.7387222065845</v>
          </cell>
          <cell r="G213">
            <v>1834.7882763487446</v>
          </cell>
        </row>
        <row r="214">
          <cell r="C214">
            <v>1095.8</v>
          </cell>
          <cell r="D214">
            <v>1171.0089232420223</v>
          </cell>
          <cell r="E214">
            <v>1239.549489444194</v>
          </cell>
          <cell r="F214">
            <v>1249.3246172035301</v>
          </cell>
          <cell r="G214">
            <v>1240.0016239791689</v>
          </cell>
        </row>
        <row r="215">
          <cell r="C215">
            <v>723.22800000000007</v>
          </cell>
          <cell r="D215">
            <v>878.25669243151674</v>
          </cell>
          <cell r="E215">
            <v>929.66211708314552</v>
          </cell>
          <cell r="F215">
            <v>936.99346290264759</v>
          </cell>
          <cell r="G215">
            <v>930.00121798437669</v>
          </cell>
        </row>
        <row r="216">
          <cell r="C216">
            <v>4826</v>
          </cell>
          <cell r="D216">
            <v>5825.3627078406971</v>
          </cell>
          <cell r="E216">
            <v>5371.3551360229867</v>
          </cell>
          <cell r="F216">
            <v>5017.5141766104489</v>
          </cell>
          <cell r="G216">
            <v>4733.6766372024103</v>
          </cell>
        </row>
        <row r="217">
          <cell r="C217">
            <v>3889</v>
          </cell>
          <cell r="D217">
            <v>3720.4784676097624</v>
          </cell>
          <cell r="E217">
            <v>3418.0344357269587</v>
          </cell>
          <cell r="F217">
            <v>3138.4625843497324</v>
          </cell>
          <cell r="G217">
            <v>2914.2216340118703</v>
          </cell>
        </row>
        <row r="218">
          <cell r="C218">
            <v>862.65100000000007</v>
          </cell>
          <cell r="D218">
            <v>920.63264366028636</v>
          </cell>
          <cell r="E218">
            <v>972.59719381807952</v>
          </cell>
          <cell r="F218">
            <v>994.55032847873099</v>
          </cell>
          <cell r="G218">
            <v>994.40656283840428</v>
          </cell>
        </row>
        <row r="219">
          <cell r="C219">
            <v>327.95100000000014</v>
          </cell>
          <cell r="D219">
            <v>502.11111127004949</v>
          </cell>
          <cell r="E219">
            <v>670.15316193527565</v>
          </cell>
          <cell r="F219">
            <v>714.9784771015054</v>
          </cell>
          <cell r="G219">
            <v>770.16561250054212</v>
          </cell>
        </row>
        <row r="220">
          <cell r="C220">
            <v>128.31961999999999</v>
          </cell>
          <cell r="D220">
            <v>251.68467999999999</v>
          </cell>
          <cell r="E220">
            <v>276.85314800000003</v>
          </cell>
          <cell r="F220">
            <v>304.53846279999999</v>
          </cell>
          <cell r="G220">
            <v>365.44615535999998</v>
          </cell>
        </row>
        <row r="221">
          <cell r="C221">
            <v>119</v>
          </cell>
          <cell r="D221">
            <v>119.62818086885017</v>
          </cell>
          <cell r="E221">
            <v>118.09352275020822</v>
          </cell>
          <cell r="F221">
            <v>84.167773391732553</v>
          </cell>
          <cell r="G221">
            <v>52.445726855926196</v>
          </cell>
        </row>
        <row r="225">
          <cell r="D225">
            <v>0</v>
          </cell>
          <cell r="E225">
            <v>0</v>
          </cell>
          <cell r="F225">
            <v>0</v>
          </cell>
          <cell r="G225">
            <v>0</v>
          </cell>
        </row>
        <row r="226">
          <cell r="D226">
            <v>1677</v>
          </cell>
          <cell r="E226">
            <v>1677</v>
          </cell>
          <cell r="F226">
            <v>1677</v>
          </cell>
          <cell r="G226">
            <v>1677</v>
          </cell>
        </row>
        <row r="227">
          <cell r="D227">
            <v>42606.530140495895</v>
          </cell>
          <cell r="E227">
            <v>39555.286927192123</v>
          </cell>
          <cell r="F227">
            <v>33684.987981810751</v>
          </cell>
          <cell r="G227">
            <v>25925.686929105312</v>
          </cell>
        </row>
        <row r="228">
          <cell r="D228">
            <v>1447</v>
          </cell>
          <cell r="E228">
            <v>1447</v>
          </cell>
          <cell r="F228">
            <v>1447</v>
          </cell>
          <cell r="G228">
            <v>1447</v>
          </cell>
        </row>
        <row r="229">
          <cell r="D229">
            <v>0</v>
          </cell>
          <cell r="E229">
            <v>3094.8653771999998</v>
          </cell>
          <cell r="F229">
            <v>6717.1853771999995</v>
          </cell>
          <cell r="G229">
            <v>11063.969377199999</v>
          </cell>
        </row>
        <row r="230">
          <cell r="D230">
            <v>1863.8164410472568</v>
          </cell>
          <cell r="E230">
            <v>1995.0017563310375</v>
          </cell>
          <cell r="F230">
            <v>2109.5218968375211</v>
          </cell>
          <cell r="G230">
            <v>2237.4036485845227</v>
          </cell>
        </row>
        <row r="231">
          <cell r="D231">
            <v>-1863.8164410472568</v>
          </cell>
          <cell r="E231">
            <v>-1995.0017563310375</v>
          </cell>
          <cell r="F231">
            <v>-2109.5218968375211</v>
          </cell>
          <cell r="G231">
            <v>-2237.4036485845227</v>
          </cell>
        </row>
        <row r="232">
          <cell r="C232">
            <v>60789</v>
          </cell>
          <cell r="D232">
            <v>68642.430678428471</v>
          </cell>
          <cell r="E232">
            <v>84482.430298314299</v>
          </cell>
          <cell r="F232">
            <v>87665.211136662663</v>
          </cell>
          <cell r="G232">
            <v>90078.825997227206</v>
          </cell>
        </row>
        <row r="233">
          <cell r="C233">
            <v>20957</v>
          </cell>
          <cell r="D233">
            <v>23806.828297477121</v>
          </cell>
          <cell r="E233">
            <v>29389.148616449802</v>
          </cell>
          <cell r="F233">
            <v>29914.249054077784</v>
          </cell>
          <cell r="G233">
            <v>30557.044448308621</v>
          </cell>
        </row>
        <row r="234">
          <cell r="C234">
            <v>8160</v>
          </cell>
          <cell r="D234">
            <v>9091.5833762988404</v>
          </cell>
          <cell r="E234">
            <v>11463.499426640588</v>
          </cell>
          <cell r="F234">
            <v>15787.420141307381</v>
          </cell>
          <cell r="G234">
            <v>18372.948809551846</v>
          </cell>
        </row>
        <row r="235">
          <cell r="C235">
            <v>5630.4</v>
          </cell>
          <cell r="D235">
            <v>6273.1925296461995</v>
          </cell>
          <cell r="E235">
            <v>7909.8146043820052</v>
          </cell>
          <cell r="F235">
            <v>10893.319897502091</v>
          </cell>
          <cell r="G235">
            <v>12677.334678590772</v>
          </cell>
        </row>
        <row r="236">
          <cell r="C236">
            <v>62917</v>
          </cell>
          <cell r="D236">
            <v>90019.398400470018</v>
          </cell>
          <cell r="E236">
            <v>93414.794529588849</v>
          </cell>
          <cell r="F236">
            <v>94090.892219042638</v>
          </cell>
          <cell r="G236">
            <v>93331.315484879568</v>
          </cell>
        </row>
        <row r="237">
          <cell r="C237">
            <v>37543</v>
          </cell>
          <cell r="D237">
            <v>71479.019780310628</v>
          </cell>
          <cell r="E237">
            <v>76149.606173830121</v>
          </cell>
          <cell r="F237">
            <v>76432.144984864834</v>
          </cell>
          <cell r="G237">
            <v>74993.047741388888</v>
          </cell>
        </row>
        <row r="238">
          <cell r="C238">
            <v>5682.7</v>
          </cell>
          <cell r="D238">
            <v>3659.8717943098218</v>
          </cell>
          <cell r="E238">
            <v>4898.2116514548106</v>
          </cell>
          <cell r="F238">
            <v>9254.3244864763001</v>
          </cell>
          <cell r="G238">
            <v>11777.428893356238</v>
          </cell>
        </row>
        <row r="239">
          <cell r="C239">
            <v>7842.7</v>
          </cell>
          <cell r="D239">
            <v>7889.1884909741202</v>
          </cell>
          <cell r="E239">
            <v>8420.5047196226024</v>
          </cell>
          <cell r="F239">
            <v>8962.7166348351693</v>
          </cell>
          <cell r="G239">
            <v>10051.258318542357</v>
          </cell>
        </row>
        <row r="240">
          <cell r="C240">
            <v>2642.6089619999998</v>
          </cell>
          <cell r="D240">
            <v>3018.6</v>
          </cell>
          <cell r="E240">
            <v>3622.32</v>
          </cell>
          <cell r="F240">
            <v>4346.7839999999997</v>
          </cell>
          <cell r="G240">
            <v>4694.5267199999989</v>
          </cell>
        </row>
        <row r="241">
          <cell r="C241">
            <v>-1521</v>
          </cell>
          <cell r="D241">
            <v>1908.481970102097</v>
          </cell>
          <cell r="E241">
            <v>2560.5095678190983</v>
          </cell>
          <cell r="F241">
            <v>2273.6323478761474</v>
          </cell>
          <cell r="G241">
            <v>1835.3648727200516</v>
          </cell>
        </row>
        <row r="245">
          <cell r="D245">
            <v>0</v>
          </cell>
          <cell r="E245">
            <v>0</v>
          </cell>
          <cell r="F245">
            <v>0</v>
          </cell>
          <cell r="G245">
            <v>0</v>
          </cell>
        </row>
        <row r="246">
          <cell r="D246">
            <v>4488.232</v>
          </cell>
          <cell r="E246">
            <v>4301.232</v>
          </cell>
          <cell r="F246">
            <v>4114.232</v>
          </cell>
          <cell r="G246">
            <v>4114.232</v>
          </cell>
        </row>
        <row r="247">
          <cell r="D247">
            <v>13686.2314454193</v>
          </cell>
          <cell r="E247">
            <v>17106.514641311376</v>
          </cell>
          <cell r="F247">
            <v>19465.803543900762</v>
          </cell>
          <cell r="G247">
            <v>11784.334174063304</v>
          </cell>
        </row>
        <row r="248">
          <cell r="D248">
            <v>9334.1418927033792</v>
          </cell>
          <cell r="E248">
            <v>7090.5248041196501</v>
          </cell>
          <cell r="F248">
            <v>5311.7082917492226</v>
          </cell>
          <cell r="G248">
            <v>3996.2965150891609</v>
          </cell>
        </row>
        <row r="249">
          <cell r="D249">
            <v>0</v>
          </cell>
          <cell r="E249">
            <v>5801.0462400000006</v>
          </cell>
          <cell r="F249">
            <v>11910.673104000001</v>
          </cell>
          <cell r="G249">
            <v>18481.924454400003</v>
          </cell>
        </row>
        <row r="250">
          <cell r="D250">
            <v>5585.4179400379171</v>
          </cell>
          <cell r="E250">
            <v>5052.1090103974293</v>
          </cell>
          <cell r="F250">
            <v>4423.5459612437307</v>
          </cell>
          <cell r="G250">
            <v>3954.4047440627314</v>
          </cell>
        </row>
        <row r="251">
          <cell r="D251">
            <v>3748.7239526654621</v>
          </cell>
          <cell r="E251">
            <v>2038.4157937222208</v>
          </cell>
          <cell r="F251">
            <v>888.16233050549226</v>
          </cell>
          <cell r="G251">
            <v>41.891771026429637</v>
          </cell>
        </row>
        <row r="252">
          <cell r="C252">
            <v>81937</v>
          </cell>
          <cell r="D252">
            <v>87060.402280048205</v>
          </cell>
          <cell r="E252">
            <v>87093.105123910253</v>
          </cell>
          <cell r="F252">
            <v>86162.070059930469</v>
          </cell>
          <cell r="G252">
            <v>85171.331706540208</v>
          </cell>
        </row>
        <row r="253">
          <cell r="C253">
            <v>30008</v>
          </cell>
          <cell r="D253">
            <v>29943.143238448265</v>
          </cell>
          <cell r="E253">
            <v>31419.489682737531</v>
          </cell>
          <cell r="F253">
            <v>31830.522131148282</v>
          </cell>
          <cell r="G253">
            <v>31456.433447591786</v>
          </cell>
        </row>
        <row r="254">
          <cell r="C254">
            <v>19378</v>
          </cell>
          <cell r="D254">
            <v>17666.938927002528</v>
          </cell>
          <cell r="E254">
            <v>20330.757160942114</v>
          </cell>
          <cell r="F254">
            <v>21297.734791680366</v>
          </cell>
          <cell r="G254">
            <v>21031.15841740639</v>
          </cell>
        </row>
        <row r="255">
          <cell r="C255">
            <v>13952.16</v>
          </cell>
          <cell r="D255">
            <v>12720.19602744182</v>
          </cell>
          <cell r="E255">
            <v>14638.145155878321</v>
          </cell>
          <cell r="F255">
            <v>15334.369050009864</v>
          </cell>
          <cell r="G255">
            <v>15142.4340605326</v>
          </cell>
        </row>
        <row r="256">
          <cell r="C256">
            <v>136175</v>
          </cell>
          <cell r="D256">
            <v>139458.91508715187</v>
          </cell>
          <cell r="E256">
            <v>141563.72583112062</v>
          </cell>
          <cell r="F256">
            <v>142989.24699703074</v>
          </cell>
          <cell r="G256">
            <v>145722.49321303426</v>
          </cell>
        </row>
        <row r="257">
          <cell r="C257">
            <v>47542</v>
          </cell>
          <cell r="D257">
            <v>48005.352015039476</v>
          </cell>
          <cell r="E257">
            <v>47712.446396346117</v>
          </cell>
          <cell r="F257">
            <v>47460.285328622384</v>
          </cell>
          <cell r="G257">
            <v>47308.600554022953</v>
          </cell>
        </row>
        <row r="258">
          <cell r="C258">
            <v>16279.963256958632</v>
          </cell>
          <cell r="D258">
            <v>13771.004457915773</v>
          </cell>
          <cell r="E258">
            <v>15770.604406770042</v>
          </cell>
          <cell r="F258">
            <v>16412.988945044497</v>
          </cell>
          <cell r="G258">
            <v>16331.758023340422</v>
          </cell>
        </row>
        <row r="259">
          <cell r="C259">
            <v>15582.963256958632</v>
          </cell>
          <cell r="D259">
            <v>14234.356472955242</v>
          </cell>
          <cell r="E259">
            <v>15477.698788076676</v>
          </cell>
          <cell r="F259">
            <v>16160.827877320757</v>
          </cell>
          <cell r="G259">
            <v>16180.073248740993</v>
          </cell>
        </row>
        <row r="260">
          <cell r="C260">
            <v>5610.2784000000001</v>
          </cell>
          <cell r="D260">
            <v>5924.4662400000007</v>
          </cell>
          <cell r="E260">
            <v>6245.3888640000005</v>
          </cell>
          <cell r="F260">
            <v>6571.2513504000017</v>
          </cell>
          <cell r="G260">
            <v>6899.8139179200016</v>
          </cell>
        </row>
        <row r="261">
          <cell r="C261">
            <v>1345</v>
          </cell>
          <cell r="D261">
            <v>679.67578613548255</v>
          </cell>
          <cell r="E261">
            <v>944.15600216826715</v>
          </cell>
          <cell r="F261">
            <v>1090.3886781303033</v>
          </cell>
          <cell r="G261">
            <v>959.09497368410166</v>
          </cell>
        </row>
        <row r="265">
          <cell r="D265">
            <v>743.93105500000001</v>
          </cell>
          <cell r="E265">
            <v>743.93105500000001</v>
          </cell>
          <cell r="F265">
            <v>743.93105500000001</v>
          </cell>
          <cell r="G265">
            <v>743.93105500000001</v>
          </cell>
        </row>
        <row r="266">
          <cell r="D266">
            <v>173.00000399999999</v>
          </cell>
          <cell r="E266">
            <v>173.00000399999999</v>
          </cell>
          <cell r="F266">
            <v>173.00000399999999</v>
          </cell>
          <cell r="G266">
            <v>173.00000399999999</v>
          </cell>
        </row>
        <row r="267">
          <cell r="D267">
            <v>1772.3571022094302</v>
          </cell>
          <cell r="E267">
            <v>1717.4838256047869</v>
          </cell>
          <cell r="F267">
            <v>1704.2122128653837</v>
          </cell>
          <cell r="G267">
            <v>1626.20199077083</v>
          </cell>
        </row>
        <row r="268">
          <cell r="D268">
            <v>251.45781522887884</v>
          </cell>
          <cell r="E268">
            <v>165.226528961567</v>
          </cell>
          <cell r="F268">
            <v>72.959052655543388</v>
          </cell>
          <cell r="G268">
            <v>64.066186341431433</v>
          </cell>
        </row>
        <row r="269">
          <cell r="D269">
            <v>61.69250049</v>
          </cell>
          <cell r="E269">
            <v>164.88391316550002</v>
          </cell>
          <cell r="F269">
            <v>269.90421627021004</v>
          </cell>
          <cell r="G269">
            <v>376.60107542721425</v>
          </cell>
        </row>
        <row r="270">
          <cell r="D270">
            <v>-22.026077504212385</v>
          </cell>
          <cell r="E270">
            <v>-16.067902929507255</v>
          </cell>
          <cell r="F270">
            <v>-10.942656134572763</v>
          </cell>
          <cell r="G270">
            <v>-6.7086420639928566</v>
          </cell>
        </row>
        <row r="271">
          <cell r="D271">
            <v>100.48388873309125</v>
          </cell>
          <cell r="E271">
            <v>8.2944278910742639</v>
          </cell>
          <cell r="F271">
            <v>-89.098295209883844</v>
          </cell>
          <cell r="G271">
            <v>-102.2251755945757</v>
          </cell>
        </row>
        <row r="272">
          <cell r="C272">
            <v>1628.0199446399999</v>
          </cell>
          <cell r="D272">
            <v>1608.9581354643678</v>
          </cell>
          <cell r="E272">
            <v>1566.444919973469</v>
          </cell>
          <cell r="F272">
            <v>1498.2827387710627</v>
          </cell>
          <cell r="G272">
            <v>1424.2404330482705</v>
          </cell>
        </row>
        <row r="273">
          <cell r="C273">
            <v>602</v>
          </cell>
          <cell r="D273">
            <v>631.63703301988335</v>
          </cell>
          <cell r="E273">
            <v>622.56459575400788</v>
          </cell>
          <cell r="F273">
            <v>578.31433490817415</v>
          </cell>
          <cell r="G273">
            <v>528.94336718202317</v>
          </cell>
        </row>
        <row r="274">
          <cell r="C274">
            <v>394</v>
          </cell>
          <cell r="D274">
            <v>431.95703301988334</v>
          </cell>
          <cell r="E274">
            <v>422.88459575400788</v>
          </cell>
          <cell r="F274">
            <v>378.63433490817414</v>
          </cell>
          <cell r="G274">
            <v>345.23776718202316</v>
          </cell>
        </row>
        <row r="275">
          <cell r="C275">
            <v>344.75</v>
          </cell>
          <cell r="D275">
            <v>377.9624038923979</v>
          </cell>
          <cell r="E275">
            <v>370.02402128475688</v>
          </cell>
          <cell r="F275">
            <v>331.30504304465239</v>
          </cell>
          <cell r="G275">
            <v>302.08304628427027</v>
          </cell>
        </row>
        <row r="276">
          <cell r="C276">
            <v>2461</v>
          </cell>
          <cell r="D276">
            <v>2341.8315267780044</v>
          </cell>
          <cell r="E276">
            <v>2310.1602722740663</v>
          </cell>
          <cell r="F276">
            <v>2293.3808857298254</v>
          </cell>
          <cell r="G276">
            <v>2249.5714372855637</v>
          </cell>
        </row>
        <row r="277">
          <cell r="C277">
            <v>2140</v>
          </cell>
          <cell r="D277">
            <v>2027.6487437064484</v>
          </cell>
          <cell r="E277">
            <v>2008.3291643292366</v>
          </cell>
          <cell r="F277">
            <v>2001.4254157272717</v>
          </cell>
          <cell r="G277">
            <v>1979.257410806398</v>
          </cell>
        </row>
        <row r="278">
          <cell r="C278">
            <v>144.18249951000001</v>
          </cell>
          <cell r="D278">
            <v>257.10893616902126</v>
          </cell>
          <cell r="E278">
            <v>239.81076460621426</v>
          </cell>
          <cell r="F278">
            <v>202.51475568826015</v>
          </cell>
          <cell r="G278">
            <v>179.66439560061991</v>
          </cell>
        </row>
        <row r="279">
          <cell r="C279">
            <v>-10.817500489999997</v>
          </cell>
          <cell r="D279">
            <v>143.75767987546993</v>
          </cell>
          <cell r="E279">
            <v>219.4911852290027</v>
          </cell>
          <cell r="F279">
            <v>194.61100708629547</v>
          </cell>
          <cell r="G279">
            <v>156.49639067974638</v>
          </cell>
        </row>
        <row r="280">
          <cell r="C280">
            <v>0</v>
          </cell>
          <cell r="D280">
            <v>81.832416050000006</v>
          </cell>
          <cell r="E280">
            <v>83.469064371000002</v>
          </cell>
          <cell r="F280">
            <v>85.138445658420011</v>
          </cell>
          <cell r="G280">
            <v>86.841214571588409</v>
          </cell>
        </row>
        <row r="281">
          <cell r="C281">
            <v>208</v>
          </cell>
          <cell r="D281">
            <v>119.94842773722351</v>
          </cell>
          <cell r="E281">
            <v>118.78366126936464</v>
          </cell>
          <cell r="F281">
            <v>116.81229193330036</v>
          </cell>
          <cell r="G281">
            <v>113.13960092429662</v>
          </cell>
        </row>
        <row r="285">
          <cell r="D285">
            <v>0</v>
          </cell>
          <cell r="E285">
            <v>0</v>
          </cell>
          <cell r="F285">
            <v>0</v>
          </cell>
          <cell r="G285">
            <v>0</v>
          </cell>
        </row>
        <row r="286">
          <cell r="D286">
            <v>361.82</v>
          </cell>
          <cell r="E286">
            <v>352.44499999999999</v>
          </cell>
          <cell r="F286">
            <v>352.44499999999999</v>
          </cell>
          <cell r="G286">
            <v>352.44499999999999</v>
          </cell>
        </row>
        <row r="287">
          <cell r="D287">
            <v>-110</v>
          </cell>
          <cell r="E287">
            <v>-538.40844111364822</v>
          </cell>
          <cell r="F287">
            <v>-997.5598356952496</v>
          </cell>
          <cell r="G287">
            <v>-1374.6387788267953</v>
          </cell>
        </row>
        <row r="288">
          <cell r="D288">
            <v>380.47338652236499</v>
          </cell>
          <cell r="E288">
            <v>277.10652357893053</v>
          </cell>
          <cell r="F288">
            <v>176.50398022945569</v>
          </cell>
          <cell r="G288">
            <v>113.8592588455176</v>
          </cell>
        </row>
        <row r="289">
          <cell r="D289">
            <v>0</v>
          </cell>
          <cell r="E289">
            <v>471.0560999999999</v>
          </cell>
          <cell r="F289">
            <v>946.8227609999999</v>
          </cell>
          <cell r="G289">
            <v>1422.5894219999998</v>
          </cell>
        </row>
        <row r="290">
          <cell r="D290">
            <v>452.50692932339524</v>
          </cell>
          <cell r="E290">
            <v>281.41917172473603</v>
          </cell>
          <cell r="F290">
            <v>87.403432684959583</v>
          </cell>
          <cell r="G290">
            <v>-3.3111682566599714E-6</v>
          </cell>
        </row>
        <row r="291">
          <cell r="D291">
            <v>-425.16654280103023</v>
          </cell>
          <cell r="E291">
            <v>-357.44564814580548</v>
          </cell>
          <cell r="F291">
            <v>-264.03245245550386</v>
          </cell>
          <cell r="G291">
            <v>-239.27373784331411</v>
          </cell>
        </row>
        <row r="292">
          <cell r="C292">
            <v>5454</v>
          </cell>
          <cell r="D292">
            <v>5540</v>
          </cell>
          <cell r="E292">
            <v>5373.6328085530258</v>
          </cell>
          <cell r="F292">
            <v>5274.6274662588121</v>
          </cell>
          <cell r="G292">
            <v>5141.265260213032</v>
          </cell>
        </row>
        <row r="293">
          <cell r="C293">
            <v>2250</v>
          </cell>
          <cell r="D293">
            <v>2364</v>
          </cell>
          <cell r="E293">
            <v>2284.0984965490502</v>
          </cell>
          <cell r="F293">
            <v>2209.0855270161933</v>
          </cell>
          <cell r="G293">
            <v>2114.7631443068231</v>
          </cell>
        </row>
        <row r="294">
          <cell r="C294">
            <v>1748</v>
          </cell>
          <cell r="D294">
            <v>1808</v>
          </cell>
          <cell r="E294">
            <v>1707.6634405490502</v>
          </cell>
          <cell r="F294">
            <v>1631.5958233745932</v>
          </cell>
          <cell r="G294">
            <v>1554.407096042032</v>
          </cell>
        </row>
        <row r="295">
          <cell r="C295">
            <v>1048.8</v>
          </cell>
          <cell r="D295">
            <v>1193.28</v>
          </cell>
          <cell r="E295">
            <v>1127.0578707623729</v>
          </cell>
          <cell r="F295">
            <v>1076.8532434272315</v>
          </cell>
          <cell r="G295">
            <v>1025.9086833877409</v>
          </cell>
        </row>
        <row r="296">
          <cell r="C296">
            <v>2837</v>
          </cell>
          <cell r="D296">
            <v>2520</v>
          </cell>
          <cell r="E296">
            <v>2284.3599907985072</v>
          </cell>
          <cell r="F296">
            <v>2240.8452344521102</v>
          </cell>
          <cell r="G296">
            <v>2259.1285067999661</v>
          </cell>
        </row>
        <row r="297">
          <cell r="C297">
            <v>2854</v>
          </cell>
          <cell r="D297">
            <v>2658</v>
          </cell>
          <cell r="E297">
            <v>2543.1735991233472</v>
          </cell>
          <cell r="F297">
            <v>2464.878914901612</v>
          </cell>
          <cell r="G297">
            <v>2394.6953639386047</v>
          </cell>
        </row>
        <row r="298">
          <cell r="C298">
            <v>1025.04</v>
          </cell>
          <cell r="D298">
            <v>1076.2045999999998</v>
          </cell>
          <cell r="E298">
            <v>1005.158917591883</v>
          </cell>
          <cell r="F298">
            <v>966.05990400046312</v>
          </cell>
          <cell r="G298">
            <v>936.73960228176588</v>
          </cell>
        </row>
        <row r="299">
          <cell r="C299">
            <v>733</v>
          </cell>
          <cell r="D299">
            <v>900.2</v>
          </cell>
          <cell r="E299">
            <v>892.63625787312458</v>
          </cell>
          <cell r="F299">
            <v>890.21148017599978</v>
          </cell>
          <cell r="G299">
            <v>870.12391197998409</v>
          </cell>
        </row>
        <row r="300">
          <cell r="C300">
            <v>395</v>
          </cell>
          <cell r="D300">
            <v>499.31159999999994</v>
          </cell>
          <cell r="E300">
            <v>491.23784099999995</v>
          </cell>
          <cell r="F300">
            <v>491.23784099999995</v>
          </cell>
          <cell r="G300">
            <v>491.23784099999995</v>
          </cell>
        </row>
        <row r="301">
          <cell r="C301">
            <v>27</v>
          </cell>
          <cell r="D301">
            <v>27</v>
          </cell>
          <cell r="E301">
            <v>8.0565801727782898</v>
          </cell>
          <cell r="F301">
            <v>-16.54682530691538</v>
          </cell>
          <cell r="G301">
            <v>-47.181006379323719</v>
          </cell>
        </row>
      </sheetData>
      <sheetData sheetId="6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s"/>
      <sheetName val="ConsensusSummary"/>
      <sheetName val="ConsensusData"/>
      <sheetName val="Forecast checker"/>
      <sheetName val="BELG"/>
      <sheetName val="BT"/>
      <sheetName val="DT"/>
      <sheetName val="EIR"/>
      <sheetName val="FT"/>
      <sheetName val="KPN"/>
      <sheetName val="OTE"/>
      <sheetName val="PT"/>
      <sheetName val="SWISS"/>
      <sheetName val="TDC"/>
      <sheetName val="TEF"/>
      <sheetName val="TI"/>
      <sheetName val="TELKA"/>
      <sheetName val="TSON"/>
      <sheetName val="TNOR"/>
      <sheetName val="VOD"/>
      <sheetName val="George"/>
      <sheetName val="Aggregate"/>
      <sheetName val="Fwd mults"/>
      <sheetName val="DSL"/>
      <sheetName val="Quarterly data"/>
      <sheetName val="Export to Mildred"/>
      <sheetName val="Working"/>
      <sheetName val="FK"/>
      <sheetName val="working2"/>
      <sheetName val="DSL working"/>
      <sheetName val="FTTx"/>
      <sheetName val="Multiples"/>
      <sheetName val="GEORGE1"/>
      <sheetName val="BELG1"/>
      <sheetName val="BT1"/>
      <sheetName val="DT1"/>
      <sheetName val="FT1"/>
      <sheetName val="KPN1"/>
      <sheetName val="OTE1"/>
      <sheetName val="PT1"/>
      <sheetName val="SWISS1"/>
      <sheetName val="TDC1"/>
      <sheetName val="TEF1"/>
      <sheetName val="TI1"/>
      <sheetName val="TELKA1"/>
      <sheetName val="TNOR1"/>
      <sheetName val="TSON1"/>
      <sheetName val="VOD1"/>
      <sheetName val="BELG2"/>
      <sheetName val="BT2"/>
      <sheetName val="DTexUS"/>
      <sheetName val="DT2"/>
      <sheetName val="FT2"/>
      <sheetName val="KPN2"/>
      <sheetName val="OTE2"/>
      <sheetName val="PT2"/>
      <sheetName val="SWISS2"/>
      <sheetName val="TDC2"/>
      <sheetName val="TI2"/>
      <sheetName val="TEF2"/>
      <sheetName val="TELKA2"/>
      <sheetName val="TNOR2"/>
      <sheetName val="TSON2"/>
      <sheetName val="VOD2"/>
      <sheetName val="Share prices"/>
      <sheetName val="Debt prices"/>
      <sheetName val="Summod"/>
      <sheetName val="Multmod"/>
      <sheetName val="FIDO"/>
      <sheetName val="TDC - dummy"/>
    </sheetNames>
    <sheetDataSet>
      <sheetData sheetId="0"/>
      <sheetData sheetId="1">
        <row r="8">
          <cell r="D8">
            <v>312.14365307181328</v>
          </cell>
          <cell r="E8">
            <v>319.43821170063347</v>
          </cell>
          <cell r="F8">
            <v>316.54225106416231</v>
          </cell>
        </row>
        <row r="9">
          <cell r="D9">
            <v>297.08813296502507</v>
          </cell>
          <cell r="E9">
            <v>298.14566904397282</v>
          </cell>
          <cell r="F9">
            <v>301.19420031833243</v>
          </cell>
        </row>
        <row r="10">
          <cell r="D10">
            <v>283.24776177692252</v>
          </cell>
          <cell r="E10">
            <v>282.06922738194959</v>
          </cell>
          <cell r="F10">
            <v>286.82048772280689</v>
          </cell>
        </row>
        <row r="16">
          <cell r="D16">
            <v>108.82107268747352</v>
          </cell>
          <cell r="E16">
            <v>113.23258572592974</v>
          </cell>
          <cell r="F16">
            <v>111.60456415230716</v>
          </cell>
        </row>
        <row r="17">
          <cell r="D17">
            <v>102.05405904220521</v>
          </cell>
          <cell r="E17">
            <v>103.09655655258807</v>
          </cell>
          <cell r="F17">
            <v>104.32813881163099</v>
          </cell>
        </row>
        <row r="18">
          <cell r="D18">
            <v>93.82809344894622</v>
          </cell>
          <cell r="E18">
            <v>94.655437822408786</v>
          </cell>
          <cell r="F18">
            <v>97.326700657597613</v>
          </cell>
        </row>
        <row r="60">
          <cell r="D60">
            <v>51.453333417818875</v>
          </cell>
          <cell r="E60">
            <v>57.686167285399456</v>
          </cell>
          <cell r="F60">
            <v>59.512697402806026</v>
          </cell>
        </row>
        <row r="61">
          <cell r="D61">
            <v>50.872654409529147</v>
          </cell>
          <cell r="E61">
            <v>54.723638725607245</v>
          </cell>
          <cell r="F61">
            <v>56.172862554418622</v>
          </cell>
        </row>
        <row r="62">
          <cell r="D62">
            <v>47.625530357194229</v>
          </cell>
          <cell r="E62">
            <v>48.614353513801362</v>
          </cell>
          <cell r="F62">
            <v>49.776885272556129</v>
          </cell>
        </row>
        <row r="68">
          <cell r="D68">
            <v>17.947398848038734</v>
          </cell>
          <cell r="E68">
            <v>20.596568242266795</v>
          </cell>
          <cell r="F68">
            <v>20.546608461687516</v>
          </cell>
        </row>
        <row r="69">
          <cell r="D69">
            <v>17.451520077941755</v>
          </cell>
          <cell r="E69">
            <v>18.571448197478162</v>
          </cell>
          <cell r="F69">
            <v>18.947862620301869</v>
          </cell>
        </row>
        <row r="70">
          <cell r="D70">
            <v>17.040326588802223</v>
          </cell>
          <cell r="E70">
            <v>16.471402914128902</v>
          </cell>
          <cell r="F70">
            <v>17.371895085505102</v>
          </cell>
        </row>
        <row r="112">
          <cell r="D112">
            <v>103.6803762117932</v>
          </cell>
          <cell r="E112">
            <v>111.85544784712886</v>
          </cell>
          <cell r="F112">
            <v>117.35728003918527</v>
          </cell>
        </row>
        <row r="113">
          <cell r="D113">
            <v>95.423109288372501</v>
          </cell>
          <cell r="E113">
            <v>99.136219533039849</v>
          </cell>
          <cell r="F113">
            <v>104.22448060972629</v>
          </cell>
        </row>
        <row r="114">
          <cell r="D114">
            <v>90.174127639161156</v>
          </cell>
          <cell r="E114">
            <v>91.598514131222188</v>
          </cell>
          <cell r="F114">
            <v>95.387587895875157</v>
          </cell>
        </row>
        <row r="120">
          <cell r="D120">
            <v>50.533848366811007</v>
          </cell>
          <cell r="E120">
            <v>53.949921916844154</v>
          </cell>
          <cell r="F120">
            <v>53.327152440826339</v>
          </cell>
        </row>
        <row r="121">
          <cell r="D121">
            <v>39.173050363027535</v>
          </cell>
          <cell r="E121">
            <v>40.03901828544128</v>
          </cell>
          <cell r="F121">
            <v>41.334494405932695</v>
          </cell>
        </row>
        <row r="122">
          <cell r="D122">
            <v>35.396545956893647</v>
          </cell>
          <cell r="E122">
            <v>35.421029080746173</v>
          </cell>
          <cell r="F122">
            <v>35.728704403101311</v>
          </cell>
        </row>
        <row r="164">
          <cell r="D164">
            <v>621.25041877094839</v>
          </cell>
          <cell r="E164">
            <v>671.8595319026731</v>
          </cell>
          <cell r="F164">
            <v>700.75819488501122</v>
          </cell>
        </row>
        <row r="165">
          <cell r="D165">
            <v>562.0273789090661</v>
          </cell>
          <cell r="E165">
            <v>596.84647588228336</v>
          </cell>
          <cell r="F165">
            <v>618.84657588917253</v>
          </cell>
        </row>
        <row r="166">
          <cell r="D166">
            <v>517.50313161662268</v>
          </cell>
          <cell r="E166">
            <v>544.97701028294728</v>
          </cell>
          <cell r="F166">
            <v>573.318567634136</v>
          </cell>
        </row>
        <row r="172">
          <cell r="D172">
            <v>257.45244409438146</v>
          </cell>
          <cell r="E172">
            <v>284.66630986979533</v>
          </cell>
          <cell r="F172">
            <v>283.00013392628108</v>
          </cell>
        </row>
        <row r="173">
          <cell r="D173">
            <v>230.02882970430434</v>
          </cell>
          <cell r="E173">
            <v>245.57619427245857</v>
          </cell>
          <cell r="F173">
            <v>253.33031045345868</v>
          </cell>
        </row>
        <row r="174">
          <cell r="D174">
            <v>207.30841044655412</v>
          </cell>
          <cell r="E174">
            <v>220.92752454976619</v>
          </cell>
          <cell r="F174">
            <v>234.79855684241809</v>
          </cell>
        </row>
      </sheetData>
      <sheetData sheetId="2">
        <row r="24">
          <cell r="Q24">
            <v>1496</v>
          </cell>
          <cell r="R24">
            <v>1454.1206692215867</v>
          </cell>
          <cell r="S24">
            <v>1427.7756950509083</v>
          </cell>
        </row>
        <row r="25">
          <cell r="Q25">
            <v>1552.602882707381</v>
          </cell>
          <cell r="R25">
            <v>1543.0069439289357</v>
          </cell>
          <cell r="S25">
            <v>1522.822283199509</v>
          </cell>
        </row>
        <row r="26">
          <cell r="Q26">
            <v>39505</v>
          </cell>
          <cell r="R26">
            <v>41068.161237434935</v>
          </cell>
          <cell r="S26">
            <v>39876.559042023466</v>
          </cell>
        </row>
        <row r="27">
          <cell r="Q27">
            <v>39505</v>
          </cell>
          <cell r="R27">
            <v>41068.161237434935</v>
          </cell>
          <cell r="S27">
            <v>39876.559042023466</v>
          </cell>
        </row>
        <row r="28">
          <cell r="Q28">
            <v>35478.306310363871</v>
          </cell>
          <cell r="R28">
            <v>39804.739948995739</v>
          </cell>
          <cell r="S28">
            <v>40722.065506536484</v>
          </cell>
        </row>
        <row r="31">
          <cell r="Q31">
            <v>3761.6797057166063</v>
          </cell>
          <cell r="R31">
            <v>4697.8295166623666</v>
          </cell>
          <cell r="S31">
            <v>4912.7913666057802</v>
          </cell>
        </row>
        <row r="32">
          <cell r="Q32">
            <v>1673.3225839589099</v>
          </cell>
          <cell r="R32">
            <v>1798.2233442139313</v>
          </cell>
          <cell r="S32">
            <v>1874.7659595608802</v>
          </cell>
        </row>
        <row r="33">
          <cell r="Q33">
            <v>1474.8759349527747</v>
          </cell>
          <cell r="R33">
            <v>1935.962577406465</v>
          </cell>
          <cell r="S33">
            <v>2045.1521061463518</v>
          </cell>
        </row>
        <row r="34">
          <cell r="Q34">
            <v>409.45851554647487</v>
          </cell>
          <cell r="R34">
            <v>446.28149053029995</v>
          </cell>
          <cell r="S34">
            <v>476.10608473288005</v>
          </cell>
        </row>
        <row r="35">
          <cell r="Q35">
            <v>1657.35564</v>
          </cell>
          <cell r="R35">
            <v>1736.63763464</v>
          </cell>
          <cell r="S35">
            <v>1825.4096141999996</v>
          </cell>
        </row>
        <row r="36">
          <cell r="Q36">
            <v>759.09735287130047</v>
          </cell>
          <cell r="R36">
            <v>734.20807210684677</v>
          </cell>
          <cell r="S36">
            <v>711.71783888098616</v>
          </cell>
        </row>
        <row r="37">
          <cell r="Q37">
            <v>4981.4389914546546</v>
          </cell>
          <cell r="R37">
            <v>5239.4049344536033</v>
          </cell>
          <cell r="S37">
            <v>5586.4636375650125</v>
          </cell>
        </row>
        <row r="38">
          <cell r="Q38">
            <v>877.8</v>
          </cell>
          <cell r="R38">
            <v>938.43168399450542</v>
          </cell>
          <cell r="S38">
            <v>973.42607712869085</v>
          </cell>
        </row>
        <row r="39">
          <cell r="Q39">
            <v>1010.123068075949</v>
          </cell>
          <cell r="R39">
            <v>1011.0962535725511</v>
          </cell>
          <cell r="S39">
            <v>1075.7462066110036</v>
          </cell>
        </row>
        <row r="40">
          <cell r="Q40">
            <v>10504.98968913797</v>
          </cell>
          <cell r="R40">
            <v>10946.361975760385</v>
          </cell>
          <cell r="S40">
            <v>11158.842325710284</v>
          </cell>
        </row>
        <row r="41">
          <cell r="Q41">
            <v>10504.98968913797</v>
          </cell>
          <cell r="R41">
            <v>10946.361975760385</v>
          </cell>
          <cell r="S41">
            <v>11158.842325710284</v>
          </cell>
        </row>
        <row r="42">
          <cell r="Q42">
            <v>10504.98968913797</v>
          </cell>
          <cell r="R42">
            <v>10946.361975760385</v>
          </cell>
          <cell r="S42">
            <v>11158.842325710284</v>
          </cell>
        </row>
        <row r="43">
          <cell r="Q43">
            <v>1630.3</v>
          </cell>
          <cell r="R43">
            <v>1767.0023358637156</v>
          </cell>
          <cell r="S43">
            <v>1905.2041779644987</v>
          </cell>
        </row>
        <row r="44">
          <cell r="Q44">
            <v>1018.8</v>
          </cell>
          <cell r="R44">
            <v>1139.5231561848052</v>
          </cell>
          <cell r="S44">
            <v>1179.228772052453</v>
          </cell>
        </row>
        <row r="45">
          <cell r="Q45">
            <v>5576.1217496994477</v>
          </cell>
          <cell r="R45">
            <v>5585.5163469356612</v>
          </cell>
          <cell r="S45">
            <v>5634.0343740168182</v>
          </cell>
        </row>
        <row r="48">
          <cell r="Q48">
            <v>63925.186003141018</v>
          </cell>
          <cell r="R48">
            <v>65231.04213650056</v>
          </cell>
          <cell r="S48">
            <v>66146.456489885299</v>
          </cell>
        </row>
        <row r="49">
          <cell r="Q49">
            <v>186837.53105154162</v>
          </cell>
          <cell r="R49">
            <v>209346.08042371878</v>
          </cell>
          <cell r="S49">
            <v>213174.75499136763</v>
          </cell>
        </row>
        <row r="50">
          <cell r="Q50">
            <v>115114.90807720809</v>
          </cell>
          <cell r="R50">
            <v>156071.84440056383</v>
          </cell>
          <cell r="S50">
            <v>161940.03971985908</v>
          </cell>
        </row>
        <row r="51">
          <cell r="Q51">
            <v>671281.78294349089</v>
          </cell>
          <cell r="R51">
            <v>665920.04884904879</v>
          </cell>
          <cell r="S51">
            <v>661182.02106388193</v>
          </cell>
        </row>
        <row r="52">
          <cell r="Q52">
            <v>29639.064267208567</v>
          </cell>
          <cell r="R52">
            <v>31790.086518811535</v>
          </cell>
          <cell r="S52">
            <v>32174.315594696192</v>
          </cell>
        </row>
        <row r="53">
          <cell r="Q53">
            <v>64877.794265401099</v>
          </cell>
          <cell r="R53">
            <v>68934.844039893462</v>
          </cell>
          <cell r="S53">
            <v>76952.457910179452</v>
          </cell>
        </row>
        <row r="56">
          <cell r="Q56">
            <v>18176.417947595597</v>
          </cell>
          <cell r="R56">
            <v>17917.954451949008</v>
          </cell>
          <cell r="S56">
            <v>17560.734713424623</v>
          </cell>
        </row>
        <row r="57">
          <cell r="Q57">
            <v>10196.71592130349</v>
          </cell>
          <cell r="R57">
            <v>10919.16704972198</v>
          </cell>
          <cell r="S57">
            <v>11357.444712825476</v>
          </cell>
        </row>
        <row r="58">
          <cell r="Q58">
            <v>86227.727182551287</v>
          </cell>
          <cell r="R58">
            <v>96701.183554260177</v>
          </cell>
          <cell r="S58">
            <v>98782.2833373303</v>
          </cell>
        </row>
        <row r="59">
          <cell r="Q59">
            <v>30305.735565781062</v>
          </cell>
          <cell r="R59">
            <v>30364.892254689403</v>
          </cell>
          <cell r="S59">
            <v>29804.139357145483</v>
          </cell>
        </row>
        <row r="60">
          <cell r="Q60">
            <v>31280.995475113119</v>
          </cell>
          <cell r="R60">
            <v>28532.638432691383</v>
          </cell>
          <cell r="S60">
            <v>30303.068280106319</v>
          </cell>
        </row>
        <row r="61">
          <cell r="Q61">
            <v>375781.75342336181</v>
          </cell>
          <cell r="R61">
            <v>477728.72196528944</v>
          </cell>
          <cell r="S61">
            <v>598632.0331992124</v>
          </cell>
        </row>
        <row r="62">
          <cell r="Q62">
            <v>412383.86906265927</v>
          </cell>
          <cell r="R62">
            <v>452142.16942921723</v>
          </cell>
          <cell r="S62">
            <v>486860.97146352456</v>
          </cell>
        </row>
        <row r="63">
          <cell r="Q63">
            <v>24041.597332592384</v>
          </cell>
          <cell r="R63">
            <v>25902.861927245303</v>
          </cell>
          <cell r="S63">
            <v>28040.669555001696</v>
          </cell>
        </row>
        <row r="64">
          <cell r="Q64">
            <v>101788.94162439826</v>
          </cell>
          <cell r="R64">
            <v>142901.05677234021</v>
          </cell>
          <cell r="S64">
            <v>193067.87113840462</v>
          </cell>
        </row>
        <row r="65">
          <cell r="Q65">
            <v>16488.5</v>
          </cell>
          <cell r="R65">
            <v>19005.563669534873</v>
          </cell>
          <cell r="S65">
            <v>22844.404502158282</v>
          </cell>
        </row>
        <row r="66">
          <cell r="Q66">
            <v>8345.9</v>
          </cell>
          <cell r="R66">
            <v>8156.616223323892</v>
          </cell>
          <cell r="S66">
            <v>8073.2801530163779</v>
          </cell>
        </row>
        <row r="67">
          <cell r="Q67">
            <v>4798</v>
          </cell>
          <cell r="R67">
            <v>4782.5645065689305</v>
          </cell>
          <cell r="S67">
            <v>4873.4638329199033</v>
          </cell>
        </row>
        <row r="68">
          <cell r="Q68">
            <v>3407.6566447171226</v>
          </cell>
          <cell r="R68">
            <v>3963.4995132961944</v>
          </cell>
          <cell r="S68">
            <v>4517.3575959845948</v>
          </cell>
        </row>
        <row r="69">
          <cell r="Q69">
            <v>10352.971989547039</v>
          </cell>
          <cell r="R69">
            <v>12337.792447123764</v>
          </cell>
          <cell r="S69">
            <v>13957.541118718174</v>
          </cell>
        </row>
        <row r="70">
          <cell r="Q70">
            <v>9889.9396382032392</v>
          </cell>
          <cell r="R70">
            <v>11577.205379354804</v>
          </cell>
          <cell r="S70">
            <v>13364.838047231395</v>
          </cell>
        </row>
        <row r="71">
          <cell r="Q71">
            <v>1993.0703834082847</v>
          </cell>
          <cell r="R71">
            <v>2273.7387544342519</v>
          </cell>
          <cell r="S71">
            <v>2672.5737026106926</v>
          </cell>
        </row>
        <row r="72">
          <cell r="Q72">
            <v>103529.71989547039</v>
          </cell>
          <cell r="R72">
            <v>123377.92447123764</v>
          </cell>
          <cell r="S72">
            <v>139575.41118718174</v>
          </cell>
        </row>
        <row r="73">
          <cell r="Q73">
            <v>30157.302335671746</v>
          </cell>
          <cell r="R73">
            <v>28366.593498517141</v>
          </cell>
          <cell r="S73">
            <v>29509.766250501154</v>
          </cell>
        </row>
        <row r="74">
          <cell r="Q74">
            <v>230913.95865091318</v>
          </cell>
          <cell r="R74">
            <v>288526.77395242208</v>
          </cell>
          <cell r="S74">
            <v>363550.57123455906</v>
          </cell>
        </row>
        <row r="75">
          <cell r="Q75">
            <v>11674</v>
          </cell>
          <cell r="R75">
            <v>11505.626270298186</v>
          </cell>
          <cell r="S75">
            <v>11349.891986005852</v>
          </cell>
        </row>
        <row r="98">
          <cell r="Q98">
            <v>30303</v>
          </cell>
          <cell r="R98">
            <v>29626.402430924132</v>
          </cell>
          <cell r="S98">
            <v>30444.976799157062</v>
          </cell>
        </row>
        <row r="99">
          <cell r="Q99">
            <v>33055</v>
          </cell>
          <cell r="R99">
            <v>34766.461290583138</v>
          </cell>
          <cell r="S99">
            <v>33882.762912442056</v>
          </cell>
        </row>
        <row r="100">
          <cell r="Q100">
            <v>102009.767412339</v>
          </cell>
          <cell r="R100">
            <v>100230.16690658969</v>
          </cell>
          <cell r="S100">
            <v>99187.842278780867</v>
          </cell>
        </row>
        <row r="101">
          <cell r="Q101">
            <v>15660.216946387653</v>
          </cell>
          <cell r="R101">
            <v>15385.794454753863</v>
          </cell>
          <cell r="S101">
            <v>15160.043283876033</v>
          </cell>
        </row>
        <row r="102">
          <cell r="Q102">
            <v>486</v>
          </cell>
          <cell r="R102">
            <v>474.70755909481591</v>
          </cell>
          <cell r="S102">
            <v>465.71471722686027</v>
          </cell>
        </row>
        <row r="105">
          <cell r="Q105">
            <v>8175</v>
          </cell>
          <cell r="R105">
            <v>8492.6740991304832</v>
          </cell>
          <cell r="S105">
            <v>8794.2019181979158</v>
          </cell>
        </row>
        <row r="106">
          <cell r="Q106">
            <v>13174.652794768788</v>
          </cell>
          <cell r="R106">
            <v>13895.781670391985</v>
          </cell>
          <cell r="S106">
            <v>13892.8336579763</v>
          </cell>
        </row>
        <row r="107">
          <cell r="Q107">
            <v>16091.81415316747</v>
          </cell>
          <cell r="R107">
            <v>16881.305313626715</v>
          </cell>
          <cell r="S107">
            <v>16885.632951267326</v>
          </cell>
        </row>
        <row r="108">
          <cell r="Q108">
            <v>1639.5138307855475</v>
          </cell>
          <cell r="R108">
            <v>1610.2417006520939</v>
          </cell>
          <cell r="S108">
            <v>1597.2354640358074</v>
          </cell>
        </row>
        <row r="109">
          <cell r="Q109">
            <v>818.71948099485871</v>
          </cell>
          <cell r="R109">
            <v>1106.3380420928079</v>
          </cell>
          <cell r="S109">
            <v>1205.4180079787329</v>
          </cell>
        </row>
        <row r="110">
          <cell r="Q110">
            <v>507.65913687818284</v>
          </cell>
          <cell r="R110">
            <v>561.14882963383229</v>
          </cell>
          <cell r="S110">
            <v>606.19791245080251</v>
          </cell>
        </row>
        <row r="111">
          <cell r="Q111">
            <v>474.37699201718738</v>
          </cell>
          <cell r="R111">
            <v>582.8357592250029</v>
          </cell>
          <cell r="S111">
            <v>749.48749174848263</v>
          </cell>
        </row>
        <row r="112">
          <cell r="Q112">
            <v>60.892417962479044</v>
          </cell>
          <cell r="R112">
            <v>70.228888080687085</v>
          </cell>
          <cell r="S112">
            <v>76.084249251242056</v>
          </cell>
        </row>
        <row r="113">
          <cell r="Q113">
            <v>325.97348648368438</v>
          </cell>
          <cell r="R113">
            <v>343.57222902614825</v>
          </cell>
          <cell r="S113">
            <v>345.53275452161859</v>
          </cell>
        </row>
        <row r="114">
          <cell r="Q114">
            <v>188.52365069576308</v>
          </cell>
          <cell r="R114">
            <v>191.16083409862873</v>
          </cell>
          <cell r="S114">
            <v>184.15174023317141</v>
          </cell>
        </row>
        <row r="115">
          <cell r="Q115">
            <v>1027.4389914546546</v>
          </cell>
          <cell r="R115">
            <v>1086.0325490201053</v>
          </cell>
          <cell r="S115">
            <v>1246.7849998350898</v>
          </cell>
        </row>
        <row r="116">
          <cell r="Q116">
            <v>695.65649999999994</v>
          </cell>
          <cell r="R116">
            <v>740.89181451366198</v>
          </cell>
          <cell r="S116">
            <v>766.57303573884406</v>
          </cell>
        </row>
        <row r="117">
          <cell r="Q117">
            <v>545.82596654997906</v>
          </cell>
          <cell r="R117">
            <v>542.9337094990035</v>
          </cell>
          <cell r="S117">
            <v>595.2248924363995</v>
          </cell>
        </row>
        <row r="118">
          <cell r="Q118">
            <v>4529.5416761523893</v>
          </cell>
          <cell r="R118">
            <v>4590.8437935892744</v>
          </cell>
          <cell r="S118">
            <v>4678.308351564674</v>
          </cell>
        </row>
        <row r="119">
          <cell r="Q119">
            <v>4529.5416761523893</v>
          </cell>
          <cell r="R119">
            <v>4590.8437935892744</v>
          </cell>
          <cell r="S119">
            <v>4678.308351564674</v>
          </cell>
        </row>
        <row r="120">
          <cell r="Q120">
            <v>4529.5416761523893</v>
          </cell>
          <cell r="R120">
            <v>4590.8437935892744</v>
          </cell>
          <cell r="S120">
            <v>4678.308351564674</v>
          </cell>
        </row>
        <row r="123">
          <cell r="Q123">
            <v>1773.0245677507405</v>
          </cell>
          <cell r="R123">
            <v>1713.9917392342356</v>
          </cell>
          <cell r="S123">
            <v>1795.295730215797</v>
          </cell>
        </row>
        <row r="124">
          <cell r="Q124">
            <v>11170.382350326265</v>
          </cell>
          <cell r="R124">
            <v>11978.080754618244</v>
          </cell>
          <cell r="S124">
            <v>12773.538262911388</v>
          </cell>
        </row>
        <row r="125">
          <cell r="Q125">
            <v>169.58003181591974</v>
          </cell>
          <cell r="R125">
            <v>166.98599464025216</v>
          </cell>
          <cell r="S125">
            <v>164.9996609205819</v>
          </cell>
        </row>
        <row r="126">
          <cell r="Q126">
            <v>27586.334595819309</v>
          </cell>
          <cell r="R126">
            <v>27757.949002425856</v>
          </cell>
          <cell r="S126">
            <v>28061.018258284777</v>
          </cell>
        </row>
        <row r="127">
          <cell r="Q127">
            <v>88789.671888280238</v>
          </cell>
          <cell r="R127">
            <v>83333.081299816971</v>
          </cell>
          <cell r="S127">
            <v>79994.330705768167</v>
          </cell>
        </row>
        <row r="128">
          <cell r="Q128">
            <v>43220.600410855055</v>
          </cell>
          <cell r="R128">
            <v>71117.341612154691</v>
          </cell>
          <cell r="S128">
            <v>71494.464278997519</v>
          </cell>
        </row>
        <row r="131">
          <cell r="Q131">
            <v>35490.278079849581</v>
          </cell>
          <cell r="R131">
            <v>36072.514895607193</v>
          </cell>
          <cell r="S131">
            <v>39809.454553297131</v>
          </cell>
        </row>
        <row r="132">
          <cell r="Q132">
            <v>4533.6427000000003</v>
          </cell>
          <cell r="R132">
            <v>4280.2837274185622</v>
          </cell>
          <cell r="S132">
            <v>4245.9986717843622</v>
          </cell>
        </row>
        <row r="133">
          <cell r="Q133">
            <v>20678.104851778724</v>
          </cell>
          <cell r="R133">
            <v>22659.969919299303</v>
          </cell>
          <cell r="S133">
            <v>23980.343886272756</v>
          </cell>
        </row>
        <row r="134">
          <cell r="Q134">
            <v>7820.560905520575</v>
          </cell>
          <cell r="R134">
            <v>7567.0512604861324</v>
          </cell>
          <cell r="S134">
            <v>7322.2905025164273</v>
          </cell>
        </row>
        <row r="135">
          <cell r="Q135">
            <v>4657.3032708931323</v>
          </cell>
          <cell r="R135">
            <v>5041.6703122909266</v>
          </cell>
          <cell r="S135">
            <v>5099.6625704169237</v>
          </cell>
        </row>
        <row r="136">
          <cell r="Q136">
            <v>36826.772583825572</v>
          </cell>
          <cell r="R136">
            <v>40559.107649704289</v>
          </cell>
          <cell r="S136">
            <v>40553.953481009659</v>
          </cell>
        </row>
        <row r="137">
          <cell r="Q137">
            <v>16140.068914917139</v>
          </cell>
          <cell r="R137">
            <v>19485.250052517084</v>
          </cell>
          <cell r="S137">
            <v>20435.090012153873</v>
          </cell>
        </row>
        <row r="138">
          <cell r="Q138">
            <v>12528.597285067872</v>
          </cell>
          <cell r="R138">
            <v>10897.420064193881</v>
          </cell>
          <cell r="S138">
            <v>11385.049404939207</v>
          </cell>
        </row>
        <row r="139">
          <cell r="Q139">
            <v>154800.38158989794</v>
          </cell>
          <cell r="R139">
            <v>201828.65483037251</v>
          </cell>
          <cell r="S139">
            <v>256943.67604223834</v>
          </cell>
        </row>
        <row r="140">
          <cell r="Q140">
            <v>219359.62996771594</v>
          </cell>
          <cell r="R140">
            <v>232927.18277111</v>
          </cell>
          <cell r="S140">
            <v>241215.66717104151</v>
          </cell>
        </row>
        <row r="141">
          <cell r="Q141">
            <v>6794.9416686931236</v>
          </cell>
          <cell r="R141">
            <v>7967.5956318657645</v>
          </cell>
          <cell r="S141">
            <v>8746.2993562265638</v>
          </cell>
        </row>
        <row r="142">
          <cell r="Q142">
            <v>27565.164644912144</v>
          </cell>
          <cell r="R142">
            <v>39621.751531949725</v>
          </cell>
          <cell r="S142">
            <v>60960.481593037388</v>
          </cell>
        </row>
        <row r="143">
          <cell r="Q143">
            <v>8714.5</v>
          </cell>
          <cell r="R143">
            <v>9287.7300989450941</v>
          </cell>
          <cell r="S143">
            <v>11075.165041642102</v>
          </cell>
        </row>
        <row r="144">
          <cell r="Q144">
            <v>1572.2</v>
          </cell>
          <cell r="R144">
            <v>1950.6684110395813</v>
          </cell>
          <cell r="S144">
            <v>2159.1313912644887</v>
          </cell>
        </row>
        <row r="145">
          <cell r="Q145">
            <v>778.3</v>
          </cell>
          <cell r="R145">
            <v>958.89702759399279</v>
          </cell>
          <cell r="S145">
            <v>1010.0740649274476</v>
          </cell>
        </row>
        <row r="146">
          <cell r="Q146">
            <v>1374.2665379180467</v>
          </cell>
          <cell r="R146">
            <v>1614.1854124735394</v>
          </cell>
          <cell r="S146">
            <v>1848.3974094947268</v>
          </cell>
        </row>
        <row r="147">
          <cell r="Q147">
            <v>4388.1038588200336</v>
          </cell>
          <cell r="R147">
            <v>5164.2635232066186</v>
          </cell>
          <cell r="S147">
            <v>5910.3730573995708</v>
          </cell>
        </row>
        <row r="148">
          <cell r="Q148">
            <v>4403.0996637471853</v>
          </cell>
          <cell r="R148">
            <v>5124.8108013840392</v>
          </cell>
          <cell r="S148">
            <v>5965.0658932228853</v>
          </cell>
        </row>
        <row r="149">
          <cell r="Q149">
            <v>791.72176426798876</v>
          </cell>
          <cell r="R149">
            <v>862.81683967594449</v>
          </cell>
          <cell r="S149">
            <v>982.98845662751251</v>
          </cell>
        </row>
        <row r="150">
          <cell r="Q150">
            <v>43881.038588200332</v>
          </cell>
          <cell r="R150">
            <v>51642.635232066183</v>
          </cell>
          <cell r="S150">
            <v>59103.730573995708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4">
          <cell r="B4" t="str">
            <v>Fx rates</v>
          </cell>
          <cell r="C4">
            <v>1998</v>
          </cell>
          <cell r="D4">
            <v>1999</v>
          </cell>
          <cell r="E4">
            <v>2000</v>
          </cell>
          <cell r="F4">
            <v>2001</v>
          </cell>
          <cell r="G4">
            <v>2002</v>
          </cell>
          <cell r="H4">
            <v>2003</v>
          </cell>
          <cell r="I4">
            <v>2004</v>
          </cell>
          <cell r="J4">
            <v>2005</v>
          </cell>
          <cell r="K4">
            <v>2006</v>
          </cell>
          <cell r="L4">
            <v>2007</v>
          </cell>
          <cell r="M4">
            <v>2008</v>
          </cell>
          <cell r="N4">
            <v>2009</v>
          </cell>
          <cell r="O4">
            <v>2010</v>
          </cell>
          <cell r="P4">
            <v>2011</v>
          </cell>
          <cell r="Q4">
            <v>2012</v>
          </cell>
          <cell r="R4">
            <v>2013</v>
          </cell>
          <cell r="S4">
            <v>2014</v>
          </cell>
          <cell r="T4">
            <v>2015</v>
          </cell>
          <cell r="U4">
            <v>2016</v>
          </cell>
        </row>
        <row r="5">
          <cell r="B5" t="str">
            <v>£ to EURO</v>
          </cell>
          <cell r="C5">
            <v>0.92291435326145344</v>
          </cell>
          <cell r="D5">
            <v>0.92291435326145344</v>
          </cell>
          <cell r="E5">
            <v>0.92291435326145344</v>
          </cell>
          <cell r="F5">
            <v>0.92291435326145344</v>
          </cell>
          <cell r="G5">
            <v>0.92291435326145344</v>
          </cell>
          <cell r="H5">
            <v>0.92291435326145344</v>
          </cell>
          <cell r="I5">
            <v>0.92291435326145344</v>
          </cell>
          <cell r="J5">
            <v>0.92291435326145344</v>
          </cell>
          <cell r="K5">
            <v>0.92291435326145344</v>
          </cell>
          <cell r="L5">
            <v>0.92291435326145344</v>
          </cell>
          <cell r="M5">
            <v>0.92291435326145344</v>
          </cell>
          <cell r="N5">
            <v>0.92291435326145344</v>
          </cell>
          <cell r="O5">
            <v>0.92291435326145344</v>
          </cell>
          <cell r="P5">
            <v>0.92291435326145344</v>
          </cell>
          <cell r="Q5">
            <v>0.92291435326145344</v>
          </cell>
          <cell r="R5">
            <v>0.92291435326145344</v>
          </cell>
          <cell r="S5">
            <v>0.92291435326145344</v>
          </cell>
          <cell r="T5">
            <v>0.92291435326145344</v>
          </cell>
          <cell r="U5">
            <v>0.92291435326145344</v>
          </cell>
        </row>
        <row r="6">
          <cell r="B6" t="str">
            <v>SKR to EURO</v>
          </cell>
          <cell r="C6">
            <v>11.141108062500001</v>
          </cell>
          <cell r="D6">
            <v>11.141108062500001</v>
          </cell>
          <cell r="E6">
            <v>11.141108062500001</v>
          </cell>
          <cell r="F6">
            <v>11.141108062500001</v>
          </cell>
          <cell r="G6">
            <v>11.141108062500001</v>
          </cell>
          <cell r="H6">
            <v>11.141108062500001</v>
          </cell>
          <cell r="I6">
            <v>11.141108062500001</v>
          </cell>
          <cell r="J6">
            <v>11.141108062500001</v>
          </cell>
          <cell r="K6">
            <v>11.141108062500001</v>
          </cell>
          <cell r="L6">
            <v>11.141108062500001</v>
          </cell>
          <cell r="M6">
            <v>11.141108062500001</v>
          </cell>
          <cell r="N6">
            <v>11.141108062500001</v>
          </cell>
          <cell r="O6">
            <v>11.141108062500001</v>
          </cell>
          <cell r="P6">
            <v>11.141108062500001</v>
          </cell>
          <cell r="Q6">
            <v>11.141108062500001</v>
          </cell>
          <cell r="R6">
            <v>11.141108062500001</v>
          </cell>
          <cell r="S6">
            <v>11.141108062500001</v>
          </cell>
          <cell r="T6">
            <v>11.141108062500001</v>
          </cell>
          <cell r="U6">
            <v>11.141108062500001</v>
          </cell>
        </row>
        <row r="7">
          <cell r="B7" t="str">
            <v>NKR to EURO</v>
          </cell>
          <cell r="C7">
            <v>8.8323708249999981</v>
          </cell>
          <cell r="D7">
            <v>8.8323708249999981</v>
          </cell>
          <cell r="E7">
            <v>8.8323708249999981</v>
          </cell>
          <cell r="F7">
            <v>8.8323708249999981</v>
          </cell>
          <cell r="G7">
            <v>8.8323708249999981</v>
          </cell>
          <cell r="H7">
            <v>8.8323708249999981</v>
          </cell>
          <cell r="I7">
            <v>8.8323708249999981</v>
          </cell>
          <cell r="J7">
            <v>8.8323708249999981</v>
          </cell>
          <cell r="K7">
            <v>8.8323708249999981</v>
          </cell>
          <cell r="L7">
            <v>8.8323708249999981</v>
          </cell>
          <cell r="M7">
            <v>8.8323708249999981</v>
          </cell>
          <cell r="N7">
            <v>8.8323708249999981</v>
          </cell>
          <cell r="O7">
            <v>8.8323708249999981</v>
          </cell>
          <cell r="P7">
            <v>8.8323708249999981</v>
          </cell>
          <cell r="Q7">
            <v>8.8323708249999981</v>
          </cell>
          <cell r="R7">
            <v>8.8323708249999981</v>
          </cell>
          <cell r="S7">
            <v>8.8323708249999981</v>
          </cell>
          <cell r="T7">
            <v>8.8323708249999981</v>
          </cell>
          <cell r="U7">
            <v>8.8323708249999981</v>
          </cell>
        </row>
        <row r="8">
          <cell r="B8" t="str">
            <v>DKR to EURO</v>
          </cell>
          <cell r="C8">
            <v>7.4561333499999991</v>
          </cell>
          <cell r="D8">
            <v>7.4561333499999991</v>
          </cell>
          <cell r="E8">
            <v>7.4561333499999991</v>
          </cell>
          <cell r="F8">
            <v>7.4561333499999991</v>
          </cell>
          <cell r="G8">
            <v>7.4561333499999991</v>
          </cell>
          <cell r="H8">
            <v>7.4561333499999991</v>
          </cell>
          <cell r="I8">
            <v>7.4561333499999991</v>
          </cell>
          <cell r="J8">
            <v>7.4561333499999991</v>
          </cell>
          <cell r="K8">
            <v>7.4561333499999991</v>
          </cell>
          <cell r="L8">
            <v>7.4561333499999991</v>
          </cell>
          <cell r="M8">
            <v>7.4561333499999991</v>
          </cell>
          <cell r="N8">
            <v>7.4561333499999991</v>
          </cell>
          <cell r="O8">
            <v>7.4561333499999991</v>
          </cell>
          <cell r="P8">
            <v>7.4561333499999991</v>
          </cell>
          <cell r="Q8">
            <v>7.4561333499999991</v>
          </cell>
          <cell r="R8">
            <v>7.4561333499999991</v>
          </cell>
          <cell r="S8">
            <v>7.4561333499999991</v>
          </cell>
          <cell r="T8">
            <v>7.4561333499999991</v>
          </cell>
          <cell r="U8">
            <v>7.4561333499999991</v>
          </cell>
        </row>
        <row r="9">
          <cell r="B9" t="str">
            <v>CHF to EURO</v>
          </cell>
          <cell r="C9">
            <v>1.5332107374999999</v>
          </cell>
          <cell r="D9">
            <v>1.5332107374999999</v>
          </cell>
          <cell r="E9">
            <v>1.5332107374999999</v>
          </cell>
          <cell r="F9">
            <v>1.5332107374999999</v>
          </cell>
          <cell r="G9">
            <v>1.5332107374999999</v>
          </cell>
          <cell r="H9">
            <v>1.5332107374999999</v>
          </cell>
          <cell r="I9">
            <v>1.5332107374999999</v>
          </cell>
          <cell r="J9">
            <v>1.5332107374999999</v>
          </cell>
          <cell r="K9">
            <v>1.5332107374999999</v>
          </cell>
          <cell r="L9">
            <v>1.5332107374999999</v>
          </cell>
          <cell r="M9">
            <v>1.5332107374999999</v>
          </cell>
          <cell r="N9">
            <v>1.5332107374999999</v>
          </cell>
          <cell r="O9">
            <v>1.5332107374999999</v>
          </cell>
          <cell r="P9">
            <v>1.5332107374999999</v>
          </cell>
          <cell r="Q9">
            <v>1.5332107374999999</v>
          </cell>
          <cell r="R9">
            <v>1.5332107374999999</v>
          </cell>
          <cell r="S9">
            <v>1.5332107374999999</v>
          </cell>
          <cell r="T9">
            <v>1.5332107374999999</v>
          </cell>
          <cell r="U9">
            <v>1.5332107374999999</v>
          </cell>
        </row>
        <row r="991">
          <cell r="B991" t="str">
            <v>Lines (PSTN+ISDN)</v>
          </cell>
          <cell r="C991">
            <v>1998</v>
          </cell>
          <cell r="D991">
            <v>1999</v>
          </cell>
          <cell r="E991">
            <v>2000</v>
          </cell>
          <cell r="F991">
            <v>2001</v>
          </cell>
          <cell r="G991">
            <v>2002</v>
          </cell>
          <cell r="H991">
            <v>2003</v>
          </cell>
          <cell r="I991">
            <v>2004</v>
          </cell>
          <cell r="J991">
            <v>2005</v>
          </cell>
          <cell r="K991">
            <v>2006</v>
          </cell>
          <cell r="L991">
            <v>2007</v>
          </cell>
          <cell r="M991">
            <v>2008</v>
          </cell>
          <cell r="N991">
            <v>2009</v>
          </cell>
          <cell r="O991">
            <v>2010</v>
          </cell>
          <cell r="P991">
            <v>2011</v>
          </cell>
          <cell r="Q991">
            <v>2012</v>
          </cell>
        </row>
        <row r="992">
          <cell r="B992" t="str">
            <v>Belgacom</v>
          </cell>
          <cell r="C992">
            <v>0</v>
          </cell>
          <cell r="D992">
            <v>0</v>
          </cell>
          <cell r="E992">
            <v>0</v>
          </cell>
          <cell r="F992">
            <v>4131.5188679245284</v>
          </cell>
          <cell r="G992">
            <v>4086.5471698113206</v>
          </cell>
          <cell r="H992">
            <v>3982.8018867924529</v>
          </cell>
          <cell r="I992">
            <v>3862.1603773584907</v>
          </cell>
          <cell r="J992">
            <v>3723.7547169811323</v>
          </cell>
          <cell r="K992">
            <v>3567.3773584905662</v>
          </cell>
          <cell r="L992">
            <v>3334.8207547169814</v>
          </cell>
          <cell r="M992">
            <v>3153.5899799754461</v>
          </cell>
          <cell r="N992">
            <v>3017.9385305862947</v>
          </cell>
          <cell r="O992">
            <v>2911.7799831108823</v>
          </cell>
          <cell r="P992">
            <v>2805.5815240023458</v>
          </cell>
          <cell r="Q992">
            <v>2713.1114075661162</v>
          </cell>
        </row>
        <row r="993">
          <cell r="B993" t="str">
            <v>British Telecom</v>
          </cell>
          <cell r="C993">
            <v>0</v>
          </cell>
          <cell r="D993">
            <v>0</v>
          </cell>
          <cell r="E993">
            <v>0</v>
          </cell>
          <cell r="F993">
            <v>0</v>
          </cell>
          <cell r="G993">
            <v>29127</v>
          </cell>
          <cell r="H993">
            <v>28694</v>
          </cell>
          <cell r="I993">
            <v>27878</v>
          </cell>
          <cell r="J993">
            <v>25709</v>
          </cell>
          <cell r="K993">
            <v>23900</v>
          </cell>
          <cell r="L993">
            <v>22543</v>
          </cell>
          <cell r="M993">
            <v>20776.4025</v>
          </cell>
          <cell r="N993">
            <v>19398.679575000002</v>
          </cell>
          <cell r="O993">
            <v>18428.745596249999</v>
          </cell>
          <cell r="P993">
            <v>17507.308316437498</v>
          </cell>
          <cell r="Q993">
            <v>17241.655439015623</v>
          </cell>
        </row>
        <row r="994">
          <cell r="B994" t="str">
            <v>Deutsche Telekom</v>
          </cell>
          <cell r="C994">
            <v>41255.769230769234</v>
          </cell>
          <cell r="D994">
            <v>40894.230769230766</v>
          </cell>
          <cell r="E994">
            <v>40417.307692307688</v>
          </cell>
          <cell r="F994">
            <v>40107.692307692305</v>
          </cell>
          <cell r="G994">
            <v>38551.923076923078</v>
          </cell>
          <cell r="H994">
            <v>37736.538461538461</v>
          </cell>
          <cell r="I994">
            <v>36832.692307692305</v>
          </cell>
          <cell r="J994">
            <v>35307.692307692305</v>
          </cell>
          <cell r="K994">
            <v>33148.384615384617</v>
          </cell>
          <cell r="L994">
            <v>31054</v>
          </cell>
          <cell r="M994">
            <v>28550</v>
          </cell>
          <cell r="N994">
            <v>25942.77</v>
          </cell>
          <cell r="O994">
            <v>23776.0389</v>
          </cell>
          <cell r="P994">
            <v>22111.716176999998</v>
          </cell>
          <cell r="Q994">
            <v>20940.41284443</v>
          </cell>
        </row>
        <row r="995">
          <cell r="B995" t="str">
            <v>Eircom</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row>
        <row r="996">
          <cell r="B996" t="str">
            <v>France Telecom</v>
          </cell>
          <cell r="C996">
            <v>34000</v>
          </cell>
          <cell r="D996">
            <v>34056</v>
          </cell>
          <cell r="E996">
            <v>34114</v>
          </cell>
          <cell r="F996">
            <v>34151</v>
          </cell>
          <cell r="G996">
            <v>34066</v>
          </cell>
          <cell r="H996">
            <v>33857</v>
          </cell>
          <cell r="I996">
            <v>33405</v>
          </cell>
          <cell r="J996">
            <v>32883</v>
          </cell>
          <cell r="K996">
            <v>31274</v>
          </cell>
          <cell r="L996">
            <v>28607</v>
          </cell>
          <cell r="M996">
            <v>27251</v>
          </cell>
          <cell r="N996">
            <v>25994.124187585156</v>
          </cell>
          <cell r="O996">
            <v>25049.297816453771</v>
          </cell>
          <cell r="P996">
            <v>24264.856241007052</v>
          </cell>
          <cell r="Q996">
            <v>23979.824453226083</v>
          </cell>
        </row>
        <row r="997">
          <cell r="B997" t="str">
            <v>KPN</v>
          </cell>
          <cell r="C997">
            <v>8302</v>
          </cell>
          <cell r="D997">
            <v>8211</v>
          </cell>
          <cell r="E997">
            <v>8100</v>
          </cell>
          <cell r="F997">
            <v>7985</v>
          </cell>
          <cell r="G997">
            <v>7852</v>
          </cell>
          <cell r="H997">
            <v>7677</v>
          </cell>
          <cell r="I997">
            <v>7347</v>
          </cell>
          <cell r="J997">
            <v>6920</v>
          </cell>
          <cell r="K997">
            <v>6278</v>
          </cell>
          <cell r="L997">
            <v>5389</v>
          </cell>
          <cell r="M997">
            <v>5025</v>
          </cell>
          <cell r="N997">
            <v>4849.5734193809003</v>
          </cell>
          <cell r="O997">
            <v>4742.3358820787817</v>
          </cell>
          <cell r="P997">
            <v>4663.3056230924585</v>
          </cell>
          <cell r="Q997">
            <v>4583.620008006088</v>
          </cell>
        </row>
        <row r="998">
          <cell r="B998" t="str">
            <v>OTE</v>
          </cell>
          <cell r="C998">
            <v>5777.37</v>
          </cell>
          <cell r="D998">
            <v>5865.9213999999993</v>
          </cell>
          <cell r="E998">
            <v>5971.598</v>
          </cell>
          <cell r="F998">
            <v>6167.375</v>
          </cell>
          <cell r="G998">
            <v>6292.95</v>
          </cell>
          <cell r="H998">
            <v>6297.2510000000002</v>
          </cell>
          <cell r="I998">
            <v>6343.701</v>
          </cell>
          <cell r="J998">
            <v>6226.9519999999993</v>
          </cell>
          <cell r="K998">
            <v>6160.3689999999997</v>
          </cell>
          <cell r="L998">
            <v>5854.18</v>
          </cell>
          <cell r="M998">
            <v>5363.872910000001</v>
          </cell>
          <cell r="N998">
            <v>5049.8741770800007</v>
          </cell>
          <cell r="O998">
            <v>4777.0224147496001</v>
          </cell>
          <cell r="P998">
            <v>4548.1592446528002</v>
          </cell>
          <cell r="Q998">
            <v>4366.0707275488503</v>
          </cell>
        </row>
        <row r="999">
          <cell r="B999" t="str">
            <v>Portugal Telecom</v>
          </cell>
          <cell r="C999">
            <v>0</v>
          </cell>
          <cell r="D999">
            <v>4230</v>
          </cell>
          <cell r="E999">
            <v>4303</v>
          </cell>
          <cell r="F999">
            <v>4301</v>
          </cell>
          <cell r="G999">
            <v>4143</v>
          </cell>
          <cell r="H999">
            <v>4037</v>
          </cell>
          <cell r="I999">
            <v>3948</v>
          </cell>
          <cell r="J999">
            <v>3769</v>
          </cell>
          <cell r="K999">
            <v>3317</v>
          </cell>
          <cell r="L999">
            <v>3010</v>
          </cell>
          <cell r="M999">
            <v>2828</v>
          </cell>
          <cell r="N999">
            <v>2701.1428274721961</v>
          </cell>
          <cell r="O999">
            <v>2560.4150484935153</v>
          </cell>
          <cell r="P999">
            <v>2457.7137286153488</v>
          </cell>
          <cell r="Q999">
            <v>2356.8532895185845</v>
          </cell>
        </row>
        <row r="1000">
          <cell r="B1000" t="str">
            <v>Swisscom</v>
          </cell>
          <cell r="C1000">
            <v>4251</v>
          </cell>
          <cell r="D1000">
            <v>4170</v>
          </cell>
          <cell r="E1000">
            <v>4104.2666666666664</v>
          </cell>
          <cell r="F1000">
            <v>4097.333333333333</v>
          </cell>
          <cell r="G1000">
            <v>4074</v>
          </cell>
          <cell r="H1000">
            <v>4010</v>
          </cell>
          <cell r="I1000">
            <v>3931</v>
          </cell>
          <cell r="J1000">
            <v>3822</v>
          </cell>
          <cell r="K1000">
            <v>3747</v>
          </cell>
          <cell r="L1000">
            <v>3686</v>
          </cell>
          <cell r="M1000">
            <v>3623</v>
          </cell>
          <cell r="N1000">
            <v>3547.5004574468085</v>
          </cell>
          <cell r="O1000">
            <v>3472.8960862618833</v>
          </cell>
          <cell r="P1000">
            <v>3399.0879122103806</v>
          </cell>
          <cell r="Q1000">
            <v>3326.2353936593895</v>
          </cell>
        </row>
        <row r="1001">
          <cell r="B1001" t="str">
            <v>TDC</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row>
        <row r="1002">
          <cell r="B1002" t="str">
            <v>Telecom Italia</v>
          </cell>
          <cell r="C1002">
            <v>25039.636363636364</v>
          </cell>
          <cell r="D1002">
            <v>24838.909090909092</v>
          </cell>
          <cell r="E1002">
            <v>24652.63636363636</v>
          </cell>
          <cell r="F1002">
            <v>24405.909090909096</v>
          </cell>
          <cell r="G1002">
            <v>24002.363636363636</v>
          </cell>
          <cell r="H1002">
            <v>23310.909090909092</v>
          </cell>
          <cell r="I1002">
            <v>22433.636363636364</v>
          </cell>
          <cell r="J1002">
            <v>21722.363636363636</v>
          </cell>
          <cell r="K1002">
            <v>20548.753905723908</v>
          </cell>
          <cell r="L1002">
            <v>19245.150704665703</v>
          </cell>
          <cell r="M1002">
            <v>17441.325744805199</v>
          </cell>
          <cell r="N1002">
            <v>16251.860904789844</v>
          </cell>
          <cell r="O1002">
            <v>15036.272905478465</v>
          </cell>
          <cell r="P1002">
            <v>13825.877711949346</v>
          </cell>
          <cell r="Q1002">
            <v>12942.37021665166</v>
          </cell>
        </row>
        <row r="1003">
          <cell r="B1003" t="str">
            <v>Telefonica</v>
          </cell>
          <cell r="C1003">
            <v>0</v>
          </cell>
          <cell r="D1003">
            <v>16871.52</v>
          </cell>
          <cell r="E1003">
            <v>17129.64</v>
          </cell>
          <cell r="F1003">
            <v>16932.38</v>
          </cell>
          <cell r="G1003">
            <v>16332.4</v>
          </cell>
          <cell r="H1003">
            <v>15962.44</v>
          </cell>
          <cell r="I1003">
            <v>16334</v>
          </cell>
          <cell r="J1003">
            <v>16136</v>
          </cell>
          <cell r="K1003">
            <v>15950</v>
          </cell>
          <cell r="L1003">
            <v>15919</v>
          </cell>
          <cell r="M1003">
            <v>15326</v>
          </cell>
          <cell r="N1003">
            <v>14572.92644040437</v>
          </cell>
          <cell r="O1003">
            <v>13987.767870897855</v>
          </cell>
          <cell r="P1003">
            <v>13395.920334439297</v>
          </cell>
          <cell r="Q1003">
            <v>12864.392547753812</v>
          </cell>
        </row>
        <row r="1004">
          <cell r="B1004" t="str">
            <v>Telekom Austria</v>
          </cell>
          <cell r="C1004">
            <v>3726</v>
          </cell>
          <cell r="D1004">
            <v>3455</v>
          </cell>
          <cell r="E1004">
            <v>3269</v>
          </cell>
          <cell r="F1004">
            <v>3167</v>
          </cell>
          <cell r="G1004">
            <v>3097</v>
          </cell>
          <cell r="H1004">
            <v>3011</v>
          </cell>
          <cell r="I1004">
            <v>2907.2</v>
          </cell>
          <cell r="J1004">
            <v>2801.9</v>
          </cell>
          <cell r="K1004">
            <v>2642.6</v>
          </cell>
          <cell r="L1004">
            <v>2396</v>
          </cell>
          <cell r="M1004">
            <v>2262.9875116787694</v>
          </cell>
          <cell r="N1004">
            <v>2188.389136094831</v>
          </cell>
          <cell r="O1004">
            <v>2119.6729659654638</v>
          </cell>
          <cell r="P1004">
            <v>2059.8116934279583</v>
          </cell>
          <cell r="Q1004">
            <v>2008.6786182475162</v>
          </cell>
        </row>
        <row r="1005">
          <cell r="B1005" t="str">
            <v>Telenor</v>
          </cell>
          <cell r="C1005">
            <v>0</v>
          </cell>
          <cell r="D1005">
            <v>0</v>
          </cell>
          <cell r="E1005">
            <v>0</v>
          </cell>
          <cell r="F1005">
            <v>2347.7272727272725</v>
          </cell>
          <cell r="G1005">
            <v>2297.909090909091</v>
          </cell>
          <cell r="H1005">
            <v>2233.818181818182</v>
          </cell>
          <cell r="I1005">
            <v>2142.272727272727</v>
          </cell>
          <cell r="J1005">
            <v>1918.480030429821</v>
          </cell>
          <cell r="K1005">
            <v>1666.7888931152529</v>
          </cell>
          <cell r="L1005">
            <v>1511.0144541650818</v>
          </cell>
          <cell r="M1005">
            <v>1379.6093571700267</v>
          </cell>
          <cell r="N1005">
            <v>1286.7184214530239</v>
          </cell>
          <cell r="O1005">
            <v>1223.7284477367821</v>
          </cell>
          <cell r="P1005">
            <v>1187.9570024408517</v>
          </cell>
          <cell r="Q1005">
            <v>1161.5950986893076</v>
          </cell>
        </row>
        <row r="1006">
          <cell r="B1006" t="str">
            <v>TeliaSonera</v>
          </cell>
          <cell r="C1006">
            <v>0</v>
          </cell>
          <cell r="D1006">
            <v>0</v>
          </cell>
          <cell r="E1006">
            <v>0</v>
          </cell>
          <cell r="F1006">
            <v>0</v>
          </cell>
          <cell r="G1006">
            <v>5857.666666666667</v>
          </cell>
          <cell r="H1006">
            <v>5756.333333333333</v>
          </cell>
          <cell r="I1006">
            <v>5631.666666666667</v>
          </cell>
          <cell r="J1006">
            <v>4591.333333333333</v>
          </cell>
          <cell r="K1006">
            <v>4175.333333333333</v>
          </cell>
          <cell r="L1006">
            <v>3908.9733333333334</v>
          </cell>
          <cell r="M1006">
            <v>3675.4</v>
          </cell>
          <cell r="N1006">
            <v>3438.3229760000004</v>
          </cell>
          <cell r="O1006">
            <v>3216.5556398800004</v>
          </cell>
          <cell r="P1006">
            <v>3009.1083794552005</v>
          </cell>
          <cell r="Q1006">
            <v>2800.7796965106259</v>
          </cell>
        </row>
        <row r="1007">
          <cell r="B1007" t="str">
            <v>Sum</v>
          </cell>
          <cell r="C1007">
            <v>122351.7755944056</v>
          </cell>
          <cell r="D1007">
            <v>142592.58126013985</v>
          </cell>
          <cell r="E1007">
            <v>142061.44872261072</v>
          </cell>
          <cell r="F1007">
            <v>147793.93587258653</v>
          </cell>
          <cell r="G1007">
            <v>179780.75964067376</v>
          </cell>
          <cell r="H1007">
            <v>176566.09195439154</v>
          </cell>
          <cell r="I1007">
            <v>172996.32944262656</v>
          </cell>
          <cell r="J1007">
            <v>165531.47602480024</v>
          </cell>
          <cell r="K1007">
            <v>156375.60710604768</v>
          </cell>
          <cell r="L1007">
            <v>146458.1392468811</v>
          </cell>
          <cell r="M1007">
            <v>136656.18800362945</v>
          </cell>
          <cell r="N1007">
            <v>128239.82105329343</v>
          </cell>
          <cell r="O1007">
            <v>121302.52955735697</v>
          </cell>
          <cell r="P1007">
            <v>115236.40388873052</v>
          </cell>
          <cell r="Q1007">
            <v>111285.59974082366</v>
          </cell>
        </row>
      </sheetData>
      <sheetData sheetId="22"/>
      <sheetData sheetId="23">
        <row r="97">
          <cell r="B97" t="str">
            <v>DSL share of broadband</v>
          </cell>
          <cell r="C97">
            <v>2000</v>
          </cell>
          <cell r="D97">
            <v>2001</v>
          </cell>
          <cell r="E97">
            <v>2002</v>
          </cell>
          <cell r="F97">
            <v>2003</v>
          </cell>
          <cell r="G97">
            <v>2004</v>
          </cell>
          <cell r="H97">
            <v>2005</v>
          </cell>
          <cell r="I97">
            <v>2006</v>
          </cell>
          <cell r="J97">
            <v>2007</v>
          </cell>
          <cell r="K97">
            <v>2008</v>
          </cell>
          <cell r="L97">
            <v>2009</v>
          </cell>
          <cell r="M97">
            <v>2010</v>
          </cell>
          <cell r="N97">
            <v>2011</v>
          </cell>
          <cell r="O97">
            <v>2012</v>
          </cell>
        </row>
        <row r="98">
          <cell r="B98" t="str">
            <v>Germany</v>
          </cell>
          <cell r="C98">
            <v>1</v>
          </cell>
          <cell r="D98">
            <v>1</v>
          </cell>
          <cell r="E98">
            <v>1</v>
          </cell>
          <cell r="F98">
            <v>0.998</v>
          </cell>
          <cell r="G98">
            <v>0.99</v>
          </cell>
          <cell r="H98">
            <v>0.98</v>
          </cell>
          <cell r="I98">
            <v>0.97164300584138086</v>
          </cell>
          <cell r="J98">
            <v>0.94699611927101246</v>
          </cell>
          <cell r="K98">
            <v>0.91831817105752644</v>
          </cell>
          <cell r="L98">
            <v>0.89425091269938495</v>
          </cell>
          <cell r="M98">
            <v>0.87398208120681209</v>
          </cell>
          <cell r="N98">
            <v>0.85660349996408802</v>
          </cell>
          <cell r="O98">
            <v>0.840346303555906</v>
          </cell>
        </row>
        <row r="99">
          <cell r="B99" t="str">
            <v>Ireland</v>
          </cell>
          <cell r="D99">
            <v>1</v>
          </cell>
          <cell r="E99">
            <v>0</v>
          </cell>
          <cell r="F99">
            <v>0</v>
          </cell>
          <cell r="G99">
            <v>0</v>
          </cell>
          <cell r="H99">
            <v>0</v>
          </cell>
          <cell r="I99">
            <v>0</v>
          </cell>
          <cell r="J99">
            <v>0</v>
          </cell>
          <cell r="K99">
            <v>0</v>
          </cell>
          <cell r="L99">
            <v>0</v>
          </cell>
          <cell r="M99">
            <v>0</v>
          </cell>
          <cell r="N99">
            <v>0</v>
          </cell>
          <cell r="O99">
            <v>0</v>
          </cell>
        </row>
        <row r="100">
          <cell r="B100" t="str">
            <v>UK</v>
          </cell>
          <cell r="C100">
            <v>0</v>
          </cell>
          <cell r="D100">
            <v>0</v>
          </cell>
          <cell r="E100">
            <v>0.45549946111520789</v>
          </cell>
          <cell r="F100">
            <v>0.5983720911478424</v>
          </cell>
          <cell r="G100">
            <v>0.70194506394150691</v>
          </cell>
          <cell r="H100">
            <v>0.74202071733545438</v>
          </cell>
          <cell r="I100">
            <v>0.77339191817330544</v>
          </cell>
          <cell r="J100">
            <v>0.78365354914437513</v>
          </cell>
          <cell r="K100">
            <v>0.78634227097442777</v>
          </cell>
          <cell r="L100">
            <v>0.7868265282995035</v>
          </cell>
          <cell r="M100">
            <v>0.78397299258931208</v>
          </cell>
          <cell r="N100">
            <v>0.77789387892344986</v>
          </cell>
          <cell r="O100">
            <v>0.77217061092517347</v>
          </cell>
        </row>
        <row r="101">
          <cell r="B101" t="str">
            <v>France</v>
          </cell>
          <cell r="C101">
            <v>0.35567010309278352</v>
          </cell>
          <cell r="D101">
            <v>0.71074380165289253</v>
          </cell>
          <cell r="E101">
            <v>0.84421809466746556</v>
          </cell>
          <cell r="F101">
            <v>0.9006444683136412</v>
          </cell>
          <cell r="G101">
            <v>0.92675705158173605</v>
          </cell>
          <cell r="H101">
            <v>0.9408908591935824</v>
          </cell>
          <cell r="I101">
            <v>0.95011876484560565</v>
          </cell>
          <cell r="J101">
            <v>0.95011876484560576</v>
          </cell>
          <cell r="K101">
            <v>0.95011876484560576</v>
          </cell>
          <cell r="L101">
            <v>0.95011876484560576</v>
          </cell>
          <cell r="M101">
            <v>0.95011876484560565</v>
          </cell>
          <cell r="N101">
            <v>0.95011876484560565</v>
          </cell>
          <cell r="O101">
            <v>0.95011876484560576</v>
          </cell>
        </row>
        <row r="102">
          <cell r="B102" t="str">
            <v>Italy</v>
          </cell>
          <cell r="C102">
            <v>0.91314031180400879</v>
          </cell>
          <cell r="D102">
            <v>0.9131403118040089</v>
          </cell>
          <cell r="E102">
            <v>0.9025129559010463</v>
          </cell>
          <cell r="F102">
            <v>0.94919893728363258</v>
          </cell>
          <cell r="G102">
            <v>0.96585784840025768</v>
          </cell>
          <cell r="H102">
            <v>0.97475872308834444</v>
          </cell>
          <cell r="I102">
            <v>0.95595126522961571</v>
          </cell>
          <cell r="J102">
            <v>0.95136863888627599</v>
          </cell>
          <cell r="K102">
            <v>0.93419140543906998</v>
          </cell>
          <cell r="L102">
            <v>0.93230428139647104</v>
          </cell>
          <cell r="M102">
            <v>0.93200424821645167</v>
          </cell>
          <cell r="N102">
            <v>0.9317092420077101</v>
          </cell>
          <cell r="O102">
            <v>0.93129106655637051</v>
          </cell>
        </row>
        <row r="103">
          <cell r="B103" t="str">
            <v>Spain</v>
          </cell>
          <cell r="C103">
            <v>0</v>
          </cell>
          <cell r="D103">
            <v>0.80993520518358531</v>
          </cell>
          <cell r="E103">
            <v>0.73053435114503817</v>
          </cell>
          <cell r="F103">
            <v>0.74566473988439308</v>
          </cell>
          <cell r="G103">
            <v>0.77804295942720769</v>
          </cell>
          <cell r="H103">
            <v>0.77380714713515675</v>
          </cell>
          <cell r="I103">
            <v>0.78767942583732053</v>
          </cell>
          <cell r="J103">
            <v>0.79320987654320985</v>
          </cell>
          <cell r="K103">
            <v>0.79671280276816614</v>
          </cell>
          <cell r="L103">
            <v>0.79730795113401209</v>
          </cell>
          <cell r="M103">
            <v>0.79783818873454448</v>
          </cell>
          <cell r="N103">
            <v>0.79832343152763208</v>
          </cell>
          <cell r="O103">
            <v>0.7986567054478384</v>
          </cell>
        </row>
        <row r="104">
          <cell r="B104" t="str">
            <v>Netherlands</v>
          </cell>
          <cell r="D104">
            <v>0.26315789473684215</v>
          </cell>
          <cell r="E104">
            <v>0.32584269662921345</v>
          </cell>
          <cell r="F104">
            <v>0.49367088607594933</v>
          </cell>
          <cell r="G104">
            <v>0.58167330677290841</v>
          </cell>
          <cell r="H104">
            <v>0.60623387552116992</v>
          </cell>
          <cell r="I104">
            <v>0.59952523250489731</v>
          </cell>
          <cell r="J104">
            <v>0.59502008549257179</v>
          </cell>
          <cell r="K104">
            <v>0.6178974423707374</v>
          </cell>
          <cell r="L104">
            <v>0.62029236645126729</v>
          </cell>
          <cell r="M104">
            <v>0.62206445486811901</v>
          </cell>
          <cell r="N104">
            <v>0.62330089647176745</v>
          </cell>
          <cell r="O104">
            <v>0.62377617201389479</v>
          </cell>
        </row>
        <row r="105">
          <cell r="B105" t="str">
            <v>Austria</v>
          </cell>
          <cell r="C105">
            <v>0</v>
          </cell>
          <cell r="D105">
            <v>0.31790123456790126</v>
          </cell>
          <cell r="E105">
            <v>0.42592592592592593</v>
          </cell>
          <cell r="F105">
            <v>0.47986577181208051</v>
          </cell>
          <cell r="G105">
            <v>0.53900709219858156</v>
          </cell>
          <cell r="H105">
            <v>0.6067415730337079</v>
          </cell>
          <cell r="I105">
            <v>0.64476534296028876</v>
          </cell>
          <cell r="J105">
            <v>0.64884040980682001</v>
          </cell>
          <cell r="K105">
            <v>0.65833381060503893</v>
          </cell>
          <cell r="L105">
            <v>0.67048796842249281</v>
          </cell>
          <cell r="M105">
            <v>0.67787178220627886</v>
          </cell>
          <cell r="N105">
            <v>0.68467216187585844</v>
          </cell>
          <cell r="O105">
            <v>0.68806846644558406</v>
          </cell>
        </row>
        <row r="106">
          <cell r="B106" t="str">
            <v>Portugal</v>
          </cell>
          <cell r="D106">
            <v>3.125E-2</v>
          </cell>
          <cell r="E106">
            <v>0.20384615384615384</v>
          </cell>
          <cell r="F106">
            <v>0.37301587301587302</v>
          </cell>
          <cell r="G106">
            <v>0.50920033870632442</v>
          </cell>
          <cell r="H106">
            <v>0.59531770359823943</v>
          </cell>
          <cell r="I106">
            <v>0.64302761563017141</v>
          </cell>
          <cell r="J106">
            <v>0.64082354149766385</v>
          </cell>
          <cell r="K106">
            <v>0.63182958428578351</v>
          </cell>
          <cell r="L106">
            <v>0.6245965809296844</v>
          </cell>
          <cell r="M106">
            <v>0.61439343339379537</v>
          </cell>
          <cell r="N106">
            <v>0.60293180161388782</v>
          </cell>
          <cell r="O106">
            <v>0.59407410506577918</v>
          </cell>
        </row>
        <row r="107">
          <cell r="B107" t="str">
            <v>Sweden</v>
          </cell>
          <cell r="C107">
            <v>0</v>
          </cell>
          <cell r="D107">
            <v>0</v>
          </cell>
          <cell r="E107">
            <v>0.59212376933895916</v>
          </cell>
          <cell r="F107">
            <v>0.58865248226950351</v>
          </cell>
          <cell r="G107">
            <v>0.63609022556390982</v>
          </cell>
          <cell r="H107">
            <v>0.64753218884120167</v>
          </cell>
          <cell r="I107">
            <v>0.64463157894736844</v>
          </cell>
          <cell r="J107">
            <v>0.62682748538011701</v>
          </cell>
          <cell r="K107">
            <v>0.62</v>
          </cell>
          <cell r="L107">
            <v>0.61499999999999999</v>
          </cell>
          <cell r="M107">
            <v>0.61</v>
          </cell>
          <cell r="N107">
            <v>0.60499999999999998</v>
          </cell>
          <cell r="O107">
            <v>0.6</v>
          </cell>
        </row>
        <row r="108">
          <cell r="B108" t="str">
            <v>Norway</v>
          </cell>
          <cell r="C108">
            <v>0</v>
          </cell>
          <cell r="D108">
            <v>1</v>
          </cell>
          <cell r="E108">
            <v>0.74384236453201968</v>
          </cell>
          <cell r="F108">
            <v>0.81811457263315279</v>
          </cell>
          <cell r="G108">
            <v>0.859546703821924</v>
          </cell>
          <cell r="H108">
            <v>0.85695810217786639</v>
          </cell>
          <cell r="I108">
            <v>0.84928653123468223</v>
          </cell>
          <cell r="J108">
            <v>0.83370955605718589</v>
          </cell>
          <cell r="K108">
            <v>0.80420594633792608</v>
          </cell>
          <cell r="L108">
            <v>0.79078466317739626</v>
          </cell>
          <cell r="M108">
            <v>0.78699512516981984</v>
          </cell>
          <cell r="N108">
            <v>0.78554964965012453</v>
          </cell>
          <cell r="O108">
            <v>0.7842477124121976</v>
          </cell>
        </row>
        <row r="109">
          <cell r="B109" t="str">
            <v>Switzerland</v>
          </cell>
          <cell r="D109">
            <v>0.21568627450980393</v>
          </cell>
          <cell r="E109">
            <v>0.42857142857142855</v>
          </cell>
          <cell r="F109">
            <v>0.56826137689614931</v>
          </cell>
          <cell r="G109">
            <v>0.62127548095680085</v>
          </cell>
          <cell r="H109">
            <v>0.63979235088462771</v>
          </cell>
          <cell r="I109">
            <v>0.6458923512747875</v>
          </cell>
          <cell r="J109">
            <v>0.68112244897959184</v>
          </cell>
          <cell r="K109">
            <v>0.7021810933940773</v>
          </cell>
          <cell r="L109">
            <v>0.67935649202733484</v>
          </cell>
          <cell r="M109">
            <v>0.67935649202733484</v>
          </cell>
          <cell r="N109">
            <v>0.67935649202733472</v>
          </cell>
          <cell r="O109">
            <v>0.67935649202733472</v>
          </cell>
        </row>
        <row r="110">
          <cell r="B110" t="str">
            <v>Greece</v>
          </cell>
          <cell r="D110">
            <v>1</v>
          </cell>
          <cell r="E110">
            <v>1</v>
          </cell>
          <cell r="F110">
            <v>1</v>
          </cell>
          <cell r="G110">
            <v>1</v>
          </cell>
          <cell r="H110">
            <v>1</v>
          </cell>
          <cell r="I110">
            <v>1</v>
          </cell>
          <cell r="J110">
            <v>1</v>
          </cell>
          <cell r="K110">
            <v>1</v>
          </cell>
          <cell r="L110">
            <v>1</v>
          </cell>
          <cell r="M110">
            <v>1</v>
          </cell>
          <cell r="N110">
            <v>1</v>
          </cell>
          <cell r="O110">
            <v>1</v>
          </cell>
        </row>
        <row r="111">
          <cell r="B111" t="str">
            <v>Denmark</v>
          </cell>
          <cell r="D111">
            <v>0</v>
          </cell>
          <cell r="E111">
            <v>0</v>
          </cell>
          <cell r="F111">
            <v>0</v>
          </cell>
          <cell r="G111">
            <v>0</v>
          </cell>
          <cell r="H111">
            <v>0</v>
          </cell>
          <cell r="I111">
            <v>0</v>
          </cell>
          <cell r="J111">
            <v>0</v>
          </cell>
          <cell r="K111">
            <v>0</v>
          </cell>
          <cell r="L111">
            <v>0</v>
          </cell>
          <cell r="M111">
            <v>0</v>
          </cell>
          <cell r="N111">
            <v>0</v>
          </cell>
          <cell r="O111">
            <v>0</v>
          </cell>
        </row>
        <row r="112">
          <cell r="B112" t="str">
            <v>Belgium</v>
          </cell>
          <cell r="D112">
            <v>0.53</v>
          </cell>
          <cell r="E112">
            <v>0.6</v>
          </cell>
          <cell r="F112">
            <v>0.61755905511811016</v>
          </cell>
          <cell r="G112">
            <v>0.64332920024798512</v>
          </cell>
          <cell r="H112">
            <v>0.67301414581066377</v>
          </cell>
          <cell r="I112">
            <v>0.67899543378995431</v>
          </cell>
          <cell r="J112">
            <v>0.67205542725173206</v>
          </cell>
          <cell r="K112">
            <v>0.64985826057125795</v>
          </cell>
          <cell r="L112">
            <v>0.64705869282483808</v>
          </cell>
          <cell r="M112">
            <v>0.64825175112752931</v>
          </cell>
          <cell r="N112">
            <v>0.64429280467770189</v>
          </cell>
          <cell r="O112">
            <v>0.63785861040065206</v>
          </cell>
        </row>
        <row r="113">
          <cell r="B113" t="str">
            <v>European average</v>
          </cell>
          <cell r="D113">
            <v>0.51945431483033555</v>
          </cell>
          <cell r="E113">
            <v>0.55019448011149719</v>
          </cell>
          <cell r="F113">
            <v>0.60873468363002181</v>
          </cell>
          <cell r="G113">
            <v>0.65018168477460958</v>
          </cell>
          <cell r="H113">
            <v>0.66913782577466763</v>
          </cell>
          <cell r="I113">
            <v>0.67632723108462522</v>
          </cell>
          <cell r="J113">
            <v>0.67491639354374422</v>
          </cell>
          <cell r="K113">
            <v>0.6713326368433078</v>
          </cell>
          <cell r="L113">
            <v>0.66722568014719952</v>
          </cell>
          <cell r="M113">
            <v>0.66512328762570694</v>
          </cell>
          <cell r="N113">
            <v>0.66265017490567746</v>
          </cell>
          <cell r="O113">
            <v>0.65999766731308906</v>
          </cell>
        </row>
        <row r="895">
          <cell r="B895" t="str">
            <v>Market DSL subs</v>
          </cell>
          <cell r="C895">
            <v>2000</v>
          </cell>
          <cell r="D895">
            <v>2001</v>
          </cell>
          <cell r="E895">
            <v>2002</v>
          </cell>
          <cell r="F895">
            <v>2003</v>
          </cell>
          <cell r="G895">
            <v>2004</v>
          </cell>
          <cell r="H895">
            <v>2005</v>
          </cell>
          <cell r="I895">
            <v>2006</v>
          </cell>
          <cell r="J895">
            <v>2007</v>
          </cell>
          <cell r="K895">
            <v>2008</v>
          </cell>
          <cell r="L895">
            <v>2009</v>
          </cell>
          <cell r="M895">
            <v>2010</v>
          </cell>
          <cell r="N895">
            <v>2011</v>
          </cell>
          <cell r="O895">
            <v>2012</v>
          </cell>
        </row>
        <row r="896">
          <cell r="B896" t="str">
            <v>Germany</v>
          </cell>
          <cell r="C896">
            <v>650</v>
          </cell>
          <cell r="D896">
            <v>2400</v>
          </cell>
          <cell r="E896">
            <v>3150</v>
          </cell>
          <cell r="F896">
            <v>4700</v>
          </cell>
          <cell r="G896">
            <v>7000</v>
          </cell>
          <cell r="H896">
            <v>10300</v>
          </cell>
          <cell r="I896">
            <v>15027</v>
          </cell>
          <cell r="J896">
            <v>19074</v>
          </cell>
          <cell r="K896">
            <v>21723</v>
          </cell>
          <cell r="L896">
            <v>23358.12</v>
          </cell>
          <cell r="M896">
            <v>24566.501</v>
          </cell>
          <cell r="N896">
            <v>25520.716835000003</v>
          </cell>
          <cell r="O896">
            <v>26329.363950050003</v>
          </cell>
        </row>
        <row r="897">
          <cell r="B897" t="str">
            <v>Ireland</v>
          </cell>
          <cell r="C897">
            <v>0</v>
          </cell>
          <cell r="D897">
            <v>0</v>
          </cell>
          <cell r="E897">
            <v>0</v>
          </cell>
          <cell r="F897">
            <v>0</v>
          </cell>
          <cell r="G897">
            <v>0</v>
          </cell>
          <cell r="H897">
            <v>0</v>
          </cell>
          <cell r="I897">
            <v>0</v>
          </cell>
          <cell r="J897">
            <v>0</v>
          </cell>
          <cell r="K897">
            <v>0</v>
          </cell>
          <cell r="L897">
            <v>0</v>
          </cell>
          <cell r="M897">
            <v>0</v>
          </cell>
          <cell r="N897">
            <v>0</v>
          </cell>
          <cell r="O897">
            <v>0</v>
          </cell>
        </row>
        <row r="898">
          <cell r="B898" t="str">
            <v>UK</v>
          </cell>
          <cell r="C898">
            <v>0</v>
          </cell>
          <cell r="D898">
            <v>0</v>
          </cell>
          <cell r="E898">
            <v>803</v>
          </cell>
          <cell r="F898">
            <v>2226.0100000000002</v>
          </cell>
          <cell r="G898">
            <v>4973</v>
          </cell>
          <cell r="H898">
            <v>8116</v>
          </cell>
          <cell r="I898">
            <v>10737</v>
          </cell>
          <cell r="J898">
            <v>12685</v>
          </cell>
          <cell r="K898">
            <v>13858.362500000001</v>
          </cell>
          <cell r="L898">
            <v>15075.803187931031</v>
          </cell>
          <cell r="M898">
            <v>15980.351379206893</v>
          </cell>
          <cell r="N898">
            <v>16539.663677479133</v>
          </cell>
          <cell r="O898">
            <v>16870.456951028715</v>
          </cell>
        </row>
        <row r="899">
          <cell r="B899" t="str">
            <v>France</v>
          </cell>
          <cell r="C899">
            <v>69</v>
          </cell>
          <cell r="D899">
            <v>430</v>
          </cell>
          <cell r="E899">
            <v>1409</v>
          </cell>
          <cell r="F899">
            <v>3354</v>
          </cell>
          <cell r="G899">
            <v>5947</v>
          </cell>
          <cell r="H899">
            <v>8914</v>
          </cell>
          <cell r="I899">
            <v>12000</v>
          </cell>
          <cell r="J899">
            <v>14769.23076923077</v>
          </cell>
          <cell r="K899">
            <v>16886.855472318657</v>
          </cell>
          <cell r="L899">
            <v>18403.245021012244</v>
          </cell>
          <cell r="M899">
            <v>19440.774712223643</v>
          </cell>
          <cell r="N899">
            <v>20238.874474693952</v>
          </cell>
          <cell r="O899">
            <v>20797.54430842317</v>
          </cell>
        </row>
        <row r="900">
          <cell r="B900" t="str">
            <v>Italy</v>
          </cell>
          <cell r="C900">
            <v>234.41815974387526</v>
          </cell>
          <cell r="D900">
            <v>410</v>
          </cell>
          <cell r="E900">
            <v>923</v>
          </cell>
          <cell r="F900">
            <v>2358</v>
          </cell>
          <cell r="G900">
            <v>4498</v>
          </cell>
          <cell r="H900">
            <v>6565</v>
          </cell>
          <cell r="I900">
            <v>8160</v>
          </cell>
          <cell r="J900">
            <v>10114</v>
          </cell>
          <cell r="K900">
            <v>11250</v>
          </cell>
          <cell r="L900">
            <v>12113.84413160519</v>
          </cell>
          <cell r="M900">
            <v>13004.886988883416</v>
          </cell>
          <cell r="N900">
            <v>13904.147078783786</v>
          </cell>
          <cell r="O900">
            <v>14595.366547887626</v>
          </cell>
        </row>
        <row r="901">
          <cell r="B901" t="str">
            <v>Spain</v>
          </cell>
          <cell r="C901">
            <v>0</v>
          </cell>
          <cell r="D901">
            <v>375</v>
          </cell>
          <cell r="E901">
            <v>957</v>
          </cell>
          <cell r="F901">
            <v>1677</v>
          </cell>
          <cell r="G901">
            <v>2608</v>
          </cell>
          <cell r="H901">
            <v>3876</v>
          </cell>
          <cell r="I901">
            <v>5268</v>
          </cell>
          <cell r="J901">
            <v>6425</v>
          </cell>
          <cell r="K901">
            <v>7368</v>
          </cell>
          <cell r="L901">
            <v>7904.8886352846421</v>
          </cell>
          <cell r="M901">
            <v>8389.9433999100729</v>
          </cell>
          <cell r="N901">
            <v>8884.0729066802051</v>
          </cell>
          <cell r="O901">
            <v>9254.0146690063666</v>
          </cell>
        </row>
        <row r="902">
          <cell r="B902" t="str">
            <v>Netherlands</v>
          </cell>
          <cell r="C902">
            <v>0</v>
          </cell>
          <cell r="D902">
            <v>166.31578947368422</v>
          </cell>
          <cell r="E902">
            <v>348.31460674157302</v>
          </cell>
          <cell r="F902">
            <v>944.30379746835433</v>
          </cell>
          <cell r="G902">
            <v>1833.9973439575033</v>
          </cell>
          <cell r="H902">
            <v>2564</v>
          </cell>
          <cell r="I902">
            <v>3097.6</v>
          </cell>
          <cell r="J902">
            <v>3392.5</v>
          </cell>
          <cell r="K902">
            <v>3660</v>
          </cell>
          <cell r="L902">
            <v>3850.2517094861655</v>
          </cell>
          <cell r="M902">
            <v>4035.3259780323615</v>
          </cell>
          <cell r="N902">
            <v>4194.5045729042113</v>
          </cell>
          <cell r="O902">
            <v>4275.8529520547681</v>
          </cell>
        </row>
        <row r="903">
          <cell r="B903" t="str">
            <v>Austria</v>
          </cell>
          <cell r="C903">
            <v>0</v>
          </cell>
          <cell r="D903">
            <v>103</v>
          </cell>
          <cell r="E903">
            <v>184</v>
          </cell>
          <cell r="F903">
            <v>286</v>
          </cell>
          <cell r="G903">
            <v>456</v>
          </cell>
          <cell r="H903">
            <v>702</v>
          </cell>
          <cell r="I903">
            <v>893</v>
          </cell>
          <cell r="J903">
            <v>1040</v>
          </cell>
          <cell r="K903">
            <v>1164.5</v>
          </cell>
          <cell r="L903">
            <v>1297.3</v>
          </cell>
          <cell r="M903">
            <v>1367.85</v>
          </cell>
          <cell r="N903">
            <v>1438.4</v>
          </cell>
          <cell r="O903">
            <v>1474.09</v>
          </cell>
        </row>
        <row r="904">
          <cell r="B904" t="str">
            <v>Portugal</v>
          </cell>
          <cell r="C904">
            <v>0</v>
          </cell>
          <cell r="D904">
            <v>3</v>
          </cell>
          <cell r="E904">
            <v>53</v>
          </cell>
          <cell r="F904">
            <v>188</v>
          </cell>
          <cell r="G904">
            <v>429</v>
          </cell>
          <cell r="H904">
            <v>708</v>
          </cell>
          <cell r="I904">
            <v>946</v>
          </cell>
          <cell r="J904">
            <v>1005</v>
          </cell>
          <cell r="K904">
            <v>1086</v>
          </cell>
          <cell r="L904">
            <v>1140.3</v>
          </cell>
          <cell r="M904">
            <v>1174.509</v>
          </cell>
          <cell r="N904">
            <v>1197.99918</v>
          </cell>
          <cell r="O904">
            <v>1209.9791718000001</v>
          </cell>
        </row>
        <row r="905">
          <cell r="B905" t="str">
            <v>Sweden</v>
          </cell>
          <cell r="C905">
            <v>0</v>
          </cell>
          <cell r="D905">
            <v>0</v>
          </cell>
          <cell r="E905">
            <v>421</v>
          </cell>
          <cell r="F905">
            <v>581</v>
          </cell>
          <cell r="G905">
            <v>846</v>
          </cell>
          <cell r="H905">
            <v>1207</v>
          </cell>
          <cell r="I905">
            <v>1531</v>
          </cell>
          <cell r="J905">
            <v>1715</v>
          </cell>
          <cell r="K905">
            <v>1761.42</v>
          </cell>
          <cell r="L905">
            <v>1909.575</v>
          </cell>
          <cell r="M905">
            <v>2028.25</v>
          </cell>
          <cell r="N905">
            <v>2118.105</v>
          </cell>
          <cell r="O905">
            <v>2179.8000000000002</v>
          </cell>
        </row>
        <row r="906">
          <cell r="B906" t="str">
            <v>Norway</v>
          </cell>
          <cell r="C906">
            <v>0</v>
          </cell>
          <cell r="D906">
            <v>39</v>
          </cell>
          <cell r="E906">
            <v>151</v>
          </cell>
          <cell r="F906">
            <v>313</v>
          </cell>
          <cell r="G906">
            <v>562</v>
          </cell>
          <cell r="H906">
            <v>819</v>
          </cell>
          <cell r="I906">
            <v>998</v>
          </cell>
          <cell r="J906">
            <v>1108</v>
          </cell>
          <cell r="K906">
            <v>1109</v>
          </cell>
          <cell r="L906">
            <v>1122.5899999999999</v>
          </cell>
          <cell r="M906">
            <v>1152.2009999999998</v>
          </cell>
          <cell r="N906">
            <v>1165.179404</v>
          </cell>
          <cell r="O906">
            <v>1167.79105768</v>
          </cell>
        </row>
        <row r="907">
          <cell r="B907" t="str">
            <v>Switzerland</v>
          </cell>
          <cell r="C907">
            <v>0</v>
          </cell>
          <cell r="D907">
            <v>33</v>
          </cell>
          <cell r="E907">
            <v>195</v>
          </cell>
          <cell r="F907">
            <v>487</v>
          </cell>
          <cell r="G907">
            <v>802</v>
          </cell>
          <cell r="H907">
            <v>1098</v>
          </cell>
          <cell r="I907">
            <v>1368</v>
          </cell>
          <cell r="J907">
            <v>1602</v>
          </cell>
          <cell r="K907">
            <v>1787</v>
          </cell>
          <cell r="L907">
            <v>1912.9989613251462</v>
          </cell>
          <cell r="M907">
            <v>1961.9126287511144</v>
          </cell>
          <cell r="N907">
            <v>1986.3694624640982</v>
          </cell>
          <cell r="O907">
            <v>2008.7882267010002</v>
          </cell>
        </row>
        <row r="908">
          <cell r="B908" t="str">
            <v>Greece</v>
          </cell>
          <cell r="C908">
            <v>0</v>
          </cell>
          <cell r="D908">
            <v>0</v>
          </cell>
          <cell r="E908">
            <v>0</v>
          </cell>
          <cell r="F908">
            <v>7</v>
          </cell>
          <cell r="G908">
            <v>44</v>
          </cell>
          <cell r="H908">
            <v>161</v>
          </cell>
          <cell r="I908">
            <v>512</v>
          </cell>
          <cell r="J908">
            <v>1135</v>
          </cell>
          <cell r="K908">
            <v>1679.7909257099407</v>
          </cell>
          <cell r="L908">
            <v>2081.656580981838</v>
          </cell>
          <cell r="M908">
            <v>2352.7674734246716</v>
          </cell>
          <cell r="N908">
            <v>2556.3628240640028</v>
          </cell>
          <cell r="O908">
            <v>2695.4241341462694</v>
          </cell>
        </row>
        <row r="909">
          <cell r="B909" t="str">
            <v>Denmark</v>
          </cell>
          <cell r="C909">
            <v>0</v>
          </cell>
          <cell r="D909">
            <v>0</v>
          </cell>
          <cell r="E909">
            <v>0</v>
          </cell>
          <cell r="F909">
            <v>0</v>
          </cell>
          <cell r="G909">
            <v>0</v>
          </cell>
          <cell r="H909">
            <v>0</v>
          </cell>
          <cell r="I909">
            <v>0</v>
          </cell>
          <cell r="J909">
            <v>0</v>
          </cell>
          <cell r="K909">
            <v>0</v>
          </cell>
          <cell r="L909">
            <v>0</v>
          </cell>
          <cell r="M909">
            <v>0</v>
          </cell>
          <cell r="N909">
            <v>0</v>
          </cell>
          <cell r="O909">
            <v>0</v>
          </cell>
        </row>
        <row r="910">
          <cell r="B910" t="str">
            <v>Belgium</v>
          </cell>
          <cell r="C910">
            <v>0</v>
          </cell>
          <cell r="D910">
            <v>228.43</v>
          </cell>
          <cell r="E910">
            <v>521.4</v>
          </cell>
          <cell r="F910">
            <v>784.3</v>
          </cell>
          <cell r="G910">
            <v>1037.69</v>
          </cell>
          <cell r="H910">
            <v>1237</v>
          </cell>
          <cell r="I910">
            <v>1487</v>
          </cell>
          <cell r="J910">
            <v>1746</v>
          </cell>
          <cell r="K910">
            <v>1842.5845633140341</v>
          </cell>
          <cell r="L910">
            <v>1930.8165529401667</v>
          </cell>
          <cell r="M910">
            <v>2001.9750186458846</v>
          </cell>
          <cell r="N910">
            <v>2028.144884182343</v>
          </cell>
          <cell r="O910">
            <v>2031.6295978025969</v>
          </cell>
        </row>
        <row r="911">
          <cell r="B911" t="str">
            <v>European total</v>
          </cell>
          <cell r="C911">
            <v>953.41815974387532</v>
          </cell>
          <cell r="D911">
            <v>4187.7457894736845</v>
          </cell>
          <cell r="E911">
            <v>9115.7146067415724</v>
          </cell>
          <cell r="F911">
            <v>17905.613797468355</v>
          </cell>
          <cell r="G911">
            <v>31036.687343957503</v>
          </cell>
          <cell r="H911">
            <v>46267</v>
          </cell>
          <cell r="I911">
            <v>62024.6</v>
          </cell>
          <cell r="J911">
            <v>75810.730769230766</v>
          </cell>
          <cell r="K911">
            <v>85176.51346134262</v>
          </cell>
          <cell r="L911">
            <v>92101.389780566446</v>
          </cell>
          <cell r="M911">
            <v>97457.248579078063</v>
          </cell>
          <cell r="N911">
            <v>101772.54030025171</v>
          </cell>
          <cell r="O911">
            <v>104890.10156658055</v>
          </cell>
        </row>
        <row r="952">
          <cell r="B952" t="str">
            <v>Line sharing DSL subs</v>
          </cell>
          <cell r="C952">
            <v>2000</v>
          </cell>
          <cell r="D952">
            <v>2001</v>
          </cell>
          <cell r="E952">
            <v>2002</v>
          </cell>
          <cell r="F952">
            <v>2003</v>
          </cell>
          <cell r="G952">
            <v>2004</v>
          </cell>
          <cell r="H952">
            <v>2005</v>
          </cell>
          <cell r="I952">
            <v>2006</v>
          </cell>
          <cell r="J952">
            <v>2007</v>
          </cell>
          <cell r="K952">
            <v>2008</v>
          </cell>
          <cell r="L952">
            <v>2009</v>
          </cell>
          <cell r="M952">
            <v>2010</v>
          </cell>
          <cell r="N952">
            <v>2011</v>
          </cell>
          <cell r="O952">
            <v>2012</v>
          </cell>
        </row>
        <row r="953">
          <cell r="B953" t="str">
            <v>Germany</v>
          </cell>
          <cell r="C953">
            <v>0</v>
          </cell>
          <cell r="D953">
            <v>0</v>
          </cell>
          <cell r="E953">
            <v>0</v>
          </cell>
          <cell r="F953">
            <v>0</v>
          </cell>
          <cell r="G953">
            <v>0</v>
          </cell>
          <cell r="H953">
            <v>0</v>
          </cell>
          <cell r="I953">
            <v>85</v>
          </cell>
          <cell r="J953">
            <v>155</v>
          </cell>
          <cell r="K953">
            <v>116</v>
          </cell>
          <cell r="L953">
            <v>98.6</v>
          </cell>
          <cell r="M953">
            <v>88.74</v>
          </cell>
          <cell r="N953">
            <v>88.74</v>
          </cell>
          <cell r="O953">
            <v>88.74</v>
          </cell>
        </row>
        <row r="954">
          <cell r="B954" t="str">
            <v>Ireland</v>
          </cell>
          <cell r="C954">
            <v>0</v>
          </cell>
          <cell r="D954">
            <v>0</v>
          </cell>
          <cell r="E954">
            <v>0</v>
          </cell>
          <cell r="F954">
            <v>0</v>
          </cell>
          <cell r="G954">
            <v>0</v>
          </cell>
          <cell r="H954">
            <v>0</v>
          </cell>
          <cell r="I954">
            <v>0</v>
          </cell>
          <cell r="J954">
            <v>0</v>
          </cell>
          <cell r="K954">
            <v>0</v>
          </cell>
          <cell r="L954">
            <v>0</v>
          </cell>
          <cell r="M954">
            <v>0</v>
          </cell>
          <cell r="N954">
            <v>0</v>
          </cell>
          <cell r="O954">
            <v>0</v>
          </cell>
        </row>
        <row r="955">
          <cell r="B955" t="str">
            <v>UK</v>
          </cell>
          <cell r="C955">
            <v>0</v>
          </cell>
          <cell r="D955">
            <v>0</v>
          </cell>
          <cell r="E955">
            <v>3</v>
          </cell>
          <cell r="F955">
            <v>11</v>
          </cell>
          <cell r="G955">
            <v>40</v>
          </cell>
          <cell r="H955">
            <v>40</v>
          </cell>
          <cell r="I955">
            <v>1375</v>
          </cell>
          <cell r="J955">
            <v>3200</v>
          </cell>
          <cell r="K955">
            <v>4000</v>
          </cell>
          <cell r="L955">
            <v>3600</v>
          </cell>
          <cell r="M955">
            <v>2700</v>
          </cell>
          <cell r="N955">
            <v>2025</v>
          </cell>
          <cell r="O955">
            <v>1721.25</v>
          </cell>
        </row>
        <row r="956">
          <cell r="B956" t="str">
            <v>France</v>
          </cell>
          <cell r="C956">
            <v>0</v>
          </cell>
          <cell r="D956">
            <v>0</v>
          </cell>
          <cell r="E956">
            <v>57</v>
          </cell>
          <cell r="F956">
            <v>296</v>
          </cell>
          <cell r="G956">
            <v>1496</v>
          </cell>
          <cell r="H956">
            <v>2229</v>
          </cell>
          <cell r="I956">
            <v>1810</v>
          </cell>
          <cell r="J956">
            <v>1563</v>
          </cell>
          <cell r="K956">
            <v>1393</v>
          </cell>
          <cell r="L956">
            <v>1059.3423728341095</v>
          </cell>
          <cell r="M956">
            <v>754.36449650636314</v>
          </cell>
          <cell r="N956">
            <v>392.66666526818881</v>
          </cell>
          <cell r="O956">
            <v>403.50575717869378</v>
          </cell>
        </row>
        <row r="957">
          <cell r="B957" t="str">
            <v>Italy</v>
          </cell>
          <cell r="C957">
            <v>0</v>
          </cell>
          <cell r="D957">
            <v>0</v>
          </cell>
          <cell r="E957">
            <v>4</v>
          </cell>
          <cell r="F957">
            <v>8</v>
          </cell>
          <cell r="G957">
            <v>29</v>
          </cell>
          <cell r="H957">
            <v>141</v>
          </cell>
          <cell r="I957">
            <v>279</v>
          </cell>
          <cell r="J957">
            <v>244</v>
          </cell>
          <cell r="K957">
            <v>202</v>
          </cell>
          <cell r="L957">
            <v>173.47165875200466</v>
          </cell>
          <cell r="M957">
            <v>144.66466596652938</v>
          </cell>
          <cell r="N957">
            <v>115.57694833673042</v>
          </cell>
          <cell r="O957">
            <v>93.109428611341855</v>
          </cell>
        </row>
        <row r="958">
          <cell r="B958" t="str">
            <v>Spain</v>
          </cell>
          <cell r="C958">
            <v>0</v>
          </cell>
          <cell r="D958">
            <v>0</v>
          </cell>
          <cell r="E958">
            <v>0</v>
          </cell>
          <cell r="F958">
            <v>0</v>
          </cell>
          <cell r="G958">
            <v>37</v>
          </cell>
          <cell r="H958">
            <v>279</v>
          </cell>
          <cell r="I958">
            <v>528</v>
          </cell>
          <cell r="J958">
            <v>776</v>
          </cell>
          <cell r="K958">
            <v>602</v>
          </cell>
          <cell r="L958">
            <v>397.39178014281015</v>
          </cell>
          <cell r="M958">
            <v>327.86899253882939</v>
          </cell>
          <cell r="N958">
            <v>236.98271312083671</v>
          </cell>
          <cell r="O958">
            <v>123.54210763434867</v>
          </cell>
        </row>
        <row r="959">
          <cell r="B959" t="str">
            <v>Netherlands</v>
          </cell>
          <cell r="C959">
            <v>0</v>
          </cell>
          <cell r="D959">
            <v>8.3157894736842195</v>
          </cell>
          <cell r="E959">
            <v>38.314606741573016</v>
          </cell>
          <cell r="F959">
            <v>198.30379746835433</v>
          </cell>
          <cell r="G959">
            <v>452.99734395750329</v>
          </cell>
          <cell r="H959">
            <v>600</v>
          </cell>
          <cell r="I959">
            <v>600</v>
          </cell>
          <cell r="J959">
            <v>300</v>
          </cell>
          <cell r="K959">
            <v>300</v>
          </cell>
          <cell r="L959">
            <v>300</v>
          </cell>
          <cell r="M959">
            <v>300</v>
          </cell>
          <cell r="N959">
            <v>300</v>
          </cell>
          <cell r="O959">
            <v>300</v>
          </cell>
        </row>
        <row r="960">
          <cell r="B960" t="str">
            <v>Austria</v>
          </cell>
          <cell r="C960">
            <v>0</v>
          </cell>
          <cell r="D960">
            <v>0</v>
          </cell>
          <cell r="E960">
            <v>0</v>
          </cell>
          <cell r="F960">
            <v>0</v>
          </cell>
          <cell r="G960">
            <v>0</v>
          </cell>
          <cell r="H960">
            <v>0</v>
          </cell>
          <cell r="I960">
            <v>0</v>
          </cell>
          <cell r="J960">
            <v>0</v>
          </cell>
          <cell r="K960">
            <v>0</v>
          </cell>
          <cell r="L960">
            <v>0</v>
          </cell>
          <cell r="M960">
            <v>0</v>
          </cell>
          <cell r="N960">
            <v>0</v>
          </cell>
          <cell r="O960">
            <v>0</v>
          </cell>
        </row>
        <row r="961">
          <cell r="B961" t="str">
            <v>Portugal</v>
          </cell>
          <cell r="C961">
            <v>0</v>
          </cell>
          <cell r="D961">
            <v>0</v>
          </cell>
          <cell r="E961">
            <v>0</v>
          </cell>
          <cell r="F961">
            <v>0</v>
          </cell>
          <cell r="G961">
            <v>0</v>
          </cell>
          <cell r="H961">
            <v>0</v>
          </cell>
          <cell r="I961">
            <v>0</v>
          </cell>
          <cell r="J961">
            <v>0</v>
          </cell>
          <cell r="K961">
            <v>0</v>
          </cell>
          <cell r="L961">
            <v>0</v>
          </cell>
          <cell r="M961">
            <v>0</v>
          </cell>
          <cell r="N961">
            <v>0</v>
          </cell>
          <cell r="O961">
            <v>0</v>
          </cell>
        </row>
        <row r="962">
          <cell r="B962" t="str">
            <v>Sweden</v>
          </cell>
          <cell r="C962">
            <v>0</v>
          </cell>
          <cell r="D962">
            <v>0</v>
          </cell>
          <cell r="E962">
            <v>10</v>
          </cell>
          <cell r="F962">
            <v>50</v>
          </cell>
          <cell r="G962">
            <v>205.1</v>
          </cell>
          <cell r="H962">
            <v>319</v>
          </cell>
          <cell r="I962">
            <v>420</v>
          </cell>
          <cell r="J962">
            <v>453</v>
          </cell>
          <cell r="K962">
            <v>377.01063935860066</v>
          </cell>
          <cell r="L962">
            <v>341.88629956268232</v>
          </cell>
          <cell r="M962">
            <v>302.28612244897971</v>
          </cell>
          <cell r="N962">
            <v>252.13477303207006</v>
          </cell>
          <cell r="O962">
            <v>194.08481632653073</v>
          </cell>
        </row>
        <row r="963">
          <cell r="B963" t="str">
            <v>Norway</v>
          </cell>
          <cell r="C963">
            <v>0</v>
          </cell>
          <cell r="D963">
            <v>5</v>
          </cell>
          <cell r="E963">
            <v>15</v>
          </cell>
          <cell r="F963">
            <v>37</v>
          </cell>
          <cell r="G963">
            <v>78</v>
          </cell>
          <cell r="H963">
            <v>115</v>
          </cell>
          <cell r="I963">
            <v>116</v>
          </cell>
          <cell r="J963">
            <v>117</v>
          </cell>
          <cell r="K963">
            <v>118</v>
          </cell>
          <cell r="L963">
            <v>115.64</v>
          </cell>
          <cell r="M963">
            <v>113.3272</v>
          </cell>
          <cell r="N963">
            <v>111.06065600000001</v>
          </cell>
          <cell r="O963">
            <v>108.83944288000001</v>
          </cell>
        </row>
        <row r="964">
          <cell r="B964" t="str">
            <v>Switzerland</v>
          </cell>
          <cell r="C964">
            <v>0</v>
          </cell>
          <cell r="D964">
            <v>0</v>
          </cell>
          <cell r="E964">
            <v>0</v>
          </cell>
          <cell r="F964">
            <v>0</v>
          </cell>
          <cell r="G964">
            <v>0</v>
          </cell>
          <cell r="H964">
            <v>1</v>
          </cell>
          <cell r="I964">
            <v>0</v>
          </cell>
          <cell r="J964">
            <v>0</v>
          </cell>
          <cell r="K964">
            <v>3.1</v>
          </cell>
          <cell r="L964">
            <v>5.6317971014492727</v>
          </cell>
          <cell r="M964">
            <v>8.6636956521739137</v>
          </cell>
          <cell r="N964">
            <v>11.695594202898548</v>
          </cell>
          <cell r="O964">
            <v>14.784492753623198</v>
          </cell>
        </row>
        <row r="965">
          <cell r="B965" t="str">
            <v>Greece</v>
          </cell>
          <cell r="C965">
            <v>0</v>
          </cell>
          <cell r="D965">
            <v>0</v>
          </cell>
          <cell r="E965">
            <v>0</v>
          </cell>
          <cell r="F965">
            <v>0</v>
          </cell>
          <cell r="G965">
            <v>0</v>
          </cell>
          <cell r="H965">
            <v>0</v>
          </cell>
          <cell r="I965">
            <v>0</v>
          </cell>
          <cell r="J965">
            <v>0</v>
          </cell>
          <cell r="K965">
            <v>0</v>
          </cell>
          <cell r="L965">
            <v>0</v>
          </cell>
          <cell r="M965">
            <v>0</v>
          </cell>
          <cell r="N965">
            <v>0</v>
          </cell>
          <cell r="O965">
            <v>0</v>
          </cell>
        </row>
        <row r="966">
          <cell r="B966" t="str">
            <v>Denmark</v>
          </cell>
          <cell r="C966">
            <v>0</v>
          </cell>
          <cell r="D966">
            <v>0</v>
          </cell>
          <cell r="E966">
            <v>0</v>
          </cell>
          <cell r="F966">
            <v>0</v>
          </cell>
          <cell r="G966">
            <v>0</v>
          </cell>
          <cell r="H966">
            <v>0</v>
          </cell>
          <cell r="I966">
            <v>0</v>
          </cell>
          <cell r="J966">
            <v>0</v>
          </cell>
          <cell r="K966">
            <v>0</v>
          </cell>
          <cell r="L966">
            <v>0</v>
          </cell>
          <cell r="M966">
            <v>0</v>
          </cell>
          <cell r="N966">
            <v>0</v>
          </cell>
          <cell r="O966">
            <v>0</v>
          </cell>
        </row>
        <row r="967">
          <cell r="B967" t="str">
            <v>Belgium</v>
          </cell>
          <cell r="C967">
            <v>0</v>
          </cell>
          <cell r="D967">
            <v>0</v>
          </cell>
          <cell r="E967">
            <v>0</v>
          </cell>
          <cell r="F967">
            <v>0</v>
          </cell>
          <cell r="G967">
            <v>0</v>
          </cell>
          <cell r="H967">
            <v>0</v>
          </cell>
          <cell r="I967">
            <v>0</v>
          </cell>
          <cell r="J967">
            <v>0</v>
          </cell>
          <cell r="K967">
            <v>0</v>
          </cell>
          <cell r="L967">
            <v>0</v>
          </cell>
          <cell r="M967">
            <v>0</v>
          </cell>
          <cell r="N967">
            <v>0</v>
          </cell>
          <cell r="O967">
            <v>0</v>
          </cell>
        </row>
        <row r="968">
          <cell r="B968" t="str">
            <v>European total</v>
          </cell>
          <cell r="C968">
            <v>0</v>
          </cell>
          <cell r="D968">
            <v>13.31578947368422</v>
          </cell>
          <cell r="E968">
            <v>127.31460674157302</v>
          </cell>
          <cell r="F968">
            <v>600.30379746835433</v>
          </cell>
          <cell r="G968">
            <v>2338.0973439575032</v>
          </cell>
          <cell r="H968">
            <v>3724</v>
          </cell>
          <cell r="I968">
            <v>5213</v>
          </cell>
          <cell r="J968">
            <v>6808</v>
          </cell>
          <cell r="K968">
            <v>7111.1106393586015</v>
          </cell>
          <cell r="L968">
            <v>6091.963908393056</v>
          </cell>
          <cell r="M968">
            <v>4739.9151731128759</v>
          </cell>
          <cell r="N968">
            <v>3533.8573499607242</v>
          </cell>
          <cell r="O968">
            <v>3047.8560453845384</v>
          </cell>
        </row>
        <row r="990">
          <cell r="B990" t="str">
            <v>Market broadband subs</v>
          </cell>
          <cell r="C990">
            <v>2000</v>
          </cell>
          <cell r="D990">
            <v>2001</v>
          </cell>
          <cell r="E990">
            <v>2002</v>
          </cell>
          <cell r="F990">
            <v>2003</v>
          </cell>
          <cell r="G990">
            <v>2004</v>
          </cell>
          <cell r="H990">
            <v>2005</v>
          </cell>
          <cell r="I990">
            <v>2006</v>
          </cell>
          <cell r="J990">
            <v>2007</v>
          </cell>
          <cell r="K990">
            <v>2008</v>
          </cell>
          <cell r="L990">
            <v>2009</v>
          </cell>
          <cell r="M990">
            <v>2010</v>
          </cell>
          <cell r="N990">
            <v>2011</v>
          </cell>
          <cell r="O990">
            <v>2012</v>
          </cell>
        </row>
        <row r="991">
          <cell r="B991" t="str">
            <v>Germany</v>
          </cell>
          <cell r="C991">
            <v>650</v>
          </cell>
          <cell r="D991">
            <v>2400</v>
          </cell>
          <cell r="E991">
            <v>3150</v>
          </cell>
          <cell r="F991">
            <v>4709.4188376753509</v>
          </cell>
          <cell r="G991">
            <v>7070.7070707070707</v>
          </cell>
          <cell r="H991">
            <v>10510.204081632653</v>
          </cell>
          <cell r="I991">
            <v>15465.556701030928</v>
          </cell>
          <cell r="J991">
            <v>20141.582010582009</v>
          </cell>
          <cell r="K991">
            <v>23655.200000000001</v>
          </cell>
          <cell r="L991">
            <v>26120.32</v>
          </cell>
          <cell r="M991">
            <v>28108.701000000001</v>
          </cell>
          <cell r="N991">
            <v>29792.916835000004</v>
          </cell>
          <cell r="O991">
            <v>31331.563950050004</v>
          </cell>
        </row>
        <row r="992">
          <cell r="B992" t="str">
            <v>Ireland</v>
          </cell>
          <cell r="C992">
            <v>0</v>
          </cell>
          <cell r="D992">
            <v>0</v>
          </cell>
          <cell r="E992">
            <v>0</v>
          </cell>
          <cell r="F992">
            <v>0</v>
          </cell>
          <cell r="G992">
            <v>0</v>
          </cell>
          <cell r="H992">
            <v>0</v>
          </cell>
          <cell r="I992">
            <v>0</v>
          </cell>
          <cell r="J992">
            <v>0</v>
          </cell>
          <cell r="K992">
            <v>0</v>
          </cell>
          <cell r="L992">
            <v>0</v>
          </cell>
          <cell r="M992">
            <v>0</v>
          </cell>
          <cell r="N992">
            <v>0</v>
          </cell>
          <cell r="O992">
            <v>0</v>
          </cell>
        </row>
        <row r="993">
          <cell r="B993" t="str">
            <v>UK</v>
          </cell>
          <cell r="C993">
            <v>0</v>
          </cell>
          <cell r="D993">
            <v>0</v>
          </cell>
          <cell r="E993">
            <v>1762.9</v>
          </cell>
          <cell r="F993">
            <v>3720.11</v>
          </cell>
          <cell r="G993">
            <v>7084.6</v>
          </cell>
          <cell r="H993">
            <v>10937.7</v>
          </cell>
          <cell r="I993">
            <v>13883</v>
          </cell>
          <cell r="J993">
            <v>16187</v>
          </cell>
          <cell r="K993">
            <v>17623.829993047242</v>
          </cell>
          <cell r="L993">
            <v>19160.262962298679</v>
          </cell>
          <cell r="M993">
            <v>20383.803434894951</v>
          </cell>
          <cell r="N993">
            <v>21262.108014487603</v>
          </cell>
          <cell r="O993">
            <v>21848.095113093514</v>
          </cell>
        </row>
        <row r="994">
          <cell r="B994" t="str">
            <v>France</v>
          </cell>
          <cell r="C994">
            <v>194</v>
          </cell>
          <cell r="D994">
            <v>605</v>
          </cell>
          <cell r="E994">
            <v>1669</v>
          </cell>
          <cell r="F994">
            <v>3724</v>
          </cell>
          <cell r="G994">
            <v>6417</v>
          </cell>
          <cell r="H994">
            <v>9474</v>
          </cell>
          <cell r="I994">
            <v>12630</v>
          </cell>
          <cell r="J994">
            <v>15544.615384615385</v>
          </cell>
          <cell r="K994">
            <v>17773.415384615386</v>
          </cell>
          <cell r="L994">
            <v>19369.415384615386</v>
          </cell>
          <cell r="M994">
            <v>20461.415384615386</v>
          </cell>
          <cell r="N994">
            <v>21301.415384615386</v>
          </cell>
          <cell r="O994">
            <v>21889.415384615386</v>
          </cell>
        </row>
        <row r="995">
          <cell r="B995" t="str">
            <v>Italy</v>
          </cell>
          <cell r="C995">
            <v>256.71647250000001</v>
          </cell>
          <cell r="D995">
            <v>449</v>
          </cell>
          <cell r="E995">
            <v>1022.7</v>
          </cell>
          <cell r="F995">
            <v>2484.1999999999998</v>
          </cell>
          <cell r="G995">
            <v>4657</v>
          </cell>
          <cell r="H995">
            <v>6735</v>
          </cell>
          <cell r="I995">
            <v>8536</v>
          </cell>
          <cell r="J995">
            <v>10631</v>
          </cell>
          <cell r="K995">
            <v>12042.5</v>
          </cell>
          <cell r="L995">
            <v>12993.444708266512</v>
          </cell>
          <cell r="M995">
            <v>13953.677801115688</v>
          </cell>
          <cell r="N995">
            <v>14923.268388775654</v>
          </cell>
          <cell r="O995">
            <v>15672.185712955272</v>
          </cell>
        </row>
        <row r="996">
          <cell r="B996" t="str">
            <v>Spain</v>
          </cell>
          <cell r="C996">
            <v>279.50625000000002</v>
          </cell>
          <cell r="D996">
            <v>463</v>
          </cell>
          <cell r="E996">
            <v>1310</v>
          </cell>
          <cell r="F996">
            <v>2249</v>
          </cell>
          <cell r="G996">
            <v>3352</v>
          </cell>
          <cell r="H996">
            <v>5009</v>
          </cell>
          <cell r="I996">
            <v>6688</v>
          </cell>
          <cell r="J996">
            <v>8100</v>
          </cell>
          <cell r="K996">
            <v>9248</v>
          </cell>
          <cell r="L996">
            <v>9914.4736033818663</v>
          </cell>
          <cell r="M996">
            <v>10515.845842397452</v>
          </cell>
          <cell r="N996">
            <v>11128.413066468667</v>
          </cell>
          <cell r="O996">
            <v>11586.974235466132</v>
          </cell>
        </row>
        <row r="997">
          <cell r="B997" t="str">
            <v>Netherlands</v>
          </cell>
          <cell r="C997">
            <v>0</v>
          </cell>
          <cell r="D997">
            <v>632</v>
          </cell>
          <cell r="E997">
            <v>1068.9655172413793</v>
          </cell>
          <cell r="F997">
            <v>1912.8205128205127</v>
          </cell>
          <cell r="G997">
            <v>3152.9680365296804</v>
          </cell>
          <cell r="H997">
            <v>4229.3908399555676</v>
          </cell>
          <cell r="I997">
            <v>5166.7550122249386</v>
          </cell>
          <cell r="J997">
            <v>5701.488206388206</v>
          </cell>
          <cell r="K997">
            <v>5923.3130759651312</v>
          </cell>
          <cell r="L997">
            <v>6207.1563632383613</v>
          </cell>
          <cell r="M997">
            <v>6486.9901285195156</v>
          </cell>
          <cell r="N997">
            <v>6729.5019093466071</v>
          </cell>
          <cell r="O997">
            <v>6854.7872520522023</v>
          </cell>
        </row>
        <row r="998">
          <cell r="B998" t="str">
            <v>Austria</v>
          </cell>
          <cell r="C998">
            <v>100</v>
          </cell>
          <cell r="D998">
            <v>324</v>
          </cell>
          <cell r="E998">
            <v>432</v>
          </cell>
          <cell r="F998">
            <v>596</v>
          </cell>
          <cell r="G998">
            <v>846</v>
          </cell>
          <cell r="H998">
            <v>1157</v>
          </cell>
          <cell r="I998">
            <v>1385</v>
          </cell>
          <cell r="J998">
            <v>1602.8594771241828</v>
          </cell>
          <cell r="K998">
            <v>1768.8594771241826</v>
          </cell>
          <cell r="L998">
            <v>1934.8594771241828</v>
          </cell>
          <cell r="M998">
            <v>2017.8594771241828</v>
          </cell>
          <cell r="N998">
            <v>2100.8594771241828</v>
          </cell>
          <cell r="O998">
            <v>2142.3594771241828</v>
          </cell>
        </row>
        <row r="999">
          <cell r="B999" t="str">
            <v>Portugal</v>
          </cell>
          <cell r="C999">
            <v>0</v>
          </cell>
          <cell r="D999">
            <v>96</v>
          </cell>
          <cell r="E999">
            <v>260</v>
          </cell>
          <cell r="F999">
            <v>504</v>
          </cell>
          <cell r="G999">
            <v>842.49747572815534</v>
          </cell>
          <cell r="H999">
            <v>1189.2809431345354</v>
          </cell>
          <cell r="I999">
            <v>1471.1654320987655</v>
          </cell>
          <cell r="J999">
            <v>1568.2944444444443</v>
          </cell>
          <cell r="K999">
            <v>1718.8179012345679</v>
          </cell>
          <cell r="L999">
            <v>1825.6584086687024</v>
          </cell>
          <cell r="M999">
            <v>1911.6561736544452</v>
          </cell>
          <cell r="N999">
            <v>1986.9563635443931</v>
          </cell>
          <cell r="O999">
            <v>2036.7478762031287</v>
          </cell>
        </row>
        <row r="1000">
          <cell r="B1000" t="str">
            <v>Sweden</v>
          </cell>
          <cell r="C1000">
            <v>0</v>
          </cell>
          <cell r="D1000">
            <v>0</v>
          </cell>
          <cell r="E1000">
            <v>711</v>
          </cell>
          <cell r="F1000">
            <v>987</v>
          </cell>
          <cell r="G1000">
            <v>1330</v>
          </cell>
          <cell r="H1000">
            <v>1864</v>
          </cell>
          <cell r="I1000">
            <v>2375</v>
          </cell>
          <cell r="J1000">
            <v>2736</v>
          </cell>
          <cell r="K1000">
            <v>2841</v>
          </cell>
          <cell r="L1000">
            <v>3105</v>
          </cell>
          <cell r="M1000">
            <v>3325</v>
          </cell>
          <cell r="N1000">
            <v>3501</v>
          </cell>
          <cell r="O1000">
            <v>3633</v>
          </cell>
        </row>
        <row r="1001">
          <cell r="B1001" t="str">
            <v>Norway</v>
          </cell>
          <cell r="C1001">
            <v>0</v>
          </cell>
          <cell r="D1001">
            <v>39</v>
          </cell>
          <cell r="E1001">
            <v>203</v>
          </cell>
          <cell r="F1001">
            <v>398.58699999999999</v>
          </cell>
          <cell r="G1001">
            <v>671.83299999999997</v>
          </cell>
          <cell r="H1001">
            <v>991.70600000000002</v>
          </cell>
          <cell r="I1001">
            <v>1251.104</v>
          </cell>
          <cell r="J1001">
            <v>1451</v>
          </cell>
          <cell r="K1001">
            <v>1537.6</v>
          </cell>
          <cell r="L1001">
            <v>1601.98</v>
          </cell>
          <cell r="M1001">
            <v>1655.5605</v>
          </cell>
          <cell r="N1001">
            <v>1678.606094</v>
          </cell>
          <cell r="O1001">
            <v>1686.3520145800001</v>
          </cell>
        </row>
        <row r="1002">
          <cell r="B1002" t="str">
            <v>Switzerland</v>
          </cell>
          <cell r="C1002">
            <v>0</v>
          </cell>
          <cell r="D1002">
            <v>153</v>
          </cell>
          <cell r="E1002">
            <v>455</v>
          </cell>
          <cell r="F1002">
            <v>857</v>
          </cell>
          <cell r="G1002">
            <v>1290.8927272727274</v>
          </cell>
          <cell r="H1002">
            <v>1716.181818181818</v>
          </cell>
          <cell r="I1002">
            <v>2118</v>
          </cell>
          <cell r="J1002">
            <v>2352</v>
          </cell>
          <cell r="K1002">
            <v>2544.9275362318845</v>
          </cell>
          <cell r="L1002">
            <v>2815.898550724638</v>
          </cell>
          <cell r="M1002">
            <v>2887.898550724638</v>
          </cell>
          <cell r="N1002">
            <v>2923.898550724638</v>
          </cell>
          <cell r="O1002">
            <v>2956.898550724638</v>
          </cell>
        </row>
        <row r="1003">
          <cell r="B1003" t="str">
            <v>Greece</v>
          </cell>
          <cell r="C1003">
            <v>0</v>
          </cell>
          <cell r="D1003">
            <v>0</v>
          </cell>
          <cell r="E1003">
            <v>0</v>
          </cell>
          <cell r="F1003">
            <v>7</v>
          </cell>
          <cell r="G1003">
            <v>44</v>
          </cell>
          <cell r="H1003">
            <v>161</v>
          </cell>
          <cell r="I1003">
            <v>512</v>
          </cell>
          <cell r="J1003">
            <v>1135</v>
          </cell>
          <cell r="K1003">
            <v>1679.7909257099407</v>
          </cell>
          <cell r="L1003">
            <v>2081.656580981838</v>
          </cell>
          <cell r="M1003">
            <v>2352.7674734246716</v>
          </cell>
          <cell r="N1003">
            <v>2556.3628240640028</v>
          </cell>
          <cell r="O1003">
            <v>2695.4241341462694</v>
          </cell>
        </row>
        <row r="1004">
          <cell r="B1004" t="str">
            <v>Denmark</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row>
        <row r="1005">
          <cell r="B1005" t="str">
            <v>Belgium</v>
          </cell>
          <cell r="C1005">
            <v>0</v>
          </cell>
          <cell r="D1005">
            <v>431</v>
          </cell>
          <cell r="E1005">
            <v>869</v>
          </cell>
          <cell r="F1005">
            <v>1270</v>
          </cell>
          <cell r="G1005">
            <v>1613</v>
          </cell>
          <cell r="H1005">
            <v>1838</v>
          </cell>
          <cell r="I1005">
            <v>2190</v>
          </cell>
          <cell r="J1005">
            <v>2598</v>
          </cell>
          <cell r="K1005">
            <v>2835.3637633140343</v>
          </cell>
          <cell r="L1005">
            <v>2983.9898209401663</v>
          </cell>
          <cell r="M1005">
            <v>3088.267814415884</v>
          </cell>
          <cell r="N1005">
            <v>3147.8620736683424</v>
          </cell>
          <cell r="O1005">
            <v>3185.0782676218619</v>
          </cell>
        </row>
        <row r="1006">
          <cell r="B1006" t="str">
            <v>European total</v>
          </cell>
          <cell r="C1006">
            <v>1480.2227225000001</v>
          </cell>
          <cell r="D1006">
            <v>5592</v>
          </cell>
          <cell r="E1006">
            <v>12913.565517241377</v>
          </cell>
          <cell r="F1006">
            <v>23419.136350495861</v>
          </cell>
          <cell r="G1006">
            <v>38372.498310237635</v>
          </cell>
          <cell r="H1006">
            <v>55812.46368290457</v>
          </cell>
          <cell r="I1006">
            <v>73671.581145354648</v>
          </cell>
          <cell r="J1006">
            <v>89748.839523154224</v>
          </cell>
          <cell r="K1006">
            <v>101192.61805724236</v>
          </cell>
          <cell r="L1006">
            <v>110114.11586024033</v>
          </cell>
          <cell r="M1006">
            <v>117149.44358088681</v>
          </cell>
          <cell r="N1006">
            <v>123033.16898181947</v>
          </cell>
          <cell r="O1006">
            <v>127518.88196863257</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Tax Assumptions"/>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AFE"/>
      <sheetName val="HOLDING AFE"/>
      <sheetName val="OPERATIONS - STATISTICS EV"/>
      <sheetName val="OPERATIONS - STATEMENTS EV"/>
      <sheetName val="BANKS EV"/>
      <sheetName val="ROE EV"/>
      <sheetName val="OPERATIONS - BUDGET EV"/>
      <sheetName val="AFE"/>
      <sheetName val="OPERATIONS - STATISTICS"/>
      <sheetName val="OPERATIONS - STATEMENTS"/>
      <sheetName val="BANKS"/>
      <sheetName val="ROE"/>
      <sheetName val="OPERATIONS - BUDGET"/>
      <sheetName val="conso remarks"/>
      <sheetName val="CONSOLIDATION"/>
      <sheetName val="HOLDING"/>
    </sheetNames>
    <sheetDataSet>
      <sheetData sheetId="0" refreshError="1"/>
      <sheetData sheetId="1" refreshError="1"/>
      <sheetData sheetId="2" refreshError="1">
        <row r="26">
          <cell r="A26">
            <v>26</v>
          </cell>
          <cell r="D26" t="str">
            <v>Business Passed  RFS</v>
          </cell>
          <cell r="G26" t="str">
            <v>BusRFS</v>
          </cell>
          <cell r="I26">
            <v>0</v>
          </cell>
          <cell r="J26">
            <v>0</v>
          </cell>
          <cell r="K26">
            <v>0</v>
          </cell>
          <cell r="L26">
            <v>0</v>
          </cell>
          <cell r="M26">
            <v>0</v>
          </cell>
          <cell r="N26">
            <v>0</v>
          </cell>
          <cell r="O26">
            <v>0</v>
          </cell>
          <cell r="P26">
            <v>0</v>
          </cell>
          <cell r="Q26">
            <v>0</v>
          </cell>
          <cell r="R26">
            <v>0</v>
          </cell>
          <cell r="S26">
            <v>0</v>
          </cell>
          <cell r="T26">
            <v>0</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s"/>
      <sheetName val="BELG"/>
      <sheetName val="BT"/>
      <sheetName val="DT"/>
      <sheetName val="EIR"/>
      <sheetName val="FT"/>
      <sheetName val="KPN"/>
      <sheetName val="OTE"/>
      <sheetName val="PT"/>
      <sheetName val="SWISS"/>
      <sheetName val="TDC - dummy"/>
      <sheetName val="TDC"/>
      <sheetName val="TI"/>
      <sheetName val="TEF"/>
      <sheetName val="TELKA"/>
      <sheetName val="TSON"/>
      <sheetName val="TNOR"/>
      <sheetName val="George"/>
      <sheetName val="FK"/>
      <sheetName val="Aggregate"/>
      <sheetName val="Fwd mults"/>
      <sheetName val="DSL"/>
      <sheetName val="Working"/>
      <sheetName val="DSL working"/>
      <sheetName val="Multiples"/>
      <sheetName val="Graphical-Multiples"/>
      <sheetName val="GEORGE1"/>
      <sheetName val="BELG1"/>
      <sheetName val="BT1"/>
      <sheetName val="DT1"/>
      <sheetName val="EIR1"/>
      <sheetName val="FT1"/>
      <sheetName val="KPN1"/>
      <sheetName val="OTE1"/>
      <sheetName val="PT1"/>
      <sheetName val="SWISS1"/>
      <sheetName val="TDC1"/>
      <sheetName val="TI1"/>
      <sheetName val="TEF1"/>
      <sheetName val="TELKA1"/>
      <sheetName val="TNOR1"/>
      <sheetName val="TSON1"/>
      <sheetName val="BELG2"/>
      <sheetName val="BT2"/>
      <sheetName val="DT2"/>
      <sheetName val="EIR2"/>
      <sheetName val="FT2"/>
      <sheetName val="KPN2"/>
      <sheetName val="OTE2"/>
      <sheetName val="PT2"/>
      <sheetName val="SWISS2"/>
      <sheetName val="TI2"/>
      <sheetName val="TEF2"/>
      <sheetName val="TELKA2"/>
      <sheetName val="TNOR2"/>
      <sheetName val="TSON2"/>
      <sheetName val="1"/>
      <sheetName val="Debt prices"/>
      <sheetName val="Share prices"/>
      <sheetName val="DivYld"/>
      <sheetName val="TDC2"/>
      <sheetName val="Summod"/>
      <sheetName val="Multmod"/>
      <sheetName val="C1"/>
    </sheetNames>
    <sheetDataSet>
      <sheetData sheetId="0">
        <row r="20">
          <cell r="C20">
            <v>24.8</v>
          </cell>
          <cell r="D20" t="str">
            <v>Neutral</v>
          </cell>
        </row>
        <row r="21">
          <cell r="C21">
            <v>195</v>
          </cell>
          <cell r="D21" t="str">
            <v>Reduce</v>
          </cell>
        </row>
        <row r="22">
          <cell r="C22">
            <v>14.5</v>
          </cell>
          <cell r="D22" t="str">
            <v>Neutral</v>
          </cell>
        </row>
        <row r="23">
          <cell r="C23">
            <v>1.71</v>
          </cell>
          <cell r="D23" t="str">
            <v>Reduce</v>
          </cell>
        </row>
        <row r="24">
          <cell r="C24">
            <v>21.5</v>
          </cell>
          <cell r="D24" t="str">
            <v>Buy</v>
          </cell>
        </row>
        <row r="25">
          <cell r="C25">
            <v>9.5</v>
          </cell>
          <cell r="D25" t="str">
            <v>Neutral</v>
          </cell>
        </row>
        <row r="26">
          <cell r="C26">
            <v>21.4</v>
          </cell>
          <cell r="D26" t="str">
            <v>Buy</v>
          </cell>
        </row>
        <row r="27">
          <cell r="C27">
            <v>8.4</v>
          </cell>
          <cell r="D27" t="str">
            <v>Neutral</v>
          </cell>
        </row>
        <row r="28">
          <cell r="C28">
            <v>409</v>
          </cell>
          <cell r="D28" t="str">
            <v>Neutral</v>
          </cell>
        </row>
        <row r="29">
          <cell r="C29">
            <v>2.12</v>
          </cell>
          <cell r="D29" t="str">
            <v>Reduce</v>
          </cell>
        </row>
        <row r="30">
          <cell r="C30">
            <v>1.82</v>
          </cell>
          <cell r="D30" t="str">
            <v>Reduce</v>
          </cell>
        </row>
        <row r="31">
          <cell r="C31">
            <v>13.3</v>
          </cell>
          <cell r="D31" t="str">
            <v>Neutral</v>
          </cell>
        </row>
        <row r="32">
          <cell r="C32">
            <v>20</v>
          </cell>
          <cell r="D32" t="str">
            <v>Neutral</v>
          </cell>
        </row>
        <row r="33">
          <cell r="C33">
            <v>80</v>
          </cell>
          <cell r="D33" t="str">
            <v>Neutral</v>
          </cell>
        </row>
        <row r="34">
          <cell r="C34">
            <v>36</v>
          </cell>
          <cell r="D34" t="str">
            <v>Reduce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8">
          <cell r="G8" t="str">
            <v>CAGR</v>
          </cell>
          <cell r="P8" t="str">
            <v>CAGR</v>
          </cell>
        </row>
        <row r="9">
          <cell r="B9" t="str">
            <v>EV CALCULATION (€m)</v>
          </cell>
          <cell r="C9" t="str">
            <v>2005E</v>
          </cell>
          <cell r="D9" t="str">
            <v>2006E</v>
          </cell>
          <cell r="E9" t="str">
            <v>2007E</v>
          </cell>
          <cell r="F9" t="str">
            <v>2008E</v>
          </cell>
          <cell r="G9" t="str">
            <v>05E-08E</v>
          </cell>
          <cell r="I9" t="str">
            <v>FINANCIALS (€m)</v>
          </cell>
          <cell r="K9" t="str">
            <v>2004A</v>
          </cell>
          <cell r="L9" t="str">
            <v>2005E</v>
          </cell>
          <cell r="M9" t="str">
            <v>2006E</v>
          </cell>
          <cell r="N9" t="str">
            <v>2007E</v>
          </cell>
          <cell r="O9" t="str">
            <v>2008E</v>
          </cell>
          <cell r="P9" t="str">
            <v>05E-08E</v>
          </cell>
        </row>
        <row r="11">
          <cell r="B11" t="str">
            <v>Share price, €</v>
          </cell>
          <cell r="C11">
            <v>17.920000000000002</v>
          </cell>
          <cell r="I11" t="str">
            <v>Revenue</v>
          </cell>
          <cell r="K11">
            <v>46159</v>
          </cell>
          <cell r="L11">
            <v>49039</v>
          </cell>
          <cell r="M11">
            <v>52782.993077785737</v>
          </cell>
          <cell r="N11">
            <v>53321.28181243498</v>
          </cell>
          <cell r="O11">
            <v>53606.66852428823</v>
          </cell>
          <cell r="P11">
            <v>3.0130875471202856E-2</v>
          </cell>
        </row>
        <row r="12">
          <cell r="B12" t="str">
            <v>Number of shares</v>
          </cell>
          <cell r="C12">
            <v>2592.8000000000002</v>
          </cell>
          <cell r="D12">
            <v>2592.8000000000002</v>
          </cell>
          <cell r="E12">
            <v>2592.8000000000002</v>
          </cell>
          <cell r="F12">
            <v>2592.8000000000002</v>
          </cell>
          <cell r="I12" t="str">
            <v>EBITDA</v>
          </cell>
          <cell r="K12">
            <v>17922.439999999999</v>
          </cell>
          <cell r="L12">
            <v>18416</v>
          </cell>
          <cell r="M12">
            <v>19170.195272976965</v>
          </cell>
          <cell r="N12">
            <v>19654.20866583279</v>
          </cell>
          <cell r="O12">
            <v>20012.699013762693</v>
          </cell>
          <cell r="P12">
            <v>2.8103377337039825E-2</v>
          </cell>
        </row>
        <row r="13">
          <cell r="B13" t="str">
            <v>Market cap.</v>
          </cell>
          <cell r="C13">
            <v>46462.97600000001</v>
          </cell>
          <cell r="D13">
            <v>46462.97600000001</v>
          </cell>
          <cell r="E13">
            <v>46462.97600000001</v>
          </cell>
          <cell r="F13">
            <v>46462.97600000001</v>
          </cell>
          <cell r="I13" t="str">
            <v>Capex</v>
          </cell>
          <cell r="K13">
            <v>5134.4954247206952</v>
          </cell>
          <cell r="L13">
            <v>6045.0085017722004</v>
          </cell>
          <cell r="M13">
            <v>6848.7468664701919</v>
          </cell>
          <cell r="N13">
            <v>6980.7424853124912</v>
          </cell>
          <cell r="O13">
            <v>6899.5701666055738</v>
          </cell>
          <cell r="P13">
            <v>4.5061158059105821E-2</v>
          </cell>
        </row>
        <row r="14">
          <cell r="B14" t="str">
            <v>Plus: Net debt (Cash)</v>
          </cell>
          <cell r="C14">
            <v>48014</v>
          </cell>
          <cell r="D14">
            <v>44020.513922698628</v>
          </cell>
          <cell r="E14">
            <v>40268.728619064306</v>
          </cell>
          <cell r="F14">
            <v>37514.180736889568</v>
          </cell>
          <cell r="I14" t="str">
            <v>OpFCF (EBITDA - capex)</v>
          </cell>
          <cell r="K14">
            <v>12787.944575279307</v>
          </cell>
          <cell r="L14">
            <v>12370.991498227799</v>
          </cell>
          <cell r="M14">
            <v>12321.448406506774</v>
          </cell>
          <cell r="N14">
            <v>12673.4661805203</v>
          </cell>
          <cell r="O14">
            <v>13113.128847157119</v>
          </cell>
          <cell r="P14">
            <v>1.9609656747023418E-2</v>
          </cell>
        </row>
        <row r="15">
          <cell r="B15" t="str">
            <v>Plus: Other financial liabilities</v>
          </cell>
          <cell r="C15">
            <v>3502</v>
          </cell>
          <cell r="D15">
            <v>2748</v>
          </cell>
          <cell r="E15">
            <v>2243</v>
          </cell>
          <cell r="F15">
            <v>1723</v>
          </cell>
          <cell r="I15" t="str">
            <v>FCF (OpFCF * (1-tax rate))</v>
          </cell>
          <cell r="K15">
            <v>8261.012195630432</v>
          </cell>
          <cell r="L15">
            <v>7991.6605078551584</v>
          </cell>
          <cell r="M15">
            <v>7959.6556706033762</v>
          </cell>
          <cell r="N15">
            <v>8187.0591526161134</v>
          </cell>
          <cell r="O15">
            <v>8471.0812352634985</v>
          </cell>
          <cell r="P15">
            <v>1.9609656747023418E-2</v>
          </cell>
        </row>
        <row r="16">
          <cell r="B16" t="str">
            <v>Less: Associates</v>
          </cell>
          <cell r="C16">
            <v>720.22399999999993</v>
          </cell>
          <cell r="D16">
            <v>720.22399999999993</v>
          </cell>
          <cell r="E16">
            <v>720.22399999999993</v>
          </cell>
          <cell r="F16">
            <v>720.22399999999993</v>
          </cell>
          <cell r="I16" t="str">
            <v>EFCF</v>
          </cell>
          <cell r="K16">
            <v>6579.6911106216958</v>
          </cell>
          <cell r="L16">
            <v>5492.7664883380648</v>
          </cell>
          <cell r="M16">
            <v>5446.8776429017098</v>
          </cell>
          <cell r="N16">
            <v>5766.7367353266045</v>
          </cell>
          <cell r="O16">
            <v>6107.7427782355735</v>
          </cell>
          <cell r="P16">
            <v>3.6008218965299488E-2</v>
          </cell>
        </row>
        <row r="17">
          <cell r="B17" t="str">
            <v>Plus: Minorities</v>
          </cell>
          <cell r="C17">
            <v>12190.453849082591</v>
          </cell>
          <cell r="D17">
            <v>12190.453849082591</v>
          </cell>
          <cell r="E17">
            <v>12190.453849082591</v>
          </cell>
          <cell r="F17">
            <v>12190.453849082591</v>
          </cell>
          <cell r="I17" t="str">
            <v>Adj net Income</v>
          </cell>
          <cell r="K17">
            <v>3576.1865353423914</v>
          </cell>
          <cell r="L17">
            <v>4340.7749901102652</v>
          </cell>
          <cell r="M17">
            <v>4340.3223726981823</v>
          </cell>
          <cell r="N17">
            <v>4853.8693989374551</v>
          </cell>
          <cell r="O17">
            <v>5159.7098268481013</v>
          </cell>
          <cell r="P17">
            <v>5.9300884029914958E-2</v>
          </cell>
        </row>
        <row r="18">
          <cell r="B18" t="str">
            <v>Less: Cumulative dividends</v>
          </cell>
          <cell r="C18">
            <v>0</v>
          </cell>
          <cell r="D18">
            <v>0</v>
          </cell>
          <cell r="E18">
            <v>3111.36</v>
          </cell>
          <cell r="F18">
            <v>6222.72</v>
          </cell>
          <cell r="I18" t="str">
            <v>Clean EPS</v>
          </cell>
          <cell r="K18">
            <v>1.4538525633557164</v>
          </cell>
          <cell r="L18">
            <v>1.7182341725488917</v>
          </cell>
          <cell r="M18">
            <v>1.6739904245210513</v>
          </cell>
          <cell r="N18">
            <v>1.8720570036013016</v>
          </cell>
          <cell r="O18">
            <v>1.990014589188561</v>
          </cell>
          <cell r="P18">
            <v>5.0166038375178079E-2</v>
          </cell>
        </row>
        <row r="19">
          <cell r="B19" t="str">
            <v>Less: NPV YE tax credit</v>
          </cell>
          <cell r="C19">
            <v>3281.4407650610606</v>
          </cell>
          <cell r="D19">
            <v>1622.899099941344</v>
          </cell>
          <cell r="E19">
            <v>0</v>
          </cell>
          <cell r="F19">
            <v>0</v>
          </cell>
          <cell r="I19" t="str">
            <v>DPS</v>
          </cell>
          <cell r="K19">
            <v>0.48</v>
          </cell>
          <cell r="L19">
            <v>1</v>
          </cell>
          <cell r="M19">
            <v>1.2</v>
          </cell>
          <cell r="N19">
            <v>1.2</v>
          </cell>
          <cell r="O19">
            <v>1.2</v>
          </cell>
          <cell r="P19">
            <v>6.2658569182611146E-2</v>
          </cell>
        </row>
        <row r="20">
          <cell r="B20" t="str">
            <v>Enterprise Value</v>
          </cell>
          <cell r="C20">
            <v>106167.76508402154</v>
          </cell>
          <cell r="D20">
            <v>103078.82067183989</v>
          </cell>
          <cell r="E20">
            <v>97333.574468146908</v>
          </cell>
          <cell r="F20">
            <v>90947.666585972169</v>
          </cell>
          <cell r="G20">
            <v>-5.0271154838374077E-2</v>
          </cell>
          <cell r="J20" t="str">
            <v>Cash flow</v>
          </cell>
        </row>
        <row r="21">
          <cell r="J21" t="str">
            <v>OpFCF</v>
          </cell>
          <cell r="K21">
            <v>12787.944575279307</v>
          </cell>
          <cell r="L21">
            <v>12370.991498227799</v>
          </cell>
          <cell r="M21">
            <v>12321.448406506774</v>
          </cell>
          <cell r="N21">
            <v>12673.4661805203</v>
          </cell>
          <cell r="O21">
            <v>13113.128847157119</v>
          </cell>
        </row>
        <row r="22">
          <cell r="B22" t="str">
            <v>PRICE PERFORMANCE, -1Y</v>
          </cell>
          <cell r="J22" t="str">
            <v>Less: Interest payments</v>
          </cell>
          <cell r="K22">
            <v>-3313.375</v>
          </cell>
          <cell r="L22">
            <v>-2737.375</v>
          </cell>
          <cell r="M22">
            <v>-2526.3810965633361</v>
          </cell>
          <cell r="N22">
            <v>-2187.336698174674</v>
          </cell>
          <cell r="O22">
            <v>-2018.4949703489601</v>
          </cell>
        </row>
        <row r="23">
          <cell r="J23" t="str">
            <v>Less: Tax paid</v>
          </cell>
          <cell r="K23">
            <v>-769</v>
          </cell>
          <cell r="L23">
            <v>-811</v>
          </cell>
          <cell r="M23">
            <v>-956.84381508094782</v>
          </cell>
          <cell r="N23">
            <v>-1426.9324042958071</v>
          </cell>
          <cell r="O23">
            <v>-3370.5649947210491</v>
          </cell>
        </row>
        <row r="24">
          <cell r="J24" t="str">
            <v>Less: Change in WC</v>
          </cell>
          <cell r="K24">
            <v>650</v>
          </cell>
          <cell r="L24">
            <v>997</v>
          </cell>
          <cell r="M24">
            <v>346.8455831558698</v>
          </cell>
          <cell r="N24">
            <v>49.867365189164843</v>
          </cell>
          <cell r="O24">
            <v>26.438382347710899</v>
          </cell>
        </row>
        <row r="25">
          <cell r="J25" t="str">
            <v>Less: Restructuring costs</v>
          </cell>
          <cell r="K25">
            <v>-1120</v>
          </cell>
          <cell r="L25">
            <v>-830</v>
          </cell>
          <cell r="M25">
            <v>-500</v>
          </cell>
          <cell r="N25">
            <v>-400</v>
          </cell>
          <cell r="O25">
            <v>0</v>
          </cell>
        </row>
        <row r="26">
          <cell r="J26" t="str">
            <v>Less: Early retirement costs</v>
          </cell>
          <cell r="K26">
            <v>-1071</v>
          </cell>
          <cell r="L26">
            <v>-1285</v>
          </cell>
          <cell r="M26">
            <v>-1315.5784653469555</v>
          </cell>
          <cell r="N26">
            <v>-1051.8945524210226</v>
          </cell>
          <cell r="O26">
            <v>-1049.2506254178643</v>
          </cell>
        </row>
        <row r="27">
          <cell r="J27" t="str">
            <v>Less: Minority dividends</v>
          </cell>
          <cell r="K27">
            <v>-52.025129207306264</v>
          </cell>
          <cell r="L27">
            <v>-90.335445205479459</v>
          </cell>
          <cell r="M27">
            <v>-475.57953537003391</v>
          </cell>
          <cell r="N27">
            <v>-486.39958718363778</v>
          </cell>
          <cell r="O27">
            <v>-527.72375684221561</v>
          </cell>
        </row>
        <row r="28">
          <cell r="J28" t="str">
            <v>Sub total</v>
          </cell>
          <cell r="K28">
            <v>7112.5444460720009</v>
          </cell>
          <cell r="L28">
            <v>7614.2810530223196</v>
          </cell>
          <cell r="M28">
            <v>6893.9110773013699</v>
          </cell>
          <cell r="N28">
            <v>7170.7703036343228</v>
          </cell>
          <cell r="O28">
            <v>6173.5328821747407</v>
          </cell>
        </row>
        <row r="29">
          <cell r="J29" t="str">
            <v>Less: Disp/acquis/other</v>
          </cell>
          <cell r="K29">
            <v>-12312.544446072001</v>
          </cell>
          <cell r="L29">
            <v>-4524.5770530223199</v>
          </cell>
          <cell r="M29">
            <v>-307.6249999999975</v>
          </cell>
          <cell r="N29">
            <v>-307.62500000000091</v>
          </cell>
          <cell r="O29">
            <v>-307.62500000000182</v>
          </cell>
        </row>
        <row r="30">
          <cell r="J30" t="str">
            <v>Less: Dividends</v>
          </cell>
          <cell r="K30">
            <v>-556</v>
          </cell>
          <cell r="L30">
            <v>-1180.704</v>
          </cell>
          <cell r="M30">
            <v>-2592.8000000000002</v>
          </cell>
          <cell r="N30">
            <v>-3111.36</v>
          </cell>
          <cell r="O30">
            <v>-3111.36</v>
          </cell>
        </row>
        <row r="31">
          <cell r="J31" t="str">
            <v>Chg in Net debt/Cash</v>
          </cell>
          <cell r="K31">
            <v>-5756</v>
          </cell>
          <cell r="L31">
            <v>1909</v>
          </cell>
          <cell r="M31">
            <v>3993.4860773013725</v>
          </cell>
          <cell r="N31">
            <v>3751.7853036343217</v>
          </cell>
          <cell r="O31">
            <v>2754.5478821747388</v>
          </cell>
        </row>
        <row r="32">
          <cell r="J32" t="str">
            <v>Net debt (Cash)</v>
          </cell>
          <cell r="K32">
            <v>49923</v>
          </cell>
          <cell r="L32">
            <v>48014</v>
          </cell>
          <cell r="M32">
            <v>44020.513922698628</v>
          </cell>
          <cell r="N32">
            <v>40268.728619064306</v>
          </cell>
          <cell r="O32">
            <v>37514.180736889568</v>
          </cell>
        </row>
        <row r="33">
          <cell r="P33" t="str">
            <v>CAGR</v>
          </cell>
        </row>
        <row r="34">
          <cell r="I34" t="str">
            <v>DIVISIONAL (€m)</v>
          </cell>
          <cell r="K34" t="str">
            <v>2004A</v>
          </cell>
          <cell r="L34" t="str">
            <v>2005E</v>
          </cell>
          <cell r="M34" t="str">
            <v>2006E</v>
          </cell>
          <cell r="N34" t="str">
            <v>2007E</v>
          </cell>
          <cell r="O34" t="str">
            <v>2008E</v>
          </cell>
          <cell r="P34" t="str">
            <v>05E-08E</v>
          </cell>
        </row>
        <row r="36">
          <cell r="I36" t="str">
            <v>Revenues</v>
          </cell>
        </row>
        <row r="37">
          <cell r="I37" t="str">
            <v>Orange</v>
          </cell>
          <cell r="K37">
            <v>20564</v>
          </cell>
          <cell r="L37">
            <v>23535</v>
          </cell>
          <cell r="M37">
            <v>28423.104006431979</v>
          </cell>
          <cell r="N37">
            <v>29550.619686339862</v>
          </cell>
          <cell r="O37">
            <v>30467.487795326331</v>
          </cell>
          <cell r="P37">
            <v>8.9868618431717451E-2</v>
          </cell>
        </row>
        <row r="38">
          <cell r="G38" t="str">
            <v>CAGR</v>
          </cell>
          <cell r="I38" t="str">
            <v>Wanadoo</v>
          </cell>
          <cell r="K38">
            <v>978</v>
          </cell>
          <cell r="L38">
            <v>1061</v>
          </cell>
          <cell r="M38">
            <v>1114.05</v>
          </cell>
          <cell r="N38">
            <v>1158.6120000000001</v>
          </cell>
          <cell r="O38">
            <v>1204.9564800000001</v>
          </cell>
          <cell r="P38">
            <v>4.3322706280739087E-2</v>
          </cell>
        </row>
        <row r="39">
          <cell r="B39" t="str">
            <v>MULTIPLES &amp; RATIOS</v>
          </cell>
          <cell r="C39" t="str">
            <v>2005E</v>
          </cell>
          <cell r="D39" t="str">
            <v>2006E</v>
          </cell>
          <cell r="E39" t="str">
            <v>2007E</v>
          </cell>
          <cell r="F39" t="str">
            <v>2008E</v>
          </cell>
          <cell r="G39" t="str">
            <v>05E-08E</v>
          </cell>
          <cell r="I39" t="str">
            <v>Equant</v>
          </cell>
          <cell r="K39">
            <v>2050.5045941807043</v>
          </cell>
          <cell r="L39">
            <v>2025.157350689127</v>
          </cell>
          <cell r="M39">
            <v>2025.157350689127</v>
          </cell>
          <cell r="N39">
            <v>2065.6604977029097</v>
          </cell>
          <cell r="O39">
            <v>2127.6303126339972</v>
          </cell>
          <cell r="P39">
            <v>1.6589919256557284E-2</v>
          </cell>
        </row>
        <row r="40">
          <cell r="I40" t="str">
            <v>TPSA</v>
          </cell>
          <cell r="K40">
            <v>4106</v>
          </cell>
          <cell r="L40">
            <v>4562.6581569115815</v>
          </cell>
          <cell r="M40">
            <v>4556.4492713578957</v>
          </cell>
          <cell r="N40">
            <v>4575.025014726888</v>
          </cell>
          <cell r="O40">
            <v>4551.1966565514613</v>
          </cell>
          <cell r="P40">
            <v>-8.3804298314882342E-4</v>
          </cell>
        </row>
        <row r="41">
          <cell r="B41" t="str">
            <v>EV/Revenue</v>
          </cell>
          <cell r="C41">
            <v>2.1649659471853329</v>
          </cell>
          <cell r="D41">
            <v>1.9528794155332139</v>
          </cell>
          <cell r="E41">
            <v>1.825417003487112</v>
          </cell>
          <cell r="F41">
            <v>1.6965737489313553</v>
          </cell>
          <cell r="G41">
            <v>3.0130875471202856E-2</v>
          </cell>
          <cell r="I41" t="str">
            <v>Other</v>
          </cell>
          <cell r="K41">
            <v>-3979.5045941807039</v>
          </cell>
          <cell r="L41">
            <v>-4678.815507600706</v>
          </cell>
          <cell r="M41">
            <v>-5439.7139288519284</v>
          </cell>
          <cell r="N41">
            <v>-5755.682739201824</v>
          </cell>
          <cell r="O41">
            <v>-5932.3999775733719</v>
          </cell>
          <cell r="P41">
            <v>8.2342805421743215E-2</v>
          </cell>
        </row>
        <row r="42">
          <cell r="B42" t="str">
            <v>EV/EBITDA</v>
          </cell>
          <cell r="C42">
            <v>5.7649742117735414</v>
          </cell>
          <cell r="D42">
            <v>5.37703550767392</v>
          </cell>
          <cell r="E42">
            <v>4.9523018770709015</v>
          </cell>
          <cell r="F42">
            <v>4.5444977972949898</v>
          </cell>
          <cell r="G42">
            <v>2.8103377337039825E-2</v>
          </cell>
          <cell r="I42" t="str">
            <v>Domestic Fixed</v>
          </cell>
          <cell r="K42">
            <v>22440</v>
          </cell>
          <cell r="L42">
            <v>22534</v>
          </cell>
          <cell r="M42">
            <v>22103.946378158667</v>
          </cell>
          <cell r="N42">
            <v>21727.047352867143</v>
          </cell>
          <cell r="O42">
            <v>21187.797257349812</v>
          </cell>
          <cell r="P42">
            <v>-2.0323915804753567E-2</v>
          </cell>
        </row>
        <row r="43">
          <cell r="B43" t="str">
            <v>EV/OpFCF</v>
          </cell>
          <cell r="C43">
            <v>8.5819932136587891</v>
          </cell>
          <cell r="D43">
            <v>8.3658038625885496</v>
          </cell>
          <cell r="E43">
            <v>7.6801068533053005</v>
          </cell>
          <cell r="F43">
            <v>6.9356190765783037</v>
          </cell>
          <cell r="G43">
            <v>1.9609656747023418E-2</v>
          </cell>
          <cell r="I43" t="str">
            <v>Total</v>
          </cell>
          <cell r="K43">
            <v>46159</v>
          </cell>
          <cell r="L43">
            <v>49039</v>
          </cell>
          <cell r="M43">
            <v>52782.993077785737</v>
          </cell>
          <cell r="N43">
            <v>53321.28181243498</v>
          </cell>
          <cell r="O43">
            <v>53606.66852428823</v>
          </cell>
          <cell r="P43">
            <v>3.0130875471202856E-2</v>
          </cell>
        </row>
        <row r="44">
          <cell r="B44" t="str">
            <v>EV/FCF</v>
          </cell>
          <cell r="C44">
            <v>13.284819216190074</v>
          </cell>
          <cell r="D44">
            <v>12.950160778000848</v>
          </cell>
          <cell r="E44">
            <v>11.888710299234212</v>
          </cell>
          <cell r="F44">
            <v>10.736252440523689</v>
          </cell>
          <cell r="G44">
            <v>1.9609656747023418E-2</v>
          </cell>
          <cell r="I44" t="str">
            <v>% change</v>
          </cell>
          <cell r="L44">
            <v>6.2393032778006452E-2</v>
          </cell>
          <cell r="M44">
            <v>7.6347255812429626E-2</v>
          </cell>
          <cell r="N44">
            <v>1.0198147230036314E-2</v>
          </cell>
          <cell r="O44">
            <v>5.3522102648833059E-3</v>
          </cell>
        </row>
        <row r="45">
          <cell r="B45" t="str">
            <v>EV/Invested capital</v>
          </cell>
          <cell r="C45">
            <v>1.3886852545913977</v>
          </cell>
          <cell r="D45">
            <v>1.3835982611644766</v>
          </cell>
          <cell r="E45">
            <v>1.3361906575950411</v>
          </cell>
          <cell r="F45">
            <v>1.2537829530778222</v>
          </cell>
          <cell r="G45">
            <v>-1.7362237993648666E-2</v>
          </cell>
        </row>
        <row r="46">
          <cell r="B46" t="str">
            <v>EV/NFA</v>
          </cell>
          <cell r="C46">
            <v>3.7160575808197946</v>
          </cell>
          <cell r="D46">
            <v>3.4215515765408617</v>
          </cell>
          <cell r="E46">
            <v>3.0873700998764426</v>
          </cell>
          <cell r="F46">
            <v>2.7910142639302871</v>
          </cell>
          <cell r="G46">
            <v>4.4815856191086745E-2</v>
          </cell>
          <cell r="I46" t="str">
            <v>EBITDA</v>
          </cell>
        </row>
        <row r="47">
          <cell r="B47" t="str">
            <v>P/EFCF</v>
          </cell>
          <cell r="C47">
            <v>8.6811509894290921</v>
          </cell>
          <cell r="D47">
            <v>8.9203540239935304</v>
          </cell>
          <cell r="E47">
            <v>8.6194286788756731</v>
          </cell>
          <cell r="F47">
            <v>8.0530529503092509</v>
          </cell>
          <cell r="G47">
            <v>3.6008218965299488E-2</v>
          </cell>
          <cell r="I47" t="str">
            <v>Orange</v>
          </cell>
          <cell r="K47">
            <v>8076.44</v>
          </cell>
          <cell r="L47">
            <v>8471</v>
          </cell>
          <cell r="M47">
            <v>10288.030442241023</v>
          </cell>
          <cell r="N47">
            <v>10682.871762694838</v>
          </cell>
          <cell r="O47">
            <v>11150.762875800807</v>
          </cell>
          <cell r="P47">
            <v>9.5948044947088418E-2</v>
          </cell>
        </row>
        <row r="48">
          <cell r="B48" t="str">
            <v>Adjusted P/E</v>
          </cell>
          <cell r="C48">
            <v>10.429311840199764</v>
          </cell>
          <cell r="D48">
            <v>10.704959680475548</v>
          </cell>
          <cell r="E48">
            <v>9.5723580882030053</v>
          </cell>
          <cell r="F48">
            <v>9.0049591080168803</v>
          </cell>
          <cell r="G48">
            <v>5.9300884029914958E-2</v>
          </cell>
          <cell r="I48" t="str">
            <v>Wanadoo</v>
          </cell>
          <cell r="K48">
            <v>407</v>
          </cell>
          <cell r="L48">
            <v>463</v>
          </cell>
          <cell r="M48">
            <v>467.90099999999995</v>
          </cell>
          <cell r="N48">
            <v>475.03091999999998</v>
          </cell>
          <cell r="O48">
            <v>481.98259200000007</v>
          </cell>
          <cell r="P48">
            <v>1.3483744401108222E-2</v>
          </cell>
        </row>
        <row r="49">
          <cell r="B49" t="str">
            <v>Dividend yield</v>
          </cell>
          <cell r="C49">
            <v>5.5803571428571425E-2</v>
          </cell>
          <cell r="D49">
            <v>6.6964285714285712E-2</v>
          </cell>
          <cell r="E49">
            <v>6.6964285714285712E-2</v>
          </cell>
          <cell r="F49">
            <v>6.6964285714285712E-2</v>
          </cell>
          <cell r="G49">
            <v>6.2658569182611146E-2</v>
          </cell>
          <cell r="I49" t="str">
            <v>Equant</v>
          </cell>
          <cell r="K49">
            <v>107</v>
          </cell>
          <cell r="L49">
            <v>115.85</v>
          </cell>
          <cell r="M49">
            <v>127.435</v>
          </cell>
          <cell r="N49">
            <v>141.8004</v>
          </cell>
          <cell r="O49">
            <v>158.22561300000001</v>
          </cell>
          <cell r="P49">
            <v>0.10949900286827097</v>
          </cell>
        </row>
        <row r="50">
          <cell r="B50" t="str">
            <v>EFCF yield</v>
          </cell>
          <cell r="C50">
            <v>0.11519209851524125</v>
          </cell>
          <cell r="D50">
            <v>0.11210317407921805</v>
          </cell>
          <cell r="E50">
            <v>0.11601697017933224</v>
          </cell>
          <cell r="F50">
            <v>0.12417650873158587</v>
          </cell>
          <cell r="G50">
            <v>3.6008218965299488E-2</v>
          </cell>
          <cell r="I50" t="str">
            <v>TPSA</v>
          </cell>
          <cell r="K50">
            <v>1845</v>
          </cell>
          <cell r="L50">
            <v>1988.0473225404733</v>
          </cell>
          <cell r="M50">
            <v>2047.4059682550701</v>
          </cell>
          <cell r="N50">
            <v>2055.7528378400166</v>
          </cell>
          <cell r="O50">
            <v>2045.045745576582</v>
          </cell>
          <cell r="P50">
            <v>9.4669462678014238E-3</v>
          </cell>
        </row>
        <row r="51">
          <cell r="B51" t="str">
            <v>Net debt/EBITDA</v>
          </cell>
          <cell r="C51">
            <v>2.6071894005212859</v>
          </cell>
          <cell r="D51">
            <v>2.2962997140019548</v>
          </cell>
          <cell r="E51">
            <v>2.0488603384509774</v>
          </cell>
          <cell r="F51">
            <v>1.8745188098362515</v>
          </cell>
          <cell r="G51">
            <v>-0.10414221178303973</v>
          </cell>
          <cell r="I51" t="str">
            <v>Other</v>
          </cell>
          <cell r="K51">
            <v>87.000000000001819</v>
          </cell>
          <cell r="L51">
            <v>-159.8973225404734</v>
          </cell>
          <cell r="M51">
            <v>-392.65836148030758</v>
          </cell>
          <cell r="N51">
            <v>-533.08517893299904</v>
          </cell>
          <cell r="O51">
            <v>-589.23731647766908</v>
          </cell>
          <cell r="P51">
            <v>0.54460113793586928</v>
          </cell>
        </row>
        <row r="52">
          <cell r="B52" t="str">
            <v>OpFCF/Net interest</v>
          </cell>
          <cell r="C52">
            <v>4.0627229879237436</v>
          </cell>
          <cell r="D52">
            <v>4.3477141497502094</v>
          </cell>
          <cell r="E52">
            <v>5.0796235428352539</v>
          </cell>
          <cell r="F52">
            <v>5.6373398682398621</v>
          </cell>
          <cell r="G52">
            <v>0.11537011112855788</v>
          </cell>
          <cell r="I52" t="str">
            <v>Domestic Fixed</v>
          </cell>
          <cell r="K52">
            <v>7400</v>
          </cell>
          <cell r="L52">
            <v>7538</v>
          </cell>
          <cell r="M52">
            <v>6632.0812239611805</v>
          </cell>
          <cell r="N52">
            <v>6831.8379242309338</v>
          </cell>
          <cell r="O52">
            <v>6765.9195038629714</v>
          </cell>
          <cell r="P52">
            <v>-3.537858810799499E-2</v>
          </cell>
        </row>
        <row r="53">
          <cell r="I53" t="str">
            <v>Total</v>
          </cell>
          <cell r="K53">
            <v>17922.439999999999</v>
          </cell>
          <cell r="L53">
            <v>18416</v>
          </cell>
          <cell r="M53">
            <v>19170.195272976965</v>
          </cell>
          <cell r="N53">
            <v>19654.20866583279</v>
          </cell>
          <cell r="O53">
            <v>20012.699013762693</v>
          </cell>
          <cell r="P53">
            <v>2.8103377337039825E-2</v>
          </cell>
        </row>
        <row r="54">
          <cell r="B54" t="str">
            <v>BREAKDOWN OF VALUE</v>
          </cell>
          <cell r="D54" t="str">
            <v>RELATIVE VALUATION (2006)</v>
          </cell>
          <cell r="I54" t="str">
            <v>% change</v>
          </cell>
          <cell r="L54">
            <v>2.7538661030529488E-2</v>
          </cell>
          <cell r="M54">
            <v>4.0953261999183699E-2</v>
          </cell>
          <cell r="N54">
            <v>2.5248224442351308E-2</v>
          </cell>
          <cell r="O54">
            <v>1.8239876966051893E-2</v>
          </cell>
        </row>
        <row r="55">
          <cell r="I55" t="str">
            <v>EBITDA margin</v>
          </cell>
          <cell r="K55">
            <v>0.38827617582703261</v>
          </cell>
          <cell r="L55">
            <v>0.37553783723159118</v>
          </cell>
          <cell r="M55">
            <v>0.36318886359335578</v>
          </cell>
          <cell r="N55">
            <v>0.36859970349117266</v>
          </cell>
          <cell r="O55">
            <v>0.37332480388508554</v>
          </cell>
        </row>
        <row r="57">
          <cell r="I57" t="str">
            <v>Capex</v>
          </cell>
        </row>
        <row r="58">
          <cell r="I58" t="str">
            <v>Orange</v>
          </cell>
          <cell r="K58">
            <v>2695.4954247206952</v>
          </cell>
          <cell r="L58">
            <v>3130.0085017722004</v>
          </cell>
          <cell r="M58">
            <v>3958.4253509016535</v>
          </cell>
          <cell r="N58">
            <v>4095.7227456679848</v>
          </cell>
          <cell r="O58">
            <v>4006.8112079290559</v>
          </cell>
          <cell r="P58">
            <v>8.5803209174003747E-2</v>
          </cell>
        </row>
        <row r="59">
          <cell r="I59" t="str">
            <v>Wanadoo</v>
          </cell>
          <cell r="K59">
            <v>8</v>
          </cell>
          <cell r="L59">
            <v>12</v>
          </cell>
          <cell r="M59">
            <v>15.6</v>
          </cell>
          <cell r="N59">
            <v>15.6</v>
          </cell>
          <cell r="O59">
            <v>15.6</v>
          </cell>
          <cell r="P59">
            <v>9.1392883061105934E-2</v>
          </cell>
        </row>
        <row r="60">
          <cell r="I60" t="str">
            <v>Equant</v>
          </cell>
          <cell r="K60">
            <v>189</v>
          </cell>
          <cell r="L60">
            <v>222.76730857580398</v>
          </cell>
          <cell r="M60">
            <v>222.76730857580398</v>
          </cell>
          <cell r="N60">
            <v>227.22265474732006</v>
          </cell>
          <cell r="O60">
            <v>234.03933438973968</v>
          </cell>
          <cell r="P60">
            <v>1.6589919256557284E-2</v>
          </cell>
        </row>
        <row r="61">
          <cell r="I61" t="str">
            <v>TPSA</v>
          </cell>
          <cell r="K61">
            <v>727.54566412484473</v>
          </cell>
          <cell r="L61">
            <v>764.92061021170616</v>
          </cell>
          <cell r="M61">
            <v>747.71056837323817</v>
          </cell>
          <cell r="N61">
            <v>754.92404966509184</v>
          </cell>
          <cell r="O61">
            <v>739.76648033202264</v>
          </cell>
          <cell r="P61">
            <v>-1.1083942620427556E-2</v>
          </cell>
        </row>
        <row r="62">
          <cell r="I62" t="str">
            <v>Other</v>
          </cell>
          <cell r="K62">
            <v>-536.54566412484473</v>
          </cell>
          <cell r="L62">
            <v>-621.68791878750972</v>
          </cell>
          <cell r="M62">
            <v>-612.84774297681361</v>
          </cell>
          <cell r="N62">
            <v>-626.26674084719752</v>
          </cell>
          <cell r="O62">
            <v>-615.61013416595915</v>
          </cell>
          <cell r="P62">
            <v>-3.269431881607554E-3</v>
          </cell>
        </row>
        <row r="63">
          <cell r="I63" t="str">
            <v>Domestic Fixed</v>
          </cell>
          <cell r="K63">
            <v>2051</v>
          </cell>
          <cell r="L63">
            <v>2537</v>
          </cell>
          <cell r="M63">
            <v>2517.0913815963108</v>
          </cell>
          <cell r="N63">
            <v>2513.5397760792921</v>
          </cell>
          <cell r="O63">
            <v>2518.9632781207147</v>
          </cell>
          <cell r="P63">
            <v>-2.3754612199755609E-3</v>
          </cell>
        </row>
        <row r="64">
          <cell r="I64" t="str">
            <v>Total</v>
          </cell>
          <cell r="K64">
            <v>5134.4954247206952</v>
          </cell>
          <cell r="L64">
            <v>6045.0085017722004</v>
          </cell>
          <cell r="M64">
            <v>6848.7468664701919</v>
          </cell>
          <cell r="N64">
            <v>6980.7424853124912</v>
          </cell>
          <cell r="O64">
            <v>6899.5701666055738</v>
          </cell>
          <cell r="P64">
            <v>4.5061158059105821E-2</v>
          </cell>
        </row>
        <row r="65">
          <cell r="I65" t="str">
            <v>% change</v>
          </cell>
          <cell r="L65">
            <v>0.17733253255377757</v>
          </cell>
          <cell r="M65">
            <v>0.13295901312005798</v>
          </cell>
          <cell r="N65">
            <v>1.9272959187397909E-2</v>
          </cell>
          <cell r="O65">
            <v>-1.1628035109116919E-2</v>
          </cell>
        </row>
        <row r="66">
          <cell r="I66" t="str">
            <v>Capex/sales</v>
          </cell>
          <cell r="K66">
            <v>0.11123497962955643</v>
          </cell>
          <cell r="L66">
            <v>0.12326940805832501</v>
          </cell>
          <cell r="M66">
            <v>0.129752908410807</v>
          </cell>
          <cell r="N66">
            <v>0.13091850473265484</v>
          </cell>
          <cell r="O66">
            <v>0.12870731117117457</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FRTEL 7.5 3/14/2008</v>
          </cell>
          <cell r="D71" t="str">
            <v>A3</v>
          </cell>
          <cell r="E71" t="str">
            <v>STABLE</v>
          </cell>
          <cell r="F71" t="str">
            <v>A-</v>
          </cell>
          <cell r="G71" t="str">
            <v>POS</v>
          </cell>
        </row>
        <row r="72">
          <cell r="B72" t="str">
            <v xml:space="preserve"> FRTEL 7.25 1/28/2013</v>
          </cell>
          <cell r="D72" t="str">
            <v>A3</v>
          </cell>
          <cell r="E72" t="str">
            <v>STABLE</v>
          </cell>
          <cell r="F72" t="str">
            <v>A-</v>
          </cell>
          <cell r="G72" t="str">
            <v>POS</v>
          </cell>
        </row>
        <row r="73">
          <cell r="B73" t="str">
            <v xml:space="preserve"> FRTEL 9.25 3/1/2031</v>
          </cell>
          <cell r="D73" t="str">
            <v>A3</v>
          </cell>
          <cell r="E73" t="str">
            <v>STABLE</v>
          </cell>
          <cell r="F73" t="str">
            <v>A-</v>
          </cell>
          <cell r="G73" t="str">
            <v>POS</v>
          </cell>
        </row>
        <row r="74">
          <cell r="B74" t="str">
            <v xml:space="preserve"> TPSA 6.5 3/13/2007</v>
          </cell>
          <cell r="D74" t="str">
            <v>Baa1</v>
          </cell>
          <cell r="E74" t="str">
            <v>STABLE</v>
          </cell>
          <cell r="F74" t="str">
            <v>BBB+</v>
          </cell>
          <cell r="G74" t="str">
            <v>N/A</v>
          </cell>
        </row>
        <row r="75">
          <cell r="E75" t="str">
            <v>Issue size</v>
          </cell>
          <cell r="F75" t="str">
            <v>Yld to mat</v>
          </cell>
          <cell r="G75" t="str">
            <v xml:space="preserve">Price </v>
          </cell>
        </row>
        <row r="76">
          <cell r="B76" t="str">
            <v xml:space="preserve"> FRTEL 7.5 3/14/2008</v>
          </cell>
          <cell r="E76" t="str">
            <v>€3330</v>
          </cell>
          <cell r="F76">
            <v>3.6600000000000001E-2</v>
          </cell>
          <cell r="G76">
            <v>105.26</v>
          </cell>
        </row>
        <row r="77">
          <cell r="B77" t="str">
            <v xml:space="preserve"> FRTEL 7.25 1/28/2013</v>
          </cell>
          <cell r="E77" t="str">
            <v>€3500</v>
          </cell>
          <cell r="F77">
            <v>4.41E-2</v>
          </cell>
          <cell r="G77">
            <v>115.85</v>
          </cell>
        </row>
        <row r="78">
          <cell r="B78" t="str">
            <v xml:space="preserve"> FRTEL 9.25 3/1/2031</v>
          </cell>
          <cell r="E78" t="str">
            <v>US$2494.4</v>
          </cell>
          <cell r="F78">
            <v>6.6699999999999995E-2</v>
          </cell>
          <cell r="G78">
            <v>122.02</v>
          </cell>
        </row>
        <row r="79">
          <cell r="B79" t="str">
            <v xml:space="preserve"> TPSA 6.5 3/13/2007</v>
          </cell>
          <cell r="E79" t="str">
            <v>€N/A</v>
          </cell>
          <cell r="F79" t="e">
            <v>#VALUE!</v>
          </cell>
          <cell r="G79" t="str">
            <v>N/A</v>
          </cell>
        </row>
        <row r="80">
          <cell r="E80" t="str">
            <v>OAS 12m chg</v>
          </cell>
          <cell r="F80" t="str">
            <v>12m tot ret</v>
          </cell>
          <cell r="G80" t="str">
            <v xml:space="preserve">OAS </v>
          </cell>
        </row>
        <row r="81">
          <cell r="B81" t="str">
            <v xml:space="preserve"> FRTEL 7.5 3/14/2008</v>
          </cell>
          <cell r="E81">
            <v>-20</v>
          </cell>
          <cell r="F81">
            <v>1.4190000000000001E-2</v>
          </cell>
          <cell r="G81">
            <v>39</v>
          </cell>
        </row>
        <row r="82">
          <cell r="B82" t="str">
            <v xml:space="preserve"> FRTEL 7.25 1/28/2013</v>
          </cell>
          <cell r="E82">
            <v>-3</v>
          </cell>
          <cell r="F82">
            <v>1.49E-3</v>
          </cell>
          <cell r="G82">
            <v>66</v>
          </cell>
        </row>
        <row r="83">
          <cell r="B83" t="str">
            <v xml:space="preserve"> FRTEL 9.25 3/1/2031</v>
          </cell>
          <cell r="E83">
            <v>-11</v>
          </cell>
          <cell r="F83">
            <v>145</v>
          </cell>
          <cell r="G83">
            <v>-3.5680000000000003E-2</v>
          </cell>
        </row>
        <row r="84">
          <cell r="B84" t="str">
            <v xml:space="preserve"> TPSA 6.5 3/13/2007</v>
          </cell>
          <cell r="E84" t="str">
            <v>N/A</v>
          </cell>
          <cell r="F84" t="str">
            <v>N/A</v>
          </cell>
          <cell r="G84" t="str">
            <v>N/A</v>
          </cell>
        </row>
        <row r="85">
          <cell r="B85" t="str">
            <v>Source: Merrill Lynch Index System, Bloomberg, NSR; OAS-Option Adjusted Spread; *+ / *- credit rating watchlists; Data as of 19-May-06</v>
          </cell>
        </row>
        <row r="87">
          <cell r="B87" t="str">
            <v>DEFINITIONS: OpFCF = EBITDA - capex; FCF = OpFCF * (1 - tax rate); EFCF = Clean net income + depreciation - capex. EFCF yield adjusts mkt cap. for the NPV of tax credits &amp; all other one-off cash items.</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
          <cell r="AR4" t="str">
            <v xml:space="preserve"> France Telecom (Buy) TP: €21.5  (+20.0%)</v>
          </cell>
        </row>
        <row r="11">
          <cell r="E11" t="str">
            <v>Method</v>
          </cell>
          <cell r="F11" t="str">
            <v>Driver</v>
          </cell>
          <cell r="H11" t="str">
            <v>Multiple</v>
          </cell>
          <cell r="J11" t="str">
            <v>100% EV</v>
          </cell>
          <cell r="L11" t="str">
            <v>06E net debt</v>
          </cell>
          <cell r="N11" t="str">
            <v>100% equity</v>
          </cell>
          <cell r="P11" t="str">
            <v>Ownership</v>
          </cell>
          <cell r="R11" t="str">
            <v>FT equity</v>
          </cell>
          <cell r="T11" t="str">
            <v>Minority</v>
          </cell>
          <cell r="V11" t="str">
            <v>% of equity</v>
          </cell>
          <cell r="X11" t="str">
            <v>Per share</v>
          </cell>
        </row>
        <row r="13">
          <cell r="B13" t="str">
            <v>Dom. wireline (inc Wanadoo)</v>
          </cell>
          <cell r="E13" t="str">
            <v>DCF, 12.3x 06E FCF</v>
          </cell>
          <cell r="F13">
            <v>2604.1294973490367</v>
          </cell>
          <cell r="G13" t="str">
            <v>x</v>
          </cell>
          <cell r="H13">
            <v>12.285736044595584</v>
          </cell>
          <cell r="I13" t="str">
            <v>=</v>
          </cell>
          <cell r="J13">
            <v>31993.647630375639</v>
          </cell>
          <cell r="K13" t="str">
            <v>-</v>
          </cell>
          <cell r="L13">
            <v>43685.513922698628</v>
          </cell>
          <cell r="M13" t="str">
            <v>=</v>
          </cell>
          <cell r="N13">
            <v>-11691.866292322989</v>
          </cell>
          <cell r="O13" t="str">
            <v>x</v>
          </cell>
          <cell r="P13">
            <v>1</v>
          </cell>
          <cell r="Q13" t="str">
            <v>=</v>
          </cell>
          <cell r="R13">
            <v>-11691.866292322989</v>
          </cell>
          <cell r="T13">
            <v>0</v>
          </cell>
          <cell r="V13">
            <v>-0.20775615145574897</v>
          </cell>
          <cell r="X13">
            <v>-4.7171152583374942</v>
          </cell>
        </row>
        <row r="14">
          <cell r="B14" t="str">
            <v>Orange France</v>
          </cell>
          <cell r="E14" t="str">
            <v>DCF, 9.2x 06E OpFCF</v>
          </cell>
          <cell r="F14">
            <v>2732.256778333518</v>
          </cell>
          <cell r="G14" t="str">
            <v>x</v>
          </cell>
          <cell r="H14">
            <v>9.1787381506875896</v>
          </cell>
          <cell r="I14" t="str">
            <v>=</v>
          </cell>
          <cell r="J14">
            <v>25078.669528764625</v>
          </cell>
          <cell r="K14" t="str">
            <v>-</v>
          </cell>
          <cell r="M14" t="str">
            <v>=</v>
          </cell>
          <cell r="N14">
            <v>25078.669528764625</v>
          </cell>
          <cell r="O14" t="str">
            <v>x</v>
          </cell>
          <cell r="P14">
            <v>1</v>
          </cell>
          <cell r="Q14" t="str">
            <v>=</v>
          </cell>
          <cell r="R14">
            <v>25078.669528764625</v>
          </cell>
          <cell r="T14">
            <v>0</v>
          </cell>
          <cell r="V14">
            <v>0.44563012736023228</v>
          </cell>
          <cell r="X14">
            <v>10.11805743712752</v>
          </cell>
        </row>
        <row r="15">
          <cell r="B15" t="str">
            <v>Orange UK</v>
          </cell>
          <cell r="E15" t="str">
            <v>DCF, 12.1x 06E OpFCF</v>
          </cell>
          <cell r="F15">
            <v>1052.8228797724146</v>
          </cell>
          <cell r="G15" t="str">
            <v>x</v>
          </cell>
          <cell r="H15">
            <v>12.129870084929683</v>
          </cell>
          <cell r="I15" t="str">
            <v>=</v>
          </cell>
          <cell r="J15">
            <v>12770.604754080932</v>
          </cell>
          <cell r="K15" t="str">
            <v>-</v>
          </cell>
          <cell r="M15" t="str">
            <v>=</v>
          </cell>
          <cell r="N15">
            <v>12770.604754080932</v>
          </cell>
          <cell r="O15" t="str">
            <v>x</v>
          </cell>
          <cell r="P15">
            <v>1</v>
          </cell>
          <cell r="Q15" t="str">
            <v>=</v>
          </cell>
          <cell r="R15">
            <v>12770.604754080932</v>
          </cell>
          <cell r="T15">
            <v>0</v>
          </cell>
          <cell r="V15">
            <v>0.22692456697118135</v>
          </cell>
          <cell r="X15">
            <v>5.1523352249783292</v>
          </cell>
        </row>
        <row r="16">
          <cell r="B16" t="str">
            <v>Orange Spain</v>
          </cell>
          <cell r="E16" t="str">
            <v>DCF, 17.2x 06E OpFCF</v>
          </cell>
          <cell r="F16">
            <v>480.07857434203106</v>
          </cell>
          <cell r="G16" t="str">
            <v>x</v>
          </cell>
          <cell r="H16">
            <v>17.213236522917306</v>
          </cell>
          <cell r="I16" t="str">
            <v>=</v>
          </cell>
          <cell r="J16">
            <v>8263.7060497343209</v>
          </cell>
          <cell r="K16" t="str">
            <v>-</v>
          </cell>
          <cell r="L16">
            <v>4188.8888888888914</v>
          </cell>
          <cell r="M16" t="str">
            <v>=</v>
          </cell>
          <cell r="N16">
            <v>4074.8171608454295</v>
          </cell>
          <cell r="O16" t="str">
            <v>x</v>
          </cell>
          <cell r="P16">
            <v>0.77500000000000002</v>
          </cell>
          <cell r="Q16" t="str">
            <v>=</v>
          </cell>
          <cell r="R16">
            <v>3157.9832996552082</v>
          </cell>
          <cell r="T16">
            <v>916.83386119022134</v>
          </cell>
          <cell r="V16">
            <v>7.2406603878027095E-2</v>
          </cell>
          <cell r="X16">
            <v>1.6439960673327592</v>
          </cell>
        </row>
        <row r="17">
          <cell r="B17" t="str">
            <v>Orange RoW</v>
          </cell>
          <cell r="E17" t="str">
            <v>DCF, 13.5x 06E OpFCF</v>
          </cell>
          <cell r="F17">
            <v>1136.1400000000001</v>
          </cell>
          <cell r="G17" t="str">
            <v>x</v>
          </cell>
          <cell r="H17">
            <v>13.549046363112607</v>
          </cell>
          <cell r="I17" t="str">
            <v>=</v>
          </cell>
          <cell r="J17">
            <v>15393.613534986758</v>
          </cell>
          <cell r="K17" t="str">
            <v>-</v>
          </cell>
          <cell r="M17" t="str">
            <v>=</v>
          </cell>
          <cell r="N17">
            <v>15393.613534986758</v>
          </cell>
          <cell r="O17" t="str">
            <v>x</v>
          </cell>
          <cell r="P17">
            <v>0.77076286174965536</v>
          </cell>
          <cell r="Q17" t="str">
            <v>=</v>
          </cell>
          <cell r="R17">
            <v>11864.825620894622</v>
          </cell>
          <cell r="T17">
            <v>3528.7879140921359</v>
          </cell>
          <cell r="V17">
            <v>0.27353356812897323</v>
          </cell>
          <cell r="X17">
            <v>6.2105952524034089</v>
          </cell>
        </row>
        <row r="18">
          <cell r="B18" t="str">
            <v>Pages Jaunes</v>
          </cell>
          <cell r="E18" t="str">
            <v>NSR Value</v>
          </cell>
          <cell r="F18">
            <v>274.05</v>
          </cell>
          <cell r="G18" t="str">
            <v>x</v>
          </cell>
          <cell r="H18">
            <v>22</v>
          </cell>
          <cell r="I18" t="str">
            <v>=</v>
          </cell>
          <cell r="J18">
            <v>4763.1000000000004</v>
          </cell>
          <cell r="K18" t="str">
            <v>-</v>
          </cell>
          <cell r="L18">
            <v>-1266</v>
          </cell>
          <cell r="M18" t="str">
            <v>=</v>
          </cell>
          <cell r="N18">
            <v>6029.1</v>
          </cell>
          <cell r="O18" t="str">
            <v>x</v>
          </cell>
          <cell r="P18">
            <v>0.55300000000000005</v>
          </cell>
          <cell r="Q18" t="str">
            <v>=</v>
          </cell>
          <cell r="R18">
            <v>3334.0923000000007</v>
          </cell>
          <cell r="T18">
            <v>2695.0076999999997</v>
          </cell>
          <cell r="V18">
            <v>0.10713282049456177</v>
          </cell>
          <cell r="X18">
            <v>2.4324567945766353</v>
          </cell>
        </row>
        <row r="19">
          <cell r="B19" t="str">
            <v>TPSA</v>
          </cell>
          <cell r="E19" t="str">
            <v>NSR Value</v>
          </cell>
          <cell r="F19">
            <v>1400</v>
          </cell>
          <cell r="G19" t="str">
            <v>x</v>
          </cell>
          <cell r="H19">
            <v>25</v>
          </cell>
          <cell r="I19" t="str">
            <v>=</v>
          </cell>
          <cell r="J19">
            <v>10580.383284667641</v>
          </cell>
          <cell r="K19" t="str">
            <v>-</v>
          </cell>
          <cell r="L19">
            <v>1601</v>
          </cell>
          <cell r="M19" t="str">
            <v>=</v>
          </cell>
          <cell r="N19">
            <v>8979.3832846676414</v>
          </cell>
          <cell r="O19" t="str">
            <v>x</v>
          </cell>
          <cell r="P19">
            <v>0.47499999999999998</v>
          </cell>
          <cell r="Q19" t="str">
            <v>=</v>
          </cell>
          <cell r="R19">
            <v>4265.2070602171298</v>
          </cell>
          <cell r="T19">
            <v>4714.1762244505117</v>
          </cell>
          <cell r="V19">
            <v>0.15955725690205283</v>
          </cell>
          <cell r="X19">
            <v>3.6227566107541205</v>
          </cell>
        </row>
        <row r="20">
          <cell r="B20" t="str">
            <v>Equant</v>
          </cell>
          <cell r="E20" t="str">
            <v>NSR Value</v>
          </cell>
          <cell r="F20">
            <v>292.7</v>
          </cell>
          <cell r="G20" t="str">
            <v>x</v>
          </cell>
          <cell r="H20">
            <v>4.5</v>
          </cell>
          <cell r="I20" t="str">
            <v>=</v>
          </cell>
          <cell r="J20">
            <v>1317.1499999999999</v>
          </cell>
          <cell r="K20" t="str">
            <v>-</v>
          </cell>
          <cell r="M20" t="str">
            <v>=</v>
          </cell>
          <cell r="N20">
            <v>1317.1499999999999</v>
          </cell>
          <cell r="O20" t="str">
            <v>x</v>
          </cell>
          <cell r="P20">
            <v>1</v>
          </cell>
          <cell r="Q20" t="str">
            <v>=</v>
          </cell>
          <cell r="R20">
            <v>1317.1499999999999</v>
          </cell>
          <cell r="T20">
            <v>0</v>
          </cell>
          <cell r="V20">
            <v>2.3404819046692209E-2</v>
          </cell>
          <cell r="X20">
            <v>0.53140775024076803</v>
          </cell>
        </row>
        <row r="21">
          <cell r="B21" t="str">
            <v>Other wireline</v>
          </cell>
          <cell r="E21" t="str">
            <v>DCF, 5.0x 06E EBITDA</v>
          </cell>
          <cell r="F21">
            <v>335.64814934972196</v>
          </cell>
          <cell r="G21" t="str">
            <v>x</v>
          </cell>
          <cell r="H21">
            <v>5</v>
          </cell>
          <cell r="I21" t="str">
            <v>=</v>
          </cell>
          <cell r="J21">
            <v>1678.2407467486098</v>
          </cell>
          <cell r="K21" t="str">
            <v>-</v>
          </cell>
          <cell r="M21" t="str">
            <v>=</v>
          </cell>
          <cell r="N21">
            <v>1678.2407467486098</v>
          </cell>
          <cell r="O21" t="str">
            <v>x</v>
          </cell>
          <cell r="P21">
            <v>0.8</v>
          </cell>
          <cell r="Q21" t="str">
            <v>=</v>
          </cell>
          <cell r="R21">
            <v>1342.5925973988878</v>
          </cell>
          <cell r="T21">
            <v>335.64814934972196</v>
          </cell>
          <cell r="V21">
            <v>2.9821144891953706E-2</v>
          </cell>
          <cell r="X21">
            <v>0.67709079420875784</v>
          </cell>
        </row>
        <row r="22">
          <cell r="B22" t="str">
            <v>International DSL</v>
          </cell>
          <cell r="E22" t="str">
            <v>DCF</v>
          </cell>
          <cell r="J22">
            <v>1037</v>
          </cell>
          <cell r="K22" t="str">
            <v>-</v>
          </cell>
          <cell r="M22" t="str">
            <v>=</v>
          </cell>
          <cell r="N22">
            <v>1037</v>
          </cell>
          <cell r="O22" t="str">
            <v>x</v>
          </cell>
          <cell r="P22">
            <v>1</v>
          </cell>
          <cell r="Q22" t="str">
            <v>=</v>
          </cell>
          <cell r="R22">
            <v>1037</v>
          </cell>
          <cell r="T22">
            <v>0</v>
          </cell>
          <cell r="V22">
            <v>1.8426752724761662E-2</v>
          </cell>
          <cell r="X22">
            <v>0.41838047071303686</v>
          </cell>
        </row>
        <row r="23">
          <cell r="B23" t="str">
            <v>Total</v>
          </cell>
          <cell r="J23">
            <v>112876.11552935852</v>
          </cell>
          <cell r="L23">
            <v>44020.513922698628</v>
          </cell>
          <cell r="N23">
            <v>64666.712717771006</v>
          </cell>
          <cell r="R23">
            <v>52476.258868688412</v>
          </cell>
          <cell r="T23">
            <v>12190.453849082591</v>
          </cell>
          <cell r="V23">
            <v>1.1490815089426871</v>
          </cell>
          <cell r="X23">
            <v>26.08996114399784</v>
          </cell>
        </row>
        <row r="25">
          <cell r="B25" t="str">
            <v>Associates</v>
          </cell>
        </row>
        <row r="26">
          <cell r="B26" t="str">
            <v>STMicroelectronics</v>
          </cell>
          <cell r="E26" t="str">
            <v>Mkt value</v>
          </cell>
          <cell r="F26">
            <v>900</v>
          </cell>
          <cell r="G26" t="str">
            <v>x</v>
          </cell>
          <cell r="H26">
            <v>15.16</v>
          </cell>
          <cell r="I26" t="str">
            <v>=</v>
          </cell>
          <cell r="N26">
            <v>13644</v>
          </cell>
          <cell r="O26" t="str">
            <v>x</v>
          </cell>
          <cell r="P26">
            <v>2.9333333333333333E-2</v>
          </cell>
          <cell r="Q26" t="str">
            <v>=</v>
          </cell>
          <cell r="R26">
            <v>400.22399999999999</v>
          </cell>
          <cell r="T26" t="str">
            <v>BREAKDOWN OF VALUE</v>
          </cell>
        </row>
        <row r="27">
          <cell r="B27" t="str">
            <v>Satellite holding</v>
          </cell>
          <cell r="E27" t="str">
            <v>Eutelsat, Inmarsat etc</v>
          </cell>
          <cell r="R27">
            <v>320</v>
          </cell>
        </row>
        <row r="28">
          <cell r="B28" t="str">
            <v>Total</v>
          </cell>
          <cell r="R28">
            <v>720.22399999999993</v>
          </cell>
          <cell r="AA28">
            <v>7422.1677708592779</v>
          </cell>
          <cell r="AB28">
            <v>6662.306897139646</v>
          </cell>
          <cell r="AC28">
            <v>6795.6877506313722</v>
          </cell>
          <cell r="AE28">
            <v>5405.2875716064755</v>
          </cell>
          <cell r="AF28">
            <v>4443.7386779615636</v>
          </cell>
          <cell r="AG28">
            <v>4577.1195314532897</v>
          </cell>
        </row>
        <row r="29">
          <cell r="AA29">
            <v>3636</v>
          </cell>
          <cell r="AB29">
            <v>3887.256778333518</v>
          </cell>
          <cell r="AC29">
            <v>3907.2045137176683</v>
          </cell>
          <cell r="AE29">
            <v>2536</v>
          </cell>
          <cell r="AF29">
            <v>2732.256778333518</v>
          </cell>
          <cell r="AG29">
            <v>2752.2045137176683</v>
          </cell>
        </row>
        <row r="30">
          <cell r="B30" t="str">
            <v xml:space="preserve">Total EV </v>
          </cell>
          <cell r="J30">
            <v>112876.11552935852</v>
          </cell>
          <cell r="AA30">
            <v>1651</v>
          </cell>
          <cell r="AB30">
            <v>1766.6690336185684</v>
          </cell>
          <cell r="AC30">
            <v>1675.5900409949759</v>
          </cell>
          <cell r="AE30">
            <v>1011</v>
          </cell>
          <cell r="AF30">
            <v>1052.8228797724146</v>
          </cell>
          <cell r="AG30">
            <v>961.74388714882195</v>
          </cell>
        </row>
        <row r="31">
          <cell r="B31" t="str">
            <v>Less: end 2006E (net debt)/cash</v>
          </cell>
          <cell r="J31">
            <v>-44020.513922698628</v>
          </cell>
          <cell r="AA31">
            <v>2471</v>
          </cell>
          <cell r="AB31">
            <v>2768.258375695551</v>
          </cell>
          <cell r="AC31">
            <v>3003.7213590991032</v>
          </cell>
          <cell r="AE31">
            <v>1464</v>
          </cell>
          <cell r="AF31">
            <v>1703.0037591986372</v>
          </cell>
          <cell r="AG31">
            <v>1889.5399512232609</v>
          </cell>
        </row>
        <row r="32">
          <cell r="B32" t="str">
            <v>Plus: Tax credit</v>
          </cell>
          <cell r="J32">
            <v>1623</v>
          </cell>
          <cell r="AA32">
            <v>419.10909980000002</v>
          </cell>
          <cell r="AB32">
            <v>467.90099999999995</v>
          </cell>
          <cell r="AC32">
            <v>732.04512665202435</v>
          </cell>
          <cell r="AE32">
            <v>407.10909980000002</v>
          </cell>
          <cell r="AF32">
            <v>452.30099999999993</v>
          </cell>
          <cell r="AG32">
            <v>716.44512665202433</v>
          </cell>
        </row>
        <row r="33">
          <cell r="B33" t="str">
            <v>Less: Mobilcom IFRS debt adj and put options (accrued interest)</v>
          </cell>
          <cell r="J33">
            <v>4494</v>
          </cell>
          <cell r="AA33">
            <v>1988.0473225404733</v>
          </cell>
          <cell r="AB33">
            <v>2047.4059682550701</v>
          </cell>
          <cell r="AC33">
            <v>2055.7528378400166</v>
          </cell>
          <cell r="AE33">
            <v>1223.1267123287671</v>
          </cell>
          <cell r="AF33">
            <v>1299.6953998818319</v>
          </cell>
          <cell r="AG33">
            <v>1300.8287881749247</v>
          </cell>
        </row>
        <row r="34">
          <cell r="B34" t="str">
            <v xml:space="preserve">Less: Tax liability </v>
          </cell>
          <cell r="J34">
            <v>-1000</v>
          </cell>
          <cell r="AA34">
            <v>115.85</v>
          </cell>
          <cell r="AB34">
            <v>127.435</v>
          </cell>
          <cell r="AC34">
            <v>141.8004</v>
          </cell>
          <cell r="AE34">
            <v>-106.91730857580397</v>
          </cell>
          <cell r="AF34">
            <v>-95.332308575803978</v>
          </cell>
          <cell r="AG34">
            <v>-85.422254747320068</v>
          </cell>
        </row>
        <row r="35">
          <cell r="B35" t="str">
            <v xml:space="preserve">Less: Mobilcom perpetual convertible liability </v>
          </cell>
          <cell r="J35">
            <v>-3477.5</v>
          </cell>
          <cell r="AA35">
            <v>521.41039639460041</v>
          </cell>
          <cell r="AB35">
            <v>338.13407500469162</v>
          </cell>
          <cell r="AC35">
            <v>338.72670263322277</v>
          </cell>
          <cell r="AE35">
            <v>300.5409155132445</v>
          </cell>
          <cell r="AF35">
            <v>123.64626143049819</v>
          </cell>
          <cell r="AG35">
            <v>123.86296893235905</v>
          </cell>
        </row>
        <row r="36">
          <cell r="B36" t="str">
            <v xml:space="preserve">Less: Future early retirement liability </v>
          </cell>
          <cell r="J36">
            <v>-2748</v>
          </cell>
          <cell r="AA36">
            <v>18416</v>
          </cell>
          <cell r="AB36">
            <v>19170.195272976965</v>
          </cell>
          <cell r="AC36">
            <v>19654.20866583279</v>
          </cell>
          <cell r="AE36">
            <v>12370.991498227799</v>
          </cell>
          <cell r="AF36">
            <v>12321.448406506774</v>
          </cell>
          <cell r="AG36">
            <v>12673.4661805203</v>
          </cell>
        </row>
        <row r="37">
          <cell r="B37" t="str">
            <v xml:space="preserve">Less: minorities </v>
          </cell>
          <cell r="J37">
            <v>-12190.453849082591</v>
          </cell>
        </row>
        <row r="38">
          <cell r="B38" t="str">
            <v xml:space="preserve">Plus: associates </v>
          </cell>
          <cell r="J38">
            <v>720.22399999999993</v>
          </cell>
        </row>
        <row r="39">
          <cell r="B39" t="str">
            <v xml:space="preserve">Group equity value </v>
          </cell>
          <cell r="J39">
            <v>56276.87175757729</v>
          </cell>
        </row>
        <row r="40">
          <cell r="B40" t="str">
            <v xml:space="preserve">Number of shares </v>
          </cell>
          <cell r="J40">
            <v>2592.8000000000002</v>
          </cell>
        </row>
        <row r="41">
          <cell r="B41" t="str">
            <v xml:space="preserve">Fair value per share </v>
          </cell>
          <cell r="J41">
            <v>21.705056987649371</v>
          </cell>
        </row>
        <row r="42">
          <cell r="B42" t="str">
            <v>Add: 2006 dividend</v>
          </cell>
          <cell r="J42">
            <v>1</v>
          </cell>
        </row>
        <row r="43">
          <cell r="B43" t="str">
            <v xml:space="preserve">Target price per share </v>
          </cell>
          <cell r="J43">
            <v>22.705056987649371</v>
          </cell>
        </row>
        <row r="44">
          <cell r="B44" t="str">
            <v xml:space="preserve">Current price </v>
          </cell>
          <cell r="J44">
            <v>17.920000000000002</v>
          </cell>
        </row>
        <row r="45">
          <cell r="B45" t="str">
            <v xml:space="preserve">% upside/downside to current price </v>
          </cell>
          <cell r="J45">
            <v>0.26702326940007648</v>
          </cell>
        </row>
        <row r="47">
          <cell r="B47" t="str">
            <v>EUR/PLN</v>
          </cell>
          <cell r="D47">
            <v>3.8978178000000003</v>
          </cell>
        </row>
        <row r="48">
          <cell r="B48" t="str">
            <v>EUR/US$</v>
          </cell>
          <cell r="D48">
            <v>0.80968381846888793</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45">
          <cell r="D45">
            <v>0</v>
          </cell>
          <cell r="E45">
            <v>0</v>
          </cell>
          <cell r="F45">
            <v>0</v>
          </cell>
          <cell r="G45">
            <v>0</v>
          </cell>
        </row>
        <row r="46">
          <cell r="D46">
            <v>2592.8000000000002</v>
          </cell>
          <cell r="E46">
            <v>2592.8000000000002</v>
          </cell>
          <cell r="F46">
            <v>2592.8000000000002</v>
          </cell>
          <cell r="G46">
            <v>2592.8000000000002</v>
          </cell>
        </row>
        <row r="47">
          <cell r="D47">
            <v>48014</v>
          </cell>
          <cell r="E47">
            <v>44020.513922698628</v>
          </cell>
          <cell r="F47">
            <v>40268.728619064306</v>
          </cell>
          <cell r="G47">
            <v>37514.180736889568</v>
          </cell>
        </row>
        <row r="48">
          <cell r="D48">
            <v>3502</v>
          </cell>
          <cell r="E48">
            <v>2748</v>
          </cell>
          <cell r="F48">
            <v>2243</v>
          </cell>
          <cell r="G48">
            <v>1723</v>
          </cell>
        </row>
        <row r="49">
          <cell r="D49">
            <v>0</v>
          </cell>
          <cell r="E49">
            <v>0</v>
          </cell>
          <cell r="F49">
            <v>3111.36</v>
          </cell>
          <cell r="G49">
            <v>6222.72</v>
          </cell>
        </row>
        <row r="50">
          <cell r="D50">
            <v>3281.4407650610606</v>
          </cell>
          <cell r="E50">
            <v>1622.899099941344</v>
          </cell>
          <cell r="F50">
            <v>0</v>
          </cell>
          <cell r="G50">
            <v>0</v>
          </cell>
        </row>
        <row r="51">
          <cell r="D51">
            <v>1220.5592349389394</v>
          </cell>
          <cell r="E51">
            <v>2125.100900058656</v>
          </cell>
          <cell r="F51">
            <v>3243</v>
          </cell>
          <cell r="G51">
            <v>2723</v>
          </cell>
        </row>
        <row r="52">
          <cell r="C52">
            <v>46159</v>
          </cell>
          <cell r="D52">
            <v>49039</v>
          </cell>
          <cell r="E52">
            <v>52782.993077785737</v>
          </cell>
          <cell r="F52">
            <v>53321.28181243498</v>
          </cell>
          <cell r="G52">
            <v>53606.66852428823</v>
          </cell>
        </row>
        <row r="53">
          <cell r="C53">
            <v>17922.439999999999</v>
          </cell>
          <cell r="D53">
            <v>18416</v>
          </cell>
          <cell r="E53">
            <v>19170.195272976965</v>
          </cell>
          <cell r="F53">
            <v>19654.20866583279</v>
          </cell>
          <cell r="G53">
            <v>20012.699013762693</v>
          </cell>
        </row>
        <row r="54">
          <cell r="C54">
            <v>12787.944575279307</v>
          </cell>
          <cell r="D54">
            <v>12370.991498227799</v>
          </cell>
          <cell r="E54">
            <v>12321.448406506774</v>
          </cell>
          <cell r="F54">
            <v>12673.4661805203</v>
          </cell>
          <cell r="G54">
            <v>13113.128847157119</v>
          </cell>
        </row>
        <row r="55">
          <cell r="C55">
            <v>8261.012195630432</v>
          </cell>
          <cell r="D55">
            <v>7991.6605078551584</v>
          </cell>
          <cell r="E55">
            <v>7959.6556706033762</v>
          </cell>
          <cell r="F55">
            <v>8187.0591526161134</v>
          </cell>
          <cell r="G55">
            <v>8471.0812352634985</v>
          </cell>
        </row>
        <row r="56">
          <cell r="C56">
            <v>67606</v>
          </cell>
          <cell r="D56">
            <v>76452</v>
          </cell>
          <cell r="E56">
            <v>74500.542220315998</v>
          </cell>
          <cell r="F56">
            <v>72844.076490801031</v>
          </cell>
          <cell r="G56">
            <v>72538.60515706586</v>
          </cell>
        </row>
        <row r="57">
          <cell r="C57">
            <v>27283</v>
          </cell>
          <cell r="D57">
            <v>28570</v>
          </cell>
          <cell r="E57">
            <v>30126.338406989926</v>
          </cell>
          <cell r="F57">
            <v>31526.370768455075</v>
          </cell>
          <cell r="G57">
            <v>32585.88383489674</v>
          </cell>
        </row>
        <row r="58">
          <cell r="C58">
            <v>6579.6911106216958</v>
          </cell>
          <cell r="D58">
            <v>5492.7664883380648</v>
          </cell>
          <cell r="E58">
            <v>5446.8776429017098</v>
          </cell>
          <cell r="F58">
            <v>5766.7367353266045</v>
          </cell>
          <cell r="G58">
            <v>6107.7427782355735</v>
          </cell>
        </row>
        <row r="59">
          <cell r="C59">
            <v>3576.1865353423914</v>
          </cell>
          <cell r="D59">
            <v>4340.7749901102652</v>
          </cell>
          <cell r="E59">
            <v>4340.3223726981823</v>
          </cell>
          <cell r="F59">
            <v>4853.8693989374551</v>
          </cell>
          <cell r="G59">
            <v>5159.7098268481013</v>
          </cell>
        </row>
        <row r="60">
          <cell r="C60">
            <v>1180.704</v>
          </cell>
          <cell r="D60">
            <v>2592.8000000000002</v>
          </cell>
          <cell r="E60">
            <v>3111.36</v>
          </cell>
          <cell r="F60">
            <v>3111.36</v>
          </cell>
          <cell r="G60">
            <v>3111.36</v>
          </cell>
        </row>
        <row r="61">
          <cell r="C61">
            <v>3621</v>
          </cell>
          <cell r="D61">
            <v>3045</v>
          </cell>
          <cell r="E61">
            <v>2834.0060965633361</v>
          </cell>
          <cell r="F61">
            <v>2494.961698174674</v>
          </cell>
          <cell r="G61">
            <v>2326.1199703489601</v>
          </cell>
        </row>
      </sheetData>
      <sheetData sheetId="6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ources and Uses"/>
      <sheetName val="Summary"/>
      <sheetName val="P&amp;L conso"/>
      <sheetName val="BS conso"/>
      <sheetName val="Cash Flow"/>
      <sheetName val="Fleet &amp; Costs"/>
      <sheetName val="WC Capital"/>
      <sheetName val="Sat. performance inc."/>
      <sheetName val="Capex &amp; Sat. performance incent"/>
      <sheetName val="Indebtedness"/>
      <sheetName val="Benchmark"/>
      <sheetName val="Benchmark Mdt vs Euro"/>
      <sheetName val="Cash Flow to FC1"/>
      <sheetName val="To FC1 (2)"/>
      <sheetName val="Debt Repayment profile to FC1"/>
      <sheetName val="Feuil1"/>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S BELGIUM 2008 2009"/>
      <sheetName val="CPE BELGIUM 2008 2009"/>
      <sheetName val="STATS LUX 2008 2009"/>
      <sheetName val="CPE LUX 2008 2009"/>
      <sheetName val="capexes bel"/>
      <sheetName val="check arpu "/>
      <sheetName val="capex lux"/>
    </sheetNames>
    <sheetDataSet>
      <sheetData sheetId="0" refreshError="1"/>
      <sheetData sheetId="1" refreshError="1"/>
      <sheetData sheetId="2" refreshError="1">
        <row r="9">
          <cell r="A9">
            <v>9</v>
          </cell>
          <cell r="D9" t="str">
            <v>Vat5</v>
          </cell>
          <cell r="F9">
            <v>0.15</v>
          </cell>
          <cell r="K9">
            <v>0.15</v>
          </cell>
          <cell r="L9">
            <v>0.15</v>
          </cell>
          <cell r="M9">
            <v>0.15</v>
          </cell>
          <cell r="N9">
            <v>0.15</v>
          </cell>
          <cell r="O9">
            <v>0.15</v>
          </cell>
          <cell r="P9">
            <v>0.15</v>
          </cell>
          <cell r="Q9">
            <v>0.15</v>
          </cell>
          <cell r="R9">
            <v>0.15</v>
          </cell>
          <cell r="S9">
            <v>0.15</v>
          </cell>
          <cell r="T9">
            <v>0.15</v>
          </cell>
          <cell r="U9">
            <v>0.15</v>
          </cell>
          <cell r="V9">
            <v>0.15</v>
          </cell>
          <cell r="W9">
            <v>0.15</v>
          </cell>
          <cell r="X9">
            <v>0.15</v>
          </cell>
          <cell r="Y9">
            <v>0.15</v>
          </cell>
          <cell r="Z9">
            <v>0.15</v>
          </cell>
          <cell r="AA9">
            <v>0.15</v>
          </cell>
          <cell r="AB9">
            <v>0.15</v>
          </cell>
          <cell r="AC9">
            <v>0.15</v>
          </cell>
          <cell r="AD9">
            <v>0.15</v>
          </cell>
          <cell r="AE9">
            <v>0.15</v>
          </cell>
          <cell r="AF9">
            <v>0.15</v>
          </cell>
          <cell r="AG9">
            <v>0.15</v>
          </cell>
          <cell r="AH9">
            <v>0.15</v>
          </cell>
          <cell r="AK9">
            <v>0.15</v>
          </cell>
          <cell r="AL9">
            <v>0.15</v>
          </cell>
        </row>
      </sheetData>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creen Output"/>
      <sheetName val="Summary"/>
      <sheetName val="Statistics operations"/>
      <sheetName val="Financing Operations "/>
      <sheetName val="Statements operations"/>
      <sheetName val="Statements Holding"/>
      <sheetName val="Tax integration"/>
      <sheetName val="Actualisations"/>
    </sheetNames>
    <sheetDataSet>
      <sheetData sheetId="0" refreshError="1"/>
      <sheetData sheetId="1" refreshError="1"/>
      <sheetData sheetId="2" refreshError="1">
        <row r="129">
          <cell r="A129">
            <v>129</v>
          </cell>
          <cell r="D129" t="str">
            <v>Ending</v>
          </cell>
          <cell r="G129" t="str">
            <v>NbResIPTelEnd</v>
          </cell>
          <cell r="I129">
            <v>0</v>
          </cell>
          <cell r="J129">
            <v>0</v>
          </cell>
          <cell r="K129">
            <v>0</v>
          </cell>
          <cell r="L129">
            <v>0</v>
          </cell>
          <cell r="M129">
            <v>0</v>
          </cell>
          <cell r="N129">
            <v>0</v>
          </cell>
          <cell r="O129">
            <v>0</v>
          </cell>
          <cell r="P129">
            <v>0</v>
          </cell>
          <cell r="Q129">
            <v>0</v>
          </cell>
          <cell r="R129">
            <v>0</v>
          </cell>
          <cell r="S129">
            <v>0</v>
          </cell>
          <cell r="T129">
            <v>0</v>
          </cell>
        </row>
      </sheetData>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ources and Uses"/>
      <sheetName val="Summary"/>
      <sheetName val="P&amp;L conso"/>
      <sheetName val="BS conso"/>
      <sheetName val="Cash Flow"/>
      <sheetName val="Fleet &amp; Costs"/>
      <sheetName val="WC Capital"/>
      <sheetName val="Sat. performance inc."/>
      <sheetName val="Capex &amp; Sat. performance incent"/>
      <sheetName val="Indebtedness"/>
      <sheetName val="Benchmark"/>
      <sheetName val="Benchmark Mdt vs Euro"/>
      <sheetName val="Cash Flow to FC1"/>
      <sheetName val="To FC1 (2)"/>
      <sheetName val="Debt Repayment profile to FC1"/>
      <sheetName val="Feuil1"/>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onsolidated Sheets"/>
      <sheetName val="Returns Analysis"/>
      <sheetName val="Drax Comp"/>
      <sheetName val="__FDSCACHE__"/>
    </sheetNames>
    <sheetDataSet>
      <sheetData sheetId="0" refreshError="1"/>
      <sheetData sheetId="1" refreshError="1"/>
      <sheetData sheetId="2" refreshError="1"/>
      <sheetData sheetId="3" refreshError="1"/>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OUTPUT (1)"/>
      <sheetName val="OUTPUT (2)"/>
      <sheetName val="OUTPUT (3)"/>
      <sheetName val="INPUT"/>
      <sheetName val="Return Analysis"/>
      <sheetName val="Base Case"/>
      <sheetName val="Target"/>
      <sheetName val="Newco"/>
      <sheetName val="Consolidated"/>
      <sheetName val="Debt Schedule"/>
      <sheetName val="Print Control"/>
      <sheetName val="Side by side"/>
      <sheetName val="Output"/>
      <sheetName val="Revenues"/>
      <sheetName val="COGS"/>
      <sheetName val="Opex"/>
      <sheetName val="Taxes"/>
      <sheetName val="Capex"/>
      <sheetName val="Work Cap"/>
      <sheetName val="e bismedia"/>
      <sheetName val="DCF"/>
      <sheetName val="Beta3"/>
      <sheetName val="Comparison-mgmt case"/>
      <sheetName val="Charts Overall market"/>
      <sheetName val="Charts revenues analysis"/>
      <sheetName val="Charts EBITDA Margin"/>
      <sheetName val="Charts Capex Analysis"/>
      <sheetName val="Charts costs"/>
      <sheetName val="Parameters"/>
      <sheetName val="REQUEST_TABLE"/>
      <sheetName val="Datastream"/>
      <sheetName val="Datastream clean"/>
      <sheetName val="Share price analysis"/>
      <sheetName val="Forecast &amp; Analysis "/>
      <sheetName val="Market Values"/>
      <sheetName val="Output Multiples"/>
      <sheetName val="Output Multiples (3)"/>
      <sheetName val="Ratios"/>
      <sheetName val="Beta"/>
      <sheetName val="Regressions"/>
      <sheetName val="Graph Multiples"/>
      <sheetName val="Graph Margins"/>
      <sheetName val="Graph Growth Rates"/>
      <sheetName val="Synthesis"/>
      <sheetName val="Synthesis (2)"/>
      <sheetName val="Multiples"/>
    </sheetNames>
    <sheetDataSet>
      <sheetData sheetId="0"/>
      <sheetData sheetId="1"/>
      <sheetData sheetId="2" refreshError="1">
        <row r="3">
          <cell r="C3" t="str">
            <v>Operating Scenario: Base Case</v>
          </cell>
        </row>
        <row r="100">
          <cell r="D100">
            <v>0</v>
          </cell>
          <cell r="E100">
            <v>4000</v>
          </cell>
          <cell r="F100">
            <v>1000</v>
          </cell>
          <cell r="I100">
            <v>-0.4</v>
          </cell>
          <cell r="J100">
            <v>0.60000000000000009</v>
          </cell>
          <cell r="K100">
            <v>0.2</v>
          </cell>
          <cell r="N100">
            <v>500</v>
          </cell>
          <cell r="O100">
            <v>3000</v>
          </cell>
          <cell r="P100">
            <v>500</v>
          </cell>
        </row>
        <row r="107">
          <cell r="M107">
            <v>1</v>
          </cell>
          <cell r="N107">
            <v>1.59</v>
          </cell>
          <cell r="O107">
            <v>2.99</v>
          </cell>
          <cell r="P107">
            <v>5.99</v>
          </cell>
        </row>
        <row r="108">
          <cell r="M108">
            <v>0.2</v>
          </cell>
          <cell r="N108">
            <v>0.5</v>
          </cell>
          <cell r="O108">
            <v>1</v>
          </cell>
          <cell r="P108">
            <v>2</v>
          </cell>
        </row>
        <row r="110">
          <cell r="M110">
            <v>1</v>
          </cell>
          <cell r="N110">
            <v>1.99</v>
          </cell>
          <cell r="O110">
            <v>4.99</v>
          </cell>
        </row>
        <row r="111">
          <cell r="M111">
            <v>0.2</v>
          </cell>
          <cell r="N111">
            <v>0.5</v>
          </cell>
          <cell r="O111">
            <v>1</v>
          </cell>
        </row>
        <row r="138">
          <cell r="D138">
            <v>400</v>
          </cell>
          <cell r="E138">
            <v>2200</v>
          </cell>
          <cell r="F138">
            <v>200</v>
          </cell>
          <cell r="I138">
            <v>0.15000000000000002</v>
          </cell>
          <cell r="J138">
            <v>0.45</v>
          </cell>
          <cell r="K138">
            <v>0.05</v>
          </cell>
          <cell r="N138">
            <v>-0.4</v>
          </cell>
          <cell r="O138">
            <v>0.4</v>
          </cell>
          <cell r="P138">
            <v>0.2</v>
          </cell>
        </row>
        <row r="145">
          <cell r="D145">
            <v>0.25</v>
          </cell>
          <cell r="E145">
            <v>0.28000000000000003</v>
          </cell>
          <cell r="F145">
            <v>5.0000000000000001E-3</v>
          </cell>
        </row>
      </sheetData>
      <sheetData sheetId="3"/>
      <sheetData sheetId="4" refreshError="1">
        <row r="8">
          <cell r="E8">
            <v>1</v>
          </cell>
        </row>
        <row r="17">
          <cell r="E17">
            <v>1</v>
          </cell>
        </row>
        <row r="76">
          <cell r="D76">
            <v>0</v>
          </cell>
          <cell r="K76">
            <v>0</v>
          </cell>
        </row>
        <row r="83">
          <cell r="D83">
            <v>650</v>
          </cell>
        </row>
        <row r="84">
          <cell r="D84">
            <v>635</v>
          </cell>
        </row>
        <row r="85">
          <cell r="D85">
            <v>635</v>
          </cell>
        </row>
        <row r="86">
          <cell r="D86">
            <v>250</v>
          </cell>
        </row>
        <row r="87">
          <cell r="D87">
            <v>200</v>
          </cell>
        </row>
        <row r="88">
          <cell r="D88">
            <v>500</v>
          </cell>
        </row>
        <row r="93">
          <cell r="D93">
            <v>0</v>
          </cell>
        </row>
        <row r="209">
          <cell r="E209">
            <v>2005</v>
          </cell>
        </row>
        <row r="221">
          <cell r="E221" t="str">
            <v>CF Sweep</v>
          </cell>
          <cell r="F221">
            <v>1</v>
          </cell>
        </row>
        <row r="222">
          <cell r="E222" t="str">
            <v>Linear</v>
          </cell>
          <cell r="F222">
            <v>2</v>
          </cell>
        </row>
        <row r="223">
          <cell r="E223" t="str">
            <v>Bullet</v>
          </cell>
          <cell r="F223">
            <v>3</v>
          </cell>
        </row>
        <row r="224">
          <cell r="E224" t="str">
            <v>Discret.</v>
          </cell>
          <cell r="F224">
            <v>4</v>
          </cell>
        </row>
        <row r="226">
          <cell r="E226" t="str">
            <v>CF Sweep</v>
          </cell>
          <cell r="F226">
            <v>1</v>
          </cell>
        </row>
        <row r="227">
          <cell r="E227" t="str">
            <v>Bullet</v>
          </cell>
          <cell r="F227">
            <v>2</v>
          </cell>
        </row>
        <row r="228">
          <cell r="E228" t="str">
            <v>Discret.</v>
          </cell>
          <cell r="F228">
            <v>3</v>
          </cell>
        </row>
      </sheetData>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PARAM"/>
      <sheetName val="GALES"/>
      <sheetName val="GUIDE"/>
      <sheetName val="VIERGE"/>
      <sheetName val="VIERGE IG"/>
      <sheetName val="SUIVI"/>
      <sheetName val="HELP"/>
      <sheetName val="TC_BAL"/>
      <sheetName val="BALANCE"/>
      <sheetName val="CONDENSATION"/>
      <sheetName val="OUVERTURE"/>
      <sheetName val="CONSO_SOCIAL"/>
      <sheetName val="COHERENCE"/>
      <sheetName val="C_IG"/>
      <sheetName val="FILIALES"/>
      <sheetName val="DEVISES"/>
      <sheetName val="ACTIF"/>
      <sheetName val="PASSIF"/>
      <sheetName val="CR01"/>
      <sheetName val="CR02"/>
      <sheetName val="IB"/>
      <sheetName val="IF"/>
      <sheetName val="IA"/>
      <sheetName val="IC"/>
      <sheetName val="IP"/>
      <sheetName val="ACV"/>
      <sheetName val="ACP"/>
      <sheetName val="ACE"/>
      <sheetName val="KP"/>
      <sheetName val="RT"/>
      <sheetName val="DIV"/>
      <sheetName val="K"/>
      <sheetName val="AMVT"/>
      <sheetName val="PR"/>
      <sheetName val="PRC"/>
      <sheetName val="DFI"/>
      <sheetName val="PCV"/>
      <sheetName val="PCE"/>
      <sheetName val="ID"/>
      <sheetName val="ID2"/>
      <sheetName val="IG_01"/>
      <sheetName val="IG_02"/>
      <sheetName val="IG_03"/>
      <sheetName val="IG_04"/>
      <sheetName val="IG_05"/>
      <sheetName val="IG_06"/>
      <sheetName val="IG_07"/>
      <sheetName val="IG_08"/>
      <sheetName val="IG_09"/>
      <sheetName val="IG_10"/>
      <sheetName val="IG_11"/>
      <sheetName val="IG_12"/>
      <sheetName val="IG_13"/>
      <sheetName val="IG_14"/>
      <sheetName val="ELIM_01"/>
      <sheetName val="ELIM_02"/>
      <sheetName val="ELIM_03"/>
      <sheetName val="ELIM_04"/>
      <sheetName val="ELIM_05"/>
      <sheetName val="ELIM_06"/>
      <sheetName val="ELIM_07"/>
      <sheetName val="ELIM_08"/>
      <sheetName val="ELIM_09"/>
      <sheetName val="ELIM_10"/>
      <sheetName val="ELIM_11"/>
      <sheetName val="ELIM_12"/>
      <sheetName val="ELIM_13"/>
      <sheetName val="ELIM_14"/>
      <sheetName val="ELIM_15"/>
      <sheetName val="ELIM_16"/>
      <sheetName val="ELIM_17"/>
      <sheetName val="ELIM_18"/>
      <sheetName val="ELIM_19"/>
      <sheetName val="ELIM_20"/>
      <sheetName val="ELIM_21"/>
      <sheetName val="ELIM_22"/>
      <sheetName val="ELIM_23"/>
      <sheetName val="ELIM_24"/>
      <sheetName val="ELIM_25"/>
      <sheetName val="ELIM_26"/>
      <sheetName val="ELIM_27"/>
      <sheetName val="ELIM_28"/>
      <sheetName val="ELIM_29"/>
      <sheetName val="ELIM_30"/>
      <sheetName val="EAF"/>
      <sheetName val="INFO_01"/>
      <sheetName val="INFO_02"/>
      <sheetName val="INFO_03"/>
      <sheetName val="INFO_04"/>
      <sheetName val="INFO_05"/>
      <sheetName val="INFO_06"/>
      <sheetName val="INFO_07"/>
      <sheetName val="INFO_08"/>
      <sheetName val="INFO_09"/>
      <sheetName val="INFO_10"/>
      <sheetName val="Q_01"/>
      <sheetName val="Q_02"/>
      <sheetName val="Q"/>
      <sheetName val="CONT_01"/>
      <sheetName val="OUTPUT_01"/>
      <sheetName val="OUTPUT_02"/>
      <sheetName val="OUTPUT_03"/>
      <sheetName val="PERSO_01"/>
      <sheetName val="PERSO_02"/>
      <sheetName val="TUP"/>
      <sheetName val="RESEAUX"/>
      <sheetName val="Actif MP"/>
      <sheetName val="Passif MP"/>
      <sheetName val="Actif AMVT"/>
      <sheetName val="Passif AMVT"/>
    </sheetNames>
    <sheetDataSet>
      <sheetData sheetId="0" refreshError="1"/>
      <sheetData sheetId="1" refreshError="1">
        <row r="16">
          <cell r="B16" t="str">
            <v>EUR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8">
          <cell r="D8">
            <v>5025735</v>
          </cell>
          <cell r="F8">
            <v>3497882</v>
          </cell>
        </row>
        <row r="9">
          <cell r="D9">
            <v>3398921</v>
          </cell>
          <cell r="F9">
            <v>2477557</v>
          </cell>
        </row>
        <row r="15">
          <cell r="D15">
            <v>69669</v>
          </cell>
        </row>
        <row r="16">
          <cell r="D16">
            <v>929893</v>
          </cell>
          <cell r="F16">
            <v>514545</v>
          </cell>
        </row>
        <row r="17">
          <cell r="D17">
            <v>128525454</v>
          </cell>
          <cell r="F17">
            <v>109111033</v>
          </cell>
        </row>
        <row r="18">
          <cell r="D18">
            <v>15545488</v>
          </cell>
          <cell r="F18">
            <v>9371687</v>
          </cell>
        </row>
        <row r="22">
          <cell r="D22">
            <v>124761500</v>
          </cell>
        </row>
        <row r="24">
          <cell r="D24">
            <v>40095165</v>
          </cell>
        </row>
        <row r="28">
          <cell r="D28">
            <v>61020</v>
          </cell>
        </row>
        <row r="40">
          <cell r="D40">
            <v>699773</v>
          </cell>
        </row>
        <row r="42">
          <cell r="D42">
            <v>-1570037</v>
          </cell>
        </row>
        <row r="43">
          <cell r="D43">
            <v>8297258</v>
          </cell>
        </row>
        <row r="48">
          <cell r="D48">
            <v>4420777</v>
          </cell>
        </row>
        <row r="49">
          <cell r="D49">
            <v>119105</v>
          </cell>
        </row>
        <row r="51">
          <cell r="D51">
            <v>460000</v>
          </cell>
        </row>
        <row r="53">
          <cell r="D53">
            <v>391503</v>
          </cell>
        </row>
        <row r="60">
          <cell r="D60">
            <v>4264930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row r="9">
          <cell r="H9">
            <v>0</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row r="8">
          <cell r="C8">
            <v>70</v>
          </cell>
        </row>
        <row r="11">
          <cell r="C11">
            <v>70</v>
          </cell>
        </row>
      </sheetData>
      <sheetData sheetId="92" refreshError="1">
        <row r="20">
          <cell r="H20">
            <v>0.01</v>
          </cell>
        </row>
        <row r="37">
          <cell r="H37">
            <v>0</v>
          </cell>
        </row>
      </sheetData>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row r="26">
          <cell r="G26">
            <v>0</v>
          </cell>
        </row>
        <row r="44">
          <cell r="H44">
            <v>0</v>
          </cell>
        </row>
      </sheetData>
      <sheetData sheetId="106" refreshError="1"/>
      <sheetData sheetId="107" refreshError="1"/>
      <sheetData sheetId="108" refreshError="1"/>
      <sheetData sheetId="109" refreshError="1"/>
      <sheetData sheetId="1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ummary"/>
      <sheetName val="Market@RGUs "/>
      <sheetName val="MarketTVRGUs"/>
      <sheetName val="rgu"/>
      <sheetName val="arpu"/>
      <sheetName val="Costs"/>
      <sheetName val="revenues"/>
      <sheetName val="ebitda"/>
      <sheetName val="capex"/>
    </sheetNames>
    <sheetDataSet>
      <sheetData sheetId="0" refreshError="1">
        <row r="1">
          <cell r="B1" t="str">
            <v>mng</v>
          </cell>
          <cell r="D1" t="str">
            <v>C1</v>
          </cell>
        </row>
      </sheetData>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CF"/>
      <sheetName val="Value"/>
      <sheetName val="Rating"/>
      <sheetName val="LBO"/>
    </sheetNames>
    <sheetDataSet>
      <sheetData sheetId="0"/>
      <sheetData sheetId="1"/>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isie"/>
      <sheetName val="total mois"/>
      <sheetName val="Janvier"/>
      <sheetName val="Février"/>
      <sheetName val="mars"/>
      <sheetName val="AVRIL"/>
      <sheetName val="MAI"/>
      <sheetName val="JUIN"/>
      <sheetName val="JUILLET"/>
      <sheetName val="AOUT"/>
      <sheetName val="SEPT"/>
      <sheetName val="OCTO"/>
      <sheetName val="NOV"/>
      <sheetName val="DEC"/>
    </sheetNames>
    <sheetDataSet>
      <sheetData sheetId="0" refreshError="1">
        <row r="1">
          <cell r="D1" t="str">
            <v>Mars</v>
          </cell>
        </row>
        <row r="3">
          <cell r="A3" t="str">
            <v>BC</v>
          </cell>
          <cell r="B3">
            <v>0</v>
          </cell>
          <cell r="C3">
            <v>-577.24</v>
          </cell>
        </row>
        <row r="4">
          <cell r="D4">
            <v>-2700</v>
          </cell>
        </row>
        <row r="5">
          <cell r="D5">
            <v>-500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tches"/>
      <sheetName val="Memo"/>
      <sheetName val="Summary"/>
      <sheetName val="Debt"/>
      <sheetName val="Balance Sheet"/>
      <sheetName val="Cash Flow"/>
      <sheetName val="Assumptions_Spain"/>
      <sheetName val="Assumptions_Portugal"/>
      <sheetName val="Rev&amp;DC_Spain"/>
      <sheetName val="Rev&amp;DC_Portugal"/>
      <sheetName val="RevRelCost"/>
      <sheetName val="SG&amp;A"/>
      <sheetName val="CAPEX"/>
      <sheetName val="D&amp;A"/>
      <sheetName val="P&amp;L"/>
      <sheetName val="Data for DCF"/>
      <sheetName val="Unlevered FCF"/>
      <sheetName val="IRR"/>
      <sheetName val="DCF"/>
      <sheetName val="Graph"/>
    </sheetNames>
    <sheetDataSet>
      <sheetData sheetId="0" refreshError="1">
        <row r="4">
          <cell r="F4">
            <v>1</v>
          </cell>
        </row>
        <row r="10">
          <cell r="F10">
            <v>1</v>
          </cell>
        </row>
        <row r="13">
          <cell r="F13">
            <v>1</v>
          </cell>
        </row>
        <row r="16">
          <cell r="F1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istics France"/>
      <sheetName val="Reporting synthése"/>
      <sheetName val="Reporting"/>
      <sheetName val="En-Cours"/>
      <sheetName val="NUM"/>
      <sheetName val="NCN"/>
      <sheetName val="EV"/>
      <sheetName val="Réalisé Noos"/>
      <sheetName val="Réalisé Num"/>
      <sheetName val="Budget 2008 JPS"/>
      <sheetName val="Budget 2008 Def"/>
      <sheetName val="Budget 2008 Opt° Entr"/>
      <sheetName val="Budget 2008 Opt° Refac"/>
      <sheetName val="Budget 2008 hors options"/>
      <sheetName val="Budget 2008 mensu"/>
      <sheetName val="Feuil1"/>
      <sheetName val="Budget cumul"/>
      <sheetName val="FTTX3"/>
      <sheetName val="FTTX2"/>
      <sheetName val="ADSL CAPEX"/>
      <sheetName val="Paramètres "/>
      <sheetName val="Racco"/>
      <sheetName val="BOX CD 081007"/>
      <sheetName val="CPE"/>
      <sheetName val="Prise"/>
      <sheetName val="PDM CD 081007"/>
      <sheetName val="Budget 2007 Noos"/>
      <sheetName val="Budget 2007 Noos Cumul"/>
      <sheetName val="Budget 2007 Numericable"/>
      <sheetName val="Budget 2007 Numericable Cumul"/>
      <sheetName val="Paramèt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marks"/>
      <sheetName val="A1 conso"/>
      <sheetName val="STAT A1"/>
      <sheetName val="A1"/>
      <sheetName val="BRu Lux EV"/>
      <sheetName val="br lux"/>
      <sheetName val="STATEMENTS BRU"/>
      <sheetName val="STAT BRU"/>
      <sheetName val="STATEMENTS LUX "/>
      <sheetName val="STAT LUX"/>
      <sheetName val="BANKS be"/>
      <sheetName val="FEES be"/>
      <sheetName val="RESTRUCT be"/>
      <sheetName val="CONso AFE"/>
      <sheetName val="HOLDING AFE"/>
      <sheetName val="OPERATIONS - STATISTICS EV"/>
      <sheetName val="OPERATIONS - STATEMENTS EV"/>
      <sheetName val="BANKS EV"/>
      <sheetName val="ROE EV"/>
      <sheetName val="OPERATIONS - BUDGET EV"/>
      <sheetName val="checks PL BS"/>
      <sheetName val="checks operations"/>
    </sheetNames>
    <sheetDataSet>
      <sheetData sheetId="0"/>
      <sheetData sheetId="1"/>
      <sheetData sheetId="2" refreshError="1">
        <row r="762">
          <cell r="A762">
            <v>762</v>
          </cell>
          <cell r="D762" t="str">
            <v>Total Investment General (Land, SSE &amp; Improvements)</v>
          </cell>
          <cell r="I762">
            <v>781.36803447482066</v>
          </cell>
          <cell r="J762">
            <v>734.71803447482057</v>
          </cell>
          <cell r="K762">
            <v>702.44901723741009</v>
          </cell>
          <cell r="L762">
            <v>649.99999999999989</v>
          </cell>
          <cell r="M762">
            <v>330</v>
          </cell>
          <cell r="N762">
            <v>330</v>
          </cell>
          <cell r="O762">
            <v>330</v>
          </cell>
          <cell r="P762">
            <v>330</v>
          </cell>
          <cell r="Q762">
            <v>330</v>
          </cell>
          <cell r="R762">
            <v>330</v>
          </cell>
          <cell r="S762">
            <v>330</v>
          </cell>
          <cell r="T762">
            <v>330</v>
          </cell>
        </row>
      </sheetData>
      <sheetData sheetId="3"/>
      <sheetData sheetId="4"/>
      <sheetData sheetId="5"/>
      <sheetData sheetId="6"/>
      <sheetData sheetId="7" refreshError="1">
        <row r="8">
          <cell r="A8">
            <v>8</v>
          </cell>
          <cell r="D8" t="str">
            <v xml:space="preserve">Inflation </v>
          </cell>
          <cell r="F8">
            <v>1.4999999999999999E-2</v>
          </cell>
          <cell r="G8" t="str">
            <v>Inflation</v>
          </cell>
          <cell r="I8">
            <v>1</v>
          </cell>
          <cell r="J8">
            <v>1</v>
          </cell>
          <cell r="K8">
            <v>1</v>
          </cell>
          <cell r="L8">
            <v>1.0149999999999999</v>
          </cell>
          <cell r="M8">
            <v>1.0302249999999997</v>
          </cell>
          <cell r="N8">
            <v>1.0456783749999996</v>
          </cell>
          <cell r="O8">
            <v>1.0613635506249994</v>
          </cell>
          <cell r="P8">
            <v>1.0772840038843743</v>
          </cell>
          <cell r="Q8">
            <v>1.0934432639426397</v>
          </cell>
          <cell r="R8">
            <v>1.1098449129017791</v>
          </cell>
          <cell r="S8">
            <v>1.1264925865953057</v>
          </cell>
          <cell r="T8">
            <v>1.1433899753942351</v>
          </cell>
        </row>
        <row r="12">
          <cell r="A12">
            <v>12</v>
          </cell>
          <cell r="D12" t="str">
            <v>Seasonality rate (Beg/Ending)</v>
          </cell>
          <cell r="F12">
            <v>0.5</v>
          </cell>
          <cell r="G12" t="str">
            <v>SeasonRate</v>
          </cell>
          <cell r="I12">
            <v>0.5</v>
          </cell>
          <cell r="J12">
            <v>0.5</v>
          </cell>
          <cell r="K12">
            <v>0.5</v>
          </cell>
          <cell r="L12">
            <v>0.5</v>
          </cell>
          <cell r="M12">
            <v>0.5</v>
          </cell>
          <cell r="N12">
            <v>0.5</v>
          </cell>
          <cell r="O12">
            <v>0.5</v>
          </cell>
          <cell r="P12">
            <v>0.5</v>
          </cell>
          <cell r="Q12">
            <v>0.5</v>
          </cell>
          <cell r="R12">
            <v>0.5</v>
          </cell>
          <cell r="S12">
            <v>0.5</v>
          </cell>
          <cell r="T12">
            <v>0.5</v>
          </cell>
        </row>
        <row r="20">
          <cell r="A20">
            <v>20</v>
          </cell>
          <cell r="D20" t="str">
            <v>Homes Passed  TV</v>
          </cell>
          <cell r="G20" t="str">
            <v>HPTV</v>
          </cell>
          <cell r="I20">
            <v>171250</v>
          </cell>
          <cell r="J20">
            <v>171250</v>
          </cell>
          <cell r="K20">
            <v>171250</v>
          </cell>
          <cell r="L20">
            <v>171335.625</v>
          </cell>
          <cell r="M20">
            <v>171421.2928125</v>
          </cell>
          <cell r="N20">
            <v>171507.00345890626</v>
          </cell>
          <cell r="O20">
            <v>171592.75696063571</v>
          </cell>
          <cell r="P20">
            <v>171678.55333911601</v>
          </cell>
          <cell r="Q20">
            <v>171764.39261578556</v>
          </cell>
          <cell r="R20">
            <v>171850.27481209344</v>
          </cell>
          <cell r="S20">
            <v>171936.19994949948</v>
          </cell>
          <cell r="T20">
            <v>172022.16804947422</v>
          </cell>
        </row>
        <row r="22">
          <cell r="A22">
            <v>22</v>
          </cell>
          <cell r="D22" t="str">
            <v>Homes Passed  Digital</v>
          </cell>
          <cell r="G22" t="str">
            <v>HPDigTV</v>
          </cell>
          <cell r="I22">
            <v>171250</v>
          </cell>
          <cell r="J22">
            <v>171250</v>
          </cell>
          <cell r="K22">
            <v>171250</v>
          </cell>
          <cell r="L22">
            <v>171335.625</v>
          </cell>
          <cell r="M22">
            <v>171421.2928125</v>
          </cell>
          <cell r="N22">
            <v>171507.00345890626</v>
          </cell>
          <cell r="O22">
            <v>171592.75696063571</v>
          </cell>
          <cell r="P22">
            <v>171678.55333911601</v>
          </cell>
          <cell r="Q22">
            <v>171764.39261578556</v>
          </cell>
          <cell r="R22">
            <v>171850.27481209344</v>
          </cell>
          <cell r="S22">
            <v>171936.19994949948</v>
          </cell>
          <cell r="T22">
            <v>172022.16804947422</v>
          </cell>
        </row>
        <row r="23">
          <cell r="A23">
            <v>23</v>
          </cell>
          <cell r="D23" t="str">
            <v>Homes Passed  RFS - Telephony (Yes =1; No=0)</v>
          </cell>
          <cell r="G23" t="str">
            <v>HPRFSTel</v>
          </cell>
          <cell r="H23">
            <v>0</v>
          </cell>
          <cell r="I23">
            <v>0</v>
          </cell>
          <cell r="J23">
            <v>0</v>
          </cell>
          <cell r="K23">
            <v>0</v>
          </cell>
          <cell r="L23">
            <v>0</v>
          </cell>
          <cell r="M23">
            <v>0</v>
          </cell>
          <cell r="N23">
            <v>0</v>
          </cell>
          <cell r="O23">
            <v>0</v>
          </cell>
          <cell r="P23">
            <v>0</v>
          </cell>
          <cell r="Q23">
            <v>0</v>
          </cell>
          <cell r="R23">
            <v>0</v>
          </cell>
          <cell r="S23">
            <v>0</v>
          </cell>
          <cell r="T23">
            <v>0</v>
          </cell>
        </row>
        <row r="24">
          <cell r="A24">
            <v>24</v>
          </cell>
          <cell r="D24" t="str">
            <v>Homes Passed  RFS - Data Services</v>
          </cell>
          <cell r="G24" t="str">
            <v>HPRFSData</v>
          </cell>
          <cell r="I24">
            <v>137000</v>
          </cell>
          <cell r="J24">
            <v>171250</v>
          </cell>
          <cell r="K24">
            <v>171250</v>
          </cell>
          <cell r="L24">
            <v>171335.625</v>
          </cell>
          <cell r="M24">
            <v>171421.2928125</v>
          </cell>
          <cell r="N24">
            <v>171507.00345890626</v>
          </cell>
          <cell r="O24">
            <v>171592.75696063571</v>
          </cell>
          <cell r="P24">
            <v>171678.55333911601</v>
          </cell>
          <cell r="Q24">
            <v>171764.39261578556</v>
          </cell>
          <cell r="R24">
            <v>171850.27481209344</v>
          </cell>
          <cell r="S24">
            <v>171936.19994949948</v>
          </cell>
          <cell r="T24">
            <v>172022.16804947422</v>
          </cell>
        </row>
        <row r="27">
          <cell r="A27">
            <v>27</v>
          </cell>
          <cell r="D27" t="str">
            <v>Business Passed  RFS</v>
          </cell>
          <cell r="G27" t="str">
            <v>BusRFS</v>
          </cell>
          <cell r="I27">
            <v>0</v>
          </cell>
          <cell r="J27">
            <v>0</v>
          </cell>
          <cell r="K27">
            <v>0</v>
          </cell>
          <cell r="L27">
            <v>0</v>
          </cell>
          <cell r="M27">
            <v>0</v>
          </cell>
          <cell r="N27">
            <v>0</v>
          </cell>
          <cell r="O27">
            <v>0</v>
          </cell>
          <cell r="P27">
            <v>0</v>
          </cell>
          <cell r="Q27">
            <v>0</v>
          </cell>
          <cell r="R27">
            <v>0</v>
          </cell>
          <cell r="S27">
            <v>0</v>
          </cell>
          <cell r="T27">
            <v>0</v>
          </cell>
        </row>
        <row r="32">
          <cell r="A32">
            <v>32</v>
          </cell>
          <cell r="C32" t="str">
            <v>PENETRATION CATV</v>
          </cell>
          <cell r="G32" t="str">
            <v>PeneBasicAnalog</v>
          </cell>
          <cell r="I32">
            <v>0.79996496350364965</v>
          </cell>
          <cell r="J32">
            <v>0.82144233576642334</v>
          </cell>
          <cell r="K32">
            <v>0.82899999999999996</v>
          </cell>
          <cell r="L32">
            <v>0.83</v>
          </cell>
          <cell r="M32">
            <v>0.83099999999999996</v>
          </cell>
          <cell r="N32">
            <v>0.83299999999999996</v>
          </cell>
          <cell r="O32">
            <v>0.83499999999999996</v>
          </cell>
          <cell r="P32">
            <v>0.83599999999999997</v>
          </cell>
          <cell r="Q32">
            <v>0.83699999999999997</v>
          </cell>
          <cell r="R32">
            <v>0.83799999999999997</v>
          </cell>
          <cell r="S32">
            <v>0.83899999999999997</v>
          </cell>
          <cell r="T32">
            <v>0.84</v>
          </cell>
        </row>
        <row r="34">
          <cell r="A34">
            <v>34</v>
          </cell>
          <cell r="D34" t="str">
            <v>Basic - Digital</v>
          </cell>
          <cell r="F34">
            <v>0</v>
          </cell>
          <cell r="G34" t="str">
            <v>PeneBasicDigital</v>
          </cell>
          <cell r="I34">
            <v>0</v>
          </cell>
          <cell r="J34">
            <v>0</v>
          </cell>
          <cell r="K34">
            <v>0</v>
          </cell>
          <cell r="L34">
            <v>0</v>
          </cell>
          <cell r="M34">
            <v>0</v>
          </cell>
          <cell r="N34">
            <v>0</v>
          </cell>
          <cell r="O34">
            <v>0</v>
          </cell>
          <cell r="P34">
            <v>0</v>
          </cell>
          <cell r="Q34">
            <v>0</v>
          </cell>
          <cell r="R34">
            <v>0</v>
          </cell>
          <cell r="S34">
            <v>0</v>
          </cell>
          <cell r="T34">
            <v>0</v>
          </cell>
        </row>
        <row r="37">
          <cell r="A37">
            <v>37</v>
          </cell>
          <cell r="D37" t="str">
            <v>Premium (% of Digital Basic subscribers)</v>
          </cell>
          <cell r="F37">
            <v>0</v>
          </cell>
          <cell r="G37" t="str">
            <v>PenePremium</v>
          </cell>
          <cell r="I37">
            <v>0</v>
          </cell>
          <cell r="J37">
            <v>0</v>
          </cell>
          <cell r="K37">
            <v>0</v>
          </cell>
          <cell r="L37">
            <v>0</v>
          </cell>
          <cell r="M37">
            <v>0</v>
          </cell>
          <cell r="N37">
            <v>0</v>
          </cell>
          <cell r="O37">
            <v>0</v>
          </cell>
          <cell r="P37">
            <v>0</v>
          </cell>
          <cell r="Q37">
            <v>0</v>
          </cell>
          <cell r="R37">
            <v>0</v>
          </cell>
          <cell r="S37">
            <v>0</v>
          </cell>
          <cell r="T37">
            <v>0</v>
          </cell>
        </row>
        <row r="49">
          <cell r="A49">
            <v>49</v>
          </cell>
          <cell r="D49" t="str">
            <v xml:space="preserve">Gross Adds </v>
          </cell>
          <cell r="G49" t="str">
            <v>NbBasicAnalGA</v>
          </cell>
          <cell r="I49">
            <v>28383.4</v>
          </cell>
          <cell r="J49">
            <v>31444.600000000002</v>
          </cell>
          <cell r="K49">
            <v>29558.075000000001</v>
          </cell>
          <cell r="L49">
            <v>28659.800625000003</v>
          </cell>
          <cell r="M49">
            <v>28708.491884906231</v>
          </cell>
          <cell r="N49">
            <v>28945.88237492707</v>
          </cell>
          <cell r="O49">
            <v>29029.14677520188</v>
          </cell>
          <cell r="P49">
            <v>28923.640794733335</v>
          </cell>
          <cell r="Q49">
            <v>28972.532749002901</v>
          </cell>
          <cell r="R49">
            <v>29021.466364316464</v>
          </cell>
          <cell r="S49">
            <v>29070.441670112203</v>
          </cell>
          <cell r="T49">
            <v>29119.45869584713</v>
          </cell>
        </row>
        <row r="58">
          <cell r="A58">
            <v>58</v>
          </cell>
          <cell r="D58" t="str">
            <v>Ending</v>
          </cell>
          <cell r="G58" t="str">
            <v>NbBasicAnalEnd</v>
          </cell>
          <cell r="I58">
            <v>136994</v>
          </cell>
          <cell r="J58">
            <v>140672</v>
          </cell>
          <cell r="K58">
            <v>141966.25</v>
          </cell>
          <cell r="L58">
            <v>142208.56875000001</v>
          </cell>
          <cell r="M58">
            <v>142451.09432718749</v>
          </cell>
          <cell r="N58">
            <v>142865.33388126892</v>
          </cell>
          <cell r="O58">
            <v>143279.95206213082</v>
          </cell>
          <cell r="P58">
            <v>143523.27059150097</v>
          </cell>
          <cell r="Q58">
            <v>143766.79661941252</v>
          </cell>
          <cell r="R58">
            <v>144010.5302925343</v>
          </cell>
          <cell r="S58">
            <v>144254.47175763006</v>
          </cell>
          <cell r="T58">
            <v>144498.62116155835</v>
          </cell>
        </row>
        <row r="59">
          <cell r="A59">
            <v>59</v>
          </cell>
          <cell r="D59" t="str">
            <v>Average adjusted (seasonal effect)</v>
          </cell>
          <cell r="G59" t="str">
            <v>NbBasicAnalAve</v>
          </cell>
          <cell r="I59">
            <v>136447</v>
          </cell>
          <cell r="J59">
            <v>138833</v>
          </cell>
          <cell r="K59">
            <v>141319.125</v>
          </cell>
          <cell r="L59">
            <v>142087.40937499999</v>
          </cell>
          <cell r="M59">
            <v>142329.83153859375</v>
          </cell>
          <cell r="N59">
            <v>142658.21410422819</v>
          </cell>
          <cell r="O59">
            <v>143072.64297169988</v>
          </cell>
          <cell r="P59">
            <v>143401.61132681591</v>
          </cell>
          <cell r="Q59">
            <v>143645.03360545676</v>
          </cell>
          <cell r="R59">
            <v>143888.66345597341</v>
          </cell>
          <cell r="S59">
            <v>144132.50102508219</v>
          </cell>
          <cell r="T59">
            <v>144376.54645959422</v>
          </cell>
        </row>
        <row r="60">
          <cell r="A60">
            <v>60</v>
          </cell>
          <cell r="D60" t="str">
            <v>Net Adds</v>
          </cell>
          <cell r="G60" t="str">
            <v>NbBasicAnalNA</v>
          </cell>
          <cell r="I60">
            <v>1094</v>
          </cell>
          <cell r="J60">
            <v>3678</v>
          </cell>
          <cell r="K60">
            <v>1294.25</v>
          </cell>
          <cell r="L60">
            <v>242.31875000000582</v>
          </cell>
          <cell r="M60">
            <v>242.52557718747994</v>
          </cell>
          <cell r="N60">
            <v>414.23955408143229</v>
          </cell>
          <cell r="O60">
            <v>414.61818086190033</v>
          </cell>
          <cell r="P60">
            <v>243.31852937015356</v>
          </cell>
          <cell r="Q60">
            <v>243.52602791154641</v>
          </cell>
          <cell r="R60">
            <v>243.73367312178016</v>
          </cell>
          <cell r="S60">
            <v>243.9414650957624</v>
          </cell>
          <cell r="T60">
            <v>244.1494039282843</v>
          </cell>
        </row>
        <row r="64">
          <cell r="A64">
            <v>64</v>
          </cell>
          <cell r="D64" t="str">
            <v xml:space="preserve">Gross Adds </v>
          </cell>
          <cell r="G64" t="str">
            <v>NbBasicDigGA</v>
          </cell>
          <cell r="I64">
            <v>0</v>
          </cell>
          <cell r="J64">
            <v>0</v>
          </cell>
          <cell r="K64">
            <v>0</v>
          </cell>
          <cell r="L64">
            <v>0</v>
          </cell>
          <cell r="M64">
            <v>0</v>
          </cell>
          <cell r="N64">
            <v>0</v>
          </cell>
          <cell r="O64">
            <v>0</v>
          </cell>
          <cell r="P64">
            <v>0</v>
          </cell>
          <cell r="Q64">
            <v>0</v>
          </cell>
          <cell r="R64">
            <v>0</v>
          </cell>
          <cell r="S64">
            <v>0</v>
          </cell>
          <cell r="T64">
            <v>0</v>
          </cell>
        </row>
        <row r="66">
          <cell r="A66">
            <v>66</v>
          </cell>
          <cell r="D66" t="str">
            <v>Ending</v>
          </cell>
          <cell r="G66" t="str">
            <v>NbBasicDigEnd</v>
          </cell>
          <cell r="I66">
            <v>0</v>
          </cell>
          <cell r="J66">
            <v>0</v>
          </cell>
          <cell r="K66">
            <v>0</v>
          </cell>
          <cell r="L66">
            <v>0</v>
          </cell>
          <cell r="M66">
            <v>0</v>
          </cell>
          <cell r="N66">
            <v>0</v>
          </cell>
          <cell r="O66">
            <v>0</v>
          </cell>
          <cell r="P66">
            <v>0</v>
          </cell>
          <cell r="Q66">
            <v>0</v>
          </cell>
          <cell r="R66">
            <v>0</v>
          </cell>
          <cell r="S66">
            <v>0</v>
          </cell>
          <cell r="T66">
            <v>0</v>
          </cell>
        </row>
        <row r="67">
          <cell r="A67">
            <v>67</v>
          </cell>
          <cell r="D67" t="str">
            <v>Average adjusted (seasonal effect)</v>
          </cell>
          <cell r="G67" t="str">
            <v>NbBasicDigAve</v>
          </cell>
          <cell r="I67">
            <v>0</v>
          </cell>
          <cell r="J67">
            <v>0</v>
          </cell>
          <cell r="K67">
            <v>0</v>
          </cell>
          <cell r="L67">
            <v>0</v>
          </cell>
          <cell r="M67">
            <v>0</v>
          </cell>
          <cell r="N67">
            <v>0</v>
          </cell>
          <cell r="O67">
            <v>0</v>
          </cell>
          <cell r="P67">
            <v>0</v>
          </cell>
          <cell r="Q67">
            <v>0</v>
          </cell>
          <cell r="R67">
            <v>0</v>
          </cell>
          <cell r="S67">
            <v>0</v>
          </cell>
          <cell r="T67">
            <v>0</v>
          </cell>
        </row>
        <row r="68">
          <cell r="A68">
            <v>68</v>
          </cell>
          <cell r="D68" t="str">
            <v>Net Adds</v>
          </cell>
          <cell r="G68" t="str">
            <v>NbBasicDigNA</v>
          </cell>
          <cell r="I68">
            <v>0</v>
          </cell>
          <cell r="J68">
            <v>0</v>
          </cell>
          <cell r="K68">
            <v>0</v>
          </cell>
          <cell r="L68">
            <v>0</v>
          </cell>
          <cell r="M68">
            <v>0</v>
          </cell>
          <cell r="N68">
            <v>0</v>
          </cell>
          <cell r="O68">
            <v>0</v>
          </cell>
          <cell r="P68">
            <v>0</v>
          </cell>
          <cell r="Q68">
            <v>0</v>
          </cell>
          <cell r="R68">
            <v>0</v>
          </cell>
          <cell r="S68">
            <v>0</v>
          </cell>
          <cell r="T68">
            <v>0</v>
          </cell>
        </row>
        <row r="80">
          <cell r="A80">
            <v>80</v>
          </cell>
          <cell r="D80" t="str">
            <v xml:space="preserve">Gross Adds </v>
          </cell>
          <cell r="G80" t="str">
            <v>NbBasicTotGA</v>
          </cell>
          <cell r="I80">
            <v>28383.4</v>
          </cell>
          <cell r="J80">
            <v>31444.600000000002</v>
          </cell>
          <cell r="K80">
            <v>29558.075000000001</v>
          </cell>
          <cell r="L80">
            <v>28659.800625000003</v>
          </cell>
          <cell r="M80">
            <v>28708.491884906231</v>
          </cell>
          <cell r="N80">
            <v>28945.88237492707</v>
          </cell>
          <cell r="O80">
            <v>29029.14677520188</v>
          </cell>
          <cell r="P80">
            <v>28923.640794733335</v>
          </cell>
          <cell r="Q80">
            <v>28972.532749002901</v>
          </cell>
          <cell r="R80">
            <v>29021.466364316464</v>
          </cell>
          <cell r="S80">
            <v>29070.441670112203</v>
          </cell>
          <cell r="T80">
            <v>29119.45869584713</v>
          </cell>
        </row>
        <row r="82">
          <cell r="A82">
            <v>82</v>
          </cell>
          <cell r="D82" t="str">
            <v>Ending</v>
          </cell>
          <cell r="G82" t="str">
            <v>NbBasicTotEnd</v>
          </cell>
          <cell r="I82">
            <v>136994</v>
          </cell>
          <cell r="J82">
            <v>140672</v>
          </cell>
          <cell r="K82">
            <v>141966.25</v>
          </cell>
          <cell r="L82">
            <v>142208.56875000001</v>
          </cell>
          <cell r="M82">
            <v>142451.09432718749</v>
          </cell>
          <cell r="N82">
            <v>142865.33388126892</v>
          </cell>
          <cell r="O82">
            <v>143279.95206213082</v>
          </cell>
          <cell r="P82">
            <v>143523.27059150097</v>
          </cell>
          <cell r="Q82">
            <v>143766.79661941252</v>
          </cell>
          <cell r="R82">
            <v>144010.5302925343</v>
          </cell>
          <cell r="S82">
            <v>144254.47175763006</v>
          </cell>
          <cell r="T82">
            <v>144498.62116155835</v>
          </cell>
        </row>
        <row r="83">
          <cell r="A83">
            <v>83</v>
          </cell>
          <cell r="D83" t="str">
            <v>Average adjusted (seasonal effect)</v>
          </cell>
          <cell r="G83" t="str">
            <v>NbBasicTotAve</v>
          </cell>
          <cell r="I83">
            <v>136447</v>
          </cell>
          <cell r="J83">
            <v>138833</v>
          </cell>
          <cell r="K83">
            <v>141319.125</v>
          </cell>
          <cell r="L83">
            <v>142087.40937499999</v>
          </cell>
          <cell r="M83">
            <v>142329.83153859375</v>
          </cell>
          <cell r="N83">
            <v>142658.21410422819</v>
          </cell>
          <cell r="O83">
            <v>143072.64297169988</v>
          </cell>
          <cell r="P83">
            <v>143401.61132681591</v>
          </cell>
          <cell r="Q83">
            <v>143645.03360545676</v>
          </cell>
          <cell r="R83">
            <v>143888.66345597341</v>
          </cell>
          <cell r="S83">
            <v>144132.50102508219</v>
          </cell>
          <cell r="T83">
            <v>144376.54645959422</v>
          </cell>
        </row>
        <row r="84">
          <cell r="A84">
            <v>84</v>
          </cell>
          <cell r="D84" t="str">
            <v>Net Adds</v>
          </cell>
          <cell r="G84" t="str">
            <v>NbBasicTotNA</v>
          </cell>
          <cell r="I84">
            <v>1094</v>
          </cell>
          <cell r="J84">
            <v>3678</v>
          </cell>
          <cell r="K84">
            <v>1294.25</v>
          </cell>
          <cell r="L84">
            <v>242.31875000000582</v>
          </cell>
          <cell r="M84">
            <v>242.52557718747994</v>
          </cell>
          <cell r="N84">
            <v>414.23955408143229</v>
          </cell>
          <cell r="O84">
            <v>414.61818086190033</v>
          </cell>
          <cell r="P84">
            <v>243.31852937015356</v>
          </cell>
          <cell r="Q84">
            <v>243.52602791154641</v>
          </cell>
          <cell r="R84">
            <v>243.73367312178016</v>
          </cell>
          <cell r="S84">
            <v>243.9414650957624</v>
          </cell>
          <cell r="T84">
            <v>244.1494039282843</v>
          </cell>
        </row>
        <row r="88">
          <cell r="A88">
            <v>88</v>
          </cell>
          <cell r="D88" t="str">
            <v>Gross Adds</v>
          </cell>
          <cell r="G88" t="str">
            <v>NbPremiumGA</v>
          </cell>
          <cell r="I88">
            <v>0</v>
          </cell>
          <cell r="J88">
            <v>0</v>
          </cell>
          <cell r="K88">
            <v>0</v>
          </cell>
          <cell r="L88">
            <v>0</v>
          </cell>
          <cell r="M88">
            <v>0</v>
          </cell>
          <cell r="N88">
            <v>0</v>
          </cell>
          <cell r="O88">
            <v>0</v>
          </cell>
          <cell r="P88">
            <v>0</v>
          </cell>
          <cell r="Q88">
            <v>0</v>
          </cell>
          <cell r="R88">
            <v>0</v>
          </cell>
          <cell r="S88">
            <v>0</v>
          </cell>
          <cell r="T88">
            <v>0</v>
          </cell>
        </row>
        <row r="90">
          <cell r="A90">
            <v>90</v>
          </cell>
          <cell r="D90" t="str">
            <v>Ending</v>
          </cell>
          <cell r="G90" t="str">
            <v>NbPremiumEnd</v>
          </cell>
          <cell r="I90">
            <v>0</v>
          </cell>
          <cell r="J90">
            <v>0</v>
          </cell>
          <cell r="K90">
            <v>0</v>
          </cell>
          <cell r="L90">
            <v>0</v>
          </cell>
          <cell r="M90">
            <v>0</v>
          </cell>
          <cell r="N90">
            <v>0</v>
          </cell>
          <cell r="O90">
            <v>0</v>
          </cell>
          <cell r="P90">
            <v>0</v>
          </cell>
          <cell r="Q90">
            <v>0</v>
          </cell>
          <cell r="R90">
            <v>0</v>
          </cell>
          <cell r="S90">
            <v>0</v>
          </cell>
          <cell r="T90">
            <v>0</v>
          </cell>
        </row>
        <row r="91">
          <cell r="A91">
            <v>91</v>
          </cell>
          <cell r="D91" t="str">
            <v>Average adjusted (seasonal effect)</v>
          </cell>
          <cell r="G91" t="str">
            <v>NbPremiumAve</v>
          </cell>
          <cell r="I91">
            <v>0</v>
          </cell>
          <cell r="J91">
            <v>0</v>
          </cell>
          <cell r="K91">
            <v>0</v>
          </cell>
          <cell r="L91">
            <v>0</v>
          </cell>
          <cell r="M91">
            <v>0</v>
          </cell>
          <cell r="N91">
            <v>0</v>
          </cell>
          <cell r="O91">
            <v>0</v>
          </cell>
          <cell r="P91">
            <v>0</v>
          </cell>
          <cell r="Q91">
            <v>0</v>
          </cell>
          <cell r="R91">
            <v>0</v>
          </cell>
          <cell r="S91">
            <v>0</v>
          </cell>
          <cell r="T91">
            <v>0</v>
          </cell>
        </row>
        <row r="92">
          <cell r="A92">
            <v>92</v>
          </cell>
          <cell r="D92" t="str">
            <v>Net Adds</v>
          </cell>
          <cell r="G92" t="str">
            <v>NbPremiumNA</v>
          </cell>
          <cell r="I92">
            <v>0</v>
          </cell>
          <cell r="J92">
            <v>0</v>
          </cell>
          <cell r="K92">
            <v>0</v>
          </cell>
          <cell r="L92">
            <v>0</v>
          </cell>
          <cell r="M92">
            <v>0</v>
          </cell>
          <cell r="N92">
            <v>0</v>
          </cell>
          <cell r="O92">
            <v>0</v>
          </cell>
          <cell r="P92">
            <v>0</v>
          </cell>
          <cell r="Q92">
            <v>0</v>
          </cell>
          <cell r="R92">
            <v>0</v>
          </cell>
          <cell r="S92">
            <v>0</v>
          </cell>
          <cell r="T92">
            <v>0</v>
          </cell>
        </row>
        <row r="101">
          <cell r="A101">
            <v>101</v>
          </cell>
          <cell r="C101" t="str">
            <v>Total PPV events sold</v>
          </cell>
          <cell r="G101" t="str">
            <v>NbPPVEvents</v>
          </cell>
          <cell r="I101">
            <v>0</v>
          </cell>
          <cell r="J101">
            <v>0</v>
          </cell>
          <cell r="K101">
            <v>0</v>
          </cell>
          <cell r="L101">
            <v>0</v>
          </cell>
          <cell r="M101">
            <v>0</v>
          </cell>
          <cell r="N101">
            <v>0</v>
          </cell>
          <cell r="O101">
            <v>0</v>
          </cell>
          <cell r="P101">
            <v>0</v>
          </cell>
          <cell r="Q101">
            <v>0</v>
          </cell>
          <cell r="R101">
            <v>0</v>
          </cell>
          <cell r="S101">
            <v>0</v>
          </cell>
          <cell r="T101">
            <v>0</v>
          </cell>
        </row>
        <row r="107">
          <cell r="A107">
            <v>107</v>
          </cell>
          <cell r="D107" t="str">
            <v>Residential - Cablephone</v>
          </cell>
          <cell r="G107" t="str">
            <v>PeneResCableTel</v>
          </cell>
          <cell r="I107">
            <v>0</v>
          </cell>
          <cell r="J107">
            <v>0</v>
          </cell>
          <cell r="K107">
            <v>0</v>
          </cell>
          <cell r="L107">
            <v>0</v>
          </cell>
          <cell r="M107">
            <v>0</v>
          </cell>
          <cell r="N107">
            <v>0</v>
          </cell>
          <cell r="O107">
            <v>0</v>
          </cell>
          <cell r="P107">
            <v>0</v>
          </cell>
          <cell r="Q107">
            <v>0</v>
          </cell>
          <cell r="R107">
            <v>0</v>
          </cell>
          <cell r="S107">
            <v>0</v>
          </cell>
          <cell r="T107">
            <v>0</v>
          </cell>
        </row>
        <row r="108">
          <cell r="A108">
            <v>108</v>
          </cell>
          <cell r="D108" t="str">
            <v>Residential - IP</v>
          </cell>
          <cell r="G108" t="str">
            <v>PeneResIPTel</v>
          </cell>
          <cell r="I108">
            <v>0</v>
          </cell>
          <cell r="J108">
            <v>0</v>
          </cell>
          <cell r="K108">
            <v>0</v>
          </cell>
          <cell r="L108">
            <v>0</v>
          </cell>
          <cell r="M108">
            <v>0</v>
          </cell>
          <cell r="N108">
            <v>0.05</v>
          </cell>
          <cell r="O108">
            <v>0.12</v>
          </cell>
          <cell r="P108">
            <v>0.16</v>
          </cell>
          <cell r="Q108">
            <v>0.2</v>
          </cell>
          <cell r="R108">
            <v>0.24</v>
          </cell>
          <cell r="S108">
            <v>0.25</v>
          </cell>
          <cell r="T108">
            <v>0.26</v>
          </cell>
        </row>
        <row r="119">
          <cell r="A119">
            <v>119</v>
          </cell>
          <cell r="D119" t="str">
            <v xml:space="preserve">Gross Adds </v>
          </cell>
          <cell r="G119" t="str">
            <v>NbResCableTelGA</v>
          </cell>
          <cell r="I119">
            <v>0</v>
          </cell>
          <cell r="J119">
            <v>0</v>
          </cell>
          <cell r="K119">
            <v>0</v>
          </cell>
          <cell r="L119">
            <v>0</v>
          </cell>
          <cell r="M119">
            <v>0</v>
          </cell>
          <cell r="N119">
            <v>0</v>
          </cell>
          <cell r="O119">
            <v>0</v>
          </cell>
          <cell r="P119">
            <v>0</v>
          </cell>
          <cell r="Q119">
            <v>0</v>
          </cell>
          <cell r="R119">
            <v>0</v>
          </cell>
          <cell r="S119">
            <v>0</v>
          </cell>
          <cell r="T119">
            <v>0</v>
          </cell>
        </row>
        <row r="121">
          <cell r="A121">
            <v>121</v>
          </cell>
          <cell r="D121" t="str">
            <v>Ending</v>
          </cell>
          <cell r="G121" t="str">
            <v>NbResCableTelEnd</v>
          </cell>
          <cell r="I121">
            <v>0</v>
          </cell>
          <cell r="J121">
            <v>0</v>
          </cell>
          <cell r="K121">
            <v>0</v>
          </cell>
          <cell r="L121">
            <v>0</v>
          </cell>
          <cell r="M121">
            <v>0</v>
          </cell>
          <cell r="N121">
            <v>0</v>
          </cell>
          <cell r="O121">
            <v>0</v>
          </cell>
          <cell r="P121">
            <v>0</v>
          </cell>
          <cell r="Q121">
            <v>0</v>
          </cell>
          <cell r="R121">
            <v>0</v>
          </cell>
          <cell r="S121">
            <v>0</v>
          </cell>
          <cell r="T121">
            <v>0</v>
          </cell>
        </row>
        <row r="122">
          <cell r="A122">
            <v>122</v>
          </cell>
          <cell r="D122" t="str">
            <v>Average adjusted (seasonal effect)</v>
          </cell>
          <cell r="G122" t="str">
            <v>NbResCableTelAve</v>
          </cell>
          <cell r="I122">
            <v>0</v>
          </cell>
          <cell r="J122">
            <v>0</v>
          </cell>
          <cell r="K122">
            <v>0</v>
          </cell>
          <cell r="L122">
            <v>0</v>
          </cell>
          <cell r="M122">
            <v>0</v>
          </cell>
          <cell r="N122">
            <v>0</v>
          </cell>
          <cell r="O122">
            <v>0</v>
          </cell>
          <cell r="P122">
            <v>0</v>
          </cell>
          <cell r="Q122">
            <v>0</v>
          </cell>
          <cell r="R122">
            <v>0</v>
          </cell>
          <cell r="S122">
            <v>0</v>
          </cell>
          <cell r="T122">
            <v>0</v>
          </cell>
        </row>
        <row r="124">
          <cell r="F124">
            <v>0.03</v>
          </cell>
        </row>
        <row r="128">
          <cell r="A128">
            <v>128</v>
          </cell>
          <cell r="D128" t="str">
            <v xml:space="preserve">Gross Adds </v>
          </cell>
          <cell r="G128" t="str">
            <v>NbResIPTelGA</v>
          </cell>
          <cell r="I128">
            <v>0</v>
          </cell>
          <cell r="J128">
            <v>0</v>
          </cell>
          <cell r="K128">
            <v>0</v>
          </cell>
          <cell r="L128">
            <v>0</v>
          </cell>
          <cell r="M128">
            <v>0</v>
          </cell>
          <cell r="N128">
            <v>0</v>
          </cell>
          <cell r="O128">
            <v>0</v>
          </cell>
          <cell r="P128">
            <v>0</v>
          </cell>
          <cell r="Q128">
            <v>0</v>
          </cell>
          <cell r="R128">
            <v>0</v>
          </cell>
          <cell r="S128">
            <v>0</v>
          </cell>
          <cell r="T128">
            <v>0</v>
          </cell>
        </row>
        <row r="130">
          <cell r="A130">
            <v>130</v>
          </cell>
          <cell r="D130" t="str">
            <v>Ending</v>
          </cell>
          <cell r="G130" t="str">
            <v>NbResIPTelEnd</v>
          </cell>
          <cell r="I130">
            <v>0</v>
          </cell>
          <cell r="J130">
            <v>0</v>
          </cell>
          <cell r="K130">
            <v>0</v>
          </cell>
          <cell r="L130">
            <v>0</v>
          </cell>
          <cell r="M130">
            <v>0</v>
          </cell>
          <cell r="N130">
            <v>0</v>
          </cell>
          <cell r="O130">
            <v>0</v>
          </cell>
          <cell r="P130">
            <v>0</v>
          </cell>
          <cell r="Q130">
            <v>0</v>
          </cell>
          <cell r="R130">
            <v>0</v>
          </cell>
          <cell r="S130">
            <v>0</v>
          </cell>
          <cell r="T130">
            <v>0</v>
          </cell>
        </row>
        <row r="131">
          <cell r="A131">
            <v>131</v>
          </cell>
          <cell r="D131" t="str">
            <v>Average adjusted (seasonal effect)</v>
          </cell>
          <cell r="G131" t="str">
            <v>NbResIPTelAve</v>
          </cell>
          <cell r="I131">
            <v>0</v>
          </cell>
          <cell r="J131">
            <v>0</v>
          </cell>
          <cell r="K131">
            <v>0</v>
          </cell>
          <cell r="L131">
            <v>0</v>
          </cell>
          <cell r="M131">
            <v>0</v>
          </cell>
          <cell r="N131">
            <v>0</v>
          </cell>
          <cell r="O131">
            <v>0</v>
          </cell>
          <cell r="P131">
            <v>0</v>
          </cell>
          <cell r="Q131">
            <v>0</v>
          </cell>
          <cell r="R131">
            <v>0</v>
          </cell>
          <cell r="S131">
            <v>0</v>
          </cell>
          <cell r="T131">
            <v>0</v>
          </cell>
        </row>
        <row r="132">
          <cell r="A132">
            <v>132</v>
          </cell>
          <cell r="D132" t="str">
            <v>Net Adds</v>
          </cell>
          <cell r="G132" t="str">
            <v>NbResIPTelNA</v>
          </cell>
          <cell r="I132">
            <v>0</v>
          </cell>
          <cell r="J132">
            <v>0</v>
          </cell>
          <cell r="K132">
            <v>0</v>
          </cell>
          <cell r="L132">
            <v>0</v>
          </cell>
          <cell r="M132">
            <v>0</v>
          </cell>
          <cell r="N132">
            <v>0</v>
          </cell>
          <cell r="O132">
            <v>0</v>
          </cell>
          <cell r="P132">
            <v>0</v>
          </cell>
          <cell r="Q132">
            <v>0</v>
          </cell>
          <cell r="R132">
            <v>0</v>
          </cell>
          <cell r="S132">
            <v>0</v>
          </cell>
          <cell r="T132">
            <v>0</v>
          </cell>
        </row>
        <row r="137">
          <cell r="A137">
            <v>137</v>
          </cell>
          <cell r="D137" t="str">
            <v xml:space="preserve">Gross Adds </v>
          </cell>
          <cell r="G137" t="str">
            <v>NbResTelGA</v>
          </cell>
          <cell r="I137">
            <v>0</v>
          </cell>
          <cell r="J137">
            <v>0</v>
          </cell>
          <cell r="K137">
            <v>0</v>
          </cell>
          <cell r="L137">
            <v>0</v>
          </cell>
          <cell r="M137">
            <v>0</v>
          </cell>
          <cell r="N137">
            <v>0</v>
          </cell>
          <cell r="O137">
            <v>0</v>
          </cell>
          <cell r="P137">
            <v>0</v>
          </cell>
          <cell r="Q137">
            <v>0</v>
          </cell>
          <cell r="R137">
            <v>0</v>
          </cell>
          <cell r="S137">
            <v>0</v>
          </cell>
          <cell r="T137">
            <v>0</v>
          </cell>
        </row>
        <row r="139">
          <cell r="A139">
            <v>139</v>
          </cell>
          <cell r="D139" t="str">
            <v>Total Residential Telephony Subs Ending</v>
          </cell>
          <cell r="G139" t="str">
            <v>NbResTelEnd</v>
          </cell>
          <cell r="I139">
            <v>0</v>
          </cell>
          <cell r="J139">
            <v>0</v>
          </cell>
          <cell r="K139">
            <v>0</v>
          </cell>
          <cell r="L139">
            <v>0</v>
          </cell>
          <cell r="M139">
            <v>0</v>
          </cell>
          <cell r="N139">
            <v>0</v>
          </cell>
          <cell r="O139">
            <v>0</v>
          </cell>
          <cell r="P139">
            <v>0</v>
          </cell>
          <cell r="Q139">
            <v>0</v>
          </cell>
          <cell r="R139">
            <v>0</v>
          </cell>
          <cell r="S139">
            <v>0</v>
          </cell>
          <cell r="T139">
            <v>0</v>
          </cell>
        </row>
        <row r="140">
          <cell r="A140">
            <v>140</v>
          </cell>
          <cell r="D140" t="str">
            <v>Average adjusted (seasonal effect)</v>
          </cell>
          <cell r="G140" t="str">
            <v>NbResTelAve</v>
          </cell>
          <cell r="I140">
            <v>0</v>
          </cell>
          <cell r="J140">
            <v>0</v>
          </cell>
          <cell r="K140">
            <v>0</v>
          </cell>
          <cell r="L140">
            <v>0</v>
          </cell>
          <cell r="M140">
            <v>0</v>
          </cell>
          <cell r="N140">
            <v>0</v>
          </cell>
          <cell r="O140">
            <v>0</v>
          </cell>
          <cell r="P140">
            <v>0</v>
          </cell>
          <cell r="Q140">
            <v>0</v>
          </cell>
          <cell r="R140">
            <v>0</v>
          </cell>
          <cell r="S140">
            <v>0</v>
          </cell>
          <cell r="T140">
            <v>0</v>
          </cell>
        </row>
        <row r="141">
          <cell r="A141">
            <v>141</v>
          </cell>
          <cell r="D141" t="str">
            <v>Net Adds</v>
          </cell>
          <cell r="G141" t="str">
            <v>NbResTelNA</v>
          </cell>
          <cell r="I141">
            <v>0</v>
          </cell>
          <cell r="J141">
            <v>0</v>
          </cell>
          <cell r="K141">
            <v>0</v>
          </cell>
          <cell r="L141">
            <v>0</v>
          </cell>
          <cell r="M141">
            <v>0</v>
          </cell>
          <cell r="N141">
            <v>0</v>
          </cell>
          <cell r="O141">
            <v>0</v>
          </cell>
          <cell r="P141">
            <v>0</v>
          </cell>
          <cell r="Q141">
            <v>0</v>
          </cell>
          <cell r="R141">
            <v>0</v>
          </cell>
          <cell r="S141">
            <v>0</v>
          </cell>
          <cell r="T141">
            <v>0</v>
          </cell>
        </row>
        <row r="147">
          <cell r="A147">
            <v>147</v>
          </cell>
          <cell r="C147" t="str">
            <v xml:space="preserve">PENETRATION </v>
          </cell>
          <cell r="G147" t="str">
            <v>PeneResData</v>
          </cell>
          <cell r="I147">
            <v>1.1817518248175184E-2</v>
          </cell>
          <cell r="J147">
            <v>3.0522627737226277E-2</v>
          </cell>
          <cell r="K147">
            <v>0.05</v>
          </cell>
          <cell r="L147">
            <v>7.0000000000000007E-2</v>
          </cell>
          <cell r="M147">
            <v>0.09</v>
          </cell>
          <cell r="N147">
            <v>0.11</v>
          </cell>
          <cell r="O147">
            <v>0.13</v>
          </cell>
          <cell r="P147">
            <v>0.15</v>
          </cell>
          <cell r="Q147">
            <v>0.16499999999999998</v>
          </cell>
          <cell r="R147">
            <v>0.18</v>
          </cell>
          <cell r="S147">
            <v>0.19500000000000001</v>
          </cell>
          <cell r="T147">
            <v>0.21000000000000002</v>
          </cell>
        </row>
        <row r="153">
          <cell r="A153">
            <v>153</v>
          </cell>
          <cell r="D153" t="str">
            <v xml:space="preserve">Gross Adds </v>
          </cell>
          <cell r="G153" t="str">
            <v>NbResDataGA</v>
          </cell>
          <cell r="I153">
            <v>1740.4250000000002</v>
          </cell>
          <cell r="J153">
            <v>4292.6000000000004</v>
          </cell>
          <cell r="K153">
            <v>5059.1875</v>
          </cell>
          <cell r="L153">
            <v>6000.4929687500016</v>
          </cell>
          <cell r="M153">
            <v>6862.0988660156236</v>
          </cell>
          <cell r="N153">
            <v>7724.5648690552734</v>
          </cell>
          <cell r="O153">
            <v>8587.8916225732464</v>
          </cell>
          <cell r="P153">
            <v>9452.0797717035166</v>
          </cell>
          <cell r="Q153">
            <v>9350.9552535462117</v>
          </cell>
          <cell r="R153">
            <v>10001.196465544883</v>
          </cell>
          <cell r="S153">
            <v>10652.085581016734</v>
          </cell>
          <cell r="T153">
            <v>11303.623085304935</v>
          </cell>
        </row>
        <row r="155">
          <cell r="A155">
            <v>155</v>
          </cell>
          <cell r="D155" t="str">
            <v>Ending</v>
          </cell>
          <cell r="G155" t="str">
            <v>NbResDataEnd</v>
          </cell>
          <cell r="I155">
            <v>1619.0000000000002</v>
          </cell>
          <cell r="J155">
            <v>5227</v>
          </cell>
          <cell r="K155">
            <v>8562.5</v>
          </cell>
          <cell r="L155">
            <v>11993.493750000001</v>
          </cell>
          <cell r="M155">
            <v>15427.916353125</v>
          </cell>
          <cell r="N155">
            <v>18865.770380479687</v>
          </cell>
          <cell r="O155">
            <v>22307.058404882642</v>
          </cell>
          <cell r="P155">
            <v>25751.783000867403</v>
          </cell>
          <cell r="Q155">
            <v>28341.124781604613</v>
          </cell>
          <cell r="R155">
            <v>30933.049466176817</v>
          </cell>
          <cell r="S155">
            <v>33527.5589901524</v>
          </cell>
          <cell r="T155">
            <v>36124.655290389586</v>
          </cell>
        </row>
        <row r="156">
          <cell r="A156">
            <v>156</v>
          </cell>
          <cell r="D156" t="str">
            <v>Average adjusted (seasonal effect)</v>
          </cell>
          <cell r="G156" t="str">
            <v>NbResDataAve</v>
          </cell>
          <cell r="I156">
            <v>809.50000000000011</v>
          </cell>
          <cell r="J156">
            <v>3423</v>
          </cell>
          <cell r="K156">
            <v>6894.75</v>
          </cell>
          <cell r="L156">
            <v>10277.996875000001</v>
          </cell>
          <cell r="M156">
            <v>13710.705051562501</v>
          </cell>
          <cell r="N156">
            <v>17146.843366802343</v>
          </cell>
          <cell r="O156">
            <v>20586.414392681167</v>
          </cell>
          <cell r="P156">
            <v>24029.420702875024</v>
          </cell>
          <cell r="Q156">
            <v>27046.453891236008</v>
          </cell>
          <cell r="R156">
            <v>29637.087123890713</v>
          </cell>
          <cell r="S156">
            <v>32230.304228164609</v>
          </cell>
          <cell r="T156">
            <v>34826.107140270993</v>
          </cell>
        </row>
        <row r="157">
          <cell r="A157">
            <v>157</v>
          </cell>
          <cell r="D157" t="str">
            <v>Net Adds</v>
          </cell>
          <cell r="G157" t="str">
            <v>NbResDataNA</v>
          </cell>
          <cell r="I157">
            <v>1619.0000000000002</v>
          </cell>
          <cell r="J157">
            <v>3608</v>
          </cell>
          <cell r="K157">
            <v>3335.5</v>
          </cell>
          <cell r="L157">
            <v>3430.9937500000015</v>
          </cell>
          <cell r="M157">
            <v>3434.4226031249982</v>
          </cell>
          <cell r="N157">
            <v>3437.8540273546878</v>
          </cell>
          <cell r="O157">
            <v>3441.2880244029548</v>
          </cell>
          <cell r="P157">
            <v>3444.7245959847605</v>
          </cell>
          <cell r="Q157">
            <v>2589.3417807372098</v>
          </cell>
          <cell r="R157">
            <v>2591.9246845722046</v>
          </cell>
          <cell r="S157">
            <v>2594.5095239755829</v>
          </cell>
          <cell r="T157">
            <v>2597.0963002371864</v>
          </cell>
        </row>
        <row r="166">
          <cell r="A166">
            <v>166</v>
          </cell>
          <cell r="D166" t="str">
            <v>End RESIDENTIAL RGUs</v>
          </cell>
          <cell r="G166" t="str">
            <v>NbResRGUEnd</v>
          </cell>
          <cell r="I166">
            <v>138613</v>
          </cell>
          <cell r="J166">
            <v>145899</v>
          </cell>
          <cell r="K166">
            <v>150528.75</v>
          </cell>
          <cell r="L166">
            <v>154202.0625</v>
          </cell>
          <cell r="M166">
            <v>157879.01068031249</v>
          </cell>
          <cell r="N166">
            <v>161731.10426174861</v>
          </cell>
          <cell r="O166">
            <v>165587.01046701346</v>
          </cell>
          <cell r="P166">
            <v>169275.05359236838</v>
          </cell>
          <cell r="Q166">
            <v>172107.92140101714</v>
          </cell>
          <cell r="R166">
            <v>174943.5797587111</v>
          </cell>
          <cell r="S166">
            <v>177782.03074778247</v>
          </cell>
          <cell r="T166">
            <v>180623.27645194792</v>
          </cell>
        </row>
        <row r="167">
          <cell r="A167">
            <v>167</v>
          </cell>
          <cell r="D167" t="str">
            <v>Average RESIDENTIAL RGUs</v>
          </cell>
          <cell r="G167" t="str">
            <v>NbResRGUAve</v>
          </cell>
          <cell r="I167">
            <v>138613</v>
          </cell>
          <cell r="J167">
            <v>142256</v>
          </cell>
          <cell r="K167">
            <v>148213.875</v>
          </cell>
          <cell r="L167">
            <v>152365.40625</v>
          </cell>
          <cell r="M167">
            <v>156040.53659015626</v>
          </cell>
          <cell r="N167">
            <v>159805.05747103057</v>
          </cell>
          <cell r="O167">
            <v>163659.05736438103</v>
          </cell>
          <cell r="P167">
            <v>167431.03202969092</v>
          </cell>
          <cell r="Q167">
            <v>170691.48749669275</v>
          </cell>
          <cell r="R167">
            <v>173525.75057986414</v>
          </cell>
          <cell r="S167">
            <v>176362.8052532468</v>
          </cell>
          <cell r="T167">
            <v>179202.65359986521</v>
          </cell>
        </row>
        <row r="175">
          <cell r="A175">
            <v>175</v>
          </cell>
          <cell r="D175" t="str">
            <v>End CUSTOMER BASE</v>
          </cell>
          <cell r="G175" t="str">
            <v>NbResCustEnd</v>
          </cell>
          <cell r="I175">
            <v>137074.95000000001</v>
          </cell>
          <cell r="J175">
            <v>140933.35</v>
          </cell>
          <cell r="K175">
            <v>142561.15</v>
          </cell>
          <cell r="L175">
            <v>143146.56812500002</v>
          </cell>
          <cell r="M175">
            <v>143904.25709265625</v>
          </cell>
          <cell r="N175">
            <v>144834.17475084087</v>
          </cell>
          <cell r="O175">
            <v>145764.98613536323</v>
          </cell>
          <cell r="P175">
            <v>146525.01335413108</v>
          </cell>
          <cell r="Q175">
            <v>147156.9406491532</v>
          </cell>
          <cell r="R175">
            <v>147789.46302496083</v>
          </cell>
          <cell r="S175">
            <v>148552.30639485171</v>
          </cell>
          <cell r="T175">
            <v>149315.87505882743</v>
          </cell>
        </row>
        <row r="176">
          <cell r="A176">
            <v>176</v>
          </cell>
          <cell r="D176" t="str">
            <v>Average CUSTOMER BASE</v>
          </cell>
          <cell r="G176" t="str">
            <v>NbResCustAve</v>
          </cell>
          <cell r="I176">
            <v>137074.95000000001</v>
          </cell>
          <cell r="J176">
            <v>139004.15000000002</v>
          </cell>
          <cell r="K176">
            <v>141747.25</v>
          </cell>
          <cell r="L176">
            <v>142853.85906250001</v>
          </cell>
          <cell r="M176">
            <v>143525.41260882813</v>
          </cell>
          <cell r="N176">
            <v>144369.21592174855</v>
          </cell>
          <cell r="O176">
            <v>145299.58044310205</v>
          </cell>
          <cell r="P176">
            <v>146144.99974474715</v>
          </cell>
          <cell r="Q176">
            <v>146840.97700164214</v>
          </cell>
          <cell r="R176">
            <v>147473.20183705701</v>
          </cell>
          <cell r="S176">
            <v>148170.88470990627</v>
          </cell>
          <cell r="T176">
            <v>148934.09072683955</v>
          </cell>
        </row>
        <row r="192">
          <cell r="A192">
            <v>192</v>
          </cell>
          <cell r="D192" t="str">
            <v>Individuals - Basic analog (VAT Excl)</v>
          </cell>
          <cell r="F192">
            <v>7.8512396694214877</v>
          </cell>
          <cell r="G192" t="str">
            <v>RateBasicAnal</v>
          </cell>
          <cell r="I192">
            <v>7.8646996705451819</v>
          </cell>
          <cell r="J192">
            <v>7.6365588034576888</v>
          </cell>
          <cell r="K192">
            <v>7.8911107635729456</v>
          </cell>
          <cell r="L192">
            <v>8.0183867436305736</v>
          </cell>
          <cell r="M192">
            <v>8.0183867436305736</v>
          </cell>
          <cell r="N192">
            <v>8.1010313717297464</v>
          </cell>
          <cell r="O192">
            <v>8.1836759998289192</v>
          </cell>
          <cell r="P192">
            <v>8.1836759998289192</v>
          </cell>
          <cell r="Q192">
            <v>8.1836759998289192</v>
          </cell>
          <cell r="R192">
            <v>8.1836759998289192</v>
          </cell>
          <cell r="S192">
            <v>8.1836759998289192</v>
          </cell>
          <cell r="T192">
            <v>8.1836759998289192</v>
          </cell>
        </row>
        <row r="194">
          <cell r="A194">
            <v>194</v>
          </cell>
          <cell r="D194" t="str">
            <v>Individuals - Premium</v>
          </cell>
          <cell r="F194">
            <v>13.223140495867769</v>
          </cell>
          <cell r="G194" t="str">
            <v>RatePremium</v>
          </cell>
          <cell r="I194">
            <v>0</v>
          </cell>
          <cell r="J194">
            <v>0</v>
          </cell>
          <cell r="K194">
            <v>0</v>
          </cell>
          <cell r="L194">
            <v>0</v>
          </cell>
          <cell r="M194">
            <v>0</v>
          </cell>
          <cell r="N194">
            <v>0</v>
          </cell>
          <cell r="O194">
            <v>0</v>
          </cell>
          <cell r="P194">
            <v>0</v>
          </cell>
          <cell r="Q194">
            <v>0</v>
          </cell>
          <cell r="R194">
            <v>0</v>
          </cell>
          <cell r="S194">
            <v>0</v>
          </cell>
          <cell r="T194">
            <v>0</v>
          </cell>
        </row>
        <row r="196">
          <cell r="A196">
            <v>196</v>
          </cell>
          <cell r="D196" t="str">
            <v>Rental Fee Decoder</v>
          </cell>
          <cell r="F196">
            <v>5.6695915501516261</v>
          </cell>
          <cell r="G196" t="str">
            <v>RateTVDecod</v>
          </cell>
          <cell r="I196">
            <v>0</v>
          </cell>
          <cell r="J196">
            <v>0</v>
          </cell>
          <cell r="K196">
            <v>0</v>
          </cell>
          <cell r="L196">
            <v>0</v>
          </cell>
          <cell r="M196">
            <v>0</v>
          </cell>
          <cell r="N196">
            <v>0</v>
          </cell>
          <cell r="O196">
            <v>0</v>
          </cell>
          <cell r="P196">
            <v>0</v>
          </cell>
          <cell r="Q196">
            <v>0</v>
          </cell>
          <cell r="R196">
            <v>0</v>
          </cell>
          <cell r="S196">
            <v>0</v>
          </cell>
          <cell r="T196">
            <v>0</v>
          </cell>
        </row>
        <row r="207">
          <cell r="A207">
            <v>207</v>
          </cell>
          <cell r="D207" t="str">
            <v>Individuals - Install Analog</v>
          </cell>
          <cell r="F207">
            <v>61.983471074380169</v>
          </cell>
          <cell r="G207" t="str">
            <v>RateInstallAnal</v>
          </cell>
          <cell r="I207">
            <v>36.595041322314053</v>
          </cell>
          <cell r="J207">
            <v>33.801652892561982</v>
          </cell>
          <cell r="K207">
            <v>41.32231404958678</v>
          </cell>
          <cell r="L207">
            <v>41.32231404958678</v>
          </cell>
          <cell r="M207">
            <v>41.32231404958678</v>
          </cell>
          <cell r="N207">
            <v>41.32231404958678</v>
          </cell>
          <cell r="O207">
            <v>41.32231404958678</v>
          </cell>
          <cell r="P207">
            <v>41.32231404958678</v>
          </cell>
          <cell r="Q207">
            <v>41.32231404958678</v>
          </cell>
          <cell r="R207">
            <v>41.32231404958678</v>
          </cell>
          <cell r="S207">
            <v>41.32231404958678</v>
          </cell>
          <cell r="T207">
            <v>41.32231404958678</v>
          </cell>
        </row>
        <row r="208">
          <cell r="A208">
            <v>208</v>
          </cell>
          <cell r="D208" t="str">
            <v>Individuals - Install Accessories</v>
          </cell>
          <cell r="F208">
            <v>0</v>
          </cell>
          <cell r="G208" t="str">
            <v>RateInstallDig</v>
          </cell>
          <cell r="I208">
            <v>0</v>
          </cell>
          <cell r="J208">
            <v>0</v>
          </cell>
          <cell r="K208">
            <v>0</v>
          </cell>
          <cell r="L208">
            <v>0</v>
          </cell>
          <cell r="M208">
            <v>0</v>
          </cell>
          <cell r="N208">
            <v>0</v>
          </cell>
          <cell r="O208">
            <v>0</v>
          </cell>
          <cell r="P208">
            <v>0</v>
          </cell>
          <cell r="Q208">
            <v>0</v>
          </cell>
          <cell r="R208">
            <v>0</v>
          </cell>
          <cell r="S208">
            <v>0</v>
          </cell>
          <cell r="T208">
            <v>0</v>
          </cell>
        </row>
        <row r="209">
          <cell r="A209">
            <v>209</v>
          </cell>
          <cell r="D209" t="str">
            <v>Individuals - Digital Card</v>
          </cell>
          <cell r="F209">
            <v>0</v>
          </cell>
          <cell r="G209" t="str">
            <v>RateAccessPremium</v>
          </cell>
          <cell r="I209">
            <v>0</v>
          </cell>
          <cell r="J209">
            <v>0</v>
          </cell>
          <cell r="K209">
            <v>0</v>
          </cell>
          <cell r="L209">
            <v>0</v>
          </cell>
          <cell r="M209">
            <v>0</v>
          </cell>
          <cell r="N209">
            <v>0</v>
          </cell>
          <cell r="O209">
            <v>0</v>
          </cell>
          <cell r="P209">
            <v>0</v>
          </cell>
          <cell r="Q209">
            <v>0</v>
          </cell>
          <cell r="R209">
            <v>0</v>
          </cell>
          <cell r="S209">
            <v>0</v>
          </cell>
          <cell r="T209">
            <v>0</v>
          </cell>
        </row>
        <row r="210">
          <cell r="A210">
            <v>210</v>
          </cell>
          <cell r="D210" t="str">
            <v>Individuals - Access Fee PPV</v>
          </cell>
          <cell r="F210">
            <v>0</v>
          </cell>
          <cell r="G210" t="str">
            <v>RateAccessPPV</v>
          </cell>
          <cell r="I210">
            <v>0</v>
          </cell>
          <cell r="J210">
            <v>0</v>
          </cell>
          <cell r="K210">
            <v>0</v>
          </cell>
          <cell r="L210">
            <v>0</v>
          </cell>
          <cell r="M210">
            <v>0</v>
          </cell>
          <cell r="N210">
            <v>0</v>
          </cell>
          <cell r="O210">
            <v>0</v>
          </cell>
          <cell r="P210">
            <v>0</v>
          </cell>
          <cell r="Q210">
            <v>0</v>
          </cell>
          <cell r="R210">
            <v>0</v>
          </cell>
          <cell r="S210">
            <v>0</v>
          </cell>
          <cell r="T210">
            <v>0</v>
          </cell>
        </row>
        <row r="221">
          <cell r="A221">
            <v>221</v>
          </cell>
          <cell r="D221" t="str">
            <v>Residential - Line Rental</v>
          </cell>
          <cell r="F221">
            <v>8.1823545251788268</v>
          </cell>
          <cell r="G221" t="str">
            <v>RateResTelRental</v>
          </cell>
          <cell r="I221">
            <v>8.1823545251788268</v>
          </cell>
          <cell r="J221">
            <v>8.1823545251788268</v>
          </cell>
          <cell r="K221">
            <v>8.1823545251788268</v>
          </cell>
          <cell r="L221">
            <v>8.1823545251788268</v>
          </cell>
          <cell r="M221">
            <v>8.1823545251788268</v>
          </cell>
          <cell r="N221">
            <v>8.1823545251788268</v>
          </cell>
          <cell r="O221">
            <v>8.1823545251788268</v>
          </cell>
          <cell r="P221">
            <v>8.1823545251788268</v>
          </cell>
          <cell r="Q221">
            <v>8.1823545251788268</v>
          </cell>
          <cell r="R221">
            <v>8.1823545251788268</v>
          </cell>
          <cell r="S221">
            <v>8.1823545251788268</v>
          </cell>
          <cell r="T221">
            <v>8.1823545251788268</v>
          </cell>
        </row>
        <row r="222">
          <cell r="A222">
            <v>222</v>
          </cell>
          <cell r="D222" t="str">
            <v>Residential - Usage</v>
          </cell>
          <cell r="F222">
            <v>18.082217317283586</v>
          </cell>
          <cell r="G222" t="str">
            <v>RateResTelUsage</v>
          </cell>
          <cell r="I222">
            <v>18.082217317283586</v>
          </cell>
          <cell r="J222">
            <v>18.082217317283586</v>
          </cell>
          <cell r="K222">
            <v>18.082217317283586</v>
          </cell>
          <cell r="L222">
            <v>18.082217317283586</v>
          </cell>
          <cell r="M222">
            <v>18.082217317283586</v>
          </cell>
          <cell r="N222">
            <v>18.082217317283586</v>
          </cell>
          <cell r="O222">
            <v>18.082217317283586</v>
          </cell>
          <cell r="P222">
            <v>18.082217317283586</v>
          </cell>
          <cell r="Q222">
            <v>18.082217317283586</v>
          </cell>
          <cell r="R222">
            <v>18.082217317283586</v>
          </cell>
          <cell r="S222">
            <v>18.082217317283586</v>
          </cell>
          <cell r="T222">
            <v>18.082217317283586</v>
          </cell>
        </row>
        <row r="223">
          <cell r="A223">
            <v>223</v>
          </cell>
          <cell r="D223" t="str">
            <v>Residential - Interconnect</v>
          </cell>
          <cell r="F223">
            <v>3.6159394997633703</v>
          </cell>
          <cell r="G223" t="str">
            <v>RateResTelInterco</v>
          </cell>
          <cell r="I223">
            <v>3.6159394997633703</v>
          </cell>
          <cell r="J223">
            <v>3.6159394997633703</v>
          </cell>
          <cell r="K223">
            <v>3.6159394997633703</v>
          </cell>
          <cell r="L223">
            <v>3.6159394997633703</v>
          </cell>
          <cell r="M223">
            <v>3.6159394997633703</v>
          </cell>
          <cell r="N223">
            <v>3.6159394997633703</v>
          </cell>
          <cell r="O223">
            <v>3.6159394997633703</v>
          </cell>
          <cell r="P223">
            <v>3.6159394997633703</v>
          </cell>
          <cell r="Q223">
            <v>3.6159394997633703</v>
          </cell>
          <cell r="R223">
            <v>3.6159394997633703</v>
          </cell>
          <cell r="S223">
            <v>3.6159394997633703</v>
          </cell>
          <cell r="T223">
            <v>3.6159394997633703</v>
          </cell>
        </row>
        <row r="224">
          <cell r="A224">
            <v>224</v>
          </cell>
          <cell r="D224" t="str">
            <v>Residential - enhanced serviced</v>
          </cell>
          <cell r="F224">
            <v>0.75342572155348275</v>
          </cell>
          <cell r="G224" t="str">
            <v>RateResTelService</v>
          </cell>
          <cell r="I224">
            <v>0.75342572155348275</v>
          </cell>
          <cell r="J224">
            <v>0.75342572155348275</v>
          </cell>
          <cell r="K224">
            <v>0.75342572155348275</v>
          </cell>
          <cell r="L224">
            <v>0.75342572155348275</v>
          </cell>
          <cell r="M224">
            <v>0.75342572155348275</v>
          </cell>
          <cell r="N224">
            <v>0.75342572155348275</v>
          </cell>
          <cell r="O224">
            <v>0.75342572155348275</v>
          </cell>
          <cell r="P224">
            <v>0.75342572155348275</v>
          </cell>
          <cell r="Q224">
            <v>0.75342572155348275</v>
          </cell>
          <cell r="R224">
            <v>0.75342572155348275</v>
          </cell>
          <cell r="S224">
            <v>0.75342572155348275</v>
          </cell>
          <cell r="T224">
            <v>0.75342572155348275</v>
          </cell>
        </row>
        <row r="232">
          <cell r="A232">
            <v>232</v>
          </cell>
          <cell r="D232" t="str">
            <v>Residential (excl. VAT)</v>
          </cell>
          <cell r="F232">
            <v>31.497730834175698</v>
          </cell>
          <cell r="G232" t="str">
            <v>RateResTelInstall</v>
          </cell>
          <cell r="I232">
            <v>31.497730834175698</v>
          </cell>
          <cell r="J232">
            <v>31.497730834175698</v>
          </cell>
          <cell r="K232">
            <v>31.497730834175698</v>
          </cell>
          <cell r="L232">
            <v>31.970196796688331</v>
          </cell>
          <cell r="M232">
            <v>32.449749748638652</v>
          </cell>
          <cell r="N232">
            <v>32.936495994868231</v>
          </cell>
          <cell r="O232">
            <v>33.430543434791247</v>
          </cell>
          <cell r="P232">
            <v>33.932001586313113</v>
          </cell>
          <cell r="Q232">
            <v>34.440981610107798</v>
          </cell>
          <cell r="R232">
            <v>34.957596334259406</v>
          </cell>
          <cell r="S232">
            <v>35.481960279273302</v>
          </cell>
          <cell r="T232">
            <v>36.014189683462391</v>
          </cell>
        </row>
        <row r="244">
          <cell r="A244">
            <v>244</v>
          </cell>
          <cell r="C244" t="str">
            <v>Monthly Subscriptions Data (excl. VAT)</v>
          </cell>
          <cell r="L244">
            <v>33.438186591473936</v>
          </cell>
        </row>
        <row r="245">
          <cell r="A245">
            <v>245</v>
          </cell>
          <cell r="D245" t="str">
            <v>Subscription Medium Broadband</v>
          </cell>
          <cell r="F245">
            <v>29.75206611570248</v>
          </cell>
          <cell r="G245" t="str">
            <v>RateResData</v>
          </cell>
          <cell r="I245">
            <v>28.264462809917358</v>
          </cell>
          <cell r="J245">
            <v>36.363636363636367</v>
          </cell>
          <cell r="K245">
            <v>29.75206611570248</v>
          </cell>
          <cell r="L245">
            <v>27.272727272727273</v>
          </cell>
          <cell r="M245">
            <v>24.793388429752067</v>
          </cell>
          <cell r="N245">
            <v>23.966942148760332</v>
          </cell>
          <cell r="O245">
            <v>23.140495867768596</v>
          </cell>
          <cell r="P245">
            <v>22.314049586776861</v>
          </cell>
          <cell r="Q245">
            <v>21.487603305785125</v>
          </cell>
          <cell r="R245">
            <v>20.66115702479339</v>
          </cell>
          <cell r="S245">
            <v>19.834710743801654</v>
          </cell>
          <cell r="T245">
            <v>19.008264462809919</v>
          </cell>
        </row>
        <row r="246">
          <cell r="A246">
            <v>246</v>
          </cell>
          <cell r="D246" t="str">
            <v>Rental Fee Cable Modem</v>
          </cell>
          <cell r="F246">
            <v>0</v>
          </cell>
          <cell r="G246" t="str">
            <v>RateResDataDecod</v>
          </cell>
          <cell r="I246">
            <v>0</v>
          </cell>
          <cell r="J246">
            <v>6.776859504132231</v>
          </cell>
          <cell r="K246">
            <v>5.6695915501516261</v>
          </cell>
          <cell r="L246">
            <v>5.6695915501516261</v>
          </cell>
          <cell r="M246">
            <v>5.6695915501516261</v>
          </cell>
          <cell r="N246">
            <v>5.6695915501516261</v>
          </cell>
          <cell r="O246">
            <v>5.6695915501516261</v>
          </cell>
          <cell r="P246">
            <v>5.6695915501516261</v>
          </cell>
          <cell r="Q246">
            <v>5.6695915501516261</v>
          </cell>
          <cell r="R246">
            <v>5.6695915501516261</v>
          </cell>
          <cell r="S246">
            <v>5.6695915501516261</v>
          </cell>
          <cell r="T246">
            <v>5.6695915501516261</v>
          </cell>
        </row>
        <row r="254">
          <cell r="A254">
            <v>254</v>
          </cell>
          <cell r="D254" t="str">
            <v>Residential (excl. VAT)</v>
          </cell>
          <cell r="G254" t="str">
            <v>RateResDataInstall</v>
          </cell>
          <cell r="I254">
            <v>72.727272727272734</v>
          </cell>
          <cell r="J254">
            <v>99.41783211769534</v>
          </cell>
          <cell r="K254">
            <v>99.41783211769534</v>
          </cell>
          <cell r="L254">
            <v>61.983471074380169</v>
          </cell>
          <cell r="M254">
            <v>49.586776859504134</v>
          </cell>
          <cell r="N254">
            <v>49.586776859504134</v>
          </cell>
          <cell r="O254">
            <v>49.586776859504134</v>
          </cell>
          <cell r="P254">
            <v>49.586776859504134</v>
          </cell>
          <cell r="Q254">
            <v>49.586776859504134</v>
          </cell>
          <cell r="R254">
            <v>49.586776859504134</v>
          </cell>
          <cell r="S254">
            <v>49.586776859504134</v>
          </cell>
          <cell r="T254">
            <v>49.586776859504134</v>
          </cell>
        </row>
        <row r="273">
          <cell r="A273">
            <v>273</v>
          </cell>
          <cell r="D273" t="str">
            <v>Total CATV Revenues</v>
          </cell>
          <cell r="I273">
            <v>14505</v>
          </cell>
          <cell r="J273">
            <v>14329</v>
          </cell>
          <cell r="K273">
            <v>14883.386478485767</v>
          </cell>
          <cell r="L273">
            <v>15136.030879256516</v>
          </cell>
          <cell r="M273">
            <v>15161.3689307449</v>
          </cell>
          <cell r="N273">
            <v>15344.254856658632</v>
          </cell>
          <cell r="O273">
            <v>15529.873373871545</v>
          </cell>
          <cell r="P273">
            <v>15557.819667802109</v>
          </cell>
          <cell r="Q273">
            <v>15583.745065205378</v>
          </cell>
          <cell r="R273">
            <v>15609.692568551125</v>
          </cell>
          <cell r="S273">
            <v>15635.662193463957</v>
          </cell>
          <cell r="T273">
            <v>15661.65395557856</v>
          </cell>
        </row>
        <row r="285">
          <cell r="A285">
            <v>285</v>
          </cell>
          <cell r="C285" t="str">
            <v>Total Revenues Telephony</v>
          </cell>
          <cell r="G285" t="str">
            <v>RevTelRes</v>
          </cell>
          <cell r="I285">
            <v>0</v>
          </cell>
          <cell r="J285">
            <v>0</v>
          </cell>
          <cell r="K285">
            <v>0</v>
          </cell>
          <cell r="L285">
            <v>0</v>
          </cell>
          <cell r="M285">
            <v>0</v>
          </cell>
          <cell r="N285">
            <v>0</v>
          </cell>
          <cell r="O285">
            <v>0</v>
          </cell>
          <cell r="P285">
            <v>0</v>
          </cell>
          <cell r="Q285">
            <v>0</v>
          </cell>
          <cell r="R285">
            <v>0</v>
          </cell>
          <cell r="S285">
            <v>0</v>
          </cell>
          <cell r="T285">
            <v>0</v>
          </cell>
        </row>
        <row r="291">
          <cell r="A291">
            <v>291</v>
          </cell>
          <cell r="D291" t="str">
            <v>Total Revenues Data</v>
          </cell>
          <cell r="G291" t="str">
            <v>RevDataRes</v>
          </cell>
          <cell r="I291">
            <v>333</v>
          </cell>
          <cell r="J291">
            <v>2182</v>
          </cell>
          <cell r="K291">
            <v>3449.3025192370274</v>
          </cell>
          <cell r="L291">
            <v>4310.0966186943024</v>
          </cell>
          <cell r="M291">
            <v>5199.0749940643445</v>
          </cell>
          <cell r="N291">
            <v>6321.3735882482588</v>
          </cell>
          <cell r="O291">
            <v>7376.7403362157165</v>
          </cell>
          <cell r="P291">
            <v>8365.0739991233313</v>
          </cell>
          <cell r="Q291">
            <v>9131.1627258238987</v>
          </cell>
          <cell r="R291">
            <v>9708.8231928978457</v>
          </cell>
          <cell r="S291">
            <v>10235.917248014233</v>
          </cell>
          <cell r="T291">
            <v>10712.368609451161</v>
          </cell>
        </row>
        <row r="318">
          <cell r="A318">
            <v>318</v>
          </cell>
          <cell r="D318" t="str">
            <v>Total Cost of Sales CATV</v>
          </cell>
          <cell r="F318" t="str">
            <v xml:space="preserve"> </v>
          </cell>
          <cell r="G318" t="str">
            <v>DirCostCATV</v>
          </cell>
          <cell r="I318">
            <v>0</v>
          </cell>
          <cell r="J318">
            <v>0</v>
          </cell>
          <cell r="K318">
            <v>0</v>
          </cell>
          <cell r="L318">
            <v>2050.7612395847582</v>
          </cell>
          <cell r="M318">
            <v>2054.2601419780185</v>
          </cell>
          <cell r="N318">
            <v>2080.2216022079247</v>
          </cell>
          <cell r="O318">
            <v>2107.5482781352657</v>
          </cell>
          <cell r="P318">
            <v>2112.3941849137045</v>
          </cell>
          <cell r="Q318">
            <v>2115.9799452208713</v>
          </cell>
          <cell r="R318">
            <v>2119.5687631897981</v>
          </cell>
          <cell r="S318">
            <v>2123.1606409817077</v>
          </cell>
          <cell r="T318">
            <v>2126.7555807592189</v>
          </cell>
        </row>
        <row r="330">
          <cell r="A330">
            <v>330</v>
          </cell>
          <cell r="C330" t="str">
            <v>Total Cost of SalesTelephony</v>
          </cell>
          <cell r="E330" t="str">
            <v>DirCostTel</v>
          </cell>
          <cell r="I330">
            <v>0</v>
          </cell>
          <cell r="J330">
            <v>0</v>
          </cell>
          <cell r="K330">
            <v>0</v>
          </cell>
          <cell r="L330">
            <v>0</v>
          </cell>
          <cell r="M330">
            <v>0</v>
          </cell>
          <cell r="N330">
            <v>0</v>
          </cell>
          <cell r="O330">
            <v>0</v>
          </cell>
          <cell r="P330">
            <v>0</v>
          </cell>
          <cell r="Q330">
            <v>0</v>
          </cell>
          <cell r="R330">
            <v>0</v>
          </cell>
          <cell r="S330">
            <v>0</v>
          </cell>
          <cell r="T330">
            <v>0</v>
          </cell>
        </row>
        <row r="334">
          <cell r="A334">
            <v>334</v>
          </cell>
          <cell r="D334" t="str">
            <v>Total Cost of Sales Data Service</v>
          </cell>
          <cell r="G334" t="str">
            <v>DirCostData</v>
          </cell>
          <cell r="I334">
            <v>0</v>
          </cell>
          <cell r="J334">
            <v>0</v>
          </cell>
          <cell r="K334">
            <v>0</v>
          </cell>
          <cell r="L334">
            <v>1237.2392782542101</v>
          </cell>
          <cell r="M334">
            <v>1278.5019131875254</v>
          </cell>
          <cell r="N334">
            <v>1245.1229039247214</v>
          </cell>
          <cell r="O334">
            <v>1454.0557739640362</v>
          </cell>
          <cell r="P334">
            <v>1649.5798912997816</v>
          </cell>
          <cell r="Q334">
            <v>1803.0483585857398</v>
          </cell>
          <cell r="R334">
            <v>1916.9682837063174</v>
          </cell>
          <cell r="S334">
            <v>2020.773320063136</v>
          </cell>
          <cell r="T334">
            <v>2114.4482101084845</v>
          </cell>
        </row>
        <row r="345">
          <cell r="A345">
            <v>345</v>
          </cell>
          <cell r="C345" t="str">
            <v>TOTAL GROSS MARGIN</v>
          </cell>
          <cell r="G345" t="str">
            <v>GrossMarginTot</v>
          </cell>
          <cell r="I345">
            <v>26790</v>
          </cell>
          <cell r="J345">
            <v>22918</v>
          </cell>
          <cell r="K345">
            <v>21132.688997722795</v>
          </cell>
          <cell r="L345">
            <v>18238.126980111847</v>
          </cell>
          <cell r="M345">
            <v>19020.681869643704</v>
          </cell>
          <cell r="N345">
            <v>20273.283938774246</v>
          </cell>
          <cell r="O345">
            <v>21295.009657987961</v>
          </cell>
          <cell r="P345">
            <v>22121.419590711954</v>
          </cell>
          <cell r="Q345">
            <v>22767.194487222663</v>
          </cell>
          <cell r="R345">
            <v>23264.433164552858</v>
          </cell>
          <cell r="S345">
            <v>23604.520647693349</v>
          </cell>
          <cell r="T345">
            <v>24018.000196439818</v>
          </cell>
        </row>
        <row r="482">
          <cell r="A482">
            <v>482</v>
          </cell>
          <cell r="C482" t="str">
            <v>Total Sales &amp; Marketing</v>
          </cell>
          <cell r="G482" t="str">
            <v>CostSalesMkg</v>
          </cell>
          <cell r="I482">
            <v>0</v>
          </cell>
          <cell r="J482">
            <v>0</v>
          </cell>
          <cell r="K482">
            <v>0</v>
          </cell>
          <cell r="L482">
            <v>1057.2577078556005</v>
          </cell>
          <cell r="M482">
            <v>969.13116980465202</v>
          </cell>
          <cell r="N482">
            <v>933.37717746293333</v>
          </cell>
          <cell r="O482">
            <v>896.35024451576794</v>
          </cell>
          <cell r="P482">
            <v>907.46863014571102</v>
          </cell>
          <cell r="Q482">
            <v>911.95147179136291</v>
          </cell>
          <cell r="R482">
            <v>924.27973299809946</v>
          </cell>
          <cell r="S482">
            <v>887.25874757223733</v>
          </cell>
          <cell r="T482">
            <v>900.54936606238039</v>
          </cell>
        </row>
        <row r="516">
          <cell r="A516">
            <v>516</v>
          </cell>
        </row>
        <row r="517">
          <cell r="A517">
            <v>517</v>
          </cell>
          <cell r="C517" t="str">
            <v>Total Customer Services expenses</v>
          </cell>
          <cell r="F517" t="str">
            <v>en K€</v>
          </cell>
          <cell r="G517" t="str">
            <v>CostCustServ</v>
          </cell>
          <cell r="I517">
            <v>0</v>
          </cell>
          <cell r="J517">
            <v>0</v>
          </cell>
          <cell r="K517">
            <v>0</v>
          </cell>
          <cell r="L517">
            <v>513.07962524947402</v>
          </cell>
          <cell r="M517">
            <v>525.9367640581911</v>
          </cell>
          <cell r="N517">
            <v>526.69490066523815</v>
          </cell>
          <cell r="O517">
            <v>564.70066456089694</v>
          </cell>
          <cell r="P517">
            <v>600.36632456749237</v>
          </cell>
          <cell r="Q517">
            <v>627.29910606268675</v>
          </cell>
          <cell r="R517">
            <v>652.55349886763827</v>
          </cell>
          <cell r="S517">
            <v>676.15461983480657</v>
          </cell>
          <cell r="T517">
            <v>700.50189716657087</v>
          </cell>
        </row>
        <row r="535">
          <cell r="A535">
            <v>535</v>
          </cell>
          <cell r="D535" t="str">
            <v xml:space="preserve">Technical Staff expenses </v>
          </cell>
          <cell r="I535">
            <v>0</v>
          </cell>
          <cell r="J535">
            <v>0</v>
          </cell>
          <cell r="K535">
            <v>0</v>
          </cell>
          <cell r="L535">
            <v>0</v>
          </cell>
          <cell r="M535">
            <v>0</v>
          </cell>
          <cell r="N535">
            <v>0</v>
          </cell>
          <cell r="O535">
            <v>0</v>
          </cell>
          <cell r="P535">
            <v>0</v>
          </cell>
          <cell r="Q535">
            <v>0</v>
          </cell>
          <cell r="R535">
            <v>0</v>
          </cell>
          <cell r="S535">
            <v>0</v>
          </cell>
          <cell r="T535">
            <v>0</v>
          </cell>
        </row>
        <row r="536">
          <cell r="A536">
            <v>536</v>
          </cell>
          <cell r="D536" t="str">
            <v>Total Network Operation Expenses</v>
          </cell>
          <cell r="F536" t="str">
            <v>en K€</v>
          </cell>
          <cell r="G536" t="str">
            <v>CostNetWorkOps</v>
          </cell>
          <cell r="I536">
            <v>0</v>
          </cell>
          <cell r="J536">
            <v>0</v>
          </cell>
          <cell r="K536">
            <v>0</v>
          </cell>
          <cell r="L536">
            <v>1391.0380083749999</v>
          </cell>
          <cell r="M536">
            <v>1409.7655996435335</v>
          </cell>
          <cell r="N536">
            <v>1422.4252194142784</v>
          </cell>
          <cell r="O536">
            <v>1435.6124693201964</v>
          </cell>
          <cell r="P536">
            <v>1448.7535048348868</v>
          </cell>
          <cell r="Q536">
            <v>1461.613905045175</v>
          </cell>
          <cell r="R536">
            <v>1474.4787783951988</v>
          </cell>
          <cell r="S536">
            <v>1427.8077447704063</v>
          </cell>
          <cell r="T536">
            <v>1441.6156107542276</v>
          </cell>
          <cell r="U536">
            <v>0</v>
          </cell>
        </row>
        <row r="567">
          <cell r="A567">
            <v>567</v>
          </cell>
          <cell r="D567" t="str">
            <v>Total taxes</v>
          </cell>
          <cell r="J567">
            <v>0</v>
          </cell>
          <cell r="K567">
            <v>0</v>
          </cell>
          <cell r="L567">
            <v>565.69284903808148</v>
          </cell>
          <cell r="M567">
            <v>575.77660758366392</v>
          </cell>
          <cell r="N567">
            <v>576.58835293890024</v>
          </cell>
          <cell r="O567">
            <v>582.61141171223846</v>
          </cell>
          <cell r="P567">
            <v>588.95120052738162</v>
          </cell>
          <cell r="Q567">
            <v>590.0754508999795</v>
          </cell>
          <cell r="R567">
            <v>590.9073472912421</v>
          </cell>
          <cell r="S567">
            <v>537.1827989168662</v>
          </cell>
          <cell r="T567">
            <v>538.72476253840273</v>
          </cell>
        </row>
        <row r="569">
          <cell r="A569">
            <v>569</v>
          </cell>
          <cell r="D569" t="str">
            <v>Total G&amp;A Expenses</v>
          </cell>
          <cell r="F569" t="str">
            <v>en K€</v>
          </cell>
          <cell r="G569" t="str">
            <v>CostGenAdmin</v>
          </cell>
          <cell r="I569">
            <v>0</v>
          </cell>
          <cell r="J569">
            <v>0</v>
          </cell>
          <cell r="K569">
            <v>0</v>
          </cell>
          <cell r="L569">
            <v>1356.7134200968551</v>
          </cell>
          <cell r="M569">
            <v>1361.046437909356</v>
          </cell>
          <cell r="N569">
            <v>1363.4963915429007</v>
          </cell>
          <cell r="O569">
            <v>1373.4087341323707</v>
          </cell>
          <cell r="P569">
            <v>1383.6961460208877</v>
          </cell>
          <cell r="Q569">
            <v>1388.82723381296</v>
          </cell>
          <cell r="R569">
            <v>1391.6111356067665</v>
          </cell>
          <cell r="S569">
            <v>1344.1294658910915</v>
          </cell>
          <cell r="T569">
            <v>1349.8612927543134</v>
          </cell>
        </row>
        <row r="581">
          <cell r="A581">
            <v>581</v>
          </cell>
          <cell r="D581" t="str">
            <v>General &amp; Administration</v>
          </cell>
          <cell r="L581">
            <v>1356.7134200968551</v>
          </cell>
          <cell r="M581">
            <v>1361.046437909356</v>
          </cell>
          <cell r="N581">
            <v>1363.4963915429007</v>
          </cell>
          <cell r="O581">
            <v>1373.4087341323707</v>
          </cell>
          <cell r="P581">
            <v>1383.6961460208877</v>
          </cell>
          <cell r="Q581">
            <v>1388.82723381296</v>
          </cell>
          <cell r="R581">
            <v>1391.6111356067665</v>
          </cell>
          <cell r="S581">
            <v>1344.1294658910915</v>
          </cell>
          <cell r="T581">
            <v>1349.8612927543134</v>
          </cell>
        </row>
        <row r="613">
          <cell r="A613">
            <v>613</v>
          </cell>
          <cell r="C613" t="str">
            <v>-</v>
          </cell>
          <cell r="D613" t="str">
            <v>Operating Expenses</v>
          </cell>
          <cell r="I613">
            <v>35702</v>
          </cell>
          <cell r="J613">
            <v>25377</v>
          </cell>
          <cell r="K613">
            <v>21348</v>
          </cell>
          <cell r="L613">
            <v>9954.9118135306544</v>
          </cell>
          <cell r="M613">
            <v>8230.6024826604335</v>
          </cell>
          <cell r="N613">
            <v>8159.1431979166919</v>
          </cell>
          <cell r="O613">
            <v>8254.3114849529084</v>
          </cell>
          <cell r="P613">
            <v>8368.285557729916</v>
          </cell>
          <cell r="Q613">
            <v>8465.9244064699342</v>
          </cell>
          <cell r="R613">
            <v>8532.0072504380987</v>
          </cell>
          <cell r="S613">
            <v>8539.0657626699285</v>
          </cell>
          <cell r="T613">
            <v>8658.9383770353706</v>
          </cell>
        </row>
        <row r="762">
          <cell r="A762">
            <v>762</v>
          </cell>
          <cell r="D762" t="str">
            <v>Total Investment General (Land, SSE &amp; Improvements)</v>
          </cell>
          <cell r="I762">
            <v>781.36803447482066</v>
          </cell>
          <cell r="J762">
            <v>734.71803447482057</v>
          </cell>
          <cell r="K762">
            <v>702.44901723741009</v>
          </cell>
          <cell r="L762">
            <v>649.99999999999989</v>
          </cell>
          <cell r="M762">
            <v>330</v>
          </cell>
          <cell r="N762">
            <v>330</v>
          </cell>
          <cell r="O762">
            <v>330</v>
          </cell>
          <cell r="P762">
            <v>330</v>
          </cell>
          <cell r="Q762">
            <v>330</v>
          </cell>
          <cell r="R762">
            <v>330</v>
          </cell>
          <cell r="S762">
            <v>330</v>
          </cell>
          <cell r="T762">
            <v>330</v>
          </cell>
        </row>
        <row r="921">
          <cell r="A921">
            <v>921</v>
          </cell>
          <cell r="D921" t="str">
            <v>Existing Depreciation</v>
          </cell>
          <cell r="I921">
            <v>2000</v>
          </cell>
          <cell r="J921">
            <v>1900</v>
          </cell>
          <cell r="K921">
            <v>1805</v>
          </cell>
          <cell r="L921">
            <v>1714.75</v>
          </cell>
          <cell r="M921">
            <v>1629.0124999999998</v>
          </cell>
          <cell r="N921">
            <v>1547.5618749999996</v>
          </cell>
          <cell r="O921">
            <v>1470.1837812499996</v>
          </cell>
          <cell r="P921">
            <v>1396.6745921874995</v>
          </cell>
          <cell r="Q921">
            <v>1326.8408625781244</v>
          </cell>
          <cell r="R921">
            <v>1260.4988194492182</v>
          </cell>
          <cell r="S921">
            <v>1197.4738784767574</v>
          </cell>
          <cell r="T921">
            <v>1137.6001845529195</v>
          </cell>
        </row>
        <row r="927">
          <cell r="A927">
            <v>927</v>
          </cell>
          <cell r="D927" t="str">
            <v>Stocks</v>
          </cell>
          <cell r="F927">
            <v>60</v>
          </cell>
          <cell r="G927" t="str">
            <v>TotalInventory</v>
          </cell>
          <cell r="H927" t="str">
            <v>of CPE Investments</v>
          </cell>
          <cell r="I927">
            <v>0</v>
          </cell>
          <cell r="J927">
            <v>0</v>
          </cell>
          <cell r="K927">
            <v>429.85132812500001</v>
          </cell>
          <cell r="L927">
            <v>203.07689375000001</v>
          </cell>
          <cell r="M927">
            <v>165.32712570230424</v>
          </cell>
          <cell r="N927">
            <v>167.10870363578275</v>
          </cell>
          <cell r="O927">
            <v>169.68277190256964</v>
          </cell>
          <cell r="P927">
            <v>172.47660141230324</v>
          </cell>
          <cell r="Q927">
            <v>160.45897552321233</v>
          </cell>
          <cell r="R927">
            <v>162.98184808598759</v>
          </cell>
          <cell r="S927">
            <v>156.06650763191797</v>
          </cell>
          <cell r="T927">
            <v>157.45182519040594</v>
          </cell>
        </row>
        <row r="935">
          <cell r="A935">
            <v>935</v>
          </cell>
          <cell r="D935" t="str">
            <v>Net Working Capital</v>
          </cell>
          <cell r="F935">
            <v>0</v>
          </cell>
          <cell r="I935">
            <v>0</v>
          </cell>
          <cell r="J935">
            <v>0</v>
          </cell>
          <cell r="K935">
            <v>-11783.343402355647</v>
          </cell>
          <cell r="L935">
            <v>-10691.498428999685</v>
          </cell>
          <cell r="M935">
            <v>-10337.500559322034</v>
          </cell>
          <cell r="N935">
            <v>-10169.767759865475</v>
          </cell>
          <cell r="O935">
            <v>-10089.023371417441</v>
          </cell>
          <cell r="P935">
            <v>-10028.94014451337</v>
          </cell>
          <cell r="Q935">
            <v>-9973.8583314222487</v>
          </cell>
          <cell r="R935">
            <v>-9937.1296172631446</v>
          </cell>
          <cell r="S935">
            <v>-9913.1879417243217</v>
          </cell>
          <cell r="T935">
            <v>-9891.9665771169821</v>
          </cell>
        </row>
        <row r="939">
          <cell r="A939">
            <v>939</v>
          </cell>
          <cell r="D939" t="str">
            <v>Customer Deposit Cable Modem</v>
          </cell>
          <cell r="F939">
            <v>75</v>
          </cell>
          <cell r="I939">
            <v>0</v>
          </cell>
          <cell r="J939">
            <v>0</v>
          </cell>
          <cell r="K939">
            <v>250.16249999999999</v>
          </cell>
          <cell r="L939">
            <v>257.32453125000012</v>
          </cell>
          <cell r="M939">
            <v>257.58169523437488</v>
          </cell>
          <cell r="N939">
            <v>257.83905205160158</v>
          </cell>
          <cell r="O939">
            <v>258.09660183022157</v>
          </cell>
          <cell r="P939">
            <v>258.35434469885706</v>
          </cell>
          <cell r="Q939">
            <v>194.20063355529072</v>
          </cell>
          <cell r="R939">
            <v>194.39435134291534</v>
          </cell>
          <cell r="S939">
            <v>194.58821429816871</v>
          </cell>
          <cell r="T939">
            <v>194.78222251778899</v>
          </cell>
        </row>
      </sheetData>
      <sheetData sheetId="8"/>
      <sheetData sheetId="9" refreshError="1">
        <row r="454">
          <cell r="A454">
            <v>454</v>
          </cell>
          <cell r="D454" t="str">
            <v xml:space="preserve">Total Salaries &amp; Social Cost </v>
          </cell>
          <cell r="I454">
            <v>2136</v>
          </cell>
          <cell r="J454">
            <v>2222</v>
          </cell>
          <cell r="K454">
            <v>2388.44</v>
          </cell>
          <cell r="L454">
            <v>1853.9520000000002</v>
          </cell>
          <cell r="M454">
            <v>1177.4622959999999</v>
          </cell>
          <cell r="N454">
            <v>1255.2604948799999</v>
          </cell>
          <cell r="O454">
            <v>1334.1625831296001</v>
          </cell>
          <cell r="P454">
            <v>1360.8458347921921</v>
          </cell>
          <cell r="Q454">
            <v>1330.4933286152602</v>
          </cell>
          <cell r="R454">
            <v>1415.8240065177965</v>
          </cell>
          <cell r="S454">
            <v>1384.2452590913169</v>
          </cell>
          <cell r="T454">
            <v>1411.9301642731432</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conso"/>
      <sheetName val="STAT A1"/>
      <sheetName val="A1"/>
      <sheetName val="Bru Lux EV"/>
      <sheetName val="Br Lux"/>
      <sheetName val="STATEMENTS BRU"/>
      <sheetName val="STAT BRU"/>
      <sheetName val="STATEMENTS LUX "/>
      <sheetName val="STAT LUX"/>
      <sheetName val="CONso AFE"/>
      <sheetName val="HOLDING AFE"/>
      <sheetName val="  STAT EV"/>
      <sheetName val="STATEMENTS EV"/>
      <sheetName val="checks operations"/>
      <sheetName val="checks PL BS"/>
    </sheetNames>
    <sheetDataSet>
      <sheetData sheetId="0" refreshError="1"/>
      <sheetData sheetId="1" refreshError="1"/>
      <sheetData sheetId="2" refreshError="1"/>
      <sheetData sheetId="3" refreshError="1"/>
      <sheetData sheetId="4" refreshError="1"/>
      <sheetData sheetId="5" refreshError="1"/>
      <sheetData sheetId="6" refreshError="1">
        <row r="8">
          <cell r="A8">
            <v>8</v>
          </cell>
          <cell r="D8" t="str">
            <v xml:space="preserve">Inflation </v>
          </cell>
          <cell r="F8">
            <v>1.4999999999999999E-2</v>
          </cell>
          <cell r="G8" t="str">
            <v>Inflation</v>
          </cell>
          <cell r="I8">
            <v>1</v>
          </cell>
          <cell r="J8">
            <v>1</v>
          </cell>
          <cell r="K8">
            <v>1</v>
          </cell>
          <cell r="L8">
            <v>1.0149999999999999</v>
          </cell>
          <cell r="M8">
            <v>1.0302249999999997</v>
          </cell>
          <cell r="N8">
            <v>1.0456783749999996</v>
          </cell>
          <cell r="O8">
            <v>1.0613635506249994</v>
          </cell>
          <cell r="P8">
            <v>1.0772840038843743</v>
          </cell>
          <cell r="Q8">
            <v>1.0934432639426397</v>
          </cell>
          <cell r="R8">
            <v>1.1098449129017791</v>
          </cell>
          <cell r="S8">
            <v>1.1264925865953057</v>
          </cell>
          <cell r="T8">
            <v>1.1433899753942351</v>
          </cell>
        </row>
        <row r="12">
          <cell r="A12">
            <v>12</v>
          </cell>
          <cell r="D12" t="str">
            <v>Seasonality rate (Beg/Ending)</v>
          </cell>
          <cell r="F12">
            <v>0.5</v>
          </cell>
          <cell r="G12" t="str">
            <v>SeasonRate</v>
          </cell>
          <cell r="I12">
            <v>0.5</v>
          </cell>
          <cell r="J12">
            <v>0.5</v>
          </cell>
          <cell r="K12">
            <v>0.5</v>
          </cell>
          <cell r="L12">
            <v>0.5</v>
          </cell>
          <cell r="M12">
            <v>0.5</v>
          </cell>
          <cell r="N12">
            <v>0.5</v>
          </cell>
          <cell r="O12">
            <v>0.5</v>
          </cell>
          <cell r="P12">
            <v>0.5</v>
          </cell>
          <cell r="Q12">
            <v>0.5</v>
          </cell>
          <cell r="R12">
            <v>0.5</v>
          </cell>
          <cell r="S12">
            <v>0.5</v>
          </cell>
          <cell r="T12">
            <v>0.5</v>
          </cell>
        </row>
        <row r="20">
          <cell r="A20">
            <v>20</v>
          </cell>
          <cell r="D20" t="str">
            <v>Homes Passed  TV</v>
          </cell>
          <cell r="G20" t="str">
            <v>HPTV</v>
          </cell>
          <cell r="I20">
            <v>171250</v>
          </cell>
          <cell r="J20">
            <v>171250</v>
          </cell>
          <cell r="K20">
            <v>171250</v>
          </cell>
          <cell r="L20">
            <v>171335.625</v>
          </cell>
          <cell r="M20">
            <v>171421.2928125</v>
          </cell>
          <cell r="N20">
            <v>171507.00345890626</v>
          </cell>
          <cell r="O20">
            <v>171592.75696063571</v>
          </cell>
          <cell r="P20">
            <v>171678.55333911601</v>
          </cell>
          <cell r="Q20">
            <v>171764.39261578556</v>
          </cell>
          <cell r="R20">
            <v>171850.27481209344</v>
          </cell>
          <cell r="S20">
            <v>171936.19994949948</v>
          </cell>
          <cell r="T20">
            <v>172022.16804947422</v>
          </cell>
        </row>
        <row r="22">
          <cell r="A22">
            <v>22</v>
          </cell>
          <cell r="D22" t="str">
            <v>Homes Passed  Digital</v>
          </cell>
          <cell r="G22" t="str">
            <v>HPDigTV</v>
          </cell>
          <cell r="I22">
            <v>171250</v>
          </cell>
          <cell r="J22">
            <v>171250</v>
          </cell>
          <cell r="K22">
            <v>171250</v>
          </cell>
          <cell r="L22">
            <v>171335.625</v>
          </cell>
          <cell r="M22">
            <v>171421.2928125</v>
          </cell>
          <cell r="N22">
            <v>171507.00345890626</v>
          </cell>
          <cell r="O22">
            <v>171592.75696063571</v>
          </cell>
          <cell r="P22">
            <v>171678.55333911601</v>
          </cell>
          <cell r="Q22">
            <v>171764.39261578556</v>
          </cell>
          <cell r="R22">
            <v>171850.27481209344</v>
          </cell>
          <cell r="S22">
            <v>171936.19994949948</v>
          </cell>
          <cell r="T22">
            <v>172022.16804947422</v>
          </cell>
        </row>
        <row r="23">
          <cell r="A23">
            <v>23</v>
          </cell>
          <cell r="D23" t="str">
            <v>Homes Passed  RFS - Telephony (Yes =1; No=0)</v>
          </cell>
          <cell r="G23" t="str">
            <v>HPRFSTel</v>
          </cell>
          <cell r="H23">
            <v>0</v>
          </cell>
          <cell r="I23">
            <v>0</v>
          </cell>
          <cell r="J23">
            <v>0</v>
          </cell>
          <cell r="K23">
            <v>0</v>
          </cell>
          <cell r="L23">
            <v>0</v>
          </cell>
          <cell r="M23">
            <v>0</v>
          </cell>
          <cell r="N23">
            <v>0</v>
          </cell>
          <cell r="O23">
            <v>0</v>
          </cell>
          <cell r="P23">
            <v>0</v>
          </cell>
          <cell r="Q23">
            <v>0</v>
          </cell>
          <cell r="R23">
            <v>0</v>
          </cell>
          <cell r="S23">
            <v>0</v>
          </cell>
          <cell r="T23">
            <v>0</v>
          </cell>
        </row>
        <row r="24">
          <cell r="A24">
            <v>24</v>
          </cell>
          <cell r="D24" t="str">
            <v>Homes Passed  RFS - Data Services</v>
          </cell>
          <cell r="G24" t="str">
            <v>HPRFSData</v>
          </cell>
          <cell r="I24">
            <v>137000</v>
          </cell>
          <cell r="J24">
            <v>171250</v>
          </cell>
          <cell r="K24">
            <v>171250</v>
          </cell>
          <cell r="L24">
            <v>171335.625</v>
          </cell>
          <cell r="M24">
            <v>171421.2928125</v>
          </cell>
          <cell r="N24">
            <v>171507.00345890626</v>
          </cell>
          <cell r="O24">
            <v>171592.75696063571</v>
          </cell>
          <cell r="P24">
            <v>171678.55333911601</v>
          </cell>
          <cell r="Q24">
            <v>171764.39261578556</v>
          </cell>
          <cell r="R24">
            <v>171850.27481209344</v>
          </cell>
          <cell r="S24">
            <v>171936.19994949948</v>
          </cell>
          <cell r="T24">
            <v>172022.16804947422</v>
          </cell>
        </row>
        <row r="27">
          <cell r="A27">
            <v>27</v>
          </cell>
          <cell r="D27" t="str">
            <v>Business Passed  RFS</v>
          </cell>
          <cell r="G27" t="str">
            <v>BusRFS</v>
          </cell>
          <cell r="I27">
            <v>0</v>
          </cell>
          <cell r="J27">
            <v>0</v>
          </cell>
          <cell r="K27">
            <v>0</v>
          </cell>
          <cell r="L27">
            <v>0</v>
          </cell>
          <cell r="M27">
            <v>0</v>
          </cell>
          <cell r="N27">
            <v>0</v>
          </cell>
          <cell r="O27">
            <v>0</v>
          </cell>
          <cell r="P27">
            <v>0</v>
          </cell>
          <cell r="Q27">
            <v>0</v>
          </cell>
          <cell r="R27">
            <v>0</v>
          </cell>
          <cell r="S27">
            <v>0</v>
          </cell>
          <cell r="T27">
            <v>0</v>
          </cell>
        </row>
        <row r="32">
          <cell r="A32">
            <v>32</v>
          </cell>
          <cell r="C32" t="str">
            <v>PENETRATION CATV</v>
          </cell>
          <cell r="G32" t="str">
            <v>PeneBasicAnalog</v>
          </cell>
          <cell r="I32">
            <v>0.79996496350364965</v>
          </cell>
          <cell r="J32">
            <v>0.82144233576642334</v>
          </cell>
          <cell r="K32">
            <v>0.82899999999999996</v>
          </cell>
          <cell r="L32">
            <v>0.83</v>
          </cell>
          <cell r="M32">
            <v>0.79</v>
          </cell>
          <cell r="N32">
            <v>0.74</v>
          </cell>
          <cell r="O32">
            <v>0.68</v>
          </cell>
          <cell r="P32">
            <v>0.62</v>
          </cell>
          <cell r="Q32">
            <v>0.56000000000000005</v>
          </cell>
          <cell r="R32">
            <v>0.5</v>
          </cell>
          <cell r="S32">
            <v>0.46</v>
          </cell>
          <cell r="T32">
            <v>0.42</v>
          </cell>
        </row>
        <row r="34">
          <cell r="A34">
            <v>34</v>
          </cell>
          <cell r="D34" t="str">
            <v>Basic - Digital</v>
          </cell>
          <cell r="F34">
            <v>0</v>
          </cell>
          <cell r="G34" t="str">
            <v>PeneBasicDigital</v>
          </cell>
          <cell r="I34">
            <v>0</v>
          </cell>
          <cell r="J34">
            <v>0</v>
          </cell>
          <cell r="K34">
            <v>0</v>
          </cell>
          <cell r="L34">
            <v>0.01</v>
          </cell>
          <cell r="M34">
            <v>0.05</v>
          </cell>
          <cell r="N34">
            <v>0.1</v>
          </cell>
          <cell r="O34">
            <v>0.15</v>
          </cell>
          <cell r="P34">
            <v>0.2</v>
          </cell>
          <cell r="Q34">
            <v>0.25</v>
          </cell>
          <cell r="R34">
            <v>0.3</v>
          </cell>
          <cell r="S34">
            <v>0.33</v>
          </cell>
          <cell r="T34">
            <v>0.36</v>
          </cell>
        </row>
        <row r="37">
          <cell r="A37">
            <v>37</v>
          </cell>
          <cell r="D37" t="str">
            <v>Premium (% of Digital Basic subscribers)</v>
          </cell>
          <cell r="F37">
            <v>0</v>
          </cell>
          <cell r="G37" t="str">
            <v>PenePremium</v>
          </cell>
          <cell r="I37">
            <v>0</v>
          </cell>
          <cell r="J37">
            <v>0</v>
          </cell>
          <cell r="K37">
            <v>0</v>
          </cell>
          <cell r="L37">
            <v>0.05</v>
          </cell>
          <cell r="M37">
            <v>0.1</v>
          </cell>
          <cell r="N37">
            <v>0.15</v>
          </cell>
          <cell r="O37">
            <v>0.2</v>
          </cell>
          <cell r="P37">
            <v>0.25</v>
          </cell>
          <cell r="Q37">
            <v>0.3</v>
          </cell>
          <cell r="R37">
            <v>0.35</v>
          </cell>
          <cell r="S37">
            <v>0.38</v>
          </cell>
          <cell r="T37">
            <v>0.4</v>
          </cell>
        </row>
        <row r="49">
          <cell r="A49">
            <v>49</v>
          </cell>
          <cell r="D49" t="str">
            <v xml:space="preserve">Gross Adds </v>
          </cell>
          <cell r="G49" t="str">
            <v>NbBasicAnalGA</v>
          </cell>
          <cell r="I49">
            <v>28383.4</v>
          </cell>
          <cell r="J49">
            <v>31444.600000000002</v>
          </cell>
          <cell r="K49">
            <v>29558.075000000001</v>
          </cell>
          <cell r="L49">
            <v>28659.800625000003</v>
          </cell>
          <cell r="M49">
            <v>20977.3915790625</v>
          </cell>
          <cell r="N49">
            <v>17726.161625862191</v>
          </cell>
          <cell r="O49">
            <v>14127.717902923963</v>
          </cell>
          <cell r="P49">
            <v>12070.006117368059</v>
          </cell>
          <cell r="Q49">
            <v>10010.233088097179</v>
          </cell>
          <cell r="R49">
            <v>7948.3972682954663</v>
          </cell>
          <cell r="S49">
            <v>9667.0935090046878</v>
          </cell>
          <cell r="T49">
            <v>8292.6548597643068</v>
          </cell>
        </row>
        <row r="58">
          <cell r="A58">
            <v>58</v>
          </cell>
          <cell r="D58" t="str">
            <v>Ending</v>
          </cell>
          <cell r="G58" t="str">
            <v>NbBasicAnalEnd</v>
          </cell>
          <cell r="I58">
            <v>136994</v>
          </cell>
          <cell r="J58">
            <v>140672</v>
          </cell>
          <cell r="K58">
            <v>141966.25</v>
          </cell>
          <cell r="L58">
            <v>142208.56875000001</v>
          </cell>
          <cell r="M58">
            <v>135422.821321875</v>
          </cell>
          <cell r="N58">
            <v>126915.18255959063</v>
          </cell>
          <cell r="O58">
            <v>116683.07473323229</v>
          </cell>
          <cell r="P58">
            <v>106440.70307025193</v>
          </cell>
          <cell r="Q58">
            <v>96188.059864839917</v>
          </cell>
          <cell r="R58">
            <v>85925.137406046721</v>
          </cell>
          <cell r="S58">
            <v>79090.651976769761</v>
          </cell>
          <cell r="T58">
            <v>72249.310580779173</v>
          </cell>
        </row>
        <row r="59">
          <cell r="A59">
            <v>59</v>
          </cell>
          <cell r="D59" t="str">
            <v>Average adjusted (seasonal effect)</v>
          </cell>
          <cell r="G59" t="str">
            <v>NbBasicAnalAve</v>
          </cell>
          <cell r="I59">
            <v>136447</v>
          </cell>
          <cell r="J59">
            <v>138833</v>
          </cell>
          <cell r="K59">
            <v>141319.125</v>
          </cell>
          <cell r="L59">
            <v>142087.40937499999</v>
          </cell>
          <cell r="M59">
            <v>138815.6950359375</v>
          </cell>
          <cell r="N59">
            <v>131169.00194073282</v>
          </cell>
          <cell r="O59">
            <v>121799.12864641147</v>
          </cell>
          <cell r="P59">
            <v>111561.88890174212</v>
          </cell>
          <cell r="Q59">
            <v>101314.38146754593</v>
          </cell>
          <cell r="R59">
            <v>91056.598635443312</v>
          </cell>
          <cell r="S59">
            <v>82507.894691408233</v>
          </cell>
          <cell r="T59">
            <v>75669.981278774474</v>
          </cell>
        </row>
        <row r="60">
          <cell r="A60">
            <v>60</v>
          </cell>
          <cell r="D60" t="str">
            <v>Net Adds</v>
          </cell>
          <cell r="G60" t="str">
            <v>NbBasicAnalNA</v>
          </cell>
          <cell r="I60">
            <v>1094</v>
          </cell>
          <cell r="J60">
            <v>3678</v>
          </cell>
          <cell r="K60">
            <v>1294.25</v>
          </cell>
          <cell r="L60">
            <v>242.31875000000582</v>
          </cell>
          <cell r="M60">
            <v>-6785.7474281250034</v>
          </cell>
          <cell r="N60">
            <v>-8507.6387622843758</v>
          </cell>
          <cell r="O60">
            <v>-10232.107826358333</v>
          </cell>
          <cell r="P60">
            <v>-10242.371662980368</v>
          </cell>
          <cell r="Q60">
            <v>-10252.643205412009</v>
          </cell>
          <cell r="R60">
            <v>-10262.922458793197</v>
          </cell>
          <cell r="S60">
            <v>-6834.4854292769596</v>
          </cell>
          <cell r="T60">
            <v>-6841.3413959905884</v>
          </cell>
        </row>
        <row r="64">
          <cell r="A64">
            <v>64</v>
          </cell>
          <cell r="D64" t="str">
            <v xml:space="preserve">Gross Adds </v>
          </cell>
          <cell r="G64" t="str">
            <v>NbBasicDigGA</v>
          </cell>
          <cell r="I64">
            <v>0</v>
          </cell>
          <cell r="J64">
            <v>0</v>
          </cell>
          <cell r="K64">
            <v>0</v>
          </cell>
          <cell r="L64">
            <v>1884.691875</v>
          </cell>
          <cell r="M64">
            <v>7886.1504796874997</v>
          </cell>
          <cell r="N64">
            <v>11151.812203917189</v>
          </cell>
          <cell r="O64">
            <v>12877.174587203332</v>
          </cell>
          <cell r="P64">
            <v>14604.2595449197</v>
          </cell>
          <cell r="Q64">
            <v>16333.068368300148</v>
          </cell>
          <cell r="R64">
            <v>18063.602349439083</v>
          </cell>
          <cell r="S64">
            <v>16013.266382403086</v>
          </cell>
          <cell r="T64">
            <v>17055.72716259044</v>
          </cell>
        </row>
        <row r="66">
          <cell r="A66">
            <v>66</v>
          </cell>
          <cell r="D66" t="str">
            <v>Ending</v>
          </cell>
          <cell r="G66" t="str">
            <v>NbBasicDigEnd</v>
          </cell>
          <cell r="I66">
            <v>0</v>
          </cell>
          <cell r="J66">
            <v>0</v>
          </cell>
          <cell r="K66">
            <v>0</v>
          </cell>
          <cell r="L66">
            <v>1713.35625</v>
          </cell>
          <cell r="M66">
            <v>8571.0646406249998</v>
          </cell>
          <cell r="N66">
            <v>17150.700345890626</v>
          </cell>
          <cell r="O66">
            <v>25738.913544095358</v>
          </cell>
          <cell r="P66">
            <v>34335.710667823201</v>
          </cell>
          <cell r="Q66">
            <v>42941.09815394639</v>
          </cell>
          <cell r="R66">
            <v>51555.082443628031</v>
          </cell>
          <cell r="S66">
            <v>56738.94598333483</v>
          </cell>
          <cell r="T66">
            <v>61927.980497810713</v>
          </cell>
        </row>
        <row r="68">
          <cell r="A68">
            <v>68</v>
          </cell>
          <cell r="D68" t="str">
            <v>Net Adds</v>
          </cell>
          <cell r="G68" t="str">
            <v>NbBasicDigNA</v>
          </cell>
          <cell r="I68">
            <v>0</v>
          </cell>
          <cell r="J68">
            <v>0</v>
          </cell>
          <cell r="K68">
            <v>0</v>
          </cell>
          <cell r="L68">
            <v>1713.35625</v>
          </cell>
          <cell r="M68">
            <v>6857.708390625</v>
          </cell>
          <cell r="N68">
            <v>8579.6357052656258</v>
          </cell>
          <cell r="O68">
            <v>8588.2131982047322</v>
          </cell>
          <cell r="P68">
            <v>8596.7971237278434</v>
          </cell>
          <cell r="Q68">
            <v>8605.3874861231889</v>
          </cell>
          <cell r="R68">
            <v>8613.9842896816408</v>
          </cell>
          <cell r="S68">
            <v>5183.8635397067992</v>
          </cell>
          <cell r="T68">
            <v>5189.034514475883</v>
          </cell>
        </row>
        <row r="80">
          <cell r="A80">
            <v>80</v>
          </cell>
          <cell r="D80" t="str">
            <v xml:space="preserve">Gross Adds </v>
          </cell>
          <cell r="G80" t="str">
            <v>NbBasicTotGA</v>
          </cell>
          <cell r="I80">
            <v>28383.4</v>
          </cell>
          <cell r="J80">
            <v>31444.600000000002</v>
          </cell>
          <cell r="K80">
            <v>29558.075000000001</v>
          </cell>
          <cell r="L80">
            <v>30544.492500000004</v>
          </cell>
          <cell r="M80">
            <v>28863.542058749998</v>
          </cell>
          <cell r="N80">
            <v>28877.973829779381</v>
          </cell>
          <cell r="O80">
            <v>27004.892490127295</v>
          </cell>
          <cell r="P80">
            <v>26674.265662287758</v>
          </cell>
          <cell r="Q80">
            <v>26343.301456397327</v>
          </cell>
          <cell r="R80">
            <v>26011.999617734549</v>
          </cell>
          <cell r="S80">
            <v>25680.359891407774</v>
          </cell>
          <cell r="T80">
            <v>25348.382022354745</v>
          </cell>
        </row>
        <row r="82">
          <cell r="A82">
            <v>82</v>
          </cell>
          <cell r="D82" t="str">
            <v>Ending</v>
          </cell>
          <cell r="G82" t="str">
            <v>NbBasicTotEnd</v>
          </cell>
          <cell r="I82">
            <v>136994</v>
          </cell>
          <cell r="J82">
            <v>140672</v>
          </cell>
          <cell r="K82">
            <v>141966.25</v>
          </cell>
          <cell r="L82">
            <v>143921.92500000002</v>
          </cell>
          <cell r="M82">
            <v>143993.8859625</v>
          </cell>
          <cell r="N82">
            <v>144065.88290548127</v>
          </cell>
          <cell r="O82">
            <v>142421.98827732765</v>
          </cell>
          <cell r="P82">
            <v>140776.41373807512</v>
          </cell>
          <cell r="Q82">
            <v>139129.15801878631</v>
          </cell>
          <cell r="R82">
            <v>137480.21984967476</v>
          </cell>
          <cell r="S82">
            <v>135829.59796010458</v>
          </cell>
          <cell r="T82">
            <v>134177.29107858989</v>
          </cell>
        </row>
        <row r="83">
          <cell r="A83">
            <v>83</v>
          </cell>
          <cell r="D83" t="str">
            <v>Average adjusted (seasonal effect)</v>
          </cell>
          <cell r="G83" t="str">
            <v>NbBasicTotAve</v>
          </cell>
          <cell r="I83">
            <v>136447</v>
          </cell>
          <cell r="J83">
            <v>138833</v>
          </cell>
          <cell r="K83">
            <v>141319.125</v>
          </cell>
          <cell r="L83">
            <v>142944.08749999999</v>
          </cell>
          <cell r="M83">
            <v>143957.90548125</v>
          </cell>
          <cell r="N83">
            <v>144029.88443399064</v>
          </cell>
          <cell r="O83">
            <v>143243.93559140444</v>
          </cell>
          <cell r="P83">
            <v>141599.2010077014</v>
          </cell>
          <cell r="Q83">
            <v>139952.78587843073</v>
          </cell>
          <cell r="R83">
            <v>138304.68893423054</v>
          </cell>
          <cell r="S83">
            <v>136654.90890488966</v>
          </cell>
          <cell r="T83">
            <v>135003.44451934725</v>
          </cell>
        </row>
        <row r="84">
          <cell r="A84">
            <v>84</v>
          </cell>
          <cell r="D84" t="str">
            <v>Net Adds</v>
          </cell>
          <cell r="G84" t="str">
            <v>NbBasicTotNA</v>
          </cell>
          <cell r="I84">
            <v>1094</v>
          </cell>
          <cell r="J84">
            <v>3678</v>
          </cell>
          <cell r="K84">
            <v>1294.25</v>
          </cell>
          <cell r="L84">
            <v>1955.6750000000059</v>
          </cell>
          <cell r="M84">
            <v>71.96096249999664</v>
          </cell>
          <cell r="N84">
            <v>71.996942981249958</v>
          </cell>
          <cell r="O84">
            <v>-1643.8946281536009</v>
          </cell>
          <cell r="P84">
            <v>-1645.5745392525241</v>
          </cell>
          <cell r="Q84">
            <v>-1647.2557192888198</v>
          </cell>
          <cell r="R84">
            <v>-1648.9381691115559</v>
          </cell>
          <cell r="S84">
            <v>-1650.6218895701604</v>
          </cell>
          <cell r="T84">
            <v>-1652.3068815147053</v>
          </cell>
        </row>
        <row r="88">
          <cell r="A88">
            <v>88</v>
          </cell>
          <cell r="D88" t="str">
            <v>Gross Adds</v>
          </cell>
          <cell r="G88" t="str">
            <v>NbPremiumGA</v>
          </cell>
          <cell r="I88">
            <v>0</v>
          </cell>
          <cell r="J88">
            <v>0</v>
          </cell>
          <cell r="K88">
            <v>0</v>
          </cell>
          <cell r="L88">
            <v>94.234593750000016</v>
          </cell>
          <cell r="M88">
            <v>865.71607921875</v>
          </cell>
          <cell r="N88">
            <v>2058.4697394157029</v>
          </cell>
          <cell r="O88">
            <v>3347.2164330057444</v>
          </cell>
          <cell r="P88">
            <v>4809.3159957142161</v>
          </cell>
          <cell r="Q88">
            <v>6445.0274905420874</v>
          </cell>
          <cell r="R88">
            <v>8254.6102392312678</v>
          </cell>
          <cell r="S88">
            <v>7477.0284512911312</v>
          </cell>
          <cell r="T88">
            <v>7843.5918927362009</v>
          </cell>
        </row>
        <row r="90">
          <cell r="A90">
            <v>90</v>
          </cell>
          <cell r="D90" t="str">
            <v>Ending</v>
          </cell>
          <cell r="G90" t="str">
            <v>NbPremiumEnd</v>
          </cell>
          <cell r="I90">
            <v>0</v>
          </cell>
          <cell r="J90">
            <v>0</v>
          </cell>
          <cell r="K90">
            <v>0</v>
          </cell>
          <cell r="L90">
            <v>85.667812500000011</v>
          </cell>
          <cell r="M90">
            <v>857.10646406249998</v>
          </cell>
          <cell r="N90">
            <v>2572.6050518835937</v>
          </cell>
          <cell r="O90">
            <v>5147.7827088190716</v>
          </cell>
          <cell r="P90">
            <v>8583.9276669558003</v>
          </cell>
          <cell r="Q90">
            <v>12882.329446183916</v>
          </cell>
          <cell r="R90">
            <v>18044.278855269811</v>
          </cell>
          <cell r="S90">
            <v>21560.799473667237</v>
          </cell>
          <cell r="T90">
            <v>24771.192199124285</v>
          </cell>
        </row>
        <row r="91">
          <cell r="A91">
            <v>91</v>
          </cell>
          <cell r="D91" t="str">
            <v>Average adjusted (seasonal effect)</v>
          </cell>
          <cell r="G91" t="str">
            <v>NbPremiumAve</v>
          </cell>
          <cell r="I91">
            <v>0</v>
          </cell>
          <cell r="J91">
            <v>0</v>
          </cell>
          <cell r="K91">
            <v>0</v>
          </cell>
          <cell r="L91">
            <v>42.833906250000005</v>
          </cell>
          <cell r="M91">
            <v>471.38713828125003</v>
          </cell>
          <cell r="N91">
            <v>1714.8557579730468</v>
          </cell>
          <cell r="O91">
            <v>3860.1938803513326</v>
          </cell>
          <cell r="P91">
            <v>6865.8551878874359</v>
          </cell>
          <cell r="Q91">
            <v>10733.128556569858</v>
          </cell>
          <cell r="R91">
            <v>15463.304150726864</v>
          </cell>
          <cell r="S91">
            <v>19802.539164468522</v>
          </cell>
          <cell r="T91">
            <v>23165.995836395763</v>
          </cell>
        </row>
        <row r="92">
          <cell r="A92">
            <v>92</v>
          </cell>
          <cell r="D92" t="str">
            <v>Net Adds</v>
          </cell>
          <cell r="G92" t="str">
            <v>NbPremiumNA</v>
          </cell>
          <cell r="I92">
            <v>0</v>
          </cell>
          <cell r="J92">
            <v>0</v>
          </cell>
          <cell r="K92">
            <v>0</v>
          </cell>
          <cell r="L92">
            <v>85.667812500000011</v>
          </cell>
          <cell r="M92">
            <v>771.43865156250001</v>
          </cell>
          <cell r="N92">
            <v>1715.4985878210937</v>
          </cell>
          <cell r="O92">
            <v>2575.1776569354779</v>
          </cell>
          <cell r="P92">
            <v>3436.1449581367287</v>
          </cell>
          <cell r="Q92">
            <v>4298.4017792281156</v>
          </cell>
          <cell r="R92">
            <v>5161.9494090858952</v>
          </cell>
          <cell r="S92">
            <v>3516.520618397426</v>
          </cell>
          <cell r="T92">
            <v>3210.3927254570481</v>
          </cell>
        </row>
        <row r="101">
          <cell r="A101">
            <v>101</v>
          </cell>
          <cell r="C101" t="str">
            <v>Total PPV events sold</v>
          </cell>
          <cell r="G101" t="str">
            <v>NbPPVEvents</v>
          </cell>
          <cell r="I101">
            <v>0</v>
          </cell>
          <cell r="J101">
            <v>0</v>
          </cell>
          <cell r="K101">
            <v>0</v>
          </cell>
          <cell r="L101">
            <v>0</v>
          </cell>
          <cell r="M101">
            <v>0</v>
          </cell>
          <cell r="N101">
            <v>0</v>
          </cell>
          <cell r="O101">
            <v>0</v>
          </cell>
          <cell r="P101">
            <v>0</v>
          </cell>
          <cell r="Q101">
            <v>0</v>
          </cell>
          <cell r="R101">
            <v>0</v>
          </cell>
          <cell r="S101">
            <v>0</v>
          </cell>
          <cell r="T101">
            <v>0</v>
          </cell>
        </row>
        <row r="107">
          <cell r="A107">
            <v>107</v>
          </cell>
          <cell r="D107" t="str">
            <v>Residential - Cablephone</v>
          </cell>
          <cell r="G107" t="str">
            <v>PeneResCableTel</v>
          </cell>
          <cell r="I107">
            <v>0</v>
          </cell>
          <cell r="J107">
            <v>0</v>
          </cell>
          <cell r="K107">
            <v>0</v>
          </cell>
          <cell r="L107">
            <v>0</v>
          </cell>
          <cell r="M107">
            <v>0</v>
          </cell>
          <cell r="N107">
            <v>0</v>
          </cell>
          <cell r="O107">
            <v>0</v>
          </cell>
          <cell r="P107">
            <v>0</v>
          </cell>
          <cell r="Q107">
            <v>0</v>
          </cell>
          <cell r="R107">
            <v>0</v>
          </cell>
          <cell r="S107">
            <v>0</v>
          </cell>
          <cell r="T107">
            <v>0</v>
          </cell>
        </row>
        <row r="108">
          <cell r="A108">
            <v>108</v>
          </cell>
          <cell r="D108" t="str">
            <v>Residential - IP</v>
          </cell>
          <cell r="G108" t="str">
            <v>PeneResIPTel</v>
          </cell>
          <cell r="I108">
            <v>0</v>
          </cell>
          <cell r="J108">
            <v>0</v>
          </cell>
          <cell r="K108">
            <v>0</v>
          </cell>
          <cell r="L108">
            <v>0</v>
          </cell>
          <cell r="M108">
            <v>0</v>
          </cell>
          <cell r="N108">
            <v>0.05</v>
          </cell>
          <cell r="O108">
            <v>0.12</v>
          </cell>
          <cell r="P108">
            <v>0.16</v>
          </cell>
          <cell r="Q108">
            <v>0.2</v>
          </cell>
          <cell r="R108">
            <v>0.24</v>
          </cell>
          <cell r="S108">
            <v>0.25</v>
          </cell>
          <cell r="T108">
            <v>0.26</v>
          </cell>
        </row>
        <row r="119">
          <cell r="A119">
            <v>119</v>
          </cell>
          <cell r="D119" t="str">
            <v xml:space="preserve">Gross Adds </v>
          </cell>
          <cell r="G119" t="str">
            <v>NbResCableTelGA</v>
          </cell>
          <cell r="I119">
            <v>0</v>
          </cell>
          <cell r="J119">
            <v>0</v>
          </cell>
          <cell r="K119">
            <v>0</v>
          </cell>
          <cell r="L119">
            <v>0</v>
          </cell>
          <cell r="M119">
            <v>0</v>
          </cell>
          <cell r="N119">
            <v>0</v>
          </cell>
          <cell r="O119">
            <v>0</v>
          </cell>
          <cell r="P119">
            <v>0</v>
          </cell>
          <cell r="Q119">
            <v>0</v>
          </cell>
          <cell r="R119">
            <v>0</v>
          </cell>
          <cell r="S119">
            <v>0</v>
          </cell>
          <cell r="T119">
            <v>0</v>
          </cell>
        </row>
        <row r="121">
          <cell r="A121">
            <v>121</v>
          </cell>
          <cell r="D121" t="str">
            <v>Ending</v>
          </cell>
          <cell r="G121" t="str">
            <v>NbResCableTelEnd</v>
          </cell>
          <cell r="I121">
            <v>0</v>
          </cell>
          <cell r="J121">
            <v>0</v>
          </cell>
          <cell r="K121">
            <v>0</v>
          </cell>
          <cell r="L121">
            <v>0</v>
          </cell>
          <cell r="M121">
            <v>0</v>
          </cell>
          <cell r="N121">
            <v>0</v>
          </cell>
          <cell r="O121">
            <v>0</v>
          </cell>
          <cell r="P121">
            <v>0</v>
          </cell>
          <cell r="Q121">
            <v>0</v>
          </cell>
          <cell r="R121">
            <v>0</v>
          </cell>
          <cell r="S121">
            <v>0</v>
          </cell>
          <cell r="T121">
            <v>0</v>
          </cell>
        </row>
        <row r="122">
          <cell r="A122">
            <v>122</v>
          </cell>
          <cell r="D122" t="str">
            <v>Average adjusted (seasonal effect)</v>
          </cell>
          <cell r="G122" t="str">
            <v>NbResCableTelAve</v>
          </cell>
          <cell r="I122">
            <v>0</v>
          </cell>
          <cell r="J122">
            <v>0</v>
          </cell>
          <cell r="K122">
            <v>0</v>
          </cell>
          <cell r="L122">
            <v>0</v>
          </cell>
          <cell r="M122">
            <v>0</v>
          </cell>
          <cell r="N122">
            <v>0</v>
          </cell>
          <cell r="O122">
            <v>0</v>
          </cell>
          <cell r="P122">
            <v>0</v>
          </cell>
          <cell r="Q122">
            <v>0</v>
          </cell>
          <cell r="R122">
            <v>0</v>
          </cell>
          <cell r="S122">
            <v>0</v>
          </cell>
          <cell r="T122">
            <v>0</v>
          </cell>
        </row>
        <row r="123">
          <cell r="A123">
            <v>123</v>
          </cell>
          <cell r="D123" t="str">
            <v>Net Adds</v>
          </cell>
          <cell r="G123" t="str">
            <v>NbResCableTelNA</v>
          </cell>
          <cell r="I123">
            <v>0</v>
          </cell>
          <cell r="J123">
            <v>0</v>
          </cell>
          <cell r="K123">
            <v>0</v>
          </cell>
          <cell r="L123">
            <v>0</v>
          </cell>
          <cell r="M123">
            <v>0</v>
          </cell>
          <cell r="N123">
            <v>0</v>
          </cell>
          <cell r="O123">
            <v>0</v>
          </cell>
          <cell r="P123">
            <v>0</v>
          </cell>
          <cell r="Q123">
            <v>0</v>
          </cell>
          <cell r="R123">
            <v>0</v>
          </cell>
          <cell r="S123">
            <v>0</v>
          </cell>
          <cell r="T123">
            <v>0</v>
          </cell>
        </row>
        <row r="124">
          <cell r="F124">
            <v>0.03</v>
          </cell>
        </row>
        <row r="128">
          <cell r="A128">
            <v>128</v>
          </cell>
          <cell r="D128" t="str">
            <v xml:space="preserve">Gross Adds </v>
          </cell>
          <cell r="G128" t="str">
            <v>NbResIPTelGA</v>
          </cell>
          <cell r="I128">
            <v>0</v>
          </cell>
          <cell r="J128">
            <v>0</v>
          </cell>
          <cell r="K128">
            <v>0</v>
          </cell>
          <cell r="L128">
            <v>0</v>
          </cell>
          <cell r="M128">
            <v>0</v>
          </cell>
          <cell r="N128">
            <v>0</v>
          </cell>
          <cell r="O128">
            <v>0</v>
          </cell>
          <cell r="P128">
            <v>0</v>
          </cell>
          <cell r="Q128">
            <v>0</v>
          </cell>
          <cell r="R128">
            <v>0</v>
          </cell>
          <cell r="S128">
            <v>0</v>
          </cell>
          <cell r="T128">
            <v>0</v>
          </cell>
        </row>
        <row r="130">
          <cell r="A130">
            <v>130</v>
          </cell>
          <cell r="D130" t="str">
            <v>Ending</v>
          </cell>
          <cell r="G130" t="str">
            <v>NbResIPTelEnd</v>
          </cell>
          <cell r="I130">
            <v>0</v>
          </cell>
          <cell r="J130">
            <v>0</v>
          </cell>
          <cell r="K130">
            <v>0</v>
          </cell>
          <cell r="L130">
            <v>0</v>
          </cell>
          <cell r="M130">
            <v>0</v>
          </cell>
          <cell r="N130">
            <v>0</v>
          </cell>
          <cell r="O130">
            <v>0</v>
          </cell>
          <cell r="P130">
            <v>0</v>
          </cell>
          <cell r="Q130">
            <v>0</v>
          </cell>
          <cell r="R130">
            <v>0</v>
          </cell>
          <cell r="S130">
            <v>0</v>
          </cell>
          <cell r="T130">
            <v>0</v>
          </cell>
        </row>
        <row r="131">
          <cell r="A131">
            <v>131</v>
          </cell>
          <cell r="D131" t="str">
            <v>Average adjusted (seasonal effect)</v>
          </cell>
          <cell r="G131" t="str">
            <v>NbResIPTelAve</v>
          </cell>
          <cell r="I131">
            <v>0</v>
          </cell>
          <cell r="J131">
            <v>0</v>
          </cell>
          <cell r="K131">
            <v>0</v>
          </cell>
          <cell r="L131">
            <v>0</v>
          </cell>
          <cell r="M131">
            <v>0</v>
          </cell>
          <cell r="N131">
            <v>0</v>
          </cell>
          <cell r="O131">
            <v>0</v>
          </cell>
          <cell r="P131">
            <v>0</v>
          </cell>
          <cell r="Q131">
            <v>0</v>
          </cell>
          <cell r="R131">
            <v>0</v>
          </cell>
          <cell r="S131">
            <v>0</v>
          </cell>
          <cell r="T131">
            <v>0</v>
          </cell>
        </row>
        <row r="132">
          <cell r="A132">
            <v>132</v>
          </cell>
          <cell r="D132" t="str">
            <v>Net Adds</v>
          </cell>
          <cell r="G132" t="str">
            <v>NbResIPTelNA</v>
          </cell>
          <cell r="I132">
            <v>0</v>
          </cell>
          <cell r="J132">
            <v>0</v>
          </cell>
          <cell r="K132">
            <v>0</v>
          </cell>
          <cell r="L132">
            <v>0</v>
          </cell>
          <cell r="M132">
            <v>0</v>
          </cell>
          <cell r="N132">
            <v>0</v>
          </cell>
          <cell r="O132">
            <v>0</v>
          </cell>
          <cell r="P132">
            <v>0</v>
          </cell>
          <cell r="Q132">
            <v>0</v>
          </cell>
          <cell r="R132">
            <v>0</v>
          </cell>
          <cell r="S132">
            <v>0</v>
          </cell>
          <cell r="T132">
            <v>0</v>
          </cell>
        </row>
        <row r="137">
          <cell r="A137">
            <v>137</v>
          </cell>
          <cell r="D137" t="str">
            <v xml:space="preserve">Gross Adds </v>
          </cell>
          <cell r="G137" t="str">
            <v>NbResTelGA</v>
          </cell>
          <cell r="I137">
            <v>0</v>
          </cell>
          <cell r="J137">
            <v>0</v>
          </cell>
          <cell r="K137">
            <v>0</v>
          </cell>
          <cell r="L137">
            <v>0</v>
          </cell>
          <cell r="M137">
            <v>0</v>
          </cell>
          <cell r="N137">
            <v>0</v>
          </cell>
          <cell r="O137">
            <v>0</v>
          </cell>
          <cell r="P137">
            <v>0</v>
          </cell>
          <cell r="Q137">
            <v>0</v>
          </cell>
          <cell r="R137">
            <v>0</v>
          </cell>
          <cell r="S137">
            <v>0</v>
          </cell>
          <cell r="T137">
            <v>0</v>
          </cell>
        </row>
        <row r="139">
          <cell r="A139">
            <v>139</v>
          </cell>
          <cell r="D139" t="str">
            <v>Total Residential Telephony Subs Ending</v>
          </cell>
          <cell r="G139" t="str">
            <v>NbResTelEnd</v>
          </cell>
          <cell r="I139">
            <v>0</v>
          </cell>
          <cell r="J139">
            <v>0</v>
          </cell>
          <cell r="K139">
            <v>0</v>
          </cell>
          <cell r="L139">
            <v>0</v>
          </cell>
          <cell r="M139">
            <v>0</v>
          </cell>
          <cell r="N139">
            <v>0</v>
          </cell>
          <cell r="O139">
            <v>0</v>
          </cell>
          <cell r="P139">
            <v>0</v>
          </cell>
          <cell r="Q139">
            <v>0</v>
          </cell>
          <cell r="R139">
            <v>0</v>
          </cell>
          <cell r="S139">
            <v>0</v>
          </cell>
          <cell r="T139">
            <v>0</v>
          </cell>
        </row>
        <row r="140">
          <cell r="A140">
            <v>140</v>
          </cell>
          <cell r="D140" t="str">
            <v>Average adjusted (seasonal effect)</v>
          </cell>
          <cell r="G140" t="str">
            <v>NbResTelAve</v>
          </cell>
          <cell r="I140">
            <v>0</v>
          </cell>
          <cell r="J140">
            <v>0</v>
          </cell>
          <cell r="K140">
            <v>0</v>
          </cell>
          <cell r="L140">
            <v>0</v>
          </cell>
          <cell r="M140">
            <v>0</v>
          </cell>
          <cell r="N140">
            <v>0</v>
          </cell>
          <cell r="O140">
            <v>0</v>
          </cell>
          <cell r="P140">
            <v>0</v>
          </cell>
          <cell r="Q140">
            <v>0</v>
          </cell>
          <cell r="R140">
            <v>0</v>
          </cell>
          <cell r="S140">
            <v>0</v>
          </cell>
          <cell r="T140">
            <v>0</v>
          </cell>
        </row>
        <row r="141">
          <cell r="A141">
            <v>141</v>
          </cell>
          <cell r="D141" t="str">
            <v>Net Adds</v>
          </cell>
          <cell r="G141" t="str">
            <v>NbResTelNA</v>
          </cell>
          <cell r="I141">
            <v>0</v>
          </cell>
          <cell r="J141">
            <v>0</v>
          </cell>
          <cell r="K141">
            <v>0</v>
          </cell>
          <cell r="L141">
            <v>0</v>
          </cell>
          <cell r="M141">
            <v>0</v>
          </cell>
          <cell r="N141">
            <v>0</v>
          </cell>
          <cell r="O141">
            <v>0</v>
          </cell>
          <cell r="P141">
            <v>0</v>
          </cell>
          <cell r="Q141">
            <v>0</v>
          </cell>
          <cell r="R141">
            <v>0</v>
          </cell>
          <cell r="S141">
            <v>0</v>
          </cell>
          <cell r="T141">
            <v>0</v>
          </cell>
        </row>
        <row r="147">
          <cell r="A147">
            <v>147</v>
          </cell>
          <cell r="C147" t="str">
            <v xml:space="preserve">PENETRATION </v>
          </cell>
          <cell r="G147" t="str">
            <v>PeneResData</v>
          </cell>
          <cell r="I147">
            <v>1.1817518248175184E-2</v>
          </cell>
          <cell r="J147">
            <v>3.0522627737226277E-2</v>
          </cell>
          <cell r="K147">
            <v>0.05</v>
          </cell>
          <cell r="L147">
            <v>0.08</v>
          </cell>
          <cell r="M147">
            <v>0.12</v>
          </cell>
          <cell r="N147">
            <v>0.16</v>
          </cell>
          <cell r="O147">
            <v>0.19</v>
          </cell>
          <cell r="P147">
            <v>0.22</v>
          </cell>
          <cell r="Q147">
            <v>0.23499999999999999</v>
          </cell>
          <cell r="R147">
            <v>0.25</v>
          </cell>
          <cell r="S147">
            <v>0.26</v>
          </cell>
          <cell r="T147">
            <v>0.27</v>
          </cell>
        </row>
        <row r="153">
          <cell r="A153">
            <v>153</v>
          </cell>
          <cell r="D153" t="str">
            <v xml:space="preserve">Gross Adds </v>
          </cell>
          <cell r="G153" t="str">
            <v>NbResDataGA</v>
          </cell>
          <cell r="I153">
            <v>1740.4250000000002</v>
          </cell>
          <cell r="J153">
            <v>4292.6000000000004</v>
          </cell>
          <cell r="K153">
            <v>5059.1875</v>
          </cell>
          <cell r="L153">
            <v>7928.0187500000002</v>
          </cell>
          <cell r="M153">
            <v>10976.993753999999</v>
          </cell>
          <cell r="N153">
            <v>12391.908120381377</v>
          </cell>
          <cell r="O153">
            <v>11766.31515044982</v>
          </cell>
          <cell r="P153">
            <v>12555.707995583</v>
          </cell>
          <cell r="Q153">
            <v>10408.74193003559</v>
          </cell>
          <cell r="R153">
            <v>10930.656535087055</v>
          </cell>
          <cell r="S153">
            <v>12699.090870083162</v>
          </cell>
          <cell r="T153">
            <v>13136.248056516659</v>
          </cell>
        </row>
        <row r="155">
          <cell r="A155">
            <v>155</v>
          </cell>
          <cell r="D155" t="str">
            <v>Ending</v>
          </cell>
          <cell r="G155" t="str">
            <v>NbResDataEnd</v>
          </cell>
          <cell r="I155">
            <v>1619.0000000000002</v>
          </cell>
          <cell r="J155">
            <v>5227</v>
          </cell>
          <cell r="K155">
            <v>8562.5</v>
          </cell>
          <cell r="L155">
            <v>13706.85</v>
          </cell>
          <cell r="M155">
            <v>20570.5551375</v>
          </cell>
          <cell r="N155">
            <v>27441.120553425</v>
          </cell>
          <cell r="O155">
            <v>32602.623822520785</v>
          </cell>
          <cell r="P155">
            <v>37769.281734605524</v>
          </cell>
          <cell r="Q155">
            <v>40364.632264709602</v>
          </cell>
          <cell r="R155">
            <v>42962.56870302336</v>
          </cell>
          <cell r="S155">
            <v>44703.411986869869</v>
          </cell>
          <cell r="T155">
            <v>46445.985373358038</v>
          </cell>
        </row>
        <row r="156">
          <cell r="A156">
            <v>156</v>
          </cell>
          <cell r="D156" t="str">
            <v>Average adjusted (seasonal effect)</v>
          </cell>
          <cell r="G156" t="str">
            <v>NbResDataAve</v>
          </cell>
          <cell r="I156">
            <v>809.50000000000011</v>
          </cell>
          <cell r="J156">
            <v>3423</v>
          </cell>
          <cell r="K156">
            <v>6894.75</v>
          </cell>
          <cell r="L156">
            <v>11134.674999999999</v>
          </cell>
          <cell r="M156">
            <v>17138.702568749999</v>
          </cell>
          <cell r="N156">
            <v>24005.837845462498</v>
          </cell>
          <cell r="O156">
            <v>30021.872187972891</v>
          </cell>
          <cell r="P156">
            <v>35185.952778563151</v>
          </cell>
          <cell r="Q156">
            <v>39066.956999657559</v>
          </cell>
          <cell r="R156">
            <v>41663.600483866481</v>
          </cell>
          <cell r="S156">
            <v>43832.990344946615</v>
          </cell>
          <cell r="T156">
            <v>45574.698680113957</v>
          </cell>
        </row>
        <row r="157">
          <cell r="A157">
            <v>157</v>
          </cell>
          <cell r="D157" t="str">
            <v>Net Adds</v>
          </cell>
          <cell r="G157" t="str">
            <v>NbResDataNA</v>
          </cell>
          <cell r="I157">
            <v>1619.0000000000002</v>
          </cell>
          <cell r="J157">
            <v>3608</v>
          </cell>
          <cell r="K157">
            <v>3335.5</v>
          </cell>
          <cell r="L157">
            <v>5144.3500000000004</v>
          </cell>
          <cell r="M157">
            <v>6863.7051374999992</v>
          </cell>
          <cell r="N157">
            <v>6870.5654159250007</v>
          </cell>
          <cell r="O157">
            <v>5161.5032690957851</v>
          </cell>
          <cell r="P157">
            <v>5166.6579120847382</v>
          </cell>
          <cell r="Q157">
            <v>2595.3505301040786</v>
          </cell>
          <cell r="R157">
            <v>2597.9364383137581</v>
          </cell>
          <cell r="S157">
            <v>1740.8432838465087</v>
          </cell>
          <cell r="T157">
            <v>1742.5733864881695</v>
          </cell>
        </row>
        <row r="166">
          <cell r="A166">
            <v>166</v>
          </cell>
          <cell r="D166" t="str">
            <v>End RESIDENTIAL RGUs</v>
          </cell>
          <cell r="G166" t="str">
            <v>NbResRGUEnd</v>
          </cell>
          <cell r="I166">
            <v>138613</v>
          </cell>
          <cell r="J166">
            <v>145899</v>
          </cell>
          <cell r="K166">
            <v>150528.75</v>
          </cell>
          <cell r="L166">
            <v>157628.77500000002</v>
          </cell>
          <cell r="M166">
            <v>164564.4411</v>
          </cell>
          <cell r="N166">
            <v>171507.00345890626</v>
          </cell>
          <cell r="O166">
            <v>175024.61209984843</v>
          </cell>
          <cell r="P166">
            <v>178545.69547268064</v>
          </cell>
          <cell r="Q166">
            <v>179493.79028349591</v>
          </cell>
          <cell r="R166">
            <v>180442.78855269813</v>
          </cell>
          <cell r="S166">
            <v>180533.00994697446</v>
          </cell>
          <cell r="T166">
            <v>180623.27645194792</v>
          </cell>
        </row>
        <row r="167">
          <cell r="A167">
            <v>167</v>
          </cell>
          <cell r="D167" t="str">
            <v>Average RESIDENTIAL RGUs</v>
          </cell>
          <cell r="G167" t="str">
            <v>NbResRGUAve</v>
          </cell>
          <cell r="I167">
            <v>138613</v>
          </cell>
          <cell r="J167">
            <v>142256</v>
          </cell>
          <cell r="K167">
            <v>148213.875</v>
          </cell>
          <cell r="L167">
            <v>154078.76250000001</v>
          </cell>
          <cell r="M167">
            <v>161096.60805000001</v>
          </cell>
          <cell r="N167">
            <v>168035.72227945313</v>
          </cell>
          <cell r="O167">
            <v>173265.80777937733</v>
          </cell>
          <cell r="P167">
            <v>176785.15378626453</v>
          </cell>
          <cell r="Q167">
            <v>179019.74287808826</v>
          </cell>
          <cell r="R167">
            <v>179968.289418097</v>
          </cell>
          <cell r="S167">
            <v>180487.89924983628</v>
          </cell>
          <cell r="T167">
            <v>180578.14319946119</v>
          </cell>
        </row>
        <row r="175">
          <cell r="A175">
            <v>175</v>
          </cell>
          <cell r="D175" t="str">
            <v>End CUSTOMER BASE</v>
          </cell>
          <cell r="G175" t="str">
            <v>NbResCustEnd</v>
          </cell>
          <cell r="I175">
            <v>137074.95000000001</v>
          </cell>
          <cell r="J175">
            <v>140933.35</v>
          </cell>
          <cell r="K175">
            <v>142561.15</v>
          </cell>
          <cell r="L175">
            <v>145031.26</v>
          </cell>
          <cell r="M175">
            <v>146132.77673312501</v>
          </cell>
          <cell r="N175">
            <v>147235.35848849503</v>
          </cell>
          <cell r="O175">
            <v>146365.68935070577</v>
          </cell>
          <cell r="P175">
            <v>145495.11349826594</v>
          </cell>
          <cell r="Q175">
            <v>144237.16035849275</v>
          </cell>
          <cell r="R175">
            <v>142977.91265512825</v>
          </cell>
          <cell r="S175">
            <v>141675.4594223274</v>
          </cell>
          <cell r="T175">
            <v>140371.66721811032</v>
          </cell>
        </row>
        <row r="176">
          <cell r="A176">
            <v>176</v>
          </cell>
          <cell r="D176" t="str">
            <v>Average CUSTOMER BASE</v>
          </cell>
          <cell r="G176" t="str">
            <v>NbResCustAve</v>
          </cell>
          <cell r="I176">
            <v>137074.95000000001</v>
          </cell>
          <cell r="J176">
            <v>139004.15000000002</v>
          </cell>
          <cell r="K176">
            <v>141747.25</v>
          </cell>
          <cell r="L176">
            <v>143796.20500000002</v>
          </cell>
          <cell r="M176">
            <v>145582.01836656249</v>
          </cell>
          <cell r="N176">
            <v>146684.06761081002</v>
          </cell>
          <cell r="O176">
            <v>146800.52391960041</v>
          </cell>
          <cell r="P176">
            <v>145930.40142448584</v>
          </cell>
          <cell r="Q176">
            <v>144866.13692837936</v>
          </cell>
          <cell r="R176">
            <v>143607.53650681052</v>
          </cell>
          <cell r="S176">
            <v>142326.68603872781</v>
          </cell>
          <cell r="T176">
            <v>141023.56332021888</v>
          </cell>
        </row>
        <row r="192">
          <cell r="A192">
            <v>192</v>
          </cell>
          <cell r="D192" t="str">
            <v>Individuals - Basic analog (VAT Excl)</v>
          </cell>
          <cell r="F192">
            <v>7.8512396694214877</v>
          </cell>
          <cell r="G192" t="str">
            <v>RateBasicAnal</v>
          </cell>
          <cell r="I192">
            <v>7.8646996705451819</v>
          </cell>
          <cell r="J192">
            <v>7.6365588034576888</v>
          </cell>
          <cell r="K192">
            <v>7.8911107635729456</v>
          </cell>
          <cell r="L192">
            <v>8.0183867436305736</v>
          </cell>
          <cell r="M192">
            <v>8.677685950413224</v>
          </cell>
          <cell r="N192">
            <v>9.0909090909090917</v>
          </cell>
          <cell r="O192">
            <v>9.5041322314049594</v>
          </cell>
          <cell r="P192">
            <v>9.9173553719008272</v>
          </cell>
          <cell r="Q192">
            <v>10.330578512396695</v>
          </cell>
          <cell r="R192">
            <v>10.743801652892563</v>
          </cell>
          <cell r="S192">
            <v>10.743801652892563</v>
          </cell>
          <cell r="T192">
            <v>10.743801652892563</v>
          </cell>
        </row>
        <row r="194">
          <cell r="A194">
            <v>194</v>
          </cell>
          <cell r="D194" t="str">
            <v>Individuals - Premium</v>
          </cell>
          <cell r="F194">
            <v>13.223140495867769</v>
          </cell>
          <cell r="G194" t="str">
            <v>RatePremium</v>
          </cell>
          <cell r="I194">
            <v>0</v>
          </cell>
          <cell r="J194">
            <v>0</v>
          </cell>
          <cell r="K194">
            <v>0</v>
          </cell>
          <cell r="L194">
            <v>12</v>
          </cell>
          <cell r="M194">
            <v>12</v>
          </cell>
          <cell r="N194">
            <v>12</v>
          </cell>
          <cell r="O194">
            <v>12</v>
          </cell>
          <cell r="P194">
            <v>12</v>
          </cell>
          <cell r="Q194">
            <v>12</v>
          </cell>
          <cell r="R194">
            <v>12</v>
          </cell>
          <cell r="S194">
            <v>12</v>
          </cell>
          <cell r="T194">
            <v>12</v>
          </cell>
        </row>
        <row r="196">
          <cell r="A196">
            <v>196</v>
          </cell>
          <cell r="D196" t="str">
            <v>Rental Fee Decoder</v>
          </cell>
          <cell r="F196">
            <v>5.6695915501516261</v>
          </cell>
          <cell r="G196" t="str">
            <v>RateTVDecod</v>
          </cell>
          <cell r="I196">
            <v>0</v>
          </cell>
          <cell r="J196">
            <v>0</v>
          </cell>
          <cell r="K196">
            <v>0</v>
          </cell>
          <cell r="L196">
            <v>8</v>
          </cell>
          <cell r="M196">
            <v>8</v>
          </cell>
          <cell r="N196">
            <v>8</v>
          </cell>
          <cell r="O196">
            <v>8</v>
          </cell>
          <cell r="P196">
            <v>8</v>
          </cell>
          <cell r="Q196">
            <v>8</v>
          </cell>
          <cell r="R196">
            <v>8</v>
          </cell>
          <cell r="S196">
            <v>9</v>
          </cell>
          <cell r="T196">
            <v>10</v>
          </cell>
        </row>
        <row r="207">
          <cell r="A207">
            <v>207</v>
          </cell>
          <cell r="D207" t="str">
            <v>Individuals - Install Analog</v>
          </cell>
          <cell r="F207">
            <v>61.983471074380169</v>
          </cell>
          <cell r="G207" t="str">
            <v>RateInstallAnal</v>
          </cell>
          <cell r="I207">
            <v>36.595041322314053</v>
          </cell>
          <cell r="J207">
            <v>33.801652892561982</v>
          </cell>
          <cell r="K207">
            <v>41.32231404958678</v>
          </cell>
          <cell r="L207">
            <v>41.32231404958678</v>
          </cell>
          <cell r="M207">
            <v>41.32231404958678</v>
          </cell>
          <cell r="N207">
            <v>41.32231404958678</v>
          </cell>
          <cell r="O207">
            <v>41.32231404958678</v>
          </cell>
          <cell r="P207">
            <v>41.32231404958678</v>
          </cell>
          <cell r="Q207">
            <v>41.32231404958678</v>
          </cell>
          <cell r="R207">
            <v>41.32231404958678</v>
          </cell>
          <cell r="S207">
            <v>41.32231404958678</v>
          </cell>
          <cell r="T207">
            <v>41.32231404958678</v>
          </cell>
        </row>
        <row r="208">
          <cell r="A208">
            <v>208</v>
          </cell>
          <cell r="D208" t="str">
            <v>Individuals - Install Accessories</v>
          </cell>
          <cell r="F208">
            <v>0</v>
          </cell>
          <cell r="G208" t="str">
            <v>RateInstallDig</v>
          </cell>
          <cell r="I208">
            <v>0</v>
          </cell>
          <cell r="J208">
            <v>0</v>
          </cell>
          <cell r="K208">
            <v>0</v>
          </cell>
          <cell r="L208">
            <v>0</v>
          </cell>
          <cell r="M208">
            <v>0</v>
          </cell>
          <cell r="N208">
            <v>0</v>
          </cell>
          <cell r="O208">
            <v>0</v>
          </cell>
          <cell r="P208">
            <v>0</v>
          </cell>
          <cell r="Q208">
            <v>0</v>
          </cell>
          <cell r="R208">
            <v>0</v>
          </cell>
          <cell r="S208">
            <v>0</v>
          </cell>
          <cell r="T208">
            <v>0</v>
          </cell>
        </row>
        <row r="209">
          <cell r="A209">
            <v>209</v>
          </cell>
          <cell r="D209" t="str">
            <v>Individuals - Digital Card</v>
          </cell>
          <cell r="F209">
            <v>0</v>
          </cell>
          <cell r="G209" t="str">
            <v>RateAccessPremium</v>
          </cell>
          <cell r="I209">
            <v>0</v>
          </cell>
          <cell r="J209">
            <v>0</v>
          </cell>
          <cell r="K209">
            <v>0</v>
          </cell>
          <cell r="L209">
            <v>0</v>
          </cell>
          <cell r="M209">
            <v>0</v>
          </cell>
          <cell r="N209">
            <v>0</v>
          </cell>
          <cell r="O209">
            <v>0</v>
          </cell>
          <cell r="P209">
            <v>0</v>
          </cell>
          <cell r="Q209">
            <v>0</v>
          </cell>
          <cell r="R209">
            <v>0</v>
          </cell>
          <cell r="S209">
            <v>0</v>
          </cell>
          <cell r="T209">
            <v>0</v>
          </cell>
        </row>
        <row r="210">
          <cell r="A210">
            <v>210</v>
          </cell>
          <cell r="D210" t="str">
            <v>Individuals - Access Fee PPV</v>
          </cell>
          <cell r="F210">
            <v>0</v>
          </cell>
          <cell r="G210" t="str">
            <v>RateAccessPPV</v>
          </cell>
          <cell r="I210">
            <v>0</v>
          </cell>
          <cell r="J210">
            <v>0</v>
          </cell>
          <cell r="K210">
            <v>0</v>
          </cell>
          <cell r="L210">
            <v>0</v>
          </cell>
          <cell r="M210">
            <v>0</v>
          </cell>
          <cell r="N210">
            <v>0</v>
          </cell>
          <cell r="O210">
            <v>0</v>
          </cell>
          <cell r="P210">
            <v>0</v>
          </cell>
          <cell r="Q210">
            <v>0</v>
          </cell>
          <cell r="R210">
            <v>0</v>
          </cell>
          <cell r="S210">
            <v>0</v>
          </cell>
          <cell r="T210">
            <v>0</v>
          </cell>
        </row>
        <row r="221">
          <cell r="A221">
            <v>221</v>
          </cell>
          <cell r="D221" t="str">
            <v>Residential - Line Rental</v>
          </cell>
          <cell r="F221">
            <v>8.1823545251788268</v>
          </cell>
          <cell r="G221" t="str">
            <v>RateResTelRental</v>
          </cell>
          <cell r="I221">
            <v>8.1823545251788268</v>
          </cell>
          <cell r="J221">
            <v>8.1823545251788268</v>
          </cell>
          <cell r="K221">
            <v>8.1823545251788268</v>
          </cell>
          <cell r="L221">
            <v>8.1823545251788268</v>
          </cell>
          <cell r="M221">
            <v>8.1823545251788268</v>
          </cell>
          <cell r="N221">
            <v>8.1823545251788268</v>
          </cell>
          <cell r="O221">
            <v>8.1823545251788268</v>
          </cell>
          <cell r="P221">
            <v>8.1823545251788268</v>
          </cell>
          <cell r="Q221">
            <v>8.1823545251788268</v>
          </cell>
          <cell r="R221">
            <v>8.1823545251788268</v>
          </cell>
          <cell r="S221">
            <v>8.1823545251788268</v>
          </cell>
          <cell r="T221">
            <v>8.1823545251788268</v>
          </cell>
        </row>
        <row r="222">
          <cell r="A222">
            <v>222</v>
          </cell>
          <cell r="D222" t="str">
            <v>Residential - Usage</v>
          </cell>
          <cell r="F222">
            <v>18.082217317283586</v>
          </cell>
          <cell r="G222" t="str">
            <v>RateResTelUsage</v>
          </cell>
          <cell r="I222">
            <v>18.082217317283586</v>
          </cell>
          <cell r="J222">
            <v>18.082217317283586</v>
          </cell>
          <cell r="K222">
            <v>18.082217317283586</v>
          </cell>
          <cell r="L222">
            <v>18.082217317283586</v>
          </cell>
          <cell r="M222">
            <v>18.082217317283586</v>
          </cell>
          <cell r="N222">
            <v>18.082217317283586</v>
          </cell>
          <cell r="O222">
            <v>18.082217317283586</v>
          </cell>
          <cell r="P222">
            <v>18.082217317283586</v>
          </cell>
          <cell r="Q222">
            <v>18.082217317283586</v>
          </cell>
          <cell r="R222">
            <v>18.082217317283586</v>
          </cell>
          <cell r="S222">
            <v>18.082217317283586</v>
          </cell>
          <cell r="T222">
            <v>18.082217317283586</v>
          </cell>
        </row>
        <row r="223">
          <cell r="A223">
            <v>223</v>
          </cell>
          <cell r="D223" t="str">
            <v>Residential - Interconnect</v>
          </cell>
          <cell r="F223">
            <v>3.6159394997633703</v>
          </cell>
          <cell r="G223" t="str">
            <v>RateResTelInterco</v>
          </cell>
          <cell r="I223">
            <v>3.6159394997633703</v>
          </cell>
          <cell r="J223">
            <v>3.6159394997633703</v>
          </cell>
          <cell r="K223">
            <v>3.6159394997633703</v>
          </cell>
          <cell r="L223">
            <v>3.6159394997633703</v>
          </cell>
          <cell r="M223">
            <v>3.6159394997633703</v>
          </cell>
          <cell r="N223">
            <v>3.6159394997633703</v>
          </cell>
          <cell r="O223">
            <v>3.6159394997633703</v>
          </cell>
          <cell r="P223">
            <v>3.6159394997633703</v>
          </cell>
          <cell r="Q223">
            <v>3.6159394997633703</v>
          </cell>
          <cell r="R223">
            <v>3.6159394997633703</v>
          </cell>
          <cell r="S223">
            <v>3.6159394997633703</v>
          </cell>
          <cell r="T223">
            <v>3.6159394997633703</v>
          </cell>
        </row>
        <row r="224">
          <cell r="A224">
            <v>224</v>
          </cell>
          <cell r="D224" t="str">
            <v>Residential - enhanced serviced</v>
          </cell>
          <cell r="F224">
            <v>0.75342572155348275</v>
          </cell>
          <cell r="G224" t="str">
            <v>RateResTelService</v>
          </cell>
          <cell r="I224">
            <v>0.75342572155348275</v>
          </cell>
          <cell r="J224">
            <v>0.75342572155348275</v>
          </cell>
          <cell r="K224">
            <v>0.75342572155348275</v>
          </cell>
          <cell r="L224">
            <v>0.75342572155348275</v>
          </cell>
          <cell r="M224">
            <v>0.75342572155348275</v>
          </cell>
          <cell r="N224">
            <v>0.75342572155348275</v>
          </cell>
          <cell r="O224">
            <v>0.75342572155348275</v>
          </cell>
          <cell r="P224">
            <v>0.75342572155348275</v>
          </cell>
          <cell r="Q224">
            <v>0.75342572155348275</v>
          </cell>
          <cell r="R224">
            <v>0.75342572155348275</v>
          </cell>
          <cell r="S224">
            <v>0.75342572155348275</v>
          </cell>
          <cell r="T224">
            <v>0.75342572155348275</v>
          </cell>
        </row>
        <row r="232">
          <cell r="A232">
            <v>232</v>
          </cell>
          <cell r="D232" t="str">
            <v>Residential (excl. VAT)</v>
          </cell>
          <cell r="F232">
            <v>31.497730834175698</v>
          </cell>
          <cell r="G232" t="str">
            <v>RateResTelInstall</v>
          </cell>
          <cell r="I232">
            <v>31.497730834175698</v>
          </cell>
          <cell r="J232">
            <v>31.497730834175698</v>
          </cell>
          <cell r="K232">
            <v>31.497730834175698</v>
          </cell>
          <cell r="L232">
            <v>31.970196796688331</v>
          </cell>
          <cell r="M232">
            <v>32.449749748638652</v>
          </cell>
          <cell r="N232">
            <v>32.936495994868231</v>
          </cell>
          <cell r="O232">
            <v>33.430543434791247</v>
          </cell>
          <cell r="P232">
            <v>33.932001586313113</v>
          </cell>
          <cell r="Q232">
            <v>34.440981610107798</v>
          </cell>
          <cell r="R232">
            <v>34.957596334259406</v>
          </cell>
          <cell r="S232">
            <v>35.481960279273302</v>
          </cell>
          <cell r="T232">
            <v>36.014189683462391</v>
          </cell>
        </row>
        <row r="244">
          <cell r="A244">
            <v>244</v>
          </cell>
          <cell r="C244" t="str">
            <v>Monthly Subscriptions Data (excl. VAT)</v>
          </cell>
          <cell r="L244">
            <v>33.438186591473936</v>
          </cell>
        </row>
        <row r="245">
          <cell r="A245">
            <v>245</v>
          </cell>
          <cell r="D245" t="str">
            <v>Subscription Medium Broadband</v>
          </cell>
          <cell r="F245">
            <v>29.75206611570248</v>
          </cell>
          <cell r="G245" t="str">
            <v>RateResData</v>
          </cell>
          <cell r="I245">
            <v>28.264462809917358</v>
          </cell>
          <cell r="J245">
            <v>36.363636363636367</v>
          </cell>
          <cell r="K245">
            <v>29.75206611570248</v>
          </cell>
          <cell r="L245">
            <v>27.272727272727273</v>
          </cell>
          <cell r="M245">
            <v>24.793388429752067</v>
          </cell>
          <cell r="N245">
            <v>23.966942148760332</v>
          </cell>
          <cell r="O245">
            <v>23.140495867768596</v>
          </cell>
          <cell r="P245">
            <v>22.314049586776861</v>
          </cell>
          <cell r="Q245">
            <v>21.487603305785125</v>
          </cell>
          <cell r="R245">
            <v>20.66115702479339</v>
          </cell>
          <cell r="S245">
            <v>19.834710743801654</v>
          </cell>
          <cell r="T245">
            <v>19.008264462809919</v>
          </cell>
        </row>
        <row r="246">
          <cell r="A246">
            <v>246</v>
          </cell>
          <cell r="D246" t="str">
            <v>Rental Fee Cable Modem</v>
          </cell>
          <cell r="F246">
            <v>0</v>
          </cell>
          <cell r="G246" t="str">
            <v>RateResDataDecod</v>
          </cell>
          <cell r="I246">
            <v>0</v>
          </cell>
          <cell r="J246">
            <v>6.776859504132231</v>
          </cell>
          <cell r="K246">
            <v>5.6695915501516261</v>
          </cell>
          <cell r="L246">
            <v>5.6695915501516261</v>
          </cell>
          <cell r="M246">
            <v>5.6695915501516261</v>
          </cell>
          <cell r="N246">
            <v>5.6695915501516261</v>
          </cell>
          <cell r="O246">
            <v>5.6695915501516261</v>
          </cell>
          <cell r="P246">
            <v>5.6695915501516261</v>
          </cell>
          <cell r="Q246">
            <v>5.6695915501516261</v>
          </cell>
          <cell r="R246">
            <v>5.6695915501516261</v>
          </cell>
          <cell r="S246">
            <v>5.6695915501516261</v>
          </cell>
          <cell r="T246">
            <v>5.6695915501516261</v>
          </cell>
        </row>
        <row r="254">
          <cell r="A254">
            <v>254</v>
          </cell>
          <cell r="D254" t="str">
            <v>Residential (excl. VAT)</v>
          </cell>
          <cell r="G254" t="str">
            <v>RateResDataInstall</v>
          </cell>
          <cell r="I254">
            <v>72.727272727272734</v>
          </cell>
          <cell r="J254">
            <v>99.41783211769534</v>
          </cell>
          <cell r="K254">
            <v>99.41783211769534</v>
          </cell>
          <cell r="L254">
            <v>61.983471074380169</v>
          </cell>
          <cell r="M254">
            <v>49.586776859504134</v>
          </cell>
          <cell r="N254">
            <v>49.586776859504134</v>
          </cell>
          <cell r="O254">
            <v>49.586776859504134</v>
          </cell>
          <cell r="P254">
            <v>49.586776859504134</v>
          </cell>
          <cell r="Q254">
            <v>49.586776859504134</v>
          </cell>
          <cell r="R254">
            <v>49.586776859504134</v>
          </cell>
          <cell r="S254">
            <v>49.586776859504134</v>
          </cell>
          <cell r="T254">
            <v>49.586776859504134</v>
          </cell>
        </row>
        <row r="273">
          <cell r="A273">
            <v>273</v>
          </cell>
          <cell r="D273" t="str">
            <v>Total CATV Revenues</v>
          </cell>
          <cell r="I273">
            <v>14505</v>
          </cell>
          <cell r="J273">
            <v>14329</v>
          </cell>
          <cell r="K273">
            <v>14883.386478485767</v>
          </cell>
          <cell r="L273">
            <v>15245.000336756515</v>
          </cell>
          <cell r="M273">
            <v>16317.820704915472</v>
          </cell>
          <cell r="N273">
            <v>17266.407402117522</v>
          </cell>
          <cell r="O273">
            <v>18270.181565072999</v>
          </cell>
          <cell r="P273">
            <v>19369.603452065388</v>
          </cell>
          <cell r="Q273">
            <v>20594.611235379398</v>
          </cell>
          <cell r="R273">
            <v>21661.90392974914</v>
          </cell>
          <cell r="S273">
            <v>23265.11216582101</v>
          </cell>
          <cell r="T273">
            <v>24394.39771141106</v>
          </cell>
        </row>
        <row r="285">
          <cell r="A285">
            <v>285</v>
          </cell>
          <cell r="C285" t="str">
            <v>Total Revenues Telephony</v>
          </cell>
          <cell r="G285" t="str">
            <v>RevTelRes</v>
          </cell>
          <cell r="I285">
            <v>0</v>
          </cell>
          <cell r="J285">
            <v>0</v>
          </cell>
          <cell r="K285">
            <v>0</v>
          </cell>
          <cell r="L285">
            <v>0</v>
          </cell>
          <cell r="M285">
            <v>0</v>
          </cell>
          <cell r="N285">
            <v>0</v>
          </cell>
          <cell r="O285">
            <v>0</v>
          </cell>
          <cell r="P285">
            <v>0</v>
          </cell>
          <cell r="Q285">
            <v>0</v>
          </cell>
          <cell r="R285">
            <v>0</v>
          </cell>
          <cell r="S285">
            <v>0</v>
          </cell>
          <cell r="T285">
            <v>0</v>
          </cell>
        </row>
        <row r="291">
          <cell r="A291">
            <v>291</v>
          </cell>
          <cell r="D291" t="str">
            <v>Total Revenues Data</v>
          </cell>
          <cell r="G291" t="str">
            <v>RevDataRes</v>
          </cell>
          <cell r="I291">
            <v>333</v>
          </cell>
          <cell r="J291">
            <v>2182</v>
          </cell>
          <cell r="K291">
            <v>3449.3025192370274</v>
          </cell>
          <cell r="L291">
            <v>4590.731613641984</v>
          </cell>
          <cell r="M291">
            <v>6528.7078267579082</v>
          </cell>
          <cell r="N291">
            <v>8869.5723817244507</v>
          </cell>
          <cell r="O291">
            <v>10748.359738740948</v>
          </cell>
          <cell r="P291">
            <v>12232.935878420141</v>
          </cell>
          <cell r="Q291">
            <v>13151.002226784918</v>
          </cell>
          <cell r="R291">
            <v>13609.804024498615</v>
          </cell>
          <cell r="S291">
            <v>13898.615287486742</v>
          </cell>
          <cell r="T291">
            <v>13998.061634714419</v>
          </cell>
        </row>
        <row r="318">
          <cell r="A318">
            <v>318</v>
          </cell>
          <cell r="D318" t="str">
            <v>Total Cost of Sales CATV</v>
          </cell>
          <cell r="F318" t="str">
            <v xml:space="preserve"> </v>
          </cell>
          <cell r="G318" t="str">
            <v>DirCostCATV</v>
          </cell>
          <cell r="I318">
            <v>0</v>
          </cell>
          <cell r="J318">
            <v>0</v>
          </cell>
          <cell r="K318">
            <v>0</v>
          </cell>
          <cell r="L318">
            <v>2073.4803434597579</v>
          </cell>
          <cell r="M318">
            <v>2321.6198267096129</v>
          </cell>
          <cell r="N318">
            <v>2572.3578779631121</v>
          </cell>
          <cell r="O318">
            <v>2870.101487037231</v>
          </cell>
          <cell r="P318">
            <v>3202.6317068795261</v>
          </cell>
          <cell r="Q318">
            <v>3584.0469215113699</v>
          </cell>
          <cell r="R318">
            <v>3957.7225010275015</v>
          </cell>
          <cell r="S318">
            <v>4412.9948711142169</v>
          </cell>
          <cell r="T318">
            <v>4766.9407527020103</v>
          </cell>
        </row>
        <row r="330">
          <cell r="A330">
            <v>330</v>
          </cell>
          <cell r="C330" t="str">
            <v>Total Cost of SalesTelephony</v>
          </cell>
          <cell r="E330" t="str">
            <v>DirCostTel</v>
          </cell>
          <cell r="I330">
            <v>0</v>
          </cell>
          <cell r="J330">
            <v>0</v>
          </cell>
          <cell r="K330">
            <v>0</v>
          </cell>
          <cell r="L330">
            <v>0</v>
          </cell>
          <cell r="M330">
            <v>0</v>
          </cell>
          <cell r="N330">
            <v>0</v>
          </cell>
          <cell r="O330">
            <v>0</v>
          </cell>
          <cell r="P330">
            <v>0</v>
          </cell>
          <cell r="Q330">
            <v>0</v>
          </cell>
          <cell r="R330">
            <v>0</v>
          </cell>
          <cell r="S330">
            <v>0</v>
          </cell>
          <cell r="T330">
            <v>0</v>
          </cell>
        </row>
        <row r="334">
          <cell r="A334">
            <v>334</v>
          </cell>
          <cell r="D334" t="str">
            <v>Total Cost of Sales Data Service</v>
          </cell>
          <cell r="G334" t="str">
            <v>DirCostData</v>
          </cell>
          <cell r="I334">
            <v>0</v>
          </cell>
          <cell r="J334">
            <v>0</v>
          </cell>
          <cell r="K334">
            <v>0</v>
          </cell>
          <cell r="L334">
            <v>714.86081334800667</v>
          </cell>
          <cell r="M334">
            <v>639.26293917909663</v>
          </cell>
          <cell r="N334">
            <v>871.59536860172432</v>
          </cell>
          <cell r="O334">
            <v>1060.2496327784959</v>
          </cell>
          <cell r="P334">
            <v>1207.7286605747624</v>
          </cell>
          <cell r="Q334">
            <v>1302.1968235916711</v>
          </cell>
          <cell r="R334">
            <v>1347.4300017865305</v>
          </cell>
          <cell r="S334">
            <v>2748.2377082326798</v>
          </cell>
          <cell r="T334">
            <v>2767.0431168854047</v>
          </cell>
        </row>
        <row r="345">
          <cell r="A345">
            <v>345</v>
          </cell>
          <cell r="C345" t="str">
            <v>TOTAL GROSS MARGIN</v>
          </cell>
          <cell r="G345" t="str">
            <v>GrossMarginTot</v>
          </cell>
          <cell r="I345">
            <v>26790</v>
          </cell>
          <cell r="J345">
            <v>22918</v>
          </cell>
          <cell r="K345">
            <v>21132.688997722795</v>
          </cell>
          <cell r="L345">
            <v>19127.390793590734</v>
          </cell>
          <cell r="M345">
            <v>21878.645765784669</v>
          </cell>
          <cell r="N345">
            <v>24625.026537277136</v>
          </cell>
          <cell r="O345">
            <v>27038.190183998217</v>
          </cell>
          <cell r="P345">
            <v>29152.678963031241</v>
          </cell>
          <cell r="Q345">
            <v>30830.684717061275</v>
          </cell>
          <cell r="R345">
            <v>31949.009901433725</v>
          </cell>
          <cell r="S345">
            <v>31996.422957460854</v>
          </cell>
          <cell r="T345">
            <v>32864.221402543066</v>
          </cell>
        </row>
        <row r="482">
          <cell r="A482">
            <v>482</v>
          </cell>
          <cell r="C482" t="str">
            <v>Total Sales &amp; Marketing</v>
          </cell>
          <cell r="G482" t="str">
            <v>CostSalesMkg</v>
          </cell>
          <cell r="I482">
            <v>0</v>
          </cell>
          <cell r="J482">
            <v>0</v>
          </cell>
          <cell r="K482">
            <v>0</v>
          </cell>
          <cell r="L482">
            <v>1094.193428017378</v>
          </cell>
          <cell r="M482">
            <v>1004.751550121087</v>
          </cell>
          <cell r="N482">
            <v>1115.5901649567218</v>
          </cell>
          <cell r="O482">
            <v>1239.8727175096453</v>
          </cell>
          <cell r="P482">
            <v>1342.4244672920438</v>
          </cell>
          <cell r="Q482">
            <v>1420.8878266440672</v>
          </cell>
          <cell r="R482">
            <v>1499.8998437211972</v>
          </cell>
          <cell r="S482">
            <v>842.59796658791515</v>
          </cell>
          <cell r="T482">
            <v>847.38134866476594</v>
          </cell>
        </row>
        <row r="516">
          <cell r="A516">
            <v>516</v>
          </cell>
        </row>
        <row r="517">
          <cell r="A517">
            <v>517</v>
          </cell>
          <cell r="C517" t="str">
            <v>Total Customer Services expenses</v>
          </cell>
          <cell r="F517" t="str">
            <v>en K€</v>
          </cell>
          <cell r="G517" t="str">
            <v>CostCustServ</v>
          </cell>
          <cell r="I517">
            <v>0</v>
          </cell>
          <cell r="J517">
            <v>0</v>
          </cell>
          <cell r="K517">
            <v>0</v>
          </cell>
          <cell r="L517">
            <v>561.32056752439451</v>
          </cell>
          <cell r="M517">
            <v>697.49453246357132</v>
          </cell>
          <cell r="N517">
            <v>772.83151574221995</v>
          </cell>
          <cell r="O517">
            <v>863.32067995905913</v>
          </cell>
          <cell r="P517">
            <v>930.05514555647665</v>
          </cell>
          <cell r="Q517">
            <v>991.15993582463784</v>
          </cell>
          <cell r="R517">
            <v>1046.6334313524001</v>
          </cell>
          <cell r="S517">
            <v>1056.5436186335417</v>
          </cell>
          <cell r="T517">
            <v>1090.9822514021589</v>
          </cell>
        </row>
        <row r="535">
          <cell r="A535">
            <v>535</v>
          </cell>
          <cell r="D535" t="str">
            <v xml:space="preserve">Technical Staff expenses </v>
          </cell>
          <cell r="I535">
            <v>0</v>
          </cell>
          <cell r="J535">
            <v>0</v>
          </cell>
          <cell r="K535">
            <v>0</v>
          </cell>
          <cell r="L535">
            <v>0</v>
          </cell>
          <cell r="M535">
            <v>0</v>
          </cell>
          <cell r="N535">
            <v>0</v>
          </cell>
          <cell r="O535">
            <v>0</v>
          </cell>
          <cell r="P535">
            <v>0</v>
          </cell>
          <cell r="Q535">
            <v>0</v>
          </cell>
          <cell r="R535">
            <v>0</v>
          </cell>
          <cell r="S535">
            <v>0</v>
          </cell>
          <cell r="T535">
            <v>0</v>
          </cell>
        </row>
        <row r="536">
          <cell r="A536">
            <v>536</v>
          </cell>
          <cell r="D536" t="str">
            <v>Total Network Operation Expenses</v>
          </cell>
          <cell r="F536" t="str">
            <v>en K€</v>
          </cell>
          <cell r="G536" t="str">
            <v>CostNetWorkOps</v>
          </cell>
          <cell r="I536">
            <v>0</v>
          </cell>
          <cell r="J536">
            <v>0</v>
          </cell>
          <cell r="K536">
            <v>0</v>
          </cell>
          <cell r="L536">
            <v>1394.053515375</v>
          </cell>
          <cell r="M536">
            <v>1446.5456529771716</v>
          </cell>
          <cell r="N536">
            <v>1490.1711085425466</v>
          </cell>
          <cell r="O536">
            <v>1530.7102187522082</v>
          </cell>
          <cell r="P536">
            <v>1598.0137181543173</v>
          </cell>
          <cell r="Q536">
            <v>1634.7039032036607</v>
          </cell>
          <cell r="R536">
            <v>1670.7498535895832</v>
          </cell>
          <cell r="S536">
            <v>1586.7407160418536</v>
          </cell>
          <cell r="T536">
            <v>1592.6721939964311</v>
          </cell>
          <cell r="U536">
            <v>0</v>
          </cell>
        </row>
        <row r="567">
          <cell r="A567">
            <v>567</v>
          </cell>
          <cell r="D567" t="str">
            <v>Total taxes</v>
          </cell>
          <cell r="J567">
            <v>0</v>
          </cell>
          <cell r="K567">
            <v>0</v>
          </cell>
          <cell r="L567">
            <v>565.69284903808148</v>
          </cell>
          <cell r="M567">
            <v>575.77660758366392</v>
          </cell>
          <cell r="N567">
            <v>603.04054511866013</v>
          </cell>
          <cell r="O567">
            <v>597.96522918590927</v>
          </cell>
          <cell r="P567">
            <v>583.41168215828634</v>
          </cell>
          <cell r="Q567">
            <v>562.03217988794222</v>
          </cell>
          <cell r="R567">
            <v>537.07526550461967</v>
          </cell>
          <cell r="S567">
            <v>454.20637798425247</v>
          </cell>
          <cell r="T567">
            <v>416.51147253023657</v>
          </cell>
        </row>
        <row r="569">
          <cell r="A569">
            <v>569</v>
          </cell>
          <cell r="D569" t="str">
            <v>Total G&amp;A Expenses</v>
          </cell>
          <cell r="F569" t="str">
            <v>en K€</v>
          </cell>
          <cell r="G569" t="str">
            <v>CostGenAdmin</v>
          </cell>
          <cell r="I569">
            <v>0</v>
          </cell>
          <cell r="J569">
            <v>0</v>
          </cell>
          <cell r="K569">
            <v>0</v>
          </cell>
          <cell r="L569">
            <v>1006.7134200968551</v>
          </cell>
          <cell r="M569">
            <v>1321.046437909356</v>
          </cell>
          <cell r="N569">
            <v>1351.9412417303499</v>
          </cell>
          <cell r="O569">
            <v>1350.7850994838464</v>
          </cell>
          <cell r="P569">
            <v>1340.2095137477643</v>
          </cell>
          <cell r="Q569">
            <v>1322.8676421883342</v>
          </cell>
          <cell r="R569">
            <v>1302.0089229765895</v>
          </cell>
          <cell r="S569">
            <v>1223.2997035553738</v>
          </cell>
          <cell r="T569">
            <v>1189.8268612219968</v>
          </cell>
        </row>
        <row r="581">
          <cell r="A581">
            <v>581</v>
          </cell>
          <cell r="D581" t="str">
            <v>General &amp; Administration</v>
          </cell>
          <cell r="L581">
            <v>1006.7134200968551</v>
          </cell>
          <cell r="M581">
            <v>1321.046437909356</v>
          </cell>
          <cell r="N581">
            <v>1351.9412417303499</v>
          </cell>
          <cell r="O581">
            <v>1350.7850994838464</v>
          </cell>
          <cell r="P581">
            <v>1340.2095137477643</v>
          </cell>
          <cell r="Q581">
            <v>1322.8676421883342</v>
          </cell>
          <cell r="R581">
            <v>1302.0089229765895</v>
          </cell>
          <cell r="S581">
            <v>1223.2997035553738</v>
          </cell>
          <cell r="T581">
            <v>1189.8268612219968</v>
          </cell>
        </row>
        <row r="613">
          <cell r="A613">
            <v>613</v>
          </cell>
          <cell r="C613" t="str">
            <v>-</v>
          </cell>
          <cell r="D613" t="str">
            <v>Operating Expenses</v>
          </cell>
          <cell r="I613">
            <v>35702</v>
          </cell>
          <cell r="J613">
            <v>25377</v>
          </cell>
          <cell r="K613">
            <v>21348</v>
          </cell>
          <cell r="L613">
            <v>9644.8630406924312</v>
          </cell>
          <cell r="M613">
            <v>8291.9970401236787</v>
          </cell>
          <cell r="N613">
            <v>8473.1051809020391</v>
          </cell>
          <cell r="O613">
            <v>8713.844263043793</v>
          </cell>
          <cell r="P613">
            <v>8947.4737340536158</v>
          </cell>
          <cell r="Q613">
            <v>9100.3691902816481</v>
          </cell>
          <cell r="R613">
            <v>9280.9304599227999</v>
          </cell>
          <cell r="S613">
            <v>8553.1750355156983</v>
          </cell>
          <cell r="T613">
            <v>8613.0312504699668</v>
          </cell>
        </row>
        <row r="762">
          <cell r="A762">
            <v>762</v>
          </cell>
          <cell r="D762" t="str">
            <v>Total Investment General (Land, SSE &amp; Improvements)</v>
          </cell>
          <cell r="I762">
            <v>781.36803447482066</v>
          </cell>
          <cell r="J762">
            <v>734.71803447482057</v>
          </cell>
          <cell r="K762">
            <v>702.44901723741009</v>
          </cell>
          <cell r="L762">
            <v>649.99999999999989</v>
          </cell>
          <cell r="M762">
            <v>320</v>
          </cell>
          <cell r="N762">
            <v>320</v>
          </cell>
          <cell r="O762">
            <v>320</v>
          </cell>
          <cell r="P762">
            <v>320</v>
          </cell>
          <cell r="Q762">
            <v>320</v>
          </cell>
          <cell r="R762">
            <v>320</v>
          </cell>
          <cell r="S762">
            <v>320</v>
          </cell>
          <cell r="T762">
            <v>320</v>
          </cell>
        </row>
        <row r="921">
          <cell r="A921">
            <v>921</v>
          </cell>
          <cell r="D921" t="str">
            <v>Existing Depreciation</v>
          </cell>
          <cell r="I921">
            <v>2000</v>
          </cell>
          <cell r="J921">
            <v>1900</v>
          </cell>
          <cell r="K921">
            <v>1805</v>
          </cell>
          <cell r="L921">
            <v>1714.75</v>
          </cell>
          <cell r="M921">
            <v>1629.0124999999998</v>
          </cell>
          <cell r="N921">
            <v>1547.5618749999996</v>
          </cell>
          <cell r="O921">
            <v>1470.1837812499996</v>
          </cell>
          <cell r="P921">
            <v>1396.6745921874995</v>
          </cell>
          <cell r="Q921">
            <v>1326.8408625781244</v>
          </cell>
          <cell r="R921">
            <v>1260.4988194492182</v>
          </cell>
          <cell r="S921">
            <v>1197.4738784767574</v>
          </cell>
          <cell r="T921">
            <v>1137.6001845529195</v>
          </cell>
        </row>
        <row r="927">
          <cell r="A927">
            <v>927</v>
          </cell>
          <cell r="D927" t="str">
            <v>Stocks</v>
          </cell>
          <cell r="F927">
            <v>60</v>
          </cell>
          <cell r="G927" t="str">
            <v>TotalInventory</v>
          </cell>
          <cell r="H927" t="str">
            <v>of CPE Investments</v>
          </cell>
          <cell r="I927">
            <v>0</v>
          </cell>
          <cell r="J927">
            <v>0</v>
          </cell>
          <cell r="K927">
            <v>921</v>
          </cell>
          <cell r="L927">
            <v>202.41812924999999</v>
          </cell>
          <cell r="M927">
            <v>352.95025982610298</v>
          </cell>
          <cell r="N927">
            <v>270.66607997592541</v>
          </cell>
          <cell r="O927">
            <v>261.60433391471884</v>
          </cell>
          <cell r="P927">
            <v>263.7818039135276</v>
          </cell>
          <cell r="Q927">
            <v>248.01429785961571</v>
          </cell>
          <cell r="R927">
            <v>250.40022277607446</v>
          </cell>
          <cell r="S927">
            <v>197.57428492726774</v>
          </cell>
          <cell r="T927">
            <v>197.70654093782548</v>
          </cell>
        </row>
        <row r="930">
          <cell r="A930">
            <v>930</v>
          </cell>
        </row>
        <row r="935">
          <cell r="A935">
            <v>935</v>
          </cell>
          <cell r="D935" t="str">
            <v>Net Working Capital</v>
          </cell>
          <cell r="F935">
            <v>0</v>
          </cell>
          <cell r="I935">
            <v>0</v>
          </cell>
          <cell r="J935">
            <v>0</v>
          </cell>
          <cell r="K935">
            <v>-13264</v>
          </cell>
          <cell r="L935">
            <v>-17351.470674825305</v>
          </cell>
          <cell r="M935">
            <v>-16646.920227569688</v>
          </cell>
          <cell r="N935">
            <v>-16393.246046364678</v>
          </cell>
          <cell r="O935">
            <v>-16281.768363177067</v>
          </cell>
          <cell r="P935">
            <v>-16276.397005653502</v>
          </cell>
          <cell r="Q935">
            <v>-16157.409825826357</v>
          </cell>
          <cell r="R935">
            <v>-16216.170855492452</v>
          </cell>
          <cell r="S935">
            <v>-16341.118155472905</v>
          </cell>
          <cell r="T935">
            <v>-16364.106756160047</v>
          </cell>
        </row>
        <row r="939">
          <cell r="A939">
            <v>939</v>
          </cell>
          <cell r="D939" t="str">
            <v>Customer Deposit Cable Modem</v>
          </cell>
          <cell r="F939">
            <v>35</v>
          </cell>
          <cell r="I939">
            <v>0</v>
          </cell>
          <cell r="J939">
            <v>0</v>
          </cell>
          <cell r="K939">
            <v>116.74250000000001</v>
          </cell>
          <cell r="L939">
            <v>180.05224999999999</v>
          </cell>
          <cell r="M939">
            <v>240.22967981249997</v>
          </cell>
          <cell r="N939">
            <v>240.46978955737501</v>
          </cell>
          <cell r="O939">
            <v>180.6526144183525</v>
          </cell>
          <cell r="P939">
            <v>180.83302692296584</v>
          </cell>
          <cell r="Q939">
            <v>90.837268553642758</v>
          </cell>
          <cell r="R939">
            <v>90.92777534098154</v>
          </cell>
          <cell r="S939">
            <v>60.929514934627804</v>
          </cell>
          <cell r="T939">
            <v>60.990068527085931</v>
          </cell>
        </row>
      </sheetData>
      <sheetData sheetId="7" refreshError="1"/>
      <sheetData sheetId="8" refreshError="1">
        <row r="454">
          <cell r="A454">
            <v>454</v>
          </cell>
          <cell r="D454" t="str">
            <v xml:space="preserve">Total Salaries &amp; Social Cost </v>
          </cell>
          <cell r="I454">
            <v>2136</v>
          </cell>
          <cell r="J454">
            <v>2222</v>
          </cell>
          <cell r="K454">
            <v>2388.44</v>
          </cell>
          <cell r="L454">
            <v>1906.0944000000002</v>
          </cell>
          <cell r="M454">
            <v>1282.3554239999999</v>
          </cell>
          <cell r="N454">
            <v>1253.7535795199999</v>
          </cell>
          <cell r="O454">
            <v>1334.1625831296001</v>
          </cell>
          <cell r="P454">
            <v>1359.2780400516481</v>
          </cell>
          <cell r="Q454">
            <v>1386.4636008526811</v>
          </cell>
          <cell r="R454">
            <v>1414.1928728697349</v>
          </cell>
          <cell r="S454">
            <v>1442.4767303271294</v>
          </cell>
          <cell r="T454">
            <v>1471.3262649336718</v>
          </cell>
          <cell r="U454">
            <v>1500.7527902323457</v>
          </cell>
        </row>
      </sheetData>
      <sheetData sheetId="9" refreshError="1"/>
      <sheetData sheetId="10" refreshError="1"/>
      <sheetData sheetId="11" refreshError="1">
        <row r="12">
          <cell r="A12">
            <v>12</v>
          </cell>
          <cell r="D12" t="str">
            <v>Seasonality rate (Beg/Ending)</v>
          </cell>
          <cell r="F12">
            <v>0.65</v>
          </cell>
          <cell r="G12" t="str">
            <v>SeasonRate</v>
          </cell>
          <cell r="I12">
            <v>0.65</v>
          </cell>
          <cell r="J12">
            <v>0.65</v>
          </cell>
          <cell r="K12">
            <v>0.65</v>
          </cell>
          <cell r="L12">
            <v>0.65</v>
          </cell>
          <cell r="M12">
            <v>0.65</v>
          </cell>
          <cell r="N12">
            <v>0.65</v>
          </cell>
          <cell r="O12">
            <v>0.65</v>
          </cell>
          <cell r="P12">
            <v>0.65</v>
          </cell>
          <cell r="Q12">
            <v>0.65</v>
          </cell>
          <cell r="R12">
            <v>0.65</v>
          </cell>
          <cell r="S12">
            <v>0.65</v>
          </cell>
          <cell r="T12">
            <v>0.65</v>
          </cell>
        </row>
        <row r="59">
          <cell r="A59">
            <v>59</v>
          </cell>
          <cell r="D59" t="str">
            <v>Ending</v>
          </cell>
          <cell r="G59" t="str">
            <v>NbBasicDigEnd</v>
          </cell>
          <cell r="I59">
            <v>0</v>
          </cell>
          <cell r="J59">
            <v>0</v>
          </cell>
          <cell r="K59">
            <v>0</v>
          </cell>
          <cell r="L59">
            <v>0</v>
          </cell>
          <cell r="M59">
            <v>0</v>
          </cell>
          <cell r="N59">
            <v>0</v>
          </cell>
          <cell r="O59">
            <v>0</v>
          </cell>
          <cell r="P59">
            <v>0</v>
          </cell>
          <cell r="Q59">
            <v>0</v>
          </cell>
          <cell r="R59">
            <v>0</v>
          </cell>
          <cell r="S59">
            <v>0</v>
          </cell>
          <cell r="T59">
            <v>0</v>
          </cell>
        </row>
      </sheetData>
      <sheetData sheetId="12" refreshError="1"/>
      <sheetData sheetId="13" refreshError="1"/>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
      <sheetName val="P&amp;L - Synthese"/>
      <sheetName val="Statistics "/>
      <sheetName val="Revenues "/>
      <sheetName val="Revenues Autres"/>
      <sheetName val="Revenues FO"/>
      <sheetName val="Tarifs"/>
      <sheetName val="Investments"/>
      <sheetName val="P&amp;L - Details "/>
      <sheetName val="Personn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B"/>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IA0398"/>
      <sheetName val="Inflation &amp; Currency"/>
      <sheetName val="INPUT-AREA"/>
      <sheetName val="STATS YPSO ADSL DEGROUPE"/>
      <sheetName val="Switches"/>
    </sheetNames>
    <sheetDataSet>
      <sheetData sheetId="0" refreshError="1"/>
      <sheetData sheetId="1" refreshError="1"/>
      <sheetData sheetId="2" refreshError="1"/>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
      <sheetName val="Model flow"/>
      <sheetName val="Overview cases"/>
      <sheetName val="Output"/>
      <sheetName val="Options &amp; Results"/>
      <sheetName val="BP - Consolidation"/>
      <sheetName val="DCF"/>
      <sheetName val="Parameters &amp; Results"/>
      <sheetName val="Divider 1 -&gt; Business Plan"/>
      <sheetName val="BP - Bötzingen"/>
      <sheetName val="BP - Göttingen"/>
      <sheetName val="BP - Meerane"/>
      <sheetName val="BP - Neustadt"/>
      <sheetName val="BP - Oldenburg"/>
      <sheetName val="BP - Rastatt"/>
      <sheetName val="BP - Weiden"/>
      <sheetName val="BP - Engineering"/>
      <sheetName val="BP - Headquarters"/>
      <sheetName val="DIVIDER 2 -&gt; ASSUMPTIONS"/>
      <sheetName val="Volume assumptions"/>
      <sheetName val="Price assumptions"/>
      <sheetName val="Tar_assump"/>
      <sheetName val="Engineering assumptions"/>
      <sheetName val="Cost of materials"/>
      <sheetName val="Personnel expenses"/>
      <sheetName val="Overhead expenses"/>
      <sheetName val="Sales &amp; Administration"/>
      <sheetName val="Capex &amp; Depr. assumptions"/>
      <sheetName val="Divider 3  -&gt; VDD back-up"/>
      <sheetName val=" Summary"/>
      <sheetName val="Comments"/>
      <sheetName val="Consolidated P&amp;L"/>
      <sheetName val="Booked vs potential base"/>
      <sheetName val="Booked vs potential target"/>
      <sheetName val="Capex summ"/>
      <sheetName val="VDD - Bötzingen"/>
      <sheetName val="VDD - Göttingen"/>
      <sheetName val="VDD - Meerane"/>
      <sheetName val="VDD - Neustadt"/>
      <sheetName val="VDD - Oldenburg"/>
      <sheetName val="VDD - Rastatt"/>
      <sheetName val="VDD - Weiden"/>
      <sheetName val="VDD - Engineering"/>
      <sheetName val="VDD - Headquarter"/>
      <sheetName val="Adj. to target scenario"/>
      <sheetName val="Graphs"/>
      <sheetName val="Balance-sheet"/>
      <sheetName val="Boetzingen_2"/>
      <sheetName val="Cash Flow Fade"/>
    </sheetNames>
    <sheetDataSet>
      <sheetData sheetId="0"/>
      <sheetData sheetId="1"/>
      <sheetData sheetId="2"/>
      <sheetData sheetId="3"/>
      <sheetData sheetId="4" refreshError="1">
        <row r="33">
          <cell r="C33">
            <v>1</v>
          </cell>
        </row>
        <row r="38">
          <cell r="C38">
            <v>1</v>
          </cell>
        </row>
        <row r="45">
          <cell r="C45">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heetName val="NET ADDS"/>
      <sheetName val="P &amp; L"/>
      <sheetName val="REVENUES"/>
      <sheetName val="PROGRAMMING"/>
      <sheetName val="GRAPH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Archives"/>
      <sheetName val="#REF"/>
      <sheetName val="CSCCincSKR"/>
      <sheetName val="Proforma"/>
      <sheetName val="Mai 2003"/>
      <sheetName val="Avril 2003"/>
      <sheetName val="Mars 2003"/>
      <sheetName val="Février 2003"/>
      <sheetName val="Janvier 2003"/>
      <sheetName val="Décembre 2002"/>
      <sheetName val="Novembre 2002"/>
      <sheetName val="Octobre 2002"/>
      <sheetName val="septembre 2002"/>
      <sheetName val="Aout 2002"/>
      <sheetName val="Juillet 2002"/>
      <sheetName val="Juin 2002"/>
      <sheetName val="Mai 2002"/>
      <sheetName val="Avril 2002"/>
      <sheetName val="Mars 2002"/>
      <sheetName val="Février 2002"/>
      <sheetName val="Janvier 2002"/>
      <sheetName val="Décembre 2001"/>
      <sheetName val="Novembre 2001"/>
      <sheetName val="Octobre 2001"/>
      <sheetName val="septembre 2001"/>
      <sheetName val="Aout"/>
      <sheetName val="Juillet"/>
      <sheetName val="Juin"/>
      <sheetName val="Mai"/>
      <sheetName val="Avril"/>
      <sheetName val="Mars"/>
      <sheetName val="février"/>
      <sheetName val="Janvier"/>
      <sheetName val="Décembre"/>
      <sheetName val="Novembre"/>
      <sheetName val="Octobre"/>
      <sheetName val="septembre 2003"/>
      <sheetName val="Aout 2003"/>
      <sheetName val="Juillet 2003"/>
      <sheetName val="Juin 2003"/>
      <sheetName val="_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g"/>
      <sheetName val="Summary"/>
      <sheetName val="Generell"/>
      <sheetName val="TV unpaketiert"/>
      <sheetName val="TV paketiert"/>
      <sheetName val="Video on demand"/>
      <sheetName val="Internet"/>
      <sheetName val="Partizipation Video"/>
      <sheetName val="Partizipation Daten"/>
      <sheetName val="Telefonie"/>
      <sheetName val="Signall. Dritte"/>
      <sheetName val="Vermietung Komm.infrastr"/>
    </sheetNames>
    <sheetDataSet>
      <sheetData sheetId="0" refreshError="1">
        <row r="13">
          <cell r="B13" t="str">
            <v>Multikabel</v>
          </cell>
          <cell r="C13" t="str">
            <v>Multikabel</v>
          </cell>
        </row>
        <row r="14">
          <cell r="B14" t="str">
            <v>Gesamt</v>
          </cell>
          <cell r="C14" t="str">
            <v>Gesamt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hypotesis"/>
      <sheetName val="Jazztel market (lines)"/>
      <sheetName val="Jazztel tariffs"/>
      <sheetName val="Revenues"/>
      <sheetName val="Penetration"/>
      <sheetName val="Elasticities"/>
      <sheetName val="ciudades"/>
      <sheetName val="clientes"/>
      <sheetName val="Jazztel Traffic behaviour"/>
      <sheetName val="Jazztel traffic"/>
      <sheetName val="Other services hypotesis"/>
    </sheetNames>
    <sheetDataSet>
      <sheetData sheetId="0" refreshError="1">
        <row r="34">
          <cell r="A34" t="str">
            <v>Lines off</v>
          </cell>
          <cell r="B34">
            <v>4.3999999999999997E-2</v>
          </cell>
          <cell r="C34">
            <v>4.3999999999999997E-2</v>
          </cell>
          <cell r="D34">
            <v>4.3999999999999997E-2</v>
          </cell>
          <cell r="E34">
            <v>4.9000000000000002E-2</v>
          </cell>
          <cell r="F34">
            <v>4.9000000000000002E-2</v>
          </cell>
          <cell r="G34">
            <v>4.9000000000000002E-2</v>
          </cell>
          <cell r="H34">
            <v>4.9000000000000002E-2</v>
          </cell>
          <cell r="I34">
            <v>4.9000000000000002E-2</v>
          </cell>
          <cell r="J34">
            <v>4.9000000000000002E-2</v>
          </cell>
          <cell r="K34">
            <v>4.9000000000000002E-2</v>
          </cell>
          <cell r="L34">
            <v>4.9000000000000002E-2</v>
          </cell>
          <cell r="M34">
            <v>4.9000000000000002E-2</v>
          </cell>
          <cell r="N34">
            <v>4.9000000000000002E-2</v>
          </cell>
          <cell r="O34">
            <v>4.9000000000000002E-2</v>
          </cell>
        </row>
      </sheetData>
      <sheetData sheetId="1" refreshError="1">
        <row r="6">
          <cell r="A6" t="str">
            <v xml:space="preserve">Spain Total Business </v>
          </cell>
          <cell r="D6">
            <v>2410954</v>
          </cell>
          <cell r="E6">
            <v>2435063.54</v>
          </cell>
          <cell r="F6">
            <v>2459414.1754000001</v>
          </cell>
          <cell r="G6">
            <v>2484008.317154</v>
          </cell>
          <cell r="H6">
            <v>2508848.40032554</v>
          </cell>
          <cell r="I6">
            <v>2533936.8843287956</v>
          </cell>
          <cell r="J6">
            <v>2559276.2531720838</v>
          </cell>
          <cell r="K6">
            <v>2584869.0157038048</v>
          </cell>
          <cell r="L6">
            <v>2610717.705860843</v>
          </cell>
          <cell r="M6">
            <v>2636824.8829194512</v>
          </cell>
          <cell r="N6">
            <v>2663193.1317486456</v>
          </cell>
          <cell r="O6">
            <v>2689825.0630661319</v>
          </cell>
        </row>
        <row r="41">
          <cell r="A41" t="str">
            <v>Churn rate</v>
          </cell>
          <cell r="B41">
            <v>0.15</v>
          </cell>
          <cell r="C41">
            <v>0.15</v>
          </cell>
          <cell r="D41">
            <v>0.15</v>
          </cell>
          <cell r="E41">
            <v>0.15</v>
          </cell>
          <cell r="F41">
            <v>0.15</v>
          </cell>
          <cell r="G41">
            <v>0.17</v>
          </cell>
          <cell r="H41">
            <v>0.18</v>
          </cell>
          <cell r="I41">
            <v>0.2</v>
          </cell>
          <cell r="J41">
            <v>0.21</v>
          </cell>
          <cell r="K41">
            <v>0.22</v>
          </cell>
          <cell r="L41">
            <v>0.23</v>
          </cell>
          <cell r="M41">
            <v>0.24</v>
          </cell>
          <cell r="N41">
            <v>0.25</v>
          </cell>
          <cell r="O41">
            <v>0.25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
      <sheetName val="Index"/>
      <sheetName val="Sum"/>
      <sheetName val="Firm Value"/>
      <sheetName val="Premium"/>
      <sheetName val="Shares Outstanding"/>
      <sheetName val="Assump"/>
      <sheetName val="LTM"/>
      <sheetName val="P&amp;L"/>
      <sheetName val="BS"/>
      <sheetName val="CFS"/>
      <sheetName val="Depr"/>
      <sheetName val="Amort"/>
      <sheetName val="Debt"/>
      <sheetName val="Conv. Debt"/>
      <sheetName val="Preferred"/>
      <sheetName val="Conv. Pref."/>
      <sheetName val="Options"/>
      <sheetName val="Tax"/>
      <sheetName val="Comps"/>
      <sheetName val="DCF_10"/>
      <sheetName val="DCF_5"/>
      <sheetName val="LBO"/>
      <sheetName val="EVA"/>
      <sheetName val="Print Controls"/>
      <sheetName val="PrintMacro"/>
      <sheetName val="DebtMacro"/>
      <sheetName val="Module1"/>
      <sheetName val="Financing"/>
    </sheetNames>
    <sheetDataSet>
      <sheetData sheetId="0" refreshError="1">
        <row r="6">
          <cell r="C6" t="str">
            <v>Mannesmann</v>
          </cell>
        </row>
        <row r="24">
          <cell r="C2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ransaction"/>
      <sheetName val="Financial Summary (Prez)"/>
      <sheetName val="Annualy Debt"/>
      <sheetName val="Operational Summary (Prez)"/>
      <sheetName val="Summary"/>
      <sheetName val="Holdco &amp; Numericable statements"/>
      <sheetName val=" Operational"/>
      <sheetName val="P&amp;L"/>
      <sheetName val="CF"/>
      <sheetName val="BS"/>
      <sheetName val="Quarterly  debt"/>
      <sheetName val="Tax calculation"/>
      <sheetName val="Scenarios"/>
      <sheetName val="SourcesUses (Pre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ng"/>
      <sheetName val="DCF_10"/>
      <sheetName val="Ppt tables"/>
    </sheetNames>
    <sheetDataSet>
      <sheetData sheetId="0" refreshError="1"/>
      <sheetData sheetId="1" refreshError="1">
        <row r="193">
          <cell r="O193">
            <v>0</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heetName val="NET ADDS"/>
      <sheetName val="P &amp; L"/>
      <sheetName val="REVENUES"/>
      <sheetName val="PROGRAMMING"/>
      <sheetName val="GRAPHES"/>
    </sheetNames>
    <sheetDataSet>
      <sheetData sheetId="0"/>
      <sheetData sheetId="1"/>
      <sheetData sheetId="2"/>
      <sheetData sheetId="3"/>
      <sheetData sheetId="4"/>
      <sheetData sheetId="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PARAMETERS CLAIRE"/>
      <sheetName val="QUARTERLY DEBT CLAIRE"/>
      <sheetName val="CLAIRE BP WITH SYNERGIES"/>
      <sheetName val="SUMMARY OF SYNERGIES"/>
      <sheetName val="CLAIRE BP STAND ALONE"/>
      <sheetName val="1-PERSO &amp; G&amp;A"/>
      <sheetName val="2-YPSO TEL TRAFFIC"/>
      <sheetName val="3-ENLARGMENT OF ADDRESSABLE MKT"/>
      <sheetName val="4-TPE CLAIRE"/>
      <sheetName val="5-DSL YPSO"/>
      <sheetName val="6-NRA"/>
      <sheetName val="YEARLY DEBT"/>
      <sheetName val="&gt;&gt; CLAIRE BP STAND ALONE &gt;&gt;"/>
      <sheetName val="CAPEX"/>
      <sheetName val="OPEX"/>
      <sheetName val="REV"/>
      <sheetName val="GROSS MARGIN"/>
      <sheetName val="ACTUALS"/>
      <sheetName val="FORECAST"/>
      <sheetName val="MARKET"/>
      <sheetName val="REV 2007"/>
      <sheetName val="&gt;&gt; BACKUP &gt;&gt;"/>
      <sheetName val="BP2a - SYNERGIES CHEZ COMPLETEL"/>
      <sheetName val="BP3 - COMPLETEL TPE"/>
      <sheetName val="BP4 - YPSO ADSL DEGROUPE"/>
      <sheetName val="&gt;&gt; supporting data &gt;&gt;"/>
      <sheetName val="STATS YPSO ADSL DEGROUPE"/>
      <sheetName val="BTOB TPE DSL"/>
      <sheetName val="BTOB TPE CABLE"/>
      <sheetName val="Market data DSL BtoB TPE"/>
      <sheetName val="Market data CABLE BtoB TPE"/>
      <sheetName val="Parc zone DSL BtoB TPE"/>
      <sheetName val="Parc zone CABLE BtoB TPE"/>
      <sheetName val="P&amp;L mensuel DSL BtoB TPE"/>
      <sheetName val="P&amp;L mensuel CABLE BtoB TPE"/>
      <sheetName val="P&amp;L annuel DSL BtoB TPE"/>
      <sheetName val="P&amp;L annuel CABLE BtoB T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ow r="283">
          <cell r="A283">
            <v>283</v>
          </cell>
          <cell r="C283" t="str">
            <v>Total Cost of Sales Data Service</v>
          </cell>
          <cell r="H283">
            <v>620</v>
          </cell>
          <cell r="I283">
            <v>366</v>
          </cell>
          <cell r="J283">
            <v>260</v>
          </cell>
          <cell r="K283">
            <v>4.8554999999999996E-4</v>
          </cell>
          <cell r="L283">
            <v>3122.7128553011762</v>
          </cell>
          <cell r="M283">
            <v>11912.878390270089</v>
          </cell>
          <cell r="N283">
            <v>23750.261879545218</v>
          </cell>
          <cell r="O283">
            <v>35582.991718052617</v>
          </cell>
          <cell r="P283">
            <v>46908.591718052594</v>
          </cell>
          <cell r="Q283">
            <v>57526.341718052594</v>
          </cell>
          <cell r="R283">
            <v>66728.391718052604</v>
          </cell>
          <cell r="S283">
            <v>75222.591718052645</v>
          </cell>
          <cell r="T283">
            <v>83008.941718052651</v>
          </cell>
          <cell r="U283">
            <v>89379.591718052674</v>
          </cell>
          <cell r="V283">
            <v>93626.691718052665</v>
          </cell>
        </row>
        <row r="428">
          <cell r="A428">
            <v>428</v>
          </cell>
          <cell r="C428" t="str">
            <v xml:space="preserve">Total </v>
          </cell>
          <cell r="H428">
            <v>770</v>
          </cell>
          <cell r="I428">
            <v>1437</v>
          </cell>
          <cell r="J428">
            <v>1700</v>
          </cell>
          <cell r="K428">
            <v>1.8866859438935765E-5</v>
          </cell>
          <cell r="L428">
            <v>381.4085568897313</v>
          </cell>
          <cell r="M428">
            <v>1451.4649256703822</v>
          </cell>
          <cell r="N428">
            <v>2886.6030127297049</v>
          </cell>
          <cell r="O428">
            <v>4314.0710110743812</v>
          </cell>
          <cell r="P428">
            <v>5673.1038681233822</v>
          </cell>
          <cell r="Q428">
            <v>6939.9434622818644</v>
          </cell>
          <cell r="R428">
            <v>8030.0450256425884</v>
          </cell>
          <cell r="S428">
            <v>9029.6529916646323</v>
          </cell>
          <cell r="T428">
            <v>9939.4047349299362</v>
          </cell>
          <cell r="U428">
            <v>10675.392862113196</v>
          </cell>
          <cell r="V428">
            <v>11154.559812665026</v>
          </cell>
        </row>
        <row r="855">
          <cell r="A855">
            <v>855</v>
          </cell>
          <cell r="D855" t="str">
            <v>Customer Deposit Cable Modem</v>
          </cell>
          <cell r="F855">
            <v>0</v>
          </cell>
          <cell r="H855">
            <v>261</v>
          </cell>
          <cell r="I855">
            <v>-204</v>
          </cell>
          <cell r="K855">
            <v>0</v>
          </cell>
          <cell r="L855">
            <v>0</v>
          </cell>
          <cell r="M855">
            <v>0</v>
          </cell>
          <cell r="N855">
            <v>0</v>
          </cell>
          <cell r="O855">
            <v>0</v>
          </cell>
          <cell r="P855">
            <v>0</v>
          </cell>
          <cell r="Q855">
            <v>0</v>
          </cell>
          <cell r="R855">
            <v>0</v>
          </cell>
          <cell r="S855">
            <v>0</v>
          </cell>
          <cell r="T855">
            <v>0</v>
          </cell>
          <cell r="U855">
            <v>0</v>
          </cell>
          <cell r="V855">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Controls"/>
      <sheetName val="Sources &amp; Uses"/>
      <sheetName val="Summary"/>
      <sheetName val="Scenarii"/>
      <sheetName val="P&amp;L"/>
      <sheetName val="CashFlow"/>
      <sheetName val="Debt"/>
      <sheetName val="Revenues"/>
      <sheetName val="OpEx"/>
      <sheetName val="CapEx"/>
    </sheetNames>
    <sheetDataSet>
      <sheetData sheetId="0"/>
      <sheetData sheetId="1">
        <row r="9">
          <cell r="C9" t="str">
            <v>National Grid</v>
          </cell>
        </row>
      </sheetData>
      <sheetData sheetId="2"/>
      <sheetData sheetId="3"/>
      <sheetData sheetId="4"/>
      <sheetData sheetId="5"/>
      <sheetData sheetId="6"/>
      <sheetData sheetId="7"/>
      <sheetData sheetId="8"/>
      <sheetData sheetId="9"/>
      <sheetData sheetId="1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BLO BUSINESS PLAN"/>
      <sheetName val="MAPPING OF SYNERGIES"/>
      <sheetName val="CAPEX PABLO"/>
      <sheetName val="&gt;&gt;&gt;&gt;&gt;&gt;&gt;&gt;&gt;&gt;&gt; YPSO BP &gt;&gt;&gt;&gt;&gt;&gt;&gt;&gt;&gt;&gt;"/>
      <sheetName val="YPSO REVENUE SPLIT"/>
      <sheetName val="YPSO BUSINESS PLAN"/>
      <sheetName val="QUARTERLY DEBT YPSO"/>
      <sheetName val="&gt; 3P ACCESS CABLE &gt;"/>
      <sheetName val="QUARTERLY DEBT TRIPLE PLAY"/>
      <sheetName val="STATEMENTS TRIPLE PLAY ACCESS"/>
      <sheetName val="STATEMENTS FRANCE"/>
      <sheetName val="STATS FRANCE BP"/>
      <sheetName val="CPE FRANCE BP"/>
      <sheetName val="STATS FRANCE 2007"/>
      <sheetName val="CPE FRANCE 2007"/>
      <sheetName val="STATEMENTS BELGIUM"/>
      <sheetName val="STATS BELGIUM BP"/>
      <sheetName val="CPE BELGIUM BP"/>
      <sheetName val="STATS BELGIUM 2007"/>
      <sheetName val="CPE BELGIUM 2007"/>
      <sheetName val="STATEMENTS LUX"/>
      <sheetName val="STATS LUX BP"/>
      <sheetName val="CPE LUX BP"/>
      <sheetName val="STATS LUX 2007"/>
      <sheetName val="CPE LUX 2007"/>
      <sheetName val="&gt; 3P ACCESS DSL &gt;"/>
      <sheetName val="STATEMENTS DSL"/>
      <sheetName val="STATS DSL BP"/>
      <sheetName val="&gt; VOD &gt;"/>
      <sheetName val="VOD&amp;INTERACTIVE SVCES"/>
      <sheetName val="STATS VOD"/>
      <sheetName val="VOD REVENUE SHARE"/>
      <sheetName val="&gt; MOBILITY &gt;"/>
      <sheetName val="MOBILITY"/>
      <sheetName val="Names"/>
      <sheetName val="Names (2)"/>
      <sheetName val="Input"/>
      <sheetName val="Radio network"/>
      <sheetName val="ByTEL nego"/>
      <sheetName val="COGS"/>
      <sheetName val="OPEX"/>
      <sheetName val="CAPEX"/>
      <sheetName val="SUMMARY"/>
      <sheetName val="Sensitivity"/>
      <sheetName val="&gt; SOHO CABLE &gt;"/>
      <sheetName val="SOHO CABLE"/>
      <sheetName val="Market SOHO CABLE"/>
      <sheetName val="Subs SOHO CABLE"/>
      <sheetName val="P&amp;L SOHO CABLE"/>
      <sheetName val="&gt; FIBRE WHOLESALE &gt;"/>
      <sheetName val="FIBRE WHOLESALE"/>
      <sheetName val="&gt;&gt;&gt;&gt;&gt;&gt;&gt;&gt;&gt;&gt; COMPLETEL &gt;&gt;&gt;&gt;&gt;&gt;&gt;&gt;&gt;&gt;"/>
      <sheetName val="KEY PARAMETERS CLAIRE"/>
      <sheetName val="QUARTERLY DEBT CLAIRE"/>
      <sheetName val="YEARLY DEBT"/>
      <sheetName val="CLAIRE BP WITH SYNERGIES"/>
      <sheetName val="SUMMARY OF SYNERGIES"/>
      <sheetName val="CLAIRE BP STAND ALONE"/>
      <sheetName val="1-PERSO &amp; G&amp;A"/>
      <sheetName val="2-YPSO TEL TRAFFIC"/>
      <sheetName val="3-ENLARGMENT OF ADDRESSABLE MKT"/>
      <sheetName val="4-TPE CLAIRE"/>
      <sheetName val="5-DSL YPSO"/>
      <sheetName val="6-NRA"/>
      <sheetName val="&gt; CLAIRE BP STAND ALONE &gt;"/>
      <sheetName val="MARKET COMPLETEL"/>
      <sheetName val="REV COMPLETEL"/>
      <sheetName val="GROSS MARGIN COMPLETEL"/>
      <sheetName val="OPEX COMPLETEL"/>
      <sheetName val="CAPEX COMPLETEL"/>
      <sheetName val="ACTUALS COMPLETEL"/>
      <sheetName val="FORECAST COMPLETEL"/>
      <sheetName val="REV 2007 COMPLETEL"/>
      <sheetName val="&gt; SOHO DSL &gt;"/>
      <sheetName val="SOHO DSL"/>
      <sheetName val="Market SOHO DSL"/>
      <sheetName val="Subs SOHO DSL"/>
      <sheetName val="P&amp;L SOHO DS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6">
          <cell r="D6">
            <v>0</v>
          </cell>
          <cell r="E6">
            <v>0.1</v>
          </cell>
          <cell r="F6">
            <v>0.2</v>
          </cell>
          <cell r="G6">
            <v>0.30000000000000004</v>
          </cell>
          <cell r="H6">
            <v>0.4</v>
          </cell>
          <cell r="I6">
            <v>0.5</v>
          </cell>
          <cell r="J6">
            <v>0.6</v>
          </cell>
          <cell r="K6">
            <v>0.7</v>
          </cell>
          <cell r="L6">
            <v>0.79999999999999993</v>
          </cell>
          <cell r="M6">
            <v>0.89999999999999991</v>
          </cell>
          <cell r="N6">
            <v>0.99999999999999989</v>
          </cell>
        </row>
        <row r="7">
          <cell r="D7">
            <v>0</v>
          </cell>
          <cell r="E7">
            <v>1.3498980316301035E-3</v>
          </cell>
          <cell r="F7">
            <v>2.275013194817932E-2</v>
          </cell>
          <cell r="G7">
            <v>0.15865525393145707</v>
          </cell>
          <cell r="H7">
            <v>0.5</v>
          </cell>
          <cell r="I7">
            <v>0.84134474606854293</v>
          </cell>
          <cell r="J7">
            <v>0.97724986805182068</v>
          </cell>
          <cell r="K7">
            <v>0.9986501019683699</v>
          </cell>
          <cell r="L7">
            <v>0.99996832875816322</v>
          </cell>
          <cell r="M7">
            <v>0.99999971334842808</v>
          </cell>
          <cell r="N7">
            <v>0.9999999990134123</v>
          </cell>
        </row>
        <row r="8">
          <cell r="D8">
            <v>0</v>
          </cell>
          <cell r="E8">
            <v>2.8665157187701349E-7</v>
          </cell>
          <cell r="F8">
            <v>3.1671241836783715E-5</v>
          </cell>
          <cell r="G8">
            <v>1.3498980316301035E-3</v>
          </cell>
          <cell r="H8">
            <v>2.275013194817932E-2</v>
          </cell>
          <cell r="I8">
            <v>0.15865525393145707</v>
          </cell>
          <cell r="J8">
            <v>0.5</v>
          </cell>
          <cell r="K8">
            <v>0.84134474606854293</v>
          </cell>
          <cell r="L8">
            <v>0.97724986805182068</v>
          </cell>
          <cell r="M8">
            <v>0.9986501019683699</v>
          </cell>
          <cell r="N8">
            <v>0.99996832875816322</v>
          </cell>
        </row>
        <row r="9">
          <cell r="D9">
            <v>0</v>
          </cell>
          <cell r="E9">
            <v>2.3262907903420782E-4</v>
          </cell>
          <cell r="F9">
            <v>1.3498980316301035E-3</v>
          </cell>
          <cell r="G9">
            <v>6.2096653257759371E-3</v>
          </cell>
          <cell r="H9">
            <v>2.275013194817932E-2</v>
          </cell>
          <cell r="I9">
            <v>6.6807201268858085E-2</v>
          </cell>
          <cell r="J9">
            <v>0.15865525393145707</v>
          </cell>
          <cell r="K9">
            <v>0.30853753872598688</v>
          </cell>
          <cell r="L9">
            <v>0.5</v>
          </cell>
          <cell r="M9">
            <v>0.69146246127401312</v>
          </cell>
          <cell r="N9">
            <v>0.84134474606854293</v>
          </cell>
        </row>
        <row r="10">
          <cell r="D10">
            <v>0</v>
          </cell>
          <cell r="E10">
            <v>0.48705969722582854</v>
          </cell>
          <cell r="F10">
            <v>0.67480730086959306</v>
          </cell>
          <cell r="G10">
            <v>0.76783660390096409</v>
          </cell>
          <cell r="H10">
            <v>0.82730574183938133</v>
          </cell>
          <cell r="I10">
            <v>0.87002583450581894</v>
          </cell>
          <cell r="J10">
            <v>0.902869016157963</v>
          </cell>
          <cell r="K10">
            <v>0.92926987192258248</v>
          </cell>
          <cell r="L10">
            <v>0.95117296595768197</v>
          </cell>
          <cell r="M10">
            <v>0.96977783925404193</v>
          </cell>
          <cell r="N10">
            <v>0.98587246359855629</v>
          </cell>
        </row>
        <row r="11">
          <cell r="D11">
            <v>0</v>
          </cell>
          <cell r="E11">
            <v>2.7410122234342141E-2</v>
          </cell>
          <cell r="F11">
            <v>0.67385673164106841</v>
          </cell>
          <cell r="G11">
            <v>0.83496003250446682</v>
          </cell>
          <cell r="H11">
            <v>0.90241012223434214</v>
          </cell>
          <cell r="I11">
            <v>0.93796740313435056</v>
          </cell>
          <cell r="J11">
            <v>0.95936874049036502</v>
          </cell>
          <cell r="K11">
            <v>0.97341519751873828</v>
          </cell>
          <cell r="L11">
            <v>0.98321594841018289</v>
          </cell>
          <cell r="M11">
            <v>0.99037308519730516</v>
          </cell>
          <cell r="N11">
            <v>0.99578734563265836</v>
          </cell>
        </row>
        <row r="15">
          <cell r="C15" t="str">
            <v>L</v>
          </cell>
        </row>
        <row r="16">
          <cell r="C16" t="str">
            <v>S1</v>
          </cell>
        </row>
        <row r="17">
          <cell r="C17" t="str">
            <v>S2</v>
          </cell>
        </row>
        <row r="18">
          <cell r="C18" t="str">
            <v>S3</v>
          </cell>
        </row>
        <row r="19">
          <cell r="C19" t="str">
            <v>E1</v>
          </cell>
        </row>
        <row r="20">
          <cell r="C20" t="str">
            <v>E2</v>
          </cell>
        </row>
        <row r="37">
          <cell r="B37">
            <v>365.25</v>
          </cell>
        </row>
        <row r="38">
          <cell r="B38">
            <v>3600</v>
          </cell>
        </row>
        <row r="39">
          <cell r="B39">
            <v>12</v>
          </cell>
        </row>
        <row r="41">
          <cell r="B41">
            <v>8</v>
          </cell>
        </row>
        <row r="42">
          <cell r="B42">
            <v>8192</v>
          </cell>
        </row>
        <row r="43">
          <cell r="B43">
            <v>60</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7">
          <cell r="E17">
            <v>2</v>
          </cell>
        </row>
        <row r="23">
          <cell r="E23">
            <v>2</v>
          </cell>
        </row>
        <row r="28">
          <cell r="E28">
            <v>2</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ies"/>
      <sheetName val="cost savings"/>
      <sheetName val="Model"/>
      <sheetName val="Covenants"/>
      <sheetName val="Debt Schedule"/>
      <sheetName val="Assumptions Summary"/>
      <sheetName val="Capex calcs"/>
      <sheetName val="dcf"/>
      <sheetName val="buyout analysis"/>
      <sheetName val="Module1"/>
      <sheetName val="Module2"/>
      <sheetName val="Module3"/>
      <sheetName val="Module4"/>
      <sheetName val="Module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etivities"/>
      <sheetName val="Model"/>
    </sheet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Statements"/>
      <sheetName val="Operations"/>
    </sheetNames>
    <sheetDataSet>
      <sheetData sheetId="0"/>
      <sheetData sheetId="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 Synthese"/>
      <sheetName val="P&amp;L - Details "/>
      <sheetName val="Cash flow"/>
      <sheetName val="Tax "/>
      <sheetName val="Revenues "/>
      <sheetName val="Stats "/>
      <sheetName val="Investmen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gresos"/>
      <sheetName val="DCF"/>
      <sheetName val="WACC"/>
      <sheetName val="Cover"/>
      <sheetName val="Pliego"/>
      <sheetName val="Output fin"/>
      <sheetName val="Output Val"/>
      <sheetName val="Costes Operativos"/>
      <sheetName val="Inversiones"/>
      <sheetName val="Cuenta"/>
      <sheetName val="Coacqs"/>
      <sheetName val="Flujos de Caja"/>
      <sheetName val="Balance"/>
      <sheetName val="Digital"/>
      <sheetName val="Hispasat"/>
      <sheetName val="Graphs"/>
      <sheetName val="Sensitiv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2003 Transaction"/>
      <sheetName val="SourcesUses (Prez)"/>
      <sheetName val="cov_output"/>
      <sheetName val="Covenants"/>
      <sheetName val="Assumptions BAH"/>
      <sheetName val="2004 monthly actual"/>
      <sheetName val="2005 monthly budget"/>
      <sheetName val="Assumptions"/>
      <sheetName val="P&amp;L"/>
      <sheetName val="CF"/>
      <sheetName val="BS"/>
      <sheetName val="To Pitch"/>
      <sheetName val="Summary"/>
      <sheetName val="Debt &amp; Obligations"/>
      <sheetName val="Assets &amp; Deferred Rights"/>
      <sheetName val="current Trading and historicals"/>
      <sheetName val="Macro Assumptions"/>
      <sheetName val="SourcesUses - initial"/>
      <sheetName val="Fees"/>
      <sheetName val="Management Case"/>
      <sheetName val="SourcesUses - Recap"/>
      <sheetName val="Dutch Ad market - BNPP"/>
      <sheetName val="Module1"/>
    </sheetNames>
    <sheetDataSet>
      <sheetData sheetId="0"/>
      <sheetData sheetId="1" refreshError="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tions"/>
      <sheetName val="A1"/>
      <sheetName val="Bru+Lux+EVC"/>
      <sheetName val="Bru+ lux"/>
      <sheetName val="STATEMENTS BRU"/>
      <sheetName val="STAT BRU"/>
      <sheetName val="STATEMENTS LUX "/>
      <sheetName val="STAT LUX"/>
      <sheetName val="BANKS"/>
      <sheetName val="FEES"/>
      <sheetName val="RESTRUCT"/>
      <sheetName val="conso lux"/>
      <sheetName val="conso coditel b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OUTPUT (1)"/>
      <sheetName val="OUTPUT (2)"/>
      <sheetName val="OUTPUT (3)"/>
      <sheetName val="INPUT"/>
      <sheetName val="Return Analysis"/>
      <sheetName val="Base Case"/>
      <sheetName val="Target"/>
      <sheetName val="Newco"/>
      <sheetName val="Consolidated"/>
      <sheetName val="Debt Schedule"/>
      <sheetName val="Print Control"/>
      <sheetName val="Side by side"/>
      <sheetName val="Output"/>
      <sheetName val="Revenues"/>
      <sheetName val="COGS"/>
      <sheetName val="Opex"/>
      <sheetName val="Taxes"/>
      <sheetName val="Capex"/>
      <sheetName val="Work Cap"/>
      <sheetName val="e bismedia"/>
      <sheetName val="DCF"/>
      <sheetName val="Beta3"/>
      <sheetName val="Comparison-mgmt case"/>
      <sheetName val="Charts Overall market"/>
      <sheetName val="Charts revenues analysis"/>
      <sheetName val="Charts EBITDA Margin"/>
      <sheetName val="Charts Capex Analysis"/>
      <sheetName val="Charts costs"/>
      <sheetName val="Parameters"/>
      <sheetName val="REQUEST_TABLE"/>
      <sheetName val="Datastream"/>
      <sheetName val="Datastream clean"/>
      <sheetName val="Share price analysis"/>
      <sheetName val="Forecast &amp; Analysis "/>
      <sheetName val="Market Values"/>
      <sheetName val="Output Multiples"/>
      <sheetName val="Output Multiples (3)"/>
      <sheetName val="Ratios"/>
      <sheetName val="Beta"/>
      <sheetName val="Regressions"/>
      <sheetName val="Graph Multiples"/>
      <sheetName val="Graph Margins"/>
      <sheetName val="Graph Growth Rates"/>
      <sheetName val="Synthesis"/>
      <sheetName val="Synthesis (2)"/>
      <sheetName val="Multiples"/>
    </sheetNames>
    <sheetDataSet>
      <sheetData sheetId="0"/>
      <sheetData sheetId="1"/>
      <sheetData sheetId="2" refreshError="1">
        <row r="3">
          <cell r="C3" t="str">
            <v>Operating Scenario: Base Case</v>
          </cell>
          <cell r="H3" t="str">
            <v>Financing Scenario: Base Case</v>
          </cell>
          <cell r="M3" t="str">
            <v>Closing Date: 31/12/05</v>
          </cell>
          <cell r="S3" t="str">
            <v>Tax Consolidation: Yes</v>
          </cell>
        </row>
        <row r="5">
          <cell r="C5" t="str">
            <v>Key Financials</v>
          </cell>
        </row>
        <row r="7">
          <cell r="C7" t="str">
            <v>(€ in millions - FYE 31/12)</v>
          </cell>
          <cell r="F7">
            <v>2003</v>
          </cell>
          <cell r="G7">
            <v>2004</v>
          </cell>
          <cell r="H7">
            <v>2005</v>
          </cell>
          <cell r="I7">
            <v>2006</v>
          </cell>
          <cell r="J7">
            <v>2007</v>
          </cell>
          <cell r="K7">
            <v>2008</v>
          </cell>
          <cell r="L7">
            <v>2009</v>
          </cell>
          <cell r="M7">
            <v>2010</v>
          </cell>
          <cell r="N7">
            <v>2011</v>
          </cell>
          <cell r="O7">
            <v>2012</v>
          </cell>
          <cell r="P7">
            <v>2013</v>
          </cell>
          <cell r="Q7">
            <v>2014</v>
          </cell>
          <cell r="R7">
            <v>2015</v>
          </cell>
          <cell r="S7">
            <v>2016</v>
          </cell>
        </row>
        <row r="10">
          <cell r="C10" t="str">
            <v>Sales</v>
          </cell>
          <cell r="F10">
            <v>529.07600000000002</v>
          </cell>
          <cell r="G10">
            <v>719.6099999999999</v>
          </cell>
          <cell r="H10">
            <v>937.65903539687315</v>
          </cell>
          <cell r="I10">
            <v>1298.5180262390843</v>
          </cell>
          <cell r="J10">
            <v>1579.1377677750327</v>
          </cell>
          <cell r="K10">
            <v>1746.3128304237866</v>
          </cell>
          <cell r="L10">
            <v>1842.5369274164334</v>
          </cell>
          <cell r="M10">
            <v>1911.3725257214803</v>
          </cell>
          <cell r="N10">
            <v>1934.73137361761</v>
          </cell>
          <cell r="O10">
            <v>1935.2030319727869</v>
          </cell>
          <cell r="P10">
            <v>1941.8615942168217</v>
          </cell>
          <cell r="Q10">
            <v>1980.6988261011581</v>
          </cell>
          <cell r="R10">
            <v>2020.3128026231814</v>
          </cell>
          <cell r="S10">
            <v>2060.7190586756451</v>
          </cell>
        </row>
        <row r="11">
          <cell r="C11" t="str">
            <v>% growth</v>
          </cell>
          <cell r="F11" t="str">
            <v>--</v>
          </cell>
          <cell r="G11">
            <v>0.36012595543929393</v>
          </cell>
          <cell r="H11">
            <v>0.30301001291932206</v>
          </cell>
          <cell r="I11">
            <v>0.38485097164287874</v>
          </cell>
          <cell r="J11">
            <v>0.21610769805692365</v>
          </cell>
          <cell r="K11">
            <v>0.10586477384066351</v>
          </cell>
          <cell r="L11">
            <v>5.5101294176081561E-2</v>
          </cell>
          <cell r="M11">
            <v>3.7359141779354621E-2</v>
          </cell>
          <cell r="N11">
            <v>1.2220981301022116E-2</v>
          </cell>
          <cell r="O11">
            <v>2.4378493139076696E-4</v>
          </cell>
          <cell r="P11">
            <v>3.4407564136806901E-3</v>
          </cell>
          <cell r="Q11">
            <v>2.0000000000000018E-2</v>
          </cell>
          <cell r="R11">
            <v>2.0000000000000018E-2</v>
          </cell>
          <cell r="S11">
            <v>2.0000000000000018E-2</v>
          </cell>
        </row>
        <row r="12">
          <cell r="C12" t="str">
            <v>EBITDA</v>
          </cell>
          <cell r="F12">
            <v>96.350999999999971</v>
          </cell>
          <cell r="G12">
            <v>178.23400000000001</v>
          </cell>
          <cell r="H12">
            <v>282.4481336492193</v>
          </cell>
          <cell r="I12">
            <v>407.09523450496187</v>
          </cell>
          <cell r="J12">
            <v>528.63397740697769</v>
          </cell>
          <cell r="K12">
            <v>638.06226905268147</v>
          </cell>
          <cell r="L12">
            <v>736.20038422528569</v>
          </cell>
          <cell r="M12">
            <v>789.49865182225699</v>
          </cell>
          <cell r="N12">
            <v>802.12123060540853</v>
          </cell>
          <cell r="O12">
            <v>797.66644009312222</v>
          </cell>
          <cell r="P12">
            <v>796.09285835508877</v>
          </cell>
          <cell r="Q12">
            <v>812.0147155221905</v>
          </cell>
          <cell r="R12">
            <v>828.2550098326343</v>
          </cell>
          <cell r="S12">
            <v>844.82011002928709</v>
          </cell>
        </row>
        <row r="13">
          <cell r="C13" t="str">
            <v>% sales</v>
          </cell>
          <cell r="F13">
            <v>0.18211183270456413</v>
          </cell>
          <cell r="G13">
            <v>0.24768138297133174</v>
          </cell>
          <cell r="H13">
            <v>0.30122690976861372</v>
          </cell>
          <cell r="I13">
            <v>0.31350757269349383</v>
          </cell>
          <cell r="J13">
            <v>0.33476115143000496</v>
          </cell>
          <cell r="K13">
            <v>0.36537684310424473</v>
          </cell>
          <cell r="L13">
            <v>0.399558007913345</v>
          </cell>
          <cell r="M13">
            <v>0.41305325947606536</v>
          </cell>
          <cell r="N13">
            <v>0.4145904912399192</v>
          </cell>
          <cell r="O13">
            <v>0.41218746917731119</v>
          </cell>
          <cell r="P13">
            <v>0.40996374856271023</v>
          </cell>
          <cell r="Q13">
            <v>0.40996374856271023</v>
          </cell>
          <cell r="R13">
            <v>0.40996374856271023</v>
          </cell>
          <cell r="S13">
            <v>0.40996374856271023</v>
          </cell>
        </row>
        <row r="14">
          <cell r="C14" t="str">
            <v>EBITA</v>
          </cell>
          <cell r="F14">
            <v>-187.06100000000001</v>
          </cell>
          <cell r="G14">
            <v>-114.82300000000001</v>
          </cell>
          <cell r="H14">
            <v>-36.17971413156954</v>
          </cell>
          <cell r="I14">
            <v>62.251368845487548</v>
          </cell>
          <cell r="J14">
            <v>87.800410561415674</v>
          </cell>
          <cell r="K14">
            <v>156.07258954116679</v>
          </cell>
          <cell r="L14">
            <v>273.52849310384227</v>
          </cell>
          <cell r="M14">
            <v>378.60814063741458</v>
          </cell>
          <cell r="N14">
            <v>452.38830316316489</v>
          </cell>
          <cell r="O14">
            <v>480.97441016975353</v>
          </cell>
          <cell r="P14">
            <v>506.04447352837326</v>
          </cell>
          <cell r="Q14">
            <v>574.5778883895116</v>
          </cell>
          <cell r="R14">
            <v>586.06944615730185</v>
          </cell>
          <cell r="S14">
            <v>597.79083508044789</v>
          </cell>
        </row>
        <row r="15">
          <cell r="C15" t="str">
            <v>% sales</v>
          </cell>
          <cell r="F15">
            <v>-0.35356168111953667</v>
          </cell>
          <cell r="G15">
            <v>-0.15956281874904465</v>
          </cell>
          <cell r="H15">
            <v>-3.8585149575459624E-2</v>
          </cell>
          <cell r="I15">
            <v>4.7940319339106169E-2</v>
          </cell>
          <cell r="J15">
            <v>5.5600222066200314E-2</v>
          </cell>
          <cell r="K15">
            <v>8.9372640927852465E-2</v>
          </cell>
          <cell r="L15">
            <v>0.14845210917285559</v>
          </cell>
          <cell r="M15">
            <v>0.19808181583781134</v>
          </cell>
          <cell r="N15">
            <v>0.23382486547332806</v>
          </cell>
          <cell r="O15">
            <v>0.24853950837367075</v>
          </cell>
          <cell r="P15">
            <v>0.26059760130972037</v>
          </cell>
          <cell r="Q15">
            <v>0.29008846817995076</v>
          </cell>
          <cell r="R15">
            <v>0.29008846817995076</v>
          </cell>
          <cell r="S15">
            <v>0.29008846817995071</v>
          </cell>
        </row>
        <row r="17">
          <cell r="H17" t="str">
            <v>0m to 31/12</v>
          </cell>
        </row>
        <row r="18">
          <cell r="C18" t="str">
            <v>Free Cash Flow</v>
          </cell>
          <cell r="H18">
            <v>0</v>
          </cell>
          <cell r="I18">
            <v>-209.25851558220339</v>
          </cell>
          <cell r="J18">
            <v>173.34913549806305</v>
          </cell>
          <cell r="K18">
            <v>231.22718680350204</v>
          </cell>
          <cell r="L18">
            <v>314.33437214846106</v>
          </cell>
          <cell r="M18">
            <v>367.34316327000846</v>
          </cell>
          <cell r="N18">
            <v>378.78790404670792</v>
          </cell>
          <cell r="O18">
            <v>400.34058395311536</v>
          </cell>
          <cell r="P18">
            <v>388.25994063574029</v>
          </cell>
          <cell r="Q18">
            <v>374.98572312470077</v>
          </cell>
          <cell r="R18">
            <v>382.48543758719461</v>
          </cell>
          <cell r="S18">
            <v>390.13514633893857</v>
          </cell>
        </row>
        <row r="19">
          <cell r="C19" t="str">
            <v>Net Cash Interest (pre-tax)</v>
          </cell>
          <cell r="H19">
            <v>0</v>
          </cell>
          <cell r="I19">
            <v>-135.38</v>
          </cell>
          <cell r="J19">
            <v>-181.55733900557749</v>
          </cell>
          <cell r="K19">
            <v>-181.57313400784074</v>
          </cell>
          <cell r="L19">
            <v>-177.85931342239232</v>
          </cell>
          <cell r="M19">
            <v>-168.21997786799528</v>
          </cell>
          <cell r="N19">
            <v>-154.00562652019741</v>
          </cell>
          <cell r="O19">
            <v>-137.48953881695644</v>
          </cell>
          <cell r="P19">
            <v>-122.11849525776728</v>
          </cell>
          <cell r="Q19">
            <v>-104.96332813691558</v>
          </cell>
          <cell r="R19">
            <v>-84.816230957476677</v>
          </cell>
          <cell r="S19">
            <v>-48.407545174255254</v>
          </cell>
        </row>
        <row r="20">
          <cell r="C20" t="str">
            <v>Net Cash Flow for Debt Repayment</v>
          </cell>
          <cell r="H20">
            <v>0</v>
          </cell>
          <cell r="I20">
            <v>-330.54534739436451</v>
          </cell>
          <cell r="J20">
            <v>8.2432958095951001</v>
          </cell>
          <cell r="K20">
            <v>88.494256714947937</v>
          </cell>
          <cell r="L20">
            <v>215.39206193144506</v>
          </cell>
          <cell r="M20">
            <v>311.71951384180176</v>
          </cell>
          <cell r="N20">
            <v>360.0762384446665</v>
          </cell>
          <cell r="O20">
            <v>365.48313819836972</v>
          </cell>
          <cell r="P20">
            <v>340.11181495916702</v>
          </cell>
          <cell r="Q20">
            <v>341.3050247291597</v>
          </cell>
          <cell r="R20">
            <v>365.6309353731001</v>
          </cell>
          <cell r="S20">
            <v>400.85489320633934</v>
          </cell>
        </row>
        <row r="21">
          <cell r="C21" t="str">
            <v>Debt Repayment</v>
          </cell>
          <cell r="H21">
            <v>0</v>
          </cell>
          <cell r="I21">
            <v>0</v>
          </cell>
          <cell r="J21">
            <v>-25.2</v>
          </cell>
          <cell r="K21">
            <v>-52.5</v>
          </cell>
          <cell r="L21">
            <v>-82.269000000000005</v>
          </cell>
          <cell r="M21">
            <v>-119.68769838312583</v>
          </cell>
          <cell r="N21">
            <v>-135</v>
          </cell>
          <cell r="O21">
            <v>-135</v>
          </cell>
          <cell r="P21">
            <v>-685.3433016168741</v>
          </cell>
          <cell r="Q21">
            <v>-635</v>
          </cell>
          <cell r="R21">
            <v>-500</v>
          </cell>
          <cell r="S21">
            <v>0</v>
          </cell>
        </row>
        <row r="24">
          <cell r="C24" t="str">
            <v>Credit and Coverage Ratios</v>
          </cell>
        </row>
        <row r="26">
          <cell r="C26" t="str">
            <v>(€ in millions - FYE 31/12)</v>
          </cell>
          <cell r="G26" t="str">
            <v>Closing 31/12/05</v>
          </cell>
          <cell r="H26">
            <v>2005</v>
          </cell>
          <cell r="I26">
            <v>2006</v>
          </cell>
          <cell r="J26">
            <v>2007</v>
          </cell>
          <cell r="K26">
            <v>2008</v>
          </cell>
          <cell r="L26">
            <v>2009</v>
          </cell>
          <cell r="M26">
            <v>2010</v>
          </cell>
          <cell r="N26">
            <v>2011</v>
          </cell>
          <cell r="O26">
            <v>2012</v>
          </cell>
          <cell r="P26">
            <v>2013</v>
          </cell>
          <cell r="Q26">
            <v>2014</v>
          </cell>
          <cell r="R26">
            <v>2015</v>
          </cell>
          <cell r="S26">
            <v>2016</v>
          </cell>
        </row>
        <row r="29">
          <cell r="C29" t="str">
            <v>Net Debt</v>
          </cell>
          <cell r="G29">
            <v>2870</v>
          </cell>
          <cell r="H29">
            <v>2870</v>
          </cell>
          <cell r="I29">
            <v>3233.0453473943644</v>
          </cell>
          <cell r="J29">
            <v>3261.5270515847697</v>
          </cell>
          <cell r="K29">
            <v>3214.5320448698212</v>
          </cell>
          <cell r="L29">
            <v>3046.0341354383768</v>
          </cell>
          <cell r="M29">
            <v>2787.3050139215748</v>
          </cell>
          <cell r="N29">
            <v>2487.1079188041581</v>
          </cell>
          <cell r="O29">
            <v>2189.288212565581</v>
          </cell>
          <cell r="P29">
            <v>1925.6360757209795</v>
          </cell>
          <cell r="Q29">
            <v>1670.730487261279</v>
          </cell>
          <cell r="R29">
            <v>1402.7309148726677</v>
          </cell>
          <cell r="S29">
            <v>1112.1994618388005</v>
          </cell>
        </row>
        <row r="30">
          <cell r="C30" t="str">
            <v>Net Senior Debt</v>
          </cell>
          <cell r="G30">
            <v>1920</v>
          </cell>
          <cell r="H30">
            <v>1920</v>
          </cell>
          <cell r="I30">
            <v>2250.5453473943644</v>
          </cell>
          <cell r="J30">
            <v>2242.3020515847693</v>
          </cell>
          <cell r="K30">
            <v>2153.8077948698215</v>
          </cell>
          <cell r="L30">
            <v>1938.4157329383763</v>
          </cell>
          <cell r="M30">
            <v>1626.6962190965746</v>
          </cell>
          <cell r="N30">
            <v>1266.6199806519082</v>
          </cell>
          <cell r="O30">
            <v>901.13684245353852</v>
          </cell>
          <cell r="P30">
            <v>561.02502749437144</v>
          </cell>
          <cell r="Q30">
            <v>219.72000276521163</v>
          </cell>
          <cell r="R30">
            <v>354.08906739211153</v>
          </cell>
          <cell r="S30">
            <v>-46.765825814227803</v>
          </cell>
        </row>
        <row r="32">
          <cell r="C32" t="str">
            <v>Net Debt / EBITDA</v>
          </cell>
          <cell r="G32">
            <v>10.161157600582124</v>
          </cell>
          <cell r="H32">
            <v>10.161157600582124</v>
          </cell>
          <cell r="I32">
            <v>7.9417420627039013</v>
          </cell>
          <cell r="J32">
            <v>6.1697264855789404</v>
          </cell>
          <cell r="K32">
            <v>5.0379597741179305</v>
          </cell>
          <cell r="L32">
            <v>4.1375068537131536</v>
          </cell>
          <cell r="M32">
            <v>3.5304746974401318</v>
          </cell>
          <cell r="N32">
            <v>3.1006633709557718</v>
          </cell>
          <cell r="O32">
            <v>2.744616173534888</v>
          </cell>
          <cell r="P32">
            <v>2.418858623728628</v>
          </cell>
          <cell r="Q32">
            <v>2.0575125737553481</v>
          </cell>
          <cell r="R32">
            <v>1.6935978632427684</v>
          </cell>
          <cell r="S32">
            <v>1.3164926457541881</v>
          </cell>
        </row>
        <row r="33">
          <cell r="C33" t="str">
            <v>Net Debt / (EBITDA - CapEx)</v>
          </cell>
          <cell r="G33">
            <v>-9.8959757936321218</v>
          </cell>
          <cell r="H33">
            <v>-9.8959757936321218</v>
          </cell>
          <cell r="I33">
            <v>-11.291035523274267</v>
          </cell>
          <cell r="J33">
            <v>20.937240909722643</v>
          </cell>
          <cell r="K33">
            <v>10.362948105106423</v>
          </cell>
          <cell r="L33">
            <v>6.5998262157712944</v>
          </cell>
          <cell r="M33">
            <v>5.4287581882233926</v>
          </cell>
          <cell r="N33">
            <v>4.4362119234176758</v>
          </cell>
          <cell r="O33">
            <v>3.8897404552871815</v>
          </cell>
          <cell r="P33">
            <v>3.4184204385948882</v>
          </cell>
          <cell r="Q33">
            <v>2.9077528408623263</v>
          </cell>
          <cell r="R33">
            <v>2.3934551170855145</v>
          </cell>
          <cell r="S33">
            <v>1.8605160811626125</v>
          </cell>
        </row>
        <row r="34">
          <cell r="C34" t="str">
            <v>Net Senior Debt / EBITDA</v>
          </cell>
          <cell r="G34">
            <v>6.7977082205984933</v>
          </cell>
          <cell r="H34">
            <v>6.7977082205984933</v>
          </cell>
          <cell r="I34">
            <v>5.5283018729784068</v>
          </cell>
          <cell r="J34">
            <v>4.2416911273535023</v>
          </cell>
          <cell r="K34">
            <v>3.3755448321173067</v>
          </cell>
          <cell r="L34">
            <v>2.6330001647285193</v>
          </cell>
          <cell r="M34">
            <v>2.0604167155218898</v>
          </cell>
          <cell r="N34">
            <v>1.5790879636684281</v>
          </cell>
          <cell r="O34">
            <v>1.1297163791275171</v>
          </cell>
          <cell r="P34">
            <v>0.70472310058600252</v>
          </cell>
          <cell r="Q34">
            <v>0.27058623269396548</v>
          </cell>
          <cell r="R34">
            <v>0.4275121347755716</v>
          </cell>
          <cell r="S34">
            <v>-5.5355957154720886E-2</v>
          </cell>
        </row>
        <row r="35">
          <cell r="C35" t="str">
            <v>EBITDA / Cash Net Interest</v>
          </cell>
          <cell r="G35" t="str">
            <v>--</v>
          </cell>
          <cell r="H35" t="str">
            <v>--</v>
          </cell>
          <cell r="I35">
            <v>3.0070559499553986</v>
          </cell>
          <cell r="J35">
            <v>2.9116640522625081</v>
          </cell>
          <cell r="K35">
            <v>3.5140786247877869</v>
          </cell>
          <cell r="L35">
            <v>4.1392287536661474</v>
          </cell>
          <cell r="M35">
            <v>4.6932514308246329</v>
          </cell>
          <cell r="N35">
            <v>5.20838912661553</v>
          </cell>
          <cell r="O35">
            <v>5.8016518708021652</v>
          </cell>
          <cell r="P35">
            <v>6.5190195528916304</v>
          </cell>
          <cell r="Q35">
            <v>7.7361753855878845</v>
          </cell>
          <cell r="R35">
            <v>9.7652890311512053</v>
          </cell>
          <cell r="S35">
            <v>17.452240285850944</v>
          </cell>
        </row>
        <row r="36">
          <cell r="C36" t="str">
            <v>Cash Flow / Debt Service (*)</v>
          </cell>
          <cell r="G36" t="str">
            <v>--</v>
          </cell>
          <cell r="H36" t="str">
            <v>--</v>
          </cell>
          <cell r="I36">
            <v>-1.4416113709142009</v>
          </cell>
          <cell r="J36">
            <v>0.91798741330315026</v>
          </cell>
          <cell r="K36">
            <v>1.1537735497391266</v>
          </cell>
          <cell r="L36">
            <v>1.5117592167496272</v>
          </cell>
          <cell r="M36">
            <v>1.6669909533470737</v>
          </cell>
          <cell r="N36">
            <v>1.7787953513387285</v>
          </cell>
          <cell r="O36">
            <v>1.8458421530567295</v>
          </cell>
          <cell r="P36">
            <v>0.5724485195535457</v>
          </cell>
          <cell r="Q36">
            <v>0.60309522904289403</v>
          </cell>
          <cell r="R36">
            <v>0.77023711464555744</v>
          </cell>
          <cell r="S36">
            <v>9.28083497651782</v>
          </cell>
        </row>
        <row r="37">
          <cell r="G37" t="str">
            <v>Based on 2005 financials</v>
          </cell>
          <cell r="S37" t="str">
            <v>(*)  [Net Cash Flow for Debt Repayment - Net Cash Interest (pre-tax)] / [Debt Repayment + Net Cash Interest (pre-tax)]</v>
          </cell>
        </row>
        <row r="38">
          <cell r="C38" t="str">
            <v>Financial Performance</v>
          </cell>
          <cell r="L38" t="str">
            <v>Debt Repayment Profile</v>
          </cell>
        </row>
        <row r="41">
          <cell r="J41" t="str">
            <v>(€ in millions)</v>
          </cell>
          <cell r="S41" t="str">
            <v>(€ in millions)</v>
          </cell>
        </row>
        <row r="42">
          <cell r="S42">
            <v>0</v>
          </cell>
        </row>
      </sheetData>
      <sheetData sheetId="3"/>
      <sheetData sheetId="4" refreshError="1">
        <row r="8">
          <cell r="E8">
            <v>1</v>
          </cell>
          <cell r="K8" t="str">
            <v>Base Case</v>
          </cell>
        </row>
        <row r="10">
          <cell r="E10" t="str">
            <v>Fastweb</v>
          </cell>
          <cell r="K10">
            <v>1</v>
          </cell>
        </row>
        <row r="11">
          <cell r="E11" t="str">
            <v>Newco</v>
          </cell>
        </row>
        <row r="16">
          <cell r="E16">
            <v>1</v>
          </cell>
        </row>
        <row r="40">
          <cell r="E40">
            <v>12.841214144839952</v>
          </cell>
        </row>
        <row r="68">
          <cell r="P68" t="str">
            <v>Current Scenario</v>
          </cell>
        </row>
        <row r="73">
          <cell r="P73" t="str">
            <v>Fastweb</v>
          </cell>
        </row>
        <row r="75">
          <cell r="P75" t="str">
            <v>ECash</v>
          </cell>
          <cell r="Q75">
            <v>0</v>
          </cell>
          <cell r="R75" t="str">
            <v>EDebt</v>
          </cell>
          <cell r="S75">
            <v>0</v>
          </cell>
        </row>
        <row r="76">
          <cell r="P76" t="str">
            <v>DebtR</v>
          </cell>
          <cell r="Q76">
            <v>0</v>
          </cell>
          <cell r="R76" t="str">
            <v>Cash</v>
          </cell>
          <cell r="S76">
            <v>0</v>
          </cell>
        </row>
        <row r="77">
          <cell r="P77" t="str">
            <v>Interco</v>
          </cell>
          <cell r="Q77">
            <v>0</v>
          </cell>
        </row>
        <row r="79">
          <cell r="Q79">
            <v>0</v>
          </cell>
          <cell r="S79">
            <v>0</v>
          </cell>
        </row>
        <row r="81">
          <cell r="P81" t="str">
            <v>Newco</v>
          </cell>
        </row>
        <row r="83">
          <cell r="P83" t="str">
            <v>TA</v>
          </cell>
          <cell r="Q83">
            <v>650</v>
          </cell>
          <cell r="R83" t="str">
            <v>PP</v>
          </cell>
          <cell r="S83">
            <v>3626.9769690000003</v>
          </cell>
        </row>
        <row r="84">
          <cell r="P84" t="str">
            <v>TB</v>
          </cell>
          <cell r="Q84">
            <v>635</v>
          </cell>
          <cell r="R84" t="str">
            <v>Interco</v>
          </cell>
          <cell r="S84">
            <v>0</v>
          </cell>
        </row>
        <row r="85">
          <cell r="P85" t="str">
            <v>TC</v>
          </cell>
          <cell r="Q85">
            <v>635</v>
          </cell>
          <cell r="R85" t="str">
            <v>C</v>
          </cell>
          <cell r="S85">
            <v>0</v>
          </cell>
        </row>
        <row r="86">
          <cell r="P86" t="str">
            <v>SMezz</v>
          </cell>
          <cell r="Q86">
            <v>250</v>
          </cell>
          <cell r="R86" t="str">
            <v>TC</v>
          </cell>
          <cell r="S86">
            <v>36.269769690000004</v>
          </cell>
        </row>
        <row r="87">
          <cell r="P87" t="str">
            <v>JMezz</v>
          </cell>
          <cell r="Q87">
            <v>200</v>
          </cell>
          <cell r="R87" t="str">
            <v>FC</v>
          </cell>
          <cell r="S87">
            <v>72.539539380000008</v>
          </cell>
        </row>
        <row r="88">
          <cell r="P88" t="str">
            <v>HYield</v>
          </cell>
          <cell r="Q88">
            <v>500</v>
          </cell>
        </row>
        <row r="90">
          <cell r="P90" t="str">
            <v>Debt</v>
          </cell>
          <cell r="Q90">
            <v>2870</v>
          </cell>
        </row>
        <row r="92">
          <cell r="P92" t="str">
            <v>Vendor</v>
          </cell>
          <cell r="Q92">
            <v>0</v>
          </cell>
        </row>
        <row r="93">
          <cell r="P93" t="str">
            <v>ShLoan</v>
          </cell>
          <cell r="Q93">
            <v>0</v>
          </cell>
        </row>
        <row r="95">
          <cell r="P95" t="str">
            <v>CEq</v>
          </cell>
          <cell r="Q95">
            <v>865.78627807000021</v>
          </cell>
        </row>
        <row r="96">
          <cell r="P96" t="str">
            <v>Equity Sponsor</v>
          </cell>
          <cell r="Q96">
            <v>865.78627807000021</v>
          </cell>
        </row>
        <row r="97">
          <cell r="P97" t="str">
            <v>Management</v>
          </cell>
          <cell r="Q97">
            <v>0</v>
          </cell>
        </row>
        <row r="98">
          <cell r="P98" t="str">
            <v>Former Shareholders</v>
          </cell>
          <cell r="Q98">
            <v>0</v>
          </cell>
        </row>
        <row r="100">
          <cell r="P100" t="str">
            <v>Equity</v>
          </cell>
          <cell r="Q100">
            <v>865.78627807000021</v>
          </cell>
        </row>
        <row r="102">
          <cell r="Q102">
            <v>3735.7862780700002</v>
          </cell>
          <cell r="S102">
            <v>3735.7862780700002</v>
          </cell>
        </row>
        <row r="111">
          <cell r="P111" t="str">
            <v>Margin</v>
          </cell>
          <cell r="Q111" t="str">
            <v>Interest</v>
          </cell>
          <cell r="R111" t="str">
            <v>Maturity</v>
          </cell>
          <cell r="S111" t="str">
            <v>Amort.</v>
          </cell>
        </row>
        <row r="112">
          <cell r="P112" t="str">
            <v>Cash</v>
          </cell>
          <cell r="Q112" t="str">
            <v>Cash</v>
          </cell>
          <cell r="R112" t="str">
            <v>(years)</v>
          </cell>
        </row>
        <row r="117">
          <cell r="F117">
            <v>2.2499999999999999E-2</v>
          </cell>
          <cell r="G117">
            <v>4.65E-2</v>
          </cell>
          <cell r="P117">
            <v>2.2499999999999999E-2</v>
          </cell>
        </row>
        <row r="118">
          <cell r="F118">
            <v>2.2499999999999999E-2</v>
          </cell>
          <cell r="G118">
            <v>4.65E-2</v>
          </cell>
          <cell r="P118">
            <v>2.2499999999999999E-2</v>
          </cell>
        </row>
        <row r="119">
          <cell r="Q119" t="str">
            <v>Com Rev</v>
          </cell>
          <cell r="S119" t="str">
            <v>Max Rev</v>
          </cell>
        </row>
        <row r="120">
          <cell r="D120">
            <v>0</v>
          </cell>
          <cell r="G120">
            <v>2.4E-2</v>
          </cell>
          <cell r="P120">
            <v>0</v>
          </cell>
          <cell r="Q120">
            <v>0</v>
          </cell>
          <cell r="S120">
            <v>0</v>
          </cell>
        </row>
        <row r="121">
          <cell r="G121">
            <v>2.4E-2</v>
          </cell>
          <cell r="P121">
            <v>0</v>
          </cell>
          <cell r="R121">
            <v>10</v>
          </cell>
          <cell r="S121" t="str">
            <v>Bullet</v>
          </cell>
        </row>
        <row r="123">
          <cell r="G123">
            <v>2.4E-2</v>
          </cell>
          <cell r="P123">
            <v>0</v>
          </cell>
        </row>
        <row r="125">
          <cell r="F125">
            <v>2.2499999999999999E-2</v>
          </cell>
          <cell r="G125">
            <v>4.65E-2</v>
          </cell>
          <cell r="I125">
            <v>5</v>
          </cell>
          <cell r="K125" t="str">
            <v>Discret.</v>
          </cell>
          <cell r="P125">
            <v>2.2499999999999999E-2</v>
          </cell>
          <cell r="R125">
            <v>5</v>
          </cell>
          <cell r="S125" t="str">
            <v>Discret.</v>
          </cell>
        </row>
        <row r="126">
          <cell r="F126">
            <v>2.75E-2</v>
          </cell>
          <cell r="G126">
            <v>5.1500000000000004E-2</v>
          </cell>
          <cell r="I126">
            <v>8</v>
          </cell>
          <cell r="K126" t="str">
            <v>Bullet</v>
          </cell>
          <cell r="P126">
            <v>2.75E-2</v>
          </cell>
          <cell r="R126">
            <v>8</v>
          </cell>
          <cell r="S126" t="str">
            <v>Bullet</v>
          </cell>
        </row>
        <row r="127">
          <cell r="F127">
            <v>3.2500000000000001E-2</v>
          </cell>
          <cell r="G127">
            <v>5.6500000000000002E-2</v>
          </cell>
          <cell r="I127">
            <v>9</v>
          </cell>
          <cell r="K127" t="str">
            <v>Bullet</v>
          </cell>
          <cell r="P127">
            <v>3.2500000000000001E-2</v>
          </cell>
          <cell r="R127">
            <v>9</v>
          </cell>
          <cell r="S127" t="str">
            <v>Bullet</v>
          </cell>
        </row>
        <row r="128">
          <cell r="G128">
            <v>2.4E-2</v>
          </cell>
          <cell r="H128">
            <v>0.13</v>
          </cell>
          <cell r="I128">
            <v>10.5</v>
          </cell>
          <cell r="K128" t="str">
            <v>Bullet</v>
          </cell>
          <cell r="P128">
            <v>0</v>
          </cell>
          <cell r="Q128">
            <v>0.13</v>
          </cell>
          <cell r="R128">
            <v>10.5</v>
          </cell>
          <cell r="S128" t="str">
            <v>Bullet</v>
          </cell>
        </row>
        <row r="129">
          <cell r="F129">
            <v>5.5E-2</v>
          </cell>
          <cell r="G129">
            <v>7.9000000000000001E-2</v>
          </cell>
          <cell r="I129">
            <v>9.5</v>
          </cell>
          <cell r="K129" t="str">
            <v>Bullet</v>
          </cell>
          <cell r="P129">
            <v>5.5E-2</v>
          </cell>
          <cell r="Q129">
            <v>0</v>
          </cell>
          <cell r="R129">
            <v>9.5</v>
          </cell>
          <cell r="S129" t="str">
            <v>Bullet</v>
          </cell>
        </row>
        <row r="130">
          <cell r="F130">
            <v>6.6000000000000003E-2</v>
          </cell>
          <cell r="G130">
            <v>0.09</v>
          </cell>
          <cell r="I130">
            <v>10</v>
          </cell>
          <cell r="K130" t="str">
            <v>Bullet</v>
          </cell>
          <cell r="P130">
            <v>6.6000000000000003E-2</v>
          </cell>
          <cell r="Q130">
            <v>0</v>
          </cell>
          <cell r="R130">
            <v>10</v>
          </cell>
          <cell r="S130" t="str">
            <v>Bullet</v>
          </cell>
        </row>
        <row r="131">
          <cell r="K131" t="str">
            <v>Bullet</v>
          </cell>
          <cell r="P131">
            <v>0</v>
          </cell>
          <cell r="Q131">
            <v>0</v>
          </cell>
          <cell r="R131">
            <v>0</v>
          </cell>
          <cell r="S131" t="str">
            <v>Bullet</v>
          </cell>
        </row>
        <row r="132">
          <cell r="K132" t="str">
            <v>Bullet</v>
          </cell>
          <cell r="Q132">
            <v>0</v>
          </cell>
          <cell r="R132">
            <v>0</v>
          </cell>
          <cell r="S132" t="str">
            <v>Bullet</v>
          </cell>
        </row>
        <row r="139">
          <cell r="Q139" t="str">
            <v>Diluted</v>
          </cell>
          <cell r="S139" t="str">
            <v>Shareholders'</v>
          </cell>
        </row>
        <row r="140">
          <cell r="Q140" t="str">
            <v>Ownership</v>
          </cell>
          <cell r="S140" t="str">
            <v>Loan</v>
          </cell>
        </row>
        <row r="143">
          <cell r="Q143">
            <v>1</v>
          </cell>
          <cell r="S143">
            <v>0</v>
          </cell>
        </row>
        <row r="144">
          <cell r="H144">
            <v>0</v>
          </cell>
          <cell r="Q144">
            <v>0</v>
          </cell>
          <cell r="S144">
            <v>0</v>
          </cell>
        </row>
        <row r="145">
          <cell r="H145">
            <v>0</v>
          </cell>
          <cell r="Q145">
            <v>0</v>
          </cell>
          <cell r="S145">
            <v>0</v>
          </cell>
        </row>
        <row r="146">
          <cell r="F146">
            <v>0</v>
          </cell>
          <cell r="Q146">
            <v>0</v>
          </cell>
          <cell r="S146" t="str">
            <v>--</v>
          </cell>
        </row>
        <row r="147">
          <cell r="F147">
            <v>0</v>
          </cell>
          <cell r="Q147">
            <v>0</v>
          </cell>
          <cell r="S147" t="str">
            <v>--</v>
          </cell>
        </row>
        <row r="149">
          <cell r="Q149">
            <v>1</v>
          </cell>
          <cell r="S149">
            <v>0</v>
          </cell>
        </row>
        <row r="201">
          <cell r="E201" t="str">
            <v>--</v>
          </cell>
        </row>
        <row r="213">
          <cell r="E213" t="str">
            <v>Base Case</v>
          </cell>
          <cell r="F213">
            <v>1</v>
          </cell>
        </row>
        <row r="214">
          <cell r="E214" t="str">
            <v>Upside Case</v>
          </cell>
          <cell r="F214">
            <v>2</v>
          </cell>
        </row>
        <row r="215">
          <cell r="E215" t="str">
            <v>Downside Case</v>
          </cell>
          <cell r="F215">
            <v>3</v>
          </cell>
        </row>
        <row r="240">
          <cell r="E240">
            <v>1</v>
          </cell>
        </row>
        <row r="242">
          <cell r="E242" t="str">
            <v>Scenario 1</v>
          </cell>
        </row>
        <row r="243">
          <cell r="E243" t="str">
            <v>Scenario 2</v>
          </cell>
        </row>
        <row r="244">
          <cell r="E244" t="str">
            <v>Scenario 3</v>
          </cell>
        </row>
        <row r="245">
          <cell r="E245" t="str">
            <v>Scenario 4</v>
          </cell>
        </row>
        <row r="246">
          <cell r="E246" t="str">
            <v>Scenario 5</v>
          </cell>
        </row>
        <row r="247">
          <cell r="E247" t="str">
            <v>Scenario 6</v>
          </cell>
        </row>
      </sheetData>
      <sheetData sheetId="5" refreshError="1">
        <row r="41">
          <cell r="F41">
            <v>0.26479037404060357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ng"/>
      <sheetName val="DCF_10"/>
      <sheetName val="Ppt tables"/>
    </sheetNames>
    <sheetDataSet>
      <sheetData sheetId="0" refreshError="1">
        <row r="1">
          <cell r="A1" t="str">
            <v>CompleTel Europe - Consolidated Financing Model</v>
          </cell>
          <cell r="H1" t="str">
            <v xml:space="preserve">France </v>
          </cell>
        </row>
        <row r="2">
          <cell r="H2" t="str">
            <v xml:space="preserve">Germany </v>
          </cell>
        </row>
        <row r="3">
          <cell r="H3" t="str">
            <v xml:space="preserve">UK </v>
          </cell>
        </row>
        <row r="5">
          <cell r="A5" t="str">
            <v>Sources &amp; Uses</v>
          </cell>
        </row>
        <row r="6">
          <cell r="E6" t="str">
            <v>Cumulative</v>
          </cell>
          <cell r="K6" t="str">
            <v>Cumulative</v>
          </cell>
        </row>
        <row r="7">
          <cell r="E7">
            <v>1999</v>
          </cell>
          <cell r="F7">
            <v>2002</v>
          </cell>
          <cell r="K7">
            <v>1999</v>
          </cell>
          <cell r="L7">
            <v>2002</v>
          </cell>
        </row>
        <row r="8">
          <cell r="A8" t="str">
            <v>Uses of Funds</v>
          </cell>
          <cell r="E8" t="str">
            <v>Total</v>
          </cell>
          <cell r="F8" t="str">
            <v>Total</v>
          </cell>
          <cell r="H8" t="str">
            <v>Sources of Funds</v>
          </cell>
          <cell r="K8" t="str">
            <v>Total</v>
          </cell>
          <cell r="L8" t="str">
            <v>Total</v>
          </cell>
        </row>
        <row r="10">
          <cell r="H10" t="str">
            <v>Tranche A</v>
          </cell>
          <cell r="K10">
            <v>0</v>
          </cell>
          <cell r="L10">
            <v>110000000</v>
          </cell>
        </row>
        <row r="11">
          <cell r="A11" t="str">
            <v xml:space="preserve">Capital Expenditures </v>
          </cell>
          <cell r="E11">
            <v>94747433.912499979</v>
          </cell>
          <cell r="F11">
            <v>714063422.85191405</v>
          </cell>
          <cell r="H11" t="str">
            <v>Tranche B</v>
          </cell>
          <cell r="K11">
            <v>0</v>
          </cell>
          <cell r="L11">
            <v>170000000</v>
          </cell>
        </row>
        <row r="12">
          <cell r="B12" t="str">
            <v>Capital Expenditures Sub-Total</v>
          </cell>
          <cell r="E12">
            <v>94747433.912499979</v>
          </cell>
          <cell r="F12">
            <v>714063422.85191405</v>
          </cell>
          <cell r="H12" t="str">
            <v>Total Senior Debt</v>
          </cell>
          <cell r="K12">
            <v>0</v>
          </cell>
          <cell r="L12">
            <v>280000000</v>
          </cell>
        </row>
        <row r="14">
          <cell r="A14" t="str">
            <v>Purchase of Assets</v>
          </cell>
          <cell r="E14">
            <v>2650000</v>
          </cell>
          <cell r="F14">
            <v>2650000</v>
          </cell>
          <cell r="H14" t="str">
            <v>High Yield - A</v>
          </cell>
          <cell r="K14">
            <v>75000000</v>
          </cell>
          <cell r="L14">
            <v>75000000</v>
          </cell>
        </row>
        <row r="15">
          <cell r="H15" t="str">
            <v>High Yield - B</v>
          </cell>
          <cell r="K15">
            <v>0</v>
          </cell>
          <cell r="L15">
            <v>200000000</v>
          </cell>
        </row>
        <row r="16">
          <cell r="A16" t="str">
            <v>Operating Losses (EBITDA)</v>
          </cell>
          <cell r="E16">
            <v>50901346.861194901</v>
          </cell>
          <cell r="F16">
            <v>353249257.53459537</v>
          </cell>
          <cell r="H16" t="str">
            <v>Total Debt</v>
          </cell>
          <cell r="K16">
            <v>75000000</v>
          </cell>
          <cell r="L16">
            <v>555000000</v>
          </cell>
        </row>
        <row r="17">
          <cell r="A17" t="str">
            <v>Operating Income (EBITDA)</v>
          </cell>
          <cell r="E17">
            <v>0</v>
          </cell>
          <cell r="F17">
            <v>0</v>
          </cell>
        </row>
        <row r="18">
          <cell r="B18" t="str">
            <v>EBITDA Sub-Total</v>
          </cell>
          <cell r="E18">
            <v>50901346.861194901</v>
          </cell>
          <cell r="F18">
            <v>353249257.53459537</v>
          </cell>
          <cell r="H18" t="str">
            <v>Interest Expense Accreted</v>
          </cell>
          <cell r="K18">
            <v>10867500.000000002</v>
          </cell>
          <cell r="L18">
            <v>53863963.487394013</v>
          </cell>
        </row>
        <row r="19">
          <cell r="H19" t="str">
            <v xml:space="preserve">   New Debt subtotal</v>
          </cell>
          <cell r="K19">
            <v>85867500</v>
          </cell>
          <cell r="L19">
            <v>1280426410.6647928</v>
          </cell>
        </row>
        <row r="21">
          <cell r="A21" t="str">
            <v xml:space="preserve">Interest Expense </v>
          </cell>
          <cell r="E21">
            <v>10867500.000000002</v>
          </cell>
          <cell r="F21">
            <v>172817026.92388064</v>
          </cell>
          <cell r="H21" t="str">
            <v>High Yield Off-Lending Fees</v>
          </cell>
          <cell r="K21">
            <v>200854.6875</v>
          </cell>
          <cell r="L21">
            <v>1016252.6509020319</v>
          </cell>
        </row>
        <row r="22">
          <cell r="A22" t="str">
            <v>Interest Income</v>
          </cell>
          <cell r="E22">
            <v>-1930818.2179813818</v>
          </cell>
          <cell r="F22">
            <v>-9829677.0697460826</v>
          </cell>
        </row>
        <row r="23">
          <cell r="B23" t="str">
            <v>Interest Expense Sub-Total</v>
          </cell>
          <cell r="E23">
            <v>8936681.7820186205</v>
          </cell>
          <cell r="F23">
            <v>162987349.85413456</v>
          </cell>
          <cell r="H23" t="str">
            <v>Investor Preferred Stock</v>
          </cell>
          <cell r="K23">
            <v>105750000</v>
          </cell>
          <cell r="L23">
            <v>105750000</v>
          </cell>
        </row>
        <row r="24">
          <cell r="H24" t="str">
            <v>Common Stock</v>
          </cell>
          <cell r="K24">
            <v>0</v>
          </cell>
          <cell r="L24">
            <v>220000000</v>
          </cell>
        </row>
        <row r="25">
          <cell r="A25" t="str">
            <v>Working Capital</v>
          </cell>
          <cell r="E25">
            <v>-2125295.0418197904</v>
          </cell>
          <cell r="F25">
            <v>68931599.16633229</v>
          </cell>
          <cell r="H25" t="str">
            <v xml:space="preserve">   Equity Sub-Total</v>
          </cell>
          <cell r="K25">
            <v>105750000</v>
          </cell>
          <cell r="L25">
            <v>325750000</v>
          </cell>
        </row>
        <row r="27">
          <cell r="A27" t="str">
            <v>Unused Commitment Fees</v>
          </cell>
          <cell r="E27">
            <v>0</v>
          </cell>
          <cell r="F27">
            <v>0</v>
          </cell>
        </row>
        <row r="29">
          <cell r="A29" t="str">
            <v>Financing/Transaction Fees</v>
          </cell>
          <cell r="E29">
            <v>6598874</v>
          </cell>
          <cell r="F29">
            <v>23988874</v>
          </cell>
        </row>
        <row r="31">
          <cell r="A31" t="str">
            <v>Excess Cash</v>
          </cell>
          <cell r="E31">
            <v>30109313.173606277</v>
          </cell>
          <cell r="F31">
            <v>1322159.9087184221</v>
          </cell>
        </row>
        <row r="33">
          <cell r="A33" t="str">
            <v>Total Uses</v>
          </cell>
          <cell r="E33">
            <v>191818354.6875</v>
          </cell>
          <cell r="F33">
            <v>1327192663.3156946</v>
          </cell>
          <cell r="H33" t="str">
            <v>Total Sources</v>
          </cell>
          <cell r="K33">
            <v>191818354.6875</v>
          </cell>
          <cell r="L33">
            <v>1607192663.3156948</v>
          </cell>
        </row>
        <row r="84">
          <cell r="AF84">
            <v>1999</v>
          </cell>
          <cell r="AJ84">
            <v>2000</v>
          </cell>
          <cell r="AN84">
            <v>2001</v>
          </cell>
          <cell r="AR84">
            <v>2002</v>
          </cell>
          <cell r="AS84">
            <v>2003</v>
          </cell>
          <cell r="AT84">
            <v>2004</v>
          </cell>
          <cell r="AU84">
            <v>2005</v>
          </cell>
          <cell r="AV84">
            <v>2006</v>
          </cell>
        </row>
        <row r="86">
          <cell r="AF86">
            <v>36250</v>
          </cell>
          <cell r="AG86">
            <v>36341</v>
          </cell>
          <cell r="AH86">
            <v>36433</v>
          </cell>
          <cell r="AI86">
            <v>36525</v>
          </cell>
          <cell r="AJ86">
            <v>36616</v>
          </cell>
          <cell r="AK86">
            <v>36707</v>
          </cell>
          <cell r="AL86">
            <v>36799</v>
          </cell>
          <cell r="AM86">
            <v>36891</v>
          </cell>
          <cell r="AN86">
            <v>36981</v>
          </cell>
          <cell r="AO86">
            <v>37072</v>
          </cell>
          <cell r="AP86">
            <v>37164</v>
          </cell>
          <cell r="AQ86">
            <v>37256</v>
          </cell>
        </row>
        <row r="88">
          <cell r="AF88">
            <v>0</v>
          </cell>
          <cell r="AG88">
            <v>1252000</v>
          </cell>
          <cell r="AH88">
            <v>3276989.7897897898</v>
          </cell>
          <cell r="AI88">
            <v>5285154.6546546547</v>
          </cell>
          <cell r="AJ88">
            <v>8982470.8788041659</v>
          </cell>
          <cell r="AK88">
            <v>25263569.635824468</v>
          </cell>
          <cell r="AL88">
            <v>43794774.829132505</v>
          </cell>
          <cell r="AM88">
            <v>63172558.694345452</v>
          </cell>
          <cell r="AN88">
            <v>96145659.411032468</v>
          </cell>
          <cell r="AO88">
            <v>154519345.97920939</v>
          </cell>
          <cell r="AP88">
            <v>229269407.11479175</v>
          </cell>
          <cell r="AQ88">
            <v>278954175.25587654</v>
          </cell>
          <cell r="AR88">
            <v>461715497.38627613</v>
          </cell>
          <cell r="AS88">
            <v>734588355.27637422</v>
          </cell>
          <cell r="AT88">
            <v>972063340.43381989</v>
          </cell>
          <cell r="AU88">
            <v>1176992916.2002902</v>
          </cell>
          <cell r="AV88">
            <v>1345975367.1237762</v>
          </cell>
        </row>
        <row r="89">
          <cell r="AF89">
            <v>-23480649</v>
          </cell>
          <cell r="AG89">
            <v>-32796649</v>
          </cell>
          <cell r="AH89">
            <v>-54653479.377107866</v>
          </cell>
          <cell r="AI89">
            <v>-57351586.067671739</v>
          </cell>
          <cell r="AJ89">
            <v>-88799234.479424745</v>
          </cell>
          <cell r="AK89">
            <v>-100272846.00867105</v>
          </cell>
          <cell r="AL89">
            <v>-122760090.11935732</v>
          </cell>
          <cell r="AM89">
            <v>-135208472.56741309</v>
          </cell>
          <cell r="AN89">
            <v>-145776282.79240388</v>
          </cell>
          <cell r="AO89">
            <v>-145454453.28013492</v>
          </cell>
          <cell r="AP89">
            <v>-127132761.80445713</v>
          </cell>
          <cell r="AQ89">
            <v>-114473437.00706092</v>
          </cell>
          <cell r="AR89">
            <v>-57378516.158669695</v>
          </cell>
          <cell r="AS89">
            <v>92293035.508565813</v>
          </cell>
          <cell r="AT89">
            <v>187569239.1549511</v>
          </cell>
          <cell r="AU89">
            <v>301978658.25386572</v>
          </cell>
          <cell r="AV89">
            <v>422983214.76440597</v>
          </cell>
        </row>
        <row r="91">
          <cell r="AF91">
            <v>0</v>
          </cell>
          <cell r="AG91">
            <v>0</v>
          </cell>
          <cell r="AH91">
            <v>0</v>
          </cell>
          <cell r="AI91">
            <v>0</v>
          </cell>
          <cell r="AJ91">
            <v>874531.25</v>
          </cell>
          <cell r="AK91">
            <v>1956406.25</v>
          </cell>
          <cell r="AL91">
            <v>3038281.25</v>
          </cell>
          <cell r="AM91">
            <v>4120156.25</v>
          </cell>
          <cell r="AN91">
            <v>4739585.4493174115</v>
          </cell>
          <cell r="AO91">
            <v>7644863.0931794895</v>
          </cell>
          <cell r="AP91">
            <v>12534101.695393698</v>
          </cell>
          <cell r="AQ91">
            <v>18385396.553422097</v>
          </cell>
          <cell r="AR91">
            <v>27447510.633064516</v>
          </cell>
          <cell r="AS91">
            <v>28608510.668275107</v>
          </cell>
          <cell r="AT91">
            <v>25742010.385549121</v>
          </cell>
          <cell r="AU91">
            <v>18593070.36194418</v>
          </cell>
          <cell r="AV91">
            <v>11338216.929180352</v>
          </cell>
        </row>
        <row r="92">
          <cell r="AF92">
            <v>0</v>
          </cell>
          <cell r="AG92">
            <v>0</v>
          </cell>
          <cell r="AH92">
            <v>0</v>
          </cell>
          <cell r="AI92">
            <v>0</v>
          </cell>
          <cell r="AJ92">
            <v>874531.25</v>
          </cell>
          <cell r="AK92">
            <v>13456406.25</v>
          </cell>
          <cell r="AL92">
            <v>14538281.25</v>
          </cell>
          <cell r="AM92">
            <v>27120156.25</v>
          </cell>
          <cell r="AN92">
            <v>27739585.449317411</v>
          </cell>
          <cell r="AO92">
            <v>30644863.09317949</v>
          </cell>
          <cell r="AP92">
            <v>35534101.695393696</v>
          </cell>
          <cell r="AQ92">
            <v>41385396.553422093</v>
          </cell>
          <cell r="AR92">
            <v>50447510.633064516</v>
          </cell>
          <cell r="AS92">
            <v>51608510.668275103</v>
          </cell>
          <cell r="AT92">
            <v>69392010.385549128</v>
          </cell>
          <cell r="AU92">
            <v>62243070.361944184</v>
          </cell>
          <cell r="AV92">
            <v>54988216.929180354</v>
          </cell>
        </row>
        <row r="93">
          <cell r="AF93">
            <v>0</v>
          </cell>
          <cell r="AG93">
            <v>0</v>
          </cell>
          <cell r="AH93">
            <v>0</v>
          </cell>
          <cell r="AI93">
            <v>0</v>
          </cell>
          <cell r="AJ93">
            <v>0</v>
          </cell>
          <cell r="AK93">
            <v>0</v>
          </cell>
          <cell r="AL93">
            <v>0</v>
          </cell>
          <cell r="AM93">
            <v>0</v>
          </cell>
          <cell r="AN93">
            <v>0</v>
          </cell>
          <cell r="AO93">
            <v>0</v>
          </cell>
          <cell r="AP93">
            <v>0</v>
          </cell>
          <cell r="AQ93">
            <v>0</v>
          </cell>
          <cell r="AR93">
            <v>0</v>
          </cell>
          <cell r="AS93">
            <v>56000000</v>
          </cell>
          <cell r="AT93">
            <v>70000000</v>
          </cell>
          <cell r="AU93">
            <v>70000000</v>
          </cell>
          <cell r="AV93">
            <v>52131081.358432323</v>
          </cell>
        </row>
        <row r="95">
          <cell r="AF95">
            <v>0</v>
          </cell>
          <cell r="AG95">
            <v>0</v>
          </cell>
          <cell r="AH95">
            <v>0</v>
          </cell>
          <cell r="AI95">
            <v>0</v>
          </cell>
          <cell r="AJ95">
            <v>25000000</v>
          </cell>
          <cell r="AK95">
            <v>25000000</v>
          </cell>
          <cell r="AL95">
            <v>25000000</v>
          </cell>
          <cell r="AM95">
            <v>25000000</v>
          </cell>
          <cell r="AN95">
            <v>64316441.199037507</v>
          </cell>
          <cell r="AO95">
            <v>198450067.30412892</v>
          </cell>
          <cell r="AP95">
            <v>303086284.97955787</v>
          </cell>
          <cell r="AQ95">
            <v>388808275.11856008</v>
          </cell>
          <cell r="AR95">
            <v>671562447.17739868</v>
          </cell>
          <cell r="AS95">
            <v>779248350.03429914</v>
          </cell>
          <cell r="AT95">
            <v>779662599.093822</v>
          </cell>
          <cell r="AU95">
            <v>645924761.81068671</v>
          </cell>
          <cell r="AV95">
            <v>406047950.25419378</v>
          </cell>
        </row>
        <row r="96">
          <cell r="AF96">
            <v>75000000</v>
          </cell>
          <cell r="AG96">
            <v>80250000</v>
          </cell>
          <cell r="AH96">
            <v>80250000</v>
          </cell>
          <cell r="AI96">
            <v>85867500</v>
          </cell>
          <cell r="AJ96">
            <v>310867500</v>
          </cell>
          <cell r="AK96">
            <v>316878225</v>
          </cell>
          <cell r="AL96">
            <v>316878225</v>
          </cell>
          <cell r="AM96">
            <v>323309700.75</v>
          </cell>
          <cell r="AN96">
            <v>362626141.94903749</v>
          </cell>
          <cell r="AO96">
            <v>503641447.10662889</v>
          </cell>
          <cell r="AP96">
            <v>608277664.78205788</v>
          </cell>
          <cell r="AQ96">
            <v>701363051.50723505</v>
          </cell>
          <cell r="AR96">
            <v>1000426410.6647927</v>
          </cell>
          <cell r="AS96">
            <v>1126748350.0342991</v>
          </cell>
          <cell r="AT96">
            <v>1127162599.093822</v>
          </cell>
          <cell r="AU96">
            <v>993424761.81068671</v>
          </cell>
          <cell r="AV96">
            <v>753547950.25419378</v>
          </cell>
        </row>
        <row r="97">
          <cell r="AF97">
            <v>140750000</v>
          </cell>
          <cell r="AG97">
            <v>140750000</v>
          </cell>
          <cell r="AH97">
            <v>140750000</v>
          </cell>
          <cell r="AI97">
            <v>180750000</v>
          </cell>
          <cell r="AJ97">
            <v>205750000</v>
          </cell>
          <cell r="AK97">
            <v>205750000</v>
          </cell>
          <cell r="AL97">
            <v>205750000</v>
          </cell>
          <cell r="AM97">
            <v>205750000</v>
          </cell>
          <cell r="AN97">
            <v>245066441.19903749</v>
          </cell>
          <cell r="AO97">
            <v>379200067.30412889</v>
          </cell>
          <cell r="AP97">
            <v>483836284.97955787</v>
          </cell>
          <cell r="AQ97">
            <v>569558275.11856008</v>
          </cell>
          <cell r="AR97">
            <v>852312447.17739868</v>
          </cell>
          <cell r="AS97">
            <v>959998350.03429914</v>
          </cell>
          <cell r="AT97">
            <v>960412599.093822</v>
          </cell>
          <cell r="AU97">
            <v>826674761.81068671</v>
          </cell>
          <cell r="AV97">
            <v>586797950.25419378</v>
          </cell>
        </row>
        <row r="99">
          <cell r="AN99">
            <v>0.66894794411964231</v>
          </cell>
          <cell r="AO99">
            <v>1.2843056385368756</v>
          </cell>
          <cell r="AP99">
            <v>1.3219656682228307</v>
          </cell>
        </row>
        <row r="100">
          <cell r="AN100">
            <v>2.25</v>
          </cell>
          <cell r="AO100">
            <v>2</v>
          </cell>
          <cell r="AP100">
            <v>1.75</v>
          </cell>
        </row>
        <row r="101">
          <cell r="AN101">
            <v>2.3634904177201332</v>
          </cell>
          <cell r="AO101">
            <v>0.55726171402507241</v>
          </cell>
          <cell r="AP101">
            <v>0.32378626923995113</v>
          </cell>
        </row>
        <row r="103">
          <cell r="AJ103">
            <v>0.12150668286755771</v>
          </cell>
          <cell r="AK103">
            <v>0.12150668286755771</v>
          </cell>
          <cell r="AL103">
            <v>0.12150668286755771</v>
          </cell>
          <cell r="AM103">
            <v>0.12150668286755771</v>
          </cell>
          <cell r="AN103">
            <v>0.26244491446628193</v>
          </cell>
          <cell r="AO103">
            <v>0.52333869219745288</v>
          </cell>
          <cell r="AP103">
            <v>0.62642322287251218</v>
          </cell>
        </row>
        <row r="104">
          <cell r="AJ104">
            <v>0.35</v>
          </cell>
          <cell r="AK104">
            <v>0.4</v>
          </cell>
          <cell r="AL104">
            <v>0.47</v>
          </cell>
          <cell r="AM104">
            <v>0.5</v>
          </cell>
          <cell r="AN104">
            <v>0.5</v>
          </cell>
          <cell r="AO104">
            <v>0.5</v>
          </cell>
          <cell r="AP104">
            <v>0.5</v>
          </cell>
        </row>
        <row r="105">
          <cell r="AJ105">
            <v>1.8805000000000001</v>
          </cell>
          <cell r="AK105">
            <v>2.2920000000000003</v>
          </cell>
          <cell r="AL105">
            <v>2.8681000000000001</v>
          </cell>
          <cell r="AM105">
            <v>3.1150000000000002</v>
          </cell>
          <cell r="AN105">
            <v>0.9051617022826266</v>
          </cell>
          <cell r="AO105">
            <v>-4.4595770474099239E-2</v>
          </cell>
          <cell r="AP105">
            <v>-0.20181758634807423</v>
          </cell>
        </row>
        <row r="106">
          <cell r="AJ106" t="str">
            <v>-</v>
          </cell>
          <cell r="AK106" t="str">
            <v>-</v>
          </cell>
          <cell r="AL106" t="str">
            <v>-</v>
          </cell>
          <cell r="AM106" t="str">
            <v>-</v>
          </cell>
          <cell r="AN106" t="str">
            <v>-</v>
          </cell>
          <cell r="AO106" t="str">
            <v>-</v>
          </cell>
          <cell r="AP106" t="str">
            <v>-</v>
          </cell>
        </row>
        <row r="107">
          <cell r="AQ107" t="str">
            <v>NA</v>
          </cell>
          <cell r="AR107" t="str">
            <v>NA</v>
          </cell>
          <cell r="AS107">
            <v>8.4431977531173121</v>
          </cell>
          <cell r="AT107">
            <v>4.1566655737710922</v>
          </cell>
          <cell r="AU107">
            <v>2.138974871752938</v>
          </cell>
          <cell r="AV107">
            <v>0.9599623249361211</v>
          </cell>
        </row>
        <row r="108">
          <cell r="AQ108">
            <v>6.5</v>
          </cell>
          <cell r="AR108">
            <v>3.5</v>
          </cell>
          <cell r="AS108">
            <v>2.5</v>
          </cell>
          <cell r="AT108">
            <v>2.5</v>
          </cell>
          <cell r="AU108">
            <v>2.5</v>
          </cell>
          <cell r="AV108">
            <v>2.5</v>
          </cell>
        </row>
        <row r="109">
          <cell r="AQ109" t="str">
            <v>n.m.</v>
          </cell>
          <cell r="AR109" t="str">
            <v>n.m.</v>
          </cell>
          <cell r="AS109">
            <v>-0.70390365438533342</v>
          </cell>
          <cell r="AT109">
            <v>-0.39855637755050366</v>
          </cell>
          <cell r="AU109">
            <v>0.16878418396341122</v>
          </cell>
          <cell r="AV109">
            <v>1.6042688708292356</v>
          </cell>
        </row>
        <row r="110">
          <cell r="AQ110" t="str">
            <v>-</v>
          </cell>
          <cell r="AR110" t="str">
            <v>-</v>
          </cell>
          <cell r="AS110" t="str">
            <v>fail</v>
          </cell>
          <cell r="AT110" t="str">
            <v>fail</v>
          </cell>
          <cell r="AU110" t="str">
            <v>-</v>
          </cell>
          <cell r="AV110" t="str">
            <v>-</v>
          </cell>
        </row>
        <row r="111">
          <cell r="AQ111" t="str">
            <v>NA</v>
          </cell>
          <cell r="AR111" t="str">
            <v>NA</v>
          </cell>
          <cell r="AS111">
            <v>12.20837892941255</v>
          </cell>
          <cell r="AT111">
            <v>6.0093147691593085</v>
          </cell>
          <cell r="AU111">
            <v>3.28971844419396</v>
          </cell>
          <cell r="AV111">
            <v>1.7815079273864483</v>
          </cell>
        </row>
        <row r="112">
          <cell r="AQ112" t="str">
            <v>tbd</v>
          </cell>
          <cell r="AR112" t="str">
            <v>tbd</v>
          </cell>
          <cell r="AS112" t="str">
            <v>tbd</v>
          </cell>
          <cell r="AT112" t="str">
            <v>tbd</v>
          </cell>
          <cell r="AU112" t="str">
            <v>tbd</v>
          </cell>
          <cell r="AV112" t="str">
            <v>tbd</v>
          </cell>
        </row>
        <row r="113">
          <cell r="AQ113" t="str">
            <v>n.m.</v>
          </cell>
          <cell r="AR113" t="str">
            <v>n.m.</v>
          </cell>
          <cell r="AS113" t="str">
            <v>n.m.</v>
          </cell>
          <cell r="AT113" t="str">
            <v>n.m.</v>
          </cell>
          <cell r="AU113" t="str">
            <v>n.m.</v>
          </cell>
          <cell r="AV113" t="str">
            <v>n.m.</v>
          </cell>
        </row>
        <row r="114">
          <cell r="AQ114" t="str">
            <v>-</v>
          </cell>
          <cell r="AR114" t="str">
            <v>-</v>
          </cell>
          <cell r="AS114" t="str">
            <v>-</v>
          </cell>
          <cell r="AT114" t="str">
            <v>-</v>
          </cell>
          <cell r="AU114" t="str">
            <v>-</v>
          </cell>
          <cell r="AV114" t="str">
            <v>-</v>
          </cell>
        </row>
        <row r="115">
          <cell r="AI115">
            <v>-57351586.067671739</v>
          </cell>
          <cell r="AJ115">
            <v>-88799234.479424745</v>
          </cell>
          <cell r="AK115">
            <v>-100272846.00867105</v>
          </cell>
          <cell r="AL115">
            <v>-122760090.11935732</v>
          </cell>
          <cell r="AM115">
            <v>-135208472.56741309</v>
          </cell>
          <cell r="AN115">
            <v>-145776282.79240388</v>
          </cell>
          <cell r="AO115">
            <v>-145454453.28013492</v>
          </cell>
          <cell r="AP115">
            <v>-127132761.80445713</v>
          </cell>
        </row>
        <row r="116">
          <cell r="AI116">
            <v>-60000000</v>
          </cell>
          <cell r="AJ116">
            <v>-70000000</v>
          </cell>
          <cell r="AK116">
            <v>-70000000</v>
          </cell>
          <cell r="AL116">
            <v>-70000000</v>
          </cell>
          <cell r="AM116">
            <v>-58000000</v>
          </cell>
          <cell r="AN116">
            <v>-28000000</v>
          </cell>
          <cell r="AO116">
            <v>-12000000</v>
          </cell>
          <cell r="AP116">
            <v>13000000</v>
          </cell>
        </row>
        <row r="117">
          <cell r="AI117">
            <v>4.617856477767289E-2</v>
          </cell>
          <cell r="AJ117">
            <v>-0.21170491603484068</v>
          </cell>
          <cell r="AK117">
            <v>-0.30190472509430138</v>
          </cell>
          <cell r="AL117">
            <v>-0.4297821064489255</v>
          </cell>
          <cell r="AM117">
            <v>-0.57103279921247541</v>
          </cell>
          <cell r="AN117">
            <v>-0.80792485949258253</v>
          </cell>
          <cell r="AO117">
            <v>-0.91749994771979337</v>
          </cell>
          <cell r="AP117">
            <v>-1.1022553102401353</v>
          </cell>
        </row>
        <row r="118">
          <cell r="AI118">
            <v>2648413.9323282614</v>
          </cell>
          <cell r="AJ118">
            <v>-18799234.479424745</v>
          </cell>
          <cell r="AK118">
            <v>-30272846.008671045</v>
          </cell>
          <cell r="AL118">
            <v>-52760090.119357318</v>
          </cell>
          <cell r="AM118">
            <v>-77208472.567413092</v>
          </cell>
          <cell r="AN118">
            <v>-117776282.79240388</v>
          </cell>
          <cell r="AO118">
            <v>-133454453.28013492</v>
          </cell>
          <cell r="AP118">
            <v>-140132761.80445713</v>
          </cell>
        </row>
        <row r="119">
          <cell r="AI119" t="str">
            <v>-</v>
          </cell>
          <cell r="AJ119" t="str">
            <v>fail</v>
          </cell>
          <cell r="AK119" t="str">
            <v>fail</v>
          </cell>
          <cell r="AL119" t="str">
            <v>fail</v>
          </cell>
          <cell r="AM119" t="str">
            <v>fail</v>
          </cell>
          <cell r="AN119" t="str">
            <v>fail</v>
          </cell>
          <cell r="AO119" t="str">
            <v>fail</v>
          </cell>
          <cell r="AP119" t="str">
            <v>fail</v>
          </cell>
        </row>
        <row r="120">
          <cell r="AQ120" t="str">
            <v>NA</v>
          </cell>
          <cell r="AR120" t="str">
            <v>NA</v>
          </cell>
          <cell r="AS120">
            <v>3.2260692134146121</v>
          </cell>
          <cell r="AT120">
            <v>7.2865031264320939</v>
          </cell>
          <cell r="AU120">
            <v>16.241462672671208</v>
          </cell>
          <cell r="AV120">
            <v>37.305973012017837</v>
          </cell>
        </row>
        <row r="121">
          <cell r="AQ121">
            <v>2</v>
          </cell>
          <cell r="AR121">
            <v>3.5</v>
          </cell>
          <cell r="AS121">
            <v>4</v>
          </cell>
          <cell r="AT121">
            <v>4</v>
          </cell>
          <cell r="AU121">
            <v>4</v>
          </cell>
          <cell r="AV121">
            <v>4</v>
          </cell>
        </row>
        <row r="122">
          <cell r="AQ122" t="str">
            <v>n.m.</v>
          </cell>
          <cell r="AR122" t="str">
            <v>n.m.</v>
          </cell>
          <cell r="AS122">
            <v>-0.23989900259028407</v>
          </cell>
          <cell r="AT122">
            <v>0.45103982931265985</v>
          </cell>
          <cell r="AU122">
            <v>0.75371676303941371</v>
          </cell>
          <cell r="AV122">
            <v>0.8927785639390392</v>
          </cell>
        </row>
        <row r="123">
          <cell r="AQ123" t="str">
            <v>-</v>
          </cell>
          <cell r="AR123" t="str">
            <v>-</v>
          </cell>
          <cell r="AS123" t="str">
            <v>fail</v>
          </cell>
          <cell r="AT123" t="str">
            <v>-</v>
          </cell>
          <cell r="AU123" t="str">
            <v>-</v>
          </cell>
          <cell r="AV123" t="str">
            <v>-</v>
          </cell>
        </row>
        <row r="124">
          <cell r="AQ124" t="str">
            <v>NA</v>
          </cell>
          <cell r="AR124" t="str">
            <v>NA</v>
          </cell>
          <cell r="AS124">
            <v>1.7883297602172501</v>
          </cell>
          <cell r="AT124">
            <v>2.7030379738646735</v>
          </cell>
          <cell r="AU124">
            <v>4.8516028611354853</v>
          </cell>
          <cell r="AV124">
            <v>7.6922518747819835</v>
          </cell>
        </row>
        <row r="125">
          <cell r="AQ125">
            <v>2</v>
          </cell>
          <cell r="AR125">
            <v>3.5</v>
          </cell>
          <cell r="AS125">
            <v>3.5</v>
          </cell>
          <cell r="AT125">
            <v>3.5</v>
          </cell>
          <cell r="AU125">
            <v>3.5</v>
          </cell>
          <cell r="AV125">
            <v>3.5</v>
          </cell>
        </row>
        <row r="126">
          <cell r="AQ126" t="str">
            <v>n.m.</v>
          </cell>
          <cell r="AR126" t="str">
            <v>n.m.</v>
          </cell>
          <cell r="AS126">
            <v>-0.9571334537176257</v>
          </cell>
          <cell r="AT126">
            <v>-0.29483937474835709</v>
          </cell>
          <cell r="AU126">
            <v>0.27858893232228654</v>
          </cell>
          <cell r="AV126">
            <v>0.54499669836939679</v>
          </cell>
        </row>
        <row r="127">
          <cell r="AQ127" t="str">
            <v>-</v>
          </cell>
          <cell r="AR127" t="str">
            <v>-</v>
          </cell>
          <cell r="AS127" t="str">
            <v>fail</v>
          </cell>
          <cell r="AT127" t="str">
            <v>fail</v>
          </cell>
          <cell r="AU127" t="str">
            <v>-</v>
          </cell>
          <cell r="AV127" t="str">
            <v>-</v>
          </cell>
        </row>
        <row r="128">
          <cell r="AS128">
            <v>0.85767412758901274</v>
          </cell>
          <cell r="AT128">
            <v>1.3456240327989166</v>
          </cell>
          <cell r="AU128">
            <v>2.2835121524883064</v>
          </cell>
          <cell r="AV128">
            <v>3.9487115909656771</v>
          </cell>
        </row>
        <row r="129">
          <cell r="AS129">
            <v>1.5</v>
          </cell>
          <cell r="AT129">
            <v>1.6</v>
          </cell>
          <cell r="AU129">
            <v>2</v>
          </cell>
          <cell r="AV129">
            <v>2.5</v>
          </cell>
        </row>
        <row r="130">
          <cell r="AS130">
            <v>-0.74891599472239445</v>
          </cell>
          <cell r="AT130">
            <v>-0.18903940551060017</v>
          </cell>
          <cell r="AU130">
            <v>0.12415618291296049</v>
          </cell>
          <cell r="AV130">
            <v>0.36688209751256806</v>
          </cell>
        </row>
        <row r="131">
          <cell r="AS131" t="str">
            <v>fail</v>
          </cell>
          <cell r="AT131" t="str">
            <v>fail</v>
          </cell>
          <cell r="AU131" t="str">
            <v>-</v>
          </cell>
          <cell r="AV131" t="str">
            <v>-</v>
          </cell>
        </row>
        <row r="132">
          <cell r="AI132">
            <v>5285154.6546546547</v>
          </cell>
          <cell r="AJ132">
            <v>8982470.8788041659</v>
          </cell>
          <cell r="AK132">
            <v>25263569.635824468</v>
          </cell>
          <cell r="AL132">
            <v>43794774.829132505</v>
          </cell>
          <cell r="AM132">
            <v>63172558.694345452</v>
          </cell>
          <cell r="AN132">
            <v>96145659.411032468</v>
          </cell>
          <cell r="AO132">
            <v>154519345.97920939</v>
          </cell>
          <cell r="AP132">
            <v>229269407.11479175</v>
          </cell>
        </row>
        <row r="133">
          <cell r="AI133">
            <v>5000000</v>
          </cell>
          <cell r="AJ133">
            <v>8000000</v>
          </cell>
          <cell r="AK133">
            <v>21000000</v>
          </cell>
          <cell r="AL133">
            <v>35000000</v>
          </cell>
          <cell r="AM133">
            <v>49000000</v>
          </cell>
          <cell r="AN133">
            <v>66000000</v>
          </cell>
          <cell r="AO133">
            <v>88000000</v>
          </cell>
          <cell r="AP133">
            <v>118000000</v>
          </cell>
        </row>
        <row r="134">
          <cell r="AI134">
            <v>5.3953890337630504E-2</v>
          </cell>
          <cell r="AJ134">
            <v>0.10937646133899429</v>
          </cell>
          <cell r="AK134">
            <v>0.16876354756212295</v>
          </cell>
          <cell r="AL134">
            <v>0.20081790267094093</v>
          </cell>
          <cell r="AM134">
            <v>0.22434675731464446</v>
          </cell>
          <cell r="AN134">
            <v>0.31354155346895807</v>
          </cell>
          <cell r="AO134">
            <v>0.43049202388003627</v>
          </cell>
          <cell r="AP134">
            <v>0.48532165069489985</v>
          </cell>
        </row>
        <row r="135">
          <cell r="AI135">
            <v>285154.65465465467</v>
          </cell>
          <cell r="AJ135">
            <v>982470.87880416587</v>
          </cell>
          <cell r="AK135">
            <v>4263569.635824468</v>
          </cell>
          <cell r="AL135">
            <v>8794774.8291325048</v>
          </cell>
          <cell r="AM135">
            <v>14172558.694345452</v>
          </cell>
          <cell r="AN135">
            <v>30145659.411032468</v>
          </cell>
          <cell r="AO135">
            <v>66519345.979209393</v>
          </cell>
          <cell r="AP135">
            <v>111269407.11479175</v>
          </cell>
        </row>
        <row r="136">
          <cell r="AI136" t="str">
            <v>-</v>
          </cell>
          <cell r="AJ136" t="str">
            <v>-</v>
          </cell>
          <cell r="AK136" t="str">
            <v>-</v>
          </cell>
          <cell r="AL136" t="str">
            <v>-</v>
          </cell>
          <cell r="AM136" t="str">
            <v>-</v>
          </cell>
          <cell r="AN136" t="str">
            <v>-</v>
          </cell>
          <cell r="AO136" t="str">
            <v>-</v>
          </cell>
          <cell r="AP136" t="str">
            <v>-</v>
          </cell>
        </row>
        <row r="137">
          <cell r="AI137">
            <v>162</v>
          </cell>
          <cell r="AJ137">
            <v>262.03999999999996</v>
          </cell>
          <cell r="AK137">
            <v>473.63384569908362</v>
          </cell>
          <cell r="AL137">
            <v>630.63812001182373</v>
          </cell>
          <cell r="AM137">
            <v>680.25311853384574</v>
          </cell>
          <cell r="AN137">
            <v>698.52119420632573</v>
          </cell>
          <cell r="AO137">
            <v>725.19567248004728</v>
          </cell>
          <cell r="AP137">
            <v>804.59015075376885</v>
          </cell>
          <cell r="AQ137">
            <v>843.33992314513739</v>
          </cell>
          <cell r="AR137">
            <v>905.05333727460834</v>
          </cell>
          <cell r="AS137">
            <v>953.52686373041684</v>
          </cell>
          <cell r="AT137">
            <v>992.6103221992314</v>
          </cell>
          <cell r="AU137">
            <v>1010.555997635235</v>
          </cell>
          <cell r="AV137">
            <v>1027.4131007981082</v>
          </cell>
        </row>
        <row r="138">
          <cell r="AI138">
            <v>160</v>
          </cell>
          <cell r="AJ138">
            <v>222</v>
          </cell>
          <cell r="AK138">
            <v>400</v>
          </cell>
          <cell r="AL138">
            <v>540</v>
          </cell>
          <cell r="AM138">
            <v>580</v>
          </cell>
          <cell r="AN138">
            <v>590</v>
          </cell>
          <cell r="AO138">
            <v>615</v>
          </cell>
          <cell r="AP138">
            <v>683</v>
          </cell>
          <cell r="AQ138">
            <v>715</v>
          </cell>
          <cell r="AR138">
            <v>770</v>
          </cell>
          <cell r="AS138">
            <v>810</v>
          </cell>
          <cell r="AT138">
            <v>840</v>
          </cell>
          <cell r="AU138">
            <v>860</v>
          </cell>
          <cell r="AV138">
            <v>870</v>
          </cell>
        </row>
        <row r="139">
          <cell r="AI139">
            <v>1.2499999999999956E-2</v>
          </cell>
          <cell r="AJ139">
            <v>0.15280109906884431</v>
          </cell>
          <cell r="AK139">
            <v>0.15546575982212596</v>
          </cell>
          <cell r="AL139">
            <v>0.14372445485871421</v>
          </cell>
          <cell r="AM139">
            <v>0.14737619836263594</v>
          </cell>
          <cell r="AN139">
            <v>0.15535848461925306</v>
          </cell>
          <cell r="AO139">
            <v>0.151953019939014</v>
          </cell>
          <cell r="AP139">
            <v>0.15112060549070705</v>
          </cell>
          <cell r="AQ139">
            <v>0.1521805379099197</v>
          </cell>
          <cell r="AR139">
            <v>0.14922141238802034</v>
          </cell>
          <cell r="AS139">
            <v>0.15052209768784774</v>
          </cell>
          <cell r="AT139">
            <v>0.15374645899420769</v>
          </cell>
          <cell r="AU139">
            <v>0.14898332995652452</v>
          </cell>
          <cell r="AV139">
            <v>0.15321305585438572</v>
          </cell>
        </row>
        <row r="140">
          <cell r="AI140" t="str">
            <v>-</v>
          </cell>
          <cell r="AJ140" t="str">
            <v>-</v>
          </cell>
          <cell r="AK140" t="str">
            <v>-</v>
          </cell>
          <cell r="AL140" t="str">
            <v>-</v>
          </cell>
          <cell r="AM140" t="str">
            <v>-</v>
          </cell>
          <cell r="AN140" t="str">
            <v>-</v>
          </cell>
          <cell r="AO140" t="str">
            <v>-</v>
          </cell>
          <cell r="AP140" t="str">
            <v>-</v>
          </cell>
          <cell r="AQ140" t="str">
            <v>-</v>
          </cell>
          <cell r="AR140" t="str">
            <v>-</v>
          </cell>
          <cell r="AS140" t="str">
            <v>-</v>
          </cell>
          <cell r="AT140" t="str">
            <v>-</v>
          </cell>
          <cell r="AU140" t="str">
            <v>-</v>
          </cell>
          <cell r="AV140" t="str">
            <v>-</v>
          </cell>
        </row>
        <row r="143">
          <cell r="AF143">
            <v>1999</v>
          </cell>
          <cell r="AJ143">
            <v>2000</v>
          </cell>
          <cell r="AN143">
            <v>2001</v>
          </cell>
          <cell r="AR143">
            <v>2002</v>
          </cell>
          <cell r="AS143">
            <v>2003</v>
          </cell>
          <cell r="AT143">
            <v>2004</v>
          </cell>
          <cell r="AU143">
            <v>2005</v>
          </cell>
          <cell r="AV143">
            <v>2006</v>
          </cell>
        </row>
        <row r="144">
          <cell r="AF144">
            <v>36250</v>
          </cell>
          <cell r="AG144">
            <v>36341</v>
          </cell>
          <cell r="AH144">
            <v>36433</v>
          </cell>
          <cell r="AI144">
            <v>36525</v>
          </cell>
          <cell r="AJ144">
            <v>36616</v>
          </cell>
          <cell r="AK144">
            <v>36707</v>
          </cell>
          <cell r="AL144">
            <v>36799</v>
          </cell>
          <cell r="AM144">
            <v>36891</v>
          </cell>
          <cell r="AN144">
            <v>36981</v>
          </cell>
          <cell r="AO144">
            <v>37072</v>
          </cell>
          <cell r="AP144">
            <v>37164</v>
          </cell>
          <cell r="AQ144">
            <v>37256</v>
          </cell>
        </row>
        <row r="146">
          <cell r="AI146">
            <v>0</v>
          </cell>
          <cell r="AJ146">
            <v>25000000</v>
          </cell>
          <cell r="AK146">
            <v>25000000</v>
          </cell>
          <cell r="AL146">
            <v>25000000</v>
          </cell>
          <cell r="AM146">
            <v>25000000</v>
          </cell>
          <cell r="AN146">
            <v>64316441.199037507</v>
          </cell>
          <cell r="AO146">
            <v>198450067.30412892</v>
          </cell>
          <cell r="AP146">
            <v>280000000</v>
          </cell>
          <cell r="AQ146">
            <v>280000000</v>
          </cell>
          <cell r="AR146">
            <v>280000000</v>
          </cell>
          <cell r="AS146">
            <v>224000000</v>
          </cell>
          <cell r="AT146">
            <v>154000000</v>
          </cell>
          <cell r="AU146">
            <v>52131081.358432323</v>
          </cell>
          <cell r="AV146">
            <v>0</v>
          </cell>
        </row>
        <row r="147">
          <cell r="AI147">
            <v>50000000</v>
          </cell>
          <cell r="AJ147">
            <v>75000000</v>
          </cell>
          <cell r="AK147">
            <v>125000000</v>
          </cell>
          <cell r="AL147">
            <v>175000000</v>
          </cell>
          <cell r="AM147">
            <v>225000000</v>
          </cell>
          <cell r="AN147">
            <v>250000000</v>
          </cell>
          <cell r="AO147">
            <v>250000000</v>
          </cell>
          <cell r="AP147">
            <v>280000000</v>
          </cell>
          <cell r="AQ147">
            <v>280000000</v>
          </cell>
          <cell r="AR147">
            <v>280000000</v>
          </cell>
        </row>
        <row r="148">
          <cell r="AI148" t="str">
            <v>n.m.</v>
          </cell>
          <cell r="AJ148">
            <v>2</v>
          </cell>
          <cell r="AK148">
            <v>4</v>
          </cell>
          <cell r="AL148">
            <v>6</v>
          </cell>
          <cell r="AM148">
            <v>8</v>
          </cell>
          <cell r="AN148">
            <v>2.8870309883336835</v>
          </cell>
          <cell r="AO148">
            <v>0.25976273727773402</v>
          </cell>
          <cell r="AP148">
            <v>0</v>
          </cell>
          <cell r="AQ148">
            <v>0</v>
          </cell>
          <cell r="AR148">
            <v>0</v>
          </cell>
        </row>
        <row r="149">
          <cell r="AI149" t="str">
            <v>-</v>
          </cell>
          <cell r="AJ149" t="str">
            <v>-</v>
          </cell>
          <cell r="AK149" t="str">
            <v>-</v>
          </cell>
          <cell r="AL149" t="str">
            <v>-</v>
          </cell>
          <cell r="AM149" t="str">
            <v>-</v>
          </cell>
          <cell r="AN149" t="str">
            <v>-</v>
          </cell>
          <cell r="AO149" t="str">
            <v>-</v>
          </cell>
          <cell r="AP149" t="str">
            <v>-</v>
          </cell>
          <cell r="AQ149" t="str">
            <v>-</v>
          </cell>
          <cell r="AR149" t="str">
            <v>-</v>
          </cell>
        </row>
        <row r="151">
          <cell r="AJ151">
            <v>0.12150668286755771</v>
          </cell>
          <cell r="AK151">
            <v>0.12150668286755771</v>
          </cell>
          <cell r="AL151">
            <v>0.12150668286755771</v>
          </cell>
          <cell r="AM151">
            <v>0.12150668286755771</v>
          </cell>
        </row>
        <row r="152">
          <cell r="AJ152">
            <v>0.35</v>
          </cell>
          <cell r="AK152">
            <v>0.4</v>
          </cell>
          <cell r="AL152">
            <v>0.47</v>
          </cell>
          <cell r="AM152">
            <v>0.5</v>
          </cell>
        </row>
        <row r="153">
          <cell r="AJ153">
            <v>1.8805000000000001</v>
          </cell>
          <cell r="AK153">
            <v>2.2920000000000003</v>
          </cell>
          <cell r="AL153">
            <v>2.8681000000000001</v>
          </cell>
          <cell r="AM153">
            <v>3.1150000000000002</v>
          </cell>
        </row>
        <row r="154">
          <cell r="AJ154" t="str">
            <v>-</v>
          </cell>
          <cell r="AK154" t="str">
            <v>-</v>
          </cell>
          <cell r="AL154" t="str">
            <v>-</v>
          </cell>
          <cell r="AM154" t="str">
            <v>-</v>
          </cell>
        </row>
        <row r="155">
          <cell r="AJ155">
            <v>25000000</v>
          </cell>
          <cell r="AK155">
            <v>25000000</v>
          </cell>
          <cell r="AL155">
            <v>25000000</v>
          </cell>
          <cell r="AM155">
            <v>25000000</v>
          </cell>
          <cell r="AN155">
            <v>64316441.199037507</v>
          </cell>
          <cell r="AO155">
            <v>110000000</v>
          </cell>
          <cell r="AP155">
            <v>110000000</v>
          </cell>
          <cell r="AQ155">
            <v>110000000</v>
          </cell>
          <cell r="AR155">
            <v>110000000</v>
          </cell>
          <cell r="AS155">
            <v>88000000</v>
          </cell>
          <cell r="AT155">
            <v>60500000</v>
          </cell>
          <cell r="AU155">
            <v>20480067.676526986</v>
          </cell>
          <cell r="AV155">
            <v>0</v>
          </cell>
        </row>
        <row r="156">
          <cell r="AJ156">
            <v>75000000</v>
          </cell>
          <cell r="AK156">
            <v>110000000</v>
          </cell>
          <cell r="AL156">
            <v>110000000</v>
          </cell>
          <cell r="AM156">
            <v>110000000</v>
          </cell>
        </row>
        <row r="157">
          <cell r="AJ157">
            <v>50000000</v>
          </cell>
          <cell r="AK157">
            <v>85000000</v>
          </cell>
          <cell r="AL157">
            <v>85000000</v>
          </cell>
          <cell r="AM157">
            <v>85000000</v>
          </cell>
        </row>
        <row r="162">
          <cell r="AK162">
            <v>25263569.635824468</v>
          </cell>
          <cell r="AL162">
            <v>43794774.829132505</v>
          </cell>
        </row>
        <row r="163">
          <cell r="AK163">
            <v>22000000</v>
          </cell>
          <cell r="AL163">
            <v>22000000</v>
          </cell>
        </row>
        <row r="164">
          <cell r="AL164" t="str">
            <v>-</v>
          </cell>
        </row>
        <row r="165">
          <cell r="AK165">
            <v>0.12150668286755771</v>
          </cell>
          <cell r="AL165">
            <v>0.12150668286755771</v>
          </cell>
          <cell r="AM165">
            <v>0.12150668286755771</v>
          </cell>
          <cell r="AN165">
            <v>0.26244491446628193</v>
          </cell>
          <cell r="AO165">
            <v>0.52333869219745288</v>
          </cell>
          <cell r="AP165">
            <v>0.62642322287251218</v>
          </cell>
        </row>
        <row r="166">
          <cell r="AK166">
            <v>0.4</v>
          </cell>
          <cell r="AL166">
            <v>0.47</v>
          </cell>
          <cell r="AM166">
            <v>0.5</v>
          </cell>
          <cell r="AN166">
            <v>0.5</v>
          </cell>
          <cell r="AO166">
            <v>0.5</v>
          </cell>
          <cell r="AP166">
            <v>0.5</v>
          </cell>
        </row>
        <row r="167">
          <cell r="AK167">
            <v>2.2920000000000003</v>
          </cell>
          <cell r="AL167">
            <v>2.8681000000000001</v>
          </cell>
          <cell r="AM167">
            <v>3.1150000000000002</v>
          </cell>
          <cell r="AN167">
            <v>0.9051617022826266</v>
          </cell>
          <cell r="AO167">
            <v>-4.4595770474099239E-2</v>
          </cell>
          <cell r="AP167">
            <v>-0.20181758634807423</v>
          </cell>
        </row>
        <row r="169">
          <cell r="AN169">
            <v>0.66894794411964231</v>
          </cell>
          <cell r="AO169">
            <v>1.2843056385368756</v>
          </cell>
          <cell r="AP169">
            <v>1.3219656682228307</v>
          </cell>
        </row>
        <row r="170">
          <cell r="AN170">
            <v>2.25</v>
          </cell>
          <cell r="AO170">
            <v>2</v>
          </cell>
          <cell r="AP170">
            <v>1.75</v>
          </cell>
        </row>
        <row r="171">
          <cell r="AN171">
            <v>2.3634904177201332</v>
          </cell>
          <cell r="AO171">
            <v>0.55726171402507241</v>
          </cell>
          <cell r="AP171">
            <v>0.32378626923995113</v>
          </cell>
        </row>
        <row r="172">
          <cell r="AK172" t="str">
            <v>-</v>
          </cell>
          <cell r="AL172" t="str">
            <v>-</v>
          </cell>
          <cell r="AM172" t="str">
            <v>-</v>
          </cell>
          <cell r="AN172" t="str">
            <v>-</v>
          </cell>
          <cell r="AO172" t="str">
            <v>-</v>
          </cell>
          <cell r="AP172" t="str">
            <v>-</v>
          </cell>
        </row>
        <row r="173">
          <cell r="AQ173" t="str">
            <v>NA</v>
          </cell>
          <cell r="AR173" t="str">
            <v>NA</v>
          </cell>
        </row>
        <row r="174">
          <cell r="AQ174">
            <v>6.5</v>
          </cell>
          <cell r="AR174">
            <v>3.5</v>
          </cell>
        </row>
        <row r="176">
          <cell r="AQ176" t="str">
            <v>unavailable</v>
          </cell>
          <cell r="AR176" t="str">
            <v>unavailable</v>
          </cell>
        </row>
        <row r="177">
          <cell r="AK177">
            <v>0</v>
          </cell>
          <cell r="AL177">
            <v>0</v>
          </cell>
          <cell r="AM177">
            <v>0</v>
          </cell>
          <cell r="AN177">
            <v>0</v>
          </cell>
          <cell r="AO177">
            <v>88450067.304128915</v>
          </cell>
          <cell r="AP177">
            <v>170000000</v>
          </cell>
          <cell r="AQ177">
            <v>170000000</v>
          </cell>
          <cell r="AR177">
            <v>170000000</v>
          </cell>
          <cell r="AS177">
            <v>136000000</v>
          </cell>
          <cell r="AT177">
            <v>93500000</v>
          </cell>
          <cell r="AU177">
            <v>31651013.681905337</v>
          </cell>
          <cell r="AV177">
            <v>0</v>
          </cell>
        </row>
        <row r="178">
          <cell r="AK178">
            <v>95500000</v>
          </cell>
          <cell r="AL178">
            <v>135287735.8490566</v>
          </cell>
          <cell r="AM178">
            <v>155750000</v>
          </cell>
          <cell r="AN178">
            <v>152011292.47578555</v>
          </cell>
          <cell r="AO178">
            <v>170000000</v>
          </cell>
          <cell r="AP178">
            <v>170000000</v>
          </cell>
          <cell r="AQ178">
            <v>-854077340.54589593</v>
          </cell>
          <cell r="AR178">
            <v>-310824806.55534393</v>
          </cell>
        </row>
        <row r="179">
          <cell r="AK179">
            <v>95500000</v>
          </cell>
          <cell r="AL179">
            <v>135287735.8490566</v>
          </cell>
          <cell r="AM179">
            <v>155750000</v>
          </cell>
          <cell r="AN179">
            <v>152011292.47578555</v>
          </cell>
          <cell r="AO179">
            <v>81549932.695871085</v>
          </cell>
          <cell r="AP179">
            <v>0</v>
          </cell>
          <cell r="AQ179">
            <v>-1024077340.5458959</v>
          </cell>
          <cell r="AR179">
            <v>-480824806.55534393</v>
          </cell>
        </row>
        <row r="181">
          <cell r="AJ181">
            <v>25000000</v>
          </cell>
          <cell r="AK181">
            <v>25000000</v>
          </cell>
          <cell r="AL181">
            <v>25000000</v>
          </cell>
          <cell r="AM181">
            <v>25000000</v>
          </cell>
          <cell r="AN181">
            <v>64316441.199037507</v>
          </cell>
          <cell r="AO181">
            <v>198450067.30412892</v>
          </cell>
          <cell r="AP181">
            <v>280000000</v>
          </cell>
          <cell r="AQ181">
            <v>280000000</v>
          </cell>
          <cell r="AR181">
            <v>280000000</v>
          </cell>
        </row>
        <row r="182">
          <cell r="AJ182">
            <v>75000000</v>
          </cell>
          <cell r="AK182">
            <v>120500000</v>
          </cell>
          <cell r="AL182">
            <v>160287735.8490566</v>
          </cell>
          <cell r="AM182">
            <v>180750000</v>
          </cell>
          <cell r="AN182">
            <v>216327733.67482305</v>
          </cell>
          <cell r="AO182">
            <v>280000000</v>
          </cell>
          <cell r="AP182">
            <v>280000000</v>
          </cell>
          <cell r="AQ182">
            <v>-744077340.54589593</v>
          </cell>
          <cell r="AR182">
            <v>-200824806.55534393</v>
          </cell>
        </row>
        <row r="183">
          <cell r="AJ183">
            <v>50000000</v>
          </cell>
          <cell r="AK183">
            <v>95500000</v>
          </cell>
          <cell r="AL183">
            <v>135287735.8490566</v>
          </cell>
          <cell r="AM183">
            <v>155750000</v>
          </cell>
          <cell r="AN183">
            <v>152011292.47578555</v>
          </cell>
          <cell r="AO183">
            <v>81549932.695871085</v>
          </cell>
          <cell r="AP183">
            <v>0</v>
          </cell>
          <cell r="AQ183">
            <v>-1024077340.5458959</v>
          </cell>
          <cell r="AR183">
            <v>-480824806.55534393</v>
          </cell>
        </row>
        <row r="184">
          <cell r="AJ184">
            <v>2</v>
          </cell>
          <cell r="AK184">
            <v>3.82</v>
          </cell>
          <cell r="AL184">
            <v>5.411509433962264</v>
          </cell>
          <cell r="AM184">
            <v>6.23</v>
          </cell>
          <cell r="AN184">
            <v>2.3634904177201332</v>
          </cell>
          <cell r="AO184">
            <v>0.41093426575106218</v>
          </cell>
          <cell r="AP184">
            <v>0</v>
          </cell>
          <cell r="AQ184">
            <v>-3.6574190733781999</v>
          </cell>
          <cell r="AR184">
            <v>-1.7172314519833711</v>
          </cell>
        </row>
        <row r="248">
          <cell r="AF248">
            <v>1999</v>
          </cell>
          <cell r="AJ248">
            <v>2000</v>
          </cell>
          <cell r="AN248">
            <v>2001</v>
          </cell>
          <cell r="AR248">
            <v>2002</v>
          </cell>
          <cell r="AS248">
            <v>2003</v>
          </cell>
          <cell r="AT248">
            <v>2004</v>
          </cell>
          <cell r="AU248">
            <v>2005</v>
          </cell>
          <cell r="AV248">
            <v>2006</v>
          </cell>
        </row>
        <row r="249">
          <cell r="AF249">
            <v>36250</v>
          </cell>
          <cell r="AG249">
            <v>36341</v>
          </cell>
          <cell r="AH249">
            <v>36433</v>
          </cell>
          <cell r="AI249">
            <v>36525</v>
          </cell>
          <cell r="AJ249">
            <v>36616</v>
          </cell>
          <cell r="AK249">
            <v>36707</v>
          </cell>
          <cell r="AL249">
            <v>36799</v>
          </cell>
          <cell r="AM249">
            <v>36891</v>
          </cell>
          <cell r="AN249">
            <v>36981</v>
          </cell>
          <cell r="AO249">
            <v>37072</v>
          </cell>
          <cell r="AP249">
            <v>37164</v>
          </cell>
          <cell r="AQ249">
            <v>37256</v>
          </cell>
        </row>
        <row r="250">
          <cell r="AF250">
            <v>1999</v>
          </cell>
          <cell r="AJ250">
            <v>2000</v>
          </cell>
          <cell r="AN250">
            <v>2001</v>
          </cell>
          <cell r="AR250">
            <v>2002</v>
          </cell>
          <cell r="AS250">
            <v>2003</v>
          </cell>
          <cell r="AT250">
            <v>2004</v>
          </cell>
          <cell r="AU250">
            <v>2005</v>
          </cell>
          <cell r="AV250">
            <v>2006</v>
          </cell>
        </row>
        <row r="252">
          <cell r="AF252">
            <v>0</v>
          </cell>
          <cell r="AG252">
            <v>281000</v>
          </cell>
          <cell r="AH252">
            <v>511393.39339339337</v>
          </cell>
          <cell r="AI252">
            <v>802717.71771771763</v>
          </cell>
          <cell r="AJ252">
            <v>1572033.67632784</v>
          </cell>
          <cell r="AK252">
            <v>3488694.3058692846</v>
          </cell>
          <cell r="AL252">
            <v>5228625.5264347643</v>
          </cell>
          <cell r="AM252">
            <v>7298960.1922086375</v>
          </cell>
          <cell r="AN252">
            <v>12400512.410954997</v>
          </cell>
          <cell r="AO252">
            <v>18073735.82424457</v>
          </cell>
          <cell r="AP252">
            <v>27371511.484428223</v>
          </cell>
          <cell r="AQ252">
            <v>35212547.347099297</v>
          </cell>
          <cell r="AR252">
            <v>218970401.97997564</v>
          </cell>
          <cell r="AS252">
            <v>332484811.73280489</v>
          </cell>
          <cell r="AT252">
            <v>432620868.39608073</v>
          </cell>
          <cell r="AU252">
            <v>515024776.21826422</v>
          </cell>
          <cell r="AV252">
            <v>581356012.96921575</v>
          </cell>
        </row>
        <row r="253">
          <cell r="AF253">
            <v>0</v>
          </cell>
          <cell r="AG253">
            <v>0</v>
          </cell>
          <cell r="AH253">
            <v>0</v>
          </cell>
          <cell r="AI253">
            <v>0</v>
          </cell>
          <cell r="AJ253">
            <v>172189.62592963854</v>
          </cell>
          <cell r="AK253">
            <v>2336836.3699831422</v>
          </cell>
          <cell r="AL253">
            <v>4627583.4041120317</v>
          </cell>
          <cell r="AM253">
            <v>6260813.8319825036</v>
          </cell>
          <cell r="AN253">
            <v>8897611.5405917931</v>
          </cell>
          <cell r="AO253">
            <v>16324756.990937328</v>
          </cell>
          <cell r="AP253">
            <v>23908368.2885953</v>
          </cell>
          <cell r="AQ253">
            <v>26207118.103125457</v>
          </cell>
          <cell r="AR253">
            <v>190565931.25117019</v>
          </cell>
          <cell r="AS253">
            <v>323062777.77029812</v>
          </cell>
          <cell r="AT253">
            <v>441583185.99074805</v>
          </cell>
          <cell r="AU253">
            <v>540170106.17185402</v>
          </cell>
          <cell r="AV253">
            <v>606978639.48774445</v>
          </cell>
        </row>
        <row r="254">
          <cell r="AF254">
            <v>0</v>
          </cell>
          <cell r="AG254">
            <v>40000</v>
          </cell>
          <cell r="AH254">
            <v>308000</v>
          </cell>
          <cell r="AI254">
            <v>526000</v>
          </cell>
          <cell r="AJ254">
            <v>545000</v>
          </cell>
          <cell r="AK254">
            <v>636000</v>
          </cell>
          <cell r="AL254">
            <v>698000</v>
          </cell>
          <cell r="AM254">
            <v>844000</v>
          </cell>
          <cell r="AN254">
            <v>0</v>
          </cell>
          <cell r="AO254">
            <v>0</v>
          </cell>
          <cell r="AP254">
            <v>0</v>
          </cell>
          <cell r="AQ254">
            <v>0</v>
          </cell>
          <cell r="AR254">
            <v>0</v>
          </cell>
          <cell r="AS254">
            <v>0</v>
          </cell>
          <cell r="AT254">
            <v>0</v>
          </cell>
          <cell r="AU254">
            <v>0</v>
          </cell>
          <cell r="AV254">
            <v>0</v>
          </cell>
        </row>
        <row r="255">
          <cell r="AF255">
            <v>0</v>
          </cell>
          <cell r="AG255">
            <v>0</v>
          </cell>
          <cell r="AH255">
            <v>0</v>
          </cell>
          <cell r="AI255">
            <v>0</v>
          </cell>
          <cell r="AJ255">
            <v>0</v>
          </cell>
          <cell r="AK255">
            <v>0</v>
          </cell>
          <cell r="AL255">
            <v>640890</v>
          </cell>
          <cell r="AM255">
            <v>1728360</v>
          </cell>
          <cell r="AN255">
            <v>3270744</v>
          </cell>
          <cell r="AO255">
            <v>5091306</v>
          </cell>
          <cell r="AP255">
            <v>7319469</v>
          </cell>
          <cell r="AQ255">
            <v>9854370</v>
          </cell>
          <cell r="AR255">
            <v>62284125.125</v>
          </cell>
          <cell r="AS255">
            <v>95257841.420000002</v>
          </cell>
          <cell r="AT255">
            <v>119528143.27499999</v>
          </cell>
          <cell r="AU255">
            <v>148177905.86992499</v>
          </cell>
          <cell r="AV255">
            <v>187349080.97824001</v>
          </cell>
        </row>
        <row r="256">
          <cell r="AF256">
            <v>0</v>
          </cell>
          <cell r="AG256">
            <v>321000</v>
          </cell>
          <cell r="AH256">
            <v>819393.39339339337</v>
          </cell>
          <cell r="AI256">
            <v>1328717.7177177176</v>
          </cell>
          <cell r="AJ256">
            <v>2289223.3022574782</v>
          </cell>
          <cell r="AK256">
            <v>6461530.6758524273</v>
          </cell>
          <cell r="AL256">
            <v>11195098.930546796</v>
          </cell>
          <cell r="AM256">
            <v>16132134.024191141</v>
          </cell>
          <cell r="AN256">
            <v>24568867.951546788</v>
          </cell>
          <cell r="AO256">
            <v>39489798.815181896</v>
          </cell>
          <cell r="AP256">
            <v>58599348.773023523</v>
          </cell>
          <cell r="AQ256">
            <v>71274035.450224757</v>
          </cell>
          <cell r="AR256">
            <v>471820458.35614586</v>
          </cell>
          <cell r="AS256">
            <v>750805430.92310297</v>
          </cell>
          <cell r="AT256">
            <v>993732197.66182876</v>
          </cell>
          <cell r="AU256">
            <v>1203372788.2600431</v>
          </cell>
          <cell r="AV256">
            <v>1375683733.4352002</v>
          </cell>
        </row>
        <row r="257">
          <cell r="AR257">
            <v>1.4329163536796248</v>
          </cell>
          <cell r="AS257">
            <v>0.59129477670162811</v>
          </cell>
          <cell r="AT257">
            <v>0.32355488750268013</v>
          </cell>
          <cell r="AU257">
            <v>0.21096286413128373</v>
          </cell>
          <cell r="AV257">
            <v>0.14318999636372154</v>
          </cell>
        </row>
        <row r="260">
          <cell r="AF260">
            <v>2723000</v>
          </cell>
          <cell r="AG260">
            <v>4653000</v>
          </cell>
          <cell r="AH260">
            <v>8705242.5917244125</v>
          </cell>
          <cell r="AI260">
            <v>9341207.1028038207</v>
          </cell>
          <cell r="AJ260">
            <v>12738556.553083234</v>
          </cell>
          <cell r="AK260">
            <v>14260013.799593272</v>
          </cell>
          <cell r="AL260">
            <v>16313156.086727882</v>
          </cell>
          <cell r="AM260">
            <v>19872011.532530185</v>
          </cell>
          <cell r="AN260">
            <v>22707622.075353298</v>
          </cell>
          <cell r="AO260">
            <v>27020780.38654381</v>
          </cell>
          <cell r="AP260">
            <v>33595564.356067538</v>
          </cell>
          <cell r="AQ260">
            <v>38114980.345661186</v>
          </cell>
          <cell r="AR260">
            <v>189793985.96256787</v>
          </cell>
          <cell r="AS260">
            <v>243723010.89166167</v>
          </cell>
          <cell r="AT260">
            <v>295463002.10956156</v>
          </cell>
          <cell r="AU260">
            <v>310277092.03214639</v>
          </cell>
          <cell r="AV260">
            <v>326806296.40917438</v>
          </cell>
        </row>
        <row r="261">
          <cell r="AF261">
            <v>143000</v>
          </cell>
          <cell r="AG261">
            <v>593000</v>
          </cell>
          <cell r="AH261">
            <v>2353212.4500000002</v>
          </cell>
          <cell r="AI261">
            <v>2826815.8277777778</v>
          </cell>
          <cell r="AJ261">
            <v>3890645.893202486</v>
          </cell>
          <cell r="AK261">
            <v>8294389.5515924264</v>
          </cell>
          <cell r="AL261">
            <v>10864143.590456398</v>
          </cell>
          <cell r="AM261">
            <v>12361601.722971272</v>
          </cell>
          <cell r="AN261">
            <v>15968990.884292996</v>
          </cell>
          <cell r="AO261">
            <v>23280300.603746135</v>
          </cell>
          <cell r="AP261">
            <v>28927642.665865205</v>
          </cell>
          <cell r="AQ261">
            <v>31054928.762193717</v>
          </cell>
          <cell r="AR261">
            <v>173762380.73571068</v>
          </cell>
          <cell r="AS261">
            <v>242981264.49776366</v>
          </cell>
          <cell r="AT261">
            <v>301507675.64142507</v>
          </cell>
          <cell r="AU261">
            <v>306310158.08231848</v>
          </cell>
          <cell r="AV261">
            <v>327662652.94962704</v>
          </cell>
        </row>
        <row r="262">
          <cell r="AF262">
            <v>0</v>
          </cell>
          <cell r="AG262">
            <v>262000</v>
          </cell>
          <cell r="AH262">
            <v>420000</v>
          </cell>
          <cell r="AI262">
            <v>487000</v>
          </cell>
          <cell r="AJ262">
            <v>610000</v>
          </cell>
          <cell r="AK262">
            <v>819000</v>
          </cell>
          <cell r="AL262">
            <v>899000</v>
          </cell>
          <cell r="AM262">
            <v>1118000</v>
          </cell>
          <cell r="AN262">
            <v>467200</v>
          </cell>
          <cell r="AO262">
            <v>483200</v>
          </cell>
          <cell r="AP262">
            <v>499200</v>
          </cell>
          <cell r="AQ262">
            <v>523200</v>
          </cell>
          <cell r="AR262">
            <v>0</v>
          </cell>
          <cell r="AS262">
            <v>0</v>
          </cell>
          <cell r="AT262">
            <v>0</v>
          </cell>
          <cell r="AU262">
            <v>0</v>
          </cell>
          <cell r="AV262">
            <v>0</v>
          </cell>
        </row>
        <row r="263">
          <cell r="AF263">
            <v>0</v>
          </cell>
          <cell r="AG263">
            <v>0</v>
          </cell>
          <cell r="AH263">
            <v>0</v>
          </cell>
          <cell r="AI263">
            <v>0</v>
          </cell>
          <cell r="AJ263">
            <v>0</v>
          </cell>
          <cell r="AK263">
            <v>804476.66666666663</v>
          </cell>
          <cell r="AL263">
            <v>6356192.666666667</v>
          </cell>
          <cell r="AM263">
            <v>9037420.6666666679</v>
          </cell>
          <cell r="AN263">
            <v>11183303.466666665</v>
          </cell>
          <cell r="AO263">
            <v>14055799.699999999</v>
          </cell>
          <cell r="AP263">
            <v>15924766.083333332</v>
          </cell>
          <cell r="AQ263">
            <v>18510424.833333332</v>
          </cell>
          <cell r="AR263">
            <v>77405979.094999999</v>
          </cell>
          <cell r="AS263">
            <v>95309725.257533342</v>
          </cell>
          <cell r="AT263">
            <v>104965920.22520134</v>
          </cell>
          <cell r="AU263">
            <v>116407329.21425301</v>
          </cell>
          <cell r="AV263">
            <v>135034178.37599093</v>
          </cell>
        </row>
        <row r="264">
          <cell r="AF264">
            <v>2866000</v>
          </cell>
          <cell r="AG264">
            <v>5508000</v>
          </cell>
          <cell r="AH264">
            <v>11478455.041724414</v>
          </cell>
          <cell r="AI264">
            <v>12655022.930581599</v>
          </cell>
          <cell r="AJ264">
            <v>17239202.446285717</v>
          </cell>
          <cell r="AK264">
            <v>24177880.017852366</v>
          </cell>
          <cell r="AL264">
            <v>34432492.343850948</v>
          </cell>
          <cell r="AM264">
            <v>42389033.922168121</v>
          </cell>
          <cell r="AN264">
            <v>50327116.426312953</v>
          </cell>
          <cell r="AO264">
            <v>64840080.690289944</v>
          </cell>
          <cell r="AP264">
            <v>78947173.105266079</v>
          </cell>
          <cell r="AQ264">
            <v>88203533.941188231</v>
          </cell>
          <cell r="AR264">
            <v>440962345.79327857</v>
          </cell>
          <cell r="AS264">
            <v>582014000.64695871</v>
          </cell>
          <cell r="AT264">
            <v>701936597.97618794</v>
          </cell>
          <cell r="AU264">
            <v>732994579.32871795</v>
          </cell>
          <cell r="AV264">
            <v>789503127.73479223</v>
          </cell>
        </row>
        <row r="266">
          <cell r="AF266">
            <v>-2866000</v>
          </cell>
          <cell r="AG266">
            <v>-5187000</v>
          </cell>
          <cell r="AH266">
            <v>-10659061.64833102</v>
          </cell>
          <cell r="AI266">
            <v>-11326305.212863881</v>
          </cell>
          <cell r="AJ266">
            <v>-14949979.144028239</v>
          </cell>
          <cell r="AK266">
            <v>-17716349.341999941</v>
          </cell>
          <cell r="AL266">
            <v>-23237393.41330415</v>
          </cell>
          <cell r="AM266">
            <v>-26256899.89797698</v>
          </cell>
          <cell r="AN266">
            <v>-25758248.474766165</v>
          </cell>
          <cell r="AO266">
            <v>-25350281.875108048</v>
          </cell>
          <cell r="AP266">
            <v>-20347824.332242556</v>
          </cell>
          <cell r="AQ266">
            <v>-16929498.490963474</v>
          </cell>
          <cell r="AR266">
            <v>30858112.562867284</v>
          </cell>
          <cell r="AS266">
            <v>168791430.27614427</v>
          </cell>
          <cell r="AT266">
            <v>291795599.68564081</v>
          </cell>
          <cell r="AU266">
            <v>470378208.9313252</v>
          </cell>
          <cell r="AV266">
            <v>586180605.70040798</v>
          </cell>
        </row>
        <row r="267">
          <cell r="AR267">
            <v>6.5402235143382753E-2</v>
          </cell>
          <cell r="AS267">
            <v>0.22481381104105488</v>
          </cell>
          <cell r="AT267">
            <v>0.29363605242158014</v>
          </cell>
          <cell r="AU267">
            <v>0.39088320221321032</v>
          </cell>
          <cell r="AV267">
            <v>0.42610128436763933</v>
          </cell>
        </row>
        <row r="268">
          <cell r="AS268">
            <v>4.4699207520312596</v>
          </cell>
          <cell r="AT268">
            <v>0.72873468284652043</v>
          </cell>
          <cell r="AU268">
            <v>0.61201268777896645</v>
          </cell>
          <cell r="AV268">
            <v>0.24618996919984837</v>
          </cell>
        </row>
        <row r="270">
          <cell r="AF270">
            <v>0</v>
          </cell>
          <cell r="AG270">
            <v>8000</v>
          </cell>
          <cell r="AH270">
            <v>145.94594594594594</v>
          </cell>
          <cell r="AI270">
            <v>7429.0540540540533</v>
          </cell>
          <cell r="AJ270">
            <v>43605.582556436966</v>
          </cell>
          <cell r="AK270">
            <v>145638.26689631067</v>
          </cell>
          <cell r="AL270">
            <v>246405.22326366993</v>
          </cell>
          <cell r="AM270">
            <v>338994.35060477856</v>
          </cell>
          <cell r="AN270">
            <v>532453.0987886698</v>
          </cell>
          <cell r="AO270">
            <v>859962.32037954754</v>
          </cell>
          <cell r="AP270">
            <v>1281996.994325588</v>
          </cell>
          <cell r="AQ270">
            <v>1535491.6362556189</v>
          </cell>
          <cell r="AR270">
            <v>10104960.969869718</v>
          </cell>
          <cell r="AS270">
            <v>16217075.646728802</v>
          </cell>
          <cell r="AT270">
            <v>21668857.228008904</v>
          </cell>
          <cell r="AU270">
            <v>26379872.059752956</v>
          </cell>
          <cell r="AV270">
            <v>29708366.31142401</v>
          </cell>
        </row>
        <row r="271">
          <cell r="AF271">
            <v>3004162.25</v>
          </cell>
          <cell r="AG271">
            <v>3004162.25</v>
          </cell>
          <cell r="AH271">
            <v>3004162.25</v>
          </cell>
          <cell r="AI271">
            <v>3004162.25</v>
          </cell>
          <cell r="AJ271">
            <v>7206223.8932715114</v>
          </cell>
          <cell r="AK271">
            <v>7206223.8932715114</v>
          </cell>
          <cell r="AL271">
            <v>7206223.8932715114</v>
          </cell>
          <cell r="AM271">
            <v>7206223.8932715114</v>
          </cell>
          <cell r="AN271">
            <v>10153369.124546135</v>
          </cell>
          <cell r="AO271">
            <v>10153369.124546135</v>
          </cell>
          <cell r="AP271">
            <v>10153369.124546135</v>
          </cell>
          <cell r="AQ271">
            <v>10153369.124546135</v>
          </cell>
          <cell r="AR271">
            <v>78131667.751667261</v>
          </cell>
          <cell r="AS271">
            <v>60281319.120849639</v>
          </cell>
          <cell r="AT271">
            <v>82557503.30268079</v>
          </cell>
          <cell r="AU271">
            <v>142019678.61770654</v>
          </cell>
          <cell r="AV271">
            <v>133489024.624578</v>
          </cell>
        </row>
        <row r="273">
          <cell r="AF273">
            <v>-5870162.25</v>
          </cell>
          <cell r="AG273">
            <v>-8199162.25</v>
          </cell>
          <cell r="AH273">
            <v>-13663369.844276967</v>
          </cell>
          <cell r="AI273">
            <v>-14337896.516917935</v>
          </cell>
          <cell r="AJ273">
            <v>-22199808.619856186</v>
          </cell>
          <cell r="AK273">
            <v>-25068211.502167761</v>
          </cell>
          <cell r="AL273">
            <v>-30690022.529839329</v>
          </cell>
          <cell r="AM273">
            <v>-33802118.141853273</v>
          </cell>
          <cell r="AN273">
            <v>-36444070.698100969</v>
          </cell>
          <cell r="AO273">
            <v>-36363613.320033729</v>
          </cell>
          <cell r="AP273">
            <v>-31783190.451114282</v>
          </cell>
          <cell r="AQ273">
            <v>-28618359.251765229</v>
          </cell>
          <cell r="AR273">
            <v>-57378516.158669695</v>
          </cell>
          <cell r="AS273">
            <v>92293035.508565813</v>
          </cell>
          <cell r="AT273">
            <v>187569239.1549511</v>
          </cell>
          <cell r="AU273">
            <v>301978658.25386572</v>
          </cell>
          <cell r="AV273">
            <v>422983214.76440597</v>
          </cell>
        </row>
        <row r="274">
          <cell r="AF274" t="str">
            <v>N/A</v>
          </cell>
          <cell r="AG274" t="str">
            <v>N/A</v>
          </cell>
          <cell r="AH274" t="str">
            <v>N/A</v>
          </cell>
          <cell r="AI274" t="str">
            <v>N/A</v>
          </cell>
          <cell r="AJ274" t="str">
            <v>N/A</v>
          </cell>
          <cell r="AK274" t="str">
            <v>N/A</v>
          </cell>
          <cell r="AL274" t="str">
            <v>N/A</v>
          </cell>
          <cell r="AM274" t="str">
            <v>N/A</v>
          </cell>
          <cell r="AN274" t="str">
            <v>N/A</v>
          </cell>
          <cell r="AO274" t="str">
            <v>N/A</v>
          </cell>
          <cell r="AP274" t="str">
            <v>N/A</v>
          </cell>
          <cell r="AQ274" t="str">
            <v>N/A</v>
          </cell>
          <cell r="AR274" t="str">
            <v>N/A</v>
          </cell>
          <cell r="AS274">
            <v>0.12292537015228172</v>
          </cell>
          <cell r="AT274">
            <v>0.18875230127018758</v>
          </cell>
          <cell r="AU274">
            <v>0.25094356561817949</v>
          </cell>
          <cell r="AV274">
            <v>0.30747126282301862</v>
          </cell>
        </row>
        <row r="277">
          <cell r="AF277">
            <v>143000</v>
          </cell>
          <cell r="AG277">
            <v>169000</v>
          </cell>
          <cell r="AH277">
            <v>1737530.1557611141</v>
          </cell>
          <cell r="AI277">
            <v>2413610.4245226881</v>
          </cell>
          <cell r="AJ277">
            <v>43000</v>
          </cell>
          <cell r="AK277">
            <v>57000</v>
          </cell>
          <cell r="AL277">
            <v>7085676.6629812783</v>
          </cell>
          <cell r="AM277">
            <v>7104676.6629812783</v>
          </cell>
          <cell r="AN277">
            <v>7049876.6629812783</v>
          </cell>
          <cell r="AO277">
            <v>7049876.6629812783</v>
          </cell>
          <cell r="AP277">
            <v>12638376.502428081</v>
          </cell>
          <cell r="AQ277">
            <v>12638376.502428081</v>
          </cell>
          <cell r="AR277">
            <v>56413758.893955514</v>
          </cell>
          <cell r="AS277">
            <v>68541535.183536634</v>
          </cell>
          <cell r="AT277">
            <v>77236612.455888957</v>
          </cell>
          <cell r="AU277">
            <v>84354497.572051808</v>
          </cell>
          <cell r="AV277">
            <v>93889670.552248031</v>
          </cell>
        </row>
        <row r="278">
          <cell r="AF278">
            <v>50000</v>
          </cell>
          <cell r="AG278">
            <v>66250</v>
          </cell>
          <cell r="AH278">
            <v>66250</v>
          </cell>
          <cell r="AI278">
            <v>66250</v>
          </cell>
          <cell r="AJ278">
            <v>66250</v>
          </cell>
          <cell r="AK278">
            <v>66250</v>
          </cell>
          <cell r="AL278">
            <v>66250</v>
          </cell>
          <cell r="AM278">
            <v>66250</v>
          </cell>
          <cell r="AN278">
            <v>66250</v>
          </cell>
          <cell r="AO278">
            <v>66250</v>
          </cell>
          <cell r="AP278">
            <v>66250</v>
          </cell>
          <cell r="AQ278">
            <v>66250</v>
          </cell>
          <cell r="AR278">
            <v>265000</v>
          </cell>
          <cell r="AS278">
            <v>265000</v>
          </cell>
          <cell r="AT278">
            <v>265000</v>
          </cell>
          <cell r="AU278">
            <v>265000</v>
          </cell>
          <cell r="AV278">
            <v>265000</v>
          </cell>
        </row>
        <row r="279">
          <cell r="AF279">
            <v>193000</v>
          </cell>
          <cell r="AG279">
            <v>235250</v>
          </cell>
          <cell r="AH279">
            <v>1803780.1557611141</v>
          </cell>
          <cell r="AI279">
            <v>2479860.4245226881</v>
          </cell>
          <cell r="AJ279">
            <v>109250</v>
          </cell>
          <cell r="AK279">
            <v>123250</v>
          </cell>
          <cell r="AL279">
            <v>7151926.6629812783</v>
          </cell>
          <cell r="AM279">
            <v>7170926.6629812783</v>
          </cell>
          <cell r="AN279">
            <v>7116126.6629812783</v>
          </cell>
          <cell r="AO279">
            <v>7116126.6629812783</v>
          </cell>
          <cell r="AP279">
            <v>12704626.502428081</v>
          </cell>
          <cell r="AQ279">
            <v>12704626.502428081</v>
          </cell>
          <cell r="AR279">
            <v>56678758.893955514</v>
          </cell>
          <cell r="AS279">
            <v>68806535.183536634</v>
          </cell>
          <cell r="AT279">
            <v>77501612.455888957</v>
          </cell>
          <cell r="AU279">
            <v>84619497.572051808</v>
          </cell>
          <cell r="AV279">
            <v>94154670.552248031</v>
          </cell>
        </row>
        <row r="281">
          <cell r="AF281">
            <v>-6063162.25</v>
          </cell>
          <cell r="AG281">
            <v>-8434412.25</v>
          </cell>
          <cell r="AH281">
            <v>-15467150.00003808</v>
          </cell>
          <cell r="AI281">
            <v>-16817756.941440623</v>
          </cell>
          <cell r="AJ281">
            <v>-22309058.619856186</v>
          </cell>
          <cell r="AK281">
            <v>-25191461.502167761</v>
          </cell>
          <cell r="AL281">
            <v>-37841949.192820609</v>
          </cell>
          <cell r="AM281">
            <v>-40973044.804834552</v>
          </cell>
          <cell r="AN281">
            <v>-43560197.361082248</v>
          </cell>
          <cell r="AO281">
            <v>-43479739.983015008</v>
          </cell>
          <cell r="AP281">
            <v>-44487816.953542367</v>
          </cell>
          <cell r="AQ281">
            <v>-41322985.754193306</v>
          </cell>
          <cell r="AR281">
            <v>-114057275.05262521</v>
          </cell>
          <cell r="AS281">
            <v>23486500.325029179</v>
          </cell>
          <cell r="AT281">
            <v>110067626.69906214</v>
          </cell>
          <cell r="AU281">
            <v>217359160.6818139</v>
          </cell>
          <cell r="AV281">
            <v>328828544.21215796</v>
          </cell>
        </row>
        <row r="282">
          <cell r="AF282" t="str">
            <v xml:space="preserve">N/A </v>
          </cell>
          <cell r="AG282" t="str">
            <v xml:space="preserve">N/A </v>
          </cell>
          <cell r="AH282" t="str">
            <v xml:space="preserve">N/A </v>
          </cell>
          <cell r="AI282" t="str">
            <v xml:space="preserve">N/A </v>
          </cell>
          <cell r="AJ282" t="str">
            <v xml:space="preserve">N/A </v>
          </cell>
          <cell r="AK282" t="str">
            <v xml:space="preserve">N/A </v>
          </cell>
          <cell r="AL282" t="str">
            <v xml:space="preserve">N/A </v>
          </cell>
          <cell r="AM282" t="str">
            <v xml:space="preserve">N/A </v>
          </cell>
          <cell r="AN282" t="str">
            <v xml:space="preserve">N/A </v>
          </cell>
          <cell r="AO282" t="str">
            <v xml:space="preserve">N/A </v>
          </cell>
          <cell r="AP282" t="str">
            <v xml:space="preserve">N/A </v>
          </cell>
          <cell r="AQ282" t="str">
            <v xml:space="preserve">N/A </v>
          </cell>
          <cell r="AR282" t="str">
            <v xml:space="preserve">N/A </v>
          </cell>
          <cell r="AS282">
            <v>3.1281740059009577E-2</v>
          </cell>
          <cell r="AT282">
            <v>0.11076186014505954</v>
          </cell>
          <cell r="AU282">
            <v>0.18062495911686147</v>
          </cell>
          <cell r="AV282">
            <v>0.23902917234548154</v>
          </cell>
        </row>
        <row r="285">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row>
        <row r="286">
          <cell r="AF286">
            <v>416751.34232361079</v>
          </cell>
          <cell r="AG286">
            <v>724985.50817135745</v>
          </cell>
          <cell r="AH286">
            <v>493481.70134156832</v>
          </cell>
          <cell r="AI286">
            <v>284117.66614484531</v>
          </cell>
          <cell r="AJ286">
            <v>1648724.3635232507</v>
          </cell>
          <cell r="AK286">
            <v>2742818.935286887</v>
          </cell>
          <cell r="AL286">
            <v>2026483.742787393</v>
          </cell>
          <cell r="AM286">
            <v>1118231.3304827048</v>
          </cell>
          <cell r="AN286">
            <v>302732.49722110445</v>
          </cell>
          <cell r="AO286">
            <v>7976.9556575448805</v>
          </cell>
          <cell r="AP286">
            <v>7993.084592824056</v>
          </cell>
          <cell r="AQ286">
            <v>8010.3425535729712</v>
          </cell>
          <cell r="AR286">
            <v>35887.599659420099</v>
          </cell>
          <cell r="AS286">
            <v>40363.648630776108</v>
          </cell>
          <cell r="AT286">
            <v>41062.499999999774</v>
          </cell>
          <cell r="AU286">
            <v>41062.5</v>
          </cell>
          <cell r="AV286">
            <v>41062.5</v>
          </cell>
        </row>
        <row r="287">
          <cell r="AF287">
            <v>0</v>
          </cell>
          <cell r="AG287">
            <v>5250000.0000000009</v>
          </cell>
          <cell r="AH287">
            <v>0</v>
          </cell>
          <cell r="AI287">
            <v>5617500.0000000009</v>
          </cell>
          <cell r="AJ287">
            <v>874531.25</v>
          </cell>
          <cell r="AK287">
            <v>18592600</v>
          </cell>
          <cell r="AL287">
            <v>1081875</v>
          </cell>
          <cell r="AM287">
            <v>19013350.75</v>
          </cell>
          <cell r="AN287">
            <v>1493960.4493174118</v>
          </cell>
          <cell r="AO287">
            <v>22368831.696362078</v>
          </cell>
          <cell r="AP287">
            <v>5971113.6022142088</v>
          </cell>
          <cell r="AQ287">
            <v>25796566.444203399</v>
          </cell>
          <cell r="AR287">
            <v>66756697.731783524</v>
          </cell>
          <cell r="AS287">
            <v>70244547.180881098</v>
          </cell>
          <cell r="AT287">
            <v>69392010.385549128</v>
          </cell>
          <cell r="AU287">
            <v>62243070.361944184</v>
          </cell>
          <cell r="AV287">
            <v>54988216.929180361</v>
          </cell>
        </row>
        <row r="288">
          <cell r="AF288">
            <v>21721.85</v>
          </cell>
          <cell r="AG288">
            <v>21721.85</v>
          </cell>
          <cell r="AH288">
            <v>21721.85</v>
          </cell>
          <cell r="AI288">
            <v>291721.84999999998</v>
          </cell>
          <cell r="AJ288">
            <v>586721.85</v>
          </cell>
          <cell r="AK288">
            <v>586721.85</v>
          </cell>
          <cell r="AL288">
            <v>586721.85</v>
          </cell>
          <cell r="AM288">
            <v>716721.85</v>
          </cell>
          <cell r="AN288">
            <v>586721.85</v>
          </cell>
          <cell r="AO288">
            <v>586721.85</v>
          </cell>
          <cell r="AP288">
            <v>586721.85</v>
          </cell>
          <cell r="AQ288">
            <v>716721.85</v>
          </cell>
          <cell r="AR288">
            <v>2476887.4</v>
          </cell>
          <cell r="AS288">
            <v>2476887.4</v>
          </cell>
          <cell r="AT288">
            <v>2476887.4</v>
          </cell>
          <cell r="AU288">
            <v>2476887.4</v>
          </cell>
          <cell r="AV288">
            <v>2346887.4</v>
          </cell>
        </row>
        <row r="289">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row>
        <row r="291">
          <cell r="AF291">
            <v>-5668132.7576763891</v>
          </cell>
          <cell r="AG291">
            <v>-12981148.591828642</v>
          </cell>
          <cell r="AH291">
            <v>-14995390.148696512</v>
          </cell>
          <cell r="AI291">
            <v>-22442861.125295781</v>
          </cell>
          <cell r="AJ291">
            <v>-22121587.356332935</v>
          </cell>
          <cell r="AK291">
            <v>-41627964.416880876</v>
          </cell>
          <cell r="AL291">
            <v>-37484062.300033219</v>
          </cell>
          <cell r="AM291">
            <v>-59584886.074351847</v>
          </cell>
          <cell r="AN291">
            <v>-45338147.163178556</v>
          </cell>
          <cell r="AO291">
            <v>-66427316.573719546</v>
          </cell>
          <cell r="AP291">
            <v>-51037659.321163751</v>
          </cell>
          <cell r="AQ291">
            <v>-67828263.705843121</v>
          </cell>
          <cell r="AR291">
            <v>-183254972.58474931</v>
          </cell>
          <cell r="AS291">
            <v>-49194570.607221141</v>
          </cell>
          <cell r="AT291">
            <v>38239791.413513012</v>
          </cell>
          <cell r="AU291">
            <v>152680265.41986969</v>
          </cell>
          <cell r="AV291">
            <v>271534502.3829776</v>
          </cell>
        </row>
        <row r="293">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row>
        <row r="295">
          <cell r="AF295">
            <v>-5668132.7576763891</v>
          </cell>
          <cell r="AG295">
            <v>-12981148.591828642</v>
          </cell>
          <cell r="AH295">
            <v>-14995390.148696512</v>
          </cell>
          <cell r="AI295">
            <v>-22442861.125295781</v>
          </cell>
          <cell r="AJ295">
            <v>-22121587.356332935</v>
          </cell>
          <cell r="AK295">
            <v>-41627964.416880876</v>
          </cell>
          <cell r="AL295">
            <v>-37484062.300033219</v>
          </cell>
          <cell r="AM295">
            <v>-59584886.074351847</v>
          </cell>
          <cell r="AN295">
            <v>-45338147.163178556</v>
          </cell>
          <cell r="AO295">
            <v>-66427316.573719546</v>
          </cell>
          <cell r="AP295">
            <v>-51037659.321163751</v>
          </cell>
          <cell r="AQ295">
            <v>-67828263.705843121</v>
          </cell>
          <cell r="AR295">
            <v>-183254972.58474931</v>
          </cell>
          <cell r="AS295">
            <v>-49194570.607221141</v>
          </cell>
          <cell r="AT295">
            <v>38239791.413513012</v>
          </cell>
          <cell r="AU295">
            <v>152680265.41986969</v>
          </cell>
          <cell r="AV295">
            <v>271534502.3829776</v>
          </cell>
        </row>
        <row r="297">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row>
        <row r="299">
          <cell r="AF299">
            <v>-5668132.7576763891</v>
          </cell>
          <cell r="AG299">
            <v>-12981148.591828642</v>
          </cell>
          <cell r="AH299">
            <v>-14995390.148696512</v>
          </cell>
          <cell r="AI299">
            <v>-22442861.125295781</v>
          </cell>
          <cell r="AJ299">
            <v>-22121587.356332935</v>
          </cell>
          <cell r="AK299">
            <v>-41627964.416880876</v>
          </cell>
          <cell r="AL299">
            <v>-37484062.300033219</v>
          </cell>
          <cell r="AM299">
            <v>-59584886.074351847</v>
          </cell>
          <cell r="AN299">
            <v>-45338147.163178556</v>
          </cell>
          <cell r="AO299">
            <v>-66427316.573719546</v>
          </cell>
          <cell r="AP299">
            <v>-51037659.321163751</v>
          </cell>
          <cell r="AQ299">
            <v>-67828263.705843121</v>
          </cell>
          <cell r="AR299">
            <v>-183254972.58474931</v>
          </cell>
          <cell r="AS299">
            <v>-49194570.607221141</v>
          </cell>
          <cell r="AT299">
            <v>38239791.413513012</v>
          </cell>
          <cell r="AU299">
            <v>152680265.41986969</v>
          </cell>
          <cell r="AV299">
            <v>271534502.3829776</v>
          </cell>
        </row>
        <row r="304">
          <cell r="AF304">
            <v>1999</v>
          </cell>
          <cell r="AJ304">
            <v>2000</v>
          </cell>
          <cell r="AN304">
            <v>2001</v>
          </cell>
          <cell r="AR304">
            <v>2002</v>
          </cell>
          <cell r="AS304">
            <v>2003</v>
          </cell>
          <cell r="AT304">
            <v>2004</v>
          </cell>
          <cell r="AU304">
            <v>2005</v>
          </cell>
          <cell r="AV304">
            <v>2006</v>
          </cell>
        </row>
        <row r="305">
          <cell r="AF305">
            <v>36250</v>
          </cell>
          <cell r="AG305">
            <v>36341</v>
          </cell>
          <cell r="AH305">
            <v>36433</v>
          </cell>
          <cell r="AI305">
            <v>36525</v>
          </cell>
          <cell r="AJ305">
            <v>36616</v>
          </cell>
          <cell r="AK305">
            <v>36707</v>
          </cell>
          <cell r="AL305">
            <v>36799</v>
          </cell>
          <cell r="AM305">
            <v>36891</v>
          </cell>
          <cell r="AN305">
            <v>36981</v>
          </cell>
          <cell r="AO305">
            <v>37072</v>
          </cell>
          <cell r="AP305">
            <v>37164</v>
          </cell>
          <cell r="AQ305">
            <v>37256</v>
          </cell>
        </row>
        <row r="308">
          <cell r="AF308">
            <v>107389746.28629622</v>
          </cell>
          <cell r="AG308">
            <v>85939722.559399083</v>
          </cell>
          <cell r="AH308">
            <v>45655397.79835248</v>
          </cell>
          <cell r="AI308">
            <v>30109313.173606277</v>
          </cell>
          <cell r="AJ308">
            <v>409550517.09926057</v>
          </cell>
          <cell r="AK308">
            <v>321867865.64390934</v>
          </cell>
          <cell r="AL308">
            <v>218527799.09939551</v>
          </cell>
          <cell r="AM308">
            <v>79667222.362659097</v>
          </cell>
          <cell r="AN308">
            <v>1061443.5629687607</v>
          </cell>
          <cell r="AO308">
            <v>1065744.6123765409</v>
          </cell>
          <cell r="AP308">
            <v>1065744.6123765409</v>
          </cell>
          <cell r="AQ308">
            <v>1070346.7352429181</v>
          </cell>
          <cell r="AR308">
            <v>1322159.9087184221</v>
          </cell>
          <cell r="AS308">
            <v>1368749.9999999851</v>
          </cell>
          <cell r="AT308">
            <v>1368750</v>
          </cell>
          <cell r="AU308">
            <v>1368750</v>
          </cell>
          <cell r="AV308">
            <v>1368750</v>
          </cell>
        </row>
        <row r="309">
          <cell r="AF309">
            <v>0</v>
          </cell>
          <cell r="AG309">
            <v>184767.12328767122</v>
          </cell>
          <cell r="AH309">
            <v>336258.6696285326</v>
          </cell>
          <cell r="AI309">
            <v>527814.38973219786</v>
          </cell>
          <cell r="AJ309">
            <v>1505242.7192925885</v>
          </cell>
          <cell r="AK309">
            <v>4248677.7046700893</v>
          </cell>
          <cell r="AL309">
            <v>7255809.1598115917</v>
          </cell>
          <cell r="AM309">
            <v>10323316.618646231</v>
          </cell>
          <cell r="AN309">
            <v>15617215.52978419</v>
          </cell>
          <cell r="AO309">
            <v>25128968.097653851</v>
          </cell>
          <cell r="AP309">
            <v>37327878.261714093</v>
          </cell>
          <cell r="AQ309">
            <v>45245222.761791617</v>
          </cell>
          <cell r="AR309">
            <v>111398128.46487501</v>
          </cell>
          <cell r="AS309">
            <v>133624387.06156649</v>
          </cell>
          <cell r="AT309">
            <v>166103675.25523642</v>
          </cell>
          <cell r="AU309">
            <v>191725201.93850332</v>
          </cell>
          <cell r="AV309">
            <v>218440514.49709153</v>
          </cell>
        </row>
        <row r="310">
          <cell r="AF310">
            <v>5927145.2580821915</v>
          </cell>
          <cell r="AG310">
            <v>6109704</v>
          </cell>
          <cell r="AH310">
            <v>11116927.733439639</v>
          </cell>
          <cell r="AI310">
            <v>13911296.428513154</v>
          </cell>
          <cell r="AJ310">
            <v>17970606.022070639</v>
          </cell>
          <cell r="AK310">
            <v>23069156.319760147</v>
          </cell>
          <cell r="AL310">
            <v>31059528.297435507</v>
          </cell>
          <cell r="AM310">
            <v>35689565.279344574</v>
          </cell>
          <cell r="AN310">
            <v>29703971.380355477</v>
          </cell>
          <cell r="AO310">
            <v>37869326.254011177</v>
          </cell>
          <cell r="AP310">
            <v>27734413.503488608</v>
          </cell>
          <cell r="AQ310">
            <v>24579956.257586043</v>
          </cell>
          <cell r="AR310">
            <v>38760913.257785052</v>
          </cell>
          <cell r="AS310">
            <v>43751550.482549444</v>
          </cell>
          <cell r="AT310">
            <v>47314722.145125329</v>
          </cell>
          <cell r="AU310">
            <v>46640608.332633488</v>
          </cell>
          <cell r="AV310">
            <v>49962733.244746968</v>
          </cell>
        </row>
        <row r="311">
          <cell r="AF311">
            <v>113316891.54437841</v>
          </cell>
          <cell r="AG311">
            <v>92234193.682686761</v>
          </cell>
          <cell r="AH311">
            <v>57108584.20142065</v>
          </cell>
          <cell r="AI311">
            <v>44548423.991851628</v>
          </cell>
          <cell r="AJ311">
            <v>429026365.8406238</v>
          </cell>
          <cell r="AK311">
            <v>349185699.66833955</v>
          </cell>
          <cell r="AL311">
            <v>256843136.55664259</v>
          </cell>
          <cell r="AM311">
            <v>125680104.2606499</v>
          </cell>
          <cell r="AN311">
            <v>46382630.473108426</v>
          </cell>
          <cell r="AO311">
            <v>64064038.964041568</v>
          </cell>
          <cell r="AP311">
            <v>66128036.377579242</v>
          </cell>
          <cell r="AQ311">
            <v>70895525.754620582</v>
          </cell>
          <cell r="AR311">
            <v>151481201.63137847</v>
          </cell>
          <cell r="AS311">
            <v>178744687.5441159</v>
          </cell>
          <cell r="AT311">
            <v>214787147.40036175</v>
          </cell>
          <cell r="AU311">
            <v>239734560.27113682</v>
          </cell>
          <cell r="AV311">
            <v>269771997.74183851</v>
          </cell>
        </row>
        <row r="314">
          <cell r="AF314">
            <v>18480320</v>
          </cell>
          <cell r="AG314">
            <v>32434320</v>
          </cell>
          <cell r="AH314">
            <v>49073404.786805555</v>
          </cell>
          <cell r="AI314">
            <v>72327720.912499994</v>
          </cell>
          <cell r="AJ314">
            <v>96621236.255188823</v>
          </cell>
          <cell r="AK314">
            <v>119991097.12793711</v>
          </cell>
          <cell r="AL314">
            <v>139947039.32689095</v>
          </cell>
          <cell r="AM314">
            <v>182342952.64361417</v>
          </cell>
          <cell r="AN314">
            <v>212563090.6132493</v>
          </cell>
          <cell r="AO314">
            <v>255206813.17341247</v>
          </cell>
          <cell r="AP314">
            <v>276666123.18836886</v>
          </cell>
          <cell r="AQ314">
            <v>290724408.75383884</v>
          </cell>
          <cell r="AR314">
            <v>356208334.1708917</v>
          </cell>
          <cell r="AS314">
            <v>409339175.40774119</v>
          </cell>
          <cell r="AT314">
            <v>448403456.27661008</v>
          </cell>
          <cell r="AU314">
            <v>488968225.90374017</v>
          </cell>
          <cell r="AV314">
            <v>534014221.41136742</v>
          </cell>
        </row>
        <row r="315">
          <cell r="AF315">
            <v>11000</v>
          </cell>
          <cell r="AG315">
            <v>261000</v>
          </cell>
          <cell r="AH315">
            <v>11170770.5</v>
          </cell>
          <cell r="AI315">
            <v>22292713</v>
          </cell>
          <cell r="AJ315">
            <v>41241554.765897989</v>
          </cell>
          <cell r="AK315">
            <v>74811488.457291663</v>
          </cell>
          <cell r="AL315">
            <v>132445106.87537807</v>
          </cell>
          <cell r="AM315">
            <v>171565225.43460566</v>
          </cell>
          <cell r="AN315">
            <v>202920848.4236632</v>
          </cell>
          <cell r="AO315">
            <v>233781263.90419382</v>
          </cell>
          <cell r="AP315">
            <v>247856361.3980107</v>
          </cell>
          <cell r="AQ315">
            <v>254134877.63187099</v>
          </cell>
          <cell r="AR315">
            <v>317155588.68102247</v>
          </cell>
          <cell r="AS315">
            <v>383573332.08577752</v>
          </cell>
          <cell r="AT315">
            <v>428581548.90200615</v>
          </cell>
          <cell r="AU315">
            <v>474468595.11624384</v>
          </cell>
          <cell r="AV315">
            <v>526127529.79586643</v>
          </cell>
        </row>
        <row r="316">
          <cell r="AF316">
            <v>34000</v>
          </cell>
          <cell r="AG316">
            <v>43000</v>
          </cell>
          <cell r="AH316">
            <v>79000</v>
          </cell>
          <cell r="AI316">
            <v>127000</v>
          </cell>
          <cell r="AJ316">
            <v>285000</v>
          </cell>
          <cell r="AK316">
            <v>463000</v>
          </cell>
          <cell r="AL316">
            <v>659000</v>
          </cell>
          <cell r="AM316">
            <v>904000</v>
          </cell>
          <cell r="AN316">
            <v>936000</v>
          </cell>
          <cell r="AO316">
            <v>984000</v>
          </cell>
          <cell r="AP316">
            <v>1016000</v>
          </cell>
          <cell r="AQ316">
            <v>1080000</v>
          </cell>
          <cell r="AR316">
            <v>1080000</v>
          </cell>
          <cell r="AS316">
            <v>1080000</v>
          </cell>
          <cell r="AT316">
            <v>1080000</v>
          </cell>
          <cell r="AU316">
            <v>1080000</v>
          </cell>
          <cell r="AV316">
            <v>1080000</v>
          </cell>
        </row>
        <row r="317">
          <cell r="AF317">
            <v>0</v>
          </cell>
          <cell r="AG317">
            <v>0</v>
          </cell>
          <cell r="AH317">
            <v>0</v>
          </cell>
          <cell r="AI317">
            <v>0</v>
          </cell>
          <cell r="AJ317">
            <v>0</v>
          </cell>
          <cell r="AK317">
            <v>1582833.3333333333</v>
          </cell>
          <cell r="AL317">
            <v>11932833.333333334</v>
          </cell>
          <cell r="AM317">
            <v>18832833.333333336</v>
          </cell>
          <cell r="AN317">
            <v>24007833.333333336</v>
          </cell>
          <cell r="AO317">
            <v>29204500.000000004</v>
          </cell>
          <cell r="AP317">
            <v>34401166.666666672</v>
          </cell>
          <cell r="AQ317">
            <v>39576166.666666672</v>
          </cell>
          <cell r="AR317">
            <v>39619500.000000007</v>
          </cell>
          <cell r="AS317">
            <v>39619500.000000007</v>
          </cell>
          <cell r="AT317">
            <v>39641166.666666672</v>
          </cell>
          <cell r="AU317">
            <v>39662833.333333336</v>
          </cell>
          <cell r="AV317">
            <v>51031166.666666672</v>
          </cell>
        </row>
        <row r="318">
          <cell r="AF318">
            <v>18525320</v>
          </cell>
          <cell r="AG318">
            <v>32738320</v>
          </cell>
          <cell r="AH318">
            <v>60323175.286805555</v>
          </cell>
          <cell r="AI318">
            <v>94747433.912499994</v>
          </cell>
          <cell r="AJ318">
            <v>138147791.02108681</v>
          </cell>
          <cell r="AK318">
            <v>196848418.91856211</v>
          </cell>
          <cell r="AL318">
            <v>284983979.53560233</v>
          </cell>
          <cell r="AM318">
            <v>373645011.41155314</v>
          </cell>
          <cell r="AN318">
            <v>440427772.37024581</v>
          </cell>
          <cell r="AO318">
            <v>519176577.07760632</v>
          </cell>
          <cell r="AP318">
            <v>559939651.25304615</v>
          </cell>
          <cell r="AQ318">
            <v>585515453.05237639</v>
          </cell>
          <cell r="AR318">
            <v>714063422.85191417</v>
          </cell>
          <cell r="AS318">
            <v>833612007.49351871</v>
          </cell>
          <cell r="AT318">
            <v>917706171.84528291</v>
          </cell>
          <cell r="AU318">
            <v>1004179654.3533174</v>
          </cell>
          <cell r="AV318">
            <v>1112252917.8739007</v>
          </cell>
        </row>
        <row r="320">
          <cell r="AF320">
            <v>201563</v>
          </cell>
          <cell r="AG320">
            <v>370563</v>
          </cell>
          <cell r="AH320">
            <v>2108093.1557611143</v>
          </cell>
          <cell r="AI320">
            <v>4521703.580283802</v>
          </cell>
          <cell r="AJ320">
            <v>4564703.580283802</v>
          </cell>
          <cell r="AK320">
            <v>4621703.580283802</v>
          </cell>
          <cell r="AL320">
            <v>11707380.243265081</v>
          </cell>
          <cell r="AM320">
            <v>18812056.90624636</v>
          </cell>
          <cell r="AN320">
            <v>25861933.56922764</v>
          </cell>
          <cell r="AO320">
            <v>32911810.232208919</v>
          </cell>
          <cell r="AP320">
            <v>45550186.734637</v>
          </cell>
          <cell r="AQ320">
            <v>58188563.237065077</v>
          </cell>
          <cell r="AR320">
            <v>114602322.13102059</v>
          </cell>
          <cell r="AS320">
            <v>183143857.31455722</v>
          </cell>
          <cell r="AT320">
            <v>260380469.77044618</v>
          </cell>
          <cell r="AU320">
            <v>344734967.342498</v>
          </cell>
          <cell r="AV320">
            <v>438624637.89474607</v>
          </cell>
        </row>
        <row r="321">
          <cell r="AF321">
            <v>18323757</v>
          </cell>
          <cell r="AG321">
            <v>32367757</v>
          </cell>
          <cell r="AH321">
            <v>58215082.13104444</v>
          </cell>
          <cell r="AI321">
            <v>90225730.332216188</v>
          </cell>
          <cell r="AJ321">
            <v>133583087.44080301</v>
          </cell>
          <cell r="AK321">
            <v>192226715.33827832</v>
          </cell>
          <cell r="AL321">
            <v>273276599.29233724</v>
          </cell>
          <cell r="AM321">
            <v>354832954.50530678</v>
          </cell>
          <cell r="AN321">
            <v>414565838.80101818</v>
          </cell>
          <cell r="AO321">
            <v>486264766.84539741</v>
          </cell>
          <cell r="AP321">
            <v>514389464.51840913</v>
          </cell>
          <cell r="AQ321">
            <v>527326889.81531131</v>
          </cell>
          <cell r="AR321">
            <v>599461100.72089362</v>
          </cell>
          <cell r="AS321">
            <v>650468150.17896152</v>
          </cell>
          <cell r="AT321">
            <v>657325702.07483673</v>
          </cell>
          <cell r="AU321">
            <v>659444687.01081944</v>
          </cell>
          <cell r="AV321">
            <v>673628279.97915459</v>
          </cell>
        </row>
        <row r="324">
          <cell r="AF324">
            <v>1950000</v>
          </cell>
          <cell r="AG324">
            <v>2533750</v>
          </cell>
          <cell r="AH324">
            <v>2467500</v>
          </cell>
          <cell r="AI324">
            <v>2401250</v>
          </cell>
          <cell r="AJ324">
            <v>2335000</v>
          </cell>
          <cell r="AK324">
            <v>2268750</v>
          </cell>
          <cell r="AL324">
            <v>2202500</v>
          </cell>
          <cell r="AM324">
            <v>2136250</v>
          </cell>
          <cell r="AN324">
            <v>2070000</v>
          </cell>
          <cell r="AO324">
            <v>2003750</v>
          </cell>
          <cell r="AP324">
            <v>1937500</v>
          </cell>
          <cell r="AQ324">
            <v>1871250</v>
          </cell>
          <cell r="AR324">
            <v>1606250</v>
          </cell>
          <cell r="AS324">
            <v>1341250</v>
          </cell>
          <cell r="AT324">
            <v>1076250</v>
          </cell>
          <cell r="AU324">
            <v>811250</v>
          </cell>
          <cell r="AV324">
            <v>546250</v>
          </cell>
        </row>
        <row r="325">
          <cell r="AF325">
            <v>847152.15</v>
          </cell>
          <cell r="AG325">
            <v>825430.3</v>
          </cell>
          <cell r="AH325">
            <v>803708.45000000007</v>
          </cell>
          <cell r="AI325">
            <v>6241986.6000000006</v>
          </cell>
          <cell r="AJ325">
            <v>22655264.75</v>
          </cell>
          <cell r="AK325">
            <v>22068542.899999999</v>
          </cell>
          <cell r="AL325">
            <v>21481821.049999997</v>
          </cell>
          <cell r="AM325">
            <v>20895099.199999996</v>
          </cell>
          <cell r="AN325">
            <v>20308377.349999994</v>
          </cell>
          <cell r="AO325">
            <v>19721655.499999993</v>
          </cell>
          <cell r="AP325">
            <v>19134933.649999991</v>
          </cell>
          <cell r="AQ325">
            <v>18548211.79999999</v>
          </cell>
          <cell r="AR325">
            <v>16201324.399999989</v>
          </cell>
          <cell r="AS325">
            <v>13854436.999999989</v>
          </cell>
          <cell r="AT325">
            <v>11507549.599999988</v>
          </cell>
          <cell r="AU325">
            <v>9160662.1999999881</v>
          </cell>
          <cell r="AV325">
            <v>6813774.7999999877</v>
          </cell>
        </row>
        <row r="327">
          <cell r="AF327">
            <v>134437800.69437841</v>
          </cell>
          <cell r="AG327">
            <v>127961130.98268676</v>
          </cell>
          <cell r="AH327">
            <v>118594874.78246509</v>
          </cell>
          <cell r="AI327">
            <v>143417390.92406783</v>
          </cell>
          <cell r="AJ327">
            <v>587599718.03142679</v>
          </cell>
          <cell r="AK327">
            <v>565749707.90661788</v>
          </cell>
          <cell r="AL327">
            <v>553804056.89897978</v>
          </cell>
          <cell r="AM327">
            <v>503544407.96595669</v>
          </cell>
          <cell r="AN327">
            <v>483326846.62412655</v>
          </cell>
          <cell r="AO327">
            <v>572054211.30943894</v>
          </cell>
          <cell r="AP327">
            <v>601589934.54598832</v>
          </cell>
          <cell r="AQ327">
            <v>618641877.36993182</v>
          </cell>
          <cell r="AR327">
            <v>768749876.75227201</v>
          </cell>
          <cell r="AS327">
            <v>844408524.72307742</v>
          </cell>
          <cell r="AT327">
            <v>884696649.07519853</v>
          </cell>
          <cell r="AU327">
            <v>909151159.48195624</v>
          </cell>
          <cell r="AV327">
            <v>950760302.52099299</v>
          </cell>
        </row>
        <row r="334">
          <cell r="AF334">
            <v>7780684.9315068498</v>
          </cell>
          <cell r="AG334">
            <v>8662816.98630137</v>
          </cell>
          <cell r="AH334">
            <v>13588568.853910547</v>
          </cell>
          <cell r="AI334">
            <v>14910772.878963444</v>
          </cell>
          <cell r="AJ334">
            <v>35813247.723384701</v>
          </cell>
          <cell r="AK334">
            <v>48643439.979088739</v>
          </cell>
          <cell r="AL334">
            <v>73130972.417790249</v>
          </cell>
          <cell r="AM334">
            <v>74937605.230916157</v>
          </cell>
          <cell r="AN334">
            <v>59685595.950072125</v>
          </cell>
          <cell r="AO334">
            <v>71965621.335371181</v>
          </cell>
          <cell r="AP334">
            <v>45762235.374826565</v>
          </cell>
          <cell r="AQ334">
            <v>36024596.393582523</v>
          </cell>
          <cell r="AR334">
            <v>55609600.543287195</v>
          </cell>
          <cell r="AS334">
            <v>55895084.647830598</v>
          </cell>
          <cell r="AT334">
            <v>52918200.317894138</v>
          </cell>
          <cell r="AU334">
            <v>54820520.723810792</v>
          </cell>
          <cell r="AV334">
            <v>60646902.883399412</v>
          </cell>
        </row>
        <row r="335">
          <cell r="AF335">
            <v>0</v>
          </cell>
          <cell r="AG335">
            <v>0</v>
          </cell>
          <cell r="AH335">
            <v>0</v>
          </cell>
          <cell r="AI335">
            <v>0</v>
          </cell>
          <cell r="AJ335">
            <v>141835.85135769233</v>
          </cell>
          <cell r="AK335">
            <v>382881.03534461721</v>
          </cell>
          <cell r="AL335">
            <v>672055.23092461354</v>
          </cell>
          <cell r="AM335">
            <v>993863.79432077426</v>
          </cell>
          <cell r="AN335">
            <v>1560893.4535053694</v>
          </cell>
          <cell r="AO335">
            <v>2468505.5189375277</v>
          </cell>
          <cell r="AP335">
            <v>3664486.7577802222</v>
          </cell>
          <cell r="AQ335">
            <v>4527657.4007576788</v>
          </cell>
          <cell r="AR335">
            <v>12591162.266079452</v>
          </cell>
          <cell r="AS335">
            <v>12893446.290869338</v>
          </cell>
          <cell r="AT335">
            <v>16014182.253677815</v>
          </cell>
          <cell r="AU335">
            <v>18576766.037062671</v>
          </cell>
          <cell r="AV335">
            <v>21368652.193282858</v>
          </cell>
        </row>
        <row r="336">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row>
        <row r="337">
          <cell r="AF337">
            <v>406210.52054794523</v>
          </cell>
          <cell r="AG337">
            <v>694601.09589041094</v>
          </cell>
          <cell r="AH337">
            <v>1215626.4823116406</v>
          </cell>
          <cell r="AI337">
            <v>1309516.0366572537</v>
          </cell>
          <cell r="AJ337">
            <v>1242313.9324087268</v>
          </cell>
          <cell r="AK337">
            <v>1684194.7072540305</v>
          </cell>
          <cell r="AL337">
            <v>2127554.3985064523</v>
          </cell>
          <cell r="AM337">
            <v>2528699.7700005397</v>
          </cell>
          <cell r="AN337">
            <v>2861007.0590563347</v>
          </cell>
          <cell r="AO337">
            <v>3283419.765483791</v>
          </cell>
          <cell r="AP337">
            <v>3740329.4346494996</v>
          </cell>
          <cell r="AQ337">
            <v>4040902.3095558425</v>
          </cell>
          <cell r="AR337">
            <v>8258291.2834510943</v>
          </cell>
          <cell r="AS337">
            <v>5814475.0829564584</v>
          </cell>
          <cell r="AT337">
            <v>6352356.8002970181</v>
          </cell>
          <cell r="AU337">
            <v>6727938.413640853</v>
          </cell>
          <cell r="AV337">
            <v>7218048.5842503728</v>
          </cell>
        </row>
        <row r="338">
          <cell r="AF338">
            <v>0</v>
          </cell>
          <cell r="AG338">
            <v>33800</v>
          </cell>
          <cell r="AH338">
            <v>166000.44444444447</v>
          </cell>
          <cell r="AI338">
            <v>344116.94444444444</v>
          </cell>
          <cell r="AJ338">
            <v>617255.6291059379</v>
          </cell>
          <cell r="AK338">
            <v>813942.81601658149</v>
          </cell>
          <cell r="AL338">
            <v>1074863.892252848</v>
          </cell>
          <cell r="AM338">
            <v>1377594.9725965471</v>
          </cell>
          <cell r="AN338">
            <v>1472968.3645423786</v>
          </cell>
          <cell r="AO338">
            <v>1936549.6964476237</v>
          </cell>
          <cell r="AP338">
            <v>2358465.0188916256</v>
          </cell>
          <cell r="AQ338">
            <v>2656833.5516183567</v>
          </cell>
          <cell r="AR338">
            <v>4768388.4635100383</v>
          </cell>
          <cell r="AS338">
            <v>4786965.7431914583</v>
          </cell>
          <cell r="AT338">
            <v>5370566.2720639836</v>
          </cell>
          <cell r="AU338">
            <v>5673412.7394419638</v>
          </cell>
          <cell r="AV338">
            <v>6147736.4655757481</v>
          </cell>
        </row>
        <row r="339">
          <cell r="AF339">
            <v>8186895.4520547949</v>
          </cell>
          <cell r="AG339">
            <v>9391218.0821917802</v>
          </cell>
          <cell r="AH339">
            <v>14970195.780666631</v>
          </cell>
          <cell r="AI339">
            <v>16564405.860065142</v>
          </cell>
          <cell r="AJ339">
            <v>37814653.13625706</v>
          </cell>
          <cell r="AK339">
            <v>51524458.537703969</v>
          </cell>
          <cell r="AL339">
            <v>77005445.939474151</v>
          </cell>
          <cell r="AM339">
            <v>79837763.767834023</v>
          </cell>
          <cell r="AN339">
            <v>65580464.827176206</v>
          </cell>
          <cell r="AO339">
            <v>79654096.316240132</v>
          </cell>
          <cell r="AP339">
            <v>55525516.586147912</v>
          </cell>
          <cell r="AQ339">
            <v>47249989.655514404</v>
          </cell>
          <cell r="AR339">
            <v>81227442.556327775</v>
          </cell>
          <cell r="AS339">
            <v>79389971.764847845</v>
          </cell>
          <cell r="AT339">
            <v>80655305.643932953</v>
          </cell>
          <cell r="AU339">
            <v>85798637.913956285</v>
          </cell>
          <cell r="AV339">
            <v>95381340.1265084</v>
          </cell>
        </row>
        <row r="342">
          <cell r="AF342">
            <v>0</v>
          </cell>
          <cell r="AG342">
            <v>0</v>
          </cell>
          <cell r="AH342">
            <v>0</v>
          </cell>
          <cell r="AI342">
            <v>0</v>
          </cell>
          <cell r="AJ342">
            <v>0</v>
          </cell>
          <cell r="AK342">
            <v>0</v>
          </cell>
          <cell r="AL342">
            <v>0</v>
          </cell>
          <cell r="AM342">
            <v>0</v>
          </cell>
          <cell r="AN342">
            <v>0</v>
          </cell>
          <cell r="AO342">
            <v>0</v>
          </cell>
          <cell r="AP342">
            <v>23086284.979557872</v>
          </cell>
          <cell r="AQ342">
            <v>108808275.11856011</v>
          </cell>
          <cell r="AR342">
            <v>391562447.17739868</v>
          </cell>
          <cell r="AS342">
            <v>555248350.03429914</v>
          </cell>
          <cell r="AT342">
            <v>625662599.093822</v>
          </cell>
          <cell r="AU342">
            <v>593793680.4522543</v>
          </cell>
          <cell r="AV342">
            <v>406047950.25419378</v>
          </cell>
        </row>
        <row r="343">
          <cell r="AF343">
            <v>0</v>
          </cell>
          <cell r="AG343">
            <v>0</v>
          </cell>
          <cell r="AH343">
            <v>0</v>
          </cell>
          <cell r="AI343">
            <v>0</v>
          </cell>
          <cell r="AJ343">
            <v>25000000</v>
          </cell>
          <cell r="AK343">
            <v>25000000</v>
          </cell>
          <cell r="AL343">
            <v>25000000</v>
          </cell>
          <cell r="AM343">
            <v>25000000</v>
          </cell>
          <cell r="AN343">
            <v>64316441.199037507</v>
          </cell>
          <cell r="AO343">
            <v>110000000</v>
          </cell>
          <cell r="AP343">
            <v>110000000</v>
          </cell>
          <cell r="AQ343">
            <v>110000000</v>
          </cell>
          <cell r="AR343">
            <v>110000000</v>
          </cell>
          <cell r="AS343">
            <v>88000000</v>
          </cell>
          <cell r="AT343">
            <v>60500000</v>
          </cell>
          <cell r="AU343">
            <v>20480067.676526986</v>
          </cell>
          <cell r="AV343">
            <v>0</v>
          </cell>
        </row>
        <row r="344">
          <cell r="AF344">
            <v>0</v>
          </cell>
          <cell r="AG344">
            <v>0</v>
          </cell>
          <cell r="AH344">
            <v>0</v>
          </cell>
          <cell r="AI344">
            <v>0</v>
          </cell>
          <cell r="AJ344">
            <v>0</v>
          </cell>
          <cell r="AK344">
            <v>0</v>
          </cell>
          <cell r="AL344">
            <v>0</v>
          </cell>
          <cell r="AM344">
            <v>0</v>
          </cell>
          <cell r="AN344">
            <v>0</v>
          </cell>
          <cell r="AO344">
            <v>88450067.304128915</v>
          </cell>
          <cell r="AP344">
            <v>170000000</v>
          </cell>
          <cell r="AQ344">
            <v>170000000</v>
          </cell>
          <cell r="AR344">
            <v>170000000</v>
          </cell>
          <cell r="AS344">
            <v>136000000</v>
          </cell>
          <cell r="AT344">
            <v>93500000</v>
          </cell>
          <cell r="AU344">
            <v>31651013.681905337</v>
          </cell>
          <cell r="AV344">
            <v>0</v>
          </cell>
        </row>
        <row r="345">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row>
        <row r="346">
          <cell r="AF346">
            <v>75000000</v>
          </cell>
          <cell r="AG346">
            <v>80250000</v>
          </cell>
          <cell r="AH346">
            <v>80250000</v>
          </cell>
          <cell r="AI346">
            <v>85867500</v>
          </cell>
          <cell r="AJ346">
            <v>85867500</v>
          </cell>
          <cell r="AK346">
            <v>91878225</v>
          </cell>
          <cell r="AL346">
            <v>91878225</v>
          </cell>
          <cell r="AM346">
            <v>98309700.75</v>
          </cell>
          <cell r="AN346">
            <v>98309700.75</v>
          </cell>
          <cell r="AO346">
            <v>105191379.80249999</v>
          </cell>
          <cell r="AP346">
            <v>105191379.80249999</v>
          </cell>
          <cell r="AQ346">
            <v>112554776.38867499</v>
          </cell>
          <cell r="AR346">
            <v>128863963.48739401</v>
          </cell>
          <cell r="AS346">
            <v>147500000</v>
          </cell>
          <cell r="AT346">
            <v>147500000</v>
          </cell>
          <cell r="AU346">
            <v>147500000</v>
          </cell>
          <cell r="AV346">
            <v>147500000</v>
          </cell>
        </row>
        <row r="347">
          <cell r="AF347">
            <v>0</v>
          </cell>
          <cell r="AG347">
            <v>0</v>
          </cell>
          <cell r="AH347">
            <v>0</v>
          </cell>
          <cell r="AI347">
            <v>0</v>
          </cell>
          <cell r="AJ347">
            <v>200000000</v>
          </cell>
          <cell r="AK347">
            <v>200000000</v>
          </cell>
          <cell r="AL347">
            <v>200000000</v>
          </cell>
          <cell r="AM347">
            <v>200000000</v>
          </cell>
          <cell r="AN347">
            <v>200000000</v>
          </cell>
          <cell r="AO347">
            <v>200000000</v>
          </cell>
          <cell r="AP347">
            <v>200000000</v>
          </cell>
          <cell r="AQ347">
            <v>200000000</v>
          </cell>
          <cell r="AR347">
            <v>200000000</v>
          </cell>
          <cell r="AS347">
            <v>200000000</v>
          </cell>
          <cell r="AT347">
            <v>200000000</v>
          </cell>
          <cell r="AU347">
            <v>200000000</v>
          </cell>
          <cell r="AV347">
            <v>200000000</v>
          </cell>
        </row>
        <row r="348">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row>
        <row r="349">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row>
        <row r="350">
          <cell r="AF350">
            <v>75000000</v>
          </cell>
          <cell r="AG350">
            <v>80250000</v>
          </cell>
          <cell r="AH350">
            <v>80250000</v>
          </cell>
          <cell r="AI350">
            <v>85867500</v>
          </cell>
          <cell r="AJ350">
            <v>310867500</v>
          </cell>
          <cell r="AK350">
            <v>316878225</v>
          </cell>
          <cell r="AL350">
            <v>316878225</v>
          </cell>
          <cell r="AM350">
            <v>323309700.75</v>
          </cell>
          <cell r="AN350">
            <v>362626141.94903749</v>
          </cell>
          <cell r="AO350">
            <v>503641447.10662889</v>
          </cell>
          <cell r="AP350">
            <v>608277664.78205788</v>
          </cell>
          <cell r="AQ350">
            <v>701363051.50723505</v>
          </cell>
          <cell r="AR350">
            <v>1000426410.6647927</v>
          </cell>
          <cell r="AS350">
            <v>1126748350.0342991</v>
          </cell>
          <cell r="AT350">
            <v>1127162599.093822</v>
          </cell>
          <cell r="AU350">
            <v>993424761.81068671</v>
          </cell>
          <cell r="AV350">
            <v>753547950.25419378</v>
          </cell>
        </row>
        <row r="354">
          <cell r="AF354">
            <v>46875</v>
          </cell>
          <cell r="AG354">
            <v>97031.25</v>
          </cell>
          <cell r="AH354">
            <v>147187.5</v>
          </cell>
          <cell r="AI354">
            <v>200854.6875</v>
          </cell>
          <cell r="AJ354">
            <v>254521.875</v>
          </cell>
          <cell r="AK354">
            <v>311945.765625</v>
          </cell>
          <cell r="AL354">
            <v>369369.65625</v>
          </cell>
          <cell r="AM354">
            <v>430813.21921875002</v>
          </cell>
          <cell r="AN354">
            <v>492256.78218750004</v>
          </cell>
          <cell r="AO354">
            <v>558001.39456406259</v>
          </cell>
          <cell r="AP354">
            <v>623746.00694062514</v>
          </cell>
          <cell r="AQ354">
            <v>694092.742183547</v>
          </cell>
          <cell r="AR354">
            <v>1016252.650902032</v>
          </cell>
          <cell r="AS354">
            <v>1385002.6509020319</v>
          </cell>
          <cell r="AT354">
            <v>1753752.6509020319</v>
          </cell>
          <cell r="AU354">
            <v>2122502.6509020319</v>
          </cell>
          <cell r="AV354">
            <v>2491252.6509020319</v>
          </cell>
        </row>
        <row r="357">
          <cell r="AF357">
            <v>65750000</v>
          </cell>
          <cell r="AG357">
            <v>65750000</v>
          </cell>
          <cell r="AH357">
            <v>65750000</v>
          </cell>
          <cell r="AI357">
            <v>105750000</v>
          </cell>
          <cell r="AJ357">
            <v>105750000</v>
          </cell>
          <cell r="AK357">
            <v>105750000</v>
          </cell>
          <cell r="AL357">
            <v>105750000</v>
          </cell>
          <cell r="AM357">
            <v>105750000</v>
          </cell>
          <cell r="AN357">
            <v>105750000</v>
          </cell>
          <cell r="AO357">
            <v>105750000</v>
          </cell>
          <cell r="AP357">
            <v>105750000</v>
          </cell>
          <cell r="AQ357">
            <v>105750000</v>
          </cell>
          <cell r="AR357">
            <v>105750000</v>
          </cell>
          <cell r="AS357">
            <v>105750000</v>
          </cell>
          <cell r="AT357">
            <v>105750000</v>
          </cell>
          <cell r="AU357">
            <v>105750000</v>
          </cell>
          <cell r="AV357">
            <v>105750000</v>
          </cell>
        </row>
        <row r="358">
          <cell r="AF358">
            <v>0</v>
          </cell>
          <cell r="AG358">
            <v>0</v>
          </cell>
          <cell r="AH358">
            <v>0</v>
          </cell>
          <cell r="AI358">
            <v>0</v>
          </cell>
          <cell r="AJ358">
            <v>220000000</v>
          </cell>
          <cell r="AK358">
            <v>220000000</v>
          </cell>
          <cell r="AL358">
            <v>220000000</v>
          </cell>
          <cell r="AM358">
            <v>220000000</v>
          </cell>
          <cell r="AN358">
            <v>220000000</v>
          </cell>
          <cell r="AO358">
            <v>220000000</v>
          </cell>
          <cell r="AP358">
            <v>220000000</v>
          </cell>
          <cell r="AQ358">
            <v>220000000</v>
          </cell>
          <cell r="AR358">
            <v>220000000</v>
          </cell>
          <cell r="AS358">
            <v>220000000</v>
          </cell>
          <cell r="AT358">
            <v>220000000</v>
          </cell>
          <cell r="AU358">
            <v>220000000</v>
          </cell>
          <cell r="AV358">
            <v>220000000</v>
          </cell>
        </row>
        <row r="359">
          <cell r="AF359">
            <v>-14545969.757676389</v>
          </cell>
          <cell r="AG359">
            <v>-27527118.34950503</v>
          </cell>
          <cell r="AH359">
            <v>-42522508.498201542</v>
          </cell>
          <cell r="AI359">
            <v>-64965369.623497322</v>
          </cell>
          <cell r="AJ359">
            <v>-87086956.979830265</v>
          </cell>
          <cell r="AK359">
            <v>-128714921.39671114</v>
          </cell>
          <cell r="AL359">
            <v>-166198983.69674435</v>
          </cell>
          <cell r="AM359">
            <v>-225783869.7710962</v>
          </cell>
          <cell r="AN359">
            <v>-271122016.93427473</v>
          </cell>
          <cell r="AO359">
            <v>-337549333.50799429</v>
          </cell>
          <cell r="AP359">
            <v>-388586992.82915807</v>
          </cell>
          <cell r="AQ359">
            <v>-456415256.53500116</v>
          </cell>
          <cell r="AR359">
            <v>-639670229.1197505</v>
          </cell>
          <cell r="AS359">
            <v>-688864799.72697163</v>
          </cell>
          <cell r="AT359">
            <v>-650625008.31345856</v>
          </cell>
          <cell r="AU359">
            <v>-497944742.8935889</v>
          </cell>
          <cell r="AV359">
            <v>-226410240.5106113</v>
          </cell>
        </row>
        <row r="360">
          <cell r="AF360">
            <v>51204030.242323607</v>
          </cell>
          <cell r="AG360">
            <v>38222881.65049497</v>
          </cell>
          <cell r="AH360">
            <v>23227491.501798458</v>
          </cell>
          <cell r="AI360">
            <v>40784630.376502678</v>
          </cell>
          <cell r="AJ360">
            <v>238663043.02016973</v>
          </cell>
          <cell r="AK360">
            <v>197035078.60328886</v>
          </cell>
          <cell r="AL360">
            <v>159551016.30325565</v>
          </cell>
          <cell r="AM360">
            <v>99966130.2289038</v>
          </cell>
          <cell r="AN360">
            <v>54627983.065725267</v>
          </cell>
          <cell r="AO360">
            <v>-11799333.507994294</v>
          </cell>
          <cell r="AP360">
            <v>-62836992.829158068</v>
          </cell>
          <cell r="AQ360">
            <v>-130665256.53500116</v>
          </cell>
          <cell r="AR360">
            <v>-313920229.1197505</v>
          </cell>
          <cell r="AS360">
            <v>-363114799.72697163</v>
          </cell>
          <cell r="AT360">
            <v>-324875008.31345856</v>
          </cell>
          <cell r="AU360">
            <v>-172194742.8935889</v>
          </cell>
          <cell r="AV360">
            <v>99339759.489388704</v>
          </cell>
        </row>
        <row r="362">
          <cell r="AF362">
            <v>134437800.69437841</v>
          </cell>
          <cell r="AG362">
            <v>127961130.98268676</v>
          </cell>
          <cell r="AH362">
            <v>118594874.7824651</v>
          </cell>
          <cell r="AI362">
            <v>143417390.92406783</v>
          </cell>
          <cell r="AJ362">
            <v>587599718.03142679</v>
          </cell>
          <cell r="AK362">
            <v>565749707.90661788</v>
          </cell>
          <cell r="AL362">
            <v>553804056.89897978</v>
          </cell>
          <cell r="AM362">
            <v>503544407.96595657</v>
          </cell>
          <cell r="AN362">
            <v>483326846.62412649</v>
          </cell>
          <cell r="AO362">
            <v>572054211.30943871</v>
          </cell>
          <cell r="AP362">
            <v>601589934.54598832</v>
          </cell>
          <cell r="AQ362">
            <v>618641877.36993182</v>
          </cell>
          <cell r="AR362">
            <v>768749876.75227189</v>
          </cell>
          <cell r="AS362">
            <v>844408524.7230773</v>
          </cell>
          <cell r="AT362">
            <v>884696649.07519853</v>
          </cell>
          <cell r="AU362">
            <v>909151159.48195612</v>
          </cell>
          <cell r="AV362">
            <v>950760302.52099288</v>
          </cell>
        </row>
        <row r="363">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row>
        <row r="367">
          <cell r="AF367">
            <v>1999</v>
          </cell>
          <cell r="AJ367">
            <v>2000</v>
          </cell>
          <cell r="AN367">
            <v>2001</v>
          </cell>
          <cell r="AR367">
            <v>2002</v>
          </cell>
          <cell r="AS367">
            <v>2003</v>
          </cell>
          <cell r="AT367">
            <v>2004</v>
          </cell>
          <cell r="AU367">
            <v>2005</v>
          </cell>
          <cell r="AV367">
            <v>2006</v>
          </cell>
        </row>
        <row r="368">
          <cell r="AF368">
            <v>36250</v>
          </cell>
          <cell r="AG368">
            <v>36341</v>
          </cell>
          <cell r="AH368">
            <v>36433</v>
          </cell>
          <cell r="AI368">
            <v>36525</v>
          </cell>
          <cell r="AJ368">
            <v>36616</v>
          </cell>
          <cell r="AK368">
            <v>36707</v>
          </cell>
          <cell r="AL368">
            <v>36799</v>
          </cell>
          <cell r="AM368">
            <v>36891</v>
          </cell>
          <cell r="AN368">
            <v>36981</v>
          </cell>
          <cell r="AO368">
            <v>37072</v>
          </cell>
          <cell r="AP368">
            <v>37164</v>
          </cell>
          <cell r="AQ368">
            <v>37256</v>
          </cell>
        </row>
        <row r="370">
          <cell r="AF370">
            <v>-5668132.7576763891</v>
          </cell>
          <cell r="AG370">
            <v>-12981148.591828642</v>
          </cell>
          <cell r="AH370">
            <v>-14995390.148696512</v>
          </cell>
          <cell r="AI370">
            <v>-22442861.125295781</v>
          </cell>
          <cell r="AJ370">
            <v>-22121587.356332935</v>
          </cell>
          <cell r="AK370">
            <v>-41627964.416880876</v>
          </cell>
          <cell r="AL370">
            <v>-37484062.300033219</v>
          </cell>
          <cell r="AM370">
            <v>-59584886.074351847</v>
          </cell>
          <cell r="AN370">
            <v>-45338147.163178556</v>
          </cell>
          <cell r="AO370">
            <v>-66427316.573719546</v>
          </cell>
          <cell r="AP370">
            <v>-51037659.321163751</v>
          </cell>
          <cell r="AQ370">
            <v>-67828263.705843121</v>
          </cell>
          <cell r="AR370">
            <v>-183254972.58474931</v>
          </cell>
          <cell r="AS370">
            <v>-49194570.607221141</v>
          </cell>
          <cell r="AT370">
            <v>38239791.413513012</v>
          </cell>
          <cell r="AU370">
            <v>152680265.41986969</v>
          </cell>
          <cell r="AV370">
            <v>271534502.3829776</v>
          </cell>
        </row>
        <row r="371">
          <cell r="AF371">
            <v>193000</v>
          </cell>
          <cell r="AG371">
            <v>235250</v>
          </cell>
          <cell r="AH371">
            <v>1803780.1557611141</v>
          </cell>
          <cell r="AI371">
            <v>2479860.4245226881</v>
          </cell>
          <cell r="AJ371">
            <v>109250</v>
          </cell>
          <cell r="AK371">
            <v>123250</v>
          </cell>
          <cell r="AL371">
            <v>7151926.6629812783</v>
          </cell>
          <cell r="AM371">
            <v>7170926.6629812783</v>
          </cell>
          <cell r="AN371">
            <v>7116126.6629812783</v>
          </cell>
          <cell r="AO371">
            <v>7116126.6629812783</v>
          </cell>
          <cell r="AP371">
            <v>12704626.502428081</v>
          </cell>
          <cell r="AQ371">
            <v>12704626.502428081</v>
          </cell>
          <cell r="AR371">
            <v>56678758.893955514</v>
          </cell>
          <cell r="AS371">
            <v>68806535.183536634</v>
          </cell>
          <cell r="AT371">
            <v>77501612.455888957</v>
          </cell>
          <cell r="AU371">
            <v>84619497.572051808</v>
          </cell>
          <cell r="AV371">
            <v>94154670.552248031</v>
          </cell>
        </row>
        <row r="372">
          <cell r="AF372">
            <v>21721.85</v>
          </cell>
          <cell r="AG372">
            <v>21721.85</v>
          </cell>
          <cell r="AH372">
            <v>21721.85</v>
          </cell>
          <cell r="AI372">
            <v>161721.85</v>
          </cell>
          <cell r="AJ372">
            <v>586721.85</v>
          </cell>
          <cell r="AK372">
            <v>586721.85</v>
          </cell>
          <cell r="AL372">
            <v>586721.85</v>
          </cell>
          <cell r="AM372">
            <v>586721.85</v>
          </cell>
          <cell r="AN372">
            <v>586721.85</v>
          </cell>
          <cell r="AO372">
            <v>586721.85</v>
          </cell>
          <cell r="AP372">
            <v>586721.85</v>
          </cell>
          <cell r="AQ372">
            <v>586721.85</v>
          </cell>
          <cell r="AR372">
            <v>2346887.4</v>
          </cell>
          <cell r="AS372">
            <v>2346887.4</v>
          </cell>
          <cell r="AT372">
            <v>2346887.4</v>
          </cell>
          <cell r="AU372">
            <v>2346887.4</v>
          </cell>
          <cell r="AV372">
            <v>2346887.4</v>
          </cell>
        </row>
        <row r="373">
          <cell r="AF373">
            <v>-2260677.8060273966</v>
          </cell>
          <cell r="AG373">
            <v>836996.76493150555</v>
          </cell>
          <cell r="AH373">
            <v>420262.41869434901</v>
          </cell>
          <cell r="AI373">
            <v>-1391714.3357786685</v>
          </cell>
          <cell r="AJ373">
            <v>16213509.353074044</v>
          </cell>
          <cell r="AK373">
            <v>5867820.1183798984</v>
          </cell>
          <cell r="AL373">
            <v>14483483.968953315</v>
          </cell>
          <cell r="AM373">
            <v>-4865226.612383835</v>
          </cell>
          <cell r="AN373">
            <v>-13565603.952806674</v>
          </cell>
          <cell r="AO373">
            <v>-3603475.9524614364</v>
          </cell>
          <cell r="AP373">
            <v>-26192577.143629894</v>
          </cell>
          <cell r="AQ373">
            <v>-13038414.18480847</v>
          </cell>
          <cell r="AR373">
            <v>-46356409.80246903</v>
          </cell>
          <cell r="AS373">
            <v>-29054366.612935796</v>
          </cell>
          <cell r="AT373">
            <v>-34777125.977160707</v>
          </cell>
          <cell r="AU373">
            <v>-19804080.600751743</v>
          </cell>
          <cell r="AV373">
            <v>-20454735.258149587</v>
          </cell>
        </row>
        <row r="375">
          <cell r="AF375">
            <v>-7714088.713703786</v>
          </cell>
          <cell r="AG375">
            <v>-11887179.976897137</v>
          </cell>
          <cell r="AH375">
            <v>-12749625.72424105</v>
          </cell>
          <cell r="AI375">
            <v>-21192993.186551761</v>
          </cell>
          <cell r="AJ375">
            <v>-5212106.1532588899</v>
          </cell>
          <cell r="AK375">
            <v>-35050172.448500976</v>
          </cell>
          <cell r="AL375">
            <v>-15261929.818098623</v>
          </cell>
          <cell r="AM375">
            <v>-56692464.173754402</v>
          </cell>
          <cell r="AN375">
            <v>-51200902.603003949</v>
          </cell>
          <cell r="AO375">
            <v>-62327944.013199702</v>
          </cell>
          <cell r="AP375">
            <v>-63938888.112365566</v>
          </cell>
          <cell r="AQ375">
            <v>-67575329.538223505</v>
          </cell>
          <cell r="AR375">
            <v>-170585736.09326282</v>
          </cell>
          <cell r="AS375">
            <v>-7095514.6366203055</v>
          </cell>
          <cell r="AT375">
            <v>83311165.29224126</v>
          </cell>
          <cell r="AU375">
            <v>219842569.79116976</v>
          </cell>
          <cell r="AV375">
            <v>347581325.07707602</v>
          </cell>
        </row>
        <row r="378">
          <cell r="AF378">
            <v>-14052000</v>
          </cell>
          <cell r="AG378">
            <v>-14213000</v>
          </cell>
          <cell r="AH378">
            <v>-27584855.286805555</v>
          </cell>
          <cell r="AI378">
            <v>-34424258.625694439</v>
          </cell>
          <cell r="AJ378">
            <v>-43400357.108586811</v>
          </cell>
          <cell r="AK378">
            <v>-58700627.897475295</v>
          </cell>
          <cell r="AL378">
            <v>-88135560.617040217</v>
          </cell>
          <cell r="AM378">
            <v>-88661031.875950783</v>
          </cell>
          <cell r="AN378">
            <v>-66782760.958692655</v>
          </cell>
          <cell r="AO378">
            <v>-78748804.707360476</v>
          </cell>
          <cell r="AP378">
            <v>-40763074.175439924</v>
          </cell>
          <cell r="AQ378">
            <v>-25575801.799330272</v>
          </cell>
          <cell r="AR378">
            <v>-128547969.79953767</v>
          </cell>
          <cell r="AS378">
            <v>-119548584.64160457</v>
          </cell>
          <cell r="AT378">
            <v>-84094164.351764157</v>
          </cell>
          <cell r="AU378">
            <v>-86473482.508034393</v>
          </cell>
          <cell r="AV378">
            <v>-108073263.52058318</v>
          </cell>
        </row>
        <row r="379">
          <cell r="AF379">
            <v>-2000000</v>
          </cell>
          <cell r="AG379">
            <v>-650000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row>
        <row r="381">
          <cell r="AF381">
            <v>-16052000</v>
          </cell>
          <cell r="AG381">
            <v>-14863000</v>
          </cell>
          <cell r="AH381">
            <v>-27584855.286805555</v>
          </cell>
          <cell r="AI381">
            <v>-34424258.625694439</v>
          </cell>
          <cell r="AJ381">
            <v>-43400357.108586811</v>
          </cell>
          <cell r="AK381">
            <v>-58700627.897475295</v>
          </cell>
          <cell r="AL381">
            <v>-88135560.617040217</v>
          </cell>
          <cell r="AM381">
            <v>-88661031.875950783</v>
          </cell>
          <cell r="AN381">
            <v>-66782760.958692655</v>
          </cell>
          <cell r="AO381">
            <v>-78748804.707360476</v>
          </cell>
          <cell r="AP381">
            <v>-40763074.175439924</v>
          </cell>
          <cell r="AQ381">
            <v>-25575801.799330272</v>
          </cell>
          <cell r="AR381">
            <v>-128547969.79953767</v>
          </cell>
          <cell r="AS381">
            <v>-119548584.64160457</v>
          </cell>
          <cell r="AT381">
            <v>-84094164.351764157</v>
          </cell>
          <cell r="AU381">
            <v>-86473482.508034393</v>
          </cell>
          <cell r="AV381">
            <v>-108073263.52058318</v>
          </cell>
        </row>
        <row r="384">
          <cell r="AF384">
            <v>0</v>
          </cell>
          <cell r="AG384">
            <v>0</v>
          </cell>
          <cell r="AH384">
            <v>0</v>
          </cell>
          <cell r="AI384">
            <v>0</v>
          </cell>
          <cell r="AJ384">
            <v>0</v>
          </cell>
          <cell r="AK384">
            <v>0</v>
          </cell>
          <cell r="AL384">
            <v>0</v>
          </cell>
          <cell r="AM384">
            <v>0</v>
          </cell>
          <cell r="AN384">
            <v>0</v>
          </cell>
          <cell r="AO384">
            <v>0</v>
          </cell>
          <cell r="AP384">
            <v>23086284.979557872</v>
          </cell>
          <cell r="AQ384">
            <v>85721990.139002234</v>
          </cell>
          <cell r="AR384">
            <v>282754172.05883855</v>
          </cell>
          <cell r="AS384">
            <v>163685902.85690045</v>
          </cell>
          <cell r="AT384">
            <v>70414249.059522912</v>
          </cell>
          <cell r="AU384">
            <v>-31868918.641567677</v>
          </cell>
          <cell r="AV384">
            <v>-187745730.19806051</v>
          </cell>
        </row>
        <row r="385">
          <cell r="AF385">
            <v>0</v>
          </cell>
          <cell r="AG385">
            <v>0</v>
          </cell>
          <cell r="AH385">
            <v>0</v>
          </cell>
          <cell r="AI385">
            <v>0</v>
          </cell>
          <cell r="AJ385">
            <v>25000000</v>
          </cell>
          <cell r="AK385">
            <v>0</v>
          </cell>
          <cell r="AL385">
            <v>0</v>
          </cell>
          <cell r="AM385">
            <v>0</v>
          </cell>
          <cell r="AN385">
            <v>39316441.199037507</v>
          </cell>
          <cell r="AO385">
            <v>45683558.800962493</v>
          </cell>
          <cell r="AP385">
            <v>0</v>
          </cell>
          <cell r="AQ385">
            <v>0</v>
          </cell>
          <cell r="AR385">
            <v>0</v>
          </cell>
          <cell r="AS385">
            <v>-22000000</v>
          </cell>
          <cell r="AT385">
            <v>-27500000</v>
          </cell>
          <cell r="AU385">
            <v>-40019932.323473014</v>
          </cell>
          <cell r="AV385">
            <v>-20480067.676526986</v>
          </cell>
        </row>
        <row r="386">
          <cell r="AF386">
            <v>0</v>
          </cell>
          <cell r="AG386">
            <v>0</v>
          </cell>
          <cell r="AH386">
            <v>0</v>
          </cell>
          <cell r="AI386">
            <v>0</v>
          </cell>
          <cell r="AJ386">
            <v>0</v>
          </cell>
          <cell r="AK386">
            <v>0</v>
          </cell>
          <cell r="AL386">
            <v>0</v>
          </cell>
          <cell r="AM386">
            <v>0</v>
          </cell>
          <cell r="AN386">
            <v>0</v>
          </cell>
          <cell r="AO386">
            <v>88450067.304128915</v>
          </cell>
          <cell r="AP386">
            <v>81549932.695871085</v>
          </cell>
          <cell r="AQ386">
            <v>0</v>
          </cell>
          <cell r="AR386">
            <v>0</v>
          </cell>
          <cell r="AS386">
            <v>-34000000</v>
          </cell>
          <cell r="AT386">
            <v>-42500000</v>
          </cell>
          <cell r="AU386">
            <v>-61848986.318094663</v>
          </cell>
          <cell r="AV386">
            <v>-31651013.681905337</v>
          </cell>
        </row>
        <row r="387">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row>
        <row r="388">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row>
        <row r="389">
          <cell r="AF389">
            <v>75000000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row>
        <row r="390">
          <cell r="AF390">
            <v>0</v>
          </cell>
          <cell r="AG390">
            <v>0</v>
          </cell>
          <cell r="AH390">
            <v>0</v>
          </cell>
          <cell r="AI390">
            <v>0</v>
          </cell>
          <cell r="AJ390">
            <v>200000000</v>
          </cell>
          <cell r="AK390">
            <v>0</v>
          </cell>
          <cell r="AL390">
            <v>0</v>
          </cell>
          <cell r="AM390">
            <v>0</v>
          </cell>
          <cell r="AN390">
            <v>0</v>
          </cell>
          <cell r="AO390">
            <v>0</v>
          </cell>
          <cell r="AP390">
            <v>0</v>
          </cell>
          <cell r="AQ390">
            <v>0</v>
          </cell>
          <cell r="AR390">
            <v>0</v>
          </cell>
          <cell r="AS390">
            <v>0</v>
          </cell>
          <cell r="AT390">
            <v>0</v>
          </cell>
          <cell r="AU390">
            <v>0</v>
          </cell>
          <cell r="AV390">
            <v>0</v>
          </cell>
        </row>
        <row r="391">
          <cell r="AF391">
            <v>0</v>
          </cell>
          <cell r="AG391">
            <v>0</v>
          </cell>
          <cell r="AH391">
            <v>0</v>
          </cell>
          <cell r="AI391">
            <v>-5600000</v>
          </cell>
          <cell r="AJ391">
            <v>-17000000</v>
          </cell>
          <cell r="AK391">
            <v>0</v>
          </cell>
          <cell r="AL391">
            <v>0</v>
          </cell>
          <cell r="AM391">
            <v>0</v>
          </cell>
          <cell r="AN391">
            <v>0</v>
          </cell>
          <cell r="AO391">
            <v>0</v>
          </cell>
          <cell r="AP391">
            <v>0</v>
          </cell>
          <cell r="AQ391">
            <v>0</v>
          </cell>
          <cell r="AR391">
            <v>0</v>
          </cell>
          <cell r="AS391">
            <v>0</v>
          </cell>
          <cell r="AT391">
            <v>0</v>
          </cell>
          <cell r="AU391">
            <v>0</v>
          </cell>
          <cell r="AV391">
            <v>0</v>
          </cell>
        </row>
        <row r="392">
          <cell r="AF392">
            <v>46875</v>
          </cell>
          <cell r="AG392">
            <v>50156.25</v>
          </cell>
          <cell r="AH392">
            <v>50156.25</v>
          </cell>
          <cell r="AI392">
            <v>53667.1875</v>
          </cell>
          <cell r="AJ392">
            <v>53667.1875</v>
          </cell>
          <cell r="AK392">
            <v>57423.890625</v>
          </cell>
          <cell r="AL392">
            <v>57423.890625</v>
          </cell>
          <cell r="AM392">
            <v>61443.562968750004</v>
          </cell>
          <cell r="AN392">
            <v>61443.562968750004</v>
          </cell>
          <cell r="AO392">
            <v>65744.612376562494</v>
          </cell>
          <cell r="AP392">
            <v>65744.612376562494</v>
          </cell>
          <cell r="AQ392">
            <v>70346.735242921874</v>
          </cell>
          <cell r="AR392">
            <v>322159.90871848504</v>
          </cell>
          <cell r="AS392">
            <v>368750</v>
          </cell>
          <cell r="AT392">
            <v>368750</v>
          </cell>
          <cell r="AU392">
            <v>368750</v>
          </cell>
          <cell r="AV392">
            <v>368750</v>
          </cell>
        </row>
        <row r="393">
          <cell r="AF393">
            <v>0</v>
          </cell>
          <cell r="AG393">
            <v>5250000.0000000009</v>
          </cell>
          <cell r="AH393">
            <v>0</v>
          </cell>
          <cell r="AI393">
            <v>5617500.0000000009</v>
          </cell>
          <cell r="AJ393">
            <v>0</v>
          </cell>
          <cell r="AK393">
            <v>6010725.0000000009</v>
          </cell>
          <cell r="AL393">
            <v>0</v>
          </cell>
          <cell r="AM393">
            <v>6431475.7500000009</v>
          </cell>
          <cell r="AN393">
            <v>0</v>
          </cell>
          <cell r="AO393">
            <v>6881679.0525000002</v>
          </cell>
          <cell r="AP393">
            <v>0</v>
          </cell>
          <cell r="AQ393">
            <v>7363396.5861750003</v>
          </cell>
          <cell r="AR393">
            <v>16309187.098719008</v>
          </cell>
          <cell r="AS393">
            <v>18636036.512605995</v>
          </cell>
          <cell r="AT393">
            <v>0</v>
          </cell>
          <cell r="AU393">
            <v>0</v>
          </cell>
          <cell r="AV393">
            <v>0</v>
          </cell>
        </row>
        <row r="394">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row>
        <row r="395">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row>
        <row r="396">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row>
        <row r="397">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row>
        <row r="398">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row>
        <row r="399">
          <cell r="AF399">
            <v>52365015</v>
          </cell>
          <cell r="AG399">
            <v>0</v>
          </cell>
          <cell r="AH399">
            <v>0</v>
          </cell>
          <cell r="AI399">
            <v>40000000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row>
        <row r="400">
          <cell r="AF400">
            <v>0</v>
          </cell>
          <cell r="AG400">
            <v>0</v>
          </cell>
          <cell r="AH400">
            <v>0</v>
          </cell>
          <cell r="AI400">
            <v>0</v>
          </cell>
          <cell r="AJ400">
            <v>220000000</v>
          </cell>
          <cell r="AK400">
            <v>0</v>
          </cell>
          <cell r="AL400">
            <v>0</v>
          </cell>
          <cell r="AM400">
            <v>0</v>
          </cell>
          <cell r="AN400">
            <v>0</v>
          </cell>
          <cell r="AO400">
            <v>0</v>
          </cell>
          <cell r="AP400">
            <v>0</v>
          </cell>
          <cell r="AQ400">
            <v>0</v>
          </cell>
          <cell r="AR400">
            <v>0</v>
          </cell>
          <cell r="AS400">
            <v>0</v>
          </cell>
          <cell r="AT400">
            <v>0</v>
          </cell>
          <cell r="AU400">
            <v>0</v>
          </cell>
          <cell r="AV400">
            <v>0</v>
          </cell>
        </row>
        <row r="401">
          <cell r="AF401">
            <v>127411890</v>
          </cell>
          <cell r="AG401">
            <v>5300156.2500000009</v>
          </cell>
          <cell r="AH401">
            <v>50156.25</v>
          </cell>
          <cell r="AI401">
            <v>40071167.1875</v>
          </cell>
          <cell r="AJ401">
            <v>428053667.1875</v>
          </cell>
          <cell r="AK401">
            <v>6068148.8906250009</v>
          </cell>
          <cell r="AL401">
            <v>57423.890625</v>
          </cell>
          <cell r="AM401">
            <v>6492919.3129687505</v>
          </cell>
          <cell r="AN401">
            <v>39377884.76200626</v>
          </cell>
          <cell r="AO401">
            <v>141081049.76996797</v>
          </cell>
          <cell r="AP401">
            <v>104701962.28780551</v>
          </cell>
          <cell r="AQ401">
            <v>93155733.460420147</v>
          </cell>
          <cell r="AR401">
            <v>299385519.06627601</v>
          </cell>
          <cell r="AS401">
            <v>126690689.36950645</v>
          </cell>
          <cell r="AT401">
            <v>782999.05952291191</v>
          </cell>
          <cell r="AU401">
            <v>-133369087.28313535</v>
          </cell>
          <cell r="AV401">
            <v>-239508061.55649284</v>
          </cell>
        </row>
        <row r="403">
          <cell r="AF403">
            <v>103645801.28629622</v>
          </cell>
          <cell r="AG403">
            <v>-21450023.726897135</v>
          </cell>
          <cell r="AH403">
            <v>-40284324.761046603</v>
          </cell>
          <cell r="AI403">
            <v>-15546084.624746203</v>
          </cell>
          <cell r="AJ403">
            <v>379441203.92565429</v>
          </cell>
          <cell r="AK403">
            <v>-87682651.455351263</v>
          </cell>
          <cell r="AL403">
            <v>-103340066.54451384</v>
          </cell>
          <cell r="AM403">
            <v>-138860576.73673642</v>
          </cell>
          <cell r="AN403">
            <v>-78605778.799690336</v>
          </cell>
          <cell r="AO403">
            <v>4301.0494077801704</v>
          </cell>
          <cell r="AP403">
            <v>0</v>
          </cell>
          <cell r="AQ403">
            <v>4602.1228663772345</v>
          </cell>
          <cell r="AR403">
            <v>251813.17347550392</v>
          </cell>
          <cell r="AS403">
            <v>46590.091281563044</v>
          </cell>
          <cell r="AT403">
            <v>1.4901161193847656E-8</v>
          </cell>
          <cell r="AU403">
            <v>0</v>
          </cell>
          <cell r="AV403">
            <v>0</v>
          </cell>
        </row>
        <row r="405">
          <cell r="AF405">
            <v>3743945</v>
          </cell>
          <cell r="AG405">
            <v>107389746.28629622</v>
          </cell>
          <cell r="AH405">
            <v>85939722.559399083</v>
          </cell>
          <cell r="AI405">
            <v>45655397.79835248</v>
          </cell>
          <cell r="AJ405">
            <v>30109313.173606277</v>
          </cell>
          <cell r="AK405">
            <v>409550517.09926057</v>
          </cell>
          <cell r="AL405">
            <v>321867865.64390934</v>
          </cell>
          <cell r="AM405">
            <v>218527799.09939551</v>
          </cell>
          <cell r="AN405">
            <v>79667222.362659097</v>
          </cell>
          <cell r="AO405">
            <v>1061443.5629687607</v>
          </cell>
          <cell r="AP405">
            <v>1065744.6123765409</v>
          </cell>
          <cell r="AQ405">
            <v>1065744.6123765409</v>
          </cell>
          <cell r="AR405">
            <v>1070346.7352429181</v>
          </cell>
          <cell r="AS405">
            <v>1322159.9087184221</v>
          </cell>
          <cell r="AT405">
            <v>1368749.9999999851</v>
          </cell>
          <cell r="AU405">
            <v>1368750</v>
          </cell>
          <cell r="AV405">
            <v>1368750</v>
          </cell>
        </row>
        <row r="406">
          <cell r="AF406">
            <v>107389746.28629622</v>
          </cell>
          <cell r="AG406">
            <v>85939722.559399083</v>
          </cell>
          <cell r="AH406">
            <v>45655397.79835248</v>
          </cell>
          <cell r="AI406">
            <v>30109313.173606277</v>
          </cell>
          <cell r="AJ406">
            <v>409550517.09926057</v>
          </cell>
          <cell r="AK406">
            <v>321867865.64390934</v>
          </cell>
          <cell r="AL406">
            <v>218527799.09939551</v>
          </cell>
          <cell r="AM406">
            <v>79667222.362659097</v>
          </cell>
          <cell r="AN406">
            <v>1061443.5629687607</v>
          </cell>
          <cell r="AO406">
            <v>1065744.6123765409</v>
          </cell>
          <cell r="AP406">
            <v>1065744.6123765409</v>
          </cell>
          <cell r="AQ406">
            <v>1070346.7352429181</v>
          </cell>
          <cell r="AR406">
            <v>1322159.9087184221</v>
          </cell>
          <cell r="AS406">
            <v>1368749.9999999851</v>
          </cell>
          <cell r="AT406">
            <v>1368750</v>
          </cell>
          <cell r="AU406">
            <v>1368750</v>
          </cell>
          <cell r="AV406">
            <v>1368750</v>
          </cell>
        </row>
        <row r="408">
          <cell r="AF408">
            <v>107342871.28629622</v>
          </cell>
          <cell r="AG408">
            <v>85889566.309399083</v>
          </cell>
          <cell r="AH408">
            <v>45605241.54835248</v>
          </cell>
          <cell r="AI408">
            <v>35655645.986106284</v>
          </cell>
          <cell r="AJ408">
            <v>181496849.91176057</v>
          </cell>
          <cell r="AK408">
            <v>321810441.75328428</v>
          </cell>
          <cell r="AL408">
            <v>218470375.20877051</v>
          </cell>
          <cell r="AM408">
            <v>79605778.799690336</v>
          </cell>
          <cell r="AN408">
            <v>-38316441.199037507</v>
          </cell>
          <cell r="AO408">
            <v>-133133626.10509141</v>
          </cell>
          <cell r="AP408">
            <v>-103636217.67542896</v>
          </cell>
          <cell r="AQ408">
            <v>-84721990.139002234</v>
          </cell>
          <cell r="AR408">
            <v>-281754172.05883855</v>
          </cell>
          <cell r="AS408">
            <v>-106685902.85690045</v>
          </cell>
          <cell r="AT408">
            <v>585750.94047708809</v>
          </cell>
          <cell r="AU408">
            <v>134737837.28313535</v>
          </cell>
          <cell r="AV408">
            <v>240876811.55649284</v>
          </cell>
        </row>
        <row r="411">
          <cell r="AF411">
            <v>1999</v>
          </cell>
          <cell r="AJ411">
            <v>2000</v>
          </cell>
          <cell r="AN411">
            <v>2001</v>
          </cell>
          <cell r="AR411">
            <v>2002</v>
          </cell>
          <cell r="AS411">
            <v>2003</v>
          </cell>
          <cell r="AT411">
            <v>2004</v>
          </cell>
          <cell r="AU411">
            <v>2005</v>
          </cell>
          <cell r="AV411">
            <v>2006</v>
          </cell>
        </row>
        <row r="412">
          <cell r="AF412">
            <v>1999</v>
          </cell>
          <cell r="AJ412">
            <v>2000</v>
          </cell>
          <cell r="AN412">
            <v>2001</v>
          </cell>
          <cell r="AR412">
            <v>2002</v>
          </cell>
          <cell r="AS412">
            <v>2003</v>
          </cell>
          <cell r="AT412">
            <v>2004</v>
          </cell>
          <cell r="AU412">
            <v>2005</v>
          </cell>
          <cell r="AV412">
            <v>2006</v>
          </cell>
        </row>
        <row r="413">
          <cell r="AF413">
            <v>36250</v>
          </cell>
          <cell r="AG413">
            <v>36341</v>
          </cell>
          <cell r="AH413">
            <v>36433</v>
          </cell>
          <cell r="AI413">
            <v>36525</v>
          </cell>
          <cell r="AJ413">
            <v>36616</v>
          </cell>
          <cell r="AK413">
            <v>36707</v>
          </cell>
          <cell r="AL413">
            <v>36799</v>
          </cell>
          <cell r="AM413">
            <v>36891</v>
          </cell>
          <cell r="AN413">
            <v>36981</v>
          </cell>
          <cell r="AO413">
            <v>37072</v>
          </cell>
          <cell r="AP413">
            <v>37164</v>
          </cell>
          <cell r="AQ413">
            <v>37256</v>
          </cell>
        </row>
        <row r="415">
          <cell r="AF415">
            <v>106342871.28629622</v>
          </cell>
          <cell r="AG415">
            <v>84889566.309399083</v>
          </cell>
          <cell r="AH415">
            <v>44605241.54835248</v>
          </cell>
          <cell r="AI415">
            <v>34655645.986106284</v>
          </cell>
          <cell r="AJ415">
            <v>180496849.91176057</v>
          </cell>
          <cell r="AK415">
            <v>320810441.75328428</v>
          </cell>
          <cell r="AL415">
            <v>217470375.20877051</v>
          </cell>
          <cell r="AM415">
            <v>78605778.799690336</v>
          </cell>
          <cell r="AN415">
            <v>-39316441.199037507</v>
          </cell>
          <cell r="AO415">
            <v>-134133626.10509141</v>
          </cell>
          <cell r="AP415">
            <v>-104636217.67542896</v>
          </cell>
          <cell r="AQ415">
            <v>-85721990.139002234</v>
          </cell>
          <cell r="AR415">
            <v>-282754172.05883855</v>
          </cell>
          <cell r="AS415">
            <v>-107685902.85690045</v>
          </cell>
          <cell r="AT415">
            <v>-414249.05952291191</v>
          </cell>
          <cell r="AU415">
            <v>133737837.28313535</v>
          </cell>
          <cell r="AV415">
            <v>239876811.55649284</v>
          </cell>
        </row>
        <row r="418">
          <cell r="AF418">
            <v>0</v>
          </cell>
          <cell r="AG418">
            <v>0</v>
          </cell>
          <cell r="AH418">
            <v>0</v>
          </cell>
          <cell r="AI418">
            <v>280000000</v>
          </cell>
          <cell r="AJ418">
            <v>280000000</v>
          </cell>
          <cell r="AK418">
            <v>280000000</v>
          </cell>
          <cell r="AL418">
            <v>280000000</v>
          </cell>
          <cell r="AM418">
            <v>280000000</v>
          </cell>
          <cell r="AN418">
            <v>280000000</v>
          </cell>
          <cell r="AO418">
            <v>280000000</v>
          </cell>
          <cell r="AP418">
            <v>280000000</v>
          </cell>
          <cell r="AQ418">
            <v>280000000</v>
          </cell>
          <cell r="AR418">
            <v>280000000</v>
          </cell>
          <cell r="AS418">
            <v>280000000</v>
          </cell>
          <cell r="AT418">
            <v>235200000</v>
          </cell>
          <cell r="AU418">
            <v>168000000</v>
          </cell>
          <cell r="AV418">
            <v>168000000</v>
          </cell>
        </row>
        <row r="419">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0.16</v>
          </cell>
          <cell r="AU419">
            <v>0.24</v>
          </cell>
        </row>
        <row r="420">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44800000</v>
          </cell>
          <cell r="AU420">
            <v>67200000</v>
          </cell>
          <cell r="AV420">
            <v>0</v>
          </cell>
        </row>
        <row r="422">
          <cell r="AF422">
            <v>0</v>
          </cell>
          <cell r="AG422">
            <v>0</v>
          </cell>
          <cell r="AH422">
            <v>0</v>
          </cell>
          <cell r="AI422">
            <v>0</v>
          </cell>
          <cell r="AJ422">
            <v>0</v>
          </cell>
          <cell r="AK422">
            <v>0</v>
          </cell>
          <cell r="AL422">
            <v>0</v>
          </cell>
          <cell r="AM422">
            <v>0</v>
          </cell>
          <cell r="AN422">
            <v>0</v>
          </cell>
          <cell r="AO422">
            <v>0</v>
          </cell>
          <cell r="AP422">
            <v>0</v>
          </cell>
          <cell r="AQ422">
            <v>23086284.979557872</v>
          </cell>
          <cell r="AR422">
            <v>108808275.11856011</v>
          </cell>
          <cell r="AS422">
            <v>391562447.17739868</v>
          </cell>
          <cell r="AT422">
            <v>555248350.03429914</v>
          </cell>
          <cell r="AU422">
            <v>625662599.093822</v>
          </cell>
          <cell r="AV422">
            <v>593793680.4522543</v>
          </cell>
        </row>
        <row r="423">
          <cell r="AF423">
            <v>0</v>
          </cell>
          <cell r="AG423">
            <v>0</v>
          </cell>
          <cell r="AH423">
            <v>0</v>
          </cell>
          <cell r="AI423">
            <v>0</v>
          </cell>
          <cell r="AJ423">
            <v>0</v>
          </cell>
          <cell r="AK423">
            <v>0</v>
          </cell>
          <cell r="AL423">
            <v>0</v>
          </cell>
          <cell r="AM423">
            <v>0</v>
          </cell>
          <cell r="AN423">
            <v>0</v>
          </cell>
          <cell r="AO423">
            <v>0</v>
          </cell>
          <cell r="AP423">
            <v>23086284.979557872</v>
          </cell>
          <cell r="AQ423">
            <v>85721990.139002234</v>
          </cell>
          <cell r="AR423">
            <v>282754172.05883855</v>
          </cell>
          <cell r="AS423">
            <v>163685902.85690045</v>
          </cell>
          <cell r="AT423">
            <v>70414249.059522912</v>
          </cell>
          <cell r="AU423">
            <v>-31868918.641567677</v>
          </cell>
          <cell r="AV423">
            <v>-187745730.19806051</v>
          </cell>
        </row>
        <row r="424">
          <cell r="AF424">
            <v>0</v>
          </cell>
          <cell r="AG424">
            <v>0</v>
          </cell>
          <cell r="AH424">
            <v>0</v>
          </cell>
          <cell r="AI424">
            <v>0</v>
          </cell>
          <cell r="AJ424">
            <v>0</v>
          </cell>
          <cell r="AK424">
            <v>0</v>
          </cell>
          <cell r="AL424">
            <v>0</v>
          </cell>
          <cell r="AM424">
            <v>0</v>
          </cell>
          <cell r="AN424">
            <v>0</v>
          </cell>
          <cell r="AO424">
            <v>0</v>
          </cell>
          <cell r="AP424">
            <v>23086284.979557872</v>
          </cell>
          <cell r="AQ424">
            <v>108808275.11856011</v>
          </cell>
          <cell r="AR424">
            <v>391562447.17739868</v>
          </cell>
          <cell r="AS424">
            <v>555248350.03429914</v>
          </cell>
          <cell r="AT424">
            <v>625662599.093822</v>
          </cell>
          <cell r="AU424">
            <v>593793680.4522543</v>
          </cell>
          <cell r="AV424">
            <v>406047950.25419378</v>
          </cell>
        </row>
        <row r="425">
          <cell r="AF425">
            <v>0</v>
          </cell>
          <cell r="AG425">
            <v>0</v>
          </cell>
          <cell r="AH425">
            <v>0</v>
          </cell>
          <cell r="AI425">
            <v>0</v>
          </cell>
          <cell r="AJ425">
            <v>0</v>
          </cell>
          <cell r="AK425">
            <v>0</v>
          </cell>
          <cell r="AL425">
            <v>0</v>
          </cell>
          <cell r="AM425">
            <v>0</v>
          </cell>
          <cell r="AN425">
            <v>0</v>
          </cell>
          <cell r="AO425">
            <v>0</v>
          </cell>
          <cell r="AP425">
            <v>11543142.489778936</v>
          </cell>
          <cell r="AQ425">
            <v>65947280.049058989</v>
          </cell>
          <cell r="AR425">
            <v>250185361.14797938</v>
          </cell>
          <cell r="AS425">
            <v>473405398.60584891</v>
          </cell>
          <cell r="AT425">
            <v>590455474.56406057</v>
          </cell>
          <cell r="AU425">
            <v>609728139.77303815</v>
          </cell>
          <cell r="AV425">
            <v>499920815.35322404</v>
          </cell>
        </row>
        <row r="427">
          <cell r="AF427">
            <v>0</v>
          </cell>
          <cell r="AG427">
            <v>0</v>
          </cell>
          <cell r="AH427">
            <v>0</v>
          </cell>
          <cell r="AI427">
            <v>0</v>
          </cell>
          <cell r="AJ427">
            <v>0</v>
          </cell>
          <cell r="AK427">
            <v>0</v>
          </cell>
          <cell r="AL427">
            <v>0</v>
          </cell>
          <cell r="AM427">
            <v>0</v>
          </cell>
          <cell r="AN427">
            <v>0</v>
          </cell>
          <cell r="AO427">
            <v>0</v>
          </cell>
          <cell r="AP427">
            <v>241973.12444199092</v>
          </cell>
          <cell r="AQ427">
            <v>1382419.8580283991</v>
          </cell>
          <cell r="AR427">
            <v>5244510.6330645178</v>
          </cell>
          <cell r="AS427">
            <v>9923760.6682751067</v>
          </cell>
          <cell r="AT427">
            <v>12377422.885549119</v>
          </cell>
          <cell r="AU427">
            <v>12781426.129992312</v>
          </cell>
          <cell r="AV427">
            <v>10479590.091841958</v>
          </cell>
        </row>
        <row r="428">
          <cell r="AF428">
            <v>4.6349999999999995E-2</v>
          </cell>
          <cell r="AG428">
            <v>4.6349999999999995E-2</v>
          </cell>
          <cell r="AH428">
            <v>4.6349999999999995E-2</v>
          </cell>
          <cell r="AI428">
            <v>4.6349999999999995E-2</v>
          </cell>
          <cell r="AJ428">
            <v>4.6349999999999995E-2</v>
          </cell>
          <cell r="AK428">
            <v>4.6349999999999995E-2</v>
          </cell>
          <cell r="AL428">
            <v>4.6349999999999995E-2</v>
          </cell>
          <cell r="AM428">
            <v>4.6349999999999995E-2</v>
          </cell>
          <cell r="AN428">
            <v>4.6349999999999995E-2</v>
          </cell>
          <cell r="AO428">
            <v>4.6349999999999995E-2</v>
          </cell>
          <cell r="AP428">
            <v>4.6349999999999995E-2</v>
          </cell>
          <cell r="AQ428">
            <v>4.6349999999999995E-2</v>
          </cell>
          <cell r="AR428">
            <v>4.6349999999999995E-2</v>
          </cell>
          <cell r="AS428">
            <v>4.6349999999999995E-2</v>
          </cell>
          <cell r="AT428">
            <v>4.6349999999999995E-2</v>
          </cell>
          <cell r="AU428">
            <v>4.6349999999999995E-2</v>
          </cell>
          <cell r="AV428">
            <v>4.6349999999999995E-2</v>
          </cell>
        </row>
        <row r="429">
          <cell r="AF429">
            <v>3.7499999999999999E-2</v>
          </cell>
          <cell r="AG429">
            <v>3.7499999999999999E-2</v>
          </cell>
          <cell r="AH429">
            <v>3.7499999999999999E-2</v>
          </cell>
          <cell r="AI429">
            <v>3.7499999999999999E-2</v>
          </cell>
          <cell r="AJ429">
            <v>3.7499999999999999E-2</v>
          </cell>
          <cell r="AK429">
            <v>3.7499999999999999E-2</v>
          </cell>
          <cell r="AL429">
            <v>3.7499999999999999E-2</v>
          </cell>
          <cell r="AM429">
            <v>3.7499999999999999E-2</v>
          </cell>
          <cell r="AN429">
            <v>3.7499999999999999E-2</v>
          </cell>
          <cell r="AO429">
            <v>3.7499999999999999E-2</v>
          </cell>
          <cell r="AP429">
            <v>3.7499999999999999E-2</v>
          </cell>
          <cell r="AQ429">
            <v>3.7499999999999999E-2</v>
          </cell>
          <cell r="AR429">
            <v>3.7499999999999999E-2</v>
          </cell>
          <cell r="AS429">
            <v>3.7499999999999999E-2</v>
          </cell>
          <cell r="AT429">
            <v>3.7499999999999999E-2</v>
          </cell>
          <cell r="AU429">
            <v>3.7499999999999999E-2</v>
          </cell>
          <cell r="AV429">
            <v>3.7499999999999999E-2</v>
          </cell>
        </row>
        <row r="430">
          <cell r="AF430">
            <v>8.3849999999999994E-2</v>
          </cell>
          <cell r="AG430">
            <v>8.3849999999999994E-2</v>
          </cell>
          <cell r="AH430">
            <v>8.3849999999999994E-2</v>
          </cell>
          <cell r="AI430">
            <v>8.3849999999999994E-2</v>
          </cell>
          <cell r="AJ430">
            <v>8.3849999999999994E-2</v>
          </cell>
          <cell r="AK430">
            <v>8.3849999999999994E-2</v>
          </cell>
          <cell r="AL430">
            <v>8.3849999999999994E-2</v>
          </cell>
          <cell r="AM430">
            <v>8.3849999999999994E-2</v>
          </cell>
          <cell r="AN430">
            <v>8.3849999999999994E-2</v>
          </cell>
          <cell r="AO430">
            <v>8.3849999999999994E-2</v>
          </cell>
          <cell r="AP430">
            <v>8.3849999999999994E-2</v>
          </cell>
          <cell r="AQ430">
            <v>8.3849999999999994E-2</v>
          </cell>
          <cell r="AR430">
            <v>8.3849999999999994E-2</v>
          </cell>
          <cell r="AS430">
            <v>8.3849999999999994E-2</v>
          </cell>
          <cell r="AT430">
            <v>8.3849999999999994E-2</v>
          </cell>
          <cell r="AU430">
            <v>8.3849999999999994E-2</v>
          </cell>
          <cell r="AV430">
            <v>8.3849999999999994E-2</v>
          </cell>
        </row>
        <row r="432">
          <cell r="AF432">
            <v>0</v>
          </cell>
          <cell r="AG432">
            <v>0</v>
          </cell>
          <cell r="AH432">
            <v>0</v>
          </cell>
          <cell r="AI432">
            <v>280000000</v>
          </cell>
          <cell r="AJ432">
            <v>280000000</v>
          </cell>
          <cell r="AK432">
            <v>280000000</v>
          </cell>
          <cell r="AL432">
            <v>280000000</v>
          </cell>
          <cell r="AM432">
            <v>280000000</v>
          </cell>
          <cell r="AN432">
            <v>280000000</v>
          </cell>
          <cell r="AO432">
            <v>280000000</v>
          </cell>
          <cell r="AP432">
            <v>256913715.02044213</v>
          </cell>
          <cell r="AQ432">
            <v>171191724.88143989</v>
          </cell>
          <cell r="AR432">
            <v>-111562447.17739868</v>
          </cell>
          <cell r="AS432">
            <v>-275248350.03429914</v>
          </cell>
          <cell r="AT432">
            <v>-390462599.093822</v>
          </cell>
          <cell r="AU432">
            <v>-425793680.4522543</v>
          </cell>
          <cell r="AV432">
            <v>-238047950.25419378</v>
          </cell>
        </row>
        <row r="433">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row>
        <row r="436">
          <cell r="AF436">
            <v>3.7499999999999999E-2</v>
          </cell>
          <cell r="AG436">
            <v>3.7499999999999999E-2</v>
          </cell>
          <cell r="AH436">
            <v>3.7499999999999999E-2</v>
          </cell>
          <cell r="AI436">
            <v>3.7499999999999999E-2</v>
          </cell>
          <cell r="AJ436">
            <v>3.7499999999999999E-2</v>
          </cell>
          <cell r="AK436">
            <v>3.7499999999999999E-2</v>
          </cell>
          <cell r="AL436">
            <v>3.7499999999999999E-2</v>
          </cell>
          <cell r="AM436">
            <v>3.7499999999999999E-2</v>
          </cell>
          <cell r="AN436">
            <v>0.03</v>
          </cell>
          <cell r="AO436">
            <v>3.7499999999999999E-2</v>
          </cell>
          <cell r="AP436">
            <v>3.7499999999999999E-2</v>
          </cell>
          <cell r="AQ436">
            <v>3.7499999999999999E-2</v>
          </cell>
          <cell r="AR436">
            <v>0.03</v>
          </cell>
          <cell r="AS436">
            <v>0.03</v>
          </cell>
          <cell r="AT436">
            <v>0.03</v>
          </cell>
          <cell r="AU436">
            <v>0.03</v>
          </cell>
          <cell r="AV436">
            <v>0.03</v>
          </cell>
        </row>
        <row r="437">
          <cell r="AF437">
            <v>0</v>
          </cell>
          <cell r="AG437">
            <v>0</v>
          </cell>
          <cell r="AH437">
            <v>0</v>
          </cell>
          <cell r="AI437">
            <v>130000</v>
          </cell>
          <cell r="AJ437">
            <v>0</v>
          </cell>
          <cell r="AK437">
            <v>0</v>
          </cell>
          <cell r="AL437">
            <v>0</v>
          </cell>
          <cell r="AM437">
            <v>130000</v>
          </cell>
          <cell r="AN437">
            <v>0</v>
          </cell>
          <cell r="AO437">
            <v>0</v>
          </cell>
          <cell r="AP437">
            <v>0</v>
          </cell>
          <cell r="AQ437">
            <v>130000</v>
          </cell>
          <cell r="AR437">
            <v>130000</v>
          </cell>
          <cell r="AS437">
            <v>130000</v>
          </cell>
          <cell r="AT437">
            <v>130000</v>
          </cell>
          <cell r="AU437">
            <v>130000</v>
          </cell>
          <cell r="AV437">
            <v>0</v>
          </cell>
        </row>
        <row r="439">
          <cell r="AF439">
            <v>106342871.28629622</v>
          </cell>
          <cell r="AG439">
            <v>84889566.309399083</v>
          </cell>
          <cell r="AH439">
            <v>44605241.54835248</v>
          </cell>
          <cell r="AI439">
            <v>34655645.986106284</v>
          </cell>
          <cell r="AJ439">
            <v>180496849.91176057</v>
          </cell>
          <cell r="AK439">
            <v>320810441.75328428</v>
          </cell>
          <cell r="AL439">
            <v>217470375.20877051</v>
          </cell>
          <cell r="AM439">
            <v>78605778.799690336</v>
          </cell>
          <cell r="AN439">
            <v>-39316441.199037507</v>
          </cell>
          <cell r="AO439">
            <v>-134133626.10509141</v>
          </cell>
          <cell r="AP439">
            <v>-104636217.67542896</v>
          </cell>
          <cell r="AQ439">
            <v>-85721990.139002234</v>
          </cell>
          <cell r="AR439">
            <v>-282754172.05883855</v>
          </cell>
          <cell r="AS439">
            <v>-107685902.85690045</v>
          </cell>
          <cell r="AT439">
            <v>-414249.05952291191</v>
          </cell>
          <cell r="AU439">
            <v>133737837.28313535</v>
          </cell>
          <cell r="AV439">
            <v>239876811.55649284</v>
          </cell>
        </row>
        <row r="440">
          <cell r="AF440">
            <v>0</v>
          </cell>
          <cell r="AG440">
            <v>0</v>
          </cell>
          <cell r="AH440">
            <v>0</v>
          </cell>
          <cell r="AI440">
            <v>0</v>
          </cell>
          <cell r="AJ440">
            <v>25000000</v>
          </cell>
          <cell r="AK440">
            <v>0</v>
          </cell>
          <cell r="AL440">
            <v>0</v>
          </cell>
          <cell r="AM440">
            <v>0</v>
          </cell>
          <cell r="AN440">
            <v>39316441.199037507</v>
          </cell>
          <cell r="AO440">
            <v>45683558.800962493</v>
          </cell>
          <cell r="AP440">
            <v>0</v>
          </cell>
          <cell r="AQ440">
            <v>0</v>
          </cell>
        </row>
        <row r="441">
          <cell r="AF441">
            <v>0</v>
          </cell>
          <cell r="AG441">
            <v>0</v>
          </cell>
          <cell r="AH441">
            <v>0</v>
          </cell>
          <cell r="AI441">
            <v>0</v>
          </cell>
          <cell r="AJ441">
            <v>0</v>
          </cell>
          <cell r="AK441">
            <v>0</v>
          </cell>
          <cell r="AL441">
            <v>0</v>
          </cell>
          <cell r="AM441">
            <v>0</v>
          </cell>
          <cell r="AN441">
            <v>0</v>
          </cell>
          <cell r="AO441">
            <v>88450067.304128915</v>
          </cell>
          <cell r="AP441">
            <v>81549932.695871085</v>
          </cell>
          <cell r="AQ441">
            <v>0</v>
          </cell>
          <cell r="AR441">
            <v>0</v>
          </cell>
          <cell r="AS441">
            <v>0</v>
          </cell>
        </row>
        <row r="442">
          <cell r="AF442">
            <v>106342871.28629622</v>
          </cell>
          <cell r="AG442">
            <v>84889566.309399083</v>
          </cell>
          <cell r="AH442">
            <v>44605241.54835248</v>
          </cell>
          <cell r="AI442">
            <v>34655645.986106284</v>
          </cell>
          <cell r="AJ442">
            <v>205496849.91176057</v>
          </cell>
          <cell r="AK442">
            <v>320810441.75328428</v>
          </cell>
          <cell r="AL442">
            <v>217470375.20877051</v>
          </cell>
          <cell r="AM442">
            <v>78605778.799690336</v>
          </cell>
          <cell r="AN442">
            <v>0</v>
          </cell>
          <cell r="AO442">
            <v>0</v>
          </cell>
          <cell r="AP442">
            <v>-23086284.979557872</v>
          </cell>
          <cell r="AQ442">
            <v>-85721990.139002234</v>
          </cell>
          <cell r="AR442">
            <v>-282754172.05883855</v>
          </cell>
          <cell r="AS442">
            <v>-107685902.85690045</v>
          </cell>
          <cell r="AT442">
            <v>-414249.05952291191</v>
          </cell>
          <cell r="AU442">
            <v>133737837.28313535</v>
          </cell>
          <cell r="AV442">
            <v>239876811.55649284</v>
          </cell>
        </row>
        <row r="443">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-22000000</v>
          </cell>
          <cell r="AT443">
            <v>-27500000</v>
          </cell>
          <cell r="AU443">
            <v>-27500000</v>
          </cell>
          <cell r="AV443">
            <v>-20480067.676526986</v>
          </cell>
        </row>
        <row r="444">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-34000000</v>
          </cell>
          <cell r="AT444">
            <v>-42500000</v>
          </cell>
          <cell r="AU444">
            <v>-42500000</v>
          </cell>
          <cell r="AV444">
            <v>-31651013.681905337</v>
          </cell>
        </row>
        <row r="445">
          <cell r="AF445">
            <v>106342871.28629622</v>
          </cell>
          <cell r="AG445">
            <v>84889566.309399083</v>
          </cell>
          <cell r="AH445">
            <v>44605241.54835248</v>
          </cell>
          <cell r="AI445">
            <v>34655645.986106284</v>
          </cell>
          <cell r="AJ445">
            <v>205496849.91176057</v>
          </cell>
          <cell r="AK445">
            <v>320810441.75328428</v>
          </cell>
          <cell r="AL445">
            <v>217470375.20877051</v>
          </cell>
          <cell r="AM445">
            <v>78605778.799690336</v>
          </cell>
          <cell r="AN445">
            <v>0</v>
          </cell>
          <cell r="AO445">
            <v>0</v>
          </cell>
          <cell r="AP445">
            <v>-23086284.979557872</v>
          </cell>
          <cell r="AQ445">
            <v>-85721990.139002234</v>
          </cell>
          <cell r="AR445">
            <v>-282754172.05883855</v>
          </cell>
          <cell r="AS445">
            <v>-163685902.85690045</v>
          </cell>
          <cell r="AT445">
            <v>-70414249.059522912</v>
          </cell>
          <cell r="AU445">
            <v>63737837.283135355</v>
          </cell>
          <cell r="AV445">
            <v>187745730.19806051</v>
          </cell>
        </row>
        <row r="446">
          <cell r="AN446">
            <v>0</v>
          </cell>
          <cell r="AO446">
            <v>0</v>
          </cell>
          <cell r="AP446">
            <v>0</v>
          </cell>
          <cell r="AQ446">
            <v>0</v>
          </cell>
          <cell r="AR446">
            <v>0</v>
          </cell>
          <cell r="AS446">
            <v>0</v>
          </cell>
          <cell r="AT446">
            <v>0</v>
          </cell>
          <cell r="AU446">
            <v>31868918.641567677</v>
          </cell>
          <cell r="AV446">
            <v>93872865.099030256</v>
          </cell>
        </row>
        <row r="447">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-12519932.323473016</v>
          </cell>
          <cell r="AV447">
            <v>0</v>
          </cell>
        </row>
        <row r="448">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-19348986.318094663</v>
          </cell>
          <cell r="AV448">
            <v>0</v>
          </cell>
        </row>
        <row r="449">
          <cell r="AF449">
            <v>106342871.28629622</v>
          </cell>
          <cell r="AG449">
            <v>84889566.309399083</v>
          </cell>
          <cell r="AH449">
            <v>44605241.54835248</v>
          </cell>
          <cell r="AI449">
            <v>34655645.986106284</v>
          </cell>
          <cell r="AJ449">
            <v>205496849.91176057</v>
          </cell>
          <cell r="AK449">
            <v>320810441.75328428</v>
          </cell>
          <cell r="AL449">
            <v>217470375.20877051</v>
          </cell>
          <cell r="AM449">
            <v>78605778.799690336</v>
          </cell>
          <cell r="AN449">
            <v>0</v>
          </cell>
          <cell r="AO449">
            <v>0</v>
          </cell>
          <cell r="AP449">
            <v>-23086284.979557872</v>
          </cell>
          <cell r="AQ449">
            <v>-85721990.139002234</v>
          </cell>
          <cell r="AR449">
            <v>-282754172.05883855</v>
          </cell>
          <cell r="AS449">
            <v>-163685902.85690045</v>
          </cell>
          <cell r="AT449">
            <v>-70414249.059522912</v>
          </cell>
          <cell r="AU449">
            <v>31868918.641567677</v>
          </cell>
          <cell r="AV449">
            <v>187745730.19806051</v>
          </cell>
        </row>
        <row r="453">
          <cell r="AI453">
            <v>110000000</v>
          </cell>
          <cell r="AJ453">
            <v>110000000</v>
          </cell>
          <cell r="AK453">
            <v>110000000</v>
          </cell>
          <cell r="AL453">
            <v>110000000</v>
          </cell>
          <cell r="AM453">
            <v>110000000</v>
          </cell>
          <cell r="AN453">
            <v>110000000</v>
          </cell>
          <cell r="AO453">
            <v>110000000</v>
          </cell>
          <cell r="AP453">
            <v>110000000</v>
          </cell>
          <cell r="AQ453">
            <v>110000000</v>
          </cell>
          <cell r="AR453">
            <v>110000000</v>
          </cell>
          <cell r="AS453">
            <v>110000000</v>
          </cell>
          <cell r="AT453">
            <v>110000000</v>
          </cell>
          <cell r="AU453">
            <v>110000000</v>
          </cell>
          <cell r="AV453">
            <v>110000000</v>
          </cell>
        </row>
        <row r="454">
          <cell r="AI454">
            <v>110000000</v>
          </cell>
          <cell r="AJ454">
            <v>110000000</v>
          </cell>
          <cell r="AK454">
            <v>85000000</v>
          </cell>
          <cell r="AL454">
            <v>85000000</v>
          </cell>
          <cell r="AM454">
            <v>85000000</v>
          </cell>
          <cell r="AN454">
            <v>85000000</v>
          </cell>
          <cell r="AO454">
            <v>45683558.800962493</v>
          </cell>
          <cell r="AP454">
            <v>0</v>
          </cell>
          <cell r="AQ454">
            <v>0</v>
          </cell>
          <cell r="AR454">
            <v>0</v>
          </cell>
          <cell r="AS454">
            <v>0</v>
          </cell>
          <cell r="AT454">
            <v>0</v>
          </cell>
          <cell r="AU454">
            <v>0</v>
          </cell>
          <cell r="AV454">
            <v>0</v>
          </cell>
        </row>
        <row r="456">
          <cell r="AI456">
            <v>0</v>
          </cell>
          <cell r="AJ456">
            <v>0</v>
          </cell>
          <cell r="AK456">
            <v>25000000</v>
          </cell>
          <cell r="AL456">
            <v>25000000</v>
          </cell>
          <cell r="AM456">
            <v>25000000</v>
          </cell>
          <cell r="AN456">
            <v>25000000</v>
          </cell>
          <cell r="AO456">
            <v>64316441.199037507</v>
          </cell>
          <cell r="AP456">
            <v>110000000</v>
          </cell>
          <cell r="AQ456">
            <v>110000000</v>
          </cell>
          <cell r="AR456">
            <v>110000000</v>
          </cell>
          <cell r="AS456">
            <v>110000000</v>
          </cell>
          <cell r="AT456">
            <v>88000000</v>
          </cell>
          <cell r="AU456">
            <v>60500000</v>
          </cell>
          <cell r="AV456">
            <v>20480067.676526986</v>
          </cell>
        </row>
        <row r="457">
          <cell r="AI457">
            <v>0</v>
          </cell>
          <cell r="AJ457">
            <v>25000000</v>
          </cell>
          <cell r="AK457">
            <v>0</v>
          </cell>
          <cell r="AL457">
            <v>0</v>
          </cell>
          <cell r="AM457">
            <v>0</v>
          </cell>
          <cell r="AN457">
            <v>39316441.199037507</v>
          </cell>
          <cell r="AO457">
            <v>45683558.800962493</v>
          </cell>
          <cell r="AP457">
            <v>0</v>
          </cell>
          <cell r="AQ457">
            <v>0</v>
          </cell>
          <cell r="AR457">
            <v>0</v>
          </cell>
          <cell r="AS457">
            <v>0</v>
          </cell>
          <cell r="AT457">
            <v>0</v>
          </cell>
          <cell r="AU457">
            <v>0</v>
          </cell>
          <cell r="AV457">
            <v>0</v>
          </cell>
        </row>
        <row r="458">
          <cell r="AI458">
            <v>0</v>
          </cell>
          <cell r="AJ458">
            <v>0</v>
          </cell>
          <cell r="AK458">
            <v>0</v>
          </cell>
          <cell r="AL458">
            <v>0</v>
          </cell>
          <cell r="AM458">
            <v>0</v>
          </cell>
          <cell r="AN458">
            <v>0</v>
          </cell>
          <cell r="AO458">
            <v>0</v>
          </cell>
          <cell r="AP458">
            <v>0</v>
          </cell>
          <cell r="AQ458">
            <v>0</v>
          </cell>
          <cell r="AR458">
            <v>0</v>
          </cell>
          <cell r="AS458">
            <v>-22000000</v>
          </cell>
          <cell r="AT458">
            <v>-27500000</v>
          </cell>
          <cell r="AU458">
            <v>-27500000</v>
          </cell>
          <cell r="AV458">
            <v>-20480067.676526986</v>
          </cell>
        </row>
        <row r="459">
          <cell r="AJ459">
            <v>0</v>
          </cell>
          <cell r="AK459">
            <v>0</v>
          </cell>
          <cell r="AL459">
            <v>0</v>
          </cell>
          <cell r="AM459">
            <v>0</v>
          </cell>
          <cell r="AN459">
            <v>0</v>
          </cell>
          <cell r="AO459">
            <v>0</v>
          </cell>
          <cell r="AP459">
            <v>0</v>
          </cell>
          <cell r="AQ459">
            <v>0</v>
          </cell>
          <cell r="AR459">
            <v>0</v>
          </cell>
          <cell r="AS459">
            <v>0.2</v>
          </cell>
          <cell r="AT459">
            <v>0.25</v>
          </cell>
          <cell r="AU459">
            <v>0.25</v>
          </cell>
          <cell r="AV459">
            <v>0.3</v>
          </cell>
        </row>
        <row r="460">
          <cell r="AI460">
            <v>0</v>
          </cell>
          <cell r="AJ460">
            <v>0</v>
          </cell>
          <cell r="AK460">
            <v>0</v>
          </cell>
          <cell r="AL460">
            <v>0</v>
          </cell>
          <cell r="AM460">
            <v>0</v>
          </cell>
          <cell r="AN460">
            <v>0</v>
          </cell>
          <cell r="AO460">
            <v>0</v>
          </cell>
          <cell r="AP460">
            <v>0</v>
          </cell>
          <cell r="AQ460">
            <v>0</v>
          </cell>
          <cell r="AR460">
            <v>0</v>
          </cell>
          <cell r="AS460">
            <v>0</v>
          </cell>
          <cell r="AT460">
            <v>0</v>
          </cell>
          <cell r="AU460">
            <v>-12519932.323473016</v>
          </cell>
          <cell r="AV460">
            <v>0</v>
          </cell>
        </row>
        <row r="461">
          <cell r="AI461">
            <v>0</v>
          </cell>
          <cell r="AJ461">
            <v>25000000</v>
          </cell>
          <cell r="AK461">
            <v>25000000</v>
          </cell>
          <cell r="AL461">
            <v>25000000</v>
          </cell>
          <cell r="AM461">
            <v>25000000</v>
          </cell>
          <cell r="AN461">
            <v>64316441.199037507</v>
          </cell>
          <cell r="AO461">
            <v>110000000</v>
          </cell>
          <cell r="AP461">
            <v>110000000</v>
          </cell>
          <cell r="AQ461">
            <v>110000000</v>
          </cell>
          <cell r="AR461">
            <v>110000000</v>
          </cell>
          <cell r="AS461">
            <v>88000000</v>
          </cell>
          <cell r="AT461">
            <v>60500000</v>
          </cell>
          <cell r="AU461">
            <v>20480067.676526986</v>
          </cell>
          <cell r="AV461">
            <v>0</v>
          </cell>
        </row>
        <row r="462">
          <cell r="AI462">
            <v>0</v>
          </cell>
          <cell r="AJ462">
            <v>12500000</v>
          </cell>
          <cell r="AK462">
            <v>25000000</v>
          </cell>
          <cell r="AL462">
            <v>25000000</v>
          </cell>
          <cell r="AM462">
            <v>25000000</v>
          </cell>
          <cell r="AN462">
            <v>44658220.599518754</v>
          </cell>
          <cell r="AO462">
            <v>87158220.599518746</v>
          </cell>
          <cell r="AP462">
            <v>110000000</v>
          </cell>
          <cell r="AQ462">
            <v>110000000</v>
          </cell>
          <cell r="AR462">
            <v>110000000</v>
          </cell>
          <cell r="AS462">
            <v>99000000</v>
          </cell>
          <cell r="AT462">
            <v>74250000</v>
          </cell>
          <cell r="AU462">
            <v>40490033.838263497</v>
          </cell>
          <cell r="AV462">
            <v>10240033.838263493</v>
          </cell>
        </row>
        <row r="464">
          <cell r="AF464">
            <v>3.7499999999999999E-2</v>
          </cell>
          <cell r="AG464">
            <v>3.7499999999999999E-2</v>
          </cell>
          <cell r="AH464">
            <v>3.7499999999999999E-2</v>
          </cell>
          <cell r="AI464">
            <v>3.7499999999999999E-2</v>
          </cell>
          <cell r="AJ464">
            <v>3.7499999999999999E-2</v>
          </cell>
          <cell r="AK464">
            <v>3.7499999999999999E-2</v>
          </cell>
          <cell r="AL464">
            <v>3.7499999999999999E-2</v>
          </cell>
          <cell r="AM464">
            <v>3.7499999999999999E-2</v>
          </cell>
          <cell r="AN464">
            <v>3.7499999999999999E-2</v>
          </cell>
          <cell r="AO464">
            <v>3.7499999999999999E-2</v>
          </cell>
          <cell r="AP464">
            <v>3.7499999999999999E-2</v>
          </cell>
          <cell r="AQ464">
            <v>3.7499999999999999E-2</v>
          </cell>
          <cell r="AR464">
            <v>3.7499999999999999E-2</v>
          </cell>
          <cell r="AS464">
            <v>3.7499999999999999E-2</v>
          </cell>
          <cell r="AT464">
            <v>3.7499999999999999E-2</v>
          </cell>
          <cell r="AU464">
            <v>3.7499999999999999E-2</v>
          </cell>
          <cell r="AV464">
            <v>3.7499999999999999E-2</v>
          </cell>
        </row>
        <row r="465">
          <cell r="AF465">
            <v>8.3849999999999994E-2</v>
          </cell>
          <cell r="AG465">
            <v>8.3849999999999994E-2</v>
          </cell>
          <cell r="AH465">
            <v>8.3849999999999994E-2</v>
          </cell>
          <cell r="AI465">
            <v>8.3849999999999994E-2</v>
          </cell>
          <cell r="AJ465">
            <v>8.3849999999999994E-2</v>
          </cell>
          <cell r="AK465">
            <v>8.3849999999999994E-2</v>
          </cell>
          <cell r="AL465">
            <v>8.3849999999999994E-2</v>
          </cell>
          <cell r="AM465">
            <v>8.3849999999999994E-2</v>
          </cell>
          <cell r="AN465">
            <v>8.3849999999999994E-2</v>
          </cell>
          <cell r="AO465">
            <v>8.3849999999999994E-2</v>
          </cell>
          <cell r="AP465">
            <v>8.3849999999999994E-2</v>
          </cell>
          <cell r="AQ465">
            <v>8.3849999999999994E-2</v>
          </cell>
          <cell r="AR465">
            <v>8.3849999999999994E-2</v>
          </cell>
          <cell r="AS465">
            <v>8.3849999999999994E-2</v>
          </cell>
          <cell r="AT465">
            <v>8.3849999999999994E-2</v>
          </cell>
          <cell r="AU465">
            <v>8.3849999999999994E-2</v>
          </cell>
          <cell r="AV465">
            <v>8.3849999999999994E-2</v>
          </cell>
        </row>
        <row r="466">
          <cell r="AF466">
            <v>8.7500000000000008E-3</v>
          </cell>
          <cell r="AG466">
            <v>8.7500000000000008E-3</v>
          </cell>
          <cell r="AH466">
            <v>8.7500000000000008E-3</v>
          </cell>
          <cell r="AI466">
            <v>8.7500000000000008E-3</v>
          </cell>
          <cell r="AJ466">
            <v>8.7500000000000008E-3</v>
          </cell>
          <cell r="AK466">
            <v>8.7500000000000008E-3</v>
          </cell>
          <cell r="AL466">
            <v>8.7500000000000008E-3</v>
          </cell>
          <cell r="AM466">
            <v>8.7500000000000008E-3</v>
          </cell>
          <cell r="AN466">
            <v>8.7500000000000008E-3</v>
          </cell>
          <cell r="AO466">
            <v>8.7500000000000008E-3</v>
          </cell>
          <cell r="AP466">
            <v>8.7500000000000008E-3</v>
          </cell>
          <cell r="AQ466">
            <v>8.7500000000000008E-3</v>
          </cell>
          <cell r="AR466">
            <v>8.7500000000000008E-3</v>
          </cell>
          <cell r="AS466">
            <v>8.7500000000000008E-3</v>
          </cell>
          <cell r="AT466">
            <v>8.7500000000000008E-3</v>
          </cell>
          <cell r="AU466">
            <v>8.7500000000000008E-3</v>
          </cell>
          <cell r="AV466">
            <v>8.7500000000000008E-3</v>
          </cell>
        </row>
        <row r="469">
          <cell r="AI469">
            <v>0</v>
          </cell>
          <cell r="AJ469">
            <v>262031.24999999997</v>
          </cell>
          <cell r="AK469">
            <v>524062.49999999994</v>
          </cell>
          <cell r="AL469">
            <v>524062.49999999994</v>
          </cell>
          <cell r="AM469">
            <v>524062.49999999994</v>
          </cell>
          <cell r="AN469">
            <v>936147.94931741175</v>
          </cell>
          <cell r="AO469">
            <v>1827054.1993174115</v>
          </cell>
          <cell r="AP469">
            <v>2305875</v>
          </cell>
          <cell r="AQ469">
            <v>2305875</v>
          </cell>
          <cell r="AR469">
            <v>9223500</v>
          </cell>
          <cell r="AS469">
            <v>8301149.9999999991</v>
          </cell>
          <cell r="AT469">
            <v>6225862.5</v>
          </cell>
          <cell r="AU469">
            <v>3395089.337338394</v>
          </cell>
          <cell r="AV469">
            <v>858626.83733839379</v>
          </cell>
        </row>
        <row r="470">
          <cell r="AJ470">
            <v>240625.00000000003</v>
          </cell>
          <cell r="AK470">
            <v>185937.50000000003</v>
          </cell>
          <cell r="AL470">
            <v>185937.50000000003</v>
          </cell>
          <cell r="AM470">
            <v>185937.50000000003</v>
          </cell>
          <cell r="AN470">
            <v>185937.50000000003</v>
          </cell>
          <cell r="AO470">
            <v>99932.784877105456</v>
          </cell>
          <cell r="AP470">
            <v>0</v>
          </cell>
          <cell r="AQ470">
            <v>0</v>
          </cell>
          <cell r="AR470">
            <v>0</v>
          </cell>
          <cell r="AS470">
            <v>0</v>
          </cell>
          <cell r="AT470">
            <v>0</v>
          </cell>
          <cell r="AU470">
            <v>0</v>
          </cell>
          <cell r="AV470">
            <v>0</v>
          </cell>
        </row>
        <row r="472">
          <cell r="AF472">
            <v>1999</v>
          </cell>
          <cell r="AJ472">
            <v>2000</v>
          </cell>
          <cell r="AN472">
            <v>2001</v>
          </cell>
          <cell r="AR472">
            <v>2002</v>
          </cell>
          <cell r="AS472">
            <v>2003</v>
          </cell>
          <cell r="AT472">
            <v>2004</v>
          </cell>
          <cell r="AU472">
            <v>2005</v>
          </cell>
          <cell r="AV472">
            <v>2006</v>
          </cell>
        </row>
        <row r="473">
          <cell r="AF473">
            <v>1999</v>
          </cell>
          <cell r="AJ473">
            <v>2000</v>
          </cell>
          <cell r="AN473">
            <v>2001</v>
          </cell>
          <cell r="AR473">
            <v>2002</v>
          </cell>
          <cell r="AS473">
            <v>2003</v>
          </cell>
          <cell r="AT473">
            <v>2004</v>
          </cell>
          <cell r="AU473">
            <v>2005</v>
          </cell>
          <cell r="AV473">
            <v>2006</v>
          </cell>
        </row>
        <row r="474">
          <cell r="AF474">
            <v>36250</v>
          </cell>
          <cell r="AG474">
            <v>36341</v>
          </cell>
          <cell r="AH474">
            <v>36433</v>
          </cell>
          <cell r="AI474">
            <v>36525</v>
          </cell>
          <cell r="AJ474">
            <v>36616</v>
          </cell>
          <cell r="AK474">
            <v>36707</v>
          </cell>
          <cell r="AL474">
            <v>36799</v>
          </cell>
          <cell r="AM474">
            <v>36891</v>
          </cell>
          <cell r="AN474">
            <v>36981</v>
          </cell>
          <cell r="AO474">
            <v>37072</v>
          </cell>
          <cell r="AP474">
            <v>37164</v>
          </cell>
          <cell r="AQ474">
            <v>37256</v>
          </cell>
        </row>
        <row r="477">
          <cell r="AJ477">
            <v>170000000</v>
          </cell>
          <cell r="AK477">
            <v>170000000</v>
          </cell>
          <cell r="AL477">
            <v>170000000</v>
          </cell>
          <cell r="AM477">
            <v>170000000</v>
          </cell>
          <cell r="AN477">
            <v>170000000</v>
          </cell>
          <cell r="AO477">
            <v>170000000</v>
          </cell>
          <cell r="AP477">
            <v>170000000</v>
          </cell>
          <cell r="AQ477">
            <v>170000000</v>
          </cell>
          <cell r="AR477">
            <v>170000000</v>
          </cell>
          <cell r="AS477">
            <v>170000000</v>
          </cell>
          <cell r="AT477">
            <v>170000000</v>
          </cell>
          <cell r="AU477">
            <v>170000000</v>
          </cell>
          <cell r="AV477">
            <v>170000000</v>
          </cell>
        </row>
        <row r="478">
          <cell r="AJ478">
            <v>170000000</v>
          </cell>
          <cell r="AK478">
            <v>170000000</v>
          </cell>
          <cell r="AL478">
            <v>170000000</v>
          </cell>
          <cell r="AM478">
            <v>170000000</v>
          </cell>
          <cell r="AN478">
            <v>170000000</v>
          </cell>
          <cell r="AO478">
            <v>170000000</v>
          </cell>
          <cell r="AP478">
            <v>81549932.695871085</v>
          </cell>
          <cell r="AQ478">
            <v>0</v>
          </cell>
          <cell r="AR478">
            <v>0</v>
          </cell>
          <cell r="AS478">
            <v>0</v>
          </cell>
          <cell r="AT478">
            <v>0</v>
          </cell>
          <cell r="AU478">
            <v>0</v>
          </cell>
          <cell r="AV478">
            <v>0</v>
          </cell>
        </row>
        <row r="480">
          <cell r="AI480">
            <v>0</v>
          </cell>
          <cell r="AJ480">
            <v>0</v>
          </cell>
          <cell r="AK480">
            <v>0</v>
          </cell>
          <cell r="AL480">
            <v>0</v>
          </cell>
          <cell r="AM480">
            <v>0</v>
          </cell>
          <cell r="AN480">
            <v>0</v>
          </cell>
          <cell r="AO480">
            <v>0</v>
          </cell>
          <cell r="AP480">
            <v>88450067.304128915</v>
          </cell>
          <cell r="AQ480">
            <v>170000000</v>
          </cell>
          <cell r="AR480">
            <v>170000000</v>
          </cell>
          <cell r="AS480">
            <v>170000000</v>
          </cell>
          <cell r="AT480">
            <v>136000000</v>
          </cell>
          <cell r="AU480">
            <v>93500000</v>
          </cell>
          <cell r="AV480">
            <v>31651013.681905337</v>
          </cell>
        </row>
        <row r="481">
          <cell r="AI481">
            <v>0</v>
          </cell>
          <cell r="AJ481">
            <v>0</v>
          </cell>
          <cell r="AK481">
            <v>0</v>
          </cell>
          <cell r="AL481">
            <v>0</v>
          </cell>
          <cell r="AM481">
            <v>0</v>
          </cell>
          <cell r="AN481">
            <v>0</v>
          </cell>
          <cell r="AO481">
            <v>88450067.304128915</v>
          </cell>
          <cell r="AP481">
            <v>81549932.695871085</v>
          </cell>
          <cell r="AQ481">
            <v>0</v>
          </cell>
          <cell r="AR481">
            <v>0</v>
          </cell>
          <cell r="AS481">
            <v>0</v>
          </cell>
          <cell r="AT481">
            <v>0</v>
          </cell>
          <cell r="AU481">
            <v>0</v>
          </cell>
          <cell r="AV481">
            <v>0</v>
          </cell>
        </row>
        <row r="482">
          <cell r="AJ482">
            <v>0</v>
          </cell>
          <cell r="AK482">
            <v>0</v>
          </cell>
          <cell r="AL482">
            <v>0</v>
          </cell>
          <cell r="AM482">
            <v>0</v>
          </cell>
          <cell r="AN482">
            <v>0</v>
          </cell>
          <cell r="AO482">
            <v>0</v>
          </cell>
          <cell r="AP482">
            <v>0</v>
          </cell>
          <cell r="AQ482">
            <v>0</v>
          </cell>
          <cell r="AR482">
            <v>0</v>
          </cell>
          <cell r="AS482">
            <v>-34000000</v>
          </cell>
          <cell r="AT482">
            <v>-42500000</v>
          </cell>
          <cell r="AU482">
            <v>-42500000</v>
          </cell>
          <cell r="AV482">
            <v>-31651013.681905337</v>
          </cell>
        </row>
        <row r="483">
          <cell r="AJ483">
            <v>0</v>
          </cell>
          <cell r="AK483">
            <v>0</v>
          </cell>
          <cell r="AL483">
            <v>0</v>
          </cell>
          <cell r="AM483">
            <v>0</v>
          </cell>
          <cell r="AN483">
            <v>0</v>
          </cell>
          <cell r="AO483">
            <v>0</v>
          </cell>
          <cell r="AP483">
            <v>0</v>
          </cell>
          <cell r="AQ483">
            <v>0</v>
          </cell>
          <cell r="AR483">
            <v>0</v>
          </cell>
          <cell r="AS483">
            <v>0.2</v>
          </cell>
          <cell r="AT483">
            <v>0.25</v>
          </cell>
          <cell r="AU483">
            <v>0.25</v>
          </cell>
          <cell r="AV483">
            <v>0.3</v>
          </cell>
        </row>
        <row r="484">
          <cell r="AI484">
            <v>0</v>
          </cell>
          <cell r="AJ484">
            <v>0</v>
          </cell>
          <cell r="AK484">
            <v>0</v>
          </cell>
          <cell r="AL484">
            <v>0</v>
          </cell>
          <cell r="AM484">
            <v>0</v>
          </cell>
          <cell r="AN484">
            <v>0</v>
          </cell>
          <cell r="AO484">
            <v>0</v>
          </cell>
          <cell r="AP484">
            <v>0</v>
          </cell>
          <cell r="AQ484">
            <v>0</v>
          </cell>
          <cell r="AR484">
            <v>0</v>
          </cell>
          <cell r="AS484">
            <v>0</v>
          </cell>
          <cell r="AT484">
            <v>0</v>
          </cell>
          <cell r="AU484">
            <v>-19348986.318094663</v>
          </cell>
          <cell r="AV484">
            <v>0</v>
          </cell>
        </row>
        <row r="485">
          <cell r="AI485">
            <v>0</v>
          </cell>
          <cell r="AJ485">
            <v>0</v>
          </cell>
          <cell r="AK485">
            <v>0</v>
          </cell>
          <cell r="AL485">
            <v>0</v>
          </cell>
          <cell r="AM485">
            <v>0</v>
          </cell>
          <cell r="AN485">
            <v>0</v>
          </cell>
          <cell r="AO485">
            <v>88450067.304128915</v>
          </cell>
          <cell r="AP485">
            <v>170000000</v>
          </cell>
          <cell r="AQ485">
            <v>170000000</v>
          </cell>
          <cell r="AR485">
            <v>170000000</v>
          </cell>
          <cell r="AS485">
            <v>136000000</v>
          </cell>
          <cell r="AT485">
            <v>93500000</v>
          </cell>
          <cell r="AU485">
            <v>31651013.681905337</v>
          </cell>
          <cell r="AV485">
            <v>0</v>
          </cell>
        </row>
        <row r="486">
          <cell r="AI486">
            <v>0</v>
          </cell>
          <cell r="AJ486">
            <v>0</v>
          </cell>
          <cell r="AK486">
            <v>0</v>
          </cell>
          <cell r="AL486">
            <v>0</v>
          </cell>
          <cell r="AM486">
            <v>0</v>
          </cell>
          <cell r="AN486">
            <v>0</v>
          </cell>
          <cell r="AO486">
            <v>44225033.652064458</v>
          </cell>
          <cell r="AP486">
            <v>129225033.65206446</v>
          </cell>
          <cell r="AQ486">
            <v>170000000</v>
          </cell>
          <cell r="AR486">
            <v>170000000</v>
          </cell>
          <cell r="AS486">
            <v>153000000</v>
          </cell>
          <cell r="AT486">
            <v>114750000</v>
          </cell>
          <cell r="AU486">
            <v>62575506.840952665</v>
          </cell>
          <cell r="AV486">
            <v>15825506.840952668</v>
          </cell>
        </row>
        <row r="487">
          <cell r="AF487">
            <v>0.03</v>
          </cell>
          <cell r="AG487">
            <v>0.03</v>
          </cell>
          <cell r="AH487">
            <v>0.03</v>
          </cell>
          <cell r="AI487">
            <v>0.03</v>
          </cell>
          <cell r="AJ487">
            <v>0.03</v>
          </cell>
          <cell r="AK487">
            <v>0.03</v>
          </cell>
          <cell r="AL487">
            <v>0.03</v>
          </cell>
          <cell r="AM487">
            <v>0.03</v>
          </cell>
          <cell r="AN487">
            <v>0.03</v>
          </cell>
          <cell r="AO487">
            <v>0.03</v>
          </cell>
          <cell r="AP487">
            <v>0.03</v>
          </cell>
          <cell r="AQ487">
            <v>0.03</v>
          </cell>
          <cell r="AR487">
            <v>0.03</v>
          </cell>
          <cell r="AS487">
            <v>0.03</v>
          </cell>
          <cell r="AT487">
            <v>0.03</v>
          </cell>
          <cell r="AU487">
            <v>0.03</v>
          </cell>
          <cell r="AV487">
            <v>0.03</v>
          </cell>
        </row>
        <row r="488">
          <cell r="AF488">
            <v>7.6350000000000001E-2</v>
          </cell>
          <cell r="AG488">
            <v>7.6350000000000001E-2</v>
          </cell>
          <cell r="AH488">
            <v>7.6350000000000001E-2</v>
          </cell>
          <cell r="AI488">
            <v>7.6350000000000001E-2</v>
          </cell>
          <cell r="AJ488">
            <v>7.6350000000000001E-2</v>
          </cell>
          <cell r="AK488">
            <v>7.6350000000000001E-2</v>
          </cell>
          <cell r="AL488">
            <v>7.6350000000000001E-2</v>
          </cell>
          <cell r="AM488">
            <v>7.6350000000000001E-2</v>
          </cell>
          <cell r="AN488">
            <v>7.6350000000000001E-2</v>
          </cell>
          <cell r="AO488">
            <v>7.6350000000000001E-2</v>
          </cell>
          <cell r="AP488">
            <v>7.6350000000000001E-2</v>
          </cell>
          <cell r="AQ488">
            <v>7.6350000000000001E-2</v>
          </cell>
          <cell r="AR488">
            <v>7.6350000000000001E-2</v>
          </cell>
          <cell r="AS488">
            <v>7.6350000000000001E-2</v>
          </cell>
          <cell r="AT488">
            <v>7.6350000000000001E-2</v>
          </cell>
          <cell r="AU488">
            <v>7.6350000000000001E-2</v>
          </cell>
          <cell r="AV488">
            <v>7.6350000000000001E-2</v>
          </cell>
        </row>
        <row r="489">
          <cell r="AF489">
            <v>8.7500000000000008E-3</v>
          </cell>
          <cell r="AG489">
            <v>8.7500000000000008E-3</v>
          </cell>
          <cell r="AH489">
            <v>8.7500000000000008E-3</v>
          </cell>
          <cell r="AI489">
            <v>8.7500000000000008E-3</v>
          </cell>
          <cell r="AJ489">
            <v>8.7500000000000008E-3</v>
          </cell>
          <cell r="AK489">
            <v>8.7500000000000008E-3</v>
          </cell>
          <cell r="AL489">
            <v>8.7500000000000008E-3</v>
          </cell>
          <cell r="AM489">
            <v>8.7500000000000008E-3</v>
          </cell>
          <cell r="AN489">
            <v>8.7500000000000008E-3</v>
          </cell>
          <cell r="AO489">
            <v>8.7500000000000008E-3</v>
          </cell>
          <cell r="AP489">
            <v>8.7500000000000008E-3</v>
          </cell>
          <cell r="AQ489">
            <v>8.7500000000000008E-3</v>
          </cell>
          <cell r="AR489">
            <v>8.7500000000000008E-3</v>
          </cell>
          <cell r="AS489">
            <v>8.7500000000000008E-3</v>
          </cell>
          <cell r="AT489">
            <v>8.7500000000000008E-3</v>
          </cell>
          <cell r="AU489">
            <v>8.7500000000000008E-3</v>
          </cell>
          <cell r="AV489">
            <v>8.7500000000000008E-3</v>
          </cell>
        </row>
        <row r="492">
          <cell r="AI492">
            <v>0</v>
          </cell>
          <cell r="AJ492">
            <v>0</v>
          </cell>
          <cell r="AK492">
            <v>0</v>
          </cell>
          <cell r="AL492">
            <v>0</v>
          </cell>
          <cell r="AM492">
            <v>0</v>
          </cell>
          <cell r="AN492">
            <v>0</v>
          </cell>
          <cell r="AO492">
            <v>1688290.6596675606</v>
          </cell>
          <cell r="AP492">
            <v>3244875</v>
          </cell>
          <cell r="AQ492">
            <v>3244875</v>
          </cell>
          <cell r="AR492">
            <v>12979500</v>
          </cell>
          <cell r="AS492">
            <v>10383600</v>
          </cell>
          <cell r="AT492">
            <v>7138725</v>
          </cell>
          <cell r="AU492">
            <v>2416554.8946134723</v>
          </cell>
          <cell r="AV492">
            <v>0</v>
          </cell>
        </row>
        <row r="493">
          <cell r="AJ493">
            <v>371875.00000000006</v>
          </cell>
          <cell r="AK493">
            <v>371875.00000000006</v>
          </cell>
          <cell r="AL493">
            <v>371875.00000000006</v>
          </cell>
          <cell r="AM493">
            <v>371875.00000000006</v>
          </cell>
          <cell r="AN493">
            <v>371875.00000000006</v>
          </cell>
          <cell r="AO493">
            <v>371875.00000000006</v>
          </cell>
          <cell r="AP493">
            <v>178390.47777221803</v>
          </cell>
          <cell r="AQ493">
            <v>0</v>
          </cell>
          <cell r="AR493">
            <v>0</v>
          </cell>
          <cell r="AS493">
            <v>0</v>
          </cell>
          <cell r="AT493">
            <v>0</v>
          </cell>
          <cell r="AU493">
            <v>0</v>
          </cell>
          <cell r="AV493">
            <v>0</v>
          </cell>
        </row>
        <row r="495">
          <cell r="AF495">
            <v>106342871.28629622</v>
          </cell>
          <cell r="AG495">
            <v>84889566.309399083</v>
          </cell>
          <cell r="AH495">
            <v>44605241.54835248</v>
          </cell>
          <cell r="AI495">
            <v>34655645.986106284</v>
          </cell>
          <cell r="AJ495">
            <v>205496849.91176057</v>
          </cell>
          <cell r="AK495">
            <v>320810441.75328428</v>
          </cell>
          <cell r="AL495">
            <v>217470375.20877051</v>
          </cell>
          <cell r="AM495">
            <v>78605778.799690336</v>
          </cell>
          <cell r="AN495">
            <v>0</v>
          </cell>
          <cell r="AO495">
            <v>0</v>
          </cell>
          <cell r="AP495">
            <v>-23086284.979557872</v>
          </cell>
          <cell r="AQ495">
            <v>-85721990.139002234</v>
          </cell>
          <cell r="AR495">
            <v>-282754172.05883855</v>
          </cell>
          <cell r="AS495">
            <v>-163685902.85690045</v>
          </cell>
          <cell r="AT495">
            <v>-70414249.059522912</v>
          </cell>
          <cell r="AU495">
            <v>31868918.641567677</v>
          </cell>
          <cell r="AV495">
            <v>187745730.19806051</v>
          </cell>
        </row>
        <row r="498">
          <cell r="AF498">
            <v>1999</v>
          </cell>
          <cell r="AJ498">
            <v>2000</v>
          </cell>
          <cell r="AN498">
            <v>2001</v>
          </cell>
          <cell r="AR498">
            <v>2002</v>
          </cell>
          <cell r="AS498">
            <v>2003</v>
          </cell>
          <cell r="AT498">
            <v>2004</v>
          </cell>
          <cell r="AU498">
            <v>2005</v>
          </cell>
          <cell r="AV498">
            <v>2006</v>
          </cell>
        </row>
        <row r="499">
          <cell r="AF499">
            <v>36250</v>
          </cell>
          <cell r="AG499">
            <v>36341</v>
          </cell>
          <cell r="AH499">
            <v>36433</v>
          </cell>
          <cell r="AI499">
            <v>36525</v>
          </cell>
          <cell r="AJ499">
            <v>36616</v>
          </cell>
          <cell r="AK499">
            <v>36707</v>
          </cell>
          <cell r="AL499">
            <v>36799</v>
          </cell>
          <cell r="AM499">
            <v>36891</v>
          </cell>
          <cell r="AN499">
            <v>36981</v>
          </cell>
          <cell r="AO499">
            <v>37072</v>
          </cell>
          <cell r="AP499">
            <v>37164</v>
          </cell>
          <cell r="AQ499">
            <v>37256</v>
          </cell>
        </row>
        <row r="501">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row>
        <row r="503">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row>
        <row r="504">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row>
        <row r="505">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row>
        <row r="506">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row>
        <row r="507">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row>
        <row r="508">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row>
        <row r="510">
          <cell r="AF510">
            <v>1.1587499999999999E-2</v>
          </cell>
          <cell r="AG510">
            <v>1.1587499999999999E-2</v>
          </cell>
          <cell r="AH510">
            <v>1.1587499999999999E-2</v>
          </cell>
          <cell r="AI510">
            <v>1.1587499999999999E-2</v>
          </cell>
          <cell r="AJ510">
            <v>1.1587499999999999E-2</v>
          </cell>
          <cell r="AK510">
            <v>1.1587499999999999E-2</v>
          </cell>
          <cell r="AL510">
            <v>1.1587499999999999E-2</v>
          </cell>
          <cell r="AM510">
            <v>1.1587499999999999E-2</v>
          </cell>
          <cell r="AN510">
            <v>1.1587499999999999E-2</v>
          </cell>
          <cell r="AO510">
            <v>1.1587499999999999E-2</v>
          </cell>
          <cell r="AP510">
            <v>1.1587499999999999E-2</v>
          </cell>
          <cell r="AQ510">
            <v>1.1587499999999999E-2</v>
          </cell>
          <cell r="AR510">
            <v>4.6349999999999995E-2</v>
          </cell>
          <cell r="AS510">
            <v>4.6349999999999995E-2</v>
          </cell>
          <cell r="AT510">
            <v>4.6349999999999995E-2</v>
          </cell>
          <cell r="AU510">
            <v>4.6349999999999995E-2</v>
          </cell>
          <cell r="AV510">
            <v>4.6349999999999995E-2</v>
          </cell>
        </row>
        <row r="511">
          <cell r="AF511">
            <v>1.125E-2</v>
          </cell>
          <cell r="AG511">
            <v>1.125E-2</v>
          </cell>
          <cell r="AH511">
            <v>1.125E-2</v>
          </cell>
          <cell r="AI511">
            <v>1.125E-2</v>
          </cell>
          <cell r="AJ511">
            <v>1.125E-2</v>
          </cell>
          <cell r="AK511">
            <v>1.125E-2</v>
          </cell>
          <cell r="AL511">
            <v>1.125E-2</v>
          </cell>
          <cell r="AM511">
            <v>1.125E-2</v>
          </cell>
          <cell r="AN511">
            <v>1.125E-2</v>
          </cell>
          <cell r="AO511">
            <v>1.125E-2</v>
          </cell>
          <cell r="AP511">
            <v>1.125E-2</v>
          </cell>
          <cell r="AQ511">
            <v>1.125E-2</v>
          </cell>
          <cell r="AR511">
            <v>4.4999999999999998E-2</v>
          </cell>
          <cell r="AS511">
            <v>4.4999999999999998E-2</v>
          </cell>
          <cell r="AT511">
            <v>4.4999999999999998E-2</v>
          </cell>
          <cell r="AU511">
            <v>4.4999999999999998E-2</v>
          </cell>
          <cell r="AV511">
            <v>4.4999999999999998E-2</v>
          </cell>
        </row>
        <row r="512">
          <cell r="AF512">
            <v>2.2837499999999997E-2</v>
          </cell>
          <cell r="AG512">
            <v>2.2837499999999997E-2</v>
          </cell>
          <cell r="AH512">
            <v>2.2837499999999997E-2</v>
          </cell>
          <cell r="AI512">
            <v>2.2837499999999997E-2</v>
          </cell>
          <cell r="AJ512">
            <v>2.2837499999999997E-2</v>
          </cell>
          <cell r="AK512">
            <v>2.2837499999999997E-2</v>
          </cell>
          <cell r="AL512">
            <v>2.2837499999999997E-2</v>
          </cell>
          <cell r="AM512">
            <v>2.2837499999999997E-2</v>
          </cell>
          <cell r="AN512">
            <v>2.2837499999999997E-2</v>
          </cell>
          <cell r="AO512">
            <v>2.2837499999999997E-2</v>
          </cell>
          <cell r="AP512">
            <v>2.2837499999999997E-2</v>
          </cell>
          <cell r="AQ512">
            <v>2.2837499999999997E-2</v>
          </cell>
          <cell r="AR512">
            <v>9.1349999999999987E-2</v>
          </cell>
          <cell r="AS512">
            <v>9.1349999999999987E-2</v>
          </cell>
          <cell r="AT512">
            <v>9.1349999999999987E-2</v>
          </cell>
          <cell r="AU512">
            <v>9.1349999999999987E-2</v>
          </cell>
          <cell r="AV512">
            <v>9.1349999999999987E-2</v>
          </cell>
        </row>
        <row r="513">
          <cell r="AF513">
            <v>0</v>
          </cell>
          <cell r="AG513">
            <v>0</v>
          </cell>
          <cell r="AH513">
            <v>0</v>
          </cell>
          <cell r="AI513">
            <v>0</v>
          </cell>
          <cell r="AJ513">
            <v>0</v>
          </cell>
          <cell r="AK513">
            <v>1</v>
          </cell>
          <cell r="AL513">
            <v>0</v>
          </cell>
          <cell r="AM513">
            <v>0</v>
          </cell>
          <cell r="AN513">
            <v>0</v>
          </cell>
          <cell r="AO513">
            <v>0</v>
          </cell>
          <cell r="AP513">
            <v>0</v>
          </cell>
          <cell r="AQ513">
            <v>0</v>
          </cell>
          <cell r="AR513">
            <v>0</v>
          </cell>
          <cell r="AS513">
            <v>0</v>
          </cell>
          <cell r="AT513">
            <v>0</v>
          </cell>
          <cell r="AU513">
            <v>0</v>
          </cell>
          <cell r="AV513">
            <v>0</v>
          </cell>
        </row>
        <row r="514">
          <cell r="AF514">
            <v>0</v>
          </cell>
          <cell r="AG514">
            <v>0</v>
          </cell>
          <cell r="AH514">
            <v>0</v>
          </cell>
          <cell r="AI514">
            <v>0</v>
          </cell>
          <cell r="AJ514">
            <v>0</v>
          </cell>
          <cell r="AK514">
            <v>1</v>
          </cell>
          <cell r="AL514">
            <v>1</v>
          </cell>
          <cell r="AM514">
            <v>1</v>
          </cell>
          <cell r="AN514">
            <v>1</v>
          </cell>
          <cell r="AO514">
            <v>1</v>
          </cell>
          <cell r="AP514">
            <v>1</v>
          </cell>
          <cell r="AQ514">
            <v>1</v>
          </cell>
          <cell r="AR514">
            <v>1</v>
          </cell>
          <cell r="AS514">
            <v>1</v>
          </cell>
          <cell r="AT514">
            <v>1</v>
          </cell>
          <cell r="AU514">
            <v>1</v>
          </cell>
          <cell r="AV514">
            <v>1</v>
          </cell>
        </row>
        <row r="516">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row>
        <row r="517">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row>
        <row r="520">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row>
        <row r="521">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row>
        <row r="523">
          <cell r="AF523">
            <v>4.4999999999999998E-2</v>
          </cell>
          <cell r="AG523">
            <v>4.4999999999999998E-2</v>
          </cell>
          <cell r="AH523">
            <v>4.4999999999999998E-2</v>
          </cell>
          <cell r="AI523">
            <v>4.4999999999999998E-2</v>
          </cell>
          <cell r="AJ523">
            <v>4.4999999999999998E-2</v>
          </cell>
          <cell r="AK523">
            <v>4.4999999999999998E-2</v>
          </cell>
          <cell r="AL523">
            <v>4.4999999999999998E-2</v>
          </cell>
          <cell r="AM523">
            <v>4.4999999999999998E-2</v>
          </cell>
          <cell r="AN523">
            <v>4.4999999999999998E-2</v>
          </cell>
          <cell r="AO523">
            <v>4.4999999999999998E-2</v>
          </cell>
          <cell r="AP523">
            <v>4.4999999999999998E-2</v>
          </cell>
          <cell r="AQ523">
            <v>4.4999999999999998E-2</v>
          </cell>
          <cell r="AR523">
            <v>4.4999999999999998E-2</v>
          </cell>
          <cell r="AS523">
            <v>4.4999999999999998E-2</v>
          </cell>
          <cell r="AT523">
            <v>4.4999999999999998E-2</v>
          </cell>
          <cell r="AU523">
            <v>4.4999999999999998E-2</v>
          </cell>
          <cell r="AV523">
            <v>4.4999999999999998E-2</v>
          </cell>
        </row>
        <row r="524">
          <cell r="AF524">
            <v>0.03</v>
          </cell>
          <cell r="AG524">
            <v>0.03</v>
          </cell>
          <cell r="AH524">
            <v>0.03</v>
          </cell>
          <cell r="AI524">
            <v>0.03</v>
          </cell>
          <cell r="AJ524">
            <v>0.03</v>
          </cell>
          <cell r="AK524">
            <v>0.03</v>
          </cell>
          <cell r="AL524">
            <v>0.03</v>
          </cell>
          <cell r="AM524">
            <v>0.03</v>
          </cell>
          <cell r="AN524">
            <v>0.03</v>
          </cell>
          <cell r="AO524">
            <v>0.03</v>
          </cell>
          <cell r="AP524">
            <v>0.03</v>
          </cell>
          <cell r="AQ524">
            <v>0.03</v>
          </cell>
          <cell r="AR524">
            <v>0.03</v>
          </cell>
          <cell r="AS524">
            <v>0.03</v>
          </cell>
          <cell r="AT524">
            <v>2.75E-2</v>
          </cell>
          <cell r="AU524">
            <v>1.7500000000000002E-2</v>
          </cell>
          <cell r="AV524">
            <v>1.2500000000000001E-2</v>
          </cell>
        </row>
        <row r="526">
          <cell r="AF526">
            <v>18525320</v>
          </cell>
          <cell r="AG526">
            <v>32738320</v>
          </cell>
          <cell r="AH526">
            <v>60323175.286805555</v>
          </cell>
          <cell r="AI526">
            <v>94747433.912499994</v>
          </cell>
          <cell r="AJ526">
            <v>138147791.02108681</v>
          </cell>
          <cell r="AK526">
            <v>196848418.91856211</v>
          </cell>
          <cell r="AL526">
            <v>284983979.53560233</v>
          </cell>
          <cell r="AM526">
            <v>373645011.41155314</v>
          </cell>
          <cell r="AN526">
            <v>440427772.37024581</v>
          </cell>
          <cell r="AO526">
            <v>519176577.07760632</v>
          </cell>
          <cell r="AP526">
            <v>559939651.25304627</v>
          </cell>
          <cell r="AQ526">
            <v>585515453.05237651</v>
          </cell>
        </row>
        <row r="527">
          <cell r="AF527">
            <v>394366000</v>
          </cell>
          <cell r="AG527">
            <v>476937000</v>
          </cell>
          <cell r="AH527">
            <v>482409061.64833105</v>
          </cell>
          <cell r="AI527">
            <v>528693805.21286386</v>
          </cell>
          <cell r="AJ527">
            <v>533192010.39402825</v>
          </cell>
          <cell r="AK527">
            <v>553676449.34199989</v>
          </cell>
          <cell r="AL527">
            <v>547697493.41330409</v>
          </cell>
          <cell r="AM527">
            <v>568648475.64797699</v>
          </cell>
          <cell r="AN527">
            <v>557061909.67408359</v>
          </cell>
          <cell r="AO527">
            <v>577528814.32147014</v>
          </cell>
          <cell r="AP527">
            <v>563010317.73695683</v>
          </cell>
          <cell r="AQ527">
            <v>579417444.73766685</v>
          </cell>
        </row>
        <row r="529">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row>
        <row r="531">
          <cell r="AF531">
            <v>106342871.28629622</v>
          </cell>
          <cell r="AG531">
            <v>84889566.309399083</v>
          </cell>
          <cell r="AH531">
            <v>44605241.54835248</v>
          </cell>
          <cell r="AI531">
            <v>34655645.986106284</v>
          </cell>
          <cell r="AJ531">
            <v>205496849.91176057</v>
          </cell>
          <cell r="AK531">
            <v>320810441.75328428</v>
          </cell>
          <cell r="AL531">
            <v>217470375.20877051</v>
          </cell>
          <cell r="AM531">
            <v>78605778.799690336</v>
          </cell>
          <cell r="AN531">
            <v>0</v>
          </cell>
          <cell r="AO531">
            <v>0</v>
          </cell>
          <cell r="AP531">
            <v>-23086284.979557872</v>
          </cell>
          <cell r="AQ531">
            <v>-85721990.139002234</v>
          </cell>
          <cell r="AR531">
            <v>-282754172.05883855</v>
          </cell>
          <cell r="AS531">
            <v>-163685902.85690045</v>
          </cell>
          <cell r="AT531">
            <v>-70414249.059522912</v>
          </cell>
          <cell r="AU531">
            <v>31868918.641567677</v>
          </cell>
          <cell r="AV531">
            <v>187745730.19806051</v>
          </cell>
        </row>
        <row r="536">
          <cell r="AF536">
            <v>1999</v>
          </cell>
          <cell r="AJ536">
            <v>2000</v>
          </cell>
          <cell r="AN536">
            <v>2001</v>
          </cell>
          <cell r="AR536">
            <v>2002</v>
          </cell>
          <cell r="AS536">
            <v>2003</v>
          </cell>
          <cell r="AT536">
            <v>2004</v>
          </cell>
          <cell r="AU536">
            <v>2005</v>
          </cell>
          <cell r="AV536">
            <v>2006</v>
          </cell>
        </row>
        <row r="537">
          <cell r="AF537">
            <v>1999</v>
          </cell>
          <cell r="AJ537">
            <v>2000</v>
          </cell>
          <cell r="AN537">
            <v>2001</v>
          </cell>
          <cell r="AR537">
            <v>2002</v>
          </cell>
          <cell r="AS537">
            <v>2003</v>
          </cell>
          <cell r="AT537">
            <v>2004</v>
          </cell>
          <cell r="AU537">
            <v>2005</v>
          </cell>
          <cell r="AV537">
            <v>2006</v>
          </cell>
        </row>
        <row r="538">
          <cell r="AF538">
            <v>36250</v>
          </cell>
          <cell r="AG538">
            <v>36341</v>
          </cell>
          <cell r="AH538">
            <v>36433</v>
          </cell>
          <cell r="AI538">
            <v>36525</v>
          </cell>
          <cell r="AJ538">
            <v>36616</v>
          </cell>
          <cell r="AK538">
            <v>36707</v>
          </cell>
          <cell r="AL538">
            <v>36799</v>
          </cell>
          <cell r="AM538">
            <v>36891</v>
          </cell>
          <cell r="AN538">
            <v>36981</v>
          </cell>
          <cell r="AO538">
            <v>37072</v>
          </cell>
          <cell r="AP538">
            <v>37164</v>
          </cell>
          <cell r="AQ538">
            <v>37256</v>
          </cell>
        </row>
        <row r="540">
          <cell r="AF540">
            <v>0</v>
          </cell>
          <cell r="AG540">
            <v>75000000</v>
          </cell>
          <cell r="AH540">
            <v>80250000</v>
          </cell>
          <cell r="AI540">
            <v>80250000</v>
          </cell>
          <cell r="AJ540">
            <v>85867500</v>
          </cell>
          <cell r="AK540">
            <v>85867500</v>
          </cell>
          <cell r="AL540">
            <v>91878225</v>
          </cell>
          <cell r="AM540">
            <v>91878225</v>
          </cell>
          <cell r="AN540">
            <v>98309700.75</v>
          </cell>
          <cell r="AO540">
            <v>98309700.75</v>
          </cell>
          <cell r="AP540">
            <v>105191379.80249999</v>
          </cell>
          <cell r="AQ540">
            <v>105191379.80249999</v>
          </cell>
          <cell r="AR540">
            <v>112554776.38867499</v>
          </cell>
          <cell r="AS540">
            <v>128863963.48739401</v>
          </cell>
          <cell r="AT540">
            <v>147500000</v>
          </cell>
          <cell r="AU540">
            <v>147500000</v>
          </cell>
          <cell r="AV540">
            <v>147500000</v>
          </cell>
        </row>
        <row r="541">
          <cell r="AF541">
            <v>75000000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row>
        <row r="542">
          <cell r="AF542">
            <v>0</v>
          </cell>
          <cell r="AG542">
            <v>5250000.0000000009</v>
          </cell>
          <cell r="AH542">
            <v>0</v>
          </cell>
          <cell r="AI542">
            <v>5617500.0000000009</v>
          </cell>
          <cell r="AJ542">
            <v>0</v>
          </cell>
          <cell r="AK542">
            <v>6010725.0000000009</v>
          </cell>
          <cell r="AL542">
            <v>0</v>
          </cell>
          <cell r="AM542">
            <v>6431475.7500000009</v>
          </cell>
          <cell r="AN542">
            <v>0</v>
          </cell>
          <cell r="AO542">
            <v>6881679.0525000002</v>
          </cell>
          <cell r="AP542">
            <v>0</v>
          </cell>
          <cell r="AQ542">
            <v>7363396.5861750003</v>
          </cell>
          <cell r="AR542">
            <v>16309187.098719008</v>
          </cell>
          <cell r="AS542">
            <v>18636036.512605995</v>
          </cell>
          <cell r="AT542">
            <v>0</v>
          </cell>
          <cell r="AU542">
            <v>0</v>
          </cell>
          <cell r="AV542">
            <v>0</v>
          </cell>
        </row>
        <row r="543">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row>
        <row r="544">
          <cell r="AF544">
            <v>75000000</v>
          </cell>
          <cell r="AG544">
            <v>80250000</v>
          </cell>
          <cell r="AH544">
            <v>80250000</v>
          </cell>
          <cell r="AI544">
            <v>85867500</v>
          </cell>
          <cell r="AJ544">
            <v>85867500</v>
          </cell>
          <cell r="AK544">
            <v>91878225</v>
          </cell>
          <cell r="AL544">
            <v>91878225</v>
          </cell>
          <cell r="AM544">
            <v>98309700.75</v>
          </cell>
          <cell r="AN544">
            <v>98309700.75</v>
          </cell>
          <cell r="AO544">
            <v>105191379.80249999</v>
          </cell>
          <cell r="AP544">
            <v>105191379.80249999</v>
          </cell>
          <cell r="AQ544">
            <v>112554776.38867499</v>
          </cell>
          <cell r="AR544">
            <v>128863963.48739401</v>
          </cell>
          <cell r="AS544">
            <v>147500000</v>
          </cell>
          <cell r="AT544">
            <v>147500000</v>
          </cell>
          <cell r="AU544">
            <v>147500000</v>
          </cell>
          <cell r="AV544">
            <v>147500000</v>
          </cell>
        </row>
        <row r="545">
          <cell r="AI545">
            <v>42933750</v>
          </cell>
          <cell r="AM545">
            <v>92088600.375</v>
          </cell>
          <cell r="AQ545">
            <v>105432238.56933749</v>
          </cell>
          <cell r="AR545">
            <v>120709369.9380345</v>
          </cell>
          <cell r="AS545">
            <v>138181981.74369699</v>
          </cell>
          <cell r="AT545">
            <v>147500000</v>
          </cell>
          <cell r="AU545">
            <v>147500000</v>
          </cell>
          <cell r="AV545">
            <v>147500000</v>
          </cell>
        </row>
        <row r="547">
          <cell r="AF547">
            <v>0.14000000000000001</v>
          </cell>
          <cell r="AG547">
            <v>0.14000000000000001</v>
          </cell>
          <cell r="AH547">
            <v>0.14000000000000001</v>
          </cell>
          <cell r="AI547">
            <v>0.14000000000000001</v>
          </cell>
          <cell r="AJ547">
            <v>0.14000000000000001</v>
          </cell>
          <cell r="AK547">
            <v>0.14000000000000001</v>
          </cell>
          <cell r="AL547">
            <v>0.14000000000000001</v>
          </cell>
          <cell r="AM547">
            <v>0.14000000000000001</v>
          </cell>
          <cell r="AN547">
            <v>0.14000000000000001</v>
          </cell>
          <cell r="AO547">
            <v>0.14000000000000001</v>
          </cell>
          <cell r="AP547">
            <v>0.14000000000000001</v>
          </cell>
          <cell r="AQ547">
            <v>0.14000000000000001</v>
          </cell>
          <cell r="AR547">
            <v>0.14000000000000001</v>
          </cell>
          <cell r="AS547">
            <v>0.14000000000000001</v>
          </cell>
          <cell r="AT547">
            <v>0.14000000000000001</v>
          </cell>
          <cell r="AU547">
            <v>0.14000000000000001</v>
          </cell>
          <cell r="AV547">
            <v>0.14000000000000001</v>
          </cell>
        </row>
        <row r="549">
          <cell r="AF549">
            <v>0</v>
          </cell>
          <cell r="AG549">
            <v>5250000.0000000009</v>
          </cell>
          <cell r="AH549">
            <v>0</v>
          </cell>
          <cell r="AI549">
            <v>5617500.0000000009</v>
          </cell>
          <cell r="AJ549">
            <v>0</v>
          </cell>
          <cell r="AK549">
            <v>6010725.0000000009</v>
          </cell>
          <cell r="AL549">
            <v>0</v>
          </cell>
          <cell r="AM549">
            <v>6431475.7500000009</v>
          </cell>
          <cell r="AN549">
            <v>0</v>
          </cell>
          <cell r="AO549">
            <v>6881679.0525000002</v>
          </cell>
          <cell r="AP549">
            <v>0</v>
          </cell>
          <cell r="AQ549">
            <v>7363396.5861750003</v>
          </cell>
          <cell r="AR549">
            <v>16309187.098719008</v>
          </cell>
          <cell r="AS549">
            <v>18636036.512605995</v>
          </cell>
          <cell r="AT549">
            <v>20650000.000000004</v>
          </cell>
          <cell r="AU549">
            <v>20650000.000000004</v>
          </cell>
          <cell r="AV549">
            <v>20650000.000000004</v>
          </cell>
        </row>
        <row r="550">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20650000.000000004</v>
          </cell>
          <cell r="AU550">
            <v>20650000.000000004</v>
          </cell>
          <cell r="AV550">
            <v>20650000.000000004</v>
          </cell>
        </row>
        <row r="552">
          <cell r="AF552">
            <v>106342871.28629622</v>
          </cell>
          <cell r="AG552">
            <v>84889566.309399083</v>
          </cell>
          <cell r="AH552">
            <v>44605241.54835248</v>
          </cell>
          <cell r="AI552">
            <v>34655645.986106284</v>
          </cell>
          <cell r="AJ552">
            <v>205496849.91176057</v>
          </cell>
          <cell r="AK552">
            <v>320810441.75328428</v>
          </cell>
          <cell r="AL552">
            <v>217470375.20877051</v>
          </cell>
          <cell r="AM552">
            <v>78605778.799690336</v>
          </cell>
          <cell r="AN552">
            <v>0</v>
          </cell>
          <cell r="AO552">
            <v>0</v>
          </cell>
          <cell r="AP552">
            <v>-23086284.979557872</v>
          </cell>
          <cell r="AQ552">
            <v>-85721990.139002234</v>
          </cell>
          <cell r="AR552">
            <v>-282754172.05883855</v>
          </cell>
          <cell r="AS552">
            <v>-163685902.85690045</v>
          </cell>
          <cell r="AT552">
            <v>-70414249.059522912</v>
          </cell>
          <cell r="AU552">
            <v>31868918.641567677</v>
          </cell>
          <cell r="AV552">
            <v>187745730.19806051</v>
          </cell>
        </row>
        <row r="555">
          <cell r="AF555">
            <v>0</v>
          </cell>
          <cell r="AG555">
            <v>0</v>
          </cell>
          <cell r="AH555">
            <v>0</v>
          </cell>
          <cell r="AI555">
            <v>0</v>
          </cell>
          <cell r="AJ555">
            <v>0</v>
          </cell>
          <cell r="AK555">
            <v>200000000</v>
          </cell>
          <cell r="AL555">
            <v>200000000</v>
          </cell>
          <cell r="AM555">
            <v>200000000</v>
          </cell>
          <cell r="AN555">
            <v>200000000</v>
          </cell>
          <cell r="AO555">
            <v>200000000</v>
          </cell>
          <cell r="AP555">
            <v>200000000</v>
          </cell>
          <cell r="AQ555">
            <v>200000000</v>
          </cell>
          <cell r="AR555">
            <v>200000000</v>
          </cell>
          <cell r="AS555">
            <v>200000000</v>
          </cell>
          <cell r="AT555">
            <v>200000000</v>
          </cell>
          <cell r="AU555">
            <v>200000000</v>
          </cell>
          <cell r="AV555">
            <v>200000000</v>
          </cell>
        </row>
        <row r="556">
          <cell r="AF556">
            <v>0</v>
          </cell>
          <cell r="AG556">
            <v>0</v>
          </cell>
          <cell r="AH556">
            <v>0</v>
          </cell>
          <cell r="AI556">
            <v>0</v>
          </cell>
          <cell r="AJ556">
            <v>200000000</v>
          </cell>
          <cell r="AK556">
            <v>0</v>
          </cell>
          <cell r="AL556">
            <v>0</v>
          </cell>
          <cell r="AM556">
            <v>0</v>
          </cell>
          <cell r="AN556">
            <v>0</v>
          </cell>
          <cell r="AO556">
            <v>0</v>
          </cell>
          <cell r="AP556">
            <v>0</v>
          </cell>
          <cell r="AQ556">
            <v>0</v>
          </cell>
          <cell r="AR556">
            <v>0</v>
          </cell>
          <cell r="AS556">
            <v>0</v>
          </cell>
          <cell r="AT556">
            <v>0</v>
          </cell>
          <cell r="AU556">
            <v>0</v>
          </cell>
          <cell r="AV556">
            <v>0</v>
          </cell>
        </row>
        <row r="557">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row>
        <row r="558">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row>
        <row r="559">
          <cell r="AF559">
            <v>0</v>
          </cell>
          <cell r="AG559">
            <v>0</v>
          </cell>
          <cell r="AH559">
            <v>0</v>
          </cell>
          <cell r="AI559">
            <v>0</v>
          </cell>
          <cell r="AJ559">
            <v>200000000</v>
          </cell>
          <cell r="AK559">
            <v>200000000</v>
          </cell>
          <cell r="AL559">
            <v>200000000</v>
          </cell>
          <cell r="AM559">
            <v>200000000</v>
          </cell>
          <cell r="AN559">
            <v>200000000</v>
          </cell>
          <cell r="AO559">
            <v>200000000</v>
          </cell>
          <cell r="AP559">
            <v>200000000</v>
          </cell>
          <cell r="AQ559">
            <v>200000000</v>
          </cell>
          <cell r="AR559">
            <v>200000000</v>
          </cell>
          <cell r="AS559">
            <v>200000000</v>
          </cell>
          <cell r="AT559">
            <v>200000000</v>
          </cell>
          <cell r="AU559">
            <v>200000000</v>
          </cell>
          <cell r="AV559">
            <v>200000000</v>
          </cell>
        </row>
        <row r="562">
          <cell r="AF562">
            <v>0.115</v>
          </cell>
          <cell r="AG562">
            <v>0.115</v>
          </cell>
          <cell r="AH562">
            <v>0.115</v>
          </cell>
          <cell r="AI562">
            <v>0.115</v>
          </cell>
          <cell r="AJ562">
            <v>0.115</v>
          </cell>
          <cell r="AK562">
            <v>0.115</v>
          </cell>
          <cell r="AL562">
            <v>0.115</v>
          </cell>
          <cell r="AM562">
            <v>0.115</v>
          </cell>
          <cell r="AN562">
            <v>0.115</v>
          </cell>
          <cell r="AO562">
            <v>0.115</v>
          </cell>
          <cell r="AP562">
            <v>0.115</v>
          </cell>
          <cell r="AQ562">
            <v>0.115</v>
          </cell>
          <cell r="AR562">
            <v>0.115</v>
          </cell>
          <cell r="AS562">
            <v>0.115</v>
          </cell>
          <cell r="AT562">
            <v>0.115</v>
          </cell>
          <cell r="AU562">
            <v>0.115</v>
          </cell>
          <cell r="AV562">
            <v>0.115</v>
          </cell>
        </row>
        <row r="564">
          <cell r="AF564">
            <v>0</v>
          </cell>
          <cell r="AG564">
            <v>0</v>
          </cell>
          <cell r="AH564">
            <v>0</v>
          </cell>
          <cell r="AI564">
            <v>0</v>
          </cell>
          <cell r="AJ564">
            <v>0</v>
          </cell>
          <cell r="AK564">
            <v>11500000</v>
          </cell>
          <cell r="AL564">
            <v>0</v>
          </cell>
          <cell r="AM564">
            <v>11500000</v>
          </cell>
          <cell r="AN564">
            <v>0</v>
          </cell>
          <cell r="AO564">
            <v>11500000</v>
          </cell>
          <cell r="AP564">
            <v>0</v>
          </cell>
          <cell r="AQ564">
            <v>11500000</v>
          </cell>
          <cell r="AR564">
            <v>23000000</v>
          </cell>
          <cell r="AS564">
            <v>23000000</v>
          </cell>
          <cell r="AT564">
            <v>23000000</v>
          </cell>
          <cell r="AU564">
            <v>23000000</v>
          </cell>
          <cell r="AV564">
            <v>23000000</v>
          </cell>
        </row>
        <row r="565">
          <cell r="AF565">
            <v>0</v>
          </cell>
          <cell r="AG565">
            <v>0</v>
          </cell>
          <cell r="AH565">
            <v>0</v>
          </cell>
          <cell r="AI565">
            <v>0</v>
          </cell>
          <cell r="AJ565">
            <v>0</v>
          </cell>
          <cell r="AK565">
            <v>11500000</v>
          </cell>
          <cell r="AL565">
            <v>0</v>
          </cell>
          <cell r="AM565">
            <v>11500000</v>
          </cell>
          <cell r="AN565">
            <v>0</v>
          </cell>
          <cell r="AO565">
            <v>11500000</v>
          </cell>
          <cell r="AP565">
            <v>0</v>
          </cell>
          <cell r="AQ565">
            <v>11500000</v>
          </cell>
          <cell r="AR565">
            <v>23000000</v>
          </cell>
          <cell r="AS565">
            <v>23000000</v>
          </cell>
          <cell r="AT565">
            <v>23000000</v>
          </cell>
          <cell r="AU565">
            <v>23000000</v>
          </cell>
          <cell r="AV565">
            <v>23000000</v>
          </cell>
        </row>
        <row r="567">
          <cell r="AF567">
            <v>0</v>
          </cell>
          <cell r="AG567">
            <v>84889566.309399083</v>
          </cell>
          <cell r="AH567">
            <v>44605241.54835248</v>
          </cell>
          <cell r="AI567">
            <v>34655645.986106284</v>
          </cell>
          <cell r="AJ567">
            <v>205496849.91176057</v>
          </cell>
          <cell r="AK567">
            <v>320810441.75328428</v>
          </cell>
          <cell r="AL567">
            <v>217470375.20877051</v>
          </cell>
          <cell r="AM567">
            <v>78605778.799690336</v>
          </cell>
          <cell r="AN567">
            <v>0</v>
          </cell>
          <cell r="AO567">
            <v>0</v>
          </cell>
          <cell r="AP567">
            <v>-23086284.979557872</v>
          </cell>
          <cell r="AQ567">
            <v>-85721990.139002234</v>
          </cell>
          <cell r="AR567">
            <v>-282754172.05883855</v>
          </cell>
          <cell r="AS567">
            <v>-163685902.85690045</v>
          </cell>
          <cell r="AT567">
            <v>-70414249.059522912</v>
          </cell>
          <cell r="AU567">
            <v>31868918.641567677</v>
          </cell>
          <cell r="AV567">
            <v>187745730.19806051</v>
          </cell>
        </row>
        <row r="571">
          <cell r="AF571">
            <v>1999</v>
          </cell>
          <cell r="AJ571">
            <v>2000</v>
          </cell>
          <cell r="AN571">
            <v>2001</v>
          </cell>
          <cell r="AR571">
            <v>2002</v>
          </cell>
          <cell r="AS571">
            <v>2003</v>
          </cell>
          <cell r="AT571">
            <v>2004</v>
          </cell>
          <cell r="AU571">
            <v>2005</v>
          </cell>
          <cell r="AV571">
            <v>2006</v>
          </cell>
        </row>
        <row r="572">
          <cell r="AF572">
            <v>36250</v>
          </cell>
          <cell r="AG572">
            <v>36341</v>
          </cell>
          <cell r="AH572">
            <v>36433</v>
          </cell>
          <cell r="AI572">
            <v>36525</v>
          </cell>
          <cell r="AJ572">
            <v>36616</v>
          </cell>
          <cell r="AK572">
            <v>36707</v>
          </cell>
          <cell r="AL572">
            <v>36799</v>
          </cell>
          <cell r="AM572">
            <v>36891</v>
          </cell>
          <cell r="AN572">
            <v>36981</v>
          </cell>
          <cell r="AO572">
            <v>37072</v>
          </cell>
          <cell r="AP572">
            <v>37164</v>
          </cell>
          <cell r="AQ572">
            <v>37256</v>
          </cell>
        </row>
        <row r="596">
          <cell r="AF596">
            <v>0</v>
          </cell>
          <cell r="AG596">
            <v>84889566.309399083</v>
          </cell>
          <cell r="AH596">
            <v>44605241.54835248</v>
          </cell>
          <cell r="AI596">
            <v>34655645.986106284</v>
          </cell>
          <cell r="AJ596">
            <v>205496849.91176057</v>
          </cell>
          <cell r="AK596">
            <v>320810441.75328428</v>
          </cell>
          <cell r="AL596">
            <v>217470375.20877051</v>
          </cell>
          <cell r="AM596">
            <v>78605778.799690336</v>
          </cell>
          <cell r="AN596">
            <v>0</v>
          </cell>
          <cell r="AO596">
            <v>0</v>
          </cell>
          <cell r="AP596">
            <v>-23086284.979557872</v>
          </cell>
          <cell r="AQ596">
            <v>-85721990.139002234</v>
          </cell>
          <cell r="AR596">
            <v>-282754172.05883855</v>
          </cell>
          <cell r="AS596">
            <v>-163685902.85690045</v>
          </cell>
          <cell r="AT596">
            <v>-70414249.059522912</v>
          </cell>
          <cell r="AU596">
            <v>31868918.641567677</v>
          </cell>
          <cell r="AV596">
            <v>187745730.19806051</v>
          </cell>
        </row>
        <row r="600">
          <cell r="AF600">
            <v>0</v>
          </cell>
          <cell r="AG600">
            <v>0</v>
          </cell>
          <cell r="AH600">
            <v>0</v>
          </cell>
          <cell r="AI600">
            <v>0</v>
          </cell>
          <cell r="AJ600">
            <v>874531.25</v>
          </cell>
          <cell r="AK600">
            <v>1081875</v>
          </cell>
          <cell r="AL600">
            <v>1081875</v>
          </cell>
          <cell r="AM600">
            <v>1081875</v>
          </cell>
          <cell r="AN600">
            <v>1493960.4493174118</v>
          </cell>
          <cell r="AO600">
            <v>3987152.643862078</v>
          </cell>
          <cell r="AP600">
            <v>5971113.6022142088</v>
          </cell>
          <cell r="AQ600">
            <v>6933169.8580283988</v>
          </cell>
          <cell r="AR600">
            <v>27447510.633064516</v>
          </cell>
          <cell r="AS600">
            <v>28608510.668275107</v>
          </cell>
          <cell r="AT600">
            <v>25742010.385549121</v>
          </cell>
          <cell r="AU600">
            <v>18593070.36194418</v>
          </cell>
          <cell r="AV600">
            <v>11338216.929180352</v>
          </cell>
        </row>
        <row r="601">
          <cell r="AF601">
            <v>0</v>
          </cell>
          <cell r="AG601">
            <v>5250000.0000000009</v>
          </cell>
          <cell r="AH601">
            <v>0</v>
          </cell>
          <cell r="AI601">
            <v>5617500.0000000009</v>
          </cell>
          <cell r="AJ601">
            <v>874531.25</v>
          </cell>
          <cell r="AK601">
            <v>18592600</v>
          </cell>
          <cell r="AL601">
            <v>1081875</v>
          </cell>
          <cell r="AM601">
            <v>19013350.75</v>
          </cell>
          <cell r="AN601">
            <v>1493960.4493174118</v>
          </cell>
          <cell r="AO601">
            <v>22368831.696362078</v>
          </cell>
          <cell r="AP601">
            <v>5971113.6022142088</v>
          </cell>
          <cell r="AQ601">
            <v>25796566.444203399</v>
          </cell>
          <cell r="AR601">
            <v>66756697.731783524</v>
          </cell>
          <cell r="AS601">
            <v>70244547.180881098</v>
          </cell>
          <cell r="AT601">
            <v>69392010.385549128</v>
          </cell>
          <cell r="AU601">
            <v>62243070.361944184</v>
          </cell>
          <cell r="AV601">
            <v>54988216.929180361</v>
          </cell>
        </row>
        <row r="602">
          <cell r="AF602">
            <v>0</v>
          </cell>
          <cell r="AG602">
            <v>0</v>
          </cell>
          <cell r="AH602">
            <v>0</v>
          </cell>
          <cell r="AI602">
            <v>0</v>
          </cell>
          <cell r="AJ602">
            <v>874531.25</v>
          </cell>
          <cell r="AK602">
            <v>12581875</v>
          </cell>
          <cell r="AL602">
            <v>1081875</v>
          </cell>
          <cell r="AM602">
            <v>12581875</v>
          </cell>
          <cell r="AN602">
            <v>1493960.4493174118</v>
          </cell>
          <cell r="AO602">
            <v>15487152.643862078</v>
          </cell>
          <cell r="AP602">
            <v>5971113.6022142088</v>
          </cell>
          <cell r="AQ602">
            <v>18433169.858028397</v>
          </cell>
          <cell r="AR602">
            <v>50447510.633064516</v>
          </cell>
          <cell r="AS602">
            <v>51608510.668275103</v>
          </cell>
          <cell r="AT602">
            <v>69392010.385549128</v>
          </cell>
          <cell r="AU602">
            <v>62243070.361944184</v>
          </cell>
          <cell r="AV602">
            <v>54988216.929180354</v>
          </cell>
        </row>
        <row r="604">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row>
        <row r="605">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row>
        <row r="607">
          <cell r="AF607">
            <v>0</v>
          </cell>
          <cell r="AG607">
            <v>5250000.0000000009</v>
          </cell>
          <cell r="AH607">
            <v>0</v>
          </cell>
          <cell r="AI607">
            <v>5617500.0000000009</v>
          </cell>
          <cell r="AJ607">
            <v>874531.25</v>
          </cell>
          <cell r="AK607">
            <v>18592600</v>
          </cell>
          <cell r="AL607">
            <v>1081875</v>
          </cell>
          <cell r="AM607">
            <v>19013350.75</v>
          </cell>
          <cell r="AN607">
            <v>1493960.4493174118</v>
          </cell>
          <cell r="AO607">
            <v>22368831.696362078</v>
          </cell>
          <cell r="AP607">
            <v>5971113.6022142088</v>
          </cell>
          <cell r="AQ607">
            <v>25796566.444203399</v>
          </cell>
          <cell r="AR607">
            <v>66756697.731783524</v>
          </cell>
          <cell r="AS607">
            <v>70244547.180881098</v>
          </cell>
          <cell r="AT607">
            <v>69392010.385549128</v>
          </cell>
          <cell r="AU607">
            <v>62243070.361944184</v>
          </cell>
          <cell r="AV607">
            <v>54988216.929180361</v>
          </cell>
        </row>
        <row r="608">
          <cell r="AF608">
            <v>0</v>
          </cell>
          <cell r="AG608">
            <v>0</v>
          </cell>
          <cell r="AH608">
            <v>0</v>
          </cell>
          <cell r="AI608">
            <v>0</v>
          </cell>
          <cell r="AJ608">
            <v>874531.25</v>
          </cell>
          <cell r="AK608">
            <v>12581875</v>
          </cell>
          <cell r="AL608">
            <v>1081875</v>
          </cell>
          <cell r="AM608">
            <v>12581875</v>
          </cell>
          <cell r="AN608">
            <v>1493960.4493174118</v>
          </cell>
          <cell r="AO608">
            <v>15487152.643862078</v>
          </cell>
          <cell r="AP608">
            <v>5971113.6022142088</v>
          </cell>
          <cell r="AQ608">
            <v>18433169.858028397</v>
          </cell>
          <cell r="AR608">
            <v>50447510.633064516</v>
          </cell>
          <cell r="AS608">
            <v>51608510.668275103</v>
          </cell>
          <cell r="AT608">
            <v>69392010.385549128</v>
          </cell>
          <cell r="AU608">
            <v>62243070.361944184</v>
          </cell>
          <cell r="AV608">
            <v>54988216.929180354</v>
          </cell>
        </row>
        <row r="611">
          <cell r="AF611">
            <v>-32389746.286296219</v>
          </cell>
          <cell r="AG611">
            <v>-5689722.5593990833</v>
          </cell>
          <cell r="AH611">
            <v>34594602.20164752</v>
          </cell>
          <cell r="AI611">
            <v>55758186.826393723</v>
          </cell>
          <cell r="AJ611">
            <v>-98683017.099260569</v>
          </cell>
          <cell r="AK611">
            <v>-4989640.6439093351</v>
          </cell>
          <cell r="AL611">
            <v>98350425.900604486</v>
          </cell>
          <cell r="AM611">
            <v>243642478.3873409</v>
          </cell>
          <cell r="AN611">
            <v>361564698.3860687</v>
          </cell>
          <cell r="AO611">
            <v>502575702.49425232</v>
          </cell>
          <cell r="AP611">
            <v>607211920.16968131</v>
          </cell>
          <cell r="AQ611">
            <v>700292704.77199209</v>
          </cell>
          <cell r="AR611">
            <v>999104250.75607419</v>
          </cell>
          <cell r="AS611">
            <v>1125379600.0342991</v>
          </cell>
          <cell r="AT611">
            <v>1125793849.093822</v>
          </cell>
          <cell r="AU611">
            <v>992056011.81068659</v>
          </cell>
          <cell r="AV611">
            <v>752179200.25419378</v>
          </cell>
        </row>
        <row r="615">
          <cell r="AF615">
            <v>1999</v>
          </cell>
          <cell r="AJ615">
            <v>2000</v>
          </cell>
          <cell r="AN615">
            <v>2001</v>
          </cell>
          <cell r="AR615">
            <v>2002</v>
          </cell>
          <cell r="AS615">
            <v>2003</v>
          </cell>
          <cell r="AT615">
            <v>2004</v>
          </cell>
          <cell r="AU615">
            <v>2005</v>
          </cell>
          <cell r="AV615">
            <v>2006</v>
          </cell>
        </row>
        <row r="616">
          <cell r="AF616">
            <v>36250</v>
          </cell>
          <cell r="AG616">
            <v>36341</v>
          </cell>
          <cell r="AH616">
            <v>36433</v>
          </cell>
          <cell r="AI616">
            <v>36525</v>
          </cell>
          <cell r="AJ616">
            <v>36616</v>
          </cell>
          <cell r="AK616">
            <v>36707</v>
          </cell>
          <cell r="AL616">
            <v>36799</v>
          </cell>
          <cell r="AM616">
            <v>36891</v>
          </cell>
          <cell r="AN616">
            <v>36981</v>
          </cell>
          <cell r="AO616">
            <v>37072</v>
          </cell>
          <cell r="AP616">
            <v>37164</v>
          </cell>
          <cell r="AQ616">
            <v>37256</v>
          </cell>
        </row>
        <row r="618">
          <cell r="AJ618">
            <v>18592442.644437715</v>
          </cell>
          <cell r="AK618">
            <v>31556537.555833336</v>
          </cell>
          <cell r="AL618">
            <v>18841646.583399653</v>
          </cell>
          <cell r="AM618">
            <v>15834760.402401958</v>
          </cell>
          <cell r="AN618">
            <v>13695716.1</v>
          </cell>
          <cell r="AO618">
            <v>24167044.100000001</v>
          </cell>
          <cell r="AP618">
            <v>5427056.5663610268</v>
          </cell>
          <cell r="AQ618">
            <v>6498638.3972610645</v>
          </cell>
          <cell r="AR618">
            <v>22258908.172833223</v>
          </cell>
          <cell r="AS618">
            <v>22441090.797763161</v>
          </cell>
          <cell r="AT618">
            <v>20649279.871995721</v>
          </cell>
          <cell r="AU618">
            <v>14400043.380384697</v>
          </cell>
          <cell r="AV618">
            <v>20232450.928841047</v>
          </cell>
        </row>
        <row r="619">
          <cell r="AF619">
            <v>4211000</v>
          </cell>
          <cell r="AG619">
            <v>3582000</v>
          </cell>
          <cell r="AH619">
            <v>11624009.881944444</v>
          </cell>
          <cell r="AI619">
            <v>16930493.298611112</v>
          </cell>
          <cell r="AJ619">
            <v>0</v>
          </cell>
          <cell r="AK619">
            <v>0</v>
          </cell>
          <cell r="AL619">
            <v>12600000</v>
          </cell>
          <cell r="AM619">
            <v>6300000</v>
          </cell>
          <cell r="AN619">
            <v>0</v>
          </cell>
          <cell r="AO619">
            <v>2100000</v>
          </cell>
          <cell r="AP619">
            <v>3360960.3920498975</v>
          </cell>
          <cell r="AQ619">
            <v>1252022.5702301739</v>
          </cell>
          <cell r="AR619">
            <v>13826492.429618657</v>
          </cell>
          <cell r="AS619">
            <v>13377217.178073101</v>
          </cell>
          <cell r="AT619">
            <v>7515784.7651270321</v>
          </cell>
          <cell r="AU619">
            <v>5786529.9759279005</v>
          </cell>
          <cell r="AV619">
            <v>2798437.8235321855</v>
          </cell>
        </row>
        <row r="620">
          <cell r="AF620">
            <v>4447000</v>
          </cell>
          <cell r="AG620">
            <v>6531000</v>
          </cell>
          <cell r="AH620">
            <v>6734247.4430555552</v>
          </cell>
          <cell r="AI620">
            <v>9680321.7708333321</v>
          </cell>
          <cell r="AJ620">
            <v>20470355.439999998</v>
          </cell>
          <cell r="AK620">
            <v>13274319.999999996</v>
          </cell>
          <cell r="AL620">
            <v>30949792</v>
          </cell>
          <cell r="AM620">
            <v>50871516</v>
          </cell>
          <cell r="AN620">
            <v>39721553.600000009</v>
          </cell>
          <cell r="AO620">
            <v>27656865.600000001</v>
          </cell>
          <cell r="AP620">
            <v>11022506.959999997</v>
          </cell>
          <cell r="AQ620">
            <v>3459136</v>
          </cell>
          <cell r="AR620">
            <v>23940338.688000001</v>
          </cell>
          <cell r="AS620">
            <v>14176975.521279998</v>
          </cell>
          <cell r="AT620">
            <v>4260737.2359679993</v>
          </cell>
          <cell r="AU620">
            <v>3099686.3391667195</v>
          </cell>
          <cell r="AV620">
            <v>1503347.8744958588</v>
          </cell>
        </row>
        <row r="621">
          <cell r="AF621">
            <v>0</v>
          </cell>
          <cell r="AG621">
            <v>79000</v>
          </cell>
          <cell r="AH621">
            <v>945304.90972222225</v>
          </cell>
          <cell r="AI621">
            <v>2804176.0597222224</v>
          </cell>
          <cell r="AJ621">
            <v>1767642.3574824324</v>
          </cell>
          <cell r="AK621">
            <v>8935553.6749752909</v>
          </cell>
          <cell r="AL621">
            <v>8284538.7003072407</v>
          </cell>
          <cell r="AM621">
            <v>4406172.140215504</v>
          </cell>
          <cell r="AN621">
            <v>5731514.7586926473</v>
          </cell>
          <cell r="AO621">
            <v>17228160.17402713</v>
          </cell>
          <cell r="AP621">
            <v>13956240.423695676</v>
          </cell>
          <cell r="AQ621">
            <v>7803368.3535522707</v>
          </cell>
          <cell r="AR621">
            <v>62211640.751516216</v>
          </cell>
          <cell r="AS621">
            <v>63921527.874826282</v>
          </cell>
          <cell r="AT621">
            <v>40931321.69187817</v>
          </cell>
          <cell r="AU621">
            <v>30159123.804228127</v>
          </cell>
          <cell r="AV621">
            <v>16693051.757570684</v>
          </cell>
        </row>
        <row r="622">
          <cell r="AF622">
            <v>3358000</v>
          </cell>
          <cell r="AG622">
            <v>3350000</v>
          </cell>
          <cell r="AH622">
            <v>5176711.21875</v>
          </cell>
          <cell r="AI622">
            <v>1693490.9965277778</v>
          </cell>
          <cell r="AJ622">
            <v>804166.66666666663</v>
          </cell>
          <cell r="AK622">
            <v>770833.33333333326</v>
          </cell>
          <cell r="AL622">
            <v>770833.33333333326</v>
          </cell>
          <cell r="AM622">
            <v>770833.33333333326</v>
          </cell>
          <cell r="AN622">
            <v>543750</v>
          </cell>
          <cell r="AO622">
            <v>510416.66666666663</v>
          </cell>
          <cell r="AP622">
            <v>510416.66666666663</v>
          </cell>
          <cell r="AQ622">
            <v>510416.66666666663</v>
          </cell>
          <cell r="AR622">
            <v>1781250</v>
          </cell>
          <cell r="AS622">
            <v>1781250</v>
          </cell>
          <cell r="AT622">
            <v>1692187.4999999998</v>
          </cell>
          <cell r="AU622">
            <v>1607578.1249999998</v>
          </cell>
          <cell r="AV622">
            <v>1527199.2187499998</v>
          </cell>
        </row>
        <row r="623">
          <cell r="AJ623">
            <v>0</v>
          </cell>
          <cell r="AK623">
            <v>0</v>
          </cell>
          <cell r="AL623">
            <v>0</v>
          </cell>
          <cell r="AM623">
            <v>0</v>
          </cell>
          <cell r="AN623">
            <v>0</v>
          </cell>
          <cell r="AO623">
            <v>0</v>
          </cell>
          <cell r="AP623">
            <v>0</v>
          </cell>
          <cell r="AQ623">
            <v>300593.31162009295</v>
          </cell>
          <cell r="AR623">
            <v>0</v>
          </cell>
          <cell r="AS623">
            <v>0</v>
          </cell>
          <cell r="AT623">
            <v>5698261.7881033719</v>
          </cell>
          <cell r="AU623">
            <v>27913374.510069065</v>
          </cell>
          <cell r="AV623">
            <v>50966514.066913158</v>
          </cell>
        </row>
        <row r="624">
          <cell r="AJ624">
            <v>0</v>
          </cell>
          <cell r="AK624">
            <v>1582833.3333333333</v>
          </cell>
          <cell r="AL624">
            <v>10350000</v>
          </cell>
          <cell r="AM624">
            <v>6900000</v>
          </cell>
          <cell r="AN624">
            <v>5175000</v>
          </cell>
          <cell r="AO624">
            <v>5196666.666666667</v>
          </cell>
          <cell r="AP624">
            <v>5196666.666666667</v>
          </cell>
          <cell r="AQ624">
            <v>5175000</v>
          </cell>
          <cell r="AR624">
            <v>43333.333333333336</v>
          </cell>
          <cell r="AS624">
            <v>0</v>
          </cell>
          <cell r="AT624">
            <v>21666.666666666668</v>
          </cell>
          <cell r="AU624">
            <v>21666.666666666668</v>
          </cell>
          <cell r="AV624">
            <v>11368333.333333334</v>
          </cell>
        </row>
        <row r="625">
          <cell r="AF625">
            <v>2036000</v>
          </cell>
          <cell r="AG625">
            <v>671000</v>
          </cell>
          <cell r="AH625">
            <v>3104581.833333333</v>
          </cell>
          <cell r="AI625">
            <v>3315776.5</v>
          </cell>
          <cell r="AJ625">
            <v>1765750</v>
          </cell>
          <cell r="AK625">
            <v>2580550</v>
          </cell>
          <cell r="AL625">
            <v>6338750</v>
          </cell>
          <cell r="AM625">
            <v>3577750</v>
          </cell>
          <cell r="AN625">
            <v>1915226.5</v>
          </cell>
          <cell r="AO625">
            <v>1889651.5</v>
          </cell>
          <cell r="AP625">
            <v>1289226.5</v>
          </cell>
          <cell r="AQ625">
            <v>576626.5</v>
          </cell>
          <cell r="AR625">
            <v>4486006.4242362464</v>
          </cell>
          <cell r="AS625">
            <v>3850523.2696620189</v>
          </cell>
          <cell r="AT625">
            <v>3324924.8320251945</v>
          </cell>
          <cell r="AU625">
            <v>3485479.7065912127</v>
          </cell>
          <cell r="AV625">
            <v>2983928.5171469152</v>
          </cell>
        </row>
        <row r="626">
          <cell r="AF626">
            <v>14052000</v>
          </cell>
          <cell r="AG626">
            <v>14213000</v>
          </cell>
          <cell r="AH626">
            <v>27584855.286805555</v>
          </cell>
          <cell r="AI626">
            <v>34424258.625694439</v>
          </cell>
          <cell r="AJ626">
            <v>43400357.108586811</v>
          </cell>
          <cell r="AK626">
            <v>58700627.897475295</v>
          </cell>
          <cell r="AL626">
            <v>88135560.617040217</v>
          </cell>
          <cell r="AM626">
            <v>88661031.875950783</v>
          </cell>
          <cell r="AN626">
            <v>66782760.958692655</v>
          </cell>
          <cell r="AO626">
            <v>78748804.707360476</v>
          </cell>
          <cell r="AP626">
            <v>40763074.175439924</v>
          </cell>
          <cell r="AQ626">
            <v>25575801.799330272</v>
          </cell>
          <cell r="AR626">
            <v>128547969.79953767</v>
          </cell>
          <cell r="AS626">
            <v>119548584.64160457</v>
          </cell>
          <cell r="AT626">
            <v>84094164.351764157</v>
          </cell>
          <cell r="AU626">
            <v>86473482.508034393</v>
          </cell>
          <cell r="AV626">
            <v>108073263.52058318</v>
          </cell>
        </row>
        <row r="628">
          <cell r="AF628">
            <v>18525320</v>
          </cell>
          <cell r="AG628">
            <v>32738320</v>
          </cell>
          <cell r="AH628">
            <v>60323175.286805555</v>
          </cell>
          <cell r="AI628">
            <v>94747433.912499994</v>
          </cell>
          <cell r="AJ628">
            <v>138147791.02108681</v>
          </cell>
          <cell r="AK628">
            <v>196848418.91856211</v>
          </cell>
          <cell r="AL628">
            <v>284983979.53560233</v>
          </cell>
          <cell r="AM628">
            <v>373645011.41155314</v>
          </cell>
          <cell r="AN628">
            <v>440427772.37024581</v>
          </cell>
          <cell r="AO628">
            <v>519176577.07760632</v>
          </cell>
          <cell r="AP628">
            <v>559939651.25304627</v>
          </cell>
          <cell r="AQ628">
            <v>585515453.05237651</v>
          </cell>
          <cell r="AR628">
            <v>714063422.85191417</v>
          </cell>
          <cell r="AS628">
            <v>833612007.49351871</v>
          </cell>
          <cell r="AT628">
            <v>917706171.84528291</v>
          </cell>
          <cell r="AU628">
            <v>1004179654.3533173</v>
          </cell>
          <cell r="AV628">
            <v>1112252917.8739004</v>
          </cell>
        </row>
        <row r="630">
          <cell r="AJ630">
            <v>278897577.49905312</v>
          </cell>
          <cell r="AN630">
            <v>211870441.6408233</v>
          </cell>
        </row>
      </sheetData>
      <sheetData sheetId="1" refreshError="1">
        <row r="1">
          <cell r="B1" t="str">
            <v>CompleTel</v>
          </cell>
        </row>
        <row r="2">
          <cell r="B2" t="str">
            <v>Ten Year Discounted Cash Flow Analysis</v>
          </cell>
        </row>
        <row r="3">
          <cell r="B3" t="str">
            <v>Base Case</v>
          </cell>
        </row>
        <row r="4">
          <cell r="B4" t="str">
            <v>Terminal EBITDA Multiple Approach</v>
          </cell>
        </row>
        <row r="6">
          <cell r="H6" t="str">
            <v>Projected Fiscal Year Ending December 31,</v>
          </cell>
        </row>
        <row r="7">
          <cell r="B7" t="str">
            <v>(USD in millions, Except per Share Data)</v>
          </cell>
          <cell r="H7">
            <v>2000</v>
          </cell>
          <cell r="I7">
            <v>2001</v>
          </cell>
          <cell r="J7">
            <v>2002</v>
          </cell>
          <cell r="K7">
            <v>2003</v>
          </cell>
          <cell r="L7">
            <v>2004</v>
          </cell>
          <cell r="M7">
            <v>2005</v>
          </cell>
          <cell r="N7">
            <v>2006</v>
          </cell>
          <cell r="O7">
            <v>2007</v>
          </cell>
          <cell r="P7">
            <v>2008</v>
          </cell>
          <cell r="Q7">
            <v>2009</v>
          </cell>
        </row>
        <row r="8">
          <cell r="B8" t="str">
            <v>Net Income</v>
          </cell>
          <cell r="H8">
            <v>-160.81850014759888</v>
          </cell>
          <cell r="I8">
            <v>-230.63138676390497</v>
          </cell>
          <cell r="J8">
            <v>-183.25497258474931</v>
          </cell>
          <cell r="K8">
            <v>-49.194570607221138</v>
          </cell>
          <cell r="L8">
            <v>38.239791413513011</v>
          </cell>
          <cell r="M8">
            <v>152.6802654198697</v>
          </cell>
          <cell r="N8">
            <v>271.53450238297762</v>
          </cell>
          <cell r="O8">
            <v>312.26075041202296</v>
          </cell>
          <cell r="P8">
            <v>281.09847293488599</v>
          </cell>
          <cell r="Q8">
            <v>348.92659713352606</v>
          </cell>
        </row>
        <row r="9">
          <cell r="B9" t="str">
            <v>Equity (Earnings) / Loss in Unconsolidated Subsidiaries</v>
          </cell>
          <cell r="H9">
            <v>0</v>
          </cell>
          <cell r="I9">
            <v>0</v>
          </cell>
          <cell r="J9">
            <v>0</v>
          </cell>
          <cell r="K9">
            <v>0</v>
          </cell>
          <cell r="L9">
            <v>0</v>
          </cell>
          <cell r="M9">
            <v>0</v>
          </cell>
          <cell r="N9">
            <v>0</v>
          </cell>
          <cell r="O9">
            <v>0</v>
          </cell>
          <cell r="P9">
            <v>0</v>
          </cell>
          <cell r="Q9">
            <v>0</v>
          </cell>
        </row>
        <row r="10">
          <cell r="B10" t="str">
            <v>Net Interest Expense / (Income)</v>
          </cell>
          <cell r="H10">
            <v>32.026098627919765</v>
          </cell>
          <cell r="I10">
            <v>55.303759312072053</v>
          </cell>
          <cell r="J10">
            <v>66.7208101321241</v>
          </cell>
          <cell r="K10">
            <v>70.204183532250312</v>
          </cell>
          <cell r="L10">
            <v>69.350947885549132</v>
          </cell>
          <cell r="M10">
            <v>62.202007861944182</v>
          </cell>
          <cell r="N10">
            <v>54.947154429180358</v>
          </cell>
          <cell r="O10">
            <v>49.072398454658895</v>
          </cell>
          <cell r="P10">
            <v>42.789452603131288</v>
          </cell>
          <cell r="Q10">
            <v>37.134626438810578</v>
          </cell>
        </row>
        <row r="11">
          <cell r="B11" t="str">
            <v>Loss on Debt Redemption</v>
          </cell>
          <cell r="H11">
            <v>0</v>
          </cell>
          <cell r="I11">
            <v>0</v>
          </cell>
          <cell r="J11">
            <v>0</v>
          </cell>
          <cell r="K11">
            <v>0</v>
          </cell>
          <cell r="L11">
            <v>0</v>
          </cell>
          <cell r="M11">
            <v>0</v>
          </cell>
          <cell r="N11">
            <v>0</v>
          </cell>
          <cell r="O11">
            <v>0</v>
          </cell>
          <cell r="P11">
            <v>0</v>
          </cell>
          <cell r="Q11">
            <v>0</v>
          </cell>
        </row>
        <row r="12">
          <cell r="B12" t="str">
            <v>Loss on Preferred Redemption</v>
          </cell>
          <cell r="H12">
            <v>0</v>
          </cell>
          <cell r="I12">
            <v>0</v>
          </cell>
          <cell r="J12">
            <v>0</v>
          </cell>
          <cell r="K12">
            <v>0</v>
          </cell>
          <cell r="L12">
            <v>0</v>
          </cell>
          <cell r="M12">
            <v>0</v>
          </cell>
          <cell r="N12">
            <v>0</v>
          </cell>
          <cell r="O12">
            <v>0</v>
          </cell>
          <cell r="P12">
            <v>0</v>
          </cell>
          <cell r="Q12">
            <v>0</v>
          </cell>
        </row>
        <row r="13">
          <cell r="B13" t="str">
            <v>Marginal Tax Rate</v>
          </cell>
          <cell r="H13">
            <v>0.43330000000000002</v>
          </cell>
          <cell r="I13">
            <v>0.43330000000000002</v>
          </cell>
          <cell r="J13">
            <v>0.43330000000000002</v>
          </cell>
          <cell r="K13">
            <v>0.43330000000000002</v>
          </cell>
          <cell r="L13">
            <v>0.43330000000000002</v>
          </cell>
          <cell r="M13">
            <v>0.43330000000000002</v>
          </cell>
          <cell r="N13">
            <v>0.43330000000000002</v>
          </cell>
          <cell r="O13">
            <v>0.43330000000000002</v>
          </cell>
          <cell r="P13">
            <v>0.43330000000000002</v>
          </cell>
          <cell r="Q13">
            <v>0.43330000000000002</v>
          </cell>
        </row>
        <row r="14">
          <cell r="B14" t="str">
            <v>Unlevered Pre-tax Income</v>
          </cell>
          <cell r="H14">
            <v>55.805747578476961</v>
          </cell>
          <cell r="I14">
            <v>75.969460974879198</v>
          </cell>
          <cell r="J14">
            <v>50.494252590722503</v>
          </cell>
          <cell r="K14">
            <v>-9.1034652804151417</v>
          </cell>
          <cell r="L14">
            <v>-46.619067338283628</v>
          </cell>
          <cell r="M14">
            <v>-93.108489013009958</v>
          </cell>
          <cell r="N14">
            <v>-141.46450189670807</v>
          </cell>
          <cell r="O14">
            <v>-156.56565340393325</v>
          </cell>
          <cell r="P14">
            <v>-140.3406381356229</v>
          </cell>
          <cell r="Q14">
            <v>-167.28032817389348</v>
          </cell>
        </row>
        <row r="15">
          <cell r="C15" t="str">
            <v>NOL beginning</v>
          </cell>
          <cell r="H15">
            <v>-60.433327302123203</v>
          </cell>
          <cell r="I15">
            <v>-136.4027882770024</v>
          </cell>
          <cell r="J15">
            <v>-186.89704086772491</v>
          </cell>
          <cell r="K15">
            <v>-186.89704086772491</v>
          </cell>
          <cell r="L15">
            <v>-177.79357558730976</v>
          </cell>
          <cell r="M15">
            <v>-131.17450824902613</v>
          </cell>
          <cell r="N15">
            <v>-38.066019236016174</v>
          </cell>
          <cell r="O15">
            <v>0</v>
          </cell>
          <cell r="P15">
            <v>0</v>
          </cell>
          <cell r="Q15">
            <v>0</v>
          </cell>
        </row>
        <row r="16">
          <cell r="C16" t="str">
            <v>NOL used</v>
          </cell>
          <cell r="H16">
            <v>0</v>
          </cell>
          <cell r="I16">
            <v>0</v>
          </cell>
          <cell r="J16">
            <v>0</v>
          </cell>
          <cell r="K16">
            <v>-9.1034652804151417</v>
          </cell>
          <cell r="L16">
            <v>-46.619067338283628</v>
          </cell>
          <cell r="M16">
            <v>-93.108489013009958</v>
          </cell>
          <cell r="N16">
            <v>-38.066019236016174</v>
          </cell>
          <cell r="O16">
            <v>0</v>
          </cell>
          <cell r="P16">
            <v>0</v>
          </cell>
          <cell r="Q16">
            <v>0</v>
          </cell>
        </row>
        <row r="17">
          <cell r="C17" t="str">
            <v>NOL ending</v>
          </cell>
          <cell r="H17">
            <v>-60.433327302123203</v>
          </cell>
          <cell r="I17">
            <v>-136.4027882770024</v>
          </cell>
          <cell r="J17">
            <v>-186.89704086772491</v>
          </cell>
          <cell r="K17">
            <v>-177.79357558730976</v>
          </cell>
          <cell r="L17">
            <v>-131.17450824902613</v>
          </cell>
          <cell r="M17">
            <v>-38.066019236016174</v>
          </cell>
          <cell r="N17">
            <v>0</v>
          </cell>
          <cell r="O17">
            <v>0</v>
          </cell>
          <cell r="P17">
            <v>0</v>
          </cell>
          <cell r="Q17">
            <v>0</v>
          </cell>
        </row>
        <row r="18">
          <cell r="B18" t="str">
            <v>Unlevered Tax Paid</v>
          </cell>
          <cell r="H18">
            <v>0</v>
          </cell>
          <cell r="I18">
            <v>0</v>
          </cell>
          <cell r="J18">
            <v>0</v>
          </cell>
          <cell r="K18">
            <v>0</v>
          </cell>
          <cell r="L18">
            <v>0</v>
          </cell>
          <cell r="M18">
            <v>0</v>
          </cell>
          <cell r="N18">
            <v>-103.3984826606919</v>
          </cell>
          <cell r="O18">
            <v>-156.56565340393325</v>
          </cell>
          <cell r="P18">
            <v>-140.3406381356229</v>
          </cell>
          <cell r="Q18">
            <v>-167.28032817389348</v>
          </cell>
        </row>
        <row r="19">
          <cell r="B19" t="str">
            <v>Levered Tax Paid</v>
          </cell>
          <cell r="H19">
            <v>0</v>
          </cell>
          <cell r="I19">
            <v>0</v>
          </cell>
          <cell r="J19">
            <v>0</v>
          </cell>
          <cell r="K19">
            <v>0</v>
          </cell>
          <cell r="L19">
            <v>0</v>
          </cell>
          <cell r="M19">
            <v>0</v>
          </cell>
          <cell r="N19">
            <v>0</v>
          </cell>
          <cell r="O19">
            <v>65.641478631165839</v>
          </cell>
          <cell r="P19">
            <v>214.92847771781561</v>
          </cell>
          <cell r="Q19">
            <v>266.7900027138819</v>
          </cell>
        </row>
        <row r="20">
          <cell r="B20" t="str">
            <v>Minority Interest in Net Income</v>
          </cell>
          <cell r="H20">
            <v>0</v>
          </cell>
          <cell r="I20">
            <v>0</v>
          </cell>
          <cell r="J20">
            <v>0</v>
          </cell>
          <cell r="K20">
            <v>0</v>
          </cell>
          <cell r="L20">
            <v>0</v>
          </cell>
          <cell r="M20">
            <v>0</v>
          </cell>
          <cell r="N20">
            <v>0</v>
          </cell>
          <cell r="O20">
            <v>0</v>
          </cell>
          <cell r="P20">
            <v>0</v>
          </cell>
          <cell r="Q20">
            <v>0</v>
          </cell>
        </row>
        <row r="21">
          <cell r="B21" t="str">
            <v xml:space="preserve">    Earnings Before Interest</v>
          </cell>
          <cell r="H21">
            <v>-128.79240151967912</v>
          </cell>
          <cell r="I21">
            <v>-175.32762745183291</v>
          </cell>
          <cell r="J21">
            <v>-116.53416245262521</v>
          </cell>
          <cell r="K21">
            <v>21.009612925029174</v>
          </cell>
          <cell r="L21">
            <v>107.59073929906214</v>
          </cell>
          <cell r="M21">
            <v>214.88227328181387</v>
          </cell>
          <cell r="N21">
            <v>223.0831741514661</v>
          </cell>
          <cell r="O21">
            <v>270.40897409391448</v>
          </cell>
          <cell r="P21">
            <v>398.47576512020999</v>
          </cell>
          <cell r="Q21">
            <v>485.57089811232504</v>
          </cell>
        </row>
        <row r="22">
          <cell r="B22" t="str">
            <v>Depreciation</v>
          </cell>
          <cell r="H22">
            <v>14.290353325962556</v>
          </cell>
          <cell r="I22">
            <v>39.376506330818714</v>
          </cell>
          <cell r="J22">
            <v>56.413758893955517</v>
          </cell>
          <cell r="K22">
            <v>68.541535183536638</v>
          </cell>
          <cell r="L22">
            <v>77.23661245588896</v>
          </cell>
          <cell r="M22">
            <v>84.354497572051812</v>
          </cell>
          <cell r="N22">
            <v>93.889670552248035</v>
          </cell>
          <cell r="O22">
            <v>104.99191333610642</v>
          </cell>
          <cell r="P22">
            <v>111.83673481401829</v>
          </cell>
          <cell r="Q22">
            <v>112.03665562159522</v>
          </cell>
        </row>
        <row r="23">
          <cell r="B23" t="str">
            <v>Amortization of Intangibles</v>
          </cell>
          <cell r="H23">
            <v>0.26500000000000001</v>
          </cell>
          <cell r="I23">
            <v>0.26500000000000001</v>
          </cell>
          <cell r="J23">
            <v>0.26500000000000001</v>
          </cell>
          <cell r="K23">
            <v>0.26500000000000001</v>
          </cell>
          <cell r="L23">
            <v>0.26500000000000001</v>
          </cell>
          <cell r="M23">
            <v>0.26500000000000001</v>
          </cell>
          <cell r="N23">
            <v>0.26500000000000001</v>
          </cell>
          <cell r="O23">
            <v>0.26500000000000001</v>
          </cell>
          <cell r="P23">
            <v>0.26500000000000001</v>
          </cell>
          <cell r="Q23">
            <v>1.6250000000000001E-2</v>
          </cell>
        </row>
        <row r="24">
          <cell r="B24" t="str">
            <v>Amortization of Financing Fees</v>
          </cell>
          <cell r="H24">
            <v>2.3468874</v>
          </cell>
          <cell r="I24">
            <v>2.3468874</v>
          </cell>
          <cell r="J24">
            <v>2.3468874</v>
          </cell>
          <cell r="K24">
            <v>2.3468874</v>
          </cell>
          <cell r="L24">
            <v>2.3468874</v>
          </cell>
          <cell r="M24">
            <v>2.3468874</v>
          </cell>
          <cell r="N24">
            <v>2.3468874</v>
          </cell>
          <cell r="O24">
            <v>2.3468874</v>
          </cell>
          <cell r="P24">
            <v>2.3468874</v>
          </cell>
          <cell r="Q24">
            <v>2.1199999999999872</v>
          </cell>
        </row>
        <row r="25">
          <cell r="B25" t="str">
            <v>Increase / (Decrease) in Deferred Taxes</v>
          </cell>
          <cell r="H25">
            <v>0</v>
          </cell>
          <cell r="I25">
            <v>0</v>
          </cell>
          <cell r="J25">
            <v>0</v>
          </cell>
          <cell r="K25">
            <v>0</v>
          </cell>
          <cell r="L25">
            <v>0</v>
          </cell>
          <cell r="M25">
            <v>0</v>
          </cell>
          <cell r="N25">
            <v>0</v>
          </cell>
          <cell r="O25">
            <v>0</v>
          </cell>
          <cell r="P25">
            <v>0</v>
          </cell>
          <cell r="Q25">
            <v>0</v>
          </cell>
        </row>
        <row r="26">
          <cell r="B26" t="str">
            <v>Increase / (Decrease) in Provisions</v>
          </cell>
          <cell r="H26">
            <v>0</v>
          </cell>
          <cell r="I26">
            <v>0</v>
          </cell>
          <cell r="J26">
            <v>0</v>
          </cell>
          <cell r="K26">
            <v>0</v>
          </cell>
          <cell r="L26">
            <v>0</v>
          </cell>
          <cell r="M26">
            <v>0</v>
          </cell>
          <cell r="N26">
            <v>0</v>
          </cell>
          <cell r="O26">
            <v>0</v>
          </cell>
          <cell r="P26">
            <v>0</v>
          </cell>
          <cell r="Q26">
            <v>0</v>
          </cell>
        </row>
        <row r="27">
          <cell r="B27" t="str">
            <v>Change in Net Working Capital</v>
          </cell>
          <cell r="H27">
            <v>31.699586828023428</v>
          </cell>
          <cell r="I27">
            <v>-56.400071233706477</v>
          </cell>
          <cell r="J27">
            <v>-46.356409802469031</v>
          </cell>
          <cell r="K27">
            <v>-29.054366612935798</v>
          </cell>
          <cell r="L27">
            <v>-34.777125977160708</v>
          </cell>
          <cell r="M27">
            <v>-19.804080600751742</v>
          </cell>
          <cell r="N27">
            <v>-20.454735258149586</v>
          </cell>
          <cell r="O27">
            <v>-20.538124693960221</v>
          </cell>
          <cell r="P27">
            <v>-25.335287748780488</v>
          </cell>
          <cell r="Q27">
            <v>-29.211588202896319</v>
          </cell>
        </row>
        <row r="28">
          <cell r="B28" t="str">
            <v>Non-cash Interest Expense</v>
          </cell>
          <cell r="H28">
            <v>12.442200750000001</v>
          </cell>
          <cell r="I28">
            <v>14.245075638675001</v>
          </cell>
          <cell r="J28">
            <v>16.309187098719008</v>
          </cell>
          <cell r="K28">
            <v>18.636036512605994</v>
          </cell>
          <cell r="L28">
            <v>0</v>
          </cell>
          <cell r="M28">
            <v>0</v>
          </cell>
          <cell r="N28">
            <v>0</v>
          </cell>
          <cell r="O28">
            <v>0</v>
          </cell>
          <cell r="P28">
            <v>0</v>
          </cell>
          <cell r="Q28">
            <v>-147.5</v>
          </cell>
        </row>
        <row r="29">
          <cell r="B29" t="str">
            <v>Financing Costs</v>
          </cell>
          <cell r="H29">
            <v>-17</v>
          </cell>
          <cell r="I29">
            <v>0</v>
          </cell>
          <cell r="J29">
            <v>0</v>
          </cell>
          <cell r="K29">
            <v>0</v>
          </cell>
          <cell r="L29">
            <v>0</v>
          </cell>
          <cell r="M29">
            <v>0</v>
          </cell>
          <cell r="N29">
            <v>0</v>
          </cell>
          <cell r="O29">
            <v>0</v>
          </cell>
          <cell r="P29">
            <v>0</v>
          </cell>
          <cell r="Q29">
            <v>0</v>
          </cell>
        </row>
        <row r="30">
          <cell r="B30" t="str">
            <v>Capital Expenditures</v>
          </cell>
          <cell r="H30">
            <v>-278.89757749905311</v>
          </cell>
          <cell r="I30">
            <v>-211.87044164082332</v>
          </cell>
          <cell r="J30">
            <v>-128.54796979953767</v>
          </cell>
          <cell r="K30">
            <v>-119.54858464160458</v>
          </cell>
          <cell r="L30">
            <v>-84.094164351764164</v>
          </cell>
          <cell r="M30">
            <v>-86.473482508034394</v>
          </cell>
          <cell r="N30">
            <v>-108.07326352058318</v>
          </cell>
          <cell r="O30">
            <v>-108.85971288401848</v>
          </cell>
          <cell r="P30">
            <v>-120.23101918769072</v>
          </cell>
          <cell r="Q30">
            <v>-125.04128019637666</v>
          </cell>
        </row>
        <row r="31">
          <cell r="B31" t="str">
            <v xml:space="preserve">    Unlevered Free Cash Flow</v>
          </cell>
          <cell r="H31">
            <v>-363.64595071474628</v>
          </cell>
          <cell r="I31">
            <v>-387.36467095686896</v>
          </cell>
          <cell r="J31">
            <v>-216.1037086619574</v>
          </cell>
          <cell r="K31">
            <v>-37.803879233368562</v>
          </cell>
          <cell r="L31">
            <v>68.567948826026225</v>
          </cell>
          <cell r="M31">
            <v>195.57109514507954</v>
          </cell>
          <cell r="N31">
            <v>191.05673332498139</v>
          </cell>
          <cell r="O31">
            <v>248.61493725204221</v>
          </cell>
          <cell r="P31">
            <v>367.35808039775708</v>
          </cell>
          <cell r="Q31">
            <v>297.99093533464725</v>
          </cell>
        </row>
        <row r="32">
          <cell r="B32" t="str">
            <v>Terminal EBITDA</v>
          </cell>
          <cell r="Q32">
            <v>767.02413190781374</v>
          </cell>
        </row>
        <row r="33">
          <cell r="B33" t="str">
            <v>Terminal Adjusted Free Cash Flow</v>
          </cell>
          <cell r="Q33">
            <v>310.99555990942866</v>
          </cell>
        </row>
        <row r="35">
          <cell r="D35" t="str">
            <v>Terminal EBITDA Multiple Range</v>
          </cell>
          <cell r="L35" t="str">
            <v>Terminal EBITDA Multiple Range</v>
          </cell>
        </row>
        <row r="36">
          <cell r="D36">
            <v>10</v>
          </cell>
          <cell r="E36">
            <v>10.5</v>
          </cell>
          <cell r="F36">
            <v>11</v>
          </cell>
          <cell r="G36">
            <v>11.5</v>
          </cell>
          <cell r="H36">
            <v>12</v>
          </cell>
          <cell r="L36">
            <v>10</v>
          </cell>
          <cell r="M36">
            <v>10.5</v>
          </cell>
          <cell r="N36">
            <v>11</v>
          </cell>
          <cell r="O36">
            <v>11.5</v>
          </cell>
          <cell r="P36">
            <v>12</v>
          </cell>
        </row>
        <row r="38">
          <cell r="D38" t="str">
            <v>Terminal Value</v>
          </cell>
          <cell r="L38" t="str">
            <v>Implied Terminal P/E Multiple</v>
          </cell>
        </row>
        <row r="39">
          <cell r="D39">
            <v>7670.2413190781372</v>
          </cell>
          <cell r="E39">
            <v>8053.7533850320442</v>
          </cell>
          <cell r="F39">
            <v>8437.2654509859512</v>
          </cell>
          <cell r="G39">
            <v>8820.7775169398574</v>
          </cell>
          <cell r="H39">
            <v>9204.2895828937653</v>
          </cell>
          <cell r="L39">
            <v>37.851206595390686</v>
          </cell>
          <cell r="M39">
            <v>39.768766925160222</v>
          </cell>
          <cell r="N39">
            <v>41.686327254929758</v>
          </cell>
          <cell r="O39">
            <v>43.603887584699287</v>
          </cell>
          <cell r="P39">
            <v>45.52144791446883</v>
          </cell>
        </row>
        <row r="41">
          <cell r="C41" t="str">
            <v>WACC</v>
          </cell>
          <cell r="D41" t="str">
            <v>Firm Value as of 1/1/00</v>
          </cell>
          <cell r="K41" t="str">
            <v>WACC</v>
          </cell>
          <cell r="L41" t="str">
            <v>Equity Value as of 1/1/00 (a)</v>
          </cell>
        </row>
        <row r="42">
          <cell r="C42">
            <v>0.13499999999999998</v>
          </cell>
          <cell r="D42">
            <v>1850.2513036854607</v>
          </cell>
          <cell r="E42">
            <v>1958.3875003081293</v>
          </cell>
          <cell r="F42">
            <v>2066.5236969307985</v>
          </cell>
          <cell r="G42">
            <v>2174.6598935534666</v>
          </cell>
          <cell r="H42">
            <v>2282.7960901761362</v>
          </cell>
          <cell r="K42">
            <v>0.13499999999999998</v>
          </cell>
          <cell r="L42">
            <v>1794.2513036854607</v>
          </cell>
          <cell r="M42">
            <v>1902.3875003081293</v>
          </cell>
          <cell r="N42">
            <v>2010.5236969307985</v>
          </cell>
          <cell r="O42">
            <v>2118.6598935534666</v>
          </cell>
          <cell r="P42">
            <v>2226.7960901761362</v>
          </cell>
        </row>
        <row r="43">
          <cell r="C43">
            <v>0.13999999999999999</v>
          </cell>
          <cell r="D43">
            <v>1745.3895563624212</v>
          </cell>
          <cell r="E43">
            <v>1848.8767053382073</v>
          </cell>
          <cell r="F43">
            <v>1952.3638543139944</v>
          </cell>
          <cell r="G43">
            <v>2055.8510032897802</v>
          </cell>
          <cell r="H43">
            <v>2159.3381522655668</v>
          </cell>
          <cell r="K43">
            <v>0.13999999999999999</v>
          </cell>
          <cell r="L43">
            <v>1689.3895563624212</v>
          </cell>
          <cell r="M43">
            <v>1792.8767053382073</v>
          </cell>
          <cell r="N43">
            <v>1896.3638543139944</v>
          </cell>
          <cell r="O43">
            <v>1999.8510032897802</v>
          </cell>
          <cell r="P43">
            <v>2103.3381522655668</v>
          </cell>
        </row>
        <row r="44">
          <cell r="C44">
            <v>0.14499999999999999</v>
          </cell>
          <cell r="D44">
            <v>1645.4711057600764</v>
          </cell>
          <cell r="E44">
            <v>1744.5281297868582</v>
          </cell>
          <cell r="F44">
            <v>1843.5851538136394</v>
          </cell>
          <cell r="G44">
            <v>1942.642177840421</v>
          </cell>
          <cell r="H44">
            <v>2041.6992018672026</v>
          </cell>
          <cell r="K44">
            <v>0.14499999999999999</v>
          </cell>
          <cell r="L44">
            <v>1589.4711057600764</v>
          </cell>
          <cell r="M44">
            <v>1688.5281297868582</v>
          </cell>
          <cell r="N44">
            <v>1787.5851538136394</v>
          </cell>
          <cell r="O44">
            <v>1886.642177840421</v>
          </cell>
          <cell r="P44">
            <v>1985.6992018672026</v>
          </cell>
        </row>
        <row r="45">
          <cell r="C45">
            <v>0.15</v>
          </cell>
          <cell r="D45">
            <v>1550.2465207513262</v>
          </cell>
          <cell r="E45">
            <v>1645.0811441886258</v>
          </cell>
          <cell r="F45">
            <v>1739.9157676259258</v>
          </cell>
          <cell r="G45">
            <v>1834.7503910632252</v>
          </cell>
          <cell r="H45">
            <v>1929.5850145005254</v>
          </cell>
          <cell r="K45">
            <v>0.15</v>
          </cell>
          <cell r="L45">
            <v>1494.2465207513262</v>
          </cell>
          <cell r="M45">
            <v>1589.0811441886258</v>
          </cell>
          <cell r="N45">
            <v>1683.9157676259258</v>
          </cell>
          <cell r="O45">
            <v>1778.7503910632252</v>
          </cell>
          <cell r="P45">
            <v>1873.5850145005254</v>
          </cell>
        </row>
        <row r="46">
          <cell r="C46">
            <v>0.155</v>
          </cell>
          <cell r="D46">
            <v>1459.479960066591</v>
          </cell>
          <cell r="E46">
            <v>1550.2893268559405</v>
          </cell>
          <cell r="F46">
            <v>1641.0986936452905</v>
          </cell>
          <cell r="G46">
            <v>1731.9080604346404</v>
          </cell>
          <cell r="H46">
            <v>1822.7174272239904</v>
          </cell>
          <cell r="K46">
            <v>0.155</v>
          </cell>
          <cell r="L46">
            <v>1403.479960066591</v>
          </cell>
          <cell r="M46">
            <v>1494.2893268559405</v>
          </cell>
          <cell r="N46">
            <v>1585.0986936452905</v>
          </cell>
          <cell r="O46">
            <v>1675.9080604346404</v>
          </cell>
          <cell r="P46">
            <v>1766.7174272239904</v>
          </cell>
        </row>
        <row r="48">
          <cell r="C48" t="str">
            <v>WACC</v>
          </cell>
          <cell r="D48" t="str">
            <v>Implied Perpetuity Growth Rate</v>
          </cell>
          <cell r="K48" t="str">
            <v>WACC</v>
          </cell>
          <cell r="L48" t="str">
            <v>Equity Value after Discounts as of 1/1/00 (b)</v>
          </cell>
        </row>
        <row r="49">
          <cell r="C49">
            <v>0.13499999999999998</v>
          </cell>
          <cell r="D49">
            <v>9.0773777191540042</v>
          </cell>
          <cell r="E49">
            <v>9.2801487788744215</v>
          </cell>
          <cell r="F49">
            <v>9.4651414143040711</v>
          </cell>
          <cell r="G49">
            <v>9.6345955760544424</v>
          </cell>
          <cell r="H49">
            <v>9.7903900913134994</v>
          </cell>
          <cell r="K49">
            <v>0.13499999999999998</v>
          </cell>
          <cell r="L49">
            <v>1356.0908865061133</v>
          </cell>
          <cell r="M49">
            <v>1429.6235002095279</v>
          </cell>
          <cell r="N49">
            <v>1503.1561139129431</v>
          </cell>
          <cell r="O49">
            <v>1576.6887276163573</v>
          </cell>
          <cell r="P49">
            <v>1650.2213413197728</v>
          </cell>
        </row>
        <row r="50">
          <cell r="C50">
            <v>0.13999999999999999</v>
          </cell>
          <cell r="D50">
            <v>9.5578948016172376</v>
          </cell>
          <cell r="E50">
            <v>9.7615591259179197</v>
          </cell>
          <cell r="F50">
            <v>9.9473667068780998</v>
          </cell>
          <cell r="G50">
            <v>10.117567362733098</v>
          </cell>
          <cell r="H50">
            <v>10.274048197442635</v>
          </cell>
          <cell r="K50">
            <v>0.13999999999999999</v>
          </cell>
          <cell r="L50">
            <v>1284.7848983264464</v>
          </cell>
          <cell r="M50">
            <v>1355.1561596299809</v>
          </cell>
          <cell r="N50">
            <v>1425.5274209335159</v>
          </cell>
          <cell r="O50">
            <v>1495.8986822370507</v>
          </cell>
          <cell r="P50">
            <v>1566.2699435405855</v>
          </cell>
        </row>
        <row r="51">
          <cell r="C51">
            <v>0.14499999999999999</v>
          </cell>
          <cell r="D51">
            <v>10.038411884080473</v>
          </cell>
          <cell r="E51">
            <v>10.24296947296142</v>
          </cell>
          <cell r="F51">
            <v>10.429591999452125</v>
          </cell>
          <cell r="G51">
            <v>10.600539149411748</v>
          </cell>
          <cell r="H51">
            <v>10.757706303571769</v>
          </cell>
          <cell r="K51">
            <v>0.14499999999999999</v>
          </cell>
          <cell r="L51">
            <v>1216.8403519168519</v>
          </cell>
          <cell r="M51">
            <v>1284.1991282550637</v>
          </cell>
          <cell r="N51">
            <v>1351.557904593275</v>
          </cell>
          <cell r="O51">
            <v>1418.9166809314863</v>
          </cell>
          <cell r="P51">
            <v>1486.2754572696979</v>
          </cell>
        </row>
        <row r="52">
          <cell r="C52">
            <v>0.15</v>
          </cell>
          <cell r="D52">
            <v>10.518928966543704</v>
          </cell>
          <cell r="E52">
            <v>10.724379820004922</v>
          </cell>
          <cell r="F52">
            <v>10.911817292026154</v>
          </cell>
          <cell r="G52">
            <v>11.083510936090404</v>
          </cell>
          <cell r="H52">
            <v>11.241364409700903</v>
          </cell>
          <cell r="K52">
            <v>0.15</v>
          </cell>
          <cell r="L52">
            <v>1152.0876341109019</v>
          </cell>
          <cell r="M52">
            <v>1216.5751780482656</v>
          </cell>
          <cell r="N52">
            <v>1281.0627219856297</v>
          </cell>
          <cell r="O52">
            <v>1345.5502659229933</v>
          </cell>
          <cell r="P52">
            <v>1410.0378098603571</v>
          </cell>
        </row>
        <row r="53">
          <cell r="C53">
            <v>0.155</v>
          </cell>
          <cell r="D53">
            <v>10.99944604900694</v>
          </cell>
          <cell r="E53">
            <v>11.205790167048422</v>
          </cell>
          <cell r="F53">
            <v>11.394042584600179</v>
          </cell>
          <cell r="G53">
            <v>11.566482722769059</v>
          </cell>
          <cell r="H53">
            <v>11.725022515830037</v>
          </cell>
          <cell r="K53">
            <v>0.155</v>
          </cell>
          <cell r="L53">
            <v>1090.3663728452821</v>
          </cell>
          <cell r="M53">
            <v>1152.1167422620397</v>
          </cell>
          <cell r="N53">
            <v>1213.8671116787975</v>
          </cell>
          <cell r="O53">
            <v>1275.6174810955556</v>
          </cell>
          <cell r="P53">
            <v>1337.3678505123135</v>
          </cell>
        </row>
        <row r="55">
          <cell r="B55" t="str">
            <v xml:space="preserve">(a) </v>
          </cell>
          <cell r="C55" t="str">
            <v>Equity Value equals Firm Value less total straight and convertible debt, straight and convertible preferred stock and minority interest, plus cash, options and warrants proceeds and investments in unconsolidated subsidiaries.</v>
          </cell>
        </row>
        <row r="56">
          <cell r="B56" t="str">
            <v xml:space="preserve">(b) </v>
          </cell>
          <cell r="C56" t="str">
            <v xml:space="preserve"> Assumes Public Trading Discount of 20% and IPO Discount of 15%.</v>
          </cell>
        </row>
      </sheetData>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
      <sheetName val="Index"/>
      <sheetName val="Sum"/>
      <sheetName val="Firm Value"/>
      <sheetName val="Premium"/>
      <sheetName val="Shares Outstanding"/>
      <sheetName val="Assump"/>
      <sheetName val="LTM"/>
      <sheetName val="P&amp;L"/>
      <sheetName val="BS"/>
      <sheetName val="CFS"/>
      <sheetName val="Depr"/>
      <sheetName val="Depr (5 Years)"/>
      <sheetName val="Depr (10 Years)"/>
      <sheetName val="Depr (20 Years)"/>
      <sheetName val="Amort"/>
      <sheetName val="Conv. Debt"/>
      <sheetName val="Preferred"/>
      <sheetName val="Conv. Pref."/>
      <sheetName val="Options"/>
      <sheetName val="Debt"/>
      <sheetName val="Tax"/>
      <sheetName val="Comps"/>
      <sheetName val="DCF_10"/>
      <sheetName val="DCF_Method II"/>
      <sheetName val="DCF_5"/>
      <sheetName val="LBO"/>
      <sheetName val="EVA"/>
      <sheetName val="Print Controls"/>
      <sheetName val="PrintMacro"/>
      <sheetName val="DebtMacro"/>
      <sheetName val="Module1"/>
      <sheetName val="Module2"/>
      <sheetName val="Beta"/>
      <sheetName val="Parameters"/>
      <sheetName val="Share price analysis"/>
      <sheetName val="REQUEST_TABLE"/>
      <sheetName val="INPUT"/>
      <sheetName val="Return Analysis"/>
      <sheetName val="Output Multiples (3)"/>
      <sheetName val="Regressions"/>
      <sheetName val="Market Values"/>
      <sheetName val="Ratios"/>
      <sheetName val="OUTPUT (2)"/>
      <sheetName val="Datastream clean"/>
      <sheetName val="Forecast &amp; Analysis "/>
      <sheetName val="Output Multiples"/>
    </sheetNames>
    <sheetDataSet>
      <sheetData sheetId="0" refreshError="1">
        <row r="21">
          <cell r="E21" t="str">
            <v>(FRF in millions, Except per Share Data)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s"/>
      <sheetName val="BELG"/>
      <sheetName val="BT"/>
      <sheetName val="DT"/>
      <sheetName val="EIR"/>
      <sheetName val="FT"/>
      <sheetName val="KPN"/>
      <sheetName val="OTE"/>
      <sheetName val="PT"/>
      <sheetName val="SWISS"/>
      <sheetName val="TDC - dummy"/>
      <sheetName val="TDC"/>
      <sheetName val="TI"/>
      <sheetName val="TEF"/>
      <sheetName val="TELKA"/>
      <sheetName val="TSON"/>
      <sheetName val="TNOR"/>
      <sheetName val="George"/>
      <sheetName val="Aggregate"/>
      <sheetName val="Fwd mults"/>
      <sheetName val="DSL"/>
      <sheetName val="Working"/>
      <sheetName val="working2"/>
      <sheetName val="DSL working"/>
      <sheetName val="Multiples"/>
      <sheetName val="Graphical-Multiples"/>
      <sheetName val="GEORGE1"/>
      <sheetName val="BELG1"/>
      <sheetName val="BT1"/>
      <sheetName val="DT1"/>
      <sheetName val="FT1"/>
      <sheetName val="KPN1"/>
      <sheetName val="OTE1"/>
      <sheetName val="PT1"/>
      <sheetName val="SWISS1"/>
      <sheetName val="TI1"/>
      <sheetName val="TEF1"/>
      <sheetName val="TELKA1"/>
      <sheetName val="TNOR1"/>
      <sheetName val="TSON1"/>
      <sheetName val="BELG2"/>
      <sheetName val="BT2"/>
      <sheetName val="DT2"/>
      <sheetName val="FT2"/>
      <sheetName val="KPN2"/>
      <sheetName val="OTE2"/>
      <sheetName val="PT2"/>
      <sheetName val="SWISS2"/>
      <sheetName val="TI2"/>
      <sheetName val="TEF2"/>
      <sheetName val="TELKA2"/>
      <sheetName val="TNOR2"/>
      <sheetName val="TSON2"/>
      <sheetName val="1"/>
      <sheetName val="Share prices"/>
      <sheetName val="TDC2"/>
      <sheetName val="Debt prices"/>
      <sheetName val="Summod"/>
      <sheetName val="Multmod"/>
      <sheetName val="FK"/>
      <sheetName val="ConsensusSummary"/>
      <sheetName val="ConsensusData"/>
      <sheetName val="Consensu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046">
          <cell r="B2046" t="str">
            <v>France Telecom</v>
          </cell>
          <cell r="C2046">
            <v>0.36147980796385204</v>
          </cell>
          <cell r="D2046">
            <v>0.29673340358271866</v>
          </cell>
          <cell r="E2046">
            <v>0.28302322893794057</v>
          </cell>
          <cell r="F2046">
            <v>0.22723271717787258</v>
          </cell>
          <cell r="G2046">
            <v>0.19209833187006145</v>
          </cell>
          <cell r="H2046">
            <v>0.13165375397135054</v>
          </cell>
          <cell r="I2046">
            <v>0.13107836144333276</v>
          </cell>
          <cell r="J2046">
            <v>0.13301256891712376</v>
          </cell>
          <cell r="K2046">
            <v>0.12906497005818965</v>
          </cell>
          <cell r="L2046">
            <v>0.12649485643057773</v>
          </cell>
          <cell r="M2046">
            <v>0.12231894064553453</v>
          </cell>
          <cell r="N2046">
            <v>0.11286655145010203</v>
          </cell>
          <cell r="O2046">
            <v>0.10881429380122903</v>
          </cell>
          <cell r="P2046">
            <v>0.10761912739597691</v>
          </cell>
          <cell r="Q2046">
            <v>0.1066751221238301</v>
          </cell>
          <cell r="R2046" t="e">
            <v>#DIV/0!</v>
          </cell>
          <cell r="S2046" t="e">
            <v>#DIV/0!</v>
          </cell>
        </row>
        <row r="2047">
          <cell r="B2047" t="str">
            <v>KPN</v>
          </cell>
          <cell r="C2047">
            <v>0.21341915227629515</v>
          </cell>
          <cell r="D2047">
            <v>0.24093478260869566</v>
          </cell>
          <cell r="E2047">
            <v>0.2491011552550014</v>
          </cell>
          <cell r="F2047">
            <v>0.20609347252996185</v>
          </cell>
          <cell r="G2047">
            <v>0.10956301456618113</v>
          </cell>
          <cell r="H2047">
            <v>0.16608323609490472</v>
          </cell>
          <cell r="I2047">
            <v>0.19471884498480244</v>
          </cell>
          <cell r="J2047">
            <v>0.11785277146354257</v>
          </cell>
          <cell r="K2047">
            <v>0.13098591549295774</v>
          </cell>
          <cell r="L2047">
            <v>0.11880650020224814</v>
          </cell>
          <cell r="M2047">
            <v>0.11077180156196689</v>
          </cell>
          <cell r="N2047">
            <v>0.10846569486461541</v>
          </cell>
          <cell r="O2047">
            <v>0.10935188256671713</v>
          </cell>
          <cell r="P2047">
            <v>0.10997346499732358</v>
          </cell>
          <cell r="Q2047">
            <v>0.111193674927883</v>
          </cell>
          <cell r="R2047">
            <v>0.1111886788231933</v>
          </cell>
          <cell r="S2047">
            <v>0.11120760241071294</v>
          </cell>
        </row>
        <row r="2048">
          <cell r="B2048" t="str">
            <v>OTE</v>
          </cell>
          <cell r="C2048" t="e">
            <v>#DIV/0!</v>
          </cell>
          <cell r="D2048">
            <v>0.59476359040544957</v>
          </cell>
          <cell r="E2048">
            <v>0.37010967720411569</v>
          </cell>
          <cell r="F2048">
            <v>0.39879154078549855</v>
          </cell>
          <cell r="G2048">
            <v>0.18687667887261336</v>
          </cell>
          <cell r="H2048">
            <v>0.13557583625975742</v>
          </cell>
          <cell r="I2048">
            <v>0.13748799420572813</v>
          </cell>
          <cell r="J2048">
            <v>0.1464697665561849</v>
          </cell>
          <cell r="K2048">
            <v>0.18217688788145908</v>
          </cell>
          <cell r="L2048">
            <v>0.13901470211386549</v>
          </cell>
          <cell r="M2048">
            <v>0.1135434078659214</v>
          </cell>
          <cell r="N2048">
            <v>9.7955127124395927E-2</v>
          </cell>
          <cell r="O2048">
            <v>9.1488344558592824E-2</v>
          </cell>
          <cell r="P2048">
            <v>8.59369638733984E-2</v>
          </cell>
          <cell r="Q2048">
            <v>8.5386045414157646E-2</v>
          </cell>
          <cell r="R2048" t="e">
            <v>#DIV/0!</v>
          </cell>
          <cell r="S2048" t="e">
            <v>#DIV/0!</v>
          </cell>
        </row>
        <row r="2049">
          <cell r="B2049" t="str">
            <v>Portugal Telecom</v>
          </cell>
          <cell r="C2049">
            <v>0.33516483516483514</v>
          </cell>
          <cell r="D2049">
            <v>0.36712328767123287</v>
          </cell>
          <cell r="E2049">
            <v>0.23800564440263405</v>
          </cell>
          <cell r="F2049">
            <v>0.20301291248206599</v>
          </cell>
          <cell r="G2049">
            <v>0.19186440677966102</v>
          </cell>
          <cell r="H2049">
            <v>0.11096520026263952</v>
          </cell>
          <cell r="I2049">
            <v>9.6513075965130757E-2</v>
          </cell>
          <cell r="J2049">
            <v>0.10918432883750803</v>
          </cell>
          <cell r="K2049">
            <v>0.12583222370173103</v>
          </cell>
          <cell r="L2049">
            <v>0.12519060830590967</v>
          </cell>
          <cell r="M2049">
            <v>0.12959042638289631</v>
          </cell>
          <cell r="N2049">
            <v>0.12462828038315074</v>
          </cell>
          <cell r="O2049">
            <v>0.1200885916583775</v>
          </cell>
          <cell r="P2049">
            <v>0.11601298007337073</v>
          </cell>
          <cell r="Q2049">
            <v>0.11204849876844676</v>
          </cell>
          <cell r="R2049" t="e">
            <v>#DIV/0!</v>
          </cell>
          <cell r="S2049" t="e">
            <v>#DIV/0!</v>
          </cell>
        </row>
        <row r="2050">
          <cell r="B2050" t="str">
            <v>Swisscom</v>
          </cell>
          <cell r="C2050">
            <v>0.14818266542404473</v>
          </cell>
          <cell r="D2050">
            <v>0.11560084328882643</v>
          </cell>
          <cell r="E2050">
            <v>0.1013745704467354</v>
          </cell>
          <cell r="F2050">
            <v>7.9357106981416375E-2</v>
          </cell>
          <cell r="G2050">
            <v>9.5330739299610889E-2</v>
          </cell>
          <cell r="H2050">
            <v>0.10410628019323671</v>
          </cell>
          <cell r="I2050">
            <v>0.11776859504132231</v>
          </cell>
          <cell r="J2050">
            <v>8.0134357005758161E-2</v>
          </cell>
          <cell r="K2050">
            <v>8.1991951710261565E-2</v>
          </cell>
          <cell r="L2050">
            <v>9.1852332958026417E-2</v>
          </cell>
          <cell r="M2050">
            <v>9.0752917187860563E-2</v>
          </cell>
          <cell r="N2050">
            <v>8.9656933234474059E-2</v>
          </cell>
          <cell r="O2050">
            <v>8.7938322705214345E-2</v>
          </cell>
          <cell r="P2050">
            <v>8.606332616573989E-2</v>
          </cell>
          <cell r="Q2050">
            <v>8.4343997602408599E-2</v>
          </cell>
          <cell r="R2050" t="e">
            <v>#DIV/0!</v>
          </cell>
          <cell r="S2050" t="e">
            <v>#DIV/0!</v>
          </cell>
        </row>
        <row r="2051">
          <cell r="B2051" t="str">
            <v>TDC</v>
          </cell>
          <cell r="C2051" t="e">
            <v>#DIV/0!</v>
          </cell>
          <cell r="D2051" t="e">
            <v>#DIV/0!</v>
          </cell>
          <cell r="E2051" t="e">
            <v>#DIV/0!</v>
          </cell>
          <cell r="F2051" t="e">
            <v>#DIV/0!</v>
          </cell>
          <cell r="G2051" t="e">
            <v>#DIV/0!</v>
          </cell>
          <cell r="H2051" t="e">
            <v>#DIV/0!</v>
          </cell>
          <cell r="I2051" t="e">
            <v>#DIV/0!</v>
          </cell>
          <cell r="J2051" t="e">
            <v>#DIV/0!</v>
          </cell>
          <cell r="K2051" t="e">
            <v>#DIV/0!</v>
          </cell>
          <cell r="L2051" t="e">
            <v>#DIV/0!</v>
          </cell>
          <cell r="M2051" t="e">
            <v>#DIV/0!</v>
          </cell>
          <cell r="N2051" t="e">
            <v>#DIV/0!</v>
          </cell>
          <cell r="O2051" t="e">
            <v>#DIV/0!</v>
          </cell>
          <cell r="P2051" t="e">
            <v>#DIV/0!</v>
          </cell>
          <cell r="Q2051" t="e">
            <v>#DIV/0!</v>
          </cell>
          <cell r="R2051" t="e">
            <v>#DIV/0!</v>
          </cell>
          <cell r="S2051" t="e">
            <v>#DIV/0!</v>
          </cell>
        </row>
        <row r="2052">
          <cell r="B2052" t="str">
            <v>Telecom Italia</v>
          </cell>
          <cell r="C2052" t="e">
            <v>#DIV/0!</v>
          </cell>
          <cell r="D2052" t="e">
            <v>#DIV/0!</v>
          </cell>
          <cell r="E2052" t="e">
            <v>#DIV/0!</v>
          </cell>
          <cell r="F2052">
            <v>0.31052159458532413</v>
          </cell>
          <cell r="G2052">
            <v>0.21551486150731572</v>
          </cell>
          <cell r="H2052">
            <v>0.15718934469260534</v>
          </cell>
          <cell r="I2052">
            <v>0.19534851951777604</v>
          </cell>
          <cell r="J2052">
            <v>0.16338810460541542</v>
          </cell>
          <cell r="K2052">
            <v>0.13016791308028786</v>
          </cell>
          <cell r="L2052">
            <v>0.12800330828054518</v>
          </cell>
          <cell r="M2052">
            <v>0.13266487949623487</v>
          </cell>
          <cell r="N2052">
            <v>0.13243422284834072</v>
          </cell>
          <cell r="O2052">
            <v>0.12749444126040371</v>
          </cell>
          <cell r="P2052">
            <v>0.12386086871783068</v>
          </cell>
          <cell r="Q2052">
            <v>0.12126626578122274</v>
          </cell>
          <cell r="R2052" t="e">
            <v>#DIV/0!</v>
          </cell>
          <cell r="S2052" t="e">
            <v>#DIV/0!</v>
          </cell>
        </row>
        <row r="2053">
          <cell r="B2053" t="str">
            <v>Telefonica</v>
          </cell>
          <cell r="C2053" t="e">
            <v>#DIV/0!</v>
          </cell>
          <cell r="D2053">
            <v>0.28583653478506271</v>
          </cell>
          <cell r="E2053">
            <v>0.24170878559595332</v>
          </cell>
          <cell r="F2053">
            <v>0.20161453317639785</v>
          </cell>
          <cell r="G2053">
            <v>0.10054924615418281</v>
          </cell>
          <cell r="H2053">
            <v>0.12057237619534672</v>
          </cell>
          <cell r="I2053">
            <v>0.13953682802441267</v>
          </cell>
          <cell r="J2053">
            <v>0.13486344092533156</v>
          </cell>
          <cell r="K2053">
            <v>0.15489428885227896</v>
          </cell>
          <cell r="L2053">
            <v>0.13601762636305845</v>
          </cell>
          <cell r="M2053">
            <v>0.12747316400359782</v>
          </cell>
          <cell r="N2053">
            <v>0.12314801381571445</v>
          </cell>
          <cell r="O2053">
            <v>0.12134589027774248</v>
          </cell>
          <cell r="P2053">
            <v>0.12117019675944918</v>
          </cell>
          <cell r="Q2053">
            <v>0.12132102733417681</v>
          </cell>
          <cell r="R2053" t="e">
            <v>#DIV/0!</v>
          </cell>
          <cell r="S2053" t="e">
            <v>#DIV/0!</v>
          </cell>
        </row>
        <row r="2054">
          <cell r="B2054" t="str">
            <v>Telekom Austria</v>
          </cell>
          <cell r="C2054">
            <v>0.1741511500547645</v>
          </cell>
          <cell r="D2054">
            <v>0.23089300080450523</v>
          </cell>
          <cell r="E2054">
            <v>0.21518987341772153</v>
          </cell>
          <cell r="F2054">
            <v>0.21132516053706946</v>
          </cell>
          <cell r="G2054">
            <v>0.17038216560509553</v>
          </cell>
          <cell r="H2054">
            <v>0.14427860696517414</v>
          </cell>
          <cell r="I2054">
            <v>0.10620345055152258</v>
          </cell>
          <cell r="J2054">
            <v>0.12596587250482935</v>
          </cell>
          <cell r="K2054">
            <v>0.13677392682422657</v>
          </cell>
          <cell r="L2054">
            <v>0.18277647023235583</v>
          </cell>
          <cell r="M2054">
            <v>0.16952266132795737</v>
          </cell>
          <cell r="N2054">
            <v>0.14282496348500939</v>
          </cell>
          <cell r="O2054">
            <v>0.12958498255377826</v>
          </cell>
          <cell r="P2054">
            <v>0.12379280440687081</v>
          </cell>
          <cell r="Q2054">
            <v>0.11802833962262749</v>
          </cell>
          <cell r="R2054" t="e">
            <v>#DIV/0!</v>
          </cell>
          <cell r="S2054" t="e">
            <v>#DIV/0!</v>
          </cell>
        </row>
        <row r="2055">
          <cell r="B2055" t="str">
            <v>Telenor</v>
          </cell>
          <cell r="C2055" t="e">
            <v>#DIV/0!</v>
          </cell>
          <cell r="D2055" t="e">
            <v>#DIV/0!</v>
          </cell>
          <cell r="E2055" t="e">
            <v>#DIV/0!</v>
          </cell>
          <cell r="F2055">
            <v>0.14675685050294832</v>
          </cell>
          <cell r="G2055">
            <v>0.17686532001884697</v>
          </cell>
          <cell r="H2055">
            <v>0.15216931216931218</v>
          </cell>
          <cell r="I2055">
            <v>0.28733810757275635</v>
          </cell>
          <cell r="J2055">
            <v>0.30537076892975934</v>
          </cell>
          <cell r="K2055">
            <v>0.23728053467431703</v>
          </cell>
          <cell r="L2055">
            <v>0.191631294245519</v>
          </cell>
          <cell r="M2055">
            <v>0.15780819789697725</v>
          </cell>
          <cell r="N2055">
            <v>0.13365802244118016</v>
          </cell>
          <cell r="O2055">
            <v>0.12437635552840724</v>
          </cell>
          <cell r="P2055">
            <v>0.12373960139850375</v>
          </cell>
          <cell r="Q2055">
            <v>0.12367277598801497</v>
          </cell>
          <cell r="R2055">
            <v>0.12311046177546847</v>
          </cell>
          <cell r="S2055" t="e">
            <v>#DIV/0!</v>
          </cell>
        </row>
        <row r="2056">
          <cell r="B2056" t="str">
            <v>TeliaSonera</v>
          </cell>
          <cell r="C2056" t="e">
            <v>#DIV/0!</v>
          </cell>
          <cell r="D2056" t="e">
            <v>#DIV/0!</v>
          </cell>
          <cell r="E2056" t="e">
            <v>#DIV/0!</v>
          </cell>
          <cell r="F2056" t="e">
            <v>#DIV/0!</v>
          </cell>
          <cell r="G2056" t="e">
            <v>#DIV/0!</v>
          </cell>
          <cell r="H2056" t="e">
            <v>#DIV/0!</v>
          </cell>
          <cell r="I2056" t="e">
            <v>#DIV/0!</v>
          </cell>
          <cell r="J2056">
            <v>9.6762179073347568E-2</v>
          </cell>
          <cell r="K2056">
            <v>7.7522706143173858E-2</v>
          </cell>
          <cell r="L2056">
            <v>8.3540214303355315E-2</v>
          </cell>
          <cell r="M2056">
            <v>9.4619910491356221E-2</v>
          </cell>
          <cell r="N2056">
            <v>8.865732170997058E-2</v>
          </cell>
          <cell r="O2056">
            <v>8.1723486845867985E-2</v>
          </cell>
          <cell r="P2056">
            <v>7.8126839026732564E-2</v>
          </cell>
          <cell r="Q2056">
            <v>7.6720978595176417E-2</v>
          </cell>
          <cell r="R2056">
            <v>7.7536246904834225E-2</v>
          </cell>
          <cell r="S2056">
            <v>7.8222554204344499E-2</v>
          </cell>
        </row>
        <row r="2057">
          <cell r="B2057" t="str">
            <v>Sum</v>
          </cell>
          <cell r="C2057">
            <v>0.35040769945664679</v>
          </cell>
          <cell r="D2057">
            <v>0.25861625974037677</v>
          </cell>
          <cell r="E2057">
            <v>0.2681089397578062</v>
          </cell>
          <cell r="F2057">
            <v>0.23310507832035787</v>
          </cell>
          <cell r="G2057">
            <v>0.16967309609441722</v>
          </cell>
          <cell r="H2057">
            <v>0.1445909076451847</v>
          </cell>
          <cell r="I2057">
            <v>0.14648009288311362</v>
          </cell>
          <cell r="J2057">
            <v>0.13841829975387465</v>
          </cell>
          <cell r="K2057">
            <v>0.13933080944998064</v>
          </cell>
          <cell r="L2057">
            <v>0.13266343254380614</v>
          </cell>
          <cell r="M2057">
            <v>0.12788533193888549</v>
          </cell>
          <cell r="N2057">
            <v>0.12138902637598395</v>
          </cell>
          <cell r="O2057">
            <v>0.11751715371899957</v>
          </cell>
          <cell r="P2057">
            <v>0.11593214281132704</v>
          </cell>
          <cell r="Q2057">
            <v>0.11490688251961775</v>
          </cell>
          <cell r="R2057">
            <v>0.10942239480264096</v>
          </cell>
          <cell r="S2057">
            <v>9.6791311377237732E-2</v>
          </cell>
        </row>
        <row r="2060">
          <cell r="B2060" t="str">
            <v>Subs/employee</v>
          </cell>
          <cell r="C2060">
            <v>1998</v>
          </cell>
          <cell r="D2060">
            <v>1999</v>
          </cell>
          <cell r="E2060">
            <v>2000</v>
          </cell>
          <cell r="F2060">
            <v>2001</v>
          </cell>
          <cell r="G2060">
            <v>2002</v>
          </cell>
          <cell r="H2060">
            <v>2003</v>
          </cell>
          <cell r="I2060">
            <v>2004</v>
          </cell>
          <cell r="J2060">
            <v>2005</v>
          </cell>
          <cell r="K2060">
            <v>2006</v>
          </cell>
          <cell r="L2060">
            <v>2007</v>
          </cell>
          <cell r="M2060">
            <v>2008</v>
          </cell>
          <cell r="N2060">
            <v>2009</v>
          </cell>
          <cell r="O2060">
            <v>2010</v>
          </cell>
          <cell r="P2060">
            <v>2011</v>
          </cell>
          <cell r="Q2060">
            <v>2012</v>
          </cell>
          <cell r="R2060">
            <v>2013</v>
          </cell>
          <cell r="S2060">
            <v>2014</v>
          </cell>
        </row>
        <row r="2061">
          <cell r="B2061" t="str">
            <v>Belgacom</v>
          </cell>
          <cell r="C2061" t="e">
            <v>#DIV/0!</v>
          </cell>
          <cell r="D2061" t="e">
            <v>#DIV/0!</v>
          </cell>
          <cell r="E2061" t="e">
            <v>#DIV/0!</v>
          </cell>
          <cell r="F2061">
            <v>1787.9310344827586</v>
          </cell>
          <cell r="G2061">
            <v>1924.4343891402716</v>
          </cell>
          <cell r="H2061">
            <v>1942.3230386975847</v>
          </cell>
          <cell r="I2061">
            <v>1930.9414742586366</v>
          </cell>
          <cell r="J2061">
            <v>1940.2540441728281</v>
          </cell>
          <cell r="K2061">
            <v>1960.7058359083424</v>
          </cell>
          <cell r="L2061">
            <v>1997.8306078243286</v>
          </cell>
          <cell r="M2061">
            <v>1999.4587725148965</v>
          </cell>
          <cell r="N2061">
            <v>1992.2877655066122</v>
          </cell>
          <cell r="O2061">
            <v>1991.6123746539984</v>
          </cell>
          <cell r="P2061">
            <v>1996.3054841124779</v>
          </cell>
          <cell r="Q2061">
            <v>2005.4439205313872</v>
          </cell>
          <cell r="R2061" t="e">
            <v>#DIV/0!</v>
          </cell>
          <cell r="S2061" t="e">
            <v>#DIV/0!</v>
          </cell>
        </row>
        <row r="2062">
          <cell r="B2062" t="str">
            <v>British Telecom</v>
          </cell>
          <cell r="C2062" t="e">
            <v>#DIV/0!</v>
          </cell>
          <cell r="D2062" t="e">
            <v>#DIV/0!</v>
          </cell>
          <cell r="E2062" t="e">
            <v>#DIV/0!</v>
          </cell>
          <cell r="F2062" t="e">
            <v>#DIV/0!</v>
          </cell>
          <cell r="G2062" t="e">
            <v>#DIV/0!</v>
          </cell>
          <cell r="H2062" t="e">
            <v>#DIV/0!</v>
          </cell>
          <cell r="I2062" t="e">
            <v>#DIV/0!</v>
          </cell>
          <cell r="J2062" t="e">
            <v>#DIV/0!</v>
          </cell>
          <cell r="K2062" t="e">
            <v>#DIV/0!</v>
          </cell>
          <cell r="L2062" t="e">
            <v>#DIV/0!</v>
          </cell>
          <cell r="M2062" t="e">
            <v>#DIV/0!</v>
          </cell>
          <cell r="N2062" t="e">
            <v>#DIV/0!</v>
          </cell>
          <cell r="O2062" t="e">
            <v>#DIV/0!</v>
          </cell>
          <cell r="P2062" t="e">
            <v>#DIV/0!</v>
          </cell>
          <cell r="Q2062" t="e">
            <v>#DIV/0!</v>
          </cell>
          <cell r="R2062" t="e">
            <v>#DIV/0!</v>
          </cell>
          <cell r="S2062" t="e">
            <v>#DIV/0!</v>
          </cell>
        </row>
        <row r="2065">
          <cell r="B2065" t="str">
            <v>France Telecom</v>
          </cell>
          <cell r="C2065" t="e">
            <v>#DIV/0!</v>
          </cell>
          <cell r="D2065" t="e">
            <v>#DIV/0!</v>
          </cell>
          <cell r="E2065">
            <v>1777.1368641845831</v>
          </cell>
          <cell r="F2065">
            <v>1358.6995328661994</v>
          </cell>
          <cell r="G2065">
            <v>1436.9064969555643</v>
          </cell>
          <cell r="H2065">
            <v>1607.5735820440445</v>
          </cell>
          <cell r="I2065">
            <v>1867.0773519346699</v>
          </cell>
          <cell r="J2065">
            <v>2139.4239745968493</v>
          </cell>
          <cell r="K2065">
            <v>2494.8863192057142</v>
          </cell>
          <cell r="L2065">
            <v>2856.1275693160765</v>
          </cell>
          <cell r="M2065">
            <v>3180.8635613068545</v>
          </cell>
          <cell r="N2065">
            <v>3433.4656422091957</v>
          </cell>
          <cell r="O2065">
            <v>3639.4192996610027</v>
          </cell>
          <cell r="P2065">
            <v>3812.8557034323312</v>
          </cell>
          <cell r="Q2065">
            <v>3947.5664683118162</v>
          </cell>
          <cell r="R2065" t="e">
            <v>#DIV/0!</v>
          </cell>
          <cell r="S2065" t="e">
            <v>#DIV/0!</v>
          </cell>
        </row>
        <row r="2066">
          <cell r="B2066" t="str">
            <v>KPN</v>
          </cell>
          <cell r="C2066" t="e">
            <v>#DIV/0!</v>
          </cell>
          <cell r="D2066" t="e">
            <v>#DIV/0!</v>
          </cell>
          <cell r="E2066">
            <v>2339.5421032207992</v>
          </cell>
          <cell r="F2066">
            <v>1982.2151532677847</v>
          </cell>
          <cell r="G2066">
            <v>2031.2830587879703</v>
          </cell>
          <cell r="H2066">
            <v>2216.1100196463653</v>
          </cell>
          <cell r="I2066">
            <v>2927.4673008323425</v>
          </cell>
          <cell r="J2066">
            <v>3446.425450096137</v>
          </cell>
          <cell r="K2066">
            <v>3505.8282451827768</v>
          </cell>
          <cell r="L2066" t="e">
            <v>#DIV/0!</v>
          </cell>
          <cell r="M2066" t="e">
            <v>#DIV/0!</v>
          </cell>
          <cell r="N2066" t="e">
            <v>#DIV/0!</v>
          </cell>
          <cell r="O2066" t="e">
            <v>#DIV/0!</v>
          </cell>
          <cell r="P2066" t="e">
            <v>#DIV/0!</v>
          </cell>
          <cell r="Q2066" t="e">
            <v>#DIV/0!</v>
          </cell>
          <cell r="R2066" t="e">
            <v>#DIV/0!</v>
          </cell>
          <cell r="S2066" t="e">
            <v>#DIV/0!</v>
          </cell>
        </row>
        <row r="2067">
          <cell r="B2067" t="str">
            <v>OTE</v>
          </cell>
          <cell r="C2067" t="e">
            <v>#DIV/0!</v>
          </cell>
          <cell r="D2067" t="e">
            <v>#DIV/0!</v>
          </cell>
          <cell r="E2067" t="e">
            <v>#DIV/0!</v>
          </cell>
          <cell r="F2067" t="e">
            <v>#DIV/0!</v>
          </cell>
          <cell r="G2067">
            <v>2416.8558504221951</v>
          </cell>
          <cell r="H2067">
            <v>2396.2826780021255</v>
          </cell>
          <cell r="I2067">
            <v>2348.0759803921569</v>
          </cell>
          <cell r="J2067">
            <v>2552.9411764705878</v>
          </cell>
          <cell r="K2067">
            <v>2876.8331788693235</v>
          </cell>
          <cell r="L2067">
            <v>3362.1673894325404</v>
          </cell>
          <cell r="M2067">
            <v>3544.8264671865636</v>
          </cell>
          <cell r="N2067">
            <v>3702.6037475225985</v>
          </cell>
          <cell r="O2067">
            <v>3835.681351080751</v>
          </cell>
          <cell r="P2067">
            <v>3943.802054605681</v>
          </cell>
          <cell r="Q2067">
            <v>4043.5799777204656</v>
          </cell>
          <cell r="R2067" t="e">
            <v>#DIV/0!</v>
          </cell>
          <cell r="S2067" t="e">
            <v>#DIV/0!</v>
          </cell>
        </row>
        <row r="2068">
          <cell r="B2068" t="str">
            <v>Portugal Telecom</v>
          </cell>
          <cell r="C2068" t="e">
            <v>#DIV/0!</v>
          </cell>
          <cell r="D2068" t="e">
            <v>#DIV/0!</v>
          </cell>
          <cell r="E2068" t="e">
            <v>#DIV/0!</v>
          </cell>
          <cell r="F2068" t="e">
            <v>#DIV/0!</v>
          </cell>
          <cell r="G2068" t="e">
            <v>#DIV/0!</v>
          </cell>
          <cell r="H2068" t="e">
            <v>#DIV/0!</v>
          </cell>
          <cell r="I2068" t="e">
            <v>#DIV/0!</v>
          </cell>
          <cell r="J2068" t="e">
            <v>#DIV/0!</v>
          </cell>
          <cell r="K2068" t="e">
            <v>#DIV/0!</v>
          </cell>
          <cell r="L2068" t="e">
            <v>#DIV/0!</v>
          </cell>
          <cell r="M2068" t="e">
            <v>#DIV/0!</v>
          </cell>
          <cell r="N2068" t="e">
            <v>#DIV/0!</v>
          </cell>
          <cell r="O2068" t="e">
            <v>#DIV/0!</v>
          </cell>
          <cell r="P2068" t="e">
            <v>#DIV/0!</v>
          </cell>
          <cell r="Q2068" t="e">
            <v>#DIV/0!</v>
          </cell>
          <cell r="R2068" t="e">
            <v>#DIV/0!</v>
          </cell>
          <cell r="S2068" t="e">
            <v>#DIV/0!</v>
          </cell>
        </row>
        <row r="2069">
          <cell r="B2069" t="str">
            <v>Swisscom</v>
          </cell>
          <cell r="C2069">
            <v>929.01111111111118</v>
          </cell>
          <cell r="D2069">
            <v>1157.8947368421052</v>
          </cell>
          <cell r="E2069">
            <v>1480.5</v>
          </cell>
          <cell r="F2069">
            <v>1590.2876001885904</v>
          </cell>
          <cell r="G2069">
            <v>1528.8379983036471</v>
          </cell>
          <cell r="H2069">
            <v>1609.838846480068</v>
          </cell>
          <cell r="I2069">
            <v>1657.3367260390162</v>
          </cell>
          <cell r="J2069">
            <v>1815.5216284987278</v>
          </cell>
          <cell r="K2069">
            <v>1964.3765903307888</v>
          </cell>
          <cell r="L2069">
            <v>2091.7431212892275</v>
          </cell>
          <cell r="M2069">
            <v>2148.9549302765049</v>
          </cell>
          <cell r="N2069">
            <v>2183.3607652264468</v>
          </cell>
          <cell r="O2069">
            <v>2214.0680796736888</v>
          </cell>
          <cell r="P2069">
            <v>2241.7042520618902</v>
          </cell>
          <cell r="Q2069">
            <v>2266.7908903425791</v>
          </cell>
          <cell r="R2069" t="e">
            <v>#DIV/0!</v>
          </cell>
          <cell r="S2069" t="e">
            <v>#DIV/0!</v>
          </cell>
        </row>
        <row r="2070">
          <cell r="B2070" t="str">
            <v>TDC</v>
          </cell>
          <cell r="C2070" t="e">
            <v>#DIV/0!</v>
          </cell>
          <cell r="D2070" t="e">
            <v>#DIV/0!</v>
          </cell>
          <cell r="E2070" t="e">
            <v>#DIV/0!</v>
          </cell>
          <cell r="F2070" t="e">
            <v>#DIV/0!</v>
          </cell>
          <cell r="G2070" t="e">
            <v>#DIV/0!</v>
          </cell>
          <cell r="H2070" t="e">
            <v>#DIV/0!</v>
          </cell>
          <cell r="I2070" t="e">
            <v>#DIV/0!</v>
          </cell>
          <cell r="J2070" t="e">
            <v>#DIV/0!</v>
          </cell>
          <cell r="K2070" t="e">
            <v>#DIV/0!</v>
          </cell>
          <cell r="L2070" t="e">
            <v>#DIV/0!</v>
          </cell>
          <cell r="M2070" t="e">
            <v>#DIV/0!</v>
          </cell>
          <cell r="N2070" t="e">
            <v>#DIV/0!</v>
          </cell>
          <cell r="O2070" t="e">
            <v>#DIV/0!</v>
          </cell>
          <cell r="P2070" t="e">
            <v>#DIV/0!</v>
          </cell>
          <cell r="Q2070" t="e">
            <v>#DIV/0!</v>
          </cell>
          <cell r="R2070" t="e">
            <v>#DIV/0!</v>
          </cell>
          <cell r="S2070" t="e">
            <v>#DIV/0!</v>
          </cell>
        </row>
        <row r="2071">
          <cell r="B2071" t="str">
            <v>Telecom Italia</v>
          </cell>
          <cell r="C2071" t="e">
            <v>#DIV/0!</v>
          </cell>
          <cell r="D2071" t="e">
            <v>#DIV/0!</v>
          </cell>
          <cell r="E2071">
            <v>0</v>
          </cell>
          <cell r="F2071">
            <v>2053.7737283720903</v>
          </cell>
          <cell r="G2071">
            <v>2061.5876892887413</v>
          </cell>
          <cell r="H2071">
            <v>2328.7540218886434</v>
          </cell>
          <cell r="I2071">
            <v>2385.7392792214741</v>
          </cell>
          <cell r="J2071">
            <v>2764.8914554593093</v>
          </cell>
          <cell r="K2071">
            <v>3323.869104908566</v>
          </cell>
          <cell r="L2071">
            <v>3768.6576165329911</v>
          </cell>
          <cell r="M2071">
            <v>4036.0012100737881</v>
          </cell>
          <cell r="N2071">
            <v>4178.5567045396219</v>
          </cell>
          <cell r="O2071">
            <v>4268.3676185862478</v>
          </cell>
          <cell r="P2071">
            <v>4314.7912402042566</v>
          </cell>
          <cell r="Q2071">
            <v>4343.0349880119784</v>
          </cell>
          <cell r="R2071" t="e">
            <v>#DIV/0!</v>
          </cell>
          <cell r="S2071" t="e">
            <v>#DIV/0!</v>
          </cell>
        </row>
        <row r="2072">
          <cell r="B2072" t="str">
            <v>Telefonica</v>
          </cell>
          <cell r="C2072" t="e">
            <v>#DIV/0!</v>
          </cell>
          <cell r="D2072" t="e">
            <v>#DIV/0!</v>
          </cell>
          <cell r="E2072" t="e">
            <v>#DIV/0!</v>
          </cell>
          <cell r="F2072">
            <v>2350.5997829973066</v>
          </cell>
          <cell r="G2072">
            <v>2906.4186602509635</v>
          </cell>
          <cell r="H2072">
            <v>3645.8823529411766</v>
          </cell>
          <cell r="I2072">
            <v>4255.8088235294117</v>
          </cell>
          <cell r="J2072">
            <v>5506.9485294117649</v>
          </cell>
          <cell r="K2072">
            <v>8799.9600743197589</v>
          </cell>
          <cell r="L2072">
            <v>9905.6350235284663</v>
          </cell>
          <cell r="M2072">
            <v>10856.418495181246</v>
          </cell>
          <cell r="N2072">
            <v>11421.178780488259</v>
          </cell>
          <cell r="O2072">
            <v>11853.214530567609</v>
          </cell>
          <cell r="P2072">
            <v>12178.829239863337</v>
          </cell>
          <cell r="Q2072">
            <v>12444.178274897347</v>
          </cell>
          <cell r="R2072" t="e">
            <v>#DIV/0!</v>
          </cell>
          <cell r="S2072" t="e">
            <v>#DIV/0!</v>
          </cell>
        </row>
        <row r="2073">
          <cell r="B2073" t="str">
            <v>Telekom Austria</v>
          </cell>
          <cell r="C2073" t="e">
            <v>#DIV/0!</v>
          </cell>
          <cell r="D2073" t="e">
            <v>#DIV/0!</v>
          </cell>
          <cell r="E2073" t="e">
            <v>#DIV/0!</v>
          </cell>
          <cell r="F2073" t="e">
            <v>#DIV/0!</v>
          </cell>
          <cell r="G2073" t="e">
            <v>#DIV/0!</v>
          </cell>
          <cell r="H2073" t="e">
            <v>#DIV/0!</v>
          </cell>
          <cell r="I2073" t="e">
            <v>#DIV/0!</v>
          </cell>
          <cell r="J2073" t="e">
            <v>#DIV/0!</v>
          </cell>
          <cell r="K2073" t="e">
            <v>#DIV/0!</v>
          </cell>
          <cell r="L2073" t="e">
            <v>#DIV/0!</v>
          </cell>
          <cell r="M2073" t="e">
            <v>#DIV/0!</v>
          </cell>
          <cell r="N2073" t="e">
            <v>#DIV/0!</v>
          </cell>
          <cell r="O2073" t="e">
            <v>#DIV/0!</v>
          </cell>
          <cell r="P2073" t="e">
            <v>#DIV/0!</v>
          </cell>
          <cell r="Q2073" t="e">
            <v>#DIV/0!</v>
          </cell>
          <cell r="R2073" t="e">
            <v>#DIV/0!</v>
          </cell>
          <cell r="S2073" t="e">
            <v>#DIV/0!</v>
          </cell>
        </row>
        <row r="2074">
          <cell r="B2074" t="str">
            <v>Telenor</v>
          </cell>
          <cell r="C2074" t="e">
            <v>#DIV/0!</v>
          </cell>
          <cell r="D2074" t="e">
            <v>#DIV/0!</v>
          </cell>
          <cell r="E2074" t="e">
            <v>#DIV/0!</v>
          </cell>
          <cell r="F2074" t="e">
            <v>#DIV/0!</v>
          </cell>
          <cell r="G2074" t="e">
            <v>#DIV/0!</v>
          </cell>
          <cell r="H2074" t="e">
            <v>#DIV/0!</v>
          </cell>
          <cell r="I2074" t="e">
            <v>#DIV/0!</v>
          </cell>
          <cell r="J2074" t="e">
            <v>#DIV/0!</v>
          </cell>
          <cell r="K2074" t="e">
            <v>#DIV/0!</v>
          </cell>
          <cell r="L2074" t="e">
            <v>#DIV/0!</v>
          </cell>
          <cell r="M2074" t="e">
            <v>#DIV/0!</v>
          </cell>
          <cell r="N2074" t="e">
            <v>#DIV/0!</v>
          </cell>
          <cell r="O2074" t="e">
            <v>#DIV/0!</v>
          </cell>
          <cell r="P2074" t="e">
            <v>#DIV/0!</v>
          </cell>
          <cell r="Q2074" t="e">
            <v>#DIV/0!</v>
          </cell>
          <cell r="R2074" t="e">
            <v>#DIV/0!</v>
          </cell>
          <cell r="S2074" t="e">
            <v>#DIV/0!</v>
          </cell>
        </row>
        <row r="2075">
          <cell r="B2075" t="str">
            <v>TeliaSonera</v>
          </cell>
          <cell r="C2075" t="e">
            <v>#DIV/0!</v>
          </cell>
          <cell r="D2075" t="e">
            <v>#DIV/0!</v>
          </cell>
          <cell r="E2075" t="e">
            <v>#DIV/0!</v>
          </cell>
          <cell r="F2075" t="e">
            <v>#DIV/0!</v>
          </cell>
          <cell r="G2075" t="e">
            <v>#DIV/0!</v>
          </cell>
          <cell r="H2075" t="e">
            <v>#DIV/0!</v>
          </cell>
          <cell r="I2075" t="e">
            <v>#DIV/0!</v>
          </cell>
          <cell r="J2075">
            <v>4170.4940848990955</v>
          </cell>
          <cell r="K2075">
            <v>5203.2393684746621</v>
          </cell>
          <cell r="L2075">
            <v>6694.0943666922085</v>
          </cell>
          <cell r="M2075">
            <v>7909.5917414936812</v>
          </cell>
          <cell r="N2075">
            <v>9082.2952792954184</v>
          </cell>
          <cell r="O2075">
            <v>10191.358668866098</v>
          </cell>
          <cell r="P2075">
            <v>11264.495717721709</v>
          </cell>
          <cell r="Q2075">
            <v>12354.839604259238</v>
          </cell>
          <cell r="R2075">
            <v>13305.847068633666</v>
          </cell>
          <cell r="S2075">
            <v>14269.259749681603</v>
          </cell>
        </row>
        <row r="2076">
          <cell r="B2076" t="str">
            <v>Sum</v>
          </cell>
          <cell r="C2076">
            <v>1814.0836919424248</v>
          </cell>
          <cell r="D2076">
            <v>4525.8403701604448</v>
          </cell>
          <cell r="E2076">
            <v>2081.722714818156</v>
          </cell>
          <cell r="F2076">
            <v>1644.6031539177868</v>
          </cell>
          <cell r="G2076">
            <v>1785.5199765819775</v>
          </cell>
          <cell r="H2076">
            <v>2007.1745156906945</v>
          </cell>
          <cell r="I2076">
            <v>2391.350835153658</v>
          </cell>
          <cell r="J2076">
            <v>2967.6812349862571</v>
          </cell>
          <cell r="K2076">
            <v>3804.3442551764961</v>
          </cell>
          <cell r="L2076">
            <v>4418.3896156932933</v>
          </cell>
          <cell r="M2076">
            <v>4862.2609434912893</v>
          </cell>
          <cell r="N2076">
            <v>5189.3543338999471</v>
          </cell>
          <cell r="O2076">
            <v>5444.4113223530876</v>
          </cell>
          <cell r="P2076">
            <v>5659.7708933393333</v>
          </cell>
          <cell r="Q2076">
            <v>5833.4862254115287</v>
          </cell>
          <cell r="R2076">
            <v>70671.446314558416</v>
          </cell>
          <cell r="S2076">
            <v>24592.37408006483</v>
          </cell>
        </row>
        <row r="2079">
          <cell r="B2079" t="str">
            <v>Cumulative capex/sub</v>
          </cell>
          <cell r="C2079">
            <v>1998</v>
          </cell>
          <cell r="D2079">
            <v>1999</v>
          </cell>
          <cell r="E2079">
            <v>2000</v>
          </cell>
          <cell r="F2079">
            <v>2001</v>
          </cell>
          <cell r="G2079">
            <v>2002</v>
          </cell>
          <cell r="H2079">
            <v>2003</v>
          </cell>
          <cell r="I2079">
            <v>2004</v>
          </cell>
          <cell r="J2079">
            <v>2005</v>
          </cell>
          <cell r="K2079">
            <v>2006</v>
          </cell>
          <cell r="L2079">
            <v>2007</v>
          </cell>
          <cell r="M2079">
            <v>2008</v>
          </cell>
          <cell r="N2079">
            <v>2009</v>
          </cell>
          <cell r="O2079">
            <v>2010</v>
          </cell>
          <cell r="P2079">
            <v>2011</v>
          </cell>
          <cell r="Q2079">
            <v>2012</v>
          </cell>
          <cell r="R2079">
            <v>2013</v>
          </cell>
          <cell r="S2079">
            <v>2014</v>
          </cell>
        </row>
        <row r="2080">
          <cell r="B2080" t="str">
            <v>Belgacom</v>
          </cell>
          <cell r="C2080">
            <v>0</v>
          </cell>
          <cell r="D2080">
            <v>0</v>
          </cell>
          <cell r="E2080">
            <v>306.109338104936</v>
          </cell>
          <cell r="F2080">
            <v>297.73384763741564</v>
          </cell>
          <cell r="G2080">
            <v>326.35786503644488</v>
          </cell>
          <cell r="H2080">
            <v>353.42585098785997</v>
          </cell>
          <cell r="I2080">
            <v>402.92567889471178</v>
          </cell>
          <cell r="J2080">
            <v>445.87890900540793</v>
          </cell>
          <cell r="K2080">
            <v>489.97494780793318</v>
          </cell>
          <cell r="L2080">
            <v>520.09965698595079</v>
          </cell>
          <cell r="M2080">
            <v>558.87388299060729</v>
          </cell>
          <cell r="N2080">
            <v>600.22431649100611</v>
          </cell>
          <cell r="O2080">
            <v>639.78003588952993</v>
          </cell>
          <cell r="P2080">
            <v>677.53563847221585</v>
          </cell>
          <cell r="Q2080">
            <v>713.52899492404674</v>
          </cell>
          <cell r="R2080" t="e">
            <v>#DIV/0!</v>
          </cell>
          <cell r="S2080" t="e">
            <v>#DIV/0!</v>
          </cell>
        </row>
        <row r="2081">
          <cell r="B2081" t="str">
            <v>British Telecom</v>
          </cell>
          <cell r="C2081" t="e">
            <v>#DIV/0!</v>
          </cell>
          <cell r="D2081" t="e">
            <v>#DIV/0!</v>
          </cell>
          <cell r="E2081" t="e">
            <v>#DIV/0!</v>
          </cell>
          <cell r="F2081" t="e">
            <v>#DIV/0!</v>
          </cell>
          <cell r="G2081" t="e">
            <v>#DIV/0!</v>
          </cell>
          <cell r="H2081" t="e">
            <v>#DIV/0!</v>
          </cell>
          <cell r="I2081" t="e">
            <v>#DIV/0!</v>
          </cell>
          <cell r="J2081" t="e">
            <v>#DIV/0!</v>
          </cell>
          <cell r="K2081" t="e">
            <v>#DIV/0!</v>
          </cell>
          <cell r="L2081" t="e">
            <v>#DIV/0!</v>
          </cell>
          <cell r="M2081" t="e">
            <v>#DIV/0!</v>
          </cell>
          <cell r="N2081" t="e">
            <v>#DIV/0!</v>
          </cell>
          <cell r="O2081" t="e">
            <v>#DIV/0!</v>
          </cell>
          <cell r="P2081" t="e">
            <v>#DIV/0!</v>
          </cell>
          <cell r="Q2081" t="e">
            <v>#DIV/0!</v>
          </cell>
          <cell r="R2081" t="e">
            <v>#DIV/0!</v>
          </cell>
          <cell r="S2081" t="e">
            <v>#DIV/0!</v>
          </cell>
        </row>
        <row r="2122">
          <cell r="B2122" t="str">
            <v>Penetration</v>
          </cell>
          <cell r="C2122">
            <v>1998</v>
          </cell>
          <cell r="D2122">
            <v>1999</v>
          </cell>
          <cell r="E2122">
            <v>2000</v>
          </cell>
          <cell r="F2122">
            <v>2001</v>
          </cell>
          <cell r="G2122">
            <v>2002</v>
          </cell>
          <cell r="H2122">
            <v>2003</v>
          </cell>
          <cell r="I2122">
            <v>2004</v>
          </cell>
          <cell r="J2122">
            <v>2005</v>
          </cell>
          <cell r="K2122">
            <v>2006</v>
          </cell>
          <cell r="L2122">
            <v>2007</v>
          </cell>
          <cell r="M2122">
            <v>2008</v>
          </cell>
          <cell r="N2122">
            <v>2009</v>
          </cell>
          <cell r="O2122">
            <v>2010</v>
          </cell>
          <cell r="P2122">
            <v>2011</v>
          </cell>
          <cell r="Q2122">
            <v>2012</v>
          </cell>
          <cell r="R2122">
            <v>2013</v>
          </cell>
          <cell r="S2122">
            <v>2014</v>
          </cell>
        </row>
        <row r="2123">
          <cell r="B2123" t="str">
            <v>Belgacom</v>
          </cell>
          <cell r="C2123">
            <v>0.17149546385718467</v>
          </cell>
          <cell r="D2123">
            <v>0.30944681528461493</v>
          </cell>
          <cell r="E2123">
            <v>0.54362894144044238</v>
          </cell>
          <cell r="F2123">
            <v>0.70308734007517038</v>
          </cell>
          <cell r="G2123">
            <v>0.7359267317347804</v>
          </cell>
          <cell r="H2123">
            <v>0.78172959822229382</v>
          </cell>
          <cell r="I2123">
            <v>0.8346945852339126</v>
          </cell>
          <cell r="J2123">
            <v>0.87214790787362784</v>
          </cell>
          <cell r="K2123">
            <v>0.92678829560384079</v>
          </cell>
          <cell r="L2123">
            <v>0.95678829560384082</v>
          </cell>
          <cell r="M2123">
            <v>0.97678829560384073</v>
          </cell>
          <cell r="N2123">
            <v>0.98678829560384096</v>
          </cell>
          <cell r="O2123">
            <v>0.99678829560384086</v>
          </cell>
          <cell r="P2123">
            <v>1.0067882956038408</v>
          </cell>
          <cell r="Q2123">
            <v>1.0167882956038408</v>
          </cell>
          <cell r="R2123" t="e">
            <v>#DIV/0!</v>
          </cell>
          <cell r="S2123" t="e">
            <v>#DIV/0!</v>
          </cell>
        </row>
        <row r="2124">
          <cell r="B2124" t="str">
            <v>British Telecom</v>
          </cell>
        </row>
        <row r="2125">
          <cell r="B2125" t="str">
            <v>Deutsche Telekom</v>
          </cell>
          <cell r="C2125">
            <v>0.17338777557258886</v>
          </cell>
          <cell r="D2125">
            <v>0.28541362530413628</v>
          </cell>
          <cell r="E2125">
            <v>0.58671828863913589</v>
          </cell>
          <cell r="F2125">
            <v>0.68012135922330097</v>
          </cell>
          <cell r="G2125">
            <v>0.71707878787878787</v>
          </cell>
          <cell r="H2125">
            <v>0.78536969696969694</v>
          </cell>
          <cell r="I2125">
            <v>0.86443636363636367</v>
          </cell>
          <cell r="J2125">
            <v>0.94856287425149699</v>
          </cell>
          <cell r="K2125">
            <v>1.0263353293413173</v>
          </cell>
          <cell r="L2125">
            <v>1.1263353293413172</v>
          </cell>
          <cell r="M2125">
            <v>1.1763353293413175</v>
          </cell>
          <cell r="N2125">
            <v>1.2063353293413175</v>
          </cell>
          <cell r="O2125">
            <v>1.2163353293413175</v>
          </cell>
          <cell r="P2125">
            <v>1.2213353293413174</v>
          </cell>
          <cell r="Q2125">
            <v>1.2263353293413171</v>
          </cell>
          <cell r="R2125" t="e">
            <v>#DIV/0!</v>
          </cell>
          <cell r="S2125" t="e">
            <v>#DIV/0!</v>
          </cell>
        </row>
        <row r="2126">
          <cell r="B2126" t="str">
            <v>Eircom</v>
          </cell>
          <cell r="C2126" t="e">
            <v>#DIV/0!</v>
          </cell>
          <cell r="D2126" t="e">
            <v>#DIV/0!</v>
          </cell>
          <cell r="E2126" t="e">
            <v>#DIV/0!</v>
          </cell>
          <cell r="F2126" t="e">
            <v>#DIV/0!</v>
          </cell>
          <cell r="G2126" t="e">
            <v>#DIV/0!</v>
          </cell>
          <cell r="H2126" t="e">
            <v>#DIV/0!</v>
          </cell>
          <cell r="I2126" t="e">
            <v>#DIV/0!</v>
          </cell>
          <cell r="J2126" t="e">
            <v>#DIV/0!</v>
          </cell>
          <cell r="K2126" t="e">
            <v>#DIV/0!</v>
          </cell>
          <cell r="L2126" t="e">
            <v>#DIV/0!</v>
          </cell>
          <cell r="M2126" t="e">
            <v>#DIV/0!</v>
          </cell>
          <cell r="N2126" t="e">
            <v>#DIV/0!</v>
          </cell>
          <cell r="O2126" t="e">
            <v>#DIV/0!</v>
          </cell>
          <cell r="P2126" t="e">
            <v>#DIV/0!</v>
          </cell>
          <cell r="Q2126" t="e">
            <v>#DIV/0!</v>
          </cell>
          <cell r="R2126" t="e">
            <v>#DIV/0!</v>
          </cell>
          <cell r="S2126" t="e">
            <v>#DIV/0!</v>
          </cell>
        </row>
        <row r="2127">
          <cell r="B2127" t="str">
            <v>France Telecom</v>
          </cell>
          <cell r="C2127">
            <v>0.18996604414261459</v>
          </cell>
          <cell r="D2127">
            <v>0.3500509337860781</v>
          </cell>
          <cell r="E2127">
            <v>0.50374576271186444</v>
          </cell>
          <cell r="F2127">
            <v>0.62600676818950929</v>
          </cell>
          <cell r="G2127">
            <v>0.6517398648648649</v>
          </cell>
          <cell r="H2127">
            <v>0.70410472972972971</v>
          </cell>
          <cell r="I2127">
            <v>0.75233108108108104</v>
          </cell>
          <cell r="J2127">
            <v>0.8126689189189189</v>
          </cell>
          <cell r="K2127">
            <v>0.87319256756756758</v>
          </cell>
          <cell r="L2127">
            <v>0.92319256756756751</v>
          </cell>
          <cell r="M2127">
            <v>0.96319256756756766</v>
          </cell>
          <cell r="N2127">
            <v>0.99319256756756757</v>
          </cell>
          <cell r="O2127">
            <v>1.0231925675675675</v>
          </cell>
          <cell r="P2127">
            <v>1.0431925675675675</v>
          </cell>
          <cell r="Q2127">
            <v>1.0531925675675675</v>
          </cell>
          <cell r="R2127" t="e">
            <v>#DIV/0!</v>
          </cell>
          <cell r="S2127" t="e">
            <v>#DIV/0!</v>
          </cell>
        </row>
        <row r="2128">
          <cell r="B2128" t="str">
            <v>KPN</v>
          </cell>
          <cell r="C2128">
            <v>0.21569874689905222</v>
          </cell>
          <cell r="D2128">
            <v>0.41666161094017945</v>
          </cell>
          <cell r="E2128">
            <v>0.65973327564092654</v>
          </cell>
          <cell r="F2128">
            <v>0.74354100060485606</v>
          </cell>
          <cell r="G2128">
            <v>0.74100322617422576</v>
          </cell>
          <cell r="H2128">
            <v>0.82566718560589747</v>
          </cell>
          <cell r="I2128">
            <v>0.97987472005554344</v>
          </cell>
          <cell r="J2128">
            <v>0.9795112834355828</v>
          </cell>
          <cell r="K2128">
            <v>1.0074313111123498</v>
          </cell>
          <cell r="L2128">
            <v>0</v>
          </cell>
          <cell r="M2128">
            <v>0</v>
          </cell>
          <cell r="N2128">
            <v>0</v>
          </cell>
          <cell r="O2128">
            <v>0</v>
          </cell>
          <cell r="P2128">
            <v>0</v>
          </cell>
          <cell r="Q2128">
            <v>0</v>
          </cell>
          <cell r="R2128">
            <v>0</v>
          </cell>
          <cell r="S2128">
            <v>0</v>
          </cell>
        </row>
        <row r="2129">
          <cell r="B2129" t="str">
            <v>OTE</v>
          </cell>
          <cell r="C2129" t="e">
            <v>#DIV/0!</v>
          </cell>
          <cell r="D2129">
            <v>0.38364532019704434</v>
          </cell>
          <cell r="E2129">
            <v>0.57592233009708738</v>
          </cell>
          <cell r="F2129">
            <v>0.76200956937799047</v>
          </cell>
          <cell r="G2129">
            <v>0.87546992481203012</v>
          </cell>
          <cell r="H2129">
            <v>0.9450742787373172</v>
          </cell>
          <cell r="I2129">
            <v>1.0112511753727982</v>
          </cell>
          <cell r="J2129">
            <v>1.120305306132787</v>
          </cell>
          <cell r="K2129">
            <v>1.2568441972225044</v>
          </cell>
          <cell r="L2129">
            <v>1.4568441972225046</v>
          </cell>
          <cell r="M2129">
            <v>1.4968441972225044</v>
          </cell>
          <cell r="N2129">
            <v>1.5268441972225044</v>
          </cell>
          <cell r="O2129">
            <v>1.5468441972225044</v>
          </cell>
          <cell r="P2129">
            <v>1.5568441972225047</v>
          </cell>
          <cell r="Q2129">
            <v>1.5618441972225046</v>
          </cell>
          <cell r="R2129" t="e">
            <v>#DIV/0!</v>
          </cell>
          <cell r="S2129" t="e">
            <v>#DIV/0!</v>
          </cell>
        </row>
        <row r="2130">
          <cell r="B2130" t="str">
            <v>Portugal Telecom</v>
          </cell>
          <cell r="C2130">
            <v>0.31102040816326532</v>
          </cell>
          <cell r="D2130">
            <v>0.4719191919191919</v>
          </cell>
          <cell r="E2130">
            <v>0.67313131313131314</v>
          </cell>
          <cell r="F2130">
            <v>0.86080000000000001</v>
          </cell>
          <cell r="G2130">
            <v>0.94881188118811877</v>
          </cell>
          <cell r="H2130">
            <v>1.0420792079207921</v>
          </cell>
          <cell r="I2130">
            <v>1.0711881188118813</v>
          </cell>
          <cell r="J2130">
            <v>1.1667326732673267</v>
          </cell>
          <cell r="K2130">
            <v>1.3176922087813177</v>
          </cell>
          <cell r="L2130">
            <v>1.4176922087813175</v>
          </cell>
          <cell r="M2130">
            <v>1.4476922087813178</v>
          </cell>
          <cell r="N2130">
            <v>1.4676922087813178</v>
          </cell>
          <cell r="O2130">
            <v>1.4776922087813178</v>
          </cell>
          <cell r="P2130">
            <v>1.4826922087813175</v>
          </cell>
          <cell r="Q2130">
            <v>1.4876922087813178</v>
          </cell>
          <cell r="R2130" t="e">
            <v>#DIV/0!</v>
          </cell>
          <cell r="S2130" t="e">
            <v>#DIV/0!</v>
          </cell>
        </row>
        <row r="2131">
          <cell r="B2131" t="str">
            <v>Swisscom</v>
          </cell>
          <cell r="C2131">
            <v>0.24115774647887325</v>
          </cell>
          <cell r="D2131">
            <v>0.4176056338028169</v>
          </cell>
          <cell r="E2131">
            <v>0.61</v>
          </cell>
          <cell r="F2131">
            <v>0.73830985915492953</v>
          </cell>
          <cell r="G2131">
            <v>0.80366197183098587</v>
          </cell>
          <cell r="H2131">
            <v>0.84352112676056334</v>
          </cell>
          <cell r="I2131">
            <v>0.87816901408450709</v>
          </cell>
          <cell r="J2131">
            <v>0.95732394366197182</v>
          </cell>
          <cell r="K2131">
            <v>1.0342253521126761</v>
          </cell>
          <cell r="L2131">
            <v>1.1242253521126759</v>
          </cell>
          <cell r="M2131">
            <v>1.1442253521126762</v>
          </cell>
          <cell r="N2131">
            <v>1.1492253521126761</v>
          </cell>
          <cell r="O2131">
            <v>1.154225352112676</v>
          </cell>
          <cell r="P2131">
            <v>1.1592253521126759</v>
          </cell>
          <cell r="Q2131">
            <v>1.1642253521126757</v>
          </cell>
          <cell r="R2131" t="e">
            <v>#DIV/0!</v>
          </cell>
          <cell r="S2131" t="e">
            <v>#DIV/0!</v>
          </cell>
        </row>
        <row r="2132">
          <cell r="B2132" t="str">
            <v>TDC</v>
          </cell>
          <cell r="C2132" t="e">
            <v>#DIV/0!</v>
          </cell>
          <cell r="D2132" t="e">
            <v>#DIV/0!</v>
          </cell>
          <cell r="E2132" t="e">
            <v>#DIV/0!</v>
          </cell>
          <cell r="F2132" t="e">
            <v>#DIV/0!</v>
          </cell>
          <cell r="G2132" t="e">
            <v>#DIV/0!</v>
          </cell>
          <cell r="H2132" t="e">
            <v>#DIV/0!</v>
          </cell>
          <cell r="I2132" t="e">
            <v>#DIV/0!</v>
          </cell>
          <cell r="J2132" t="e">
            <v>#DIV/0!</v>
          </cell>
          <cell r="K2132" t="e">
            <v>#DIV/0!</v>
          </cell>
          <cell r="L2132" t="e">
            <v>#DIV/0!</v>
          </cell>
          <cell r="M2132" t="e">
            <v>#DIV/0!</v>
          </cell>
          <cell r="N2132" t="e">
            <v>#DIV/0!</v>
          </cell>
          <cell r="O2132" t="e">
            <v>#DIV/0!</v>
          </cell>
          <cell r="P2132" t="e">
            <v>#DIV/0!</v>
          </cell>
          <cell r="Q2132" t="e">
            <v>#DIV/0!</v>
          </cell>
          <cell r="R2132" t="e">
            <v>#DIV/0!</v>
          </cell>
          <cell r="S2132" t="e">
            <v>#DIV/0!</v>
          </cell>
        </row>
        <row r="2133">
          <cell r="B2133" t="str">
            <v>Telecom Italia</v>
          </cell>
          <cell r="C2133" t="e">
            <v>#DIV/0!</v>
          </cell>
          <cell r="D2133" t="e">
            <v>#DIV/0!</v>
          </cell>
          <cell r="E2133">
            <v>0.73441025517434877</v>
          </cell>
          <cell r="F2133">
            <v>0.88847977316330573</v>
          </cell>
          <cell r="G2133">
            <v>0.92524279207161553</v>
          </cell>
          <cell r="H2133">
            <v>0.9867563694452699</v>
          </cell>
          <cell r="I2133">
            <v>1.093167394632047</v>
          </cell>
          <cell r="J2133">
            <v>1.2467481355415013</v>
          </cell>
          <cell r="K2133">
            <v>1.4070321049698495</v>
          </cell>
          <cell r="L2133">
            <v>1.5870321049698495</v>
          </cell>
          <cell r="M2133">
            <v>1.7070321049698496</v>
          </cell>
          <cell r="N2133">
            <v>1.7570321049698496</v>
          </cell>
          <cell r="O2133">
            <v>1.7870321049698497</v>
          </cell>
          <cell r="P2133">
            <v>1.7970321049698497</v>
          </cell>
          <cell r="Q2133">
            <v>1.8070321049698497</v>
          </cell>
          <cell r="R2133" t="e">
            <v>#DIV/0!</v>
          </cell>
          <cell r="S2133" t="e">
            <v>#DIV/0!</v>
          </cell>
        </row>
        <row r="2134">
          <cell r="B2134" t="str">
            <v>Telefonica</v>
          </cell>
          <cell r="C2134">
            <v>0.17529022346368714</v>
          </cell>
          <cell r="D2134">
            <v>0.37315065789473684</v>
          </cell>
          <cell r="E2134">
            <v>0.59414888222079576</v>
          </cell>
          <cell r="F2134">
            <v>0.71071265460336519</v>
          </cell>
          <cell r="G2134">
            <v>0.79867786853785361</v>
          </cell>
          <cell r="H2134">
            <v>0.87391641412361687</v>
          </cell>
          <cell r="I2134">
            <v>0.90945735633539393</v>
          </cell>
          <cell r="J2134">
            <v>1.0027523296413086</v>
          </cell>
          <cell r="K2134">
            <v>1.0943260793060772</v>
          </cell>
          <cell r="L2134">
            <v>1.174326079306077</v>
          </cell>
          <cell r="M2134">
            <v>1.2243260793060771</v>
          </cell>
          <cell r="N2134">
            <v>1.2543260793060771</v>
          </cell>
          <cell r="O2134">
            <v>1.2743260793060771</v>
          </cell>
          <cell r="P2134">
            <v>1.2843260793060771</v>
          </cell>
          <cell r="Q2134">
            <v>1.2943260793060771</v>
          </cell>
          <cell r="R2134" t="e">
            <v>#DIV/0!</v>
          </cell>
          <cell r="S2134" t="e">
            <v>#DIV/0!</v>
          </cell>
        </row>
        <row r="2135">
          <cell r="B2135" t="str">
            <v>Telekom Austria</v>
          </cell>
          <cell r="C2135">
            <v>0.28493827160493829</v>
          </cell>
          <cell r="D2135">
            <v>0.52481481481481485</v>
          </cell>
          <cell r="E2135">
            <v>0.77197530864197528</v>
          </cell>
          <cell r="F2135">
            <v>0.81134567901234567</v>
          </cell>
          <cell r="G2135">
            <v>0.82950617283950612</v>
          </cell>
          <cell r="H2135">
            <v>0.89493827160493822</v>
          </cell>
          <cell r="I2135">
            <v>0.96813580246913578</v>
          </cell>
          <cell r="J2135">
            <v>1.067283950617284</v>
          </cell>
          <cell r="K2135">
            <v>1.1573456790123458</v>
          </cell>
          <cell r="L2135">
            <v>1.2273456790123456</v>
          </cell>
          <cell r="M2135">
            <v>1.2473456790123456</v>
          </cell>
          <cell r="N2135">
            <v>1.2523456790123457</v>
          </cell>
          <cell r="O2135">
            <v>1.2573456790123456</v>
          </cell>
          <cell r="P2135">
            <v>1.2623456790123457</v>
          </cell>
          <cell r="Q2135">
            <v>1.2673456790123456</v>
          </cell>
          <cell r="R2135" t="e">
            <v>#DIV/0!</v>
          </cell>
          <cell r="S2135" t="e">
            <v>#DIV/0!</v>
          </cell>
        </row>
        <row r="2136">
          <cell r="B2136" t="str">
            <v>Telenor</v>
          </cell>
          <cell r="C2136" t="e">
            <v>#DIV/0!</v>
          </cell>
          <cell r="D2136" t="e">
            <v>#DIV/0!</v>
          </cell>
          <cell r="E2136" t="e">
            <v>#DIV/0!</v>
          </cell>
          <cell r="F2136">
            <v>0.77296819787985871</v>
          </cell>
          <cell r="G2136">
            <v>0.84964881474978049</v>
          </cell>
          <cell r="H2136">
            <v>0.90395258125526889</v>
          </cell>
          <cell r="I2136">
            <v>1.0359273828595288</v>
          </cell>
          <cell r="J2136">
            <v>1.0563547321334528</v>
          </cell>
          <cell r="K2136">
            <v>1.0787378914442418</v>
          </cell>
          <cell r="L2136">
            <v>1.0987378914442418</v>
          </cell>
          <cell r="M2136">
            <v>1.1087378914442418</v>
          </cell>
          <cell r="N2136">
            <v>1.1187378914442416</v>
          </cell>
          <cell r="O2136">
            <v>1.1287378914442419</v>
          </cell>
          <cell r="P2136">
            <v>1.1312378914442418</v>
          </cell>
          <cell r="Q2136">
            <v>1.1337378914442415</v>
          </cell>
          <cell r="R2136">
            <v>1.1362378914442417</v>
          </cell>
          <cell r="S2136" t="e">
            <v>#DIV/0!</v>
          </cell>
        </row>
        <row r="2137">
          <cell r="B2137" t="str">
            <v>TeliaSonera</v>
          </cell>
          <cell r="C2137" t="e">
            <v>#DIV/0!</v>
          </cell>
          <cell r="D2137" t="e">
            <v>#DIV/0!</v>
          </cell>
          <cell r="E2137" t="e">
            <v>#DIV/0!</v>
          </cell>
          <cell r="F2137" t="e">
            <v>#DIV/0!</v>
          </cell>
          <cell r="G2137" t="e">
            <v>#DIV/0!</v>
          </cell>
          <cell r="H2137" t="e">
            <v>#DIV/0!</v>
          </cell>
          <cell r="I2137" t="e">
            <v>#DIV/0!</v>
          </cell>
          <cell r="J2137">
            <v>1.1151616499442587</v>
          </cell>
          <cell r="K2137">
            <v>1.1531772575250836</v>
          </cell>
          <cell r="L2137">
            <v>1.2131772575250837</v>
          </cell>
          <cell r="M2137">
            <v>1.2481772575250836</v>
          </cell>
          <cell r="N2137">
            <v>1.2731772575250835</v>
          </cell>
          <cell r="O2137">
            <v>1.2831772575250837</v>
          </cell>
          <cell r="P2137">
            <v>1.2881772575250836</v>
          </cell>
          <cell r="Q2137">
            <v>1.2906772575250833</v>
          </cell>
          <cell r="R2137">
            <v>1.2931772575250835</v>
          </cell>
          <cell r="S2137">
            <v>1.2956772575250834</v>
          </cell>
        </row>
        <row r="2138">
          <cell r="B2138" t="str">
            <v>Sum</v>
          </cell>
          <cell r="C2138">
            <v>0.19260481502577614</v>
          </cell>
          <cell r="D2138">
            <v>0.34886140193863963</v>
          </cell>
          <cell r="E2138">
            <v>0.60999228353444168</v>
          </cell>
          <cell r="F2138">
            <v>0.73167530131903125</v>
          </cell>
          <cell r="G2138">
            <v>0.77621716333808244</v>
          </cell>
          <cell r="H2138">
            <v>0.84126158170689957</v>
          </cell>
          <cell r="I2138">
            <v>0.91412190123252657</v>
          </cell>
          <cell r="J2138">
            <v>1.0053976468589849</v>
          </cell>
          <cell r="K2138">
            <v>1.0960710235383435</v>
          </cell>
          <cell r="L2138">
            <v>1.1399094388632185</v>
          </cell>
          <cell r="M2138">
            <v>1.1936129303287344</v>
          </cell>
          <cell r="N2138">
            <v>1.2230515929196877</v>
          </cell>
          <cell r="O2138">
            <v>1.2412722469240269</v>
          </cell>
          <cell r="P2138">
            <v>1.2506679628675728</v>
          </cell>
          <cell r="Q2138">
            <v>1.2579743452852767</v>
          </cell>
          <cell r="R2138">
            <v>0.55967228190795792</v>
          </cell>
          <cell r="S2138">
            <v>0.45592774149091314</v>
          </cell>
        </row>
        <row r="2773">
          <cell r="B2773" t="str">
            <v>KPN</v>
          </cell>
          <cell r="C2773">
            <v>0</v>
          </cell>
          <cell r="D2773">
            <v>0</v>
          </cell>
          <cell r="E2773">
            <v>-1278</v>
          </cell>
          <cell r="F2773">
            <v>232</v>
          </cell>
          <cell r="G2773">
            <v>1314</v>
          </cell>
          <cell r="H2773">
            <v>200</v>
          </cell>
          <cell r="I2773">
            <v>74</v>
          </cell>
          <cell r="J2773">
            <v>40</v>
          </cell>
          <cell r="K2773">
            <v>-122</v>
          </cell>
          <cell r="L2773">
            <v>-9.729000463337556</v>
          </cell>
          <cell r="M2773">
            <v>-12.190596738107658</v>
          </cell>
          <cell r="N2773">
            <v>-18.416228185621506</v>
          </cell>
          <cell r="O2773">
            <v>-21.068541635328046</v>
          </cell>
          <cell r="P2773">
            <v>-18.40873705512243</v>
          </cell>
          <cell r="Q2773">
            <v>-18.222669214079872</v>
          </cell>
          <cell r="R2773">
            <v>-16.734140686397879</v>
          </cell>
          <cell r="S2773">
            <v>-14.463477014221212</v>
          </cell>
        </row>
        <row r="2774">
          <cell r="B2774" t="str">
            <v>OTE</v>
          </cell>
          <cell r="C2774">
            <v>0</v>
          </cell>
          <cell r="D2774">
            <v>-392.52237710931763</v>
          </cell>
          <cell r="E2774">
            <v>103.64490095377842</v>
          </cell>
          <cell r="F2774">
            <v>303.31936903888464</v>
          </cell>
          <cell r="G2774">
            <v>-144.30000000000001</v>
          </cell>
          <cell r="H2774">
            <v>418</v>
          </cell>
          <cell r="I2774">
            <v>208.4</v>
          </cell>
          <cell r="J2774">
            <v>-528.4</v>
          </cell>
          <cell r="K2774">
            <v>289</v>
          </cell>
          <cell r="L2774">
            <v>22.35187443330139</v>
          </cell>
          <cell r="M2774">
            <v>12.901192069876203</v>
          </cell>
          <cell r="N2774">
            <v>4.0510370852307744</v>
          </cell>
          <cell r="O2774">
            <v>0.36951516378837823</v>
          </cell>
          <cell r="P2774">
            <v>-0.21055870177369229</v>
          </cell>
          <cell r="Q2774">
            <v>0.24614977312376141</v>
          </cell>
          <cell r="R2774">
            <v>0</v>
          </cell>
          <cell r="S2774">
            <v>0</v>
          </cell>
        </row>
        <row r="2775">
          <cell r="B2775" t="str">
            <v>Portugal Telecom</v>
          </cell>
          <cell r="C2775">
            <v>0</v>
          </cell>
          <cell r="D2775">
            <v>0</v>
          </cell>
          <cell r="E2775">
            <v>16.059257781324845</v>
          </cell>
          <cell r="F2775">
            <v>-620</v>
          </cell>
          <cell r="G2775">
            <v>-295</v>
          </cell>
          <cell r="H2775">
            <v>32</v>
          </cell>
          <cell r="I2775">
            <v>54</v>
          </cell>
          <cell r="J2775">
            <v>-234</v>
          </cell>
          <cell r="K2775">
            <v>228</v>
          </cell>
          <cell r="L2775">
            <v>-29.375640022041296</v>
          </cell>
          <cell r="M2775">
            <v>-11.744273520171021</v>
          </cell>
          <cell r="N2775">
            <v>38.370804129486118</v>
          </cell>
          <cell r="O2775">
            <v>35.544393277674686</v>
          </cell>
          <cell r="P2775">
            <v>33.29013604765899</v>
          </cell>
          <cell r="Q2775">
            <v>31.902090802435822</v>
          </cell>
          <cell r="R2775">
            <v>0</v>
          </cell>
          <cell r="S2775">
            <v>0</v>
          </cell>
        </row>
        <row r="2776">
          <cell r="B2776" t="str">
            <v>Swisscom</v>
          </cell>
          <cell r="C2776">
            <v>0</v>
          </cell>
          <cell r="D2776">
            <v>-128.42620408268101</v>
          </cell>
          <cell r="E2776">
            <v>148.83036734815371</v>
          </cell>
          <cell r="F2776">
            <v>-79.216163265952787</v>
          </cell>
          <cell r="G2776">
            <v>-326.46661224756298</v>
          </cell>
          <cell r="H2776">
            <v>22.204530612426158</v>
          </cell>
          <cell r="I2776">
            <v>13.802816326643287</v>
          </cell>
          <cell r="J2776">
            <v>143.42926530729329</v>
          </cell>
          <cell r="K2776">
            <v>-159.63257142987453</v>
          </cell>
          <cell r="L2776">
            <v>-89.393152741791937</v>
          </cell>
          <cell r="M2776">
            <v>-101.28006866693366</v>
          </cell>
          <cell r="N2776">
            <v>-66.220104698065896</v>
          </cell>
          <cell r="O2776">
            <v>-3.7902814403306184</v>
          </cell>
          <cell r="P2776">
            <v>-1.6772148897316006</v>
          </cell>
          <cell r="Q2776">
            <v>4.7987191151705681E-2</v>
          </cell>
          <cell r="R2776">
            <v>0</v>
          </cell>
          <cell r="S2776">
            <v>0</v>
          </cell>
        </row>
        <row r="2777">
          <cell r="B2777" t="str">
            <v>TDC</v>
          </cell>
          <cell r="C2777">
            <v>0</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row>
        <row r="2778">
          <cell r="B2778" t="str">
            <v>Telecom Italia</v>
          </cell>
          <cell r="C2778">
            <v>0</v>
          </cell>
          <cell r="D2778">
            <v>0</v>
          </cell>
          <cell r="E2778">
            <v>0</v>
          </cell>
          <cell r="F2778">
            <v>620</v>
          </cell>
          <cell r="G2778">
            <v>-382</v>
          </cell>
          <cell r="H2778">
            <v>-250</v>
          </cell>
          <cell r="I2778">
            <v>1335</v>
          </cell>
          <cell r="J2778">
            <v>600</v>
          </cell>
          <cell r="K2778">
            <v>-758</v>
          </cell>
          <cell r="L2778">
            <v>500</v>
          </cell>
          <cell r="M2778">
            <v>0</v>
          </cell>
          <cell r="N2778">
            <v>0</v>
          </cell>
          <cell r="O2778">
            <v>0</v>
          </cell>
          <cell r="P2778">
            <v>0</v>
          </cell>
          <cell r="Q2778">
            <v>0</v>
          </cell>
          <cell r="R2778">
            <v>0</v>
          </cell>
          <cell r="S2778">
            <v>0</v>
          </cell>
        </row>
        <row r="2779">
          <cell r="B2779" t="str">
            <v>Telefonica</v>
          </cell>
          <cell r="C2779">
            <v>0</v>
          </cell>
          <cell r="D2779">
            <v>-245</v>
          </cell>
          <cell r="E2779">
            <v>825</v>
          </cell>
          <cell r="F2779">
            <v>-767</v>
          </cell>
          <cell r="G2779">
            <v>-489.5</v>
          </cell>
          <cell r="H2779">
            <v>-358.8</v>
          </cell>
          <cell r="I2779">
            <v>732</v>
          </cell>
          <cell r="J2779">
            <v>670</v>
          </cell>
          <cell r="K2779">
            <v>1939</v>
          </cell>
          <cell r="L2779">
            <v>-206.33111389054841</v>
          </cell>
          <cell r="M2779">
            <v>-143.85812950670027</v>
          </cell>
          <cell r="N2779">
            <v>-31.474241354802416</v>
          </cell>
          <cell r="O2779">
            <v>67.411748354853898</v>
          </cell>
          <cell r="P2779">
            <v>208.45680072980485</v>
          </cell>
          <cell r="Q2779">
            <v>199.48991012932038</v>
          </cell>
          <cell r="R2779">
            <v>0</v>
          </cell>
          <cell r="S2779">
            <v>0</v>
          </cell>
        </row>
        <row r="2780">
          <cell r="B2780" t="str">
            <v>Telekom Austria</v>
          </cell>
          <cell r="C2780">
            <v>0</v>
          </cell>
          <cell r="D2780">
            <v>599.62099999999998</v>
          </cell>
          <cell r="E2780">
            <v>-284.23699999999997</v>
          </cell>
          <cell r="F2780">
            <v>-68.465000000000003</v>
          </cell>
          <cell r="G2780">
            <v>0</v>
          </cell>
          <cell r="H2780">
            <v>-171</v>
          </cell>
          <cell r="I2780">
            <v>-202.2</v>
          </cell>
          <cell r="J2780">
            <v>17.200000000000358</v>
          </cell>
          <cell r="K2780">
            <v>-107.8</v>
          </cell>
          <cell r="L2780">
            <v>1.2043119110865916</v>
          </cell>
          <cell r="M2780">
            <v>0.47733197023926266</v>
          </cell>
          <cell r="N2780">
            <v>0.65357099903411608</v>
          </cell>
          <cell r="O2780">
            <v>0.48447184498775187</v>
          </cell>
          <cell r="P2780">
            <v>0.14597018439144449</v>
          </cell>
          <cell r="Q2780">
            <v>-5.2253576132287094E-2</v>
          </cell>
          <cell r="R2780">
            <v>0</v>
          </cell>
          <cell r="S2780">
            <v>0</v>
          </cell>
        </row>
        <row r="2781">
          <cell r="B2781" t="str">
            <v>Telenor</v>
          </cell>
          <cell r="C2781">
            <v>0</v>
          </cell>
          <cell r="D2781">
            <v>0</v>
          </cell>
          <cell r="E2781">
            <v>0</v>
          </cell>
          <cell r="F2781">
            <v>0</v>
          </cell>
          <cell r="G2781">
            <v>299.50468079823514</v>
          </cell>
          <cell r="H2781">
            <v>-131.92777859661618</v>
          </cell>
          <cell r="I2781">
            <v>-399.16609934360793</v>
          </cell>
          <cell r="J2781">
            <v>222.61186309547367</v>
          </cell>
          <cell r="K2781">
            <v>235.49238585786517</v>
          </cell>
          <cell r="L2781">
            <v>15.444408047087455</v>
          </cell>
          <cell r="M2781">
            <v>67.98124197120633</v>
          </cell>
          <cell r="N2781">
            <v>63.25650624750422</v>
          </cell>
          <cell r="O2781">
            <v>52.927232043543945</v>
          </cell>
          <cell r="P2781">
            <v>37.855501388832124</v>
          </cell>
          <cell r="Q2781">
            <v>30.927279762221424</v>
          </cell>
          <cell r="R2781">
            <v>0</v>
          </cell>
          <cell r="S2781">
            <v>0</v>
          </cell>
        </row>
        <row r="2782">
          <cell r="B2782" t="str">
            <v>TeliaSonera</v>
          </cell>
          <cell r="C2782">
            <v>0</v>
          </cell>
          <cell r="D2782">
            <v>0</v>
          </cell>
          <cell r="E2782">
            <v>0</v>
          </cell>
          <cell r="F2782">
            <v>0</v>
          </cell>
          <cell r="G2782">
            <v>0</v>
          </cell>
          <cell r="H2782">
            <v>0</v>
          </cell>
          <cell r="I2782">
            <v>0</v>
          </cell>
          <cell r="J2782">
            <v>0</v>
          </cell>
          <cell r="K2782">
            <v>320.66041300571891</v>
          </cell>
          <cell r="L2782">
            <v>24.263729001598676</v>
          </cell>
          <cell r="M2782">
            <v>12.693427951199869</v>
          </cell>
          <cell r="N2782">
            <v>11.471631166530317</v>
          </cell>
          <cell r="O2782">
            <v>4.390223211842236</v>
          </cell>
          <cell r="P2782">
            <v>-2.1067754936025844</v>
          </cell>
          <cell r="Q2782">
            <v>-4.866508751040878</v>
          </cell>
          <cell r="R2782">
            <v>-6.5263929219237733</v>
          </cell>
          <cell r="S2782">
            <v>-7.6923335323774129</v>
          </cell>
        </row>
        <row r="2783">
          <cell r="B2783" t="str">
            <v>Sum</v>
          </cell>
          <cell r="C2783">
            <v>238</v>
          </cell>
          <cell r="D2783">
            <v>-480.32758119199855</v>
          </cell>
          <cell r="E2783">
            <v>-457.70247391674309</v>
          </cell>
          <cell r="F2783">
            <v>2208.638205772932</v>
          </cell>
          <cell r="G2783">
            <v>5532.2380685506723</v>
          </cell>
          <cell r="H2783">
            <v>632.74337158486674</v>
          </cell>
          <cell r="I2783">
            <v>3358.1173951886167</v>
          </cell>
          <cell r="J2783">
            <v>1637.5060524578714</v>
          </cell>
          <cell r="K2783">
            <v>1613.7668540674081</v>
          </cell>
          <cell r="L2783">
            <v>176.81291265016202</v>
          </cell>
          <cell r="M2783">
            <v>-291.98373721580288</v>
          </cell>
          <cell r="N2783">
            <v>-154.03345108894788</v>
          </cell>
          <cell r="O2783">
            <v>22.678740563841504</v>
          </cell>
          <cell r="P2783">
            <v>142.109754456231</v>
          </cell>
          <cell r="Q2783">
            <v>117.24169351738904</v>
          </cell>
          <cell r="R2783">
            <v>-48.628388029793484</v>
          </cell>
          <cell r="S2783">
            <v>-37.240658609841034</v>
          </cell>
        </row>
        <row r="2786">
          <cell r="B2786" t="str">
            <v>Cashflow: Provision utilisation</v>
          </cell>
          <cell r="C2786">
            <v>1998</v>
          </cell>
          <cell r="D2786">
            <v>1999</v>
          </cell>
          <cell r="E2786">
            <v>2000</v>
          </cell>
          <cell r="F2786">
            <v>2001</v>
          </cell>
          <cell r="G2786">
            <v>2002</v>
          </cell>
          <cell r="H2786">
            <v>2003</v>
          </cell>
          <cell r="I2786">
            <v>2004</v>
          </cell>
          <cell r="J2786">
            <v>2005</v>
          </cell>
          <cell r="K2786">
            <v>2006</v>
          </cell>
          <cell r="L2786">
            <v>2007</v>
          </cell>
          <cell r="M2786">
            <v>2008</v>
          </cell>
          <cell r="N2786">
            <v>2009</v>
          </cell>
          <cell r="O2786">
            <v>2010</v>
          </cell>
          <cell r="P2786">
            <v>2011</v>
          </cell>
          <cell r="Q2786">
            <v>2012</v>
          </cell>
          <cell r="R2786">
            <v>2013</v>
          </cell>
          <cell r="S2786">
            <v>2014</v>
          </cell>
        </row>
        <row r="2787">
          <cell r="B2787" t="str">
            <v>Belgacom</v>
          </cell>
          <cell r="C2787">
            <v>0</v>
          </cell>
          <cell r="D2787">
            <v>0</v>
          </cell>
          <cell r="E2787">
            <v>0</v>
          </cell>
          <cell r="F2787">
            <v>0</v>
          </cell>
          <cell r="G2787">
            <v>0</v>
          </cell>
          <cell r="H2787">
            <v>-132</v>
          </cell>
          <cell r="I2787">
            <v>-79</v>
          </cell>
          <cell r="J2787">
            <v>-130</v>
          </cell>
          <cell r="K2787">
            <v>-130</v>
          </cell>
          <cell r="L2787">
            <v>-140</v>
          </cell>
          <cell r="M2787">
            <v>-140</v>
          </cell>
          <cell r="N2787">
            <v>-140</v>
          </cell>
          <cell r="O2787">
            <v>-140</v>
          </cell>
          <cell r="P2787">
            <v>-140</v>
          </cell>
          <cell r="Q2787">
            <v>-140</v>
          </cell>
          <cell r="R2787">
            <v>0</v>
          </cell>
          <cell r="S2787">
            <v>0</v>
          </cell>
        </row>
        <row r="2788">
          <cell r="B2788" t="str">
            <v>British Telecom</v>
          </cell>
          <cell r="C2788">
            <v>0</v>
          </cell>
          <cell r="D2788">
            <v>0</v>
          </cell>
          <cell r="E2788">
            <v>0</v>
          </cell>
          <cell r="F2788">
            <v>0</v>
          </cell>
          <cell r="G2788">
            <v>-50.394560226068528</v>
          </cell>
          <cell r="H2788">
            <v>-103.66880960791239</v>
          </cell>
          <cell r="I2788">
            <v>-118.06725538678913</v>
          </cell>
          <cell r="J2788">
            <v>-133.90554574355352</v>
          </cell>
          <cell r="K2788">
            <v>-275.01031437654541</v>
          </cell>
          <cell r="L2788">
            <v>-106.54849876368775</v>
          </cell>
          <cell r="M2788">
            <v>-161.26259272341929</v>
          </cell>
          <cell r="N2788">
            <v>-56.153938537619219</v>
          </cell>
          <cell r="O2788">
            <v>0</v>
          </cell>
          <cell r="P2788">
            <v>0</v>
          </cell>
          <cell r="Q2788">
            <v>0</v>
          </cell>
          <cell r="R2788">
            <v>0</v>
          </cell>
          <cell r="S2788">
            <v>0</v>
          </cell>
        </row>
        <row r="2789">
          <cell r="B2789" t="str">
            <v>Deutsche Telekom</v>
          </cell>
        </row>
      </sheetData>
      <sheetData sheetId="19"/>
      <sheetData sheetId="20" refreshError="1">
        <row r="876">
          <cell r="B876" t="str">
            <v>Residential subs</v>
          </cell>
          <cell r="C876">
            <v>2000</v>
          </cell>
          <cell r="D876">
            <v>2001</v>
          </cell>
          <cell r="E876">
            <v>2002</v>
          </cell>
          <cell r="F876">
            <v>2003</v>
          </cell>
          <cell r="G876">
            <v>2004</v>
          </cell>
          <cell r="H876">
            <v>2005</v>
          </cell>
          <cell r="I876">
            <v>2006</v>
          </cell>
          <cell r="J876">
            <v>2007</v>
          </cell>
          <cell r="K876">
            <v>2008</v>
          </cell>
          <cell r="L876">
            <v>2009</v>
          </cell>
          <cell r="M876">
            <v>2010</v>
          </cell>
          <cell r="N876">
            <v>2011</v>
          </cell>
          <cell r="O876">
            <v>2012</v>
          </cell>
        </row>
        <row r="877">
          <cell r="B877" t="str">
            <v>Germany</v>
          </cell>
          <cell r="C877">
            <v>455</v>
          </cell>
          <cell r="D877">
            <v>1680</v>
          </cell>
          <cell r="E877">
            <v>2205</v>
          </cell>
          <cell r="F877">
            <v>3296.5931863727455</v>
          </cell>
          <cell r="G877">
            <v>5304.6750065788146</v>
          </cell>
          <cell r="H877">
            <v>8214.3623982659192</v>
          </cell>
          <cell r="I877">
            <v>12093.130849327521</v>
          </cell>
          <cell r="J877">
            <v>17139.231563126254</v>
          </cell>
          <cell r="K877">
            <v>21031.264719438877</v>
          </cell>
          <cell r="L877">
            <v>23804.862855410818</v>
          </cell>
          <cell r="M877">
            <v>25892.423675410817</v>
          </cell>
          <cell r="N877">
            <v>27261.599219810818</v>
          </cell>
          <cell r="O877">
            <v>28364.578747454816</v>
          </cell>
        </row>
        <row r="878">
          <cell r="B878" t="str">
            <v>Ireland</v>
          </cell>
          <cell r="C878">
            <v>0</v>
          </cell>
          <cell r="D878">
            <v>0</v>
          </cell>
          <cell r="E878">
            <v>0</v>
          </cell>
          <cell r="F878">
            <v>0</v>
          </cell>
          <cell r="G878">
            <v>0</v>
          </cell>
          <cell r="H878">
            <v>0</v>
          </cell>
          <cell r="I878">
            <v>0</v>
          </cell>
          <cell r="J878">
            <v>0</v>
          </cell>
          <cell r="K878">
            <v>0</v>
          </cell>
          <cell r="L878">
            <v>0</v>
          </cell>
          <cell r="M878">
            <v>0</v>
          </cell>
          <cell r="N878">
            <v>0</v>
          </cell>
          <cell r="O878">
            <v>0</v>
          </cell>
        </row>
        <row r="879">
          <cell r="B879" t="str">
            <v>UK</v>
          </cell>
          <cell r="C879">
            <v>0</v>
          </cell>
          <cell r="D879">
            <v>0</v>
          </cell>
          <cell r="E879">
            <v>862.9</v>
          </cell>
          <cell r="F879">
            <v>2520.11</v>
          </cell>
          <cell r="G879">
            <v>5284.6</v>
          </cell>
          <cell r="H879">
            <v>8837.7000000000007</v>
          </cell>
          <cell r="I879">
            <v>11783</v>
          </cell>
          <cell r="J879">
            <v>13955.6425</v>
          </cell>
          <cell r="K879">
            <v>15877.0615</v>
          </cell>
          <cell r="L879">
            <v>16962.489460000001</v>
          </cell>
          <cell r="M879">
            <v>18109.813708000001</v>
          </cell>
          <cell r="N879">
            <v>18846.388654240003</v>
          </cell>
          <cell r="O879">
            <v>19430.564237324805</v>
          </cell>
        </row>
        <row r="880">
          <cell r="B880" t="str">
            <v>France</v>
          </cell>
          <cell r="C880">
            <v>135.80000000000001</v>
          </cell>
          <cell r="D880">
            <v>393.25</v>
          </cell>
          <cell r="E880">
            <v>1001.4</v>
          </cell>
          <cell r="F880">
            <v>2234.4</v>
          </cell>
          <cell r="G880">
            <v>4331.5600000000004</v>
          </cell>
          <cell r="H880">
            <v>6939.4719999999998</v>
          </cell>
          <cell r="I880">
            <v>10010.345600000001</v>
          </cell>
          <cell r="J880">
            <v>12558.264879999999</v>
          </cell>
          <cell r="K880">
            <v>14215.184101999992</v>
          </cell>
          <cell r="L880">
            <v>15419.851828261992</v>
          </cell>
          <cell r="M880">
            <v>16032.540223434844</v>
          </cell>
          <cell r="N880">
            <v>16646.435678557238</v>
          </cell>
          <cell r="O880">
            <v>17261.539995060681</v>
          </cell>
        </row>
        <row r="881">
          <cell r="B881" t="str">
            <v>Italy</v>
          </cell>
          <cell r="C881">
            <v>56.716472500000009</v>
          </cell>
          <cell r="D881">
            <v>169</v>
          </cell>
          <cell r="E881">
            <v>422.7</v>
          </cell>
          <cell r="F881">
            <v>1084.2</v>
          </cell>
          <cell r="G881">
            <v>2657</v>
          </cell>
          <cell r="H881">
            <v>4535</v>
          </cell>
          <cell r="I881">
            <v>5805</v>
          </cell>
          <cell r="J881">
            <v>7494.8300150174982</v>
          </cell>
          <cell r="K881">
            <v>8885.6358192217103</v>
          </cell>
          <cell r="L881">
            <v>10290.162310717587</v>
          </cell>
          <cell r="M881">
            <v>11708.511926232943</v>
          </cell>
          <cell r="N881">
            <v>13140.787783845688</v>
          </cell>
          <cell r="O881">
            <v>14587.0936872364</v>
          </cell>
        </row>
        <row r="882">
          <cell r="B882" t="str">
            <v>Spain</v>
          </cell>
          <cell r="C882">
            <v>183.50624999999999</v>
          </cell>
          <cell r="D882">
            <v>223</v>
          </cell>
          <cell r="E882">
            <v>990</v>
          </cell>
          <cell r="F882">
            <v>1769</v>
          </cell>
          <cell r="G882">
            <v>2632</v>
          </cell>
          <cell r="H882">
            <v>4029.8</v>
          </cell>
          <cell r="I882">
            <v>5439.52</v>
          </cell>
          <cell r="J882">
            <v>6901.2859758950008</v>
          </cell>
          <cell r="K882">
            <v>8052.4688755284515</v>
          </cell>
          <cell r="L882">
            <v>9016.0409253421312</v>
          </cell>
          <cell r="M882">
            <v>9754.6396538164663</v>
          </cell>
          <cell r="N882">
            <v>10343.378077164474</v>
          </cell>
          <cell r="O882">
            <v>10942.915805014058</v>
          </cell>
        </row>
        <row r="883">
          <cell r="B883" t="str">
            <v>Netherlands</v>
          </cell>
          <cell r="C883">
            <v>0</v>
          </cell>
          <cell r="D883">
            <v>474</v>
          </cell>
          <cell r="E883">
            <v>801.72413793103442</v>
          </cell>
          <cell r="F883">
            <v>1434.6153846153845</v>
          </cell>
          <cell r="G883">
            <v>2579.1218826835266</v>
          </cell>
          <cell r="H883">
            <v>4113.4751773049647</v>
          </cell>
          <cell r="I883">
            <v>5000</v>
          </cell>
          <cell r="J883">
            <v>5708.695652173913</v>
          </cell>
          <cell r="K883">
            <v>6031.45652173913</v>
          </cell>
          <cell r="L883">
            <v>6283.3801630434782</v>
          </cell>
          <cell r="M883">
            <v>6407.6617265624982</v>
          </cell>
          <cell r="N883">
            <v>6439.7000351953102</v>
          </cell>
          <cell r="O883">
            <v>6471.898535371286</v>
          </cell>
        </row>
        <row r="884">
          <cell r="B884" t="str">
            <v>Austria</v>
          </cell>
          <cell r="C884">
            <v>111.2</v>
          </cell>
          <cell r="D884">
            <v>259.2</v>
          </cell>
          <cell r="E884">
            <v>345.6</v>
          </cell>
          <cell r="F884">
            <v>476.8</v>
          </cell>
          <cell r="G884">
            <v>702.96</v>
          </cell>
          <cell r="H884">
            <v>985.35199999999998</v>
          </cell>
          <cell r="I884">
            <v>1196.1872000000001</v>
          </cell>
          <cell r="J884">
            <v>1429.74656</v>
          </cell>
          <cell r="K884">
            <v>1662.8338879999999</v>
          </cell>
          <cell r="L884">
            <v>1895.4255824000004</v>
          </cell>
          <cell r="M884">
            <v>2046.4968615200005</v>
          </cell>
          <cell r="N884">
            <v>2127.4968615200005</v>
          </cell>
          <cell r="O884">
            <v>2208.4968615200005</v>
          </cell>
        </row>
        <row r="885">
          <cell r="B885" t="str">
            <v>Portugal</v>
          </cell>
          <cell r="C885">
            <v>0</v>
          </cell>
          <cell r="D885">
            <v>57.6</v>
          </cell>
          <cell r="E885">
            <v>156</v>
          </cell>
          <cell r="F885">
            <v>302.39999999999998</v>
          </cell>
          <cell r="G885">
            <v>540.09747572815536</v>
          </cell>
          <cell r="H885">
            <v>826.40094313453528</v>
          </cell>
          <cell r="I885">
            <v>1022.8293444290337</v>
          </cell>
          <cell r="J885">
            <v>1253.3475364838498</v>
          </cell>
          <cell r="K885">
            <v>1479.4456584585043</v>
          </cell>
          <cell r="L885">
            <v>1602.1099576272629</v>
          </cell>
          <cell r="M885">
            <v>1707.9783221550465</v>
          </cell>
          <cell r="N885">
            <v>1822.2083309430595</v>
          </cell>
          <cell r="O885">
            <v>1945.1262890256071</v>
          </cell>
        </row>
        <row r="886">
          <cell r="B886" t="str">
            <v>Sweden</v>
          </cell>
          <cell r="C886">
            <v>0</v>
          </cell>
          <cell r="D886">
            <v>0</v>
          </cell>
          <cell r="E886">
            <v>607.4</v>
          </cell>
          <cell r="F886">
            <v>833.4</v>
          </cell>
          <cell r="G886">
            <v>1136.5999999999999</v>
          </cell>
          <cell r="H886">
            <v>1611.4</v>
          </cell>
          <cell r="I886">
            <v>2045.2</v>
          </cell>
          <cell r="J886">
            <v>2485.1999999999998</v>
          </cell>
          <cell r="K886">
            <v>2925.2</v>
          </cell>
          <cell r="L886">
            <v>3277.2</v>
          </cell>
          <cell r="M886">
            <v>3453.2</v>
          </cell>
          <cell r="N886">
            <v>3497.2</v>
          </cell>
          <cell r="O886">
            <v>3541.2</v>
          </cell>
        </row>
        <row r="887">
          <cell r="B887" t="str">
            <v>Norway</v>
          </cell>
          <cell r="C887">
            <v>0</v>
          </cell>
          <cell r="D887">
            <v>38</v>
          </cell>
          <cell r="E887">
            <v>199</v>
          </cell>
          <cell r="F887">
            <v>374</v>
          </cell>
          <cell r="G887">
            <v>608.25</v>
          </cell>
          <cell r="H887">
            <v>865.8125</v>
          </cell>
          <cell r="I887">
            <v>1040.984375</v>
          </cell>
          <cell r="J887">
            <v>1156.4620312500001</v>
          </cell>
          <cell r="K887">
            <v>1227.2861328124998</v>
          </cell>
          <cell r="L887">
            <v>1273.3599894531249</v>
          </cell>
          <cell r="M887">
            <v>1318.4076179257811</v>
          </cell>
          <cell r="N887">
            <v>1335.8186799220705</v>
          </cell>
          <cell r="O887">
            <v>1353.997703905774</v>
          </cell>
        </row>
        <row r="888">
          <cell r="B888" t="str">
            <v>Switzerland</v>
          </cell>
          <cell r="C888">
            <v>0</v>
          </cell>
          <cell r="D888">
            <v>122.4</v>
          </cell>
          <cell r="E888">
            <v>364</v>
          </cell>
          <cell r="F888">
            <v>685.6</v>
          </cell>
          <cell r="G888">
            <v>1050.9327272727273</v>
          </cell>
          <cell r="H888">
            <v>1428.229818181818</v>
          </cell>
          <cell r="I888">
            <v>1814.559490909091</v>
          </cell>
          <cell r="J888">
            <v>2066.5549756586274</v>
          </cell>
          <cell r="K888">
            <v>2131.0908566493508</v>
          </cell>
          <cell r="L888">
            <v>2172.3554511589091</v>
          </cell>
          <cell r="M888">
            <v>2175.9560409874721</v>
          </cell>
          <cell r="N888">
            <v>2179.0395528758991</v>
          </cell>
          <cell r="O888">
            <v>2181.6188223509553</v>
          </cell>
        </row>
        <row r="889">
          <cell r="B889" t="str">
            <v>Greece</v>
          </cell>
          <cell r="C889">
            <v>0</v>
          </cell>
          <cell r="D889">
            <v>0</v>
          </cell>
          <cell r="E889">
            <v>0</v>
          </cell>
          <cell r="F889">
            <v>0.89078348031432153</v>
          </cell>
          <cell r="G889">
            <v>-5.1914114165090837</v>
          </cell>
          <cell r="H889">
            <v>86.733266613925423</v>
          </cell>
          <cell r="I889">
            <v>408.10492153313089</v>
          </cell>
          <cell r="J889">
            <v>949.44606639187316</v>
          </cell>
          <cell r="K889">
            <v>1363.0623021927663</v>
          </cell>
          <cell r="L889">
            <v>1654.4329251283193</v>
          </cell>
          <cell r="M889">
            <v>1813.1364289733804</v>
          </cell>
          <cell r="N889">
            <v>1905.0159540335817</v>
          </cell>
          <cell r="O889">
            <v>1934.3011219289137</v>
          </cell>
        </row>
        <row r="890">
          <cell r="B890" t="str">
            <v>Denmark</v>
          </cell>
          <cell r="C890">
            <v>0</v>
          </cell>
          <cell r="D890">
            <v>0</v>
          </cell>
          <cell r="E890">
            <v>0</v>
          </cell>
          <cell r="F890">
            <v>0</v>
          </cell>
          <cell r="G890">
            <v>0</v>
          </cell>
          <cell r="H890">
            <v>0</v>
          </cell>
          <cell r="I890">
            <v>0</v>
          </cell>
          <cell r="J890">
            <v>0</v>
          </cell>
          <cell r="K890">
            <v>0</v>
          </cell>
          <cell r="L890">
            <v>0</v>
          </cell>
          <cell r="M890">
            <v>0</v>
          </cell>
          <cell r="N890">
            <v>0</v>
          </cell>
          <cell r="O890">
            <v>0</v>
          </cell>
        </row>
        <row r="891">
          <cell r="B891" t="str">
            <v>Belgium</v>
          </cell>
          <cell r="C891">
            <v>0</v>
          </cell>
          <cell r="D891">
            <v>316</v>
          </cell>
          <cell r="E891">
            <v>667.75</v>
          </cell>
          <cell r="F891">
            <v>982.5</v>
          </cell>
          <cell r="G891">
            <v>1268</v>
          </cell>
          <cell r="H891">
            <v>1468.7875000000001</v>
          </cell>
          <cell r="I891">
            <v>1765.5769015450874</v>
          </cell>
          <cell r="J891">
            <v>1998.5526297181041</v>
          </cell>
          <cell r="K891">
            <v>2233.9483055545902</v>
          </cell>
          <cell r="L891">
            <v>2381.3851143565566</v>
          </cell>
          <cell r="M891">
            <v>2484.8834863034963</v>
          </cell>
          <cell r="N891">
            <v>2589.4120478852115</v>
          </cell>
          <cell r="O891">
            <v>2694.9788118425622</v>
          </cell>
        </row>
        <row r="892">
          <cell r="B892" t="str">
            <v>European total</v>
          </cell>
          <cell r="C892">
            <v>942.22272250000003</v>
          </cell>
          <cell r="D892">
            <v>3732.45</v>
          </cell>
          <cell r="E892">
            <v>8623.4741379310344</v>
          </cell>
          <cell r="F892">
            <v>15994.509354468444</v>
          </cell>
          <cell r="G892">
            <v>28090.605680846715</v>
          </cell>
          <cell r="H892">
            <v>43942.525603501155</v>
          </cell>
          <cell r="I892">
            <v>59424.438682743857</v>
          </cell>
          <cell r="J892">
            <v>75097.260385715112</v>
          </cell>
          <cell r="K892">
            <v>87115.938681595842</v>
          </cell>
          <cell r="L892">
            <v>96033.056562900165</v>
          </cell>
          <cell r="M892">
            <v>102905.64967132274</v>
          </cell>
          <cell r="N892">
            <v>108134.48087599337</v>
          </cell>
          <cell r="O892">
            <v>112918.31061803586</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ies"/>
      <sheetName val="Model"/>
      <sheetName val="Module1"/>
      <sheetName val="Module2"/>
      <sheetName val="Module3"/>
      <sheetName val="Module4"/>
      <sheetName val="Module5"/>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AFE"/>
      <sheetName val="HOLDING AFE"/>
      <sheetName val="OPERATIONS - STATISTICS EV"/>
      <sheetName val="OPERATIONS - STATEMENTS EV"/>
      <sheetName val="BANKS EV"/>
      <sheetName val="ROE EV"/>
      <sheetName val="OPERATIONS - BUDGET EV"/>
      <sheetName val="AFE"/>
      <sheetName val="OPERATIONS - STATISTICS"/>
      <sheetName val="OPERATIONS - STATEMENTS"/>
      <sheetName val="BANKS"/>
      <sheetName val="ROE"/>
      <sheetName val="OPERATIONS - BUDGET"/>
      <sheetName val="conso remarks"/>
      <sheetName val="CONSOLIDATION"/>
      <sheetName val="HOLDING"/>
    </sheetNames>
    <sheetDataSet>
      <sheetData sheetId="0" refreshError="1"/>
      <sheetData sheetId="1" refreshError="1"/>
      <sheetData sheetId="2" refreshError="1">
        <row r="26">
          <cell r="A26">
            <v>26</v>
          </cell>
          <cell r="D26" t="str">
            <v>Business Passed  RFS</v>
          </cell>
          <cell r="G26" t="str">
            <v>BusRFS</v>
          </cell>
          <cell r="I26">
            <v>0</v>
          </cell>
          <cell r="J26">
            <v>0</v>
          </cell>
          <cell r="K26">
            <v>0</v>
          </cell>
          <cell r="L26">
            <v>0</v>
          </cell>
          <cell r="M26">
            <v>0</v>
          </cell>
          <cell r="N26">
            <v>0</v>
          </cell>
          <cell r="O26">
            <v>0</v>
          </cell>
          <cell r="P26">
            <v>0</v>
          </cell>
          <cell r="Q26">
            <v>0</v>
          </cell>
          <cell r="R26">
            <v>0</v>
          </cell>
          <cell r="S26">
            <v>0</v>
          </cell>
          <cell r="T26">
            <v>0</v>
          </cell>
        </row>
      </sheetData>
      <sheetData sheetId="3"/>
      <sheetData sheetId="4"/>
      <sheetData sheetId="5" refreshError="1"/>
      <sheetData sheetId="6" refreshError="1"/>
      <sheetData sheetId="7" refreshError="1"/>
      <sheetData sheetId="8" refreshError="1">
        <row r="574">
          <cell r="A574">
            <v>574</v>
          </cell>
          <cell r="D574" t="str">
            <v>Total taxes</v>
          </cell>
          <cell r="J574">
            <v>0</v>
          </cell>
          <cell r="K574">
            <v>801.99808426520849</v>
          </cell>
          <cell r="L574">
            <v>783.65012089262029</v>
          </cell>
          <cell r="M574">
            <v>809.15522257007797</v>
          </cell>
          <cell r="N574">
            <v>813.67734474838005</v>
          </cell>
          <cell r="O574">
            <v>817.02981774337673</v>
          </cell>
          <cell r="P574">
            <v>819.3616114520072</v>
          </cell>
          <cell r="Q574">
            <v>822.71756356986964</v>
          </cell>
          <cell r="R574">
            <v>825.35253715674355</v>
          </cell>
          <cell r="S574">
            <v>827.98970946462168</v>
          </cell>
          <cell r="T574">
            <v>830.66492456930155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s"/>
      <sheetName val="99Res"/>
      <sheetName val="H-BY-H"/>
      <sheetName val="REVENUES"/>
      <sheetName val="FIXDCF"/>
      <sheetName val="STARTUPS"/>
      <sheetName val="NEWMODEL"/>
      <sheetName val="KPNMobile"/>
      <sheetName val="MOBILE"/>
      <sheetName val="MOBDCF"/>
      <sheetName val="NEWP&amp;L"/>
      <sheetName val="NEWCASH"/>
      <sheetName val="COC"/>
      <sheetName val="MobileComps"/>
      <sheetName val="EPlus-DCF"/>
      <sheetName val="EPlus-Deal"/>
      <sheetName val="KPNQuest"/>
      <sheetName val="Int"/>
      <sheetName val="VALUE"/>
      <sheetName val="MobileAdds"/>
      <sheetName val="Analytics"/>
      <sheetName val="BBEURO"/>
      <sheetName val="BB"/>
      <sheetName val="SHARES"/>
      <sheetName val="Datapage"/>
      <sheetName val="MRS data"/>
      <sheetName val="report imports"/>
      <sheetName val="KPN"/>
      <sheetName val="POSTVAL"/>
      <sheetName val="KPNSUM"/>
      <sheetName val="KPNCASH"/>
      <sheetName val="KPNMODEL"/>
      <sheetName val="TNT"/>
      <sheetName val="TELDCF"/>
      <sheetName val="EURO"/>
      <sheetName val="Millennium_Equities(H@KPN)"/>
      <sheetName val="SofP-Export"/>
      <sheetName val="HillSamuel"/>
      <sheetName val="Export"/>
      <sheetName val="10 Uncommon Values"/>
      <sheetName val="charts for 10UCV"/>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LF"/>
      <sheetName val="Drivers"/>
      <sheetName val="Sensitivities"/>
      <sheetName val="Revenue Built"/>
      <sheetName val="Summary"/>
      <sheetName val="Income Statement"/>
      <sheetName val="Balance Sheet"/>
      <sheetName val="Debt Schedule"/>
      <sheetName val="Worksheet"/>
      <sheetName val="S&amp;U"/>
      <sheetName val="Statement of Cashflows"/>
    </sheetNames>
    <sheetDataSet>
      <sheetData sheetId="0" refreshError="1"/>
      <sheetData sheetId="1" refreshError="1"/>
      <sheetData sheetId="2" refreshError="1"/>
      <sheetData sheetId="3" refreshError="1"/>
      <sheetData sheetId="4" refreshError="1">
        <row r="5">
          <cell r="C5">
            <v>6.55</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s"/>
      <sheetName val="QbyQ"/>
      <sheetName val="RevBdown"/>
      <sheetName val="1999"/>
      <sheetName val="Volumes"/>
      <sheetName val="RevSplit"/>
      <sheetName val="POTS"/>
      <sheetName val="TdE"/>
      <sheetName val="TfData"/>
      <sheetName val="TarChange"/>
      <sheetName val="TdE DCF"/>
      <sheetName val="TSM-eliminations"/>
      <sheetName val="DomesticOnly"/>
      <sheetName val="Consol"/>
      <sheetName val="P&amp;LTISAasAssoc"/>
      <sheetName val="Charts"/>
      <sheetName val="TISA-Consol"/>
      <sheetName val="TISA mkt"/>
      <sheetName val="TISAVal"/>
      <sheetName val="CoC"/>
      <sheetName val="Terra"/>
      <sheetName val="Valuation"/>
      <sheetName val="Medios"/>
      <sheetName val="Data Page"/>
      <sheetName val="Data(Euro)"/>
      <sheetName val="EURO"/>
      <sheetName val="Millennium_Equities(E@TEF)"/>
      <sheetName val="Blue Box"/>
      <sheetName val="EURO BB"/>
      <sheetName val="HillSamuel"/>
      <sheetName val="Export"/>
      <sheetName val="Interactiva"/>
      <sheetName val="Q199"/>
      <sheetName val="TSM"/>
      <sheetName val="Proforma"/>
      <sheetName val="Segment"/>
      <sheetName val="TISA FS"/>
      <sheetName val="valn ex TISA"/>
      <sheetName val="TISA SVA"/>
      <sheetName val="Sheet1"/>
      <sheetName val="RevRec"/>
      <sheetName val="OpRec"/>
      <sheetName val="Q3"/>
      <sheetName val="Sheet2"/>
      <sheetName val="Q1 1998"/>
      <sheetName val="Quarterlies (2)"/>
      <sheetName val="Quarterlies"/>
      <sheetName val="Qs"/>
      <sheetName val="Notes"/>
      <sheetName val="WorldCom deal"/>
      <sheetName val="Competitors"/>
      <sheetName val="Sheet1 (2)"/>
      <sheetName val="Sheet1 (3)"/>
      <sheetName val="97revs"/>
      <sheetName val="1997 inv."/>
      <sheetName val="CRT"/>
      <sheetName val="Rights"/>
      <sheetName val="TISA valuation"/>
      <sheetName val="Data Page (EURO)"/>
      <sheetName val="Sheet3"/>
      <sheetName val="Sheet4"/>
      <sheetName val="DATA"/>
      <sheetName val="T'FONICA"/>
      <sheetName val="FY99Expected"/>
      <sheetName val="SofP-Export"/>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6">
          <cell r="D6">
            <v>166.386</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ed"/>
      <sheetName val="Fixed Comparisons"/>
      <sheetName val="Cellular "/>
      <sheetName val="Cellular Comparisons"/>
      <sheetName val="Equip"/>
    </sheetNames>
    <sheetDataSet>
      <sheetData sheetId="0" refreshError="1"/>
      <sheetData sheetId="1" refreshError="1"/>
      <sheetData sheetId="2" refreshError="1">
        <row r="9">
          <cell r="A9">
            <v>252.47694298343779</v>
          </cell>
        </row>
        <row r="29">
          <cell r="K29">
            <v>16.16155021266653</v>
          </cell>
        </row>
        <row r="31">
          <cell r="A31" t="str">
            <v>2 Outperform</v>
          </cell>
        </row>
        <row r="39">
          <cell r="A39">
            <v>8605</v>
          </cell>
        </row>
        <row r="41">
          <cell r="A41" t="str">
            <v>2-Outperform</v>
          </cell>
        </row>
        <row r="49">
          <cell r="A49">
            <v>282.3982639968367</v>
          </cell>
        </row>
        <row r="50">
          <cell r="A50">
            <v>458</v>
          </cell>
          <cell r="H50">
            <v>54.884767833689516</v>
          </cell>
          <cell r="K50">
            <v>31.854756124950253</v>
          </cell>
        </row>
        <row r="51">
          <cell r="H51">
            <v>27.134092036235828</v>
          </cell>
          <cell r="K51">
            <v>15.4610719560193</v>
          </cell>
        </row>
        <row r="52">
          <cell r="A52" t="str">
            <v>2-Outperform</v>
          </cell>
        </row>
        <row r="61">
          <cell r="A61">
            <v>24900</v>
          </cell>
        </row>
        <row r="63">
          <cell r="A63" t="str">
            <v>1-Buy</v>
          </cell>
        </row>
        <row r="70">
          <cell r="A70">
            <v>189.63767498267768</v>
          </cell>
        </row>
        <row r="71">
          <cell r="A71">
            <v>420</v>
          </cell>
        </row>
        <row r="72">
          <cell r="K72">
            <v>44.776665527885477</v>
          </cell>
        </row>
        <row r="73">
          <cell r="A73" t="str">
            <v>2 Outperform</v>
          </cell>
          <cell r="K73">
            <v>26.416229927165404</v>
          </cell>
        </row>
        <row r="80">
          <cell r="A80">
            <v>278.85606547074667</v>
          </cell>
        </row>
        <row r="81">
          <cell r="A81">
            <v>149</v>
          </cell>
          <cell r="K81">
            <v>39.028969122542129</v>
          </cell>
        </row>
        <row r="82">
          <cell r="K82">
            <v>14.03631825721228</v>
          </cell>
        </row>
        <row r="83">
          <cell r="A83" t="str">
            <v>3-Neutral</v>
          </cell>
        </row>
      </sheetData>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rols"/>
      <sheetName val="Cap tables"/>
      <sheetName val="Financial summary"/>
      <sheetName val="Feuil1"/>
      <sheetName val="Valo &amp; IRR to be updated"/>
      <sheetName val="Operationnal summary"/>
      <sheetName val="P&amp;L OpCo"/>
      <sheetName val="BS OpCo"/>
      <sheetName val="CF OpCo"/>
      <sheetName val="P&amp;L HoldCo"/>
      <sheetName val="CF HoldCo"/>
      <sheetName val="BS HoldCo"/>
      <sheetName val="P&amp;L Conso"/>
      <sheetName val="BS Conso"/>
      <sheetName val="CF Conso"/>
      <sheetName val="new LBO Debt"/>
      <sheetName val="Service Revenues"/>
      <sheetName val="To FC1"/>
      <sheetName val="Fin. model Input"/>
      <sheetName val="Operating reports"/>
      <sheetName val="Customers"/>
      <sheetName val="OPEX"/>
      <sheetName val="Summary to pitch"/>
      <sheetName val="Conso Tax calculation"/>
      <sheetName val="OpCo Tax calculation"/>
      <sheetName val="New PA contracts"/>
      <sheetName val="COGS"/>
      <sheetName val="eBisMedia"/>
      <sheetName val="Other Revenues"/>
      <sheetName val="Large Business Access"/>
      <sheetName val="xDSL Access"/>
      <sheetName val="Other capex"/>
      <sheetName val="FTTB Access"/>
      <sheetName val="Depr.&amp;amort."/>
      <sheetName val="Financial Assumptions"/>
      <sheetName val="Leasing"/>
      <sheetName val="DCF calculation"/>
      <sheetName val="Facility ratios"/>
      <sheetName val="old (not used) Annual Summary"/>
      <sheetName val="Old (not used)PL_CF_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82">
          <cell r="T82">
            <v>1000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ètres OPEN"/>
      <sheetName val="P&amp;L"/>
      <sheetName val="Détails 05"/>
      <sheetName val="Données"/>
      <sheetName val="Budget"/>
      <sheetName val="Equipement repair"/>
      <sheetName val="Loyers NC"/>
      <sheetName val="Détail LS NC"/>
    </sheetNames>
    <sheetDataSet>
      <sheetData sheetId="0"/>
      <sheetData sheetId="1"/>
      <sheetData sheetId="2"/>
      <sheetData sheetId="3"/>
      <sheetData sheetId="4"/>
      <sheetData sheetId="5"/>
      <sheetData sheetId="6"/>
      <sheetData sheetId="7"/>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byQ"/>
      <sheetName val="TMN Fins"/>
      <sheetName val="1999Res"/>
      <sheetName val="1H99EBITDA"/>
      <sheetName val="Q199Detail"/>
      <sheetName val="98FigsDetail"/>
      <sheetName val="99Forecast"/>
      <sheetName val="98Res"/>
      <sheetName val="iconn"/>
      <sheetName val="98Stats"/>
      <sheetName val="Imports"/>
      <sheetName val="Volumes"/>
      <sheetName val="POTS"/>
      <sheetName val="Parent"/>
      <sheetName val="TelespCel"/>
      <sheetName val="Fixed DCF"/>
      <sheetName val="TMNSubs"/>
      <sheetName val="TMN"/>
      <sheetName val="TMN97-updated"/>
      <sheetName val="CATV"/>
      <sheetName val="CoC"/>
      <sheetName val="Intl"/>
      <sheetName val="Valuation"/>
      <sheetName val="Blue Box"/>
      <sheetName val="HillSamuel"/>
      <sheetName val="BB-Euros"/>
      <sheetName val="Datapage"/>
      <sheetName val="Datapage (EURO)"/>
      <sheetName val="EURO"/>
      <sheetName val="Millennium_Equities(P@PTC)"/>
      <sheetName val="ALIS"/>
      <sheetName val="Notes"/>
      <sheetName val="Tariffs"/>
      <sheetName val="Hs"/>
      <sheetName val="New price convention"/>
      <sheetName val="ISP-Valns"/>
      <sheetName val="Export"/>
      <sheetName val="SofP-Export"/>
      <sheetName val="Comp"/>
      <sheetName val="Int'l"/>
      <sheetName val="TMN97"/>
      <sheetName val="PT"/>
      <sheetName val="REVENUES"/>
      <sheetName val="Operating re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7">
          <cell r="A17" t="str">
            <v>Price</v>
          </cell>
          <cell r="B17" t="str">
            <v>Year</v>
          </cell>
          <cell r="C17" t="str">
            <v>Sales</v>
          </cell>
          <cell r="D17" t="str">
            <v>EBITDA</v>
          </cell>
          <cell r="E17" t="str">
            <v xml:space="preserve">Net </v>
          </cell>
          <cell r="F17" t="str">
            <v>EPS</v>
          </cell>
          <cell r="G17" t="str">
            <v>EPS</v>
          </cell>
          <cell r="H17" t="str">
            <v>P/E</v>
          </cell>
          <cell r="I17" t="str">
            <v>P/E</v>
          </cell>
          <cell r="M17" t="str">
            <v>Firm Val/</v>
          </cell>
          <cell r="N17" t="str">
            <v>Firm Val/</v>
          </cell>
          <cell r="O17" t="str">
            <v>CEPS</v>
          </cell>
          <cell r="P17" t="str">
            <v>P/CE</v>
          </cell>
          <cell r="Q17" t="str">
            <v>Div</v>
          </cell>
          <cell r="R17" t="str">
            <v>Gross</v>
          </cell>
          <cell r="S17" t="str">
            <v>Payout</v>
          </cell>
        </row>
        <row r="18">
          <cell r="A18" t="str">
            <v>Mkt Cap</v>
          </cell>
          <cell r="B18" t="str">
            <v>to</v>
          </cell>
          <cell r="C18" t="str">
            <v xml:space="preserve"> </v>
          </cell>
          <cell r="D18" t="str">
            <v xml:space="preserve"> </v>
          </cell>
          <cell r="E18" t="str">
            <v>Income</v>
          </cell>
          <cell r="F18" t="str">
            <v xml:space="preserve"> </v>
          </cell>
          <cell r="G18" t="str">
            <v xml:space="preserve"> +/-</v>
          </cell>
          <cell r="H18" t="str">
            <v xml:space="preserve"> </v>
          </cell>
          <cell r="I18" t="str">
            <v>Rel</v>
          </cell>
          <cell r="M18" t="str">
            <v>Sales</v>
          </cell>
          <cell r="N18" t="str">
            <v>EBITDA</v>
          </cell>
          <cell r="O18" t="str">
            <v xml:space="preserve"> </v>
          </cell>
          <cell r="P18" t="str">
            <v xml:space="preserve"> </v>
          </cell>
          <cell r="Q18" t="str">
            <v xml:space="preserve"> </v>
          </cell>
          <cell r="R18" t="str">
            <v>Yield</v>
          </cell>
          <cell r="S18" t="str">
            <v>Ratio</v>
          </cell>
        </row>
        <row r="19">
          <cell r="A19" t="str">
            <v>Rating</v>
          </cell>
          <cell r="B19" t="str">
            <v>Dec</v>
          </cell>
          <cell r="C19" t="str">
            <v>$m</v>
          </cell>
          <cell r="D19" t="str">
            <v>$m</v>
          </cell>
          <cell r="E19" t="str">
            <v>$m</v>
          </cell>
          <cell r="F19" t="str">
            <v>$</v>
          </cell>
          <cell r="G19" t="str">
            <v>%</v>
          </cell>
          <cell r="H19" t="str">
            <v>x</v>
          </cell>
          <cell r="I19" t="str">
            <v xml:space="preserve"> </v>
          </cell>
          <cell r="M19" t="str">
            <v>x</v>
          </cell>
          <cell r="N19" t="str">
            <v>x</v>
          </cell>
          <cell r="O19" t="str">
            <v>$</v>
          </cell>
          <cell r="P19" t="str">
            <v>x</v>
          </cell>
          <cell r="Q19" t="str">
            <v>$</v>
          </cell>
          <cell r="R19" t="str">
            <v>%</v>
          </cell>
          <cell r="S19" t="str">
            <v xml:space="preserve">% </v>
          </cell>
        </row>
        <row r="20">
          <cell r="A20" t="str">
            <v xml:space="preserve"> </v>
          </cell>
          <cell r="B20" t="str">
            <v xml:space="preserve"> </v>
          </cell>
          <cell r="C20" t="str">
            <v xml:space="preserve"> </v>
          </cell>
          <cell r="D20" t="str">
            <v xml:space="preserve"> </v>
          </cell>
          <cell r="E20" t="str">
            <v xml:space="preserve"> </v>
          </cell>
          <cell r="F20" t="str">
            <v xml:space="preserve"> </v>
          </cell>
          <cell r="G20" t="str">
            <v xml:space="preserve"> </v>
          </cell>
          <cell r="H20" t="str">
            <v xml:space="preserve"> </v>
          </cell>
          <cell r="I20" t="str">
            <v xml:space="preserve"> </v>
          </cell>
          <cell r="N20" t="str">
            <v xml:space="preserve"> </v>
          </cell>
          <cell r="O20" t="str">
            <v xml:space="preserve"> </v>
          </cell>
          <cell r="P20" t="str">
            <v xml:space="preserve"> </v>
          </cell>
          <cell r="Q20" t="str">
            <v xml:space="preserve"> </v>
          </cell>
          <cell r="R20" t="str">
            <v xml:space="preserve"> </v>
          </cell>
          <cell r="S20" t="str">
            <v xml:space="preserve"> </v>
          </cell>
        </row>
        <row r="21">
          <cell r="A21" t="str">
            <v xml:space="preserve"> </v>
          </cell>
          <cell r="B21" t="str">
            <v>96A</v>
          </cell>
          <cell r="C21">
            <v>1671.7843598992483</v>
          </cell>
          <cell r="D21" t="e">
            <v>#REF!</v>
          </cell>
          <cell r="E21" t="e">
            <v>#REF!</v>
          </cell>
          <cell r="F21" t="e">
            <v>#REF!</v>
          </cell>
          <cell r="G21" t="e">
            <v>#REF!</v>
          </cell>
          <cell r="H21" t="e">
            <v>#REF!</v>
          </cell>
          <cell r="I21" t="e">
            <v>#REF!</v>
          </cell>
          <cell r="M21">
            <v>9.4313851263552539</v>
          </cell>
          <cell r="N21" t="e">
            <v>#REF!</v>
          </cell>
          <cell r="O21" t="e">
            <v>#REF!</v>
          </cell>
          <cell r="P21" t="e">
            <v>#REF!</v>
          </cell>
          <cell r="Q21">
            <v>0.68834109795393084</v>
          </cell>
          <cell r="R21">
            <v>4.4124429356021212E-2</v>
          </cell>
          <cell r="S21" t="e">
            <v>#REF!</v>
          </cell>
        </row>
        <row r="22">
          <cell r="A22">
            <v>15.599999999999998</v>
          </cell>
          <cell r="B22" t="str">
            <v>97A</v>
          </cell>
          <cell r="C22">
            <v>2695.9926576949551</v>
          </cell>
          <cell r="D22">
            <v>1237.8517772169073</v>
          </cell>
          <cell r="E22">
            <v>349.62739797089029</v>
          </cell>
          <cell r="F22">
            <v>1.8401441998467907</v>
          </cell>
          <cell r="H22">
            <v>8.4775964847205145</v>
          </cell>
          <cell r="I22">
            <v>31.410138883736629</v>
          </cell>
          <cell r="M22">
            <v>5.8556206313436867</v>
          </cell>
          <cell r="N22">
            <v>12.753312245383148</v>
          </cell>
          <cell r="O22">
            <v>4.8085429903406487</v>
          </cell>
          <cell r="P22">
            <v>3.2442259601998185</v>
          </cell>
          <cell r="Q22">
            <v>0.87406849492722571</v>
          </cell>
          <cell r="R22">
            <v>5.6030031726104219E-2</v>
          </cell>
          <cell r="S22">
            <v>0.47500000000000009</v>
          </cell>
        </row>
        <row r="23">
          <cell r="A23">
            <v>14820</v>
          </cell>
          <cell r="B23" t="str">
            <v>98A</v>
          </cell>
          <cell r="C23">
            <v>2932.1435340828602</v>
          </cell>
          <cell r="D23">
            <v>1351.6774573278399</v>
          </cell>
          <cell r="E23">
            <v>441.15681208288004</v>
          </cell>
          <cell r="F23">
            <v>0.46437559166618958</v>
          </cell>
          <cell r="G23">
            <v>-0.74764173823722446</v>
          </cell>
          <cell r="H23">
            <v>33.593496901994492</v>
          </cell>
          <cell r="I23">
            <v>149.10562317796047</v>
          </cell>
          <cell r="M23">
            <v>6.3029797802810963</v>
          </cell>
          <cell r="N23">
            <v>13.672819138925485</v>
          </cell>
          <cell r="O23">
            <v>1.1089852403077005</v>
          </cell>
          <cell r="P23">
            <v>14.066913997585397</v>
          </cell>
          <cell r="Q23">
            <v>0.22057840604144002</v>
          </cell>
          <cell r="R23">
            <v>1.4139641412912823E-2</v>
          </cell>
          <cell r="S23">
            <v>0.47499999999999992</v>
          </cell>
        </row>
        <row r="24">
          <cell r="A24" t="str">
            <v>3- Neutral</v>
          </cell>
          <cell r="B24" t="str">
            <v>99E</v>
          </cell>
          <cell r="C24">
            <v>3182.9929258078209</v>
          </cell>
          <cell r="D24">
            <v>1411.6153661492419</v>
          </cell>
          <cell r="E24">
            <v>545.07289563561483</v>
          </cell>
          <cell r="F24">
            <v>0.57376094277433143</v>
          </cell>
          <cell r="G24">
            <v>0.23555361881890663</v>
          </cell>
          <cell r="H24">
            <v>27.189023924439041</v>
          </cell>
          <cell r="I24">
            <v>137.66594392121036</v>
          </cell>
          <cell r="M24">
            <v>5.6217211172019885</v>
          </cell>
          <cell r="N24">
            <v>12.676185720286746</v>
          </cell>
          <cell r="O24">
            <v>1.2444757322888313</v>
          </cell>
          <cell r="P24">
            <v>12.53539912048633</v>
          </cell>
          <cell r="Q24">
            <v>0.27253644781780739</v>
          </cell>
          <cell r="R24">
            <v>1.7470285116526117E-2</v>
          </cell>
          <cell r="S24">
            <v>0.47499999999999992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 Valuation Summary"/>
      <sheetName val="Asumptions"/>
      <sheetName val="WACC Analysis"/>
      <sheetName val="WACC Benchmark"/>
      <sheetName val="Deals"/>
      <sheetName val="Cable Comps"/>
      <sheetName val="LB - DCF"/>
      <sheetName val="Key Fin"/>
      <sheetName val="LB - Unlevered Model"/>
      <sheetName val="Valuation"/>
      <sheetName val="Summary"/>
      <sheetName val="Income Statement"/>
      <sheetName val="Statement of Cashflows"/>
      <sheetName val="Balance Sheet"/>
      <sheetName val="Debt Schedule"/>
      <sheetName val="IS Worksheet"/>
      <sheetName val="CAPEX"/>
      <sheetName val="BS Worksheet"/>
      <sheetName val="Professional Tax"/>
      <sheetName val="Control Panel"/>
      <sheetName val="Elements for FT 1"/>
      <sheetName val="Elements for FT 2"/>
      <sheetName val="Sheet1"/>
      <sheetName val="Blue Box"/>
    </sheetNames>
    <sheetDataSet>
      <sheetData sheetId="0" refreshError="1"/>
      <sheetData sheetId="1" refreshError="1">
        <row r="2">
          <cell r="C2">
            <v>6.5595699999999999</v>
          </cell>
        </row>
        <row r="3">
          <cell r="C3">
            <v>0.36659999999999998</v>
          </cell>
        </row>
        <row r="4">
          <cell r="C4">
            <v>674000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KPI"/>
      <sheetName val="EBITDA Summary"/>
      <sheetName val="Income Statement"/>
      <sheetName val="Depreciation"/>
      <sheetName val="Tax calculation"/>
      <sheetName val="Working Capital"/>
      <sheetName val="Balance Sheet"/>
      <sheetName val="Valuation"/>
      <sheetName val="Cash"/>
      <sheetName val="Debt"/>
      <sheetName val="Model Assumption"/>
      <sheetName val="Module1"/>
      <sheetName val="Module3"/>
      <sheetName val="A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C3">
            <v>2000</v>
          </cell>
        </row>
      </sheetData>
      <sheetData sheetId="12" refreshError="1"/>
      <sheetData sheetId="13" refreshError="1"/>
      <sheetData sheetId="1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REQUEST_TABLE"/>
      <sheetName val="Datastream"/>
      <sheetName val="Datastream clean"/>
      <sheetName val="Share price analysis"/>
      <sheetName val="Forecast &amp; Analysis "/>
      <sheetName val="Market Values"/>
      <sheetName val="Output Multiples"/>
      <sheetName val="Output Multiples (3)"/>
      <sheetName val="Ratios"/>
      <sheetName val="Beta"/>
      <sheetName val="Regressions"/>
      <sheetName val="Graph Multiples"/>
      <sheetName val="Graph Margins"/>
      <sheetName val="Graph Growth Rates"/>
      <sheetName val="Synthesis"/>
      <sheetName val="Synthesis (2)"/>
      <sheetName val="Multiples"/>
    </sheetNames>
    <sheetDataSet>
      <sheetData sheetId="0" refreshError="1"/>
      <sheetData sheetId="1" refreshError="1"/>
      <sheetData sheetId="2" refreshError="1"/>
      <sheetData sheetId="3" refreshError="1"/>
      <sheetData sheetId="4" refreshError="1"/>
      <sheetData sheetId="5" refreshError="1">
        <row r="6">
          <cell r="C6" t="e">
            <v>#REF!</v>
          </cell>
        </row>
        <row r="7">
          <cell r="B7">
            <v>28</v>
          </cell>
          <cell r="C7" t="str">
            <v>Target INTERNET COMPANIES</v>
          </cell>
          <cell r="E7">
            <v>0</v>
          </cell>
          <cell r="F7">
            <v>0</v>
          </cell>
          <cell r="I7" t="str">
            <v>na</v>
          </cell>
          <cell r="J7" t="str">
            <v>na</v>
          </cell>
          <cell r="K7" t="str">
            <v>na</v>
          </cell>
          <cell r="L7" t="str">
            <v>na</v>
          </cell>
          <cell r="M7" t="str">
            <v>na</v>
          </cell>
          <cell r="N7" t="str">
            <v>na</v>
          </cell>
          <cell r="P7" t="str">
            <v>na</v>
          </cell>
          <cell r="Q7" t="str">
            <v>na</v>
          </cell>
          <cell r="R7" t="str">
            <v>na</v>
          </cell>
          <cell r="S7" t="str">
            <v>na</v>
          </cell>
          <cell r="T7" t="str">
            <v>na</v>
          </cell>
          <cell r="U7" t="str">
            <v>na</v>
          </cell>
          <cell r="W7" t="str">
            <v>na</v>
          </cell>
          <cell r="X7" t="str">
            <v>na</v>
          </cell>
          <cell r="Y7" t="str">
            <v>na</v>
          </cell>
          <cell r="Z7" t="str">
            <v>na</v>
          </cell>
          <cell r="AA7" t="str">
            <v>na</v>
          </cell>
          <cell r="AB7" t="str">
            <v>na</v>
          </cell>
          <cell r="AD7" t="str">
            <v>na</v>
          </cell>
          <cell r="AE7" t="str">
            <v>na</v>
          </cell>
          <cell r="AF7" t="str">
            <v>na</v>
          </cell>
          <cell r="AG7" t="str">
            <v>na</v>
          </cell>
          <cell r="AH7" t="str">
            <v>na</v>
          </cell>
          <cell r="AI7" t="str">
            <v>na</v>
          </cell>
          <cell r="AK7" t="str">
            <v>na</v>
          </cell>
          <cell r="AL7" t="str">
            <v>na</v>
          </cell>
          <cell r="AM7" t="str">
            <v>na</v>
          </cell>
          <cell r="AN7" t="str">
            <v>na</v>
          </cell>
          <cell r="AO7" t="str">
            <v>na</v>
          </cell>
          <cell r="AP7" t="str">
            <v>na</v>
          </cell>
          <cell r="AR7" t="str">
            <v>na</v>
          </cell>
          <cell r="AS7" t="str">
            <v>na</v>
          </cell>
          <cell r="AT7" t="str">
            <v>na</v>
          </cell>
          <cell r="AU7" t="str">
            <v>na</v>
          </cell>
          <cell r="AV7" t="str">
            <v>na</v>
          </cell>
          <cell r="AW7" t="str">
            <v>na</v>
          </cell>
          <cell r="AY7" t="str">
            <v>na</v>
          </cell>
          <cell r="AZ7" t="str">
            <v>na</v>
          </cell>
          <cell r="BA7" t="str">
            <v>na</v>
          </cell>
          <cell r="BB7" t="str">
            <v>na</v>
          </cell>
          <cell r="BC7" t="str">
            <v>na</v>
          </cell>
          <cell r="BD7" t="str">
            <v>na</v>
          </cell>
          <cell r="BF7" t="str">
            <v>na</v>
          </cell>
          <cell r="BG7" t="str">
            <v>na</v>
          </cell>
          <cell r="BH7" t="str">
            <v>na</v>
          </cell>
          <cell r="BI7" t="str">
            <v>na</v>
          </cell>
          <cell r="BJ7" t="str">
            <v>na</v>
          </cell>
          <cell r="BK7" t="str">
            <v>na</v>
          </cell>
          <cell r="BM7" t="str">
            <v>na</v>
          </cell>
          <cell r="BN7" t="str">
            <v>na</v>
          </cell>
          <cell r="BO7" t="str">
            <v>na</v>
          </cell>
          <cell r="BP7" t="str">
            <v>na</v>
          </cell>
          <cell r="BQ7" t="str">
            <v>na</v>
          </cell>
          <cell r="BR7" t="str">
            <v>na</v>
          </cell>
        </row>
        <row r="8">
          <cell r="E8" t="str">
            <v>Calenderised</v>
          </cell>
          <cell r="F8">
            <v>0</v>
          </cell>
        </row>
        <row r="9">
          <cell r="C9" t="str">
            <v>Internet Companies</v>
          </cell>
        </row>
        <row r="10">
          <cell r="D10" t="str">
            <v>DZ Bank</v>
          </cell>
          <cell r="E10" t="str">
            <v>Last brokers notes update:</v>
          </cell>
          <cell r="F10">
            <v>38525</v>
          </cell>
          <cell r="G10">
            <v>38411</v>
          </cell>
          <cell r="I10">
            <v>1851.2</v>
          </cell>
          <cell r="J10">
            <v>2007</v>
          </cell>
          <cell r="K10">
            <v>2382</v>
          </cell>
          <cell r="L10">
            <v>2615.5</v>
          </cell>
          <cell r="M10">
            <v>2713.3</v>
          </cell>
          <cell r="N10">
            <v>2767.6</v>
          </cell>
          <cell r="P10">
            <v>343.8</v>
          </cell>
          <cell r="Q10">
            <v>464.6</v>
          </cell>
          <cell r="R10">
            <v>304.8</v>
          </cell>
          <cell r="S10">
            <v>480.29999999999995</v>
          </cell>
          <cell r="T10">
            <v>500.1</v>
          </cell>
          <cell r="U10">
            <v>508.29999999999995</v>
          </cell>
          <cell r="AD10">
            <v>-83.3</v>
          </cell>
          <cell r="AE10">
            <v>368.6</v>
          </cell>
          <cell r="AF10">
            <v>212</v>
          </cell>
          <cell r="AG10">
            <v>389.7</v>
          </cell>
          <cell r="AH10">
            <v>411.1</v>
          </cell>
          <cell r="AI10">
            <v>420.7</v>
          </cell>
          <cell r="AK10">
            <v>-37.700000000000003</v>
          </cell>
          <cell r="AL10">
            <v>300.39999999999998</v>
          </cell>
          <cell r="AM10">
            <v>280.8</v>
          </cell>
          <cell r="AN10">
            <v>322.60000000000002</v>
          </cell>
          <cell r="AO10">
            <v>341.9</v>
          </cell>
          <cell r="AP10">
            <v>354.2</v>
          </cell>
        </row>
        <row r="11">
          <cell r="E11" t="str">
            <v>Last Datastream update:</v>
          </cell>
          <cell r="F11">
            <v>38679</v>
          </cell>
        </row>
        <row r="13">
          <cell r="D13" t="str">
            <v>AR</v>
          </cell>
          <cell r="G13">
            <v>38352</v>
          </cell>
          <cell r="I13">
            <v>1851.2</v>
          </cell>
          <cell r="J13">
            <v>2011.8</v>
          </cell>
          <cell r="P13">
            <v>697.7</v>
          </cell>
          <cell r="Q13">
            <v>468.1</v>
          </cell>
          <cell r="AD13">
            <v>270.60000000000002</v>
          </cell>
          <cell r="AE13">
            <v>361.5</v>
          </cell>
          <cell r="AK13">
            <v>-37.700000000000003</v>
          </cell>
          <cell r="AL13">
            <v>300.39999999999998</v>
          </cell>
          <cell r="AR13">
            <v>89.7</v>
          </cell>
          <cell r="AS13">
            <v>120.69999999999999</v>
          </cell>
        </row>
        <row r="15">
          <cell r="B15">
            <v>29</v>
          </cell>
          <cell r="C15" t="str">
            <v>T-Online</v>
          </cell>
          <cell r="E15" t="str">
            <v>EUR m</v>
          </cell>
          <cell r="F15">
            <v>38352</v>
          </cell>
          <cell r="I15">
            <v>1851.2</v>
          </cell>
          <cell r="J15">
            <v>2011.8</v>
          </cell>
          <cell r="K15">
            <v>2382</v>
          </cell>
          <cell r="L15">
            <v>2615.5</v>
          </cell>
          <cell r="M15">
            <v>2713.3</v>
          </cell>
          <cell r="N15">
            <v>2767.6</v>
          </cell>
          <cell r="P15">
            <v>697.7</v>
          </cell>
          <cell r="Q15">
            <v>468.1</v>
          </cell>
          <cell r="R15">
            <v>304.8</v>
          </cell>
          <cell r="S15">
            <v>480.29999999999995</v>
          </cell>
          <cell r="T15">
            <v>500.1</v>
          </cell>
          <cell r="U15">
            <v>508.29999999999995</v>
          </cell>
          <cell r="W15" t="str">
            <v>na</v>
          </cell>
          <cell r="X15" t="str">
            <v>na</v>
          </cell>
          <cell r="Y15" t="str">
            <v>na</v>
          </cell>
          <cell r="Z15" t="str">
            <v>na</v>
          </cell>
          <cell r="AA15" t="str">
            <v>na</v>
          </cell>
          <cell r="AB15" t="str">
            <v>na</v>
          </cell>
          <cell r="AD15">
            <v>270.60000000000002</v>
          </cell>
          <cell r="AE15">
            <v>361.5</v>
          </cell>
          <cell r="AF15">
            <v>212</v>
          </cell>
          <cell r="AG15">
            <v>389.7</v>
          </cell>
          <cell r="AH15">
            <v>411.1</v>
          </cell>
          <cell r="AI15">
            <v>420.7</v>
          </cell>
          <cell r="AK15">
            <v>-37.700000000000003</v>
          </cell>
          <cell r="AL15">
            <v>300.39999999999998</v>
          </cell>
          <cell r="AM15">
            <v>280.8</v>
          </cell>
          <cell r="AN15">
            <v>322.60000000000002</v>
          </cell>
          <cell r="AO15">
            <v>341.9</v>
          </cell>
          <cell r="AP15">
            <v>354.2</v>
          </cell>
          <cell r="AR15">
            <v>89.7</v>
          </cell>
          <cell r="AS15">
            <v>120.69999999999999</v>
          </cell>
          <cell r="AT15" t="str">
            <v>na</v>
          </cell>
          <cell r="AU15" t="str">
            <v>na</v>
          </cell>
          <cell r="AV15" t="str">
            <v>na</v>
          </cell>
          <cell r="AW15" t="str">
            <v>na</v>
          </cell>
          <cell r="AY15" t="str">
            <v>na</v>
          </cell>
          <cell r="AZ15" t="str">
            <v>na</v>
          </cell>
          <cell r="BA15" t="str">
            <v>na</v>
          </cell>
          <cell r="BB15" t="str">
            <v>na</v>
          </cell>
          <cell r="BC15" t="str">
            <v>na</v>
          </cell>
          <cell r="BD15" t="str">
            <v>na</v>
          </cell>
          <cell r="BF15" t="str">
            <v>na</v>
          </cell>
          <cell r="BG15" t="str">
            <v>na</v>
          </cell>
          <cell r="BH15" t="str">
            <v>na</v>
          </cell>
          <cell r="BI15" t="str">
            <v>na</v>
          </cell>
          <cell r="BJ15" t="str">
            <v>na</v>
          </cell>
          <cell r="BK15" t="str">
            <v>na</v>
          </cell>
          <cell r="BM15" t="str">
            <v>na</v>
          </cell>
          <cell r="BN15" t="str">
            <v>na</v>
          </cell>
          <cell r="BO15" t="str">
            <v>na</v>
          </cell>
          <cell r="BP15" t="str">
            <v>na</v>
          </cell>
          <cell r="BQ15" t="str">
            <v>na</v>
          </cell>
          <cell r="BR15" t="str">
            <v>na</v>
          </cell>
        </row>
        <row r="16">
          <cell r="E16" t="str">
            <v>Calenderised</v>
          </cell>
          <cell r="F16">
            <v>0</v>
          </cell>
        </row>
        <row r="17">
          <cell r="C17" t="str">
            <v>Internet Companies</v>
          </cell>
        </row>
        <row r="18">
          <cell r="D18" t="str">
            <v>Centrosim</v>
          </cell>
          <cell r="E18" t="str">
            <v>Last brokers notes update:</v>
          </cell>
          <cell r="F18">
            <v>38525</v>
          </cell>
          <cell r="G18">
            <v>38264</v>
          </cell>
          <cell r="J18">
            <v>1104</v>
          </cell>
          <cell r="K18">
            <v>1121</v>
          </cell>
          <cell r="L18">
            <v>1266</v>
          </cell>
          <cell r="M18">
            <v>1418</v>
          </cell>
          <cell r="Q18">
            <v>101</v>
          </cell>
          <cell r="R18">
            <v>141</v>
          </cell>
          <cell r="S18">
            <v>190</v>
          </cell>
          <cell r="T18">
            <v>233</v>
          </cell>
          <cell r="AE18">
            <v>-135</v>
          </cell>
          <cell r="AF18">
            <v>-21</v>
          </cell>
          <cell r="AG18">
            <v>43</v>
          </cell>
          <cell r="AH18">
            <v>94</v>
          </cell>
          <cell r="AL18">
            <v>-167</v>
          </cell>
          <cell r="AM18">
            <v>-25</v>
          </cell>
          <cell r="AN18">
            <v>17</v>
          </cell>
          <cell r="AO18">
            <v>69</v>
          </cell>
          <cell r="AR18">
            <v>118</v>
          </cell>
          <cell r="AS18">
            <v>113</v>
          </cell>
          <cell r="AT18">
            <v>116</v>
          </cell>
          <cell r="AU18">
            <v>142</v>
          </cell>
          <cell r="AV18">
            <v>145</v>
          </cell>
        </row>
        <row r="19">
          <cell r="D19" t="str">
            <v>Morgan Stanley</v>
          </cell>
          <cell r="E19" t="str">
            <v>Last Datastream update:</v>
          </cell>
          <cell r="F19">
            <v>38679</v>
          </cell>
          <cell r="G19">
            <v>38273</v>
          </cell>
          <cell r="J19">
            <v>1081.5</v>
          </cell>
          <cell r="K19">
            <v>1117.2</v>
          </cell>
          <cell r="L19">
            <v>1162</v>
          </cell>
          <cell r="M19">
            <v>1175</v>
          </cell>
          <cell r="Q19">
            <v>93.7</v>
          </cell>
          <cell r="R19">
            <v>193</v>
          </cell>
          <cell r="S19">
            <v>239.9</v>
          </cell>
          <cell r="T19">
            <v>262.7</v>
          </cell>
          <cell r="X19">
            <v>-31.3</v>
          </cell>
          <cell r="Y19">
            <v>85</v>
          </cell>
          <cell r="Z19">
            <v>136.9</v>
          </cell>
          <cell r="AA19">
            <v>158.6</v>
          </cell>
          <cell r="AE19">
            <v>-111.3</v>
          </cell>
          <cell r="AF19">
            <v>85</v>
          </cell>
          <cell r="AG19">
            <v>136.9</v>
          </cell>
          <cell r="AH19">
            <v>158.6</v>
          </cell>
          <cell r="AL19">
            <v>-127.6</v>
          </cell>
          <cell r="AM19">
            <v>28.1</v>
          </cell>
          <cell r="AN19">
            <v>62.5</v>
          </cell>
          <cell r="AO19">
            <v>77.400000000000006</v>
          </cell>
          <cell r="AR19">
            <v>110</v>
          </cell>
          <cell r="AS19">
            <v>120</v>
          </cell>
          <cell r="AT19">
            <v>120</v>
          </cell>
          <cell r="AU19">
            <v>121.2</v>
          </cell>
          <cell r="AV19">
            <v>122.4</v>
          </cell>
        </row>
        <row r="20">
          <cell r="D20" t="str">
            <v>Caboto</v>
          </cell>
          <cell r="G20">
            <v>38399</v>
          </cell>
          <cell r="I20">
            <v>901</v>
          </cell>
          <cell r="J20">
            <v>1075.3</v>
          </cell>
          <cell r="K20">
            <v>1048.8</v>
          </cell>
          <cell r="L20">
            <v>1135</v>
          </cell>
          <cell r="M20">
            <v>1210</v>
          </cell>
          <cell r="N20">
            <v>1305</v>
          </cell>
          <cell r="P20">
            <v>74.2</v>
          </cell>
          <cell r="Q20">
            <v>107.2</v>
          </cell>
          <cell r="R20">
            <v>139.1</v>
          </cell>
          <cell r="S20">
            <v>167.4</v>
          </cell>
          <cell r="T20">
            <v>208</v>
          </cell>
          <cell r="U20">
            <v>264</v>
          </cell>
          <cell r="AD20">
            <v>-228.9</v>
          </cell>
          <cell r="AE20">
            <v>-118.3</v>
          </cell>
          <cell r="AF20">
            <v>-79.5</v>
          </cell>
          <cell r="AG20">
            <v>-2.9</v>
          </cell>
          <cell r="AH20">
            <v>71</v>
          </cell>
          <cell r="AI20">
            <v>119</v>
          </cell>
          <cell r="AK20">
            <v>-242.4</v>
          </cell>
          <cell r="AL20">
            <v>-165</v>
          </cell>
          <cell r="AM20">
            <v>-18.600000000000001</v>
          </cell>
          <cell r="AN20">
            <v>8.4</v>
          </cell>
          <cell r="AO20">
            <v>41</v>
          </cell>
          <cell r="AP20">
            <v>65</v>
          </cell>
        </row>
        <row r="21">
          <cell r="D21" t="str">
            <v>AR</v>
          </cell>
          <cell r="G21">
            <v>38352</v>
          </cell>
          <cell r="I21">
            <v>901.02200000000005</v>
          </cell>
          <cell r="J21">
            <v>1080.5609999999999</v>
          </cell>
          <cell r="P21">
            <v>74.464999999999989</v>
          </cell>
          <cell r="Q21">
            <v>108.31000000000002</v>
          </cell>
          <cell r="W21">
            <v>-97.146000000000015</v>
          </cell>
          <cell r="X21">
            <v>2.2830000000000013</v>
          </cell>
          <cell r="AD21">
            <v>-228.87</v>
          </cell>
          <cell r="AE21">
            <v>-119.607</v>
          </cell>
          <cell r="AK21">
            <v>-242.44800000000001</v>
          </cell>
          <cell r="AL21">
            <v>-159.46600000000001</v>
          </cell>
        </row>
        <row r="23">
          <cell r="B23">
            <v>30</v>
          </cell>
          <cell r="C23" t="str">
            <v>Tiscali</v>
          </cell>
          <cell r="E23" t="str">
            <v>EUR m</v>
          </cell>
          <cell r="F23">
            <v>38352</v>
          </cell>
          <cell r="I23">
            <v>901.02200000000005</v>
          </cell>
          <cell r="J23">
            <v>1080.5609999999999</v>
          </cell>
          <cell r="K23">
            <v>1095.6666666666667</v>
          </cell>
          <cell r="L23">
            <v>1187.6666666666667</v>
          </cell>
          <cell r="M23">
            <v>1267.6666666666667</v>
          </cell>
          <cell r="N23">
            <v>1305</v>
          </cell>
          <cell r="P23">
            <v>74.464999999999989</v>
          </cell>
          <cell r="Q23">
            <v>108.31000000000002</v>
          </cell>
          <cell r="R23">
            <v>157.70000000000002</v>
          </cell>
          <cell r="S23">
            <v>199.1</v>
          </cell>
          <cell r="T23">
            <v>234.56666666666669</v>
          </cell>
          <cell r="U23">
            <v>264</v>
          </cell>
          <cell r="W23">
            <v>-97.146000000000015</v>
          </cell>
          <cell r="X23">
            <v>2.2830000000000013</v>
          </cell>
          <cell r="Y23">
            <v>85</v>
          </cell>
          <cell r="Z23">
            <v>136.9</v>
          </cell>
          <cell r="AA23">
            <v>158.6</v>
          </cell>
          <cell r="AB23" t="str">
            <v>na</v>
          </cell>
          <cell r="AD23">
            <v>-228.87</v>
          </cell>
          <cell r="AE23">
            <v>-119.607</v>
          </cell>
          <cell r="AF23">
            <v>-5.166666666666667</v>
          </cell>
          <cell r="AG23">
            <v>59</v>
          </cell>
          <cell r="AH23">
            <v>107.86666666666667</v>
          </cell>
          <cell r="AI23">
            <v>119</v>
          </cell>
          <cell r="AK23">
            <v>-242.44800000000001</v>
          </cell>
          <cell r="AL23">
            <v>-159.46600000000001</v>
          </cell>
          <cell r="AM23">
            <v>-5.166666666666667</v>
          </cell>
          <cell r="AN23">
            <v>29.3</v>
          </cell>
          <cell r="AO23">
            <v>62.466666666666669</v>
          </cell>
          <cell r="AP23">
            <v>65</v>
          </cell>
          <cell r="AR23">
            <v>114</v>
          </cell>
          <cell r="AS23">
            <v>116.5</v>
          </cell>
          <cell r="AT23">
            <v>118</v>
          </cell>
          <cell r="AU23">
            <v>131.6</v>
          </cell>
          <cell r="AV23">
            <v>133.69999999999999</v>
          </cell>
          <cell r="AW23" t="str">
            <v>na</v>
          </cell>
          <cell r="AY23" t="str">
            <v>na</v>
          </cell>
          <cell r="AZ23" t="str">
            <v>na</v>
          </cell>
          <cell r="BA23" t="str">
            <v>na</v>
          </cell>
          <cell r="BB23" t="str">
            <v>na</v>
          </cell>
          <cell r="BC23" t="str">
            <v>na</v>
          </cell>
          <cell r="BD23" t="str">
            <v>na</v>
          </cell>
          <cell r="BF23" t="str">
            <v>na</v>
          </cell>
          <cell r="BG23" t="str">
            <v>na</v>
          </cell>
          <cell r="BH23" t="str">
            <v>na</v>
          </cell>
          <cell r="BI23" t="str">
            <v>na</v>
          </cell>
          <cell r="BJ23" t="str">
            <v>na</v>
          </cell>
          <cell r="BK23" t="str">
            <v>na</v>
          </cell>
          <cell r="BM23" t="str">
            <v>na</v>
          </cell>
          <cell r="BN23" t="str">
            <v>na</v>
          </cell>
          <cell r="BO23" t="str">
            <v>na</v>
          </cell>
          <cell r="BP23" t="str">
            <v>na</v>
          </cell>
          <cell r="BQ23" t="str">
            <v>na</v>
          </cell>
          <cell r="BR23" t="str">
            <v>na</v>
          </cell>
        </row>
        <row r="24">
          <cell r="E24" t="str">
            <v>Calenderised</v>
          </cell>
          <cell r="F24">
            <v>0</v>
          </cell>
        </row>
        <row r="25">
          <cell r="C25" t="str">
            <v>Internet Companies</v>
          </cell>
        </row>
        <row r="26">
          <cell r="D26" t="str">
            <v>AR</v>
          </cell>
          <cell r="E26" t="str">
            <v>Last brokers notes update:</v>
          </cell>
          <cell r="F26">
            <v>38670</v>
          </cell>
          <cell r="G26">
            <v>38352</v>
          </cell>
          <cell r="I26">
            <v>365.50200000000001</v>
          </cell>
          <cell r="J26">
            <v>471.58199999999999</v>
          </cell>
          <cell r="P26">
            <v>76</v>
          </cell>
          <cell r="Q26">
            <v>133.36599999999999</v>
          </cell>
          <cell r="W26">
            <v>52.503</v>
          </cell>
          <cell r="AD26">
            <v>47.529000000000003</v>
          </cell>
          <cell r="AE26">
            <v>95.007999999999996</v>
          </cell>
          <cell r="AK26">
            <v>36.539000000000001</v>
          </cell>
          <cell r="AL26">
            <v>60.085999999999999</v>
          </cell>
          <cell r="AR26">
            <v>14</v>
          </cell>
          <cell r="AS26">
            <v>16.273</v>
          </cell>
        </row>
        <row r="27">
          <cell r="D27" t="str">
            <v>Oppenheimer</v>
          </cell>
          <cell r="E27" t="str">
            <v>Last Datastream update:</v>
          </cell>
          <cell r="F27">
            <v>38679</v>
          </cell>
          <cell r="G27">
            <v>38658</v>
          </cell>
          <cell r="J27">
            <v>468.8</v>
          </cell>
          <cell r="K27">
            <v>709.2</v>
          </cell>
          <cell r="L27">
            <v>903.7</v>
          </cell>
          <cell r="M27">
            <v>1009.8</v>
          </cell>
          <cell r="N27">
            <v>1107.4000000000001</v>
          </cell>
          <cell r="Q27">
            <v>126</v>
          </cell>
          <cell r="R27">
            <v>124.5</v>
          </cell>
          <cell r="S27">
            <v>159.19999999999999</v>
          </cell>
          <cell r="T27">
            <v>171.5</v>
          </cell>
          <cell r="U27">
            <v>194.5</v>
          </cell>
          <cell r="X27">
            <v>85</v>
          </cell>
          <cell r="Y27">
            <v>83</v>
          </cell>
          <cell r="Z27">
            <v>119</v>
          </cell>
          <cell r="AA27">
            <v>134</v>
          </cell>
          <cell r="AB27">
            <v>158</v>
          </cell>
          <cell r="AE27">
            <v>85</v>
          </cell>
          <cell r="AF27">
            <v>83</v>
          </cell>
          <cell r="AG27">
            <v>119</v>
          </cell>
          <cell r="AH27">
            <v>134</v>
          </cell>
          <cell r="AI27">
            <v>158</v>
          </cell>
        </row>
        <row r="28">
          <cell r="D28" t="str">
            <v>DZ Bank</v>
          </cell>
          <cell r="G28">
            <v>38573</v>
          </cell>
          <cell r="J28">
            <v>471.6</v>
          </cell>
          <cell r="K28">
            <v>700.1</v>
          </cell>
          <cell r="L28">
            <v>860.7</v>
          </cell>
          <cell r="M28">
            <v>1004.7</v>
          </cell>
          <cell r="N28">
            <v>1146.7</v>
          </cell>
          <cell r="Q28">
            <v>130.5</v>
          </cell>
          <cell r="R28">
            <v>126.2</v>
          </cell>
          <cell r="S28">
            <v>158.5</v>
          </cell>
          <cell r="T28">
            <v>190</v>
          </cell>
          <cell r="U28">
            <v>211.8</v>
          </cell>
          <cell r="X28">
            <v>92.5</v>
          </cell>
          <cell r="Y28">
            <v>83.6</v>
          </cell>
          <cell r="Z28">
            <v>122.4</v>
          </cell>
          <cell r="AA28">
            <v>156.19999999999999</v>
          </cell>
          <cell r="AB28">
            <v>177.9</v>
          </cell>
          <cell r="AE28">
            <v>92.1</v>
          </cell>
          <cell r="AF28">
            <v>83.6</v>
          </cell>
          <cell r="AG28">
            <v>122.4</v>
          </cell>
          <cell r="AH28">
            <v>156.19999999999999</v>
          </cell>
          <cell r="AI28">
            <v>177.9</v>
          </cell>
          <cell r="AL28">
            <v>58.3</v>
          </cell>
          <cell r="AM28">
            <v>53.5</v>
          </cell>
          <cell r="AN28">
            <v>76.900000000000006</v>
          </cell>
          <cell r="AO28">
            <v>98.4</v>
          </cell>
          <cell r="AP28">
            <v>112.4</v>
          </cell>
          <cell r="AS28">
            <v>12.556800000000001</v>
          </cell>
          <cell r="AT28">
            <v>19.468200000000003</v>
          </cell>
          <cell r="AU28">
            <v>26.6418</v>
          </cell>
          <cell r="AV28">
            <v>30.115799999999997</v>
          </cell>
          <cell r="AW28">
            <v>33.527099999999997</v>
          </cell>
        </row>
        <row r="29">
          <cell r="D29" t="str">
            <v>Citigroup</v>
          </cell>
          <cell r="G29">
            <v>38574</v>
          </cell>
          <cell r="I29" t="str">
            <v xml:space="preserve"> </v>
          </cell>
          <cell r="K29">
            <v>697</v>
          </cell>
          <cell r="L29">
            <v>828.3</v>
          </cell>
          <cell r="M29">
            <v>932</v>
          </cell>
          <cell r="N29">
            <v>1038.5</v>
          </cell>
          <cell r="R29">
            <v>139.9</v>
          </cell>
          <cell r="S29">
            <v>180.2</v>
          </cell>
          <cell r="T29">
            <v>205.4</v>
          </cell>
          <cell r="U29">
            <v>233.9</v>
          </cell>
          <cell r="AF29">
            <v>102.9</v>
          </cell>
          <cell r="AG29">
            <v>152.9</v>
          </cell>
          <cell r="AH29">
            <v>176.5</v>
          </cell>
          <cell r="AI29">
            <v>203.8</v>
          </cell>
          <cell r="AL29">
            <v>60.1</v>
          </cell>
          <cell r="AM29">
            <v>63.1</v>
          </cell>
          <cell r="AN29">
            <v>95.7</v>
          </cell>
          <cell r="AO29">
            <v>110.3</v>
          </cell>
          <cell r="AP29">
            <v>127.2</v>
          </cell>
        </row>
        <row r="31">
          <cell r="B31">
            <v>31</v>
          </cell>
          <cell r="C31" t="str">
            <v>Freenet</v>
          </cell>
          <cell r="E31" t="str">
            <v>EUR m</v>
          </cell>
          <cell r="F31">
            <v>38352</v>
          </cell>
          <cell r="I31">
            <v>365.50200000000001</v>
          </cell>
          <cell r="J31">
            <v>470.66066666666666</v>
          </cell>
          <cell r="K31">
            <v>702.1</v>
          </cell>
          <cell r="L31">
            <v>864.23333333333323</v>
          </cell>
          <cell r="M31">
            <v>982.16666666666663</v>
          </cell>
          <cell r="N31">
            <v>1097.5333333333335</v>
          </cell>
          <cell r="P31">
            <v>76</v>
          </cell>
          <cell r="Q31">
            <v>129.95533333333333</v>
          </cell>
          <cell r="R31">
            <v>130.20000000000002</v>
          </cell>
          <cell r="S31">
            <v>165.96666666666667</v>
          </cell>
          <cell r="T31">
            <v>188.96666666666667</v>
          </cell>
          <cell r="U31">
            <v>213.4</v>
          </cell>
          <cell r="W31">
            <v>52.503</v>
          </cell>
          <cell r="X31">
            <v>88.75</v>
          </cell>
          <cell r="Y31">
            <v>83.3</v>
          </cell>
          <cell r="Z31">
            <v>120.7</v>
          </cell>
          <cell r="AA31">
            <v>145.1</v>
          </cell>
          <cell r="AB31">
            <v>167.95</v>
          </cell>
          <cell r="AD31">
            <v>47.529000000000003</v>
          </cell>
          <cell r="AE31">
            <v>90.702666666666644</v>
          </cell>
          <cell r="AF31">
            <v>89.833333333333329</v>
          </cell>
          <cell r="AG31">
            <v>131.43333333333334</v>
          </cell>
          <cell r="AH31">
            <v>155.56666666666666</v>
          </cell>
          <cell r="AI31">
            <v>179.9</v>
          </cell>
          <cell r="AK31">
            <v>36.539000000000001</v>
          </cell>
          <cell r="AL31">
            <v>59.495333333333328</v>
          </cell>
          <cell r="AM31">
            <v>58.3</v>
          </cell>
          <cell r="AN31">
            <v>86.300000000000011</v>
          </cell>
          <cell r="AO31">
            <v>104.35</v>
          </cell>
          <cell r="AP31">
            <v>119.80000000000001</v>
          </cell>
          <cell r="AR31">
            <v>14</v>
          </cell>
          <cell r="AS31">
            <v>14.414899999999999</v>
          </cell>
          <cell r="AT31">
            <v>19.468200000000003</v>
          </cell>
          <cell r="AU31">
            <v>26.6418</v>
          </cell>
          <cell r="AV31">
            <v>30.115799999999997</v>
          </cell>
          <cell r="AW31">
            <v>33.527099999999997</v>
          </cell>
          <cell r="AY31" t="str">
            <v>na</v>
          </cell>
          <cell r="AZ31" t="str">
            <v>na</v>
          </cell>
          <cell r="BA31" t="str">
            <v>na</v>
          </cell>
          <cell r="BB31" t="str">
            <v>na</v>
          </cell>
          <cell r="BC31" t="str">
            <v>na</v>
          </cell>
          <cell r="BD31" t="str">
            <v>na</v>
          </cell>
          <cell r="BF31" t="str">
            <v>na</v>
          </cell>
          <cell r="BG31" t="str">
            <v>na</v>
          </cell>
          <cell r="BH31" t="str">
            <v>na</v>
          </cell>
          <cell r="BI31" t="str">
            <v>na</v>
          </cell>
          <cell r="BJ31" t="str">
            <v>na</v>
          </cell>
          <cell r="BK31" t="str">
            <v>na</v>
          </cell>
          <cell r="BM31" t="str">
            <v>na</v>
          </cell>
          <cell r="BN31" t="str">
            <v>na</v>
          </cell>
          <cell r="BO31" t="str">
            <v>na</v>
          </cell>
          <cell r="BP31" t="str">
            <v>na</v>
          </cell>
          <cell r="BQ31" t="str">
            <v>na</v>
          </cell>
          <cell r="BR31" t="str">
            <v>na</v>
          </cell>
        </row>
        <row r="32">
          <cell r="E32" t="str">
            <v>Calenderised</v>
          </cell>
          <cell r="F32">
            <v>0</v>
          </cell>
        </row>
        <row r="33">
          <cell r="C33" t="str">
            <v>Internet Companies</v>
          </cell>
          <cell r="F33" t="str">
            <v xml:space="preserve"> </v>
          </cell>
        </row>
        <row r="34">
          <cell r="D34" t="str">
            <v>SG</v>
          </cell>
          <cell r="E34" t="str">
            <v>Last brokers notes update:</v>
          </cell>
          <cell r="F34">
            <v>38670</v>
          </cell>
          <cell r="G34">
            <v>38638</v>
          </cell>
          <cell r="I34">
            <v>415</v>
          </cell>
          <cell r="J34">
            <v>510</v>
          </cell>
          <cell r="K34">
            <v>740</v>
          </cell>
          <cell r="L34">
            <v>997</v>
          </cell>
          <cell r="M34">
            <v>1174</v>
          </cell>
          <cell r="P34">
            <v>84.5</v>
          </cell>
          <cell r="Q34">
            <v>111</v>
          </cell>
          <cell r="R34">
            <v>117</v>
          </cell>
          <cell r="S34">
            <v>166</v>
          </cell>
          <cell r="T34">
            <v>207</v>
          </cell>
          <cell r="AD34">
            <v>63</v>
          </cell>
          <cell r="AE34">
            <v>86</v>
          </cell>
          <cell r="AF34">
            <v>91</v>
          </cell>
          <cell r="AG34">
            <v>131</v>
          </cell>
          <cell r="AH34">
            <v>166</v>
          </cell>
          <cell r="AK34">
            <v>41</v>
          </cell>
          <cell r="AL34">
            <v>48</v>
          </cell>
          <cell r="AM34">
            <v>55</v>
          </cell>
          <cell r="AN34">
            <v>77</v>
          </cell>
          <cell r="AO34">
            <v>100</v>
          </cell>
          <cell r="AR34">
            <v>27</v>
          </cell>
          <cell r="AS34">
            <v>23</v>
          </cell>
          <cell r="AT34">
            <v>28</v>
          </cell>
          <cell r="AU34">
            <v>35</v>
          </cell>
          <cell r="AV34">
            <v>41</v>
          </cell>
        </row>
        <row r="35">
          <cell r="D35" t="str">
            <v>DZ Bank</v>
          </cell>
          <cell r="E35" t="str">
            <v>Last Datastream update:</v>
          </cell>
          <cell r="F35">
            <v>38679</v>
          </cell>
          <cell r="G35">
            <v>38617</v>
          </cell>
          <cell r="J35">
            <v>509.7</v>
          </cell>
          <cell r="K35">
            <v>762.5</v>
          </cell>
          <cell r="L35">
            <v>1025.4000000000001</v>
          </cell>
          <cell r="M35">
            <v>1230.9000000000001</v>
          </cell>
          <cell r="N35">
            <v>1427.2</v>
          </cell>
          <cell r="Q35">
            <v>110.6</v>
          </cell>
          <cell r="R35">
            <v>130.1</v>
          </cell>
          <cell r="S35">
            <v>202</v>
          </cell>
          <cell r="T35">
            <v>214.5</v>
          </cell>
          <cell r="U35">
            <v>261.10000000000002</v>
          </cell>
          <cell r="AE35">
            <v>72.599999999999994</v>
          </cell>
          <cell r="AF35">
            <v>91.2</v>
          </cell>
          <cell r="AG35">
            <v>143.4</v>
          </cell>
          <cell r="AH35">
            <v>162</v>
          </cell>
          <cell r="AI35">
            <v>212.7</v>
          </cell>
          <cell r="AL35">
            <v>35.4</v>
          </cell>
          <cell r="AM35">
            <v>52.5</v>
          </cell>
          <cell r="AN35">
            <v>78.099999999999994</v>
          </cell>
          <cell r="AO35">
            <v>90</v>
          </cell>
          <cell r="AP35">
            <v>121</v>
          </cell>
        </row>
        <row r="36">
          <cell r="D36" t="str">
            <v>Oppenheim</v>
          </cell>
          <cell r="G36">
            <v>38649</v>
          </cell>
          <cell r="I36">
            <v>415</v>
          </cell>
          <cell r="J36">
            <v>509.7</v>
          </cell>
          <cell r="K36">
            <v>758</v>
          </cell>
          <cell r="L36">
            <v>1078</v>
          </cell>
          <cell r="M36">
            <v>1306</v>
          </cell>
          <cell r="P36">
            <v>84.5</v>
          </cell>
          <cell r="Q36">
            <v>110.6</v>
          </cell>
          <cell r="R36">
            <v>115.2</v>
          </cell>
          <cell r="S36">
            <v>196.7</v>
          </cell>
          <cell r="T36">
            <v>246.4</v>
          </cell>
          <cell r="AD36">
            <v>62.5</v>
          </cell>
          <cell r="AE36">
            <v>85.8</v>
          </cell>
          <cell r="AF36">
            <v>91.5</v>
          </cell>
          <cell r="AG36">
            <v>149.19999999999999</v>
          </cell>
          <cell r="AH36">
            <v>197.9</v>
          </cell>
          <cell r="AK36">
            <v>38.200000000000003</v>
          </cell>
          <cell r="AL36">
            <v>48.5</v>
          </cell>
          <cell r="AM36">
            <v>53.5</v>
          </cell>
          <cell r="AN36">
            <v>86.6</v>
          </cell>
          <cell r="AO36">
            <v>115.8</v>
          </cell>
          <cell r="AR36">
            <v>27.2</v>
          </cell>
          <cell r="AS36">
            <v>22.7</v>
          </cell>
          <cell r="AT36">
            <v>25.5</v>
          </cell>
          <cell r="AU36">
            <v>34</v>
          </cell>
          <cell r="AV36">
            <v>37</v>
          </cell>
        </row>
        <row r="37">
          <cell r="D37" t="str">
            <v>AR</v>
          </cell>
          <cell r="G37">
            <v>38352</v>
          </cell>
          <cell r="I37">
            <v>415.45400000000001</v>
          </cell>
          <cell r="J37">
            <v>509.68299999999999</v>
          </cell>
          <cell r="P37">
            <v>84.594999999999999</v>
          </cell>
          <cell r="Q37">
            <v>110.64699999999999</v>
          </cell>
          <cell r="AD37">
            <v>62.583999999999996</v>
          </cell>
          <cell r="AE37">
            <v>85.781999999999996</v>
          </cell>
          <cell r="AK37">
            <v>39.24</v>
          </cell>
          <cell r="AL37">
            <v>48.510999999999996</v>
          </cell>
          <cell r="AR37">
            <v>27.167999999999999</v>
          </cell>
          <cell r="AS37">
            <v>22.667999999999999</v>
          </cell>
        </row>
        <row r="39">
          <cell r="B39">
            <v>32</v>
          </cell>
          <cell r="C39" t="str">
            <v>United Internet</v>
          </cell>
          <cell r="E39" t="str">
            <v>EUR m</v>
          </cell>
          <cell r="F39">
            <v>38352</v>
          </cell>
          <cell r="I39">
            <v>415.1513333333333</v>
          </cell>
          <cell r="J39">
            <v>509.77075000000002</v>
          </cell>
          <cell r="K39">
            <v>753.5</v>
          </cell>
          <cell r="L39">
            <v>1033.4666666666667</v>
          </cell>
          <cell r="M39">
            <v>1236.9666666666667</v>
          </cell>
          <cell r="N39">
            <v>1427.2</v>
          </cell>
          <cell r="P39">
            <v>84.531666666666666</v>
          </cell>
          <cell r="Q39">
            <v>110.71174999999999</v>
          </cell>
          <cell r="R39">
            <v>120.76666666666667</v>
          </cell>
          <cell r="S39">
            <v>188.23333333333335</v>
          </cell>
          <cell r="T39">
            <v>222.63333333333333</v>
          </cell>
          <cell r="U39">
            <v>261.10000000000002</v>
          </cell>
          <cell r="W39" t="str">
            <v>na</v>
          </cell>
          <cell r="X39" t="str">
            <v>na</v>
          </cell>
          <cell r="Y39" t="str">
            <v>na</v>
          </cell>
          <cell r="Z39" t="str">
            <v>na</v>
          </cell>
          <cell r="AA39" t="str">
            <v>na</v>
          </cell>
          <cell r="AB39" t="str">
            <v>na</v>
          </cell>
          <cell r="AD39">
            <v>62.69466666666667</v>
          </cell>
          <cell r="AE39">
            <v>82.54549999999999</v>
          </cell>
          <cell r="AF39">
            <v>91.233333333333334</v>
          </cell>
          <cell r="AG39">
            <v>141.19999999999999</v>
          </cell>
          <cell r="AH39">
            <v>175.29999999999998</v>
          </cell>
          <cell r="AI39">
            <v>212.7</v>
          </cell>
          <cell r="AK39">
            <v>39.479999999999997</v>
          </cell>
          <cell r="AL39">
            <v>45.10275</v>
          </cell>
          <cell r="AM39">
            <v>53.666666666666664</v>
          </cell>
          <cell r="AN39">
            <v>80.566666666666663</v>
          </cell>
          <cell r="AO39">
            <v>101.93333333333334</v>
          </cell>
          <cell r="AP39">
            <v>121</v>
          </cell>
          <cell r="AR39">
            <v>27.122666666666664</v>
          </cell>
          <cell r="AS39">
            <v>22.789333333333332</v>
          </cell>
          <cell r="AT39">
            <v>26.75</v>
          </cell>
          <cell r="AU39">
            <v>34.5</v>
          </cell>
          <cell r="AV39">
            <v>39</v>
          </cell>
          <cell r="AW39" t="str">
            <v>na</v>
          </cell>
          <cell r="AY39" t="str">
            <v>na</v>
          </cell>
          <cell r="AZ39" t="str">
            <v>na</v>
          </cell>
          <cell r="BA39" t="str">
            <v>na</v>
          </cell>
          <cell r="BB39" t="str">
            <v>na</v>
          </cell>
          <cell r="BC39" t="str">
            <v>na</v>
          </cell>
          <cell r="BD39" t="str">
            <v>na</v>
          </cell>
          <cell r="BF39" t="str">
            <v>na</v>
          </cell>
          <cell r="BG39" t="str">
            <v>na</v>
          </cell>
          <cell r="BH39" t="str">
            <v>na</v>
          </cell>
          <cell r="BI39" t="str">
            <v>na</v>
          </cell>
          <cell r="BJ39" t="str">
            <v>na</v>
          </cell>
          <cell r="BK39" t="str">
            <v>na</v>
          </cell>
          <cell r="BM39" t="str">
            <v>na</v>
          </cell>
          <cell r="BN39" t="str">
            <v>na</v>
          </cell>
          <cell r="BO39" t="str">
            <v>na</v>
          </cell>
          <cell r="BP39" t="str">
            <v>na</v>
          </cell>
          <cell r="BQ39" t="str">
            <v>na</v>
          </cell>
          <cell r="BR39" t="str">
            <v>na</v>
          </cell>
        </row>
        <row r="40">
          <cell r="E40" t="str">
            <v>Calenderised</v>
          </cell>
          <cell r="F40">
            <v>0</v>
          </cell>
        </row>
        <row r="41">
          <cell r="C41" t="str">
            <v>Internet Companies</v>
          </cell>
        </row>
        <row r="42">
          <cell r="E42" t="str">
            <v>Last brokers notes update:</v>
          </cell>
          <cell r="F42">
            <v>38670</v>
          </cell>
        </row>
        <row r="43">
          <cell r="D43" t="str">
            <v>SG</v>
          </cell>
          <cell r="G43">
            <v>38653</v>
          </cell>
          <cell r="I43">
            <v>293</v>
          </cell>
          <cell r="J43">
            <v>491</v>
          </cell>
          <cell r="K43">
            <v>710</v>
          </cell>
          <cell r="L43">
            <v>854</v>
          </cell>
          <cell r="M43">
            <v>919</v>
          </cell>
          <cell r="P43">
            <v>54</v>
          </cell>
          <cell r="Q43">
            <v>109</v>
          </cell>
          <cell r="R43">
            <v>210</v>
          </cell>
          <cell r="S43">
            <v>286</v>
          </cell>
          <cell r="T43">
            <v>305</v>
          </cell>
          <cell r="AD43">
            <v>35</v>
          </cell>
          <cell r="AE43">
            <v>53</v>
          </cell>
          <cell r="AF43">
            <v>94</v>
          </cell>
          <cell r="AG43">
            <v>156</v>
          </cell>
          <cell r="AH43">
            <v>190</v>
          </cell>
          <cell r="AK43">
            <v>34</v>
          </cell>
          <cell r="AL43">
            <v>41</v>
          </cell>
          <cell r="AM43">
            <v>61</v>
          </cell>
          <cell r="AN43">
            <v>106</v>
          </cell>
          <cell r="AO43">
            <v>131</v>
          </cell>
          <cell r="AR43">
            <v>97</v>
          </cell>
          <cell r="AS43">
            <v>211</v>
          </cell>
          <cell r="AT43">
            <v>200</v>
          </cell>
          <cell r="AU43">
            <v>113</v>
          </cell>
          <cell r="AV43">
            <v>84</v>
          </cell>
        </row>
        <row r="44">
          <cell r="D44" t="str">
            <v>CDC Ixis</v>
          </cell>
          <cell r="E44" t="str">
            <v>Last Datastream update:</v>
          </cell>
          <cell r="F44">
            <v>38679</v>
          </cell>
          <cell r="G44">
            <v>38625</v>
          </cell>
          <cell r="I44">
            <v>293</v>
          </cell>
          <cell r="J44">
            <v>491</v>
          </cell>
          <cell r="K44">
            <v>711</v>
          </cell>
          <cell r="L44">
            <v>808</v>
          </cell>
          <cell r="M44">
            <v>925</v>
          </cell>
          <cell r="P44">
            <v>54</v>
          </cell>
          <cell r="Q44">
            <v>109</v>
          </cell>
          <cell r="R44">
            <v>207</v>
          </cell>
          <cell r="S44">
            <v>270</v>
          </cell>
          <cell r="T44">
            <v>326</v>
          </cell>
          <cell r="AD44">
            <v>35</v>
          </cell>
          <cell r="AE44">
            <v>53</v>
          </cell>
          <cell r="AF44">
            <v>92</v>
          </cell>
          <cell r="AG44">
            <v>131</v>
          </cell>
          <cell r="AH44">
            <v>180</v>
          </cell>
          <cell r="AK44">
            <v>34</v>
          </cell>
          <cell r="AL44">
            <v>41</v>
          </cell>
          <cell r="AM44">
            <v>61</v>
          </cell>
          <cell r="AN44">
            <v>85</v>
          </cell>
          <cell r="AO44">
            <v>119</v>
          </cell>
          <cell r="AR44">
            <v>101</v>
          </cell>
          <cell r="AS44">
            <v>215</v>
          </cell>
          <cell r="AT44">
            <v>218</v>
          </cell>
          <cell r="AU44">
            <v>168</v>
          </cell>
          <cell r="AV44">
            <v>137</v>
          </cell>
        </row>
        <row r="45">
          <cell r="D45" t="str">
            <v>Exane</v>
          </cell>
          <cell r="G45">
            <v>38653</v>
          </cell>
          <cell r="J45">
            <v>491</v>
          </cell>
          <cell r="K45">
            <v>716</v>
          </cell>
          <cell r="L45">
            <v>891</v>
          </cell>
          <cell r="M45">
            <v>1020</v>
          </cell>
          <cell r="N45">
            <v>1124</v>
          </cell>
          <cell r="P45">
            <v>55</v>
          </cell>
          <cell r="Q45">
            <v>107</v>
          </cell>
          <cell r="R45">
            <v>207</v>
          </cell>
          <cell r="S45">
            <v>298</v>
          </cell>
          <cell r="T45">
            <v>363</v>
          </cell>
          <cell r="U45">
            <v>426</v>
          </cell>
          <cell r="AD45">
            <v>36</v>
          </cell>
          <cell r="AE45">
            <v>51</v>
          </cell>
          <cell r="AF45">
            <v>90</v>
          </cell>
          <cell r="AG45">
            <v>163</v>
          </cell>
          <cell r="AH45">
            <v>210</v>
          </cell>
          <cell r="AI45">
            <v>301</v>
          </cell>
          <cell r="AK45">
            <v>35</v>
          </cell>
          <cell r="AL45">
            <v>42</v>
          </cell>
          <cell r="AM45">
            <v>57</v>
          </cell>
          <cell r="AN45">
            <v>109</v>
          </cell>
          <cell r="AO45">
            <v>143</v>
          </cell>
          <cell r="AP45">
            <v>206</v>
          </cell>
          <cell r="AR45">
            <v>97</v>
          </cell>
          <cell r="AS45">
            <v>215</v>
          </cell>
          <cell r="AT45">
            <v>209</v>
          </cell>
          <cell r="AU45">
            <v>149</v>
          </cell>
          <cell r="AV45">
            <v>131</v>
          </cell>
          <cell r="AW45">
            <v>119</v>
          </cell>
        </row>
        <row r="46">
          <cell r="D46" t="str">
            <v>AR</v>
          </cell>
          <cell r="G46">
            <v>38352</v>
          </cell>
          <cell r="I46">
            <v>293.05099999999999</v>
          </cell>
          <cell r="J46">
            <v>491.44600000000003</v>
          </cell>
          <cell r="P46">
            <v>53.643000000000001</v>
          </cell>
          <cell r="Q46">
            <v>108.672</v>
          </cell>
          <cell r="AD46">
            <v>34.966999999999999</v>
          </cell>
          <cell r="AE46">
            <v>53.089999999999996</v>
          </cell>
          <cell r="AK46">
            <v>33.875</v>
          </cell>
          <cell r="AL46">
            <v>40.832000000000001</v>
          </cell>
        </row>
        <row r="48">
          <cell r="B48">
            <v>33</v>
          </cell>
          <cell r="C48" t="str">
            <v>Iliad</v>
          </cell>
          <cell r="E48" t="str">
            <v>EUR m</v>
          </cell>
          <cell r="F48">
            <v>38352</v>
          </cell>
          <cell r="I48">
            <v>293.05099999999999</v>
          </cell>
          <cell r="J48">
            <v>491.44600000000003</v>
          </cell>
          <cell r="K48">
            <v>712.33333333333337</v>
          </cell>
          <cell r="L48">
            <v>851</v>
          </cell>
          <cell r="M48">
            <v>954.66666666666663</v>
          </cell>
          <cell r="N48">
            <v>1124</v>
          </cell>
          <cell r="P48">
            <v>53.643000000000001</v>
          </cell>
          <cell r="Q48">
            <v>108.672</v>
          </cell>
          <cell r="R48">
            <v>208</v>
          </cell>
          <cell r="S48">
            <v>284.66666666666669</v>
          </cell>
          <cell r="T48">
            <v>331.33333333333331</v>
          </cell>
          <cell r="U48">
            <v>426</v>
          </cell>
          <cell r="W48" t="str">
            <v>na</v>
          </cell>
          <cell r="X48" t="str">
            <v>na</v>
          </cell>
          <cell r="Y48" t="str">
            <v>na</v>
          </cell>
          <cell r="Z48" t="str">
            <v>na</v>
          </cell>
          <cell r="AA48" t="str">
            <v>na</v>
          </cell>
          <cell r="AB48" t="str">
            <v>na</v>
          </cell>
          <cell r="AD48">
            <v>34.966999999999999</v>
          </cell>
          <cell r="AE48">
            <v>53.089999999999996</v>
          </cell>
          <cell r="AF48">
            <v>92</v>
          </cell>
          <cell r="AG48">
            <v>150</v>
          </cell>
          <cell r="AH48">
            <v>193.33333333333334</v>
          </cell>
          <cell r="AI48">
            <v>301</v>
          </cell>
          <cell r="AK48">
            <v>33.875</v>
          </cell>
          <cell r="AL48">
            <v>40.832000000000001</v>
          </cell>
          <cell r="AM48">
            <v>59.666666666666664</v>
          </cell>
          <cell r="AN48">
            <v>100</v>
          </cell>
          <cell r="AO48">
            <v>131</v>
          </cell>
          <cell r="AP48">
            <v>206</v>
          </cell>
          <cell r="AR48">
            <v>98.333333333333329</v>
          </cell>
          <cell r="AS48">
            <v>213.66666666666666</v>
          </cell>
          <cell r="AT48">
            <v>209</v>
          </cell>
          <cell r="AU48">
            <v>143.33333333333334</v>
          </cell>
          <cell r="AV48">
            <v>117.33333333333333</v>
          </cell>
          <cell r="AW48">
            <v>119</v>
          </cell>
          <cell r="AY48" t="str">
            <v>na</v>
          </cell>
          <cell r="AZ48" t="str">
            <v>na</v>
          </cell>
          <cell r="BA48" t="str">
            <v>na</v>
          </cell>
          <cell r="BB48" t="str">
            <v>na</v>
          </cell>
          <cell r="BC48" t="str">
            <v>na</v>
          </cell>
          <cell r="BD48" t="str">
            <v>na</v>
          </cell>
          <cell r="BF48" t="str">
            <v>na</v>
          </cell>
          <cell r="BG48" t="str">
            <v>na</v>
          </cell>
          <cell r="BH48" t="str">
            <v>na</v>
          </cell>
          <cell r="BI48" t="str">
            <v>na</v>
          </cell>
          <cell r="BJ48" t="str">
            <v>na</v>
          </cell>
          <cell r="BK48" t="str">
            <v>na</v>
          </cell>
          <cell r="BM48" t="str">
            <v>na</v>
          </cell>
          <cell r="BN48" t="str">
            <v>na</v>
          </cell>
          <cell r="BO48" t="str">
            <v>na</v>
          </cell>
          <cell r="BP48" t="str">
            <v>na</v>
          </cell>
          <cell r="BQ48" t="str">
            <v>na</v>
          </cell>
          <cell r="BR48" t="str">
            <v>na</v>
          </cell>
        </row>
        <row r="49">
          <cell r="E49" t="str">
            <v>Calenderised</v>
          </cell>
          <cell r="F49">
            <v>0</v>
          </cell>
        </row>
        <row r="50">
          <cell r="C50">
            <v>0</v>
          </cell>
        </row>
        <row r="51">
          <cell r="E51" t="str">
            <v>Last brokers notes update:</v>
          </cell>
          <cell r="F51">
            <v>38238</v>
          </cell>
        </row>
        <row r="52">
          <cell r="E52" t="str">
            <v>Last Datastream update:</v>
          </cell>
          <cell r="F52">
            <v>38679</v>
          </cell>
        </row>
        <row r="56">
          <cell r="B56">
            <v>34</v>
          </cell>
          <cell r="C56" t="str">
            <v>Firm34</v>
          </cell>
          <cell r="E56">
            <v>0</v>
          </cell>
          <cell r="F56">
            <v>0</v>
          </cell>
          <cell r="I56" t="str">
            <v>na</v>
          </cell>
          <cell r="J56" t="str">
            <v>na</v>
          </cell>
          <cell r="K56" t="str">
            <v>na</v>
          </cell>
          <cell r="L56" t="str">
            <v>na</v>
          </cell>
          <cell r="M56" t="str">
            <v>na</v>
          </cell>
          <cell r="N56" t="str">
            <v>na</v>
          </cell>
          <cell r="P56" t="str">
            <v>na</v>
          </cell>
          <cell r="Q56" t="str">
            <v>na</v>
          </cell>
          <cell r="R56" t="str">
            <v>na</v>
          </cell>
          <cell r="S56" t="str">
            <v>na</v>
          </cell>
          <cell r="T56" t="str">
            <v>na</v>
          </cell>
          <cell r="U56" t="str">
            <v>na</v>
          </cell>
          <cell r="W56" t="str">
            <v>na</v>
          </cell>
          <cell r="X56" t="str">
            <v>na</v>
          </cell>
          <cell r="Y56" t="str">
            <v>na</v>
          </cell>
          <cell r="Z56" t="str">
            <v>na</v>
          </cell>
          <cell r="AA56" t="str">
            <v>na</v>
          </cell>
          <cell r="AB56" t="str">
            <v>na</v>
          </cell>
          <cell r="AD56" t="str">
            <v>na</v>
          </cell>
          <cell r="AE56" t="str">
            <v>na</v>
          </cell>
          <cell r="AF56" t="str">
            <v>na</v>
          </cell>
          <cell r="AG56" t="str">
            <v>na</v>
          </cell>
          <cell r="AH56" t="str">
            <v>na</v>
          </cell>
          <cell r="AI56" t="str">
            <v>na</v>
          </cell>
          <cell r="AK56" t="str">
            <v>na</v>
          </cell>
          <cell r="AL56" t="str">
            <v>na</v>
          </cell>
          <cell r="AM56" t="str">
            <v>na</v>
          </cell>
          <cell r="AN56" t="str">
            <v>na</v>
          </cell>
          <cell r="AO56" t="str">
            <v>na</v>
          </cell>
          <cell r="AP56" t="str">
            <v>na</v>
          </cell>
          <cell r="AR56" t="str">
            <v>na</v>
          </cell>
          <cell r="AS56" t="str">
            <v>na</v>
          </cell>
          <cell r="AT56" t="str">
            <v>na</v>
          </cell>
          <cell r="AU56" t="str">
            <v>na</v>
          </cell>
          <cell r="AV56" t="str">
            <v>na</v>
          </cell>
          <cell r="AW56" t="str">
            <v>na</v>
          </cell>
          <cell r="AY56" t="str">
            <v>na</v>
          </cell>
          <cell r="AZ56" t="str">
            <v>na</v>
          </cell>
          <cell r="BA56" t="str">
            <v>na</v>
          </cell>
          <cell r="BB56" t="str">
            <v>na</v>
          </cell>
          <cell r="BC56" t="str">
            <v>na</v>
          </cell>
          <cell r="BD56" t="str">
            <v>na</v>
          </cell>
          <cell r="BF56" t="str">
            <v>na</v>
          </cell>
          <cell r="BG56" t="str">
            <v>na</v>
          </cell>
          <cell r="BH56" t="str">
            <v>na</v>
          </cell>
          <cell r="BI56" t="str">
            <v>na</v>
          </cell>
          <cell r="BJ56" t="str">
            <v>na</v>
          </cell>
          <cell r="BK56" t="str">
            <v>na</v>
          </cell>
          <cell r="BM56" t="str">
            <v>na</v>
          </cell>
          <cell r="BN56" t="str">
            <v>na</v>
          </cell>
          <cell r="BO56" t="str">
            <v>na</v>
          </cell>
          <cell r="BP56" t="str">
            <v>na</v>
          </cell>
          <cell r="BQ56" t="str">
            <v>na</v>
          </cell>
          <cell r="BR56" t="str">
            <v>na</v>
          </cell>
        </row>
        <row r="57">
          <cell r="E57" t="str">
            <v>Calenderised</v>
          </cell>
          <cell r="F57">
            <v>0</v>
          </cell>
        </row>
        <row r="58">
          <cell r="C58">
            <v>0</v>
          </cell>
        </row>
        <row r="59">
          <cell r="E59" t="str">
            <v>Last brokers notes update:</v>
          </cell>
          <cell r="F59">
            <v>38238</v>
          </cell>
        </row>
        <row r="60">
          <cell r="E60" t="str">
            <v>Last Datastream update:</v>
          </cell>
          <cell r="F60">
            <v>38679</v>
          </cell>
        </row>
        <row r="64">
          <cell r="B64">
            <v>35</v>
          </cell>
          <cell r="C64" t="str">
            <v>Firm35</v>
          </cell>
          <cell r="E64">
            <v>0</v>
          </cell>
          <cell r="F64">
            <v>0</v>
          </cell>
          <cell r="I64" t="str">
            <v>na</v>
          </cell>
          <cell r="J64" t="str">
            <v>na</v>
          </cell>
          <cell r="K64" t="str">
            <v>na</v>
          </cell>
          <cell r="L64" t="str">
            <v>na</v>
          </cell>
          <cell r="M64" t="str">
            <v>na</v>
          </cell>
          <cell r="N64" t="str">
            <v>na</v>
          </cell>
          <cell r="P64" t="str">
            <v>na</v>
          </cell>
          <cell r="Q64" t="str">
            <v>na</v>
          </cell>
          <cell r="R64" t="str">
            <v>na</v>
          </cell>
          <cell r="S64" t="str">
            <v>na</v>
          </cell>
          <cell r="T64" t="str">
            <v>na</v>
          </cell>
          <cell r="U64" t="str">
            <v>na</v>
          </cell>
          <cell r="W64" t="str">
            <v>na</v>
          </cell>
          <cell r="X64" t="str">
            <v>na</v>
          </cell>
          <cell r="Y64" t="str">
            <v>na</v>
          </cell>
          <cell r="Z64" t="str">
            <v>na</v>
          </cell>
          <cell r="AA64" t="str">
            <v>na</v>
          </cell>
          <cell r="AB64" t="str">
            <v>na</v>
          </cell>
          <cell r="AD64" t="str">
            <v>na</v>
          </cell>
          <cell r="AE64" t="str">
            <v>na</v>
          </cell>
          <cell r="AF64" t="str">
            <v>na</v>
          </cell>
          <cell r="AG64" t="str">
            <v>na</v>
          </cell>
          <cell r="AH64" t="str">
            <v>na</v>
          </cell>
          <cell r="AI64" t="str">
            <v>na</v>
          </cell>
          <cell r="AK64" t="str">
            <v>na</v>
          </cell>
          <cell r="AL64" t="str">
            <v>na</v>
          </cell>
          <cell r="AM64" t="str">
            <v>na</v>
          </cell>
          <cell r="AN64" t="str">
            <v>na</v>
          </cell>
          <cell r="AO64" t="str">
            <v>na</v>
          </cell>
          <cell r="AP64" t="str">
            <v>na</v>
          </cell>
          <cell r="AR64" t="str">
            <v>na</v>
          </cell>
          <cell r="AS64" t="str">
            <v>na</v>
          </cell>
          <cell r="AT64" t="str">
            <v>na</v>
          </cell>
          <cell r="AU64" t="str">
            <v>na</v>
          </cell>
          <cell r="AV64" t="str">
            <v>na</v>
          </cell>
          <cell r="AW64" t="str">
            <v>na</v>
          </cell>
          <cell r="AY64" t="str">
            <v>na</v>
          </cell>
          <cell r="AZ64" t="str">
            <v>na</v>
          </cell>
          <cell r="BA64" t="str">
            <v>na</v>
          </cell>
          <cell r="BB64" t="str">
            <v>na</v>
          </cell>
          <cell r="BC64" t="str">
            <v>na</v>
          </cell>
          <cell r="BD64" t="str">
            <v>na</v>
          </cell>
          <cell r="BF64" t="str">
            <v>na</v>
          </cell>
          <cell r="BG64" t="str">
            <v>na</v>
          </cell>
          <cell r="BH64" t="str">
            <v>na</v>
          </cell>
          <cell r="BI64" t="str">
            <v>na</v>
          </cell>
          <cell r="BJ64" t="str">
            <v>na</v>
          </cell>
          <cell r="BK64" t="str">
            <v>na</v>
          </cell>
          <cell r="BM64" t="str">
            <v>na</v>
          </cell>
          <cell r="BN64" t="str">
            <v>na</v>
          </cell>
          <cell r="BO64" t="str">
            <v>na</v>
          </cell>
          <cell r="BP64" t="str">
            <v>na</v>
          </cell>
          <cell r="BQ64" t="str">
            <v>na</v>
          </cell>
          <cell r="BR64" t="str">
            <v>na</v>
          </cell>
        </row>
        <row r="65">
          <cell r="E65" t="str">
            <v>Calenderised</v>
          </cell>
          <cell r="F65">
            <v>0</v>
          </cell>
        </row>
        <row r="66">
          <cell r="C66">
            <v>0</v>
          </cell>
        </row>
        <row r="67">
          <cell r="E67" t="str">
            <v>Last brokers notes update:</v>
          </cell>
          <cell r="F67">
            <v>38238</v>
          </cell>
        </row>
        <row r="68">
          <cell r="E68" t="str">
            <v>Last Datastream update:</v>
          </cell>
          <cell r="F68">
            <v>38679</v>
          </cell>
        </row>
        <row r="72">
          <cell r="B72">
            <v>36</v>
          </cell>
          <cell r="C72" t="str">
            <v>Firm36</v>
          </cell>
          <cell r="E72">
            <v>0</v>
          </cell>
          <cell r="F72">
            <v>0</v>
          </cell>
          <cell r="I72" t="str">
            <v>na</v>
          </cell>
          <cell r="J72" t="str">
            <v>na</v>
          </cell>
          <cell r="K72" t="str">
            <v>na</v>
          </cell>
          <cell r="L72" t="str">
            <v>na</v>
          </cell>
          <cell r="M72" t="str">
            <v>na</v>
          </cell>
          <cell r="N72" t="str">
            <v>na</v>
          </cell>
          <cell r="P72" t="str">
            <v>na</v>
          </cell>
          <cell r="Q72" t="str">
            <v>na</v>
          </cell>
          <cell r="R72" t="str">
            <v>na</v>
          </cell>
          <cell r="S72" t="str">
            <v>na</v>
          </cell>
          <cell r="T72" t="str">
            <v>na</v>
          </cell>
          <cell r="U72" t="str">
            <v>na</v>
          </cell>
          <cell r="W72" t="str">
            <v>na</v>
          </cell>
          <cell r="X72" t="str">
            <v>na</v>
          </cell>
          <cell r="Y72" t="str">
            <v>na</v>
          </cell>
          <cell r="Z72" t="str">
            <v>na</v>
          </cell>
          <cell r="AA72" t="str">
            <v>na</v>
          </cell>
          <cell r="AB72" t="str">
            <v>na</v>
          </cell>
          <cell r="AD72" t="str">
            <v>na</v>
          </cell>
          <cell r="AE72" t="str">
            <v>na</v>
          </cell>
          <cell r="AF72" t="str">
            <v>na</v>
          </cell>
          <cell r="AG72" t="str">
            <v>na</v>
          </cell>
          <cell r="AH72" t="str">
            <v>na</v>
          </cell>
          <cell r="AI72" t="str">
            <v>na</v>
          </cell>
          <cell r="AK72" t="str">
            <v>na</v>
          </cell>
          <cell r="AL72" t="str">
            <v>na</v>
          </cell>
          <cell r="AM72" t="str">
            <v>na</v>
          </cell>
          <cell r="AN72" t="str">
            <v>na</v>
          </cell>
          <cell r="AO72" t="str">
            <v>na</v>
          </cell>
          <cell r="AP72" t="str">
            <v>na</v>
          </cell>
          <cell r="AR72" t="str">
            <v>na</v>
          </cell>
          <cell r="AS72" t="str">
            <v>na</v>
          </cell>
          <cell r="AT72" t="str">
            <v>na</v>
          </cell>
          <cell r="AU72" t="str">
            <v>na</v>
          </cell>
          <cell r="AV72" t="str">
            <v>na</v>
          </cell>
          <cell r="AW72" t="str">
            <v>na</v>
          </cell>
          <cell r="AY72" t="str">
            <v>na</v>
          </cell>
          <cell r="AZ72" t="str">
            <v>na</v>
          </cell>
          <cell r="BA72" t="str">
            <v>na</v>
          </cell>
          <cell r="BB72" t="str">
            <v>na</v>
          </cell>
          <cell r="BC72" t="str">
            <v>na</v>
          </cell>
          <cell r="BD72" t="str">
            <v>na</v>
          </cell>
          <cell r="BF72" t="str">
            <v>na</v>
          </cell>
          <cell r="BG72" t="str">
            <v>na</v>
          </cell>
          <cell r="BH72" t="str">
            <v>na</v>
          </cell>
          <cell r="BI72" t="str">
            <v>na</v>
          </cell>
          <cell r="BJ72" t="str">
            <v>na</v>
          </cell>
          <cell r="BK72" t="str">
            <v>na</v>
          </cell>
          <cell r="BM72" t="str">
            <v>na</v>
          </cell>
          <cell r="BN72" t="str">
            <v>na</v>
          </cell>
          <cell r="BO72" t="str">
            <v>na</v>
          </cell>
          <cell r="BP72" t="str">
            <v>na</v>
          </cell>
          <cell r="BQ72" t="str">
            <v>na</v>
          </cell>
          <cell r="BR72" t="str">
            <v>na</v>
          </cell>
        </row>
        <row r="73">
          <cell r="E73" t="str">
            <v>Calenderised</v>
          </cell>
          <cell r="F73">
            <v>0</v>
          </cell>
        </row>
        <row r="74">
          <cell r="C74">
            <v>0</v>
          </cell>
        </row>
        <row r="75">
          <cell r="E75" t="str">
            <v>Last brokers notes update:</v>
          </cell>
          <cell r="F75">
            <v>38238</v>
          </cell>
        </row>
        <row r="76">
          <cell r="E76" t="str">
            <v>Last Datastream update:</v>
          </cell>
          <cell r="F76">
            <v>38679</v>
          </cell>
        </row>
        <row r="80">
          <cell r="B80">
            <v>37</v>
          </cell>
          <cell r="C80" t="str">
            <v>Firm37</v>
          </cell>
          <cell r="E80">
            <v>0</v>
          </cell>
          <cell r="F80">
            <v>0</v>
          </cell>
          <cell r="I80" t="str">
            <v>na</v>
          </cell>
          <cell r="J80" t="str">
            <v>na</v>
          </cell>
          <cell r="K80" t="str">
            <v>na</v>
          </cell>
          <cell r="L80" t="str">
            <v>na</v>
          </cell>
          <cell r="M80" t="str">
            <v>na</v>
          </cell>
          <cell r="N80" t="str">
            <v>na</v>
          </cell>
          <cell r="P80" t="str">
            <v>na</v>
          </cell>
          <cell r="Q80" t="str">
            <v>na</v>
          </cell>
          <cell r="R80" t="str">
            <v>na</v>
          </cell>
          <cell r="S80" t="str">
            <v>na</v>
          </cell>
          <cell r="T80" t="str">
            <v>na</v>
          </cell>
          <cell r="U80" t="str">
            <v>na</v>
          </cell>
          <cell r="W80" t="str">
            <v>na</v>
          </cell>
          <cell r="X80" t="str">
            <v>na</v>
          </cell>
          <cell r="Y80" t="str">
            <v>na</v>
          </cell>
          <cell r="Z80" t="str">
            <v>na</v>
          </cell>
          <cell r="AA80" t="str">
            <v>na</v>
          </cell>
          <cell r="AB80" t="str">
            <v>na</v>
          </cell>
          <cell r="AD80" t="str">
            <v>na</v>
          </cell>
          <cell r="AE80" t="str">
            <v>na</v>
          </cell>
          <cell r="AF80" t="str">
            <v>na</v>
          </cell>
          <cell r="AG80" t="str">
            <v>na</v>
          </cell>
          <cell r="AH80" t="str">
            <v>na</v>
          </cell>
          <cell r="AI80" t="str">
            <v>na</v>
          </cell>
          <cell r="AK80" t="str">
            <v>na</v>
          </cell>
          <cell r="AL80" t="str">
            <v>na</v>
          </cell>
          <cell r="AM80" t="str">
            <v>na</v>
          </cell>
          <cell r="AN80" t="str">
            <v>na</v>
          </cell>
          <cell r="AO80" t="str">
            <v>na</v>
          </cell>
          <cell r="AP80" t="str">
            <v>na</v>
          </cell>
          <cell r="AR80" t="str">
            <v>na</v>
          </cell>
          <cell r="AS80" t="str">
            <v>na</v>
          </cell>
          <cell r="AT80" t="str">
            <v>na</v>
          </cell>
          <cell r="AU80" t="str">
            <v>na</v>
          </cell>
          <cell r="AV80" t="str">
            <v>na</v>
          </cell>
          <cell r="AW80" t="str">
            <v>na</v>
          </cell>
          <cell r="AY80" t="str">
            <v>na</v>
          </cell>
          <cell r="AZ80" t="str">
            <v>na</v>
          </cell>
          <cell r="BA80" t="str">
            <v>na</v>
          </cell>
          <cell r="BB80" t="str">
            <v>na</v>
          </cell>
          <cell r="BC80" t="str">
            <v>na</v>
          </cell>
          <cell r="BD80" t="str">
            <v>na</v>
          </cell>
          <cell r="BF80" t="str">
            <v>na</v>
          </cell>
          <cell r="BG80" t="str">
            <v>na</v>
          </cell>
          <cell r="BH80" t="str">
            <v>na</v>
          </cell>
          <cell r="BI80" t="str">
            <v>na</v>
          </cell>
          <cell r="BJ80" t="str">
            <v>na</v>
          </cell>
          <cell r="BK80" t="str">
            <v>na</v>
          </cell>
          <cell r="BM80" t="str">
            <v>na</v>
          </cell>
          <cell r="BN80" t="str">
            <v>na</v>
          </cell>
          <cell r="BO80" t="str">
            <v>na</v>
          </cell>
          <cell r="BP80" t="str">
            <v>na</v>
          </cell>
          <cell r="BQ80" t="str">
            <v>na</v>
          </cell>
          <cell r="BR80" t="str">
            <v>na</v>
          </cell>
        </row>
        <row r="81">
          <cell r="E81" t="str">
            <v>Calenderised</v>
          </cell>
          <cell r="F81">
            <v>0</v>
          </cell>
        </row>
        <row r="82">
          <cell r="C82">
            <v>0</v>
          </cell>
        </row>
        <row r="83">
          <cell r="E83" t="str">
            <v>Last brokers notes update:</v>
          </cell>
          <cell r="F83">
            <v>38238</v>
          </cell>
        </row>
        <row r="84">
          <cell r="E84" t="str">
            <v>Last Datastream update:</v>
          </cell>
          <cell r="F84">
            <v>38679</v>
          </cell>
        </row>
        <row r="88">
          <cell r="B88">
            <v>38</v>
          </cell>
          <cell r="C88" t="str">
            <v>Firm38</v>
          </cell>
          <cell r="E88">
            <v>0</v>
          </cell>
          <cell r="F88">
            <v>0</v>
          </cell>
          <cell r="I88" t="str">
            <v>na</v>
          </cell>
          <cell r="J88" t="str">
            <v>na</v>
          </cell>
          <cell r="K88" t="str">
            <v>na</v>
          </cell>
          <cell r="L88" t="str">
            <v>na</v>
          </cell>
          <cell r="M88" t="str">
            <v>na</v>
          </cell>
          <cell r="N88" t="str">
            <v>na</v>
          </cell>
          <cell r="P88" t="str">
            <v>na</v>
          </cell>
          <cell r="Q88" t="str">
            <v>na</v>
          </cell>
          <cell r="R88" t="str">
            <v>na</v>
          </cell>
          <cell r="S88" t="str">
            <v>na</v>
          </cell>
          <cell r="T88" t="str">
            <v>na</v>
          </cell>
          <cell r="U88" t="str">
            <v>na</v>
          </cell>
          <cell r="W88" t="str">
            <v>na</v>
          </cell>
          <cell r="X88" t="str">
            <v>na</v>
          </cell>
          <cell r="Y88" t="str">
            <v>na</v>
          </cell>
          <cell r="Z88" t="str">
            <v>na</v>
          </cell>
          <cell r="AA88" t="str">
            <v>na</v>
          </cell>
          <cell r="AB88" t="str">
            <v>na</v>
          </cell>
          <cell r="AD88" t="str">
            <v>na</v>
          </cell>
          <cell r="AE88" t="str">
            <v>na</v>
          </cell>
          <cell r="AF88" t="str">
            <v>na</v>
          </cell>
          <cell r="AG88" t="str">
            <v>na</v>
          </cell>
          <cell r="AH88" t="str">
            <v>na</v>
          </cell>
          <cell r="AI88" t="str">
            <v>na</v>
          </cell>
          <cell r="AK88" t="str">
            <v>na</v>
          </cell>
          <cell r="AL88" t="str">
            <v>na</v>
          </cell>
          <cell r="AM88" t="str">
            <v>na</v>
          </cell>
          <cell r="AN88" t="str">
            <v>na</v>
          </cell>
          <cell r="AO88" t="str">
            <v>na</v>
          </cell>
          <cell r="AP88" t="str">
            <v>na</v>
          </cell>
          <cell r="AR88" t="str">
            <v>na</v>
          </cell>
          <cell r="AS88" t="str">
            <v>na</v>
          </cell>
          <cell r="AT88" t="str">
            <v>na</v>
          </cell>
          <cell r="AU88" t="str">
            <v>na</v>
          </cell>
          <cell r="AV88" t="str">
            <v>na</v>
          </cell>
          <cell r="AW88" t="str">
            <v>na</v>
          </cell>
          <cell r="AY88" t="str">
            <v>na</v>
          </cell>
          <cell r="AZ88" t="str">
            <v>na</v>
          </cell>
          <cell r="BA88" t="str">
            <v>na</v>
          </cell>
          <cell r="BB88" t="str">
            <v>na</v>
          </cell>
          <cell r="BC88" t="str">
            <v>na</v>
          </cell>
          <cell r="BD88" t="str">
            <v>na</v>
          </cell>
          <cell r="BF88" t="str">
            <v>na</v>
          </cell>
          <cell r="BG88" t="str">
            <v>na</v>
          </cell>
          <cell r="BH88" t="str">
            <v>na</v>
          </cell>
          <cell r="BI88" t="str">
            <v>na</v>
          </cell>
          <cell r="BJ88" t="str">
            <v>na</v>
          </cell>
          <cell r="BK88" t="str">
            <v>na</v>
          </cell>
          <cell r="BM88" t="str">
            <v>na</v>
          </cell>
          <cell r="BN88" t="str">
            <v>na</v>
          </cell>
          <cell r="BO88" t="str">
            <v>na</v>
          </cell>
          <cell r="BP88" t="str">
            <v>na</v>
          </cell>
          <cell r="BQ88" t="str">
            <v>na</v>
          </cell>
          <cell r="BR88" t="str">
            <v>na</v>
          </cell>
        </row>
        <row r="89">
          <cell r="E89" t="str">
            <v>Calenderised</v>
          </cell>
          <cell r="F89">
            <v>0</v>
          </cell>
        </row>
        <row r="90">
          <cell r="C90">
            <v>0</v>
          </cell>
        </row>
        <row r="91">
          <cell r="E91" t="str">
            <v>Last brokers notes update:</v>
          </cell>
          <cell r="F91">
            <v>38526</v>
          </cell>
        </row>
        <row r="92">
          <cell r="E92" t="str">
            <v>Last Datastream update:</v>
          </cell>
          <cell r="F92">
            <v>38679</v>
          </cell>
        </row>
        <row r="99">
          <cell r="B99">
            <v>39</v>
          </cell>
          <cell r="C99" t="str">
            <v>Target FIXED LINE EUROPE - ALTERNATIVE CARRIERS</v>
          </cell>
          <cell r="E99">
            <v>0</v>
          </cell>
          <cell r="F99">
            <v>0</v>
          </cell>
          <cell r="I99" t="str">
            <v>na</v>
          </cell>
          <cell r="J99" t="str">
            <v>na</v>
          </cell>
          <cell r="K99" t="str">
            <v>na</v>
          </cell>
          <cell r="L99" t="str">
            <v>na</v>
          </cell>
          <cell r="M99" t="str">
            <v>na</v>
          </cell>
          <cell r="N99" t="str">
            <v>na</v>
          </cell>
          <cell r="P99" t="str">
            <v>na</v>
          </cell>
          <cell r="Q99" t="str">
            <v>na</v>
          </cell>
          <cell r="R99" t="str">
            <v>na</v>
          </cell>
          <cell r="S99" t="str">
            <v>na</v>
          </cell>
          <cell r="T99" t="str">
            <v>na</v>
          </cell>
          <cell r="U99" t="str">
            <v>na</v>
          </cell>
          <cell r="W99" t="str">
            <v>na</v>
          </cell>
          <cell r="X99" t="str">
            <v>na</v>
          </cell>
          <cell r="Y99" t="str">
            <v>na</v>
          </cell>
          <cell r="Z99" t="str">
            <v>na</v>
          </cell>
          <cell r="AA99" t="str">
            <v>na</v>
          </cell>
          <cell r="AB99" t="str">
            <v>na</v>
          </cell>
          <cell r="AD99" t="str">
            <v>na</v>
          </cell>
          <cell r="AE99" t="str">
            <v>na</v>
          </cell>
          <cell r="AF99" t="str">
            <v>na</v>
          </cell>
          <cell r="AG99" t="str">
            <v>na</v>
          </cell>
          <cell r="AH99" t="str">
            <v>na</v>
          </cell>
          <cell r="AI99" t="str">
            <v>na</v>
          </cell>
          <cell r="AK99" t="str">
            <v>na</v>
          </cell>
          <cell r="AL99" t="str">
            <v>na</v>
          </cell>
          <cell r="AM99" t="str">
            <v>na</v>
          </cell>
          <cell r="AN99" t="str">
            <v>na</v>
          </cell>
          <cell r="AO99" t="str">
            <v>na</v>
          </cell>
          <cell r="AP99" t="str">
            <v>na</v>
          </cell>
          <cell r="AR99" t="str">
            <v>na</v>
          </cell>
          <cell r="AS99" t="str">
            <v>na</v>
          </cell>
          <cell r="AT99" t="str">
            <v>na</v>
          </cell>
          <cell r="AU99" t="str">
            <v>na</v>
          </cell>
          <cell r="AV99" t="str">
            <v>na</v>
          </cell>
          <cell r="AW99" t="str">
            <v>na</v>
          </cell>
          <cell r="AY99" t="str">
            <v>na</v>
          </cell>
          <cell r="AZ99" t="str">
            <v>na</v>
          </cell>
          <cell r="BA99" t="str">
            <v>na</v>
          </cell>
          <cell r="BB99" t="str">
            <v>na</v>
          </cell>
          <cell r="BC99" t="str">
            <v>na</v>
          </cell>
          <cell r="BD99" t="str">
            <v>na</v>
          </cell>
          <cell r="BF99" t="str">
            <v>na</v>
          </cell>
          <cell r="BG99" t="str">
            <v>na</v>
          </cell>
          <cell r="BH99" t="str">
            <v>na</v>
          </cell>
          <cell r="BI99" t="str">
            <v>na</v>
          </cell>
          <cell r="BJ99" t="str">
            <v>na</v>
          </cell>
          <cell r="BK99" t="str">
            <v>na</v>
          </cell>
          <cell r="BM99" t="str">
            <v>na</v>
          </cell>
          <cell r="BN99" t="str">
            <v>na</v>
          </cell>
          <cell r="BO99" t="str">
            <v>na</v>
          </cell>
          <cell r="BP99" t="str">
            <v>na</v>
          </cell>
          <cell r="BQ99" t="str">
            <v>na</v>
          </cell>
          <cell r="BR99" t="str">
            <v>na</v>
          </cell>
        </row>
        <row r="100">
          <cell r="E100" t="str">
            <v>Calenderised</v>
          </cell>
          <cell r="F100">
            <v>0</v>
          </cell>
        </row>
        <row r="101">
          <cell r="C101" t="str">
            <v>Fixed Line Europe - Alternative Careers</v>
          </cell>
        </row>
        <row r="102">
          <cell r="D102" t="str">
            <v>Morgan Stanley</v>
          </cell>
          <cell r="E102" t="str">
            <v>Last brokers notes update:</v>
          </cell>
          <cell r="F102">
            <v>38666</v>
          </cell>
          <cell r="G102">
            <v>38580</v>
          </cell>
          <cell r="I102">
            <v>3671</v>
          </cell>
          <cell r="J102">
            <v>3222</v>
          </cell>
          <cell r="K102">
            <v>3468</v>
          </cell>
          <cell r="L102">
            <v>3961</v>
          </cell>
          <cell r="M102">
            <v>4081</v>
          </cell>
          <cell r="N102">
            <v>4137</v>
          </cell>
          <cell r="P102">
            <v>476</v>
          </cell>
          <cell r="Q102">
            <v>499</v>
          </cell>
          <cell r="R102">
            <v>540</v>
          </cell>
          <cell r="S102">
            <v>721</v>
          </cell>
          <cell r="T102">
            <v>805</v>
          </cell>
          <cell r="U102">
            <v>848</v>
          </cell>
          <cell r="X102">
            <v>292</v>
          </cell>
          <cell r="Y102">
            <v>268</v>
          </cell>
          <cell r="Z102">
            <v>384</v>
          </cell>
          <cell r="AA102">
            <v>460</v>
          </cell>
          <cell r="AB102">
            <v>500</v>
          </cell>
          <cell r="AC102">
            <v>-527</v>
          </cell>
          <cell r="AJ102">
            <v>-334</v>
          </cell>
          <cell r="AK102">
            <v>267</v>
          </cell>
          <cell r="AL102">
            <v>322</v>
          </cell>
          <cell r="AM102">
            <v>212</v>
          </cell>
          <cell r="AN102">
            <v>302</v>
          </cell>
          <cell r="AO102">
            <v>367</v>
          </cell>
          <cell r="AP102">
            <v>378</v>
          </cell>
          <cell r="AQ102">
            <v>851</v>
          </cell>
          <cell r="AR102">
            <v>334</v>
          </cell>
          <cell r="AS102">
            <v>344</v>
          </cell>
          <cell r="AT102">
            <v>482</v>
          </cell>
          <cell r="AU102">
            <v>480</v>
          </cell>
          <cell r="AV102">
            <v>471</v>
          </cell>
          <cell r="AW102">
            <v>412</v>
          </cell>
        </row>
        <row r="103">
          <cell r="D103" t="str">
            <v>DB</v>
          </cell>
          <cell r="E103" t="str">
            <v>Last Datastream update:</v>
          </cell>
          <cell r="F103">
            <v>38679</v>
          </cell>
          <cell r="G103">
            <v>38636</v>
          </cell>
          <cell r="I103">
            <v>3671</v>
          </cell>
          <cell r="J103">
            <v>3222</v>
          </cell>
          <cell r="K103">
            <v>2967</v>
          </cell>
          <cell r="L103">
            <v>2939</v>
          </cell>
          <cell r="M103">
            <v>2974</v>
          </cell>
          <cell r="P103">
            <v>448</v>
          </cell>
          <cell r="Q103">
            <v>492</v>
          </cell>
          <cell r="R103">
            <v>440</v>
          </cell>
          <cell r="S103">
            <v>454</v>
          </cell>
          <cell r="T103">
            <v>475</v>
          </cell>
          <cell r="W103">
            <v>196</v>
          </cell>
          <cell r="X103">
            <v>298</v>
          </cell>
          <cell r="Y103">
            <v>201</v>
          </cell>
          <cell r="Z103">
            <v>210</v>
          </cell>
          <cell r="AA103">
            <v>248</v>
          </cell>
          <cell r="AD103">
            <v>199</v>
          </cell>
          <cell r="AE103">
            <v>291</v>
          </cell>
          <cell r="AF103">
            <v>190</v>
          </cell>
          <cell r="AG103">
            <v>200</v>
          </cell>
          <cell r="AH103">
            <v>238</v>
          </cell>
          <cell r="AK103">
            <v>243</v>
          </cell>
          <cell r="AL103">
            <v>315</v>
          </cell>
          <cell r="AM103">
            <v>161</v>
          </cell>
          <cell r="AN103">
            <v>159</v>
          </cell>
          <cell r="AO103">
            <v>180</v>
          </cell>
          <cell r="AR103">
            <v>342</v>
          </cell>
          <cell r="AS103">
            <v>344</v>
          </cell>
          <cell r="AT103">
            <v>447</v>
          </cell>
          <cell r="AU103">
            <v>331</v>
          </cell>
          <cell r="AV103">
            <v>271</v>
          </cell>
        </row>
        <row r="104">
          <cell r="D104" t="str">
            <v>ABN</v>
          </cell>
          <cell r="G104">
            <v>38632</v>
          </cell>
          <cell r="I104">
            <v>3671</v>
          </cell>
          <cell r="J104">
            <v>2947</v>
          </cell>
          <cell r="K104">
            <v>3225</v>
          </cell>
          <cell r="L104">
            <v>3763</v>
          </cell>
          <cell r="M104">
            <v>3883</v>
          </cell>
          <cell r="P104">
            <v>448</v>
          </cell>
          <cell r="Q104">
            <v>424</v>
          </cell>
          <cell r="R104">
            <v>443.4</v>
          </cell>
          <cell r="S104">
            <v>567.79999999999995</v>
          </cell>
          <cell r="T104">
            <v>682.6</v>
          </cell>
        </row>
        <row r="105">
          <cell r="D105" t="str">
            <v>AR</v>
          </cell>
          <cell r="G105">
            <v>38442</v>
          </cell>
          <cell r="I105">
            <v>3671</v>
          </cell>
          <cell r="J105">
            <v>3222</v>
          </cell>
          <cell r="P105">
            <v>448</v>
          </cell>
          <cell r="W105">
            <v>198</v>
          </cell>
          <cell r="AD105">
            <v>201</v>
          </cell>
          <cell r="AK105">
            <v>223</v>
          </cell>
          <cell r="AR105">
            <v>347</v>
          </cell>
        </row>
        <row r="107">
          <cell r="B107">
            <v>40</v>
          </cell>
          <cell r="C107" t="str">
            <v>Cable &amp; Wireless</v>
          </cell>
          <cell r="E107" t="str">
            <v>GBP m</v>
          </cell>
          <cell r="F107">
            <v>38077</v>
          </cell>
          <cell r="I107" t="str">
            <v>na</v>
          </cell>
          <cell r="J107">
            <v>3282.6875</v>
          </cell>
          <cell r="K107">
            <v>3203.3125</v>
          </cell>
          <cell r="L107">
            <v>3470.75</v>
          </cell>
          <cell r="M107">
            <v>3623.0833333333335</v>
          </cell>
          <cell r="N107">
            <v>4014.25</v>
          </cell>
          <cell r="P107" t="str">
            <v>na</v>
          </cell>
          <cell r="Q107">
            <v>467.5</v>
          </cell>
          <cell r="R107">
            <v>473.76666666666671</v>
          </cell>
          <cell r="S107">
            <v>554.31666666666661</v>
          </cell>
          <cell r="T107">
            <v>635.88333333333333</v>
          </cell>
          <cell r="U107">
            <v>799.55</v>
          </cell>
          <cell r="W107" t="str">
            <v>na</v>
          </cell>
          <cell r="X107">
            <v>270.5</v>
          </cell>
          <cell r="Y107">
            <v>249.625</v>
          </cell>
          <cell r="Z107">
            <v>281.375</v>
          </cell>
          <cell r="AA107">
            <v>339.75</v>
          </cell>
          <cell r="AB107">
            <v>463.5</v>
          </cell>
          <cell r="AD107">
            <v>18.25</v>
          </cell>
          <cell r="AE107">
            <v>268.25</v>
          </cell>
          <cell r="AF107">
            <v>215.25</v>
          </cell>
          <cell r="AG107">
            <v>197.5</v>
          </cell>
          <cell r="AH107">
            <v>228.5</v>
          </cell>
          <cell r="AI107" t="str">
            <v>na</v>
          </cell>
          <cell r="AK107">
            <v>99.75</v>
          </cell>
          <cell r="AL107">
            <v>299.95833333333331</v>
          </cell>
          <cell r="AM107">
            <v>219.5</v>
          </cell>
          <cell r="AN107">
            <v>219.5</v>
          </cell>
          <cell r="AO107">
            <v>262.75</v>
          </cell>
          <cell r="AP107">
            <v>351.875</v>
          </cell>
          <cell r="AR107">
            <v>468.5</v>
          </cell>
          <cell r="AS107">
            <v>343.25</v>
          </cell>
          <cell r="AT107">
            <v>434.375</v>
          </cell>
          <cell r="AU107">
            <v>420.25</v>
          </cell>
          <cell r="AV107">
            <v>379.625</v>
          </cell>
          <cell r="AW107">
            <v>401.75</v>
          </cell>
          <cell r="AY107" t="str">
            <v>na</v>
          </cell>
          <cell r="AZ107" t="str">
            <v>na</v>
          </cell>
          <cell r="BA107" t="str">
            <v>na</v>
          </cell>
          <cell r="BB107" t="str">
            <v>na</v>
          </cell>
          <cell r="BC107" t="str">
            <v>na</v>
          </cell>
          <cell r="BD107" t="str">
            <v>na</v>
          </cell>
          <cell r="BF107" t="str">
            <v>na</v>
          </cell>
          <cell r="BG107" t="str">
            <v>na</v>
          </cell>
          <cell r="BH107" t="str">
            <v>na</v>
          </cell>
          <cell r="BI107" t="str">
            <v>na</v>
          </cell>
          <cell r="BJ107" t="str">
            <v>na</v>
          </cell>
          <cell r="BK107" t="str">
            <v>na</v>
          </cell>
          <cell r="BM107" t="str">
            <v>na</v>
          </cell>
          <cell r="BN107" t="str">
            <v>na</v>
          </cell>
          <cell r="BO107" t="str">
            <v>na</v>
          </cell>
          <cell r="BP107" t="str">
            <v>na</v>
          </cell>
          <cell r="BQ107" t="str">
            <v>na</v>
          </cell>
          <cell r="BR107" t="str">
            <v>na</v>
          </cell>
        </row>
        <row r="108">
          <cell r="E108" t="str">
            <v>Calenderised</v>
          </cell>
          <cell r="F108">
            <v>0.75</v>
          </cell>
        </row>
        <row r="109">
          <cell r="C109" t="str">
            <v>Fixed Line Europe - Alternative Careers</v>
          </cell>
        </row>
        <row r="110">
          <cell r="D110" t="str">
            <v>Exane</v>
          </cell>
          <cell r="E110" t="str">
            <v>Last brokers notes update:</v>
          </cell>
          <cell r="F110">
            <v>38666</v>
          </cell>
          <cell r="G110">
            <v>38561</v>
          </cell>
          <cell r="I110">
            <v>1166</v>
          </cell>
          <cell r="J110">
            <v>1214</v>
          </cell>
          <cell r="K110">
            <v>1270</v>
          </cell>
          <cell r="L110">
            <v>1363</v>
          </cell>
          <cell r="M110">
            <v>1468</v>
          </cell>
          <cell r="P110">
            <v>161</v>
          </cell>
          <cell r="Q110">
            <v>152</v>
          </cell>
          <cell r="R110">
            <v>172</v>
          </cell>
          <cell r="S110">
            <v>202</v>
          </cell>
          <cell r="T110">
            <v>218</v>
          </cell>
          <cell r="AD110">
            <v>-79</v>
          </cell>
          <cell r="AE110">
            <v>-69</v>
          </cell>
          <cell r="AF110">
            <v>-70</v>
          </cell>
          <cell r="AG110">
            <v>-44</v>
          </cell>
          <cell r="AH110">
            <v>32</v>
          </cell>
          <cell r="AK110">
            <v>-125</v>
          </cell>
          <cell r="AL110">
            <v>-113</v>
          </cell>
          <cell r="AM110">
            <v>-93</v>
          </cell>
          <cell r="AN110">
            <v>-40</v>
          </cell>
          <cell r="AO110">
            <v>-7</v>
          </cell>
          <cell r="AR110">
            <v>141</v>
          </cell>
          <cell r="AS110">
            <v>125</v>
          </cell>
          <cell r="AT110">
            <v>151</v>
          </cell>
          <cell r="AU110">
            <v>143</v>
          </cell>
          <cell r="AV110">
            <v>165</v>
          </cell>
        </row>
        <row r="111">
          <cell r="D111" t="str">
            <v>CSFB</v>
          </cell>
          <cell r="E111" t="str">
            <v>Last Datastream update:</v>
          </cell>
          <cell r="F111">
            <v>38679</v>
          </cell>
          <cell r="G111">
            <v>38644</v>
          </cell>
          <cell r="I111">
            <v>1166.3</v>
          </cell>
          <cell r="J111">
            <v>1217.5999999999999</v>
          </cell>
          <cell r="K111">
            <v>1268.7</v>
          </cell>
          <cell r="L111">
            <v>1312.2</v>
          </cell>
          <cell r="P111">
            <v>163.97</v>
          </cell>
          <cell r="Q111">
            <v>157.44</v>
          </cell>
          <cell r="R111">
            <v>168.73</v>
          </cell>
          <cell r="S111">
            <v>207.22</v>
          </cell>
          <cell r="AL111">
            <v>-120</v>
          </cell>
          <cell r="AM111">
            <v>-86</v>
          </cell>
          <cell r="AS111">
            <v>129</v>
          </cell>
          <cell r="AT111">
            <v>142</v>
          </cell>
        </row>
        <row r="112">
          <cell r="D112" t="str">
            <v>MS</v>
          </cell>
          <cell r="G112">
            <v>38645</v>
          </cell>
          <cell r="J112">
            <v>1218.5999999999999</v>
          </cell>
          <cell r="K112">
            <v>1250.4000000000001</v>
          </cell>
          <cell r="L112">
            <v>1284.8</v>
          </cell>
          <cell r="M112">
            <v>1311</v>
          </cell>
          <cell r="N112">
            <v>1335.7</v>
          </cell>
          <cell r="Q112">
            <v>156.69999999999999</v>
          </cell>
          <cell r="R112">
            <v>171.3</v>
          </cell>
          <cell r="S112">
            <v>205.8</v>
          </cell>
          <cell r="T112">
            <v>224.3</v>
          </cell>
          <cell r="U112">
            <v>237.1</v>
          </cell>
          <cell r="AE112">
            <v>-64.3</v>
          </cell>
          <cell r="AF112">
            <v>-52</v>
          </cell>
          <cell r="AG112">
            <v>0.1</v>
          </cell>
          <cell r="AH112">
            <v>30.1</v>
          </cell>
          <cell r="AI112">
            <v>51.7</v>
          </cell>
          <cell r="AL112">
            <v>-135.1</v>
          </cell>
          <cell r="AM112">
            <v>-93.7</v>
          </cell>
          <cell r="AN112">
            <v>-42.6</v>
          </cell>
          <cell r="AO112">
            <v>-14.6</v>
          </cell>
          <cell r="AP112">
            <v>3</v>
          </cell>
          <cell r="AS112">
            <v>151.80000000000001</v>
          </cell>
          <cell r="AT112">
            <v>130</v>
          </cell>
          <cell r="AU112">
            <v>143.9</v>
          </cell>
          <cell r="AV112">
            <v>146.80000000000001</v>
          </cell>
          <cell r="AW112">
            <v>149.6</v>
          </cell>
        </row>
        <row r="113">
          <cell r="D113" t="str">
            <v>AR</v>
          </cell>
          <cell r="G113">
            <v>38352</v>
          </cell>
          <cell r="I113">
            <v>1166.318</v>
          </cell>
          <cell r="J113">
            <v>1214.02</v>
          </cell>
          <cell r="P113">
            <v>163.44800000000001</v>
          </cell>
          <cell r="Q113">
            <v>153.65899999999999</v>
          </cell>
          <cell r="AD113">
            <v>-79.5</v>
          </cell>
          <cell r="AE113">
            <v>-68.828999999999994</v>
          </cell>
          <cell r="AK113">
            <v>-134.68899999999999</v>
          </cell>
          <cell r="AL113">
            <v>-114.636</v>
          </cell>
          <cell r="AR113">
            <v>140.97300000000001</v>
          </cell>
          <cell r="AS113">
            <v>129.417</v>
          </cell>
        </row>
        <row r="115">
          <cell r="B115">
            <v>41</v>
          </cell>
          <cell r="C115" t="str">
            <v>Colt</v>
          </cell>
          <cell r="E115" t="str">
            <v>GBP m</v>
          </cell>
          <cell r="F115">
            <v>38352</v>
          </cell>
          <cell r="I115">
            <v>1166.318</v>
          </cell>
          <cell r="J115">
            <v>1214.02</v>
          </cell>
          <cell r="K115">
            <v>1263.0333333333333</v>
          </cell>
          <cell r="L115">
            <v>1320</v>
          </cell>
          <cell r="M115">
            <v>1389.5</v>
          </cell>
          <cell r="N115">
            <v>1335.7</v>
          </cell>
          <cell r="P115">
            <v>163.44800000000001</v>
          </cell>
          <cell r="Q115">
            <v>153.65899999999999</v>
          </cell>
          <cell r="R115">
            <v>170.67666666666665</v>
          </cell>
          <cell r="S115">
            <v>205.00666666666666</v>
          </cell>
          <cell r="T115">
            <v>221.15</v>
          </cell>
          <cell r="U115">
            <v>237.1</v>
          </cell>
          <cell r="W115" t="str">
            <v>na</v>
          </cell>
          <cell r="X115" t="str">
            <v>na</v>
          </cell>
          <cell r="Y115" t="str">
            <v>na</v>
          </cell>
          <cell r="Z115" t="str">
            <v>na</v>
          </cell>
          <cell r="AA115" t="str">
            <v>na</v>
          </cell>
          <cell r="AB115" t="str">
            <v>na</v>
          </cell>
          <cell r="AD115">
            <v>-79.5</v>
          </cell>
          <cell r="AE115">
            <v>-68.828999999999994</v>
          </cell>
          <cell r="AF115">
            <v>-61</v>
          </cell>
          <cell r="AG115">
            <v>-21.95</v>
          </cell>
          <cell r="AH115">
            <v>31.05</v>
          </cell>
          <cell r="AI115">
            <v>51.7</v>
          </cell>
          <cell r="AK115">
            <v>-134.68899999999999</v>
          </cell>
          <cell r="AL115">
            <v>-114.636</v>
          </cell>
          <cell r="AM115">
            <v>-90.899999999999991</v>
          </cell>
          <cell r="AN115">
            <v>-41.3</v>
          </cell>
          <cell r="AO115">
            <v>-10.8</v>
          </cell>
          <cell r="AP115">
            <v>3</v>
          </cell>
          <cell r="AR115">
            <v>140.97300000000001</v>
          </cell>
          <cell r="AS115">
            <v>129.417</v>
          </cell>
          <cell r="AT115">
            <v>141</v>
          </cell>
          <cell r="AU115">
            <v>143.44999999999999</v>
          </cell>
          <cell r="AV115">
            <v>155.9</v>
          </cell>
          <cell r="AW115">
            <v>149.6</v>
          </cell>
          <cell r="AY115" t="str">
            <v>na</v>
          </cell>
          <cell r="AZ115" t="str">
            <v>na</v>
          </cell>
          <cell r="BA115" t="str">
            <v>na</v>
          </cell>
          <cell r="BB115" t="str">
            <v>na</v>
          </cell>
          <cell r="BC115" t="str">
            <v>na</v>
          </cell>
          <cell r="BD115" t="str">
            <v>na</v>
          </cell>
          <cell r="BF115" t="str">
            <v>na</v>
          </cell>
          <cell r="BG115" t="str">
            <v>na</v>
          </cell>
          <cell r="BH115" t="str">
            <v>na</v>
          </cell>
          <cell r="BI115" t="str">
            <v>na</v>
          </cell>
          <cell r="BJ115" t="str">
            <v>na</v>
          </cell>
          <cell r="BK115" t="str">
            <v>na</v>
          </cell>
          <cell r="BM115" t="str">
            <v>na</v>
          </cell>
          <cell r="BN115" t="str">
            <v>na</v>
          </cell>
          <cell r="BO115" t="str">
            <v>na</v>
          </cell>
          <cell r="BP115" t="str">
            <v>na</v>
          </cell>
          <cell r="BQ115" t="str">
            <v>na</v>
          </cell>
          <cell r="BR115" t="str">
            <v>na</v>
          </cell>
        </row>
        <row r="116">
          <cell r="E116" t="str">
            <v>Calenderised</v>
          </cell>
          <cell r="F116">
            <v>0</v>
          </cell>
        </row>
        <row r="117">
          <cell r="C117" t="str">
            <v>Fixed Line Europe - Alternative Careers</v>
          </cell>
        </row>
        <row r="118">
          <cell r="D118" t="str">
            <v>Petercam</v>
          </cell>
          <cell r="E118" t="str">
            <v>Last brokers notes update:</v>
          </cell>
          <cell r="F118">
            <v>38666</v>
          </cell>
          <cell r="G118">
            <v>38313</v>
          </cell>
          <cell r="I118">
            <v>125</v>
          </cell>
          <cell r="J118">
            <v>159</v>
          </cell>
          <cell r="K118">
            <v>186</v>
          </cell>
          <cell r="L118">
            <v>213</v>
          </cell>
          <cell r="P118">
            <v>6</v>
          </cell>
          <cell r="Q118">
            <v>24</v>
          </cell>
          <cell r="R118">
            <v>34</v>
          </cell>
          <cell r="S118">
            <v>47</v>
          </cell>
          <cell r="W118">
            <v>-27.1</v>
          </cell>
          <cell r="X118">
            <v>-11</v>
          </cell>
          <cell r="Y118">
            <v>-1</v>
          </cell>
          <cell r="Z118">
            <v>12</v>
          </cell>
          <cell r="AD118">
            <v>-27.1</v>
          </cell>
          <cell r="AE118">
            <v>-11</v>
          </cell>
          <cell r="AF118">
            <v>-1</v>
          </cell>
          <cell r="AG118">
            <v>12</v>
          </cell>
          <cell r="AK118">
            <v>-26</v>
          </cell>
          <cell r="AL118">
            <v>-11</v>
          </cell>
          <cell r="AM118">
            <v>-1</v>
          </cell>
          <cell r="AN118">
            <v>12</v>
          </cell>
          <cell r="AR118">
            <v>31</v>
          </cell>
          <cell r="AS118">
            <v>31</v>
          </cell>
          <cell r="AT118">
            <v>32</v>
          </cell>
          <cell r="AU118">
            <v>34</v>
          </cell>
        </row>
        <row r="119">
          <cell r="D119" t="str">
            <v>AR</v>
          </cell>
          <cell r="E119" t="str">
            <v>Last Datastream update:</v>
          </cell>
          <cell r="F119">
            <v>38679</v>
          </cell>
          <cell r="G119">
            <v>38352</v>
          </cell>
          <cell r="I119">
            <v>125.122</v>
          </cell>
          <cell r="J119">
            <v>158.33799999999999</v>
          </cell>
          <cell r="P119">
            <v>6.2120000000000033</v>
          </cell>
          <cell r="Q119">
            <v>19.059000000000005</v>
          </cell>
          <cell r="AD119">
            <v>-27.052</v>
          </cell>
          <cell r="AE119">
            <v>-16.268999999999998</v>
          </cell>
          <cell r="AK119">
            <v>-26.282</v>
          </cell>
          <cell r="AL119">
            <v>-15.577999999999999</v>
          </cell>
          <cell r="AR119">
            <v>31.207000000000001</v>
          </cell>
          <cell r="AS119">
            <v>30.762</v>
          </cell>
        </row>
        <row r="123">
          <cell r="B123">
            <v>42</v>
          </cell>
          <cell r="C123" t="str">
            <v>Completel</v>
          </cell>
          <cell r="E123" t="str">
            <v>EUR m</v>
          </cell>
          <cell r="F123">
            <v>38352</v>
          </cell>
          <cell r="I123">
            <v>125.122</v>
          </cell>
          <cell r="J123">
            <v>158.33799999999999</v>
          </cell>
          <cell r="K123">
            <v>186</v>
          </cell>
          <cell r="L123">
            <v>213</v>
          </cell>
          <cell r="M123" t="str">
            <v>na</v>
          </cell>
          <cell r="N123" t="str">
            <v>na</v>
          </cell>
          <cell r="P123">
            <v>6.2120000000000033</v>
          </cell>
          <cell r="Q123">
            <v>19.059000000000005</v>
          </cell>
          <cell r="R123">
            <v>34</v>
          </cell>
          <cell r="S123">
            <v>47</v>
          </cell>
          <cell r="T123" t="str">
            <v>na</v>
          </cell>
          <cell r="U123" t="str">
            <v>na</v>
          </cell>
          <cell r="W123">
            <v>-27.1</v>
          </cell>
          <cell r="X123">
            <v>-11</v>
          </cell>
          <cell r="Y123">
            <v>-1</v>
          </cell>
          <cell r="Z123">
            <v>12</v>
          </cell>
          <cell r="AA123" t="str">
            <v>na</v>
          </cell>
          <cell r="AB123" t="str">
            <v>na</v>
          </cell>
          <cell r="AD123">
            <v>-27.052</v>
          </cell>
          <cell r="AE123">
            <v>-16.268999999999998</v>
          </cell>
          <cell r="AF123">
            <v>-1</v>
          </cell>
          <cell r="AG123">
            <v>12</v>
          </cell>
          <cell r="AH123" t="str">
            <v>na</v>
          </cell>
          <cell r="AI123" t="str">
            <v>na</v>
          </cell>
          <cell r="AK123">
            <v>-26.282</v>
          </cell>
          <cell r="AL123">
            <v>-15.577999999999999</v>
          </cell>
          <cell r="AM123">
            <v>-1</v>
          </cell>
          <cell r="AN123">
            <v>12</v>
          </cell>
          <cell r="AO123" t="str">
            <v>na</v>
          </cell>
          <cell r="AP123" t="str">
            <v>na</v>
          </cell>
          <cell r="AR123">
            <v>31.207000000000001</v>
          </cell>
          <cell r="AS123">
            <v>30.762</v>
          </cell>
          <cell r="AT123">
            <v>32</v>
          </cell>
          <cell r="AU123">
            <v>34</v>
          </cell>
          <cell r="AV123" t="str">
            <v>na</v>
          </cell>
          <cell r="AW123" t="str">
            <v>na</v>
          </cell>
          <cell r="AY123" t="str">
            <v>na</v>
          </cell>
          <cell r="AZ123" t="str">
            <v>na</v>
          </cell>
          <cell r="BA123" t="str">
            <v>na</v>
          </cell>
          <cell r="BB123" t="str">
            <v>na</v>
          </cell>
          <cell r="BC123" t="str">
            <v>na</v>
          </cell>
          <cell r="BD123" t="str">
            <v>na</v>
          </cell>
          <cell r="BF123" t="str">
            <v>na</v>
          </cell>
          <cell r="BG123" t="str">
            <v>na</v>
          </cell>
          <cell r="BH123" t="str">
            <v>na</v>
          </cell>
          <cell r="BI123" t="str">
            <v>na</v>
          </cell>
          <cell r="BJ123" t="str">
            <v>na</v>
          </cell>
          <cell r="BK123" t="str">
            <v>na</v>
          </cell>
          <cell r="BM123" t="str">
            <v>na</v>
          </cell>
          <cell r="BN123" t="str">
            <v>na</v>
          </cell>
          <cell r="BO123" t="str">
            <v>na</v>
          </cell>
          <cell r="BP123" t="str">
            <v>na</v>
          </cell>
          <cell r="BQ123" t="str">
            <v>na</v>
          </cell>
          <cell r="BR123" t="str">
            <v>na</v>
          </cell>
        </row>
        <row r="124">
          <cell r="E124" t="str">
            <v>Calenderised</v>
          </cell>
          <cell r="F124">
            <v>0</v>
          </cell>
        </row>
        <row r="125">
          <cell r="C125" t="str">
            <v>Fixed Line Europe - Alternative Careers</v>
          </cell>
        </row>
        <row r="126">
          <cell r="D126" t="str">
            <v xml:space="preserve">Jefferies </v>
          </cell>
          <cell r="E126" t="str">
            <v>Last brokers notes update:</v>
          </cell>
          <cell r="F126">
            <v>38670</v>
          </cell>
          <cell r="G126">
            <v>38635</v>
          </cell>
          <cell r="I126">
            <v>560.6</v>
          </cell>
          <cell r="J126">
            <v>747.8</v>
          </cell>
          <cell r="K126">
            <v>982.1</v>
          </cell>
          <cell r="L126">
            <v>1344.8</v>
          </cell>
          <cell r="M126">
            <v>1728.2</v>
          </cell>
          <cell r="P126">
            <v>108.7</v>
          </cell>
          <cell r="Q126">
            <v>216.9</v>
          </cell>
          <cell r="R126">
            <v>315.2</v>
          </cell>
          <cell r="S126">
            <v>473.1</v>
          </cell>
          <cell r="T126">
            <v>644.1</v>
          </cell>
          <cell r="W126">
            <v>-103.7</v>
          </cell>
          <cell r="X126">
            <v>-16.899999999999999</v>
          </cell>
          <cell r="Y126">
            <v>73.2</v>
          </cell>
          <cell r="Z126">
            <v>150.80000000000001</v>
          </cell>
          <cell r="AA126">
            <v>315.39999999999998</v>
          </cell>
          <cell r="AD126">
            <v>-206.5</v>
          </cell>
          <cell r="AE126">
            <v>-123.6</v>
          </cell>
          <cell r="AF126">
            <v>-29.6</v>
          </cell>
          <cell r="AG126">
            <v>48</v>
          </cell>
          <cell r="AH126">
            <v>212.6</v>
          </cell>
          <cell r="AK126">
            <v>-331.5</v>
          </cell>
          <cell r="AL126">
            <v>-124</v>
          </cell>
          <cell r="AM126">
            <v>-60.8</v>
          </cell>
          <cell r="AN126">
            <v>-8.8000000000000007</v>
          </cell>
          <cell r="AO126">
            <v>121.6</v>
          </cell>
          <cell r="AR126">
            <v>513.5</v>
          </cell>
          <cell r="AS126">
            <v>505.9</v>
          </cell>
          <cell r="AT126">
            <v>700</v>
          </cell>
          <cell r="AU126">
            <v>700</v>
          </cell>
          <cell r="AV126">
            <v>430</v>
          </cell>
        </row>
        <row r="127">
          <cell r="D127" t="str">
            <v>Deutsche Bank</v>
          </cell>
          <cell r="E127" t="str">
            <v>Last Datastream update:</v>
          </cell>
          <cell r="F127">
            <v>38679</v>
          </cell>
          <cell r="G127">
            <v>38628</v>
          </cell>
          <cell r="I127">
            <v>529</v>
          </cell>
          <cell r="J127">
            <v>720</v>
          </cell>
          <cell r="K127">
            <v>960</v>
          </cell>
          <cell r="L127">
            <v>1343</v>
          </cell>
          <cell r="M127">
            <v>1723</v>
          </cell>
          <cell r="N127">
            <v>1916</v>
          </cell>
          <cell r="P127">
            <v>111</v>
          </cell>
          <cell r="Q127">
            <v>219</v>
          </cell>
          <cell r="R127">
            <v>305</v>
          </cell>
          <cell r="S127">
            <v>484</v>
          </cell>
          <cell r="T127">
            <v>705</v>
          </cell>
          <cell r="U127">
            <v>891</v>
          </cell>
          <cell r="AD127">
            <v>-205</v>
          </cell>
          <cell r="AE127">
            <v>-122</v>
          </cell>
          <cell r="AF127">
            <v>-128</v>
          </cell>
          <cell r="AG127">
            <v>11</v>
          </cell>
          <cell r="AH127">
            <v>187</v>
          </cell>
          <cell r="AI127">
            <v>342</v>
          </cell>
          <cell r="AK127">
            <v>-332</v>
          </cell>
          <cell r="AL127">
            <v>-124</v>
          </cell>
          <cell r="AM127">
            <v>-130</v>
          </cell>
          <cell r="AN127">
            <v>-13</v>
          </cell>
          <cell r="AO127">
            <v>90</v>
          </cell>
          <cell r="AP127">
            <v>194</v>
          </cell>
          <cell r="AR127">
            <v>458</v>
          </cell>
          <cell r="AS127">
            <v>435</v>
          </cell>
          <cell r="AT127">
            <v>705</v>
          </cell>
          <cell r="AU127">
            <v>699</v>
          </cell>
          <cell r="AV127">
            <v>451</v>
          </cell>
          <cell r="AW127">
            <v>331</v>
          </cell>
        </row>
        <row r="128">
          <cell r="D128" t="str">
            <v>Chevreux</v>
          </cell>
          <cell r="G128">
            <v>38615</v>
          </cell>
          <cell r="I128">
            <v>529.1</v>
          </cell>
          <cell r="J128">
            <v>719.6</v>
          </cell>
          <cell r="K128">
            <v>965.9</v>
          </cell>
          <cell r="L128">
            <v>1344.6</v>
          </cell>
          <cell r="M128">
            <v>1693.6</v>
          </cell>
          <cell r="P128">
            <v>110.7</v>
          </cell>
          <cell r="Q128">
            <v>218.9</v>
          </cell>
          <cell r="W128">
            <v>-173</v>
          </cell>
          <cell r="X128">
            <v>-64.5</v>
          </cell>
          <cell r="Y128">
            <v>-91.8</v>
          </cell>
          <cell r="Z128">
            <v>40.200000000000003</v>
          </cell>
          <cell r="AA128">
            <v>222.5</v>
          </cell>
          <cell r="AD128">
            <v>-204.5</v>
          </cell>
          <cell r="AE128">
            <v>-121.5</v>
          </cell>
          <cell r="AF128">
            <v>-91.8</v>
          </cell>
          <cell r="AG128">
            <v>40.200000000000003</v>
          </cell>
          <cell r="AH128">
            <v>222.5</v>
          </cell>
          <cell r="AK128">
            <v>-331.5</v>
          </cell>
          <cell r="AL128">
            <v>-123.9</v>
          </cell>
          <cell r="AM128">
            <v>-116.1</v>
          </cell>
          <cell r="AN128">
            <v>-1.2</v>
          </cell>
          <cell r="AO128">
            <v>118.1</v>
          </cell>
          <cell r="AR128">
            <v>458.2</v>
          </cell>
          <cell r="AS128">
            <v>435.2</v>
          </cell>
          <cell r="AT128">
            <v>687.8</v>
          </cell>
          <cell r="AU128">
            <v>728.6</v>
          </cell>
          <cell r="AV128">
            <v>594.9</v>
          </cell>
        </row>
        <row r="129">
          <cell r="D129" t="str">
            <v>Caboto</v>
          </cell>
          <cell r="G129">
            <v>38534</v>
          </cell>
          <cell r="I129">
            <v>529.1</v>
          </cell>
          <cell r="J129">
            <v>719.6</v>
          </cell>
          <cell r="K129">
            <v>960.5</v>
          </cell>
          <cell r="L129">
            <v>1367.2</v>
          </cell>
          <cell r="M129">
            <v>1794.5</v>
          </cell>
          <cell r="P129">
            <v>110.7</v>
          </cell>
          <cell r="Q129">
            <v>218.8</v>
          </cell>
          <cell r="R129">
            <v>309.3</v>
          </cell>
          <cell r="S129">
            <v>425.5</v>
          </cell>
          <cell r="T129">
            <v>632</v>
          </cell>
          <cell r="AD129">
            <v>-204.5</v>
          </cell>
          <cell r="AE129">
            <v>-121.6</v>
          </cell>
          <cell r="AF129">
            <v>-44.9</v>
          </cell>
          <cell r="AG129">
            <v>15.3</v>
          </cell>
          <cell r="AH129">
            <v>149.6</v>
          </cell>
          <cell r="AK129">
            <v>-331.5</v>
          </cell>
          <cell r="AL129">
            <v>-124.1</v>
          </cell>
          <cell r="AM129">
            <v>-82.8</v>
          </cell>
          <cell r="AN129">
            <v>-16.5</v>
          </cell>
          <cell r="AO129">
            <v>108.7</v>
          </cell>
          <cell r="AS129">
            <v>436.6</v>
          </cell>
          <cell r="AT129">
            <v>643.1</v>
          </cell>
          <cell r="AU129">
            <v>704.2</v>
          </cell>
          <cell r="AV129">
            <v>453.2</v>
          </cell>
        </row>
        <row r="130">
          <cell r="D130" t="str">
            <v>Exane</v>
          </cell>
          <cell r="G130">
            <v>38666</v>
          </cell>
          <cell r="I130">
            <v>529</v>
          </cell>
          <cell r="J130">
            <v>719.6</v>
          </cell>
          <cell r="K130">
            <v>930.8</v>
          </cell>
          <cell r="L130">
            <v>1161.5999999999999</v>
          </cell>
          <cell r="M130">
            <v>1379.3</v>
          </cell>
          <cell r="N130">
            <v>1575.8</v>
          </cell>
          <cell r="P130">
            <v>110.7</v>
          </cell>
          <cell r="Q130">
            <v>218.6</v>
          </cell>
          <cell r="R130">
            <v>297</v>
          </cell>
          <cell r="S130">
            <v>403.1</v>
          </cell>
          <cell r="T130">
            <v>522.20000000000005</v>
          </cell>
          <cell r="U130">
            <v>646.1</v>
          </cell>
          <cell r="AD130">
            <v>-206.5</v>
          </cell>
          <cell r="AE130">
            <v>-123.8</v>
          </cell>
          <cell r="AF130">
            <v>-66.599999999999994</v>
          </cell>
          <cell r="AG130">
            <v>-7.4</v>
          </cell>
          <cell r="AH130">
            <v>97.7</v>
          </cell>
          <cell r="AI130">
            <v>224.6</v>
          </cell>
          <cell r="AK130">
            <v>-331.7</v>
          </cell>
          <cell r="AL130">
            <v>-124.3</v>
          </cell>
          <cell r="AM130">
            <v>-62.6</v>
          </cell>
          <cell r="AN130">
            <v>-34.4</v>
          </cell>
          <cell r="AO130">
            <v>32.200000000000003</v>
          </cell>
          <cell r="AP130">
            <v>114</v>
          </cell>
          <cell r="AS130">
            <v>455.7</v>
          </cell>
          <cell r="AT130">
            <v>708.8</v>
          </cell>
          <cell r="AU130">
            <v>687</v>
          </cell>
          <cell r="AV130">
            <v>407.1</v>
          </cell>
          <cell r="AW130">
            <v>350.3</v>
          </cell>
        </row>
        <row r="131">
          <cell r="D131" t="str">
            <v>Citigroup</v>
          </cell>
          <cell r="G131">
            <v>38670</v>
          </cell>
          <cell r="I131">
            <v>529</v>
          </cell>
          <cell r="J131">
            <v>720</v>
          </cell>
          <cell r="K131">
            <v>911</v>
          </cell>
          <cell r="L131">
            <v>1172</v>
          </cell>
          <cell r="M131">
            <v>1406</v>
          </cell>
          <cell r="P131">
            <v>111</v>
          </cell>
          <cell r="Q131">
            <v>219</v>
          </cell>
          <cell r="R131">
            <v>280</v>
          </cell>
          <cell r="S131">
            <v>411</v>
          </cell>
          <cell r="T131">
            <v>515</v>
          </cell>
        </row>
        <row r="132">
          <cell r="D132" t="str">
            <v>Centrosim</v>
          </cell>
          <cell r="G132">
            <v>38538</v>
          </cell>
          <cell r="K132">
            <v>905</v>
          </cell>
          <cell r="L132">
            <v>1191</v>
          </cell>
          <cell r="M132">
            <v>1471</v>
          </cell>
          <cell r="R132">
            <v>288</v>
          </cell>
          <cell r="S132">
            <v>429</v>
          </cell>
          <cell r="T132">
            <v>551</v>
          </cell>
          <cell r="AF132">
            <v>-97</v>
          </cell>
          <cell r="AG132">
            <v>15</v>
          </cell>
          <cell r="AH132">
            <v>109</v>
          </cell>
          <cell r="AT132">
            <v>619</v>
          </cell>
          <cell r="AU132">
            <v>730</v>
          </cell>
          <cell r="AV132">
            <v>390</v>
          </cell>
        </row>
        <row r="133">
          <cell r="D133" t="str">
            <v>AR</v>
          </cell>
          <cell r="G133">
            <v>38352</v>
          </cell>
          <cell r="I133">
            <v>529.07600000000002</v>
          </cell>
          <cell r="J133">
            <v>719.61</v>
          </cell>
          <cell r="P133">
            <v>99.5</v>
          </cell>
          <cell r="Q133">
            <v>218.9</v>
          </cell>
          <cell r="W133">
            <v>-103.741</v>
          </cell>
          <cell r="X133">
            <v>-16.863</v>
          </cell>
          <cell r="AD133">
            <v>-206.542</v>
          </cell>
          <cell r="AE133">
            <v>-123.61499999999999</v>
          </cell>
          <cell r="AK133">
            <v>-331.66</v>
          </cell>
          <cell r="AL133">
            <v>-124.003</v>
          </cell>
        </row>
        <row r="134">
          <cell r="C134" t="str">
            <v>Provisions bad debts</v>
          </cell>
          <cell r="P134">
            <v>12.288</v>
          </cell>
          <cell r="Q134">
            <v>38.643000000000001</v>
          </cell>
          <cell r="R134">
            <v>18.59382328747942</v>
          </cell>
          <cell r="S134">
            <v>25.72667001372859</v>
          </cell>
          <cell r="T134">
            <v>30.922422447250291</v>
          </cell>
        </row>
        <row r="135">
          <cell r="B135">
            <v>43</v>
          </cell>
          <cell r="C135" t="str">
            <v>Fastweb (E.Biscom)</v>
          </cell>
          <cell r="E135" t="str">
            <v>EUR m</v>
          </cell>
          <cell r="F135">
            <v>38352</v>
          </cell>
          <cell r="I135">
            <v>529.07600000000002</v>
          </cell>
          <cell r="J135">
            <v>719.61</v>
          </cell>
          <cell r="K135">
            <v>945.0428571428572</v>
          </cell>
          <cell r="L135">
            <v>1274.8857142857144</v>
          </cell>
          <cell r="M135">
            <v>1599.3714285714284</v>
          </cell>
          <cell r="N135">
            <v>1745.9</v>
          </cell>
          <cell r="P135">
            <v>99.5</v>
          </cell>
          <cell r="Q135">
            <v>218.9</v>
          </cell>
          <cell r="R135">
            <v>299.08333333333331</v>
          </cell>
          <cell r="S135">
            <v>437.61666666666662</v>
          </cell>
          <cell r="T135">
            <v>594.88333333333333</v>
          </cell>
          <cell r="U135">
            <v>768.55</v>
          </cell>
          <cell r="W135">
            <v>-103.741</v>
          </cell>
          <cell r="X135">
            <v>-16.863</v>
          </cell>
          <cell r="Y135">
            <v>-9.2999999999999972</v>
          </cell>
          <cell r="Z135">
            <v>95.5</v>
          </cell>
          <cell r="AA135">
            <v>268.95</v>
          </cell>
          <cell r="AB135" t="str">
            <v>na</v>
          </cell>
          <cell r="AD135">
            <v>-206.542</v>
          </cell>
          <cell r="AE135">
            <v>-123.61499999999999</v>
          </cell>
          <cell r="AF135">
            <v>-76.316666666666663</v>
          </cell>
          <cell r="AG135">
            <v>20.349999999999998</v>
          </cell>
          <cell r="AH135">
            <v>163.06666666666669</v>
          </cell>
          <cell r="AI135">
            <v>283.3</v>
          </cell>
          <cell r="AK135">
            <v>-331.66</v>
          </cell>
          <cell r="AL135">
            <v>-124.003</v>
          </cell>
          <cell r="AM135">
            <v>-90.460000000000008</v>
          </cell>
          <cell r="AN135">
            <v>-14.780000000000001</v>
          </cell>
          <cell r="AO135">
            <v>94.11999999999999</v>
          </cell>
          <cell r="AP135">
            <v>154</v>
          </cell>
          <cell r="AR135">
            <v>476.56666666666666</v>
          </cell>
          <cell r="AS135">
            <v>453.67999999999995</v>
          </cell>
          <cell r="AT135">
            <v>677.2833333333333</v>
          </cell>
          <cell r="AU135">
            <v>708.13333333333333</v>
          </cell>
          <cell r="AV135">
            <v>454.36666666666673</v>
          </cell>
          <cell r="AW135">
            <v>340.65</v>
          </cell>
          <cell r="AY135" t="str">
            <v>na</v>
          </cell>
          <cell r="AZ135" t="str">
            <v>na</v>
          </cell>
          <cell r="BA135" t="str">
            <v>na</v>
          </cell>
          <cell r="BB135" t="str">
            <v>na</v>
          </cell>
          <cell r="BC135" t="str">
            <v>na</v>
          </cell>
          <cell r="BD135" t="str">
            <v>na</v>
          </cell>
          <cell r="BF135" t="str">
            <v>na</v>
          </cell>
          <cell r="BG135" t="str">
            <v>na</v>
          </cell>
          <cell r="BH135" t="str">
            <v>na</v>
          </cell>
          <cell r="BI135" t="str">
            <v>na</v>
          </cell>
          <cell r="BJ135" t="str">
            <v>na</v>
          </cell>
          <cell r="BK135" t="str">
            <v>na</v>
          </cell>
          <cell r="BM135" t="str">
            <v>na</v>
          </cell>
          <cell r="BN135" t="str">
            <v>na</v>
          </cell>
          <cell r="BO135" t="str">
            <v>na</v>
          </cell>
          <cell r="BP135" t="str">
            <v>na</v>
          </cell>
          <cell r="BQ135" t="str">
            <v>na</v>
          </cell>
          <cell r="BR135" t="str">
            <v>na</v>
          </cell>
        </row>
        <row r="136">
          <cell r="E136" t="str">
            <v>Calenderised</v>
          </cell>
          <cell r="F136">
            <v>0</v>
          </cell>
        </row>
        <row r="137">
          <cell r="C137" t="str">
            <v>Fixed Line Europe - Alternative Careers</v>
          </cell>
        </row>
        <row r="138">
          <cell r="D138" t="str">
            <v>HSBC</v>
          </cell>
          <cell r="E138" t="str">
            <v>Last brokers notes update:</v>
          </cell>
          <cell r="F138">
            <v>38666</v>
          </cell>
          <cell r="G138">
            <v>38289</v>
          </cell>
          <cell r="I138">
            <v>2949</v>
          </cell>
          <cell r="J138">
            <v>2865</v>
          </cell>
          <cell r="K138">
            <v>2951</v>
          </cell>
          <cell r="L138">
            <v>3054</v>
          </cell>
          <cell r="P138">
            <v>292</v>
          </cell>
          <cell r="Q138">
            <v>134</v>
          </cell>
          <cell r="R138">
            <v>229</v>
          </cell>
          <cell r="S138">
            <v>311</v>
          </cell>
          <cell r="AR138">
            <v>280</v>
          </cell>
          <cell r="AS138">
            <v>220</v>
          </cell>
          <cell r="AT138">
            <v>240</v>
          </cell>
          <cell r="AU138">
            <v>260</v>
          </cell>
        </row>
        <row r="139">
          <cell r="D139" t="str">
            <v>Natexis</v>
          </cell>
          <cell r="E139" t="str">
            <v>Last Datastream update:</v>
          </cell>
          <cell r="F139">
            <v>38679</v>
          </cell>
          <cell r="G139">
            <v>38359</v>
          </cell>
          <cell r="I139">
            <v>2949</v>
          </cell>
          <cell r="J139">
            <v>2914</v>
          </cell>
          <cell r="K139">
            <v>2893</v>
          </cell>
          <cell r="L139">
            <v>2902</v>
          </cell>
          <cell r="P139">
            <v>292</v>
          </cell>
          <cell r="Q139">
            <v>134</v>
          </cell>
          <cell r="R139">
            <v>179</v>
          </cell>
          <cell r="S139">
            <v>247</v>
          </cell>
          <cell r="AD139">
            <v>-276</v>
          </cell>
          <cell r="AE139">
            <v>-350</v>
          </cell>
          <cell r="AF139">
            <v>-303</v>
          </cell>
          <cell r="AG139">
            <v>-213</v>
          </cell>
          <cell r="AK139">
            <v>-270.89999999999998</v>
          </cell>
          <cell r="AL139">
            <v>-250.4</v>
          </cell>
          <cell r="AM139">
            <v>-303</v>
          </cell>
          <cell r="AN139">
            <v>-221</v>
          </cell>
          <cell r="AR139">
            <v>369</v>
          </cell>
          <cell r="AS139">
            <v>280</v>
          </cell>
          <cell r="AT139">
            <v>228</v>
          </cell>
          <cell r="AU139">
            <v>246</v>
          </cell>
        </row>
        <row r="140">
          <cell r="D140" t="str">
            <v>ING</v>
          </cell>
          <cell r="G140">
            <v>38649</v>
          </cell>
          <cell r="I140">
            <v>2949</v>
          </cell>
          <cell r="J140">
            <v>2897</v>
          </cell>
          <cell r="K140">
            <v>3070</v>
          </cell>
          <cell r="L140">
            <v>3246</v>
          </cell>
          <cell r="P140">
            <v>291.60000000000002</v>
          </cell>
          <cell r="Q140">
            <v>137.1</v>
          </cell>
          <cell r="R140">
            <v>148.4</v>
          </cell>
          <cell r="S140">
            <v>229.1</v>
          </cell>
          <cell r="AK140">
            <v>-355.3</v>
          </cell>
          <cell r="AL140">
            <v>-242</v>
          </cell>
          <cell r="AM140">
            <v>-318.3</v>
          </cell>
          <cell r="AN140">
            <v>-220</v>
          </cell>
          <cell r="AR140">
            <v>282.39999999999998</v>
          </cell>
          <cell r="AS140">
            <v>121.1</v>
          </cell>
          <cell r="AT140">
            <v>240.6</v>
          </cell>
          <cell r="AU140">
            <v>254.5</v>
          </cell>
        </row>
        <row r="141">
          <cell r="D141" t="str">
            <v>SG</v>
          </cell>
          <cell r="G141">
            <v>38274</v>
          </cell>
          <cell r="I141">
            <v>2949</v>
          </cell>
          <cell r="J141">
            <v>2886</v>
          </cell>
          <cell r="K141">
            <v>2865</v>
          </cell>
          <cell r="L141">
            <v>2879</v>
          </cell>
          <cell r="M141">
            <v>2942</v>
          </cell>
          <cell r="P141">
            <v>292</v>
          </cell>
          <cell r="Q141">
            <v>140</v>
          </cell>
          <cell r="R141">
            <v>172</v>
          </cell>
          <cell r="S141">
            <v>204</v>
          </cell>
          <cell r="T141">
            <v>258</v>
          </cell>
          <cell r="W141">
            <v>-190</v>
          </cell>
          <cell r="X141">
            <v>-326</v>
          </cell>
          <cell r="Y141">
            <v>-231</v>
          </cell>
          <cell r="Z141">
            <v>-124</v>
          </cell>
          <cell r="AA141">
            <v>-38</v>
          </cell>
          <cell r="AD141">
            <v>-190</v>
          </cell>
          <cell r="AE141">
            <v>-326</v>
          </cell>
          <cell r="AF141">
            <v>-231</v>
          </cell>
          <cell r="AG141">
            <v>-124</v>
          </cell>
          <cell r="AH141">
            <v>-38</v>
          </cell>
          <cell r="AK141">
            <v>-229</v>
          </cell>
          <cell r="AL141">
            <v>-347</v>
          </cell>
          <cell r="AM141">
            <v>-245</v>
          </cell>
          <cell r="AN141">
            <v>-134</v>
          </cell>
          <cell r="AO141">
            <v>-43</v>
          </cell>
          <cell r="AR141">
            <v>280</v>
          </cell>
          <cell r="AS141">
            <v>202</v>
          </cell>
          <cell r="AT141">
            <v>201</v>
          </cell>
          <cell r="AU141">
            <v>202</v>
          </cell>
          <cell r="AV141">
            <v>221</v>
          </cell>
        </row>
        <row r="143">
          <cell r="B143">
            <v>44</v>
          </cell>
          <cell r="C143" t="str">
            <v>Equant</v>
          </cell>
          <cell r="E143" t="str">
            <v>USD m</v>
          </cell>
          <cell r="F143">
            <v>38352</v>
          </cell>
          <cell r="I143">
            <v>2949</v>
          </cell>
          <cell r="J143">
            <v>2890.5</v>
          </cell>
          <cell r="K143">
            <v>2944.75</v>
          </cell>
          <cell r="L143">
            <v>3020.25</v>
          </cell>
          <cell r="M143">
            <v>2942</v>
          </cell>
          <cell r="N143" t="str">
            <v>na</v>
          </cell>
          <cell r="P143">
            <v>291.89999999999998</v>
          </cell>
          <cell r="Q143">
            <v>136.27500000000001</v>
          </cell>
          <cell r="R143">
            <v>182.1</v>
          </cell>
          <cell r="S143">
            <v>247.77500000000001</v>
          </cell>
          <cell r="T143">
            <v>258</v>
          </cell>
          <cell r="U143" t="str">
            <v>na</v>
          </cell>
          <cell r="W143">
            <v>-190</v>
          </cell>
          <cell r="X143">
            <v>-326</v>
          </cell>
          <cell r="Y143">
            <v>-231</v>
          </cell>
          <cell r="Z143">
            <v>-124</v>
          </cell>
          <cell r="AA143">
            <v>-38</v>
          </cell>
          <cell r="AB143" t="str">
            <v>na</v>
          </cell>
          <cell r="AD143">
            <v>-233</v>
          </cell>
          <cell r="AE143">
            <v>-338</v>
          </cell>
          <cell r="AF143">
            <v>-267</v>
          </cell>
          <cell r="AG143">
            <v>-168.5</v>
          </cell>
          <cell r="AH143">
            <v>-38</v>
          </cell>
          <cell r="AI143" t="str">
            <v>na</v>
          </cell>
          <cell r="AK143">
            <v>-285.06666666666666</v>
          </cell>
          <cell r="AL143">
            <v>-279.8</v>
          </cell>
          <cell r="AM143">
            <v>-288.76666666666665</v>
          </cell>
          <cell r="AN143">
            <v>-191.66666666666666</v>
          </cell>
          <cell r="AO143">
            <v>-43</v>
          </cell>
          <cell r="AP143" t="str">
            <v>na</v>
          </cell>
          <cell r="AR143">
            <v>302.85000000000002</v>
          </cell>
          <cell r="AS143">
            <v>205.77500000000001</v>
          </cell>
          <cell r="AT143">
            <v>227.4</v>
          </cell>
          <cell r="AU143">
            <v>240.625</v>
          </cell>
          <cell r="AV143">
            <v>221</v>
          </cell>
          <cell r="AW143" t="str">
            <v>na</v>
          </cell>
          <cell r="AY143" t="str">
            <v>na</v>
          </cell>
          <cell r="AZ143" t="str">
            <v>na</v>
          </cell>
          <cell r="BA143" t="str">
            <v>na</v>
          </cell>
          <cell r="BB143" t="str">
            <v>na</v>
          </cell>
          <cell r="BC143" t="str">
            <v>na</v>
          </cell>
          <cell r="BD143" t="str">
            <v>na</v>
          </cell>
          <cell r="BF143" t="str">
            <v>na</v>
          </cell>
          <cell r="BG143" t="str">
            <v>na</v>
          </cell>
          <cell r="BH143" t="str">
            <v>na</v>
          </cell>
          <cell r="BI143" t="str">
            <v>na</v>
          </cell>
          <cell r="BJ143" t="str">
            <v>na</v>
          </cell>
          <cell r="BK143" t="str">
            <v>na</v>
          </cell>
          <cell r="BM143" t="str">
            <v>na</v>
          </cell>
          <cell r="BN143" t="str">
            <v>na</v>
          </cell>
          <cell r="BO143" t="str">
            <v>na</v>
          </cell>
          <cell r="BP143" t="str">
            <v>na</v>
          </cell>
          <cell r="BQ143" t="str">
            <v>na</v>
          </cell>
          <cell r="BR143" t="str">
            <v>na</v>
          </cell>
        </row>
        <row r="144">
          <cell r="E144" t="str">
            <v>Calenderised</v>
          </cell>
          <cell r="F144">
            <v>0</v>
          </cell>
        </row>
        <row r="145">
          <cell r="C145" t="str">
            <v>Fixed Line Europe - Alternative Careers</v>
          </cell>
        </row>
        <row r="146">
          <cell r="E146" t="str">
            <v>Last brokers notes update:</v>
          </cell>
          <cell r="F146">
            <v>38666</v>
          </cell>
        </row>
        <row r="147">
          <cell r="E147" t="str">
            <v>Last Datastream update:</v>
          </cell>
          <cell r="F147">
            <v>38679</v>
          </cell>
        </row>
        <row r="148">
          <cell r="D148" t="str">
            <v>Santander</v>
          </cell>
          <cell r="G148">
            <v>38579</v>
          </cell>
          <cell r="I148">
            <v>229.4</v>
          </cell>
          <cell r="J148">
            <v>205.5</v>
          </cell>
          <cell r="K148">
            <v>273</v>
          </cell>
          <cell r="L148">
            <v>379.8</v>
          </cell>
          <cell r="M148">
            <v>475.8</v>
          </cell>
          <cell r="P148">
            <v>-6.8</v>
          </cell>
          <cell r="Q148">
            <v>-10.1</v>
          </cell>
          <cell r="R148">
            <v>-66.599999999999994</v>
          </cell>
          <cell r="S148">
            <v>-27.5</v>
          </cell>
          <cell r="T148">
            <v>12.7</v>
          </cell>
          <cell r="AK148">
            <v>-201.1</v>
          </cell>
          <cell r="AL148">
            <v>-95.5</v>
          </cell>
          <cell r="AM148">
            <v>-122.1</v>
          </cell>
          <cell r="AN148">
            <v>-38.799999999999997</v>
          </cell>
          <cell r="AO148">
            <v>-58.3</v>
          </cell>
        </row>
        <row r="149">
          <cell r="D149" t="str">
            <v>AR</v>
          </cell>
          <cell r="G149">
            <v>38352</v>
          </cell>
          <cell r="I149">
            <v>229.41726</v>
          </cell>
          <cell r="J149">
            <v>205.47620000000001</v>
          </cell>
          <cell r="P149">
            <v>-6.7700659999999999</v>
          </cell>
          <cell r="Q149">
            <v>-10.064757</v>
          </cell>
          <cell r="AD149">
            <v>-79.797927000000001</v>
          </cell>
          <cell r="AE149">
            <v>-78.307841999999994</v>
          </cell>
          <cell r="AK149">
            <v>-202.43872300000001</v>
          </cell>
          <cell r="AL149">
            <v>-95.534085000000005</v>
          </cell>
        </row>
        <row r="151">
          <cell r="B151">
            <v>45</v>
          </cell>
          <cell r="C151" t="str">
            <v>Jazztel</v>
          </cell>
          <cell r="E151" t="str">
            <v>EUR m</v>
          </cell>
          <cell r="F151">
            <v>38352</v>
          </cell>
          <cell r="I151">
            <v>229.41726</v>
          </cell>
          <cell r="J151">
            <v>205.47620000000001</v>
          </cell>
          <cell r="K151">
            <v>273</v>
          </cell>
          <cell r="L151">
            <v>379.8</v>
          </cell>
          <cell r="M151">
            <v>475.8</v>
          </cell>
          <cell r="N151" t="str">
            <v>na</v>
          </cell>
          <cell r="P151">
            <v>-6.7700659999999999</v>
          </cell>
          <cell r="Q151">
            <v>-10.064757</v>
          </cell>
          <cell r="R151">
            <v>-66.599999999999994</v>
          </cell>
          <cell r="S151">
            <v>-27.5</v>
          </cell>
          <cell r="T151">
            <v>12.7</v>
          </cell>
          <cell r="U151" t="str">
            <v>na</v>
          </cell>
          <cell r="W151" t="str">
            <v>na</v>
          </cell>
          <cell r="X151" t="str">
            <v>na</v>
          </cell>
          <cell r="Y151" t="str">
            <v>na</v>
          </cell>
          <cell r="Z151" t="str">
            <v>na</v>
          </cell>
          <cell r="AA151" t="str">
            <v>na</v>
          </cell>
          <cell r="AB151" t="str">
            <v>na</v>
          </cell>
          <cell r="AD151">
            <v>-79.797927000000001</v>
          </cell>
          <cell r="AE151">
            <v>-78.307841999999994</v>
          </cell>
          <cell r="AF151" t="str">
            <v>na</v>
          </cell>
          <cell r="AG151" t="str">
            <v>na</v>
          </cell>
          <cell r="AH151" t="str">
            <v>na</v>
          </cell>
          <cell r="AI151" t="str">
            <v>na</v>
          </cell>
          <cell r="AK151">
            <v>-202.43872300000001</v>
          </cell>
          <cell r="AL151">
            <v>-95.534085000000005</v>
          </cell>
          <cell r="AM151">
            <v>-122.1</v>
          </cell>
          <cell r="AN151">
            <v>-38.799999999999997</v>
          </cell>
          <cell r="AO151">
            <v>-58.3</v>
          </cell>
          <cell r="AP151" t="str">
            <v>na</v>
          </cell>
          <cell r="AR151" t="str">
            <v>na</v>
          </cell>
          <cell r="AS151" t="str">
            <v>na</v>
          </cell>
          <cell r="AT151" t="str">
            <v>na</v>
          </cell>
          <cell r="AU151" t="str">
            <v>na</v>
          </cell>
          <cell r="AV151" t="str">
            <v>na</v>
          </cell>
          <cell r="AW151" t="str">
            <v>na</v>
          </cell>
          <cell r="AY151" t="str">
            <v>na</v>
          </cell>
          <cell r="AZ151" t="str">
            <v>na</v>
          </cell>
          <cell r="BA151" t="str">
            <v>na</v>
          </cell>
          <cell r="BB151" t="str">
            <v>na</v>
          </cell>
          <cell r="BC151" t="str">
            <v>na</v>
          </cell>
          <cell r="BD151" t="str">
            <v>na</v>
          </cell>
          <cell r="BF151" t="str">
            <v>na</v>
          </cell>
          <cell r="BG151" t="str">
            <v>na</v>
          </cell>
          <cell r="BH151" t="str">
            <v>na</v>
          </cell>
          <cell r="BI151" t="str">
            <v>na</v>
          </cell>
          <cell r="BJ151" t="str">
            <v>na</v>
          </cell>
          <cell r="BK151" t="str">
            <v>na</v>
          </cell>
          <cell r="BM151" t="str">
            <v>na</v>
          </cell>
          <cell r="BN151" t="str">
            <v>na</v>
          </cell>
          <cell r="BO151" t="str">
            <v>na</v>
          </cell>
          <cell r="BP151" t="str">
            <v>na</v>
          </cell>
          <cell r="BQ151" t="str">
            <v>na</v>
          </cell>
          <cell r="BR151" t="str">
            <v>na</v>
          </cell>
        </row>
        <row r="152">
          <cell r="E152" t="str">
            <v>Calenderised</v>
          </cell>
          <cell r="F152">
            <v>0</v>
          </cell>
        </row>
        <row r="153">
          <cell r="C153" t="str">
            <v>Fixed Line Europe - Alternative Careers</v>
          </cell>
        </row>
        <row r="154">
          <cell r="E154" t="str">
            <v>Last brokers notes update:</v>
          </cell>
          <cell r="F154">
            <v>38666</v>
          </cell>
          <cell r="AC154">
            <v>-15</v>
          </cell>
          <cell r="AJ154">
            <v>-16</v>
          </cell>
          <cell r="AQ154">
            <v>46</v>
          </cell>
        </row>
        <row r="155">
          <cell r="D155" t="str">
            <v>Investec</v>
          </cell>
          <cell r="E155" t="str">
            <v>Last Datastream update:</v>
          </cell>
          <cell r="F155">
            <v>38679</v>
          </cell>
          <cell r="G155">
            <v>38497</v>
          </cell>
          <cell r="I155">
            <v>324.2</v>
          </cell>
          <cell r="J155">
            <v>366.5</v>
          </cell>
          <cell r="K155">
            <v>480.7</v>
          </cell>
          <cell r="L155">
            <v>486.1</v>
          </cell>
          <cell r="M155">
            <v>503.2</v>
          </cell>
          <cell r="P155">
            <v>43.5</v>
          </cell>
          <cell r="Q155">
            <v>58.7</v>
          </cell>
          <cell r="R155">
            <v>81.599999999999994</v>
          </cell>
          <cell r="S155">
            <v>89.3</v>
          </cell>
          <cell r="T155">
            <v>96.9</v>
          </cell>
          <cell r="W155">
            <v>2.8</v>
          </cell>
          <cell r="X155">
            <v>25.7</v>
          </cell>
          <cell r="Y155">
            <v>36.6</v>
          </cell>
          <cell r="Z155">
            <v>47.2</v>
          </cell>
          <cell r="AA155">
            <v>54.9</v>
          </cell>
          <cell r="AD155">
            <v>0.29999999999999982</v>
          </cell>
          <cell r="AE155">
            <v>17</v>
          </cell>
          <cell r="AF155">
            <v>21.8</v>
          </cell>
          <cell r="AG155">
            <v>32.400000000000006</v>
          </cell>
          <cell r="AH155">
            <v>40.099999999999994</v>
          </cell>
          <cell r="AK155">
            <v>-7</v>
          </cell>
          <cell r="AL155">
            <v>14</v>
          </cell>
          <cell r="AM155">
            <v>12</v>
          </cell>
          <cell r="AN155">
            <v>24</v>
          </cell>
          <cell r="AR155">
            <v>37.200000000000003</v>
          </cell>
          <cell r="AS155">
            <v>36</v>
          </cell>
          <cell r="AT155">
            <v>39.299999999999997</v>
          </cell>
          <cell r="AU155">
            <v>39.9</v>
          </cell>
          <cell r="AV155">
            <v>40.4</v>
          </cell>
        </row>
        <row r="156">
          <cell r="D156" t="str">
            <v>ING</v>
          </cell>
          <cell r="G156">
            <v>38412</v>
          </cell>
          <cell r="I156">
            <v>324</v>
          </cell>
          <cell r="J156">
            <v>364</v>
          </cell>
          <cell r="K156">
            <v>523</v>
          </cell>
          <cell r="L156">
            <v>555</v>
          </cell>
          <cell r="P156">
            <v>44</v>
          </cell>
          <cell r="Q156">
            <v>61</v>
          </cell>
          <cell r="R156">
            <v>84</v>
          </cell>
          <cell r="S156">
            <v>99</v>
          </cell>
          <cell r="W156">
            <v>3</v>
          </cell>
          <cell r="X156">
            <v>26</v>
          </cell>
          <cell r="Y156">
            <v>37</v>
          </cell>
          <cell r="Z156">
            <v>47</v>
          </cell>
          <cell r="AK156">
            <v>-19</v>
          </cell>
          <cell r="AL156">
            <v>14</v>
          </cell>
          <cell r="AM156">
            <v>22</v>
          </cell>
          <cell r="AN156">
            <v>26</v>
          </cell>
          <cell r="AR156">
            <v>37</v>
          </cell>
          <cell r="AT156">
            <v>45</v>
          </cell>
          <cell r="AU156">
            <v>47</v>
          </cell>
        </row>
        <row r="157">
          <cell r="D157" t="str">
            <v>AR</v>
          </cell>
          <cell r="G157">
            <v>38442</v>
          </cell>
          <cell r="I157">
            <v>324.19600000000003</v>
          </cell>
          <cell r="J157">
            <v>366.53699999999998</v>
          </cell>
          <cell r="P157">
            <v>55.398000000000003</v>
          </cell>
          <cell r="Q157">
            <v>63.185000000000002</v>
          </cell>
          <cell r="W157">
            <v>2.7530000000000001</v>
          </cell>
          <cell r="X157">
            <v>25.731999999999999</v>
          </cell>
          <cell r="AD157">
            <v>0.21</v>
          </cell>
          <cell r="AE157">
            <v>17.062999999999999</v>
          </cell>
          <cell r="AR157">
            <v>37.151000000000003</v>
          </cell>
          <cell r="AS157">
            <v>35.951999999999998</v>
          </cell>
        </row>
        <row r="159">
          <cell r="B159">
            <v>46</v>
          </cell>
          <cell r="C159" t="str">
            <v>Kingston Com.</v>
          </cell>
          <cell r="E159" t="str">
            <v>GBP m</v>
          </cell>
          <cell r="F159">
            <v>38077</v>
          </cell>
          <cell r="I159">
            <v>324.19600000000003</v>
          </cell>
          <cell r="J159">
            <v>366.53699999999998</v>
          </cell>
          <cell r="K159">
            <v>467.80725000000007</v>
          </cell>
          <cell r="L159">
            <v>515.875</v>
          </cell>
          <cell r="M159">
            <v>507.53749999999997</v>
          </cell>
          <cell r="N159" t="str">
            <v>na</v>
          </cell>
          <cell r="P159">
            <v>55.398000000000003</v>
          </cell>
          <cell r="Q159">
            <v>63.185000000000002</v>
          </cell>
          <cell r="R159">
            <v>77.340416666666655</v>
          </cell>
          <cell r="S159">
            <v>91.312500000000014</v>
          </cell>
          <cell r="T159">
            <v>96.212500000000006</v>
          </cell>
          <cell r="U159" t="str">
            <v>na</v>
          </cell>
          <cell r="W159">
            <v>2.7530000000000001</v>
          </cell>
          <cell r="X159">
            <v>25.731999999999999</v>
          </cell>
          <cell r="Y159">
            <v>34.052666666666667</v>
          </cell>
          <cell r="Z159">
            <v>44.525000000000006</v>
          </cell>
          <cell r="AA159">
            <v>52.949999999999996</v>
          </cell>
          <cell r="AB159" t="str">
            <v>na</v>
          </cell>
          <cell r="AD159">
            <v>0.21</v>
          </cell>
          <cell r="AE159">
            <v>17.062999999999999</v>
          </cell>
          <cell r="AF159">
            <v>20.607875</v>
          </cell>
          <cell r="AG159">
            <v>29.750000000000004</v>
          </cell>
          <cell r="AH159">
            <v>38.174999999999997</v>
          </cell>
          <cell r="AI159" t="str">
            <v>na</v>
          </cell>
          <cell r="AK159">
            <v>-13.75</v>
          </cell>
          <cell r="AL159">
            <v>7.25</v>
          </cell>
          <cell r="AM159">
            <v>16.25</v>
          </cell>
          <cell r="AN159">
            <v>23</v>
          </cell>
          <cell r="AO159" t="str">
            <v>na</v>
          </cell>
          <cell r="AP159" t="str">
            <v>na</v>
          </cell>
          <cell r="AR159">
            <v>37.151000000000003</v>
          </cell>
          <cell r="AS159">
            <v>35.951999999999998</v>
          </cell>
          <cell r="AT159">
            <v>40.606499999999997</v>
          </cell>
          <cell r="AU159">
            <v>43.125000000000007</v>
          </cell>
          <cell r="AV159">
            <v>41.162499999999994</v>
          </cell>
          <cell r="AW159" t="str">
            <v>na</v>
          </cell>
          <cell r="AY159" t="str">
            <v>na</v>
          </cell>
          <cell r="AZ159" t="str">
            <v>na</v>
          </cell>
          <cell r="BA159" t="str">
            <v>na</v>
          </cell>
          <cell r="BB159" t="str">
            <v>na</v>
          </cell>
          <cell r="BC159" t="str">
            <v>na</v>
          </cell>
          <cell r="BD159" t="str">
            <v>na</v>
          </cell>
          <cell r="BF159" t="str">
            <v>na</v>
          </cell>
          <cell r="BG159" t="str">
            <v>na</v>
          </cell>
          <cell r="BH159" t="str">
            <v>na</v>
          </cell>
          <cell r="BI159" t="str">
            <v>na</v>
          </cell>
          <cell r="BJ159" t="str">
            <v>na</v>
          </cell>
          <cell r="BK159" t="str">
            <v>na</v>
          </cell>
          <cell r="BM159" t="str">
            <v>na</v>
          </cell>
          <cell r="BN159" t="str">
            <v>na</v>
          </cell>
          <cell r="BO159" t="str">
            <v>na</v>
          </cell>
          <cell r="BP159" t="str">
            <v>na</v>
          </cell>
          <cell r="BQ159" t="str">
            <v>na</v>
          </cell>
          <cell r="BR159" t="str">
            <v>na</v>
          </cell>
        </row>
        <row r="160">
          <cell r="E160" t="str">
            <v>Calenderised</v>
          </cell>
          <cell r="F160">
            <v>0.75</v>
          </cell>
        </row>
        <row r="161">
          <cell r="C161" t="str">
            <v>Fixed Line Europe - Alternative Careers</v>
          </cell>
        </row>
        <row r="162">
          <cell r="D162" t="str">
            <v>DZ Bank</v>
          </cell>
          <cell r="E162" t="str">
            <v>Last brokers notes update:</v>
          </cell>
          <cell r="F162">
            <v>38666</v>
          </cell>
          <cell r="G162">
            <v>38594</v>
          </cell>
          <cell r="J162">
            <v>145.9</v>
          </cell>
          <cell r="K162">
            <v>192.1</v>
          </cell>
          <cell r="L162">
            <v>226.1</v>
          </cell>
          <cell r="M162">
            <v>257.5</v>
          </cell>
          <cell r="N162">
            <v>279.7</v>
          </cell>
          <cell r="Q162">
            <v>1.8</v>
          </cell>
          <cell r="R162">
            <v>9.6</v>
          </cell>
          <cell r="S162">
            <v>29.4</v>
          </cell>
          <cell r="T162">
            <v>46.4</v>
          </cell>
          <cell r="U162">
            <v>64.3</v>
          </cell>
          <cell r="X162">
            <v>-22.7</v>
          </cell>
          <cell r="Y162">
            <v>-10.4</v>
          </cell>
          <cell r="Z162">
            <v>14.7</v>
          </cell>
          <cell r="AA162">
            <v>31.7</v>
          </cell>
          <cell r="AB162">
            <v>49.5</v>
          </cell>
          <cell r="AE162">
            <v>-22.7</v>
          </cell>
          <cell r="AF162">
            <v>-10.4</v>
          </cell>
          <cell r="AG162">
            <v>14.7</v>
          </cell>
          <cell r="AH162">
            <v>31.7</v>
          </cell>
          <cell r="AI162">
            <v>49.5</v>
          </cell>
          <cell r="AL162">
            <v>-22</v>
          </cell>
          <cell r="AM162">
            <v>-10.3</v>
          </cell>
          <cell r="AN162">
            <v>11.8</v>
          </cell>
          <cell r="AO162">
            <v>25.5</v>
          </cell>
          <cell r="AP162">
            <v>40</v>
          </cell>
        </row>
        <row r="163">
          <cell r="D163" t="str">
            <v>Oppenheim Research</v>
          </cell>
          <cell r="E163" t="str">
            <v>Last Datastream update:</v>
          </cell>
          <cell r="F163">
            <v>38679</v>
          </cell>
          <cell r="G163">
            <v>38412</v>
          </cell>
          <cell r="I163">
            <v>115.6</v>
          </cell>
          <cell r="J163">
            <v>145.9</v>
          </cell>
          <cell r="K163">
            <v>184.9</v>
          </cell>
          <cell r="L163">
            <v>225.8</v>
          </cell>
          <cell r="M163">
            <v>268.7</v>
          </cell>
          <cell r="P163">
            <v>-33.4</v>
          </cell>
          <cell r="Q163">
            <v>0.9</v>
          </cell>
          <cell r="R163">
            <v>7.9</v>
          </cell>
          <cell r="S163">
            <v>28.6</v>
          </cell>
          <cell r="T163">
            <v>52.4</v>
          </cell>
          <cell r="W163">
            <v>-61.9</v>
          </cell>
          <cell r="X163">
            <v>-22.6</v>
          </cell>
          <cell r="Y163">
            <v>-11.9</v>
          </cell>
          <cell r="Z163">
            <v>9</v>
          </cell>
          <cell r="AA163">
            <v>30.6</v>
          </cell>
          <cell r="AD163">
            <v>-61.9</v>
          </cell>
          <cell r="AE163">
            <v>-22.6</v>
          </cell>
          <cell r="AF163">
            <v>-11.9</v>
          </cell>
          <cell r="AG163">
            <v>9</v>
          </cell>
          <cell r="AH163">
            <v>30.6</v>
          </cell>
          <cell r="AK163">
            <v>-60.6</v>
          </cell>
          <cell r="AL163">
            <v>-21.6</v>
          </cell>
          <cell r="AM163">
            <v>-12.14</v>
          </cell>
          <cell r="AN163">
            <v>8.1999999999999993</v>
          </cell>
          <cell r="AO163">
            <v>26.8</v>
          </cell>
          <cell r="AR163">
            <v>8.5</v>
          </cell>
          <cell r="AS163">
            <v>10.5</v>
          </cell>
          <cell r="AT163">
            <v>12.5</v>
          </cell>
          <cell r="AU163">
            <v>18.100000000000001</v>
          </cell>
          <cell r="AV163">
            <v>24.2</v>
          </cell>
        </row>
        <row r="165">
          <cell r="D165" t="str">
            <v>AR</v>
          </cell>
          <cell r="G165">
            <v>38352</v>
          </cell>
          <cell r="I165">
            <v>115.625</v>
          </cell>
          <cell r="J165">
            <v>145.874</v>
          </cell>
          <cell r="P165">
            <v>-33.378</v>
          </cell>
          <cell r="Q165">
            <v>0.82700000000000173</v>
          </cell>
          <cell r="W165">
            <v>-61.853999999999999</v>
          </cell>
          <cell r="X165">
            <v>-22.672999999999998</v>
          </cell>
          <cell r="AD165">
            <v>-61.853999999999999</v>
          </cell>
          <cell r="AE165">
            <v>-22.672999999999998</v>
          </cell>
          <cell r="AK165">
            <v>-60.610999999999997</v>
          </cell>
          <cell r="AL165">
            <v>-21.559000000000001</v>
          </cell>
        </row>
        <row r="167">
          <cell r="B167">
            <v>47</v>
          </cell>
          <cell r="C167" t="str">
            <v>QSC</v>
          </cell>
          <cell r="E167" t="str">
            <v>EUR m</v>
          </cell>
          <cell r="F167">
            <v>38352</v>
          </cell>
          <cell r="I167">
            <v>115.6125</v>
          </cell>
          <cell r="J167">
            <v>145.89133333333334</v>
          </cell>
          <cell r="K167">
            <v>188.5</v>
          </cell>
          <cell r="L167">
            <v>225.95</v>
          </cell>
          <cell r="M167">
            <v>263.10000000000002</v>
          </cell>
          <cell r="N167">
            <v>279.7</v>
          </cell>
          <cell r="P167">
            <v>-33.378</v>
          </cell>
          <cell r="Q167">
            <v>0.82700000000000173</v>
          </cell>
          <cell r="R167">
            <v>8.75</v>
          </cell>
          <cell r="S167">
            <v>29</v>
          </cell>
          <cell r="T167">
            <v>49.4</v>
          </cell>
          <cell r="U167">
            <v>64.3</v>
          </cell>
          <cell r="W167">
            <v>-61.853999999999999</v>
          </cell>
          <cell r="X167">
            <v>-22.672999999999998</v>
          </cell>
          <cell r="Y167">
            <v>-11.15</v>
          </cell>
          <cell r="Z167">
            <v>11.85</v>
          </cell>
          <cell r="AA167">
            <v>31.15</v>
          </cell>
          <cell r="AB167">
            <v>49.5</v>
          </cell>
          <cell r="AD167">
            <v>-61.853999999999999</v>
          </cell>
          <cell r="AE167">
            <v>-22.672999999999998</v>
          </cell>
          <cell r="AF167">
            <v>-11.15</v>
          </cell>
          <cell r="AG167">
            <v>11.85</v>
          </cell>
          <cell r="AH167">
            <v>31.15</v>
          </cell>
          <cell r="AI167">
            <v>49.5</v>
          </cell>
          <cell r="AK167">
            <v>-60.610999999999997</v>
          </cell>
          <cell r="AL167">
            <v>-21.559000000000001</v>
          </cell>
          <cell r="AM167">
            <v>-11.22</v>
          </cell>
          <cell r="AN167">
            <v>10</v>
          </cell>
          <cell r="AO167">
            <v>26.15</v>
          </cell>
          <cell r="AP167">
            <v>40</v>
          </cell>
          <cell r="AR167">
            <v>8.5</v>
          </cell>
          <cell r="AS167">
            <v>10.5</v>
          </cell>
          <cell r="AT167">
            <v>12.5</v>
          </cell>
          <cell r="AU167">
            <v>18.100000000000001</v>
          </cell>
          <cell r="AV167">
            <v>24.2</v>
          </cell>
          <cell r="AW167" t="str">
            <v>na</v>
          </cell>
          <cell r="AY167" t="str">
            <v>na</v>
          </cell>
          <cell r="AZ167" t="str">
            <v>na</v>
          </cell>
          <cell r="BA167" t="str">
            <v>na</v>
          </cell>
          <cell r="BB167" t="str">
            <v>na</v>
          </cell>
          <cell r="BC167" t="str">
            <v>na</v>
          </cell>
          <cell r="BD167" t="str">
            <v>na</v>
          </cell>
          <cell r="BF167" t="str">
            <v>na</v>
          </cell>
          <cell r="BG167" t="str">
            <v>na</v>
          </cell>
          <cell r="BH167" t="str">
            <v>na</v>
          </cell>
          <cell r="BI167" t="str">
            <v>na</v>
          </cell>
          <cell r="BJ167" t="str">
            <v>na</v>
          </cell>
          <cell r="BK167" t="str">
            <v>na</v>
          </cell>
          <cell r="BM167" t="str">
            <v>na</v>
          </cell>
          <cell r="BN167" t="str">
            <v>na</v>
          </cell>
          <cell r="BO167" t="str">
            <v>na</v>
          </cell>
          <cell r="BP167" t="str">
            <v>na</v>
          </cell>
          <cell r="BQ167" t="str">
            <v>na</v>
          </cell>
          <cell r="BR167" t="str">
            <v>na</v>
          </cell>
        </row>
        <row r="168">
          <cell r="E168" t="str">
            <v>Calenderised</v>
          </cell>
          <cell r="F168">
            <v>0</v>
          </cell>
        </row>
        <row r="169">
          <cell r="C169" t="str">
            <v>Fixed Line Europe - Alternative Careers</v>
          </cell>
        </row>
        <row r="170">
          <cell r="D170" t="str">
            <v>Carnegie</v>
          </cell>
          <cell r="E170" t="str">
            <v>Last brokers notes update:</v>
          </cell>
          <cell r="F170">
            <v>38527</v>
          </cell>
          <cell r="G170">
            <v>38223</v>
          </cell>
          <cell r="I170">
            <v>2261</v>
          </cell>
          <cell r="J170">
            <v>2534</v>
          </cell>
          <cell r="K170">
            <v>2823</v>
          </cell>
          <cell r="L170">
            <v>2950</v>
          </cell>
          <cell r="P170">
            <v>133</v>
          </cell>
          <cell r="Q170">
            <v>341</v>
          </cell>
          <cell r="R170">
            <v>519</v>
          </cell>
          <cell r="S170">
            <v>624</v>
          </cell>
          <cell r="W170">
            <v>-35</v>
          </cell>
          <cell r="X170">
            <v>128</v>
          </cell>
          <cell r="Y170">
            <v>237</v>
          </cell>
          <cell r="Z170">
            <v>304</v>
          </cell>
          <cell r="AD170">
            <v>-40</v>
          </cell>
          <cell r="AE170">
            <v>123</v>
          </cell>
          <cell r="AF170">
            <v>232</v>
          </cell>
          <cell r="AG170">
            <v>299</v>
          </cell>
          <cell r="AK170">
            <v>40</v>
          </cell>
          <cell r="AL170">
            <v>244</v>
          </cell>
          <cell r="AM170">
            <v>288</v>
          </cell>
          <cell r="AN170">
            <v>339</v>
          </cell>
          <cell r="AR170">
            <v>270</v>
          </cell>
          <cell r="AS170">
            <v>345</v>
          </cell>
          <cell r="AT170">
            <v>367</v>
          </cell>
          <cell r="AU170">
            <v>384</v>
          </cell>
        </row>
        <row r="171">
          <cell r="D171" t="str">
            <v>Handelsbanken</v>
          </cell>
          <cell r="E171" t="str">
            <v>Last Datastream update:</v>
          </cell>
          <cell r="F171">
            <v>38679</v>
          </cell>
          <cell r="G171">
            <v>38209</v>
          </cell>
          <cell r="I171">
            <v>2260</v>
          </cell>
          <cell r="J171">
            <v>2502</v>
          </cell>
          <cell r="K171">
            <v>2728</v>
          </cell>
          <cell r="L171">
            <v>2956</v>
          </cell>
          <cell r="M171">
            <v>3127</v>
          </cell>
          <cell r="P171">
            <v>134</v>
          </cell>
          <cell r="Q171">
            <v>321</v>
          </cell>
          <cell r="R171">
            <v>460</v>
          </cell>
          <cell r="S171">
            <v>568</v>
          </cell>
          <cell r="T171">
            <v>665</v>
          </cell>
          <cell r="AD171">
            <v>-58</v>
          </cell>
          <cell r="AE171">
            <v>92</v>
          </cell>
          <cell r="AF171">
            <v>209</v>
          </cell>
          <cell r="AG171">
            <v>314</v>
          </cell>
          <cell r="AH171">
            <v>393</v>
          </cell>
          <cell r="AK171">
            <v>35</v>
          </cell>
          <cell r="AL171">
            <v>131</v>
          </cell>
          <cell r="AM171">
            <v>245</v>
          </cell>
          <cell r="AN171">
            <v>266</v>
          </cell>
          <cell r="AO171">
            <v>328</v>
          </cell>
          <cell r="AR171">
            <v>270</v>
          </cell>
          <cell r="AS171">
            <v>337</v>
          </cell>
          <cell r="AT171">
            <v>382</v>
          </cell>
          <cell r="AU171">
            <v>384</v>
          </cell>
          <cell r="AV171">
            <v>407</v>
          </cell>
        </row>
        <row r="175">
          <cell r="B175">
            <v>48</v>
          </cell>
          <cell r="C175" t="str">
            <v>Song Networks</v>
          </cell>
          <cell r="E175" t="str">
            <v>SEK m</v>
          </cell>
          <cell r="F175">
            <v>38352</v>
          </cell>
          <cell r="I175">
            <v>2260.5</v>
          </cell>
          <cell r="J175">
            <v>2518</v>
          </cell>
          <cell r="K175">
            <v>2775.5</v>
          </cell>
          <cell r="L175">
            <v>2953</v>
          </cell>
          <cell r="M175">
            <v>3127</v>
          </cell>
          <cell r="N175" t="str">
            <v>na</v>
          </cell>
          <cell r="P175">
            <v>133.5</v>
          </cell>
          <cell r="Q175">
            <v>331</v>
          </cell>
          <cell r="R175">
            <v>489.5</v>
          </cell>
          <cell r="S175">
            <v>596</v>
          </cell>
          <cell r="T175">
            <v>665</v>
          </cell>
          <cell r="U175" t="str">
            <v>na</v>
          </cell>
          <cell r="W175">
            <v>-35</v>
          </cell>
          <cell r="X175">
            <v>128</v>
          </cell>
          <cell r="Y175">
            <v>237</v>
          </cell>
          <cell r="Z175">
            <v>304</v>
          </cell>
          <cell r="AA175" t="str">
            <v>na</v>
          </cell>
          <cell r="AB175" t="str">
            <v>na</v>
          </cell>
          <cell r="AD175">
            <v>-49</v>
          </cell>
          <cell r="AE175">
            <v>107.5</v>
          </cell>
          <cell r="AF175">
            <v>220.5</v>
          </cell>
          <cell r="AG175">
            <v>306.5</v>
          </cell>
          <cell r="AH175">
            <v>393</v>
          </cell>
          <cell r="AI175" t="str">
            <v>na</v>
          </cell>
          <cell r="AK175">
            <v>37.5</v>
          </cell>
          <cell r="AL175">
            <v>187.5</v>
          </cell>
          <cell r="AM175">
            <v>266.5</v>
          </cell>
          <cell r="AN175">
            <v>302.5</v>
          </cell>
          <cell r="AO175">
            <v>328</v>
          </cell>
          <cell r="AP175" t="str">
            <v>na</v>
          </cell>
          <cell r="AR175">
            <v>270</v>
          </cell>
          <cell r="AS175">
            <v>341</v>
          </cell>
          <cell r="AT175">
            <v>374.5</v>
          </cell>
          <cell r="AU175">
            <v>384</v>
          </cell>
          <cell r="AV175">
            <v>407</v>
          </cell>
          <cell r="AW175" t="str">
            <v>na</v>
          </cell>
          <cell r="AY175" t="str">
            <v>na</v>
          </cell>
          <cell r="AZ175" t="str">
            <v>na</v>
          </cell>
          <cell r="BA175" t="str">
            <v>na</v>
          </cell>
          <cell r="BB175" t="str">
            <v>na</v>
          </cell>
          <cell r="BC175" t="str">
            <v>na</v>
          </cell>
          <cell r="BD175" t="str">
            <v>na</v>
          </cell>
          <cell r="BF175" t="str">
            <v>na</v>
          </cell>
          <cell r="BG175" t="str">
            <v>na</v>
          </cell>
          <cell r="BH175" t="str">
            <v>na</v>
          </cell>
          <cell r="BI175" t="str">
            <v>na</v>
          </cell>
          <cell r="BJ175" t="str">
            <v>na</v>
          </cell>
          <cell r="BK175" t="str">
            <v>na</v>
          </cell>
          <cell r="BM175" t="str">
            <v>na</v>
          </cell>
          <cell r="BN175" t="str">
            <v>na</v>
          </cell>
          <cell r="BO175" t="str">
            <v>na</v>
          </cell>
          <cell r="BP175" t="str">
            <v>na</v>
          </cell>
          <cell r="BQ175" t="str">
            <v>na</v>
          </cell>
          <cell r="BR175" t="str">
            <v>na</v>
          </cell>
        </row>
        <row r="176">
          <cell r="E176" t="str">
            <v>Calenderised</v>
          </cell>
          <cell r="F176">
            <v>0</v>
          </cell>
        </row>
        <row r="177">
          <cell r="C177" t="str">
            <v>Fixed Line Europe - Alternative Careers</v>
          </cell>
        </row>
        <row r="178">
          <cell r="E178" t="str">
            <v>Last brokers notes update:</v>
          </cell>
          <cell r="F178">
            <v>38666</v>
          </cell>
          <cell r="AC178">
            <v>-51</v>
          </cell>
          <cell r="AJ178">
            <v>-58</v>
          </cell>
          <cell r="AQ178">
            <v>55</v>
          </cell>
        </row>
        <row r="179">
          <cell r="D179" t="str">
            <v>Citigroup</v>
          </cell>
          <cell r="E179" t="str">
            <v>Last Datastream update:</v>
          </cell>
          <cell r="F179">
            <v>38679</v>
          </cell>
          <cell r="G179">
            <v>38531</v>
          </cell>
          <cell r="I179">
            <v>332</v>
          </cell>
          <cell r="J179">
            <v>360</v>
          </cell>
          <cell r="K179">
            <v>379</v>
          </cell>
          <cell r="L179">
            <v>406</v>
          </cell>
          <cell r="M179">
            <v>437</v>
          </cell>
          <cell r="N179">
            <v>465.43099999999998</v>
          </cell>
          <cell r="P179">
            <v>44</v>
          </cell>
          <cell r="Q179">
            <v>39</v>
          </cell>
          <cell r="R179">
            <v>40</v>
          </cell>
          <cell r="S179">
            <v>48</v>
          </cell>
          <cell r="T179">
            <v>59</v>
          </cell>
          <cell r="U179">
            <v>71.94</v>
          </cell>
          <cell r="X179">
            <v>-28.033999999999999</v>
          </cell>
          <cell r="Y179">
            <v>-15.583</v>
          </cell>
          <cell r="Z179">
            <v>-4.0119999999999996</v>
          </cell>
          <cell r="AA179">
            <v>8.8879999999999999</v>
          </cell>
          <cell r="AB179">
            <v>22.908000000000001</v>
          </cell>
          <cell r="AE179">
            <v>-28.172999999999998</v>
          </cell>
          <cell r="AF179">
            <v>-15.619</v>
          </cell>
          <cell r="AG179">
            <v>-4.0119999999999996</v>
          </cell>
          <cell r="AH179">
            <v>8.8879999999999999</v>
          </cell>
          <cell r="AI179">
            <v>22.908000000000001</v>
          </cell>
          <cell r="AS179">
            <v>37.546999999999997</v>
          </cell>
          <cell r="AT179">
            <v>34.533999999999999</v>
          </cell>
          <cell r="AU179">
            <v>38.930999999999997</v>
          </cell>
          <cell r="AV179">
            <v>43.969000000000001</v>
          </cell>
        </row>
        <row r="180">
          <cell r="D180" t="str">
            <v>Investec</v>
          </cell>
          <cell r="G180">
            <v>38496</v>
          </cell>
          <cell r="I180">
            <v>332.4</v>
          </cell>
          <cell r="J180">
            <v>360</v>
          </cell>
          <cell r="K180">
            <v>376.3</v>
          </cell>
          <cell r="L180">
            <v>412.7</v>
          </cell>
          <cell r="M180">
            <v>448.6</v>
          </cell>
          <cell r="P180">
            <v>43.6</v>
          </cell>
          <cell r="Q180">
            <v>39.1</v>
          </cell>
          <cell r="R180">
            <v>40</v>
          </cell>
          <cell r="S180">
            <v>46.8</v>
          </cell>
          <cell r="T180">
            <v>53.4</v>
          </cell>
          <cell r="W180">
            <v>-21.199999999999996</v>
          </cell>
          <cell r="X180">
            <v>-28.199999999999996</v>
          </cell>
          <cell r="Y180">
            <v>-27.299999999999997</v>
          </cell>
          <cell r="Z180">
            <v>-20.5</v>
          </cell>
          <cell r="AA180">
            <v>-13.899999999999999</v>
          </cell>
          <cell r="AD180">
            <v>-21.199999999999996</v>
          </cell>
          <cell r="AE180">
            <v>-28.199999999999996</v>
          </cell>
          <cell r="AF180">
            <v>-27.299999999999997</v>
          </cell>
          <cell r="AG180">
            <v>-20.5</v>
          </cell>
          <cell r="AH180">
            <v>-13.899999999999999</v>
          </cell>
          <cell r="AK180">
            <v>-25.2</v>
          </cell>
          <cell r="AL180">
            <v>-42.2</v>
          </cell>
          <cell r="AM180">
            <v>-31.5</v>
          </cell>
          <cell r="AN180">
            <v>-25.1</v>
          </cell>
          <cell r="AO180">
            <v>-18.5</v>
          </cell>
          <cell r="AR180">
            <v>36.700000000000003</v>
          </cell>
          <cell r="AS180">
            <v>37.5</v>
          </cell>
          <cell r="AT180">
            <v>36.299999999999997</v>
          </cell>
          <cell r="AU180">
            <v>35</v>
          </cell>
          <cell r="AV180">
            <v>36.799999999999997</v>
          </cell>
        </row>
        <row r="181">
          <cell r="D181" t="str">
            <v>AR</v>
          </cell>
          <cell r="G181">
            <v>38442</v>
          </cell>
          <cell r="I181">
            <v>332.37200000000001</v>
          </cell>
          <cell r="J181">
            <v>360.01600000000002</v>
          </cell>
          <cell r="W181">
            <v>-21.213000000000001</v>
          </cell>
          <cell r="X181">
            <v>-28.172999999999998</v>
          </cell>
          <cell r="AD181">
            <v>-21.213000000000001</v>
          </cell>
          <cell r="AE181">
            <v>-28.172999999999998</v>
          </cell>
          <cell r="AK181">
            <v>-26.291</v>
          </cell>
          <cell r="AL181">
            <v>-42.216000000000001</v>
          </cell>
          <cell r="AR181">
            <v>36.686</v>
          </cell>
          <cell r="AS181">
            <v>37.546999999999997</v>
          </cell>
        </row>
        <row r="183">
          <cell r="B183">
            <v>49</v>
          </cell>
          <cell r="C183" t="str">
            <v>Thus</v>
          </cell>
          <cell r="E183" t="str">
            <v>GBP m</v>
          </cell>
          <cell r="F183">
            <v>38077</v>
          </cell>
          <cell r="I183">
            <v>332.37200000000001</v>
          </cell>
          <cell r="J183">
            <v>360.01600000000002</v>
          </cell>
          <cell r="K183">
            <v>373.23883333333328</v>
          </cell>
          <cell r="L183">
            <v>401.42500000000007</v>
          </cell>
          <cell r="M183">
            <v>434.4375</v>
          </cell>
          <cell r="N183">
            <v>459.77324999999996</v>
          </cell>
          <cell r="P183" t="str">
            <v>na</v>
          </cell>
          <cell r="Q183">
            <v>40.237499999999997</v>
          </cell>
          <cell r="R183">
            <v>39.762500000000003</v>
          </cell>
          <cell r="S183">
            <v>45.55</v>
          </cell>
          <cell r="T183">
            <v>54.000000000000007</v>
          </cell>
          <cell r="U183">
            <v>68.004999999999995</v>
          </cell>
          <cell r="W183">
            <v>-21.213000000000001</v>
          </cell>
          <cell r="X183">
            <v>-28.172999999999998</v>
          </cell>
          <cell r="Y183">
            <v>-23.115041666666666</v>
          </cell>
          <cell r="Z183">
            <v>-14.552375</v>
          </cell>
          <cell r="AA183">
            <v>-4.9434999999999993</v>
          </cell>
          <cell r="AB183">
            <v>16.554500000000001</v>
          </cell>
          <cell r="AD183">
            <v>-21.213000000000001</v>
          </cell>
          <cell r="AE183">
            <v>-28.172999999999998</v>
          </cell>
          <cell r="AF183">
            <v>-23.140125000000001</v>
          </cell>
          <cell r="AG183">
            <v>-14.556875</v>
          </cell>
          <cell r="AH183">
            <v>-4.9434999999999993</v>
          </cell>
          <cell r="AI183">
            <v>16.554500000000001</v>
          </cell>
          <cell r="AK183">
            <v>-26.291</v>
          </cell>
          <cell r="AL183">
            <v>-42.216000000000001</v>
          </cell>
          <cell r="AM183">
            <v>-34.177</v>
          </cell>
          <cell r="AN183">
            <v>-26.700000000000003</v>
          </cell>
          <cell r="AO183">
            <v>-20.149999999999999</v>
          </cell>
          <cell r="AP183" t="str">
            <v>na</v>
          </cell>
          <cell r="AR183">
            <v>36.686</v>
          </cell>
          <cell r="AS183">
            <v>37.546999999999997</v>
          </cell>
          <cell r="AT183">
            <v>35.945583333333332</v>
          </cell>
          <cell r="AU183">
            <v>36.578375000000001</v>
          </cell>
          <cell r="AV183">
            <v>39.52975</v>
          </cell>
          <cell r="AW183" t="str">
            <v>na</v>
          </cell>
          <cell r="AY183" t="str">
            <v>na</v>
          </cell>
          <cell r="AZ183" t="str">
            <v>na</v>
          </cell>
          <cell r="BA183" t="str">
            <v>na</v>
          </cell>
          <cell r="BB183" t="str">
            <v>na</v>
          </cell>
          <cell r="BC183" t="str">
            <v>na</v>
          </cell>
          <cell r="BD183" t="str">
            <v>na</v>
          </cell>
          <cell r="BF183" t="str">
            <v>na</v>
          </cell>
          <cell r="BG183" t="str">
            <v>na</v>
          </cell>
          <cell r="BH183" t="str">
            <v>na</v>
          </cell>
          <cell r="BI183" t="str">
            <v>na</v>
          </cell>
          <cell r="BJ183" t="str">
            <v>na</v>
          </cell>
          <cell r="BK183" t="str">
            <v>na</v>
          </cell>
          <cell r="BM183" t="str">
            <v>na</v>
          </cell>
          <cell r="BN183" t="str">
            <v>na</v>
          </cell>
          <cell r="BO183" t="str">
            <v>na</v>
          </cell>
          <cell r="BP183" t="str">
            <v>na</v>
          </cell>
          <cell r="BQ183" t="str">
            <v>na</v>
          </cell>
          <cell r="BR183" t="str">
            <v>na</v>
          </cell>
        </row>
        <row r="184">
          <cell r="E184" t="str">
            <v>Calenderised</v>
          </cell>
          <cell r="F184">
            <v>0.75</v>
          </cell>
        </row>
        <row r="185">
          <cell r="C185" t="str">
            <v>Fixed Line Europe - Alternative Careers</v>
          </cell>
        </row>
        <row r="186">
          <cell r="D186" t="str">
            <v>Kempen &amp; Co</v>
          </cell>
          <cell r="E186" t="str">
            <v>Last brokers notes update:</v>
          </cell>
          <cell r="F186">
            <v>38666</v>
          </cell>
          <cell r="G186">
            <v>38551</v>
          </cell>
          <cell r="I186">
            <v>462.1</v>
          </cell>
          <cell r="J186">
            <v>600.70000000000005</v>
          </cell>
          <cell r="K186">
            <v>733.5</v>
          </cell>
          <cell r="L186">
            <v>865.6</v>
          </cell>
          <cell r="P186">
            <v>75.099999999999994</v>
          </cell>
          <cell r="Q186">
            <v>118.1</v>
          </cell>
          <cell r="R186">
            <v>121.9</v>
          </cell>
          <cell r="S186">
            <v>138.5</v>
          </cell>
          <cell r="AD186">
            <v>-54.7</v>
          </cell>
          <cell r="AE186">
            <v>-23.5</v>
          </cell>
          <cell r="AF186">
            <v>-72.7</v>
          </cell>
          <cell r="AG186">
            <v>-47.1</v>
          </cell>
          <cell r="AK186">
            <v>-43</v>
          </cell>
          <cell r="AL186">
            <v>-24.4</v>
          </cell>
          <cell r="AM186">
            <v>-47.1</v>
          </cell>
          <cell r="AN186">
            <v>-26.6</v>
          </cell>
          <cell r="AR186">
            <v>89</v>
          </cell>
          <cell r="AS186">
            <v>135.4</v>
          </cell>
          <cell r="AT186">
            <v>302.10000000000002</v>
          </cell>
          <cell r="AU186">
            <v>170.5</v>
          </cell>
        </row>
        <row r="187">
          <cell r="D187" t="str">
            <v>Fortis</v>
          </cell>
          <cell r="E187" t="str">
            <v>Last Datastream update:</v>
          </cell>
          <cell r="F187">
            <v>38679</v>
          </cell>
          <cell r="G187">
            <v>38568</v>
          </cell>
          <cell r="I187">
            <v>462.1</v>
          </cell>
          <cell r="J187">
            <v>600.70000000000005</v>
          </cell>
          <cell r="K187">
            <v>772.7</v>
          </cell>
          <cell r="L187">
            <v>925</v>
          </cell>
          <cell r="M187">
            <v>1090</v>
          </cell>
          <cell r="P187">
            <v>80.7</v>
          </cell>
          <cell r="Q187">
            <v>118.1</v>
          </cell>
          <cell r="R187">
            <v>136.6</v>
          </cell>
          <cell r="S187">
            <v>190</v>
          </cell>
          <cell r="T187">
            <v>255</v>
          </cell>
          <cell r="W187">
            <v>-54.1</v>
          </cell>
          <cell r="X187">
            <v>-23.5</v>
          </cell>
          <cell r="Y187">
            <v>-20.3</v>
          </cell>
          <cell r="Z187">
            <v>0</v>
          </cell>
          <cell r="AA187">
            <v>65</v>
          </cell>
          <cell r="AD187">
            <v>-54.1</v>
          </cell>
          <cell r="AE187">
            <v>-23.5</v>
          </cell>
          <cell r="AF187">
            <v>-30.3</v>
          </cell>
          <cell r="AG187">
            <v>-25</v>
          </cell>
          <cell r="AH187">
            <v>10</v>
          </cell>
          <cell r="AK187">
            <v>-42.2</v>
          </cell>
          <cell r="AL187">
            <v>-24.4</v>
          </cell>
          <cell r="AM187">
            <v>-20.6</v>
          </cell>
          <cell r="AN187">
            <v>-4</v>
          </cell>
          <cell r="AO187">
            <v>52</v>
          </cell>
          <cell r="AR187">
            <v>89</v>
          </cell>
          <cell r="AS187">
            <v>135.5</v>
          </cell>
          <cell r="AT187">
            <v>275</v>
          </cell>
          <cell r="AU187">
            <v>200</v>
          </cell>
          <cell r="AV187">
            <v>200</v>
          </cell>
        </row>
        <row r="188">
          <cell r="D188" t="str">
            <v>Rabo Securities</v>
          </cell>
          <cell r="G188">
            <v>38567</v>
          </cell>
          <cell r="J188">
            <v>600.70000000000005</v>
          </cell>
          <cell r="K188">
            <v>759.3</v>
          </cell>
          <cell r="L188">
            <v>885</v>
          </cell>
          <cell r="M188">
            <v>1004.7</v>
          </cell>
          <cell r="Q188">
            <v>118.1</v>
          </cell>
          <cell r="R188">
            <v>129.1</v>
          </cell>
          <cell r="S188">
            <v>174.3</v>
          </cell>
          <cell r="T188">
            <v>211</v>
          </cell>
          <cell r="X188">
            <v>-23.5</v>
          </cell>
          <cell r="Y188">
            <v>-24.5</v>
          </cell>
          <cell r="Z188">
            <v>14.7</v>
          </cell>
          <cell r="AA188">
            <v>45</v>
          </cell>
          <cell r="AE188">
            <v>-23.5</v>
          </cell>
          <cell r="AF188">
            <v>-37.5</v>
          </cell>
          <cell r="AG188">
            <v>-15.8</v>
          </cell>
          <cell r="AH188">
            <v>14.5</v>
          </cell>
          <cell r="AL188">
            <v>-24.4</v>
          </cell>
          <cell r="AM188">
            <v>-44.9</v>
          </cell>
          <cell r="AN188">
            <v>-21.8</v>
          </cell>
          <cell r="AO188">
            <v>7.1</v>
          </cell>
        </row>
        <row r="189">
          <cell r="D189" t="str">
            <v xml:space="preserve">ING </v>
          </cell>
          <cell r="G189">
            <v>38632</v>
          </cell>
          <cell r="J189">
            <v>600.70000000000005</v>
          </cell>
          <cell r="K189">
            <v>749.3</v>
          </cell>
          <cell r="L189">
            <v>875.9</v>
          </cell>
          <cell r="M189">
            <v>976.8</v>
          </cell>
          <cell r="Q189">
            <v>118</v>
          </cell>
          <cell r="R189">
            <v>109.6</v>
          </cell>
          <cell r="S189">
            <v>163.69999999999999</v>
          </cell>
          <cell r="T189">
            <v>197.2</v>
          </cell>
          <cell r="AE189">
            <v>-23.4</v>
          </cell>
          <cell r="AF189">
            <v>-12.3</v>
          </cell>
          <cell r="AG189">
            <v>-4.9000000000000004</v>
          </cell>
          <cell r="AH189">
            <v>51.7</v>
          </cell>
          <cell r="AL189">
            <v>-24.3</v>
          </cell>
          <cell r="AM189">
            <v>-43.3</v>
          </cell>
          <cell r="AN189">
            <v>-20.6</v>
          </cell>
          <cell r="AO189">
            <v>30.8</v>
          </cell>
        </row>
        <row r="190">
          <cell r="D190" t="str">
            <v>AR</v>
          </cell>
          <cell r="G190">
            <v>38352</v>
          </cell>
          <cell r="I190">
            <v>462.13900000000001</v>
          </cell>
          <cell r="J190">
            <v>600.67899999999997</v>
          </cell>
          <cell r="P190">
            <v>90.045999999999992</v>
          </cell>
          <cell r="Q190">
            <v>118.05399999999999</v>
          </cell>
          <cell r="W190">
            <v>-44.548000000000002</v>
          </cell>
          <cell r="X190">
            <v>-22.248000000000001</v>
          </cell>
          <cell r="AD190">
            <v>-44.758000000000003</v>
          </cell>
          <cell r="AE190">
            <v>-23.497</v>
          </cell>
          <cell r="AK190">
            <v>-32.878</v>
          </cell>
          <cell r="AL190">
            <v>-24.414000000000001</v>
          </cell>
          <cell r="AR190">
            <v>89.046999999999997</v>
          </cell>
          <cell r="AS190">
            <v>135.44800000000001</v>
          </cell>
        </row>
        <row r="192">
          <cell r="B192">
            <v>50</v>
          </cell>
          <cell r="C192" t="str">
            <v>Versatel</v>
          </cell>
          <cell r="E192" t="str">
            <v>EUR m</v>
          </cell>
          <cell r="F192">
            <v>38352</v>
          </cell>
          <cell r="I192">
            <v>462.113</v>
          </cell>
          <cell r="J192">
            <v>600.69580000000008</v>
          </cell>
          <cell r="K192">
            <v>753.7</v>
          </cell>
          <cell r="L192">
            <v>887.875</v>
          </cell>
          <cell r="M192">
            <v>1023.8333333333334</v>
          </cell>
          <cell r="N192" t="str">
            <v>na</v>
          </cell>
          <cell r="P192">
            <v>81.948666666666668</v>
          </cell>
          <cell r="Q192">
            <v>118.07079999999999</v>
          </cell>
          <cell r="R192">
            <v>124.30000000000001</v>
          </cell>
          <cell r="S192">
            <v>166.625</v>
          </cell>
          <cell r="T192">
            <v>221.06666666666669</v>
          </cell>
          <cell r="U192" t="str">
            <v>na</v>
          </cell>
          <cell r="W192">
            <v>-49.323999999999998</v>
          </cell>
          <cell r="X192">
            <v>-23.082666666666668</v>
          </cell>
          <cell r="Y192">
            <v>-22.4</v>
          </cell>
          <cell r="Z192">
            <v>7.35</v>
          </cell>
          <cell r="AA192">
            <v>55</v>
          </cell>
          <cell r="AB192" t="str">
            <v>na</v>
          </cell>
          <cell r="AD192">
            <v>-51.186000000000007</v>
          </cell>
          <cell r="AE192">
            <v>-23.479400000000002</v>
          </cell>
          <cell r="AF192">
            <v>-38.200000000000003</v>
          </cell>
          <cell r="AG192">
            <v>-23.2</v>
          </cell>
          <cell r="AH192">
            <v>25.400000000000002</v>
          </cell>
          <cell r="AI192" t="str">
            <v>na</v>
          </cell>
          <cell r="AK192">
            <v>-39.359333333333332</v>
          </cell>
          <cell r="AL192">
            <v>-24.382799999999996</v>
          </cell>
          <cell r="AM192">
            <v>-38.974999999999994</v>
          </cell>
          <cell r="AN192">
            <v>-18.25</v>
          </cell>
          <cell r="AO192">
            <v>29.966666666666669</v>
          </cell>
          <cell r="AP192" t="str">
            <v>na</v>
          </cell>
          <cell r="AR192">
            <v>89.015666666666675</v>
          </cell>
          <cell r="AS192">
            <v>135.44933333333333</v>
          </cell>
          <cell r="AT192">
            <v>288.55</v>
          </cell>
          <cell r="AU192">
            <v>185.25</v>
          </cell>
          <cell r="AV192">
            <v>200</v>
          </cell>
          <cell r="AW192" t="str">
            <v>na</v>
          </cell>
          <cell r="AY192" t="str">
            <v>na</v>
          </cell>
          <cell r="AZ192" t="str">
            <v>na</v>
          </cell>
          <cell r="BA192" t="str">
            <v>na</v>
          </cell>
          <cell r="BB192" t="str">
            <v>na</v>
          </cell>
          <cell r="BC192" t="str">
            <v>na</v>
          </cell>
          <cell r="BD192" t="str">
            <v>na</v>
          </cell>
          <cell r="BF192" t="str">
            <v>na</v>
          </cell>
          <cell r="BG192" t="str">
            <v>na</v>
          </cell>
          <cell r="BH192" t="str">
            <v>na</v>
          </cell>
          <cell r="BI192" t="str">
            <v>na</v>
          </cell>
          <cell r="BJ192" t="str">
            <v>na</v>
          </cell>
          <cell r="BK192" t="str">
            <v>na</v>
          </cell>
          <cell r="BM192" t="str">
            <v>na</v>
          </cell>
          <cell r="BN192" t="str">
            <v>na</v>
          </cell>
          <cell r="BO192" t="str">
            <v>na</v>
          </cell>
          <cell r="BP192" t="str">
            <v>na</v>
          </cell>
          <cell r="BQ192" t="str">
            <v>na</v>
          </cell>
          <cell r="BR192" t="str">
            <v>na</v>
          </cell>
        </row>
        <row r="193">
          <cell r="E193" t="str">
            <v>Calenderised</v>
          </cell>
          <cell r="F193">
            <v>0</v>
          </cell>
        </row>
        <row r="194">
          <cell r="C194" t="str">
            <v>Fixed Line Europe - Alternative Careers</v>
          </cell>
        </row>
        <row r="195">
          <cell r="D195" t="str">
            <v>Oppenheimer</v>
          </cell>
          <cell r="E195" t="str">
            <v>Last brokers notes update:</v>
          </cell>
          <cell r="F195">
            <v>38666</v>
          </cell>
          <cell r="G195">
            <v>38658</v>
          </cell>
          <cell r="I195">
            <v>1837.6</v>
          </cell>
          <cell r="J195">
            <v>1897.3</v>
          </cell>
          <cell r="K195">
            <v>2072.9</v>
          </cell>
          <cell r="L195">
            <v>2369.5</v>
          </cell>
          <cell r="M195">
            <v>2538.3000000000002</v>
          </cell>
          <cell r="N195">
            <v>2689</v>
          </cell>
          <cell r="Q195">
            <v>162</v>
          </cell>
          <cell r="R195">
            <v>182</v>
          </cell>
          <cell r="S195">
            <v>232</v>
          </cell>
          <cell r="T195">
            <v>262</v>
          </cell>
          <cell r="U195">
            <v>291</v>
          </cell>
          <cell r="AE195">
            <v>93.3</v>
          </cell>
          <cell r="AF195">
            <v>125</v>
          </cell>
          <cell r="AG195">
            <v>176</v>
          </cell>
          <cell r="AH195">
            <v>208</v>
          </cell>
          <cell r="AI195">
            <v>238</v>
          </cell>
          <cell r="AL195">
            <v>46.7</v>
          </cell>
          <cell r="AM195">
            <v>110</v>
          </cell>
          <cell r="AN195">
            <v>156</v>
          </cell>
          <cell r="AO195">
            <v>185</v>
          </cell>
          <cell r="AP195">
            <v>213</v>
          </cell>
          <cell r="AS195">
            <v>29.7</v>
          </cell>
          <cell r="AT195">
            <v>172</v>
          </cell>
          <cell r="AU195">
            <v>36</v>
          </cell>
          <cell r="AV195">
            <v>37</v>
          </cell>
          <cell r="AW195">
            <v>37</v>
          </cell>
        </row>
        <row r="196">
          <cell r="D196" t="str">
            <v>DZ Bank</v>
          </cell>
          <cell r="E196" t="str">
            <v>Last Datastream update:</v>
          </cell>
          <cell r="F196">
            <v>38679</v>
          </cell>
          <cell r="G196">
            <v>38573</v>
          </cell>
          <cell r="J196">
            <v>1900.5</v>
          </cell>
          <cell r="K196">
            <v>2032</v>
          </cell>
          <cell r="L196">
            <v>2241.6999999999998</v>
          </cell>
          <cell r="M196">
            <v>2404.4</v>
          </cell>
          <cell r="N196">
            <v>2540.1</v>
          </cell>
          <cell r="Q196">
            <v>165.4</v>
          </cell>
          <cell r="R196">
            <v>210.3</v>
          </cell>
          <cell r="S196">
            <v>241.2</v>
          </cell>
          <cell r="T196">
            <v>270.89999999999998</v>
          </cell>
          <cell r="U196">
            <v>299.39999999999998</v>
          </cell>
          <cell r="X196">
            <v>104.8</v>
          </cell>
          <cell r="Y196">
            <v>161.6</v>
          </cell>
          <cell r="Z196">
            <v>203</v>
          </cell>
          <cell r="AA196">
            <v>236.3</v>
          </cell>
          <cell r="AB196">
            <v>266.7</v>
          </cell>
          <cell r="AE196">
            <v>93</v>
          </cell>
          <cell r="AF196">
            <v>161.6</v>
          </cell>
          <cell r="AG196">
            <v>203</v>
          </cell>
          <cell r="AH196">
            <v>236.3</v>
          </cell>
          <cell r="AI196">
            <v>266.7</v>
          </cell>
          <cell r="AL196">
            <v>71</v>
          </cell>
          <cell r="AM196">
            <v>116.3</v>
          </cell>
          <cell r="AN196">
            <v>145.9</v>
          </cell>
          <cell r="AO196">
            <v>170.5</v>
          </cell>
          <cell r="AP196">
            <v>193.6</v>
          </cell>
        </row>
        <row r="197">
          <cell r="D197" t="str">
            <v>Citigroup</v>
          </cell>
          <cell r="G197">
            <v>38574</v>
          </cell>
          <cell r="I197">
            <v>1838.2</v>
          </cell>
          <cell r="J197">
            <v>1900.8</v>
          </cell>
          <cell r="K197">
            <v>2075.6</v>
          </cell>
          <cell r="L197">
            <v>2232</v>
          </cell>
          <cell r="M197">
            <v>2388.6</v>
          </cell>
          <cell r="N197">
            <v>2548.3000000000002</v>
          </cell>
          <cell r="P197">
            <v>334.7</v>
          </cell>
          <cell r="Q197">
            <v>165.7</v>
          </cell>
          <cell r="R197">
            <v>203.2</v>
          </cell>
          <cell r="S197">
            <v>257.3</v>
          </cell>
          <cell r="T197">
            <v>290.10000000000002</v>
          </cell>
          <cell r="U197">
            <v>323.60000000000002</v>
          </cell>
          <cell r="W197">
            <v>263.89999999999998</v>
          </cell>
          <cell r="X197">
            <v>105.2</v>
          </cell>
          <cell r="Y197">
            <v>140</v>
          </cell>
          <cell r="Z197">
            <v>204.7</v>
          </cell>
          <cell r="AA197">
            <v>236.4</v>
          </cell>
          <cell r="AB197">
            <v>267.8</v>
          </cell>
          <cell r="AD197">
            <v>253.4</v>
          </cell>
          <cell r="AE197">
            <v>93.4</v>
          </cell>
          <cell r="AF197">
            <v>140</v>
          </cell>
          <cell r="AG197">
            <v>204.7</v>
          </cell>
          <cell r="AH197">
            <v>236.4</v>
          </cell>
          <cell r="AI197">
            <v>267.8</v>
          </cell>
          <cell r="AL197">
            <v>73.900000000000006</v>
          </cell>
          <cell r="AM197">
            <v>58.5</v>
          </cell>
          <cell r="AN197">
            <v>57.7</v>
          </cell>
          <cell r="AO197">
            <v>80.7</v>
          </cell>
          <cell r="AP197">
            <v>93</v>
          </cell>
        </row>
        <row r="198">
          <cell r="D198" t="str">
            <v>AR</v>
          </cell>
          <cell r="G198">
            <v>38352</v>
          </cell>
          <cell r="I198">
            <v>1837.587</v>
          </cell>
          <cell r="J198">
            <v>1897.3230000000001</v>
          </cell>
          <cell r="P198">
            <v>334.74199999999996</v>
          </cell>
          <cell r="Q198">
            <v>165.63800000000001</v>
          </cell>
          <cell r="W198">
            <v>253.38399999999999</v>
          </cell>
          <cell r="X198">
            <v>93.293000000000006</v>
          </cell>
          <cell r="AD198">
            <v>253.38399999999999</v>
          </cell>
          <cell r="AE198">
            <v>93.293000000000006</v>
          </cell>
          <cell r="AK198">
            <v>168.035</v>
          </cell>
          <cell r="AL198">
            <v>71.337000000000003</v>
          </cell>
          <cell r="AS198">
            <v>30</v>
          </cell>
        </row>
        <row r="200">
          <cell r="B200">
            <v>51</v>
          </cell>
          <cell r="C200" t="str">
            <v>Mobilcom</v>
          </cell>
          <cell r="E200" t="str">
            <v>EUR m</v>
          </cell>
          <cell r="F200">
            <v>38717</v>
          </cell>
          <cell r="I200">
            <v>1837.587</v>
          </cell>
          <cell r="J200">
            <v>1897.3230000000001</v>
          </cell>
          <cell r="K200">
            <v>2060.1666666666665</v>
          </cell>
          <cell r="L200">
            <v>2281.0666666666666</v>
          </cell>
          <cell r="M200">
            <v>2443.7666666666669</v>
          </cell>
          <cell r="N200">
            <v>2592.4666666666667</v>
          </cell>
          <cell r="P200">
            <v>334.74199999999996</v>
          </cell>
          <cell r="Q200">
            <v>165.63800000000001</v>
          </cell>
          <cell r="R200">
            <v>198.5</v>
          </cell>
          <cell r="S200">
            <v>243.5</v>
          </cell>
          <cell r="T200">
            <v>274.33333333333331</v>
          </cell>
          <cell r="U200">
            <v>304.66666666666669</v>
          </cell>
          <cell r="W200">
            <v>253.38399999999999</v>
          </cell>
          <cell r="X200">
            <v>93.293000000000006</v>
          </cell>
          <cell r="Y200">
            <v>150.80000000000001</v>
          </cell>
          <cell r="Z200">
            <v>203.85</v>
          </cell>
          <cell r="AA200">
            <v>236.35000000000002</v>
          </cell>
          <cell r="AB200">
            <v>267.25</v>
          </cell>
          <cell r="AD200">
            <v>253.38399999999999</v>
          </cell>
          <cell r="AE200">
            <v>93.293000000000006</v>
          </cell>
          <cell r="AF200">
            <v>142.20000000000002</v>
          </cell>
          <cell r="AG200">
            <v>194.56666666666669</v>
          </cell>
          <cell r="AH200">
            <v>226.9</v>
          </cell>
          <cell r="AI200">
            <v>257.5</v>
          </cell>
          <cell r="AK200">
            <v>168.035</v>
          </cell>
          <cell r="AL200">
            <v>71.337000000000003</v>
          </cell>
          <cell r="AM200">
            <v>94.933333333333337</v>
          </cell>
          <cell r="AN200">
            <v>119.86666666666666</v>
          </cell>
          <cell r="AO200">
            <v>145.4</v>
          </cell>
          <cell r="AP200">
            <v>166.53333333333333</v>
          </cell>
          <cell r="AR200">
            <v>0</v>
          </cell>
          <cell r="AS200">
            <v>30</v>
          </cell>
          <cell r="AT200">
            <v>172</v>
          </cell>
          <cell r="AU200">
            <v>36</v>
          </cell>
          <cell r="AV200">
            <v>37</v>
          </cell>
          <cell r="AW200">
            <v>37</v>
          </cell>
          <cell r="AY200" t="str">
            <v>na</v>
          </cell>
          <cell r="AZ200" t="str">
            <v>na</v>
          </cell>
          <cell r="BA200" t="str">
            <v>na</v>
          </cell>
          <cell r="BB200" t="str">
            <v>na</v>
          </cell>
          <cell r="BC200" t="str">
            <v>na</v>
          </cell>
          <cell r="BD200" t="str">
            <v>na</v>
          </cell>
          <cell r="BF200" t="str">
            <v>na</v>
          </cell>
          <cell r="BG200" t="str">
            <v>na</v>
          </cell>
          <cell r="BH200" t="str">
            <v>na</v>
          </cell>
          <cell r="BI200" t="str">
            <v>na</v>
          </cell>
          <cell r="BJ200" t="str">
            <v>na</v>
          </cell>
          <cell r="BK200" t="str">
            <v>na</v>
          </cell>
          <cell r="BM200" t="str">
            <v>na</v>
          </cell>
          <cell r="BN200" t="str">
            <v>na</v>
          </cell>
          <cell r="BO200" t="str">
            <v>na</v>
          </cell>
          <cell r="BP200" t="str">
            <v>na</v>
          </cell>
          <cell r="BQ200" t="str">
            <v>na</v>
          </cell>
          <cell r="BR200" t="str">
            <v>na</v>
          </cell>
        </row>
        <row r="201">
          <cell r="E201" t="str">
            <v>Calenderised</v>
          </cell>
          <cell r="F201">
            <v>0</v>
          </cell>
        </row>
        <row r="202">
          <cell r="C202">
            <v>0</v>
          </cell>
        </row>
        <row r="203">
          <cell r="E203" t="str">
            <v>Last brokers notes update:</v>
          </cell>
          <cell r="F203">
            <v>38253</v>
          </cell>
        </row>
        <row r="204">
          <cell r="E204" t="str">
            <v>Last Datastream update:</v>
          </cell>
          <cell r="F204">
            <v>38679</v>
          </cell>
        </row>
        <row r="208">
          <cell r="B208">
            <v>52</v>
          </cell>
          <cell r="C208" t="str">
            <v>Firm52</v>
          </cell>
          <cell r="E208">
            <v>0</v>
          </cell>
          <cell r="F208">
            <v>0</v>
          </cell>
          <cell r="I208" t="str">
            <v>na</v>
          </cell>
          <cell r="J208" t="str">
            <v>na</v>
          </cell>
          <cell r="K208" t="str">
            <v>na</v>
          </cell>
          <cell r="L208" t="str">
            <v>na</v>
          </cell>
          <cell r="M208" t="str">
            <v>na</v>
          </cell>
          <cell r="N208" t="str">
            <v>na</v>
          </cell>
          <cell r="P208" t="str">
            <v>na</v>
          </cell>
          <cell r="Q208" t="str">
            <v>na</v>
          </cell>
          <cell r="R208" t="str">
            <v>na</v>
          </cell>
          <cell r="S208" t="str">
            <v>na</v>
          </cell>
          <cell r="T208" t="str">
            <v>na</v>
          </cell>
          <cell r="U208" t="str">
            <v>na</v>
          </cell>
          <cell r="W208" t="str">
            <v>na</v>
          </cell>
          <cell r="X208" t="str">
            <v>na</v>
          </cell>
          <cell r="Y208" t="str">
            <v>na</v>
          </cell>
          <cell r="Z208" t="str">
            <v>na</v>
          </cell>
          <cell r="AA208" t="str">
            <v>na</v>
          </cell>
          <cell r="AB208" t="str">
            <v>na</v>
          </cell>
          <cell r="AD208" t="str">
            <v>na</v>
          </cell>
          <cell r="AE208" t="str">
            <v>na</v>
          </cell>
          <cell r="AF208" t="str">
            <v>na</v>
          </cell>
          <cell r="AG208" t="str">
            <v>na</v>
          </cell>
          <cell r="AH208" t="str">
            <v>na</v>
          </cell>
          <cell r="AI208" t="str">
            <v>na</v>
          </cell>
          <cell r="AK208" t="str">
            <v>na</v>
          </cell>
          <cell r="AL208" t="str">
            <v>na</v>
          </cell>
          <cell r="AM208" t="str">
            <v>na</v>
          </cell>
          <cell r="AN208" t="str">
            <v>na</v>
          </cell>
          <cell r="AO208" t="str">
            <v>na</v>
          </cell>
          <cell r="AP208" t="str">
            <v>na</v>
          </cell>
          <cell r="AR208" t="str">
            <v>na</v>
          </cell>
          <cell r="AS208" t="str">
            <v>na</v>
          </cell>
          <cell r="AT208" t="str">
            <v>na</v>
          </cell>
          <cell r="AU208" t="str">
            <v>na</v>
          </cell>
          <cell r="AV208" t="str">
            <v>na</v>
          </cell>
          <cell r="AW208" t="str">
            <v>na</v>
          </cell>
          <cell r="AY208" t="str">
            <v>na</v>
          </cell>
          <cell r="AZ208" t="str">
            <v>na</v>
          </cell>
          <cell r="BA208" t="str">
            <v>na</v>
          </cell>
          <cell r="BB208" t="str">
            <v>na</v>
          </cell>
          <cell r="BC208" t="str">
            <v>na</v>
          </cell>
          <cell r="BD208" t="str">
            <v>na</v>
          </cell>
          <cell r="BF208" t="str">
            <v>na</v>
          </cell>
          <cell r="BG208" t="str">
            <v>na</v>
          </cell>
          <cell r="BH208" t="str">
            <v>na</v>
          </cell>
          <cell r="BI208" t="str">
            <v>na</v>
          </cell>
          <cell r="BJ208" t="str">
            <v>na</v>
          </cell>
          <cell r="BK208" t="str">
            <v>na</v>
          </cell>
          <cell r="BM208" t="str">
            <v>na</v>
          </cell>
          <cell r="BN208" t="str">
            <v>na</v>
          </cell>
          <cell r="BO208" t="str">
            <v>na</v>
          </cell>
          <cell r="BP208" t="str">
            <v>na</v>
          </cell>
          <cell r="BQ208" t="str">
            <v>na</v>
          </cell>
          <cell r="BR208" t="str">
            <v>na</v>
          </cell>
        </row>
        <row r="209">
          <cell r="E209" t="str">
            <v>Calenderised</v>
          </cell>
          <cell r="F209">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ING"/>
      <sheetName val="Fixed (Nicky right)"/>
      <sheetName val="Cellular  (Hannah working)"/>
      <sheetName val="Fixed"/>
      <sheetName val="Euro Fixed"/>
      <sheetName val="Fixed ADRs"/>
      <sheetName val="Fixed US-L.Amer-Asian Comps"/>
      <sheetName val="Fixed Comparisons"/>
      <sheetName val="Euro Cellular"/>
      <sheetName val="Cellular "/>
      <sheetName val="Cellular ADRs"/>
      <sheetName val="Cell US-Lat.Amer-Asian Comps"/>
      <sheetName val="Cellular Comparisons"/>
      <sheetName val="Euro Equip"/>
      <sheetName val="Equip"/>
      <sheetName val="Equip ADRs"/>
      <sheetName val="Recomms"/>
      <sheetName val="PUREFIX"/>
      <sheetName val="CoC-DCF"/>
      <sheetName val="Module1"/>
      <sheetName val="Module2"/>
      <sheetName val="Module3"/>
      <sheetName val="Module4"/>
      <sheetName val="Equipment Comparison"/>
      <sheetName val="Fixed &amp; Cellular Comparisons"/>
      <sheetName val="Keys to Value"/>
      <sheetName val="Sheet1"/>
      <sheetName val="Module5"/>
      <sheetName val="Fixed Comparisons Old"/>
    </sheetNames>
    <sheetDataSet>
      <sheetData sheetId="0" refreshError="1"/>
      <sheetData sheetId="1" refreshError="1"/>
      <sheetData sheetId="2" refreshError="1"/>
      <sheetData sheetId="3" refreshError="1">
        <row r="9">
          <cell r="A9">
            <v>990</v>
          </cell>
          <cell r="H9">
            <v>31.230283911671926</v>
          </cell>
          <cell r="I9">
            <v>156.71952784680428</v>
          </cell>
          <cell r="K9">
            <v>11.195893324300583</v>
          </cell>
          <cell r="O9">
            <v>1.9191919191919191E-2</v>
          </cell>
        </row>
        <row r="10">
          <cell r="H10">
            <v>28.526391167539874</v>
          </cell>
          <cell r="I10">
            <v>144.09087595676158</v>
          </cell>
          <cell r="K10">
            <v>10.011150896713893</v>
          </cell>
          <cell r="O10">
            <v>2.0592929292929295E-2</v>
          </cell>
        </row>
        <row r="11">
          <cell r="A11" t="str">
            <v>2 Outperform</v>
          </cell>
        </row>
        <row r="60">
          <cell r="A60">
            <v>93.437303999999997</v>
          </cell>
        </row>
        <row r="62">
          <cell r="A62" t="str">
            <v>2 Outperform</v>
          </cell>
        </row>
        <row r="70">
          <cell r="A70">
            <v>398.07</v>
          </cell>
        </row>
        <row r="71">
          <cell r="O71">
            <v>2.3865149345592484E-2</v>
          </cell>
        </row>
        <row r="72">
          <cell r="A72" t="str">
            <v>2-Outperform</v>
          </cell>
        </row>
        <row r="80">
          <cell r="A80">
            <v>74.908288999999996</v>
          </cell>
          <cell r="H80">
            <v>62.22400016024833</v>
          </cell>
          <cell r="I80">
            <v>274.05584667264179</v>
          </cell>
          <cell r="K80">
            <v>8.321529453022956</v>
          </cell>
          <cell r="O80">
            <v>2.2885127095690495E-2</v>
          </cell>
        </row>
        <row r="81">
          <cell r="H81">
            <v>48.912422865753001</v>
          </cell>
          <cell r="I81">
            <v>236.96980215734496</v>
          </cell>
          <cell r="K81">
            <v>7.9752924151963276</v>
          </cell>
          <cell r="O81">
            <v>2.2885127095690495E-2</v>
          </cell>
        </row>
        <row r="82">
          <cell r="A82" t="str">
            <v>3 Neutral</v>
          </cell>
        </row>
        <row r="90">
          <cell r="A90">
            <v>18588.191999999999</v>
          </cell>
        </row>
        <row r="92">
          <cell r="A92" t="str">
            <v>1 Buy</v>
          </cell>
        </row>
        <row r="100">
          <cell r="A100">
            <v>7930.8053286000004</v>
          </cell>
          <cell r="O100">
            <v>0</v>
          </cell>
        </row>
        <row r="101">
          <cell r="O101">
            <v>0</v>
          </cell>
        </row>
        <row r="102">
          <cell r="A102">
            <v>0</v>
          </cell>
        </row>
        <row r="110">
          <cell r="A110">
            <v>7658.4124000000002</v>
          </cell>
          <cell r="I110">
            <v>76.914570856329433</v>
          </cell>
          <cell r="K110">
            <v>6.6443417376202314</v>
          </cell>
          <cell r="O110">
            <v>2.2881374212754602E-2</v>
          </cell>
        </row>
        <row r="111">
          <cell r="H111">
            <v>16.452199764822947</v>
          </cell>
          <cell r="I111">
            <v>73.023523146129364</v>
          </cell>
          <cell r="K111">
            <v>8.0782892020650454</v>
          </cell>
          <cell r="O111">
            <v>2.8871519115371731E-2</v>
          </cell>
        </row>
        <row r="112">
          <cell r="A112" t="str">
            <v>3- Neutral</v>
          </cell>
        </row>
        <row r="120">
          <cell r="A120">
            <v>0</v>
          </cell>
          <cell r="H120">
            <v>0</v>
          </cell>
          <cell r="I120">
            <v>0</v>
          </cell>
          <cell r="K120">
            <v>1.7475385440639548</v>
          </cell>
          <cell r="O120" t="e">
            <v>#DIV/0!</v>
          </cell>
        </row>
        <row r="121">
          <cell r="H121">
            <v>0</v>
          </cell>
          <cell r="I121">
            <v>0</v>
          </cell>
          <cell r="K121">
            <v>1.4616786746737813</v>
          </cell>
          <cell r="O121" t="e">
            <v>#DIV/0!</v>
          </cell>
        </row>
      </sheetData>
      <sheetData sheetId="4" refreshError="1">
        <row r="70">
          <cell r="H70">
            <v>67.767602339181281</v>
          </cell>
          <cell r="I70">
            <v>0</v>
          </cell>
          <cell r="K70">
            <v>10.655393889853887</v>
          </cell>
        </row>
        <row r="100">
          <cell r="H100">
            <v>0</v>
          </cell>
          <cell r="I100">
            <v>0</v>
          </cell>
          <cell r="K100">
            <v>0</v>
          </cell>
        </row>
        <row r="101">
          <cell r="H101">
            <v>0</v>
          </cell>
          <cell r="I101">
            <v>0</v>
          </cell>
          <cell r="K101">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BS"/>
      <sheetName val="Value Matrix"/>
      <sheetName val="Deals"/>
      <sheetName val="Cable Comps"/>
      <sheetName val="NC-ONO"/>
      <sheetName val="NC"/>
      <sheetName val="NC DCF"/>
      <sheetName val="ONO"/>
      <sheetName val="ONO DCF"/>
      <sheetName val="PresFin"/>
      <sheetName val="BS EURO"/>
      <sheetName val="IS EURO"/>
      <sheetName val="NC CF Euro"/>
      <sheetName val="Summary LF"/>
      <sheetName val="Forecast &amp; Analysi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 Debt"/>
      <sheetName val="JV"/>
      <sheetName val="Sheet2"/>
      <sheetName val="Sheet3"/>
      <sheetName val="Cost"/>
    </sheetNames>
    <sheetDataSet>
      <sheetData sheetId="0" refreshError="1">
        <row r="9">
          <cell r="W9">
            <v>1.63</v>
          </cell>
        </row>
      </sheetData>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Panel"/>
      <sheetName val="Tabella Riassuntiva"/>
      <sheetName val="LL Assumptions"/>
      <sheetName val="Tables"/>
      <sheetName val="Dependencies"/>
      <sheetName val="Data Switching 1.0"/>
      <sheetName val="Switch Graphics 1.0"/>
      <sheetName val="Area 1"/>
      <sheetName val="Area 2"/>
      <sheetName val="Area 3"/>
      <sheetName val="Input geografico"/>
      <sheetName val="Internet"/>
      <sheetName val="TD"/>
      <sheetName val="Leased Lines"/>
      <sheetName val="X25-SNA"/>
      <sheetName val="Frame Relay"/>
      <sheetName val="FR per SNA+Intranet"/>
      <sheetName val="Internet Business"/>
      <sheetName val="Broad Band Services"/>
      <sheetName val="Internet Business dial up "/>
      <sheetName val="Intranet dial up"/>
      <sheetName val="Internet consumer - dial up"/>
      <sheetName val="Ind.Internet consumer - dial up"/>
      <sheetName val="Summary"/>
      <sheetName val="costs driver FR"/>
      <sheetName val="Frame Relay per Man"/>
      <sheetName val="Frame Relay per Man -2Mbit"/>
      <sheetName val="Frame Relay opex&amp;capex"/>
      <sheetName val="Leased Lines for FR"/>
      <sheetName val="Equipment for FR"/>
      <sheetName val="Assumptions - FR"/>
      <sheetName val="Summary FR"/>
      <sheetName val="Price Concept"/>
      <sheetName val="C_E Frame Relay"/>
      <sheetName val="costs driver dial-up"/>
      <sheetName val="Dial-up Opex&amp;Capex Intranet"/>
      <sheetName val="Dial-up Opex&amp;Capex Consumer"/>
      <sheetName val="Leased Lines for IP"/>
      <sheetName val="Equipment for IP"/>
      <sheetName val="Price dialup concept"/>
      <sheetName val="C_E Internet"/>
      <sheetName val="ReVeues"/>
      <sheetName val="Infostrada MS - FR"/>
      <sheetName val="Infostrada MS - Internet (2)"/>
      <sheetName val="Market Summary"/>
      <sheetName val="Sheet1"/>
      <sheetName val="Price"/>
      <sheetName val="TERLB"/>
      <sheetName val="DATA_Summary"/>
      <sheetName val="Modello Dati rel.7"/>
      <sheetName val="100% Debt"/>
      <sheetName val="Modello%20Dati%20rel.7.xls"/>
    </sheetNames>
    <definedNames>
      <definedName name="get_trunks"/>
      <definedName name="TERLB.TERLB"/>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2006 -YPSO"/>
      <sheetName val="Statistics YPSO"/>
      <sheetName val="P&amp;L - month 2006 Numéricable"/>
      <sheetName val="Synthèse Stats Numéricable"/>
      <sheetName val="Investments 2006 Numericable"/>
      <sheetName val="Numericable Balance sheet "/>
      <sheetName val="cash 2006 Numericable"/>
      <sheetName val="Hypotheses"/>
      <sheetName val="Comparatif V14 vs V15"/>
      <sheetName val="CA NC+FTC"/>
      <sheetName val="Pdm 2006 v.0"/>
      <sheetName val="Pdm 2006 v.1"/>
      <sheetName val="Bulk"/>
      <sheetName val="Stats existant"/>
      <sheetName val="Stats Nouveau"/>
      <sheetName val="TV Cable-Call Center-C+"/>
      <sheetName val="Drivers"/>
      <sheetName val="CA NCN 04-09 2005"/>
      <sheetName val="CA FTC 04-09 2005"/>
      <sheetName val="CA CdE 04-09 2005"/>
      <sheetName val="Pdm Q4 20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èse"/>
      <sheetName val="P&amp;L"/>
      <sheetName val="cash flow"/>
      <sheetName val="Capex"/>
      <sheetName val="Balance Sheet"/>
      <sheetName val="Indicateurs"/>
      <sheetName val="Emploi ressource"/>
      <sheetName val="Paramètres OPEN"/>
      <sheetName val="Budget V15"/>
    </sheetNames>
    <sheetDataSet>
      <sheetData sheetId="0"/>
      <sheetData sheetId="1" refreshError="1"/>
      <sheetData sheetId="2"/>
      <sheetData sheetId="3" refreshError="1"/>
      <sheetData sheetId="4" refreshError="1"/>
      <sheetData sheetId="5"/>
      <sheetData sheetId="6"/>
      <sheetData sheetId="7" refreshError="1">
        <row r="19">
          <cell r="B19" t="str">
            <v>CONSO</v>
          </cell>
        </row>
      </sheetData>
      <sheetData sheetId="8"/>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Integ"/>
      <sheetName val="Version Ctrl"/>
      <sheetName val="Summary"/>
      <sheetName val="Book"/>
      <sheetName val="OpAss"/>
      <sheetName val="RevAss"/>
      <sheetName val="Scn"/>
      <sheetName val="spare"/>
      <sheetName val="CFlow"/>
      <sheetName val="Acc"/>
      <sheetName val="Tax"/>
      <sheetName val="PIP"/>
      <sheetName val="OpSum"/>
      <sheetName val="Q-Rev"/>
      <sheetName val="S-Rev"/>
      <sheetName val="S-Exp"/>
      <sheetName val="Capex"/>
      <sheetName val="Depn"/>
      <sheetName val="Pres"/>
      <sheetName val="Sheet1"/>
      <sheetName val="FinAss"/>
      <sheetName val="Debt"/>
      <sheetName val="Cov"/>
    </sheetNames>
    <sheetDataSet>
      <sheetData sheetId="0" refreshError="1"/>
      <sheetData sheetId="1" refreshError="1">
        <row r="16">
          <cell r="H16" t="str">
            <v>Check</v>
          </cell>
        </row>
        <row r="34">
          <cell r="H34" t="str">
            <v>Update Log</v>
          </cell>
        </row>
      </sheetData>
      <sheetData sheetId="2" refreshError="1"/>
      <sheetData sheetId="3" refreshError="1"/>
      <sheetData sheetId="4"/>
      <sheetData sheetId="5" refreshError="1">
        <row r="36">
          <cell r="D36">
            <v>34608</v>
          </cell>
          <cell r="E36">
            <v>38899</v>
          </cell>
          <cell r="F36">
            <v>41091</v>
          </cell>
          <cell r="G36">
            <v>45777</v>
          </cell>
        </row>
        <row r="37">
          <cell r="D37">
            <v>58</v>
          </cell>
          <cell r="E37">
            <v>58</v>
          </cell>
          <cell r="F37">
            <v>0</v>
          </cell>
          <cell r="G37">
            <v>0</v>
          </cell>
        </row>
        <row r="38">
          <cell r="D38">
            <v>0</v>
          </cell>
          <cell r="E38">
            <v>92</v>
          </cell>
          <cell r="F38">
            <v>92</v>
          </cell>
          <cell r="G38">
            <v>92</v>
          </cell>
        </row>
        <row r="39">
          <cell r="D39">
            <v>97</v>
          </cell>
          <cell r="E39">
            <v>97</v>
          </cell>
          <cell r="F39">
            <v>97</v>
          </cell>
          <cell r="G39">
            <v>97</v>
          </cell>
        </row>
        <row r="40">
          <cell r="D40">
            <v>67</v>
          </cell>
          <cell r="E40">
            <v>67</v>
          </cell>
          <cell r="F40">
            <v>67</v>
          </cell>
          <cell r="G40">
            <v>67</v>
          </cell>
        </row>
        <row r="41">
          <cell r="D41">
            <v>42</v>
          </cell>
          <cell r="E41">
            <v>42</v>
          </cell>
          <cell r="F41">
            <v>42</v>
          </cell>
          <cell r="G41">
            <v>42</v>
          </cell>
        </row>
        <row r="42">
          <cell r="D42">
            <v>60</v>
          </cell>
          <cell r="E42">
            <v>60</v>
          </cell>
          <cell r="F42">
            <v>60</v>
          </cell>
          <cell r="G42">
            <v>60</v>
          </cell>
        </row>
      </sheetData>
      <sheetData sheetId="6" refreshError="1">
        <row r="24">
          <cell r="E24">
            <v>2013</v>
          </cell>
          <cell r="F24">
            <v>2018</v>
          </cell>
          <cell r="G24">
            <v>2023</v>
          </cell>
          <cell r="H24">
            <v>2028</v>
          </cell>
          <cell r="I24">
            <v>2033</v>
          </cell>
        </row>
        <row r="26">
          <cell r="E26">
            <v>5.4999999999999997E-3</v>
          </cell>
          <cell r="F26">
            <v>0</v>
          </cell>
          <cell r="G26">
            <v>0</v>
          </cell>
          <cell r="H26">
            <v>0</v>
          </cell>
          <cell r="I26">
            <v>0</v>
          </cell>
        </row>
        <row r="27">
          <cell r="E27">
            <v>5.4999999999999997E-3</v>
          </cell>
          <cell r="F27">
            <v>0</v>
          </cell>
          <cell r="G27">
            <v>0</v>
          </cell>
          <cell r="H27">
            <v>0</v>
          </cell>
          <cell r="I27">
            <v>0</v>
          </cell>
        </row>
        <row r="28">
          <cell r="E28">
            <v>0</v>
          </cell>
          <cell r="F28">
            <v>0</v>
          </cell>
          <cell r="G28">
            <v>0</v>
          </cell>
          <cell r="H28">
            <v>0</v>
          </cell>
          <cell r="I28">
            <v>0</v>
          </cell>
        </row>
        <row r="29">
          <cell r="E29">
            <v>0</v>
          </cell>
          <cell r="F29">
            <v>0</v>
          </cell>
          <cell r="G29">
            <v>0</v>
          </cell>
          <cell r="H29">
            <v>0</v>
          </cell>
          <cell r="I29">
            <v>0</v>
          </cell>
        </row>
        <row r="30">
          <cell r="E30">
            <v>5.4999999999999997E-3</v>
          </cell>
          <cell r="F30">
            <v>0</v>
          </cell>
          <cell r="G30">
            <v>0</v>
          </cell>
          <cell r="H30">
            <v>0</v>
          </cell>
          <cell r="I30">
            <v>0</v>
          </cell>
        </row>
        <row r="33">
          <cell r="E33">
            <v>5.4999999999999997E-3</v>
          </cell>
          <cell r="F33">
            <v>0</v>
          </cell>
          <cell r="G33">
            <v>0</v>
          </cell>
          <cell r="H33">
            <v>0</v>
          </cell>
          <cell r="I33">
            <v>0</v>
          </cell>
        </row>
        <row r="34">
          <cell r="E34">
            <v>5.4999999999999997E-3</v>
          </cell>
          <cell r="F34">
            <v>0</v>
          </cell>
          <cell r="G34">
            <v>0</v>
          </cell>
          <cell r="H34">
            <v>0</v>
          </cell>
          <cell r="I34">
            <v>0</v>
          </cell>
        </row>
        <row r="35">
          <cell r="E35">
            <v>0</v>
          </cell>
          <cell r="F35">
            <v>0</v>
          </cell>
          <cell r="G35">
            <v>0</v>
          </cell>
          <cell r="H35">
            <v>0</v>
          </cell>
          <cell r="I35">
            <v>0</v>
          </cell>
        </row>
        <row r="36">
          <cell r="E36">
            <v>0</v>
          </cell>
          <cell r="F36">
            <v>0</v>
          </cell>
          <cell r="G36">
            <v>0</v>
          </cell>
          <cell r="H36">
            <v>0</v>
          </cell>
          <cell r="I36">
            <v>0</v>
          </cell>
        </row>
        <row r="37">
          <cell r="E37">
            <v>5.4999999999999997E-3</v>
          </cell>
          <cell r="F37">
            <v>0</v>
          </cell>
          <cell r="G37">
            <v>0</v>
          </cell>
          <cell r="H37">
            <v>0</v>
          </cell>
          <cell r="I37">
            <v>0</v>
          </cell>
        </row>
        <row r="42">
          <cell r="E42">
            <v>5.4999999999999997E-3</v>
          </cell>
          <cell r="F42">
            <v>0</v>
          </cell>
          <cell r="G42">
            <v>0</v>
          </cell>
          <cell r="H42">
            <v>0</v>
          </cell>
          <cell r="I42">
            <v>0</v>
          </cell>
        </row>
        <row r="43">
          <cell r="E43">
            <v>5.4999999999999997E-3</v>
          </cell>
          <cell r="F43">
            <v>0</v>
          </cell>
          <cell r="G43">
            <v>0</v>
          </cell>
          <cell r="H43">
            <v>0</v>
          </cell>
          <cell r="I43">
            <v>0</v>
          </cell>
        </row>
        <row r="44">
          <cell r="E44">
            <v>0</v>
          </cell>
          <cell r="F44">
            <v>0</v>
          </cell>
          <cell r="G44">
            <v>0</v>
          </cell>
          <cell r="H44">
            <v>0</v>
          </cell>
          <cell r="I44">
            <v>0</v>
          </cell>
        </row>
        <row r="45">
          <cell r="E45">
            <v>0</v>
          </cell>
          <cell r="F45">
            <v>0</v>
          </cell>
          <cell r="G45">
            <v>0</v>
          </cell>
          <cell r="H45">
            <v>0</v>
          </cell>
          <cell r="I45">
            <v>0</v>
          </cell>
        </row>
        <row r="46">
          <cell r="E46">
            <v>5.4999999999999997E-3</v>
          </cell>
          <cell r="F46">
            <v>0</v>
          </cell>
          <cell r="G46">
            <v>0</v>
          </cell>
          <cell r="H46">
            <v>0</v>
          </cell>
          <cell r="I46">
            <v>0</v>
          </cell>
        </row>
        <row r="49">
          <cell r="E49">
            <v>5.4999999999999997E-3</v>
          </cell>
          <cell r="F49">
            <v>0</v>
          </cell>
          <cell r="G49">
            <v>0</v>
          </cell>
          <cell r="H49">
            <v>0</v>
          </cell>
          <cell r="I49">
            <v>0</v>
          </cell>
        </row>
        <row r="50">
          <cell r="E50">
            <v>5.4999999999999997E-3</v>
          </cell>
          <cell r="F50">
            <v>0</v>
          </cell>
          <cell r="G50">
            <v>0</v>
          </cell>
          <cell r="H50">
            <v>0</v>
          </cell>
          <cell r="I50">
            <v>0</v>
          </cell>
        </row>
        <row r="51">
          <cell r="E51">
            <v>0</v>
          </cell>
          <cell r="F51">
            <v>0</v>
          </cell>
          <cell r="G51">
            <v>0</v>
          </cell>
          <cell r="H51">
            <v>0</v>
          </cell>
          <cell r="I51">
            <v>0</v>
          </cell>
        </row>
        <row r="52">
          <cell r="E52">
            <v>0</v>
          </cell>
          <cell r="F52">
            <v>0</v>
          </cell>
          <cell r="G52">
            <v>0</v>
          </cell>
          <cell r="H52">
            <v>0</v>
          </cell>
          <cell r="I52">
            <v>0</v>
          </cell>
        </row>
        <row r="53">
          <cell r="E53">
            <v>5.4999999999999997E-3</v>
          </cell>
          <cell r="F53">
            <v>0</v>
          </cell>
          <cell r="G53">
            <v>0</v>
          </cell>
          <cell r="H53">
            <v>0</v>
          </cell>
          <cell r="I53">
            <v>0</v>
          </cell>
        </row>
        <row r="98">
          <cell r="D98">
            <v>4</v>
          </cell>
        </row>
      </sheetData>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al  value DCF"/>
      <sheetName val="IRR"/>
      <sheetName val="Revenues"/>
      <sheetName val="SumMeet"/>
      <sheetName val="Usage"/>
      <sheetName val="Ratios"/>
      <sheetName val="Costs"/>
      <sheetName val="Valuation"/>
      <sheetName val="Normalised FCF 2007"/>
      <sheetName val="EVA"/>
      <sheetName val="Normalised FCF"/>
      <sheetName val="Terminal  value EVA"/>
      <sheetName val="Sensitivity"/>
      <sheetName val="Payback (no disc.)"/>
      <sheetName val="Payback"/>
      <sheetName val="RevAss"/>
      <sheetName val="CFlow"/>
      <sheetName val="Integ"/>
      <sheetName val="OpAss"/>
    </sheetNames>
    <sheetDataSet>
      <sheetData sheetId="0" refreshError="1">
        <row r="1">
          <cell r="C1">
            <v>0.05</v>
          </cell>
        </row>
      </sheetData>
      <sheetData sheetId="1" refreshError="1">
        <row r="5">
          <cell r="D5">
            <v>0</v>
          </cell>
        </row>
        <row r="6">
          <cell r="D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s"/>
      <sheetName val="BP"/>
      <sheetName val="Actual"/>
      <sheetName val="BP vs actual"/>
      <sheetName val="C-ULL BP vs Actual"/>
      <sheetName val="C - Nat adres"/>
      <sheetName val="Forecasts"/>
      <sheetName val="Exhibits"/>
      <sheetName val="C-retail voice rev"/>
      <sheetName val="C-retail data rev"/>
      <sheetName val="C-whol rev"/>
      <sheetName val="C-BP rev"/>
      <sheetName val="C-BP retail rev"/>
      <sheetName val="C-BP wholesale rev"/>
      <sheetName val="C-BP-actual total rev"/>
      <sheetName val="C-BP-actual retail rev"/>
      <sheetName val="C-BP-actual wholesale rev"/>
    </sheetNames>
    <sheetDataSet>
      <sheetData sheetId="0" refreshError="1">
        <row r="4">
          <cell r="C4">
            <v>3</v>
          </cell>
        </row>
        <row r="5">
          <cell r="C5">
            <v>1000000</v>
          </cell>
        </row>
        <row r="6">
          <cell r="C6">
            <v>1000</v>
          </cell>
        </row>
      </sheetData>
      <sheetData sheetId="1"/>
      <sheetData sheetId="2"/>
      <sheetData sheetId="3"/>
      <sheetData sheetId="4" refreshError="1"/>
      <sheetData sheetId="5" refreshError="1"/>
      <sheetData sheetId="6" refreshError="1">
        <row r="116">
          <cell r="J116">
            <v>172.61990163699565</v>
          </cell>
        </row>
        <row r="117">
          <cell r="G117">
            <v>107.07116062172423</v>
          </cell>
          <cell r="H117">
            <v>127.79085061347337</v>
          </cell>
          <cell r="I117">
            <v>158.51893467973142</v>
          </cell>
        </row>
        <row r="128">
          <cell r="F128">
            <v>4.8927299590227194E-2</v>
          </cell>
          <cell r="G128">
            <v>7.6000000000000012E-2</v>
          </cell>
          <cell r="H128">
            <v>0.13100000000000001</v>
          </cell>
          <cell r="I128">
            <v>0.1636</v>
          </cell>
          <cell r="J128">
            <v>0.16666666666666666</v>
          </cell>
        </row>
        <row r="129">
          <cell r="F129">
            <v>2.4863972972682144E-4</v>
          </cell>
          <cell r="G129">
            <v>1.6000000000000004E-2</v>
          </cell>
          <cell r="H129">
            <v>4.8800000000000003E-2</v>
          </cell>
          <cell r="I129">
            <v>6.3600000000000004E-2</v>
          </cell>
          <cell r="J129">
            <v>6.6666666666666652E-2</v>
          </cell>
        </row>
        <row r="226">
          <cell r="F226">
            <v>3965.473818748309</v>
          </cell>
          <cell r="G226">
            <v>3877.0778014475345</v>
          </cell>
          <cell r="H226">
            <v>3790.6522563354033</v>
          </cell>
          <cell r="I226">
            <v>3706.1532588012292</v>
          </cell>
          <cell r="J226">
            <v>3623.5378633759919</v>
          </cell>
        </row>
        <row r="227">
          <cell r="F227">
            <v>2482.3484773499617</v>
          </cell>
          <cell r="G227">
            <v>2237.7107396366237</v>
          </cell>
          <cell r="H227">
            <v>2017.1822771759651</v>
          </cell>
          <cell r="I227">
            <v>1818.3870985995136</v>
          </cell>
          <cell r="J227">
            <v>1639.1833686850887</v>
          </cell>
        </row>
        <row r="245">
          <cell r="F245">
            <v>3965.473818748309</v>
          </cell>
          <cell r="G245">
            <v>3877.0778014475345</v>
          </cell>
          <cell r="H245">
            <v>3790.6522563354033</v>
          </cell>
          <cell r="I245">
            <v>3706.1532588012292</v>
          </cell>
          <cell r="J245">
            <v>3623.5378633759919</v>
          </cell>
        </row>
        <row r="246">
          <cell r="F246">
            <v>2482.3484773499617</v>
          </cell>
          <cell r="G246">
            <v>1766.8926843562442</v>
          </cell>
          <cell r="H246">
            <v>1257.6436332437975</v>
          </cell>
          <cell r="I246">
            <v>895.16897219761233</v>
          </cell>
          <cell r="J246">
            <v>637.16578178708119</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Controls"/>
      <sheetName val="Sources &amp; Uses"/>
      <sheetName val="Summary"/>
      <sheetName val="Scenarii"/>
      <sheetName val="P&amp;L"/>
      <sheetName val="CashFlow"/>
      <sheetName val="Debt"/>
      <sheetName val="Revenues"/>
      <sheetName val="OpEx"/>
      <sheetName val="CapEx"/>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otheses"/>
      <sheetName val="Synthèse"/>
      <sheetName val="P&amp;L BUDGET 2007"/>
      <sheetName val="Synthèse Parcs"/>
      <sheetName val="Détail OPEX"/>
      <sheetName val="Balance sheet Ypso "/>
      <sheetName val="cash flow Ypso"/>
      <sheetName val="FORECAST 2006 V14"/>
      <sheetName val="Emploi ressource Ypso"/>
      <sheetName val="Détail bilan"/>
      <sheetName val="WC"/>
      <sheetName val="Capex"/>
      <sheetName val="GUIDELINES"/>
      <sheetName val="Budget interets fi 2006F&amp;2007"/>
      <sheetName val="Budget interets fi 2006F&amp;20 (2)"/>
      <sheetName val="Parcs"/>
      <sheetName val="Drivers"/>
      <sheetName val="Autre CA"/>
      <sheetName val="CA Budget"/>
      <sheetName val="ARPU"/>
      <sheetName val="CA CODA 2006"/>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s"/>
      <sheetName val="BB"/>
      <sheetName val="Market"/>
      <sheetName val="HillSamuel"/>
      <sheetName val="FS"/>
      <sheetName val="Ops"/>
      <sheetName val="H2s (a)"/>
      <sheetName val="Staff"/>
      <sheetName val="Global Export"/>
      <sheetName val="Planet"/>
      <sheetName val="CoC"/>
      <sheetName val="DCF"/>
      <sheetName val="Valuation"/>
      <sheetName val="Shares"/>
      <sheetName val="Sheet1"/>
      <sheetName val="Exhibits"/>
      <sheetName val="CIT"/>
      <sheetName val="Comps"/>
      <sheetName val="LLs"/>
      <sheetName val="IPO est.s"/>
      <sheetName val="Datapage"/>
      <sheetName val="Datapage (EUR)"/>
      <sheetName val="Millennium_Equities(EGS)"/>
      <sheetName val="UCS"/>
      <sheetName val="Notes"/>
    </sheetNames>
    <sheetDataSet>
      <sheetData sheetId="0" refreshError="1"/>
      <sheetData sheetId="1" refreshError="1">
        <row r="5">
          <cell r="A5" t="str">
            <v>Price</v>
          </cell>
          <cell r="B5" t="str">
            <v>Year</v>
          </cell>
          <cell r="C5" t="str">
            <v>Sales</v>
          </cell>
          <cell r="D5" t="str">
            <v>EBITDA</v>
          </cell>
          <cell r="E5" t="str">
            <v>Pre-tax</v>
          </cell>
          <cell r="F5" t="str">
            <v>EPS</v>
          </cell>
          <cell r="G5" t="str">
            <v>EPS</v>
          </cell>
          <cell r="H5" t="str">
            <v>P/E</v>
          </cell>
          <cell r="I5" t="str">
            <v>P/E</v>
          </cell>
          <cell r="L5" t="str">
            <v>Firm Val/</v>
          </cell>
          <cell r="M5" t="str">
            <v>Firm Val/</v>
          </cell>
          <cell r="N5" t="str">
            <v>CEPS</v>
          </cell>
          <cell r="O5" t="str">
            <v>P/CE</v>
          </cell>
          <cell r="P5" t="str">
            <v>Div</v>
          </cell>
          <cell r="Q5" t="str">
            <v>Gross</v>
          </cell>
          <cell r="R5" t="str">
            <v>Payout</v>
          </cell>
        </row>
        <row r="6">
          <cell r="A6" t="str">
            <v>Mkt Cap</v>
          </cell>
          <cell r="B6" t="str">
            <v>to</v>
          </cell>
          <cell r="C6" t="str">
            <v xml:space="preserve"> </v>
          </cell>
          <cell r="D6" t="str">
            <v xml:space="preserve"> </v>
          </cell>
          <cell r="E6" t="str">
            <v>Profits</v>
          </cell>
          <cell r="F6" t="str">
            <v xml:space="preserve"> </v>
          </cell>
          <cell r="G6" t="str">
            <v xml:space="preserve"> +/-</v>
          </cell>
          <cell r="H6" t="str">
            <v xml:space="preserve"> </v>
          </cell>
          <cell r="I6" t="str">
            <v>Rel</v>
          </cell>
          <cell r="L6" t="str">
            <v>Sales</v>
          </cell>
          <cell r="M6" t="str">
            <v>EBITDA</v>
          </cell>
          <cell r="N6" t="str">
            <v xml:space="preserve"> </v>
          </cell>
          <cell r="O6" t="str">
            <v xml:space="preserve"> </v>
          </cell>
          <cell r="P6" t="str">
            <v xml:space="preserve"> </v>
          </cell>
          <cell r="Q6" t="str">
            <v>Yield</v>
          </cell>
          <cell r="R6" t="str">
            <v>Ratio</v>
          </cell>
        </row>
        <row r="7">
          <cell r="A7" t="str">
            <v>Rating</v>
          </cell>
          <cell r="B7" t="str">
            <v>Mar</v>
          </cell>
          <cell r="C7" t="str">
            <v>£m</v>
          </cell>
          <cell r="D7" t="str">
            <v>£m</v>
          </cell>
          <cell r="E7" t="str">
            <v>£m</v>
          </cell>
          <cell r="F7" t="str">
            <v>p</v>
          </cell>
          <cell r="G7" t="str">
            <v>%</v>
          </cell>
          <cell r="H7" t="str">
            <v>x</v>
          </cell>
          <cell r="I7" t="str">
            <v xml:space="preserve"> </v>
          </cell>
          <cell r="L7" t="str">
            <v>x</v>
          </cell>
          <cell r="M7" t="str">
            <v>x</v>
          </cell>
          <cell r="N7" t="str">
            <v>p</v>
          </cell>
          <cell r="O7" t="str">
            <v>x</v>
          </cell>
          <cell r="P7" t="str">
            <v>p</v>
          </cell>
          <cell r="Q7" t="str">
            <v>%</v>
          </cell>
          <cell r="R7" t="str">
            <v xml:space="preserve">% </v>
          </cell>
        </row>
        <row r="8">
          <cell r="A8" t="str">
            <v xml:space="preserve"> </v>
          </cell>
          <cell r="B8" t="str">
            <v xml:space="preserve"> </v>
          </cell>
          <cell r="C8" t="str">
            <v xml:space="preserve"> </v>
          </cell>
          <cell r="D8" t="str">
            <v xml:space="preserve"> </v>
          </cell>
          <cell r="E8" t="str">
            <v xml:space="preserve"> </v>
          </cell>
          <cell r="F8" t="str">
            <v xml:space="preserve"> </v>
          </cell>
          <cell r="G8" t="str">
            <v xml:space="preserve"> </v>
          </cell>
          <cell r="H8" t="str">
            <v xml:space="preserve"> </v>
          </cell>
          <cell r="I8" t="str">
            <v xml:space="preserve"> </v>
          </cell>
          <cell r="M8" t="str">
            <v xml:space="preserve"> </v>
          </cell>
          <cell r="N8" t="str">
            <v xml:space="preserve"> </v>
          </cell>
          <cell r="O8" t="str">
            <v xml:space="preserve"> </v>
          </cell>
          <cell r="P8" t="str">
            <v xml:space="preserve"> </v>
          </cell>
          <cell r="Q8" t="str">
            <v xml:space="preserve"> </v>
          </cell>
          <cell r="R8" t="str">
            <v xml:space="preserve"> </v>
          </cell>
        </row>
        <row r="9">
          <cell r="A9" t="str">
            <v xml:space="preserve"> </v>
          </cell>
          <cell r="B9" t="str">
            <v>97A</v>
          </cell>
          <cell r="C9">
            <v>97.105000000000004</v>
          </cell>
          <cell r="D9">
            <v>-14.292999999999999</v>
          </cell>
          <cell r="E9">
            <v>-77.515000000000001</v>
          </cell>
          <cell r="F9">
            <v>-31.31390521359976</v>
          </cell>
          <cell r="G9" t="str">
            <v>nm</v>
          </cell>
          <cell r="H9" t="str">
            <v>nm</v>
          </cell>
          <cell r="I9" t="str">
            <v>nm</v>
          </cell>
          <cell r="L9">
            <v>55.309210591112709</v>
          </cell>
          <cell r="M9" t="str">
            <v>n/a</v>
          </cell>
          <cell r="N9">
            <v>-10.998338062907639</v>
          </cell>
          <cell r="O9" t="str">
            <v>n/a</v>
          </cell>
          <cell r="P9">
            <v>0</v>
          </cell>
          <cell r="Q9">
            <v>0</v>
          </cell>
          <cell r="R9">
            <v>0</v>
          </cell>
        </row>
        <row r="10">
          <cell r="A10">
            <v>1709</v>
          </cell>
          <cell r="B10" t="str">
            <v>98A</v>
          </cell>
          <cell r="C10">
            <v>167.90199999999999</v>
          </cell>
          <cell r="D10">
            <v>16.143000000000001</v>
          </cell>
          <cell r="E10">
            <v>-62.012</v>
          </cell>
          <cell r="F10">
            <v>-22.016242945723086</v>
          </cell>
          <cell r="G10" t="str">
            <v>nm</v>
          </cell>
          <cell r="H10" t="str">
            <v>nm</v>
          </cell>
          <cell r="I10" t="str">
            <v>nm</v>
          </cell>
          <cell r="L10">
            <v>30.014835406665792</v>
          </cell>
          <cell r="M10">
            <v>312.18180601189368</v>
          </cell>
          <cell r="N10">
            <v>-6.5328796728257851E-2</v>
          </cell>
          <cell r="O10" t="str">
            <v>n/a</v>
          </cell>
          <cell r="P10">
            <v>0</v>
          </cell>
          <cell r="Q10">
            <v>0</v>
          </cell>
          <cell r="R10">
            <v>0</v>
          </cell>
        </row>
        <row r="11">
          <cell r="A11">
            <v>4990.1108944500002</v>
          </cell>
          <cell r="B11" t="str">
            <v>99A</v>
          </cell>
          <cell r="C11">
            <v>285.46199999999999</v>
          </cell>
          <cell r="D11">
            <v>49.67</v>
          </cell>
          <cell r="E11">
            <v>-32.999000000000002</v>
          </cell>
          <cell r="F11">
            <v>-11.003455065711901</v>
          </cell>
          <cell r="G11" t="str">
            <v>nm</v>
          </cell>
          <cell r="H11" t="str">
            <v>nm</v>
          </cell>
          <cell r="I11" t="str">
            <v>n/a</v>
          </cell>
          <cell r="L11">
            <v>18.286981635063324</v>
          </cell>
          <cell r="M11">
            <v>105.09841657959426</v>
          </cell>
          <cell r="N11">
            <v>11.413400464375325</v>
          </cell>
          <cell r="O11">
            <v>149.7362688126388</v>
          </cell>
          <cell r="P11">
            <v>0</v>
          </cell>
          <cell r="Q11">
            <v>0</v>
          </cell>
          <cell r="R11">
            <v>0</v>
          </cell>
        </row>
        <row r="12">
          <cell r="A12" t="str">
            <v>4 Underperform</v>
          </cell>
          <cell r="B12" t="str">
            <v>00E</v>
          </cell>
          <cell r="C12">
            <v>421.33749999999998</v>
          </cell>
          <cell r="D12">
            <v>99.711518963347132</v>
          </cell>
          <cell r="E12">
            <v>-17.733991026380973</v>
          </cell>
          <cell r="F12">
            <v>-6.0734904103620124</v>
          </cell>
          <cell r="G12" t="str">
            <v>nm</v>
          </cell>
          <cell r="H12" t="str">
            <v>nm</v>
          </cell>
          <cell r="I12" t="str">
            <v>n/a</v>
          </cell>
          <cell r="L12">
            <v>12.686799273271745</v>
          </cell>
          <cell r="M12">
            <v>53.608894382273462</v>
          </cell>
          <cell r="N12">
            <v>22.839635744785987</v>
          </cell>
          <cell r="O12">
            <v>74.826061987006256</v>
          </cell>
          <cell r="P12">
            <v>0</v>
          </cell>
          <cell r="Q12">
            <v>0</v>
          </cell>
          <cell r="R12">
            <v>0</v>
          </cell>
        </row>
        <row r="18">
          <cell r="A18" t="str">
            <v>Price</v>
          </cell>
          <cell r="B18" t="str">
            <v>Year</v>
          </cell>
          <cell r="C18" t="str">
            <v>Sales</v>
          </cell>
          <cell r="D18" t="str">
            <v>EBITDA</v>
          </cell>
          <cell r="E18" t="str">
            <v>Pre-tax</v>
          </cell>
          <cell r="F18" t="str">
            <v>EPS</v>
          </cell>
          <cell r="G18" t="str">
            <v>EPS</v>
          </cell>
          <cell r="H18" t="str">
            <v>P/E</v>
          </cell>
          <cell r="I18" t="str">
            <v>P/E</v>
          </cell>
          <cell r="J18" t="str">
            <v>Net</v>
          </cell>
          <cell r="K18" t="str">
            <v>Firm</v>
          </cell>
          <cell r="L18" t="str">
            <v>Firm Val/</v>
          </cell>
          <cell r="M18" t="str">
            <v>Firm Val/</v>
          </cell>
          <cell r="N18" t="str">
            <v>CEPS</v>
          </cell>
          <cell r="O18" t="str">
            <v>P/CE</v>
          </cell>
          <cell r="P18" t="str">
            <v>Div</v>
          </cell>
          <cell r="Q18" t="str">
            <v>Gross</v>
          </cell>
          <cell r="R18" t="str">
            <v>Payout</v>
          </cell>
        </row>
        <row r="19">
          <cell r="A19" t="str">
            <v>Mkt Cap</v>
          </cell>
          <cell r="B19" t="str">
            <v>to</v>
          </cell>
          <cell r="C19" t="str">
            <v xml:space="preserve"> </v>
          </cell>
          <cell r="D19" t="str">
            <v xml:space="preserve"> </v>
          </cell>
          <cell r="E19" t="str">
            <v>Profits</v>
          </cell>
          <cell r="F19" t="str">
            <v xml:space="preserve"> </v>
          </cell>
          <cell r="G19" t="str">
            <v xml:space="preserve"> +/-</v>
          </cell>
          <cell r="H19" t="str">
            <v xml:space="preserve"> </v>
          </cell>
          <cell r="I19" t="str">
            <v>Rel</v>
          </cell>
          <cell r="J19" t="str">
            <v>Debt</v>
          </cell>
          <cell r="K19" t="str">
            <v>Value</v>
          </cell>
          <cell r="L19" t="str">
            <v>Sales</v>
          </cell>
          <cell r="M19" t="str">
            <v>EBITDA</v>
          </cell>
          <cell r="N19" t="str">
            <v xml:space="preserve"> </v>
          </cell>
          <cell r="O19" t="str">
            <v xml:space="preserve"> </v>
          </cell>
          <cell r="P19" t="str">
            <v xml:space="preserve"> </v>
          </cell>
          <cell r="Q19" t="str">
            <v>Yield</v>
          </cell>
          <cell r="R19" t="str">
            <v>Ratio</v>
          </cell>
        </row>
        <row r="20">
          <cell r="A20" t="str">
            <v>Rating</v>
          </cell>
          <cell r="B20" t="str">
            <v>Mar</v>
          </cell>
          <cell r="C20" t="str">
            <v>$m</v>
          </cell>
          <cell r="D20" t="str">
            <v>$m</v>
          </cell>
          <cell r="E20" t="str">
            <v>$m</v>
          </cell>
          <cell r="F20" t="str">
            <v>$</v>
          </cell>
          <cell r="G20" t="str">
            <v>%</v>
          </cell>
          <cell r="H20" t="str">
            <v>x</v>
          </cell>
          <cell r="I20" t="str">
            <v xml:space="preserve"> </v>
          </cell>
          <cell r="J20" t="str">
            <v>$m</v>
          </cell>
          <cell r="K20" t="str">
            <v>$m</v>
          </cell>
          <cell r="L20" t="str">
            <v>x</v>
          </cell>
          <cell r="M20" t="str">
            <v>x</v>
          </cell>
          <cell r="N20" t="str">
            <v>$</v>
          </cell>
          <cell r="O20" t="str">
            <v>x</v>
          </cell>
          <cell r="P20" t="str">
            <v>$</v>
          </cell>
          <cell r="Q20" t="str">
            <v>%</v>
          </cell>
          <cell r="R20" t="str">
            <v xml:space="preserve">% </v>
          </cell>
        </row>
        <row r="21">
          <cell r="A21" t="str">
            <v xml:space="preserve"> </v>
          </cell>
          <cell r="B21" t="str">
            <v xml:space="preserve"> </v>
          </cell>
          <cell r="C21" t="str">
            <v xml:space="preserve"> </v>
          </cell>
          <cell r="D21" t="str">
            <v xml:space="preserve"> </v>
          </cell>
          <cell r="E21" t="str">
            <v xml:space="preserve"> </v>
          </cell>
          <cell r="F21" t="str">
            <v xml:space="preserve"> </v>
          </cell>
          <cell r="G21" t="str">
            <v xml:space="preserve"> </v>
          </cell>
          <cell r="H21" t="str">
            <v xml:space="preserve"> </v>
          </cell>
          <cell r="I21" t="str">
            <v xml:space="preserve"> </v>
          </cell>
          <cell r="M21" t="str">
            <v xml:space="preserve"> </v>
          </cell>
          <cell r="N21" t="str">
            <v xml:space="preserve"> </v>
          </cell>
          <cell r="O21" t="str">
            <v xml:space="preserve"> </v>
          </cell>
          <cell r="P21" t="str">
            <v xml:space="preserve"> </v>
          </cell>
          <cell r="Q21" t="str">
            <v xml:space="preserve"> </v>
          </cell>
          <cell r="R21" t="str">
            <v xml:space="preserve"> </v>
          </cell>
        </row>
        <row r="22">
          <cell r="A22" t="str">
            <v xml:space="preserve"> </v>
          </cell>
          <cell r="B22" t="str">
            <v>97A</v>
          </cell>
          <cell r="C22">
            <v>156.95081150000001</v>
          </cell>
          <cell r="D22">
            <v>-23.1017759</v>
          </cell>
          <cell r="E22">
            <v>-125.28749450000001</v>
          </cell>
          <cell r="F22">
            <v>-2.5306332498370647</v>
          </cell>
          <cell r="G22" t="str">
            <v>n/a</v>
          </cell>
          <cell r="H22" t="str">
            <v>n/a</v>
          </cell>
          <cell r="I22" t="str">
            <v>nm</v>
          </cell>
          <cell r="J22">
            <v>615.30924700000003</v>
          </cell>
          <cell r="K22">
            <v>8680.8254856995354</v>
          </cell>
          <cell r="L22">
            <v>55.309210591112709</v>
          </cell>
          <cell r="M22" t="str">
            <v>n/a</v>
          </cell>
          <cell r="N22">
            <v>-0.88883069055388086</v>
          </cell>
          <cell r="O22" t="str">
            <v>n/a</v>
          </cell>
          <cell r="P22">
            <v>0</v>
          </cell>
          <cell r="Q22">
            <v>0</v>
          </cell>
          <cell r="R22">
            <v>0</v>
          </cell>
        </row>
        <row r="23">
          <cell r="A23">
            <v>138.11283500000002</v>
          </cell>
          <cell r="B23" t="str">
            <v>98A</v>
          </cell>
          <cell r="C23">
            <v>271.38000260000001</v>
          </cell>
          <cell r="D23">
            <v>26.091930900000001</v>
          </cell>
          <cell r="E23">
            <v>-100.22999560000001</v>
          </cell>
          <cell r="F23">
            <v>-1.7792426736586111</v>
          </cell>
          <cell r="G23" t="str">
            <v>n/a</v>
          </cell>
          <cell r="H23" t="str">
            <v>n/a</v>
          </cell>
          <cell r="I23" t="str">
            <v>nm</v>
          </cell>
          <cell r="J23">
            <v>79.909871999999993</v>
          </cell>
          <cell r="K23">
            <v>8145.4261106995355</v>
          </cell>
          <cell r="L23">
            <v>30.014835406665792</v>
          </cell>
          <cell r="M23">
            <v>312.18180601189368</v>
          </cell>
          <cell r="N23">
            <v>-5.2795467075941582E-3</v>
          </cell>
          <cell r="O23" t="str">
            <v>n/a</v>
          </cell>
          <cell r="P23">
            <v>0</v>
          </cell>
          <cell r="Q23">
            <v>0</v>
          </cell>
          <cell r="R23">
            <v>0</v>
          </cell>
        </row>
        <row r="24">
          <cell r="A24">
            <v>8065.5162386995353</v>
          </cell>
          <cell r="B24" t="str">
            <v>99A</v>
          </cell>
          <cell r="C24">
            <v>461.3922306</v>
          </cell>
          <cell r="D24">
            <v>80.281621000000001</v>
          </cell>
          <cell r="E24">
            <v>-53.336283700000003</v>
          </cell>
          <cell r="F24">
            <v>-0.88924422113550738</v>
          </cell>
          <cell r="G24" t="str">
            <v>n/a</v>
          </cell>
          <cell r="H24" t="str">
            <v>n/a</v>
          </cell>
          <cell r="I24" t="str">
            <v>n/a</v>
          </cell>
          <cell r="J24">
            <v>371.9550088435663</v>
          </cell>
          <cell r="K24">
            <v>8437.4712475431024</v>
          </cell>
          <cell r="L24">
            <v>18.286981635063324</v>
          </cell>
          <cell r="M24">
            <v>105.09841657959426</v>
          </cell>
          <cell r="N24">
            <v>0.92237395852849191</v>
          </cell>
          <cell r="O24">
            <v>149.7362688126388</v>
          </cell>
          <cell r="P24">
            <v>0</v>
          </cell>
          <cell r="Q24">
            <v>0</v>
          </cell>
          <cell r="R24">
            <v>0</v>
          </cell>
        </row>
        <row r="25">
          <cell r="A25" t="str">
            <v>4 Underperform</v>
          </cell>
          <cell r="B25" t="str">
            <v>00E</v>
          </cell>
          <cell r="C25">
            <v>681.00780124999994</v>
          </cell>
          <cell r="D25">
            <v>161.16372810045797</v>
          </cell>
          <cell r="E25">
            <v>-28.663449695939569</v>
          </cell>
          <cell r="F25">
            <v>-0.49082912751340607</v>
          </cell>
          <cell r="G25" t="str">
            <v>n/a</v>
          </cell>
          <cell r="H25" t="str">
            <v>n/a</v>
          </cell>
          <cell r="I25" t="str">
            <v>n/a</v>
          </cell>
          <cell r="J25">
            <v>574.29303929135347</v>
          </cell>
          <cell r="K25">
            <v>8639.8092779908893</v>
          </cell>
          <cell r="L25">
            <v>12.686799273271747</v>
          </cell>
          <cell r="M25">
            <v>53.608894382273462</v>
          </cell>
          <cell r="N25">
            <v>1.8457851627148796</v>
          </cell>
          <cell r="O25">
            <v>74.826061987006256</v>
          </cell>
          <cell r="P25">
            <v>0</v>
          </cell>
          <cell r="Q25">
            <v>0</v>
          </cell>
          <cell r="R25">
            <v>0</v>
          </cell>
        </row>
      </sheetData>
      <sheetData sheetId="2" refreshError="1"/>
      <sheetData sheetId="3" refreshError="1"/>
      <sheetData sheetId="4" refreshError="1">
        <row r="39">
          <cell r="E39">
            <v>167902</v>
          </cell>
          <cell r="F39">
            <v>285462</v>
          </cell>
          <cell r="G39">
            <v>421337.5</v>
          </cell>
          <cell r="H39">
            <v>551181.125</v>
          </cell>
        </row>
        <row r="66">
          <cell r="E66">
            <v>-22.016242945723086</v>
          </cell>
          <cell r="F66">
            <v>-10.361310017680221</v>
          </cell>
          <cell r="G66">
            <v>-4.7892003142986619</v>
          </cell>
          <cell r="H66">
            <v>7.6775223024536228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rs"/>
      <sheetName val="Neth. DSL Mkt - LB"/>
      <sheetName val="ARPU - Nx Data"/>
      <sheetName val="Capex - Nx Data"/>
      <sheetName val="Depreciation"/>
      <sheetName val="Working Capital"/>
      <sheetName val="Gross Margin Graph"/>
      <sheetName val="Summary"/>
      <sheetName val="Assump. &amp; Sens."/>
      <sheetName val="Output - Sensitivities"/>
      <sheetName val="DCF"/>
      <sheetName val="Unlevered Model"/>
      <sheetName val="Debt Model"/>
      <sheetName val="Financed Model"/>
      <sheetName val="Capitalization"/>
      <sheetName val="Europe DSL Mkt - LB"/>
      <sheetName val="Salaries"/>
      <sheetName val="Sheet1"/>
      <sheetName val="Sheet2"/>
      <sheetName val="Sources &amp; U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2003 Transaction"/>
      <sheetName val="SourcesUses (Prez)"/>
      <sheetName val="cov_output"/>
      <sheetName val="Covenants"/>
      <sheetName val="Assumptions BAH"/>
      <sheetName val="2004 monthly actual"/>
      <sheetName val="2005 monthly budget"/>
      <sheetName val="Assumptions"/>
      <sheetName val="P&amp;L"/>
      <sheetName val="CF"/>
      <sheetName val="BS"/>
      <sheetName val="To Pitch"/>
      <sheetName val="Summary"/>
      <sheetName val="Debt &amp; Obligations"/>
      <sheetName val="Assets &amp; Deferred Rights"/>
      <sheetName val="current Trading and historicals"/>
      <sheetName val="Macro Assumptions"/>
      <sheetName val="SourcesUses - initial"/>
      <sheetName val="Fees"/>
      <sheetName val="Management Case"/>
      <sheetName val="SourcesUses - Recap"/>
      <sheetName val="Dutch Ad market - BNPP"/>
      <sheetName val="Module1"/>
    </sheetNames>
    <sheetDataSet>
      <sheetData sheetId="0"/>
      <sheetData sheetId="1" refreshError="1">
        <row r="33">
          <cell r="C33">
            <v>5</v>
          </cell>
        </row>
      </sheetData>
      <sheetData sheetId="2"/>
      <sheetData sheetId="3"/>
      <sheetData sheetId="4"/>
      <sheetData sheetId="5"/>
      <sheetData sheetId="6"/>
      <sheetData sheetId="7"/>
      <sheetData sheetId="8" refreshError="1">
        <row r="25">
          <cell r="J25" t="str">
            <v>3. Banking Case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proforma 2000"/>
      <sheetName val="Assumption"/>
      <sheetName val="WC"/>
      <sheetName val="D&amp;A"/>
      <sheetName val="Availability"/>
      <sheetName val="Tasse"/>
      <sheetName val="Repayment"/>
      <sheetName val="PL-CF-BS"/>
      <sheetName val="Availability Ratios"/>
      <sheetName val="Debt Ratios"/>
    </sheetNames>
    <sheetDataSet>
      <sheetData sheetId="0" refreshError="1"/>
      <sheetData sheetId="1" refreshError="1"/>
      <sheetData sheetId="2" refreshError="1">
        <row r="7">
          <cell r="F7">
            <v>440</v>
          </cell>
        </row>
        <row r="9">
          <cell r="B9">
            <v>180</v>
          </cell>
        </row>
        <row r="12">
          <cell r="B12">
            <v>9.1749999999999998E-2</v>
          </cell>
        </row>
        <row r="39">
          <cell r="B39">
            <v>155</v>
          </cell>
        </row>
        <row r="41">
          <cell r="B41">
            <v>7.6499999999999999E-2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hypotesis"/>
      <sheetName val="Jazztel market (lines)"/>
      <sheetName val="Jazztel tariffs"/>
      <sheetName val="Revenues"/>
      <sheetName val="Penetration"/>
      <sheetName val="Elasticities"/>
      <sheetName val="ciudades"/>
      <sheetName val="clientes"/>
      <sheetName val="Jazztel Traffic behaviour"/>
      <sheetName val="Jazztel traffic"/>
      <sheetName val="Other services hypotesis"/>
    </sheetNames>
    <sheetDataSet>
      <sheetData sheetId="0" refreshError="1">
        <row r="24">
          <cell r="A24" t="str">
            <v>Number of lines Residential</v>
          </cell>
          <cell r="B24">
            <v>12033579.000000006</v>
          </cell>
          <cell r="C24">
            <v>12259231.999999996</v>
          </cell>
          <cell r="D24">
            <v>12504416.639999997</v>
          </cell>
          <cell r="E24">
            <v>12685317.512474464</v>
          </cell>
          <cell r="F24">
            <v>13003839.438266734</v>
          </cell>
          <cell r="G24">
            <v>13275001.867380343</v>
          </cell>
          <cell r="H24">
            <v>13547868.774968838</v>
          </cell>
          <cell r="I24">
            <v>13822128.107878141</v>
          </cell>
          <cell r="J24">
            <v>14097437.873299291</v>
          </cell>
          <cell r="K24">
            <v>14373424.074372003</v>
          </cell>
          <cell r="L24">
            <v>14649678.517763583</v>
          </cell>
          <cell r="M24">
            <v>14925756.485636812</v>
          </cell>
          <cell r="N24">
            <v>15201174.263980508</v>
          </cell>
          <cell r="O24">
            <v>15475406.518811287</v>
          </cell>
        </row>
        <row r="26">
          <cell r="A26" t="str">
            <v>Number of lines Business</v>
          </cell>
          <cell r="B26">
            <v>3741120.9999999963</v>
          </cell>
          <cell r="C26">
            <v>3940868.0000000009</v>
          </cell>
          <cell r="D26">
            <v>4293883.3599999966</v>
          </cell>
          <cell r="E26">
            <v>4356002.7909571212</v>
          </cell>
          <cell r="F26">
            <v>4465379.8243950102</v>
          </cell>
          <cell r="G26">
            <v>4558494.1115904264</v>
          </cell>
          <cell r="H26">
            <v>4652193.6985220481</v>
          </cell>
          <cell r="I26">
            <v>4746371.429463678</v>
          </cell>
          <cell r="J26">
            <v>4840909.8677308289</v>
          </cell>
          <cell r="K26">
            <v>4935680.586788998</v>
          </cell>
          <cell r="L26">
            <v>5030543.4173996365</v>
          </cell>
          <cell r="M26">
            <v>5125345.6481987424</v>
          </cell>
          <cell r="N26">
            <v>5219921.1769519309</v>
          </cell>
          <cell r="O26">
            <v>5314089.6095700851</v>
          </cell>
        </row>
        <row r="30">
          <cell r="A30" t="str">
            <v>Average lines residential</v>
          </cell>
          <cell r="B30">
            <v>12033579.000000006</v>
          </cell>
          <cell r="C30">
            <v>12146405.5</v>
          </cell>
          <cell r="D30">
            <v>12381824.319999997</v>
          </cell>
          <cell r="E30">
            <v>12594867.076237231</v>
          </cell>
          <cell r="F30">
            <v>12844578.475370599</v>
          </cell>
          <cell r="G30">
            <v>13139420.652823538</v>
          </cell>
          <cell r="H30">
            <v>13411435.321174592</v>
          </cell>
          <cell r="I30">
            <v>13684998.441423491</v>
          </cell>
          <cell r="J30">
            <v>13959782.990588717</v>
          </cell>
          <cell r="K30">
            <v>14235430.973835647</v>
          </cell>
          <cell r="L30">
            <v>14511551.296067793</v>
          </cell>
          <cell r="M30">
            <v>14787717.501700196</v>
          </cell>
          <cell r="N30">
            <v>15063465.37480866</v>
          </cell>
          <cell r="O30">
            <v>15338290.391395897</v>
          </cell>
        </row>
        <row r="31">
          <cell r="A31" t="str">
            <v>Average lines Business</v>
          </cell>
          <cell r="B31">
            <v>3741120.9999999963</v>
          </cell>
          <cell r="C31">
            <v>3840994.4999999986</v>
          </cell>
          <cell r="D31">
            <v>4117375.6799999988</v>
          </cell>
          <cell r="E31">
            <v>4324943.0754785594</v>
          </cell>
          <cell r="F31">
            <v>4410691.3076760657</v>
          </cell>
          <cell r="G31">
            <v>4511936.9679927183</v>
          </cell>
          <cell r="H31">
            <v>4605343.9050562372</v>
          </cell>
          <cell r="I31">
            <v>4699282.5639928635</v>
          </cell>
          <cell r="J31">
            <v>4793640.6485972535</v>
          </cell>
          <cell r="K31">
            <v>4888295.2272599135</v>
          </cell>
          <cell r="L31">
            <v>4983112.0020943172</v>
          </cell>
          <cell r="M31">
            <v>5077944.5327991899</v>
          </cell>
          <cell r="N31">
            <v>5172633.4125753362</v>
          </cell>
          <cell r="O31">
            <v>5267005.393261008</v>
          </cell>
        </row>
        <row r="81">
          <cell r="A81" t="str">
            <v>International</v>
          </cell>
          <cell r="B81">
            <v>196.38800928000009</v>
          </cell>
          <cell r="C81">
            <v>198.22933775999999</v>
          </cell>
          <cell r="D81">
            <v>202.07137290239996</v>
          </cell>
          <cell r="E81">
            <v>229.58401303924759</v>
          </cell>
          <cell r="F81">
            <v>261.51452239539674</v>
          </cell>
          <cell r="G81">
            <v>294.95675231702643</v>
          </cell>
          <cell r="H81">
            <v>330.51900444158053</v>
          </cell>
          <cell r="I81">
            <v>367.06796266549225</v>
          </cell>
          <cell r="J81">
            <v>401.02354058076844</v>
          </cell>
          <cell r="K81">
            <v>437.97698596252565</v>
          </cell>
          <cell r="L81">
            <v>478.17182501760345</v>
          </cell>
          <cell r="M81">
            <v>521.8681084871165</v>
          </cell>
          <cell r="N81">
            <v>569.3429886252469</v>
          </cell>
          <cell r="O81">
            <v>620.89120754384408</v>
          </cell>
        </row>
        <row r="82">
          <cell r="A82" t="str">
            <v>Interprovincial</v>
          </cell>
          <cell r="B82">
            <v>3090.2230872000009</v>
          </cell>
          <cell r="C82">
            <v>3119.1969323999997</v>
          </cell>
          <cell r="D82">
            <v>3179.6524853759984</v>
          </cell>
          <cell r="E82">
            <v>3469.0956775429945</v>
          </cell>
          <cell r="F82">
            <v>3794.6368156041904</v>
          </cell>
          <cell r="G82">
            <v>4132.6957586696026</v>
          </cell>
          <cell r="H82">
            <v>4474.7212712548617</v>
          </cell>
          <cell r="I82">
            <v>4808.4498844421068</v>
          </cell>
          <cell r="J82">
            <v>5112.236215937497</v>
          </cell>
          <cell r="K82">
            <v>5433.4386679939635</v>
          </cell>
          <cell r="L82">
            <v>5772.8449674151861</v>
          </cell>
          <cell r="M82">
            <v>6131.2510956003016</v>
          </cell>
          <cell r="N82">
            <v>6509.4568762481522</v>
          </cell>
          <cell r="O82">
            <v>6908.2607307080016</v>
          </cell>
        </row>
        <row r="83">
          <cell r="A83" t="str">
            <v>Provincial</v>
          </cell>
          <cell r="B83">
            <v>2173.264367400001</v>
          </cell>
          <cell r="C83">
            <v>2193.6408333000004</v>
          </cell>
          <cell r="D83">
            <v>2236.1574721919997</v>
          </cell>
          <cell r="E83">
            <v>2394.5516454104604</v>
          </cell>
          <cell r="F83">
            <v>2570.7707521402299</v>
          </cell>
          <cell r="G83">
            <v>2750.3309660503583</v>
          </cell>
          <cell r="H83">
            <v>2931.0132257295209</v>
          </cell>
          <cell r="I83">
            <v>3112.1061239013743</v>
          </cell>
          <cell r="J83">
            <v>3301.5786864773249</v>
          </cell>
          <cell r="K83">
            <v>3501.4420602977416</v>
          </cell>
          <cell r="L83">
            <v>3715.702163442465</v>
          </cell>
          <cell r="M83">
            <v>3945.4443160272153</v>
          </cell>
          <cell r="N83">
            <v>4187.8140096323441</v>
          </cell>
          <cell r="O83">
            <v>4451.8440904030149</v>
          </cell>
        </row>
        <row r="84">
          <cell r="A84" t="str">
            <v>Local</v>
          </cell>
          <cell r="B84">
            <v>24428.646713160011</v>
          </cell>
          <cell r="C84">
            <v>24657.689021220001</v>
          </cell>
          <cell r="D84">
            <v>25135.598642572793</v>
          </cell>
          <cell r="E84">
            <v>26715.579567544501</v>
          </cell>
          <cell r="F84">
            <v>28468.021470904147</v>
          </cell>
          <cell r="G84">
            <v>30180.35105845108</v>
          </cell>
          <cell r="H84">
            <v>31954.798361217956</v>
          </cell>
          <cell r="I84">
            <v>33886.087542362577</v>
          </cell>
          <cell r="J84">
            <v>36087.420649623986</v>
          </cell>
          <cell r="K84">
            <v>38419.197878151339</v>
          </cell>
          <cell r="L84">
            <v>40887.637115161728</v>
          </cell>
          <cell r="M84">
            <v>43499.054407010008</v>
          </cell>
          <cell r="N84">
            <v>46259.833257818638</v>
          </cell>
          <cell r="O84">
            <v>49176.387690132586</v>
          </cell>
        </row>
        <row r="85">
          <cell r="A85" t="str">
            <v>To mobile</v>
          </cell>
          <cell r="B85">
            <v>0</v>
          </cell>
          <cell r="C85">
            <v>364.39216499999998</v>
          </cell>
          <cell r="D85">
            <v>742.90945919999979</v>
          </cell>
          <cell r="E85">
            <v>1341.6478852869111</v>
          </cell>
          <cell r="F85">
            <v>2023.2778397267336</v>
          </cell>
          <cell r="G85">
            <v>2836.8272233845992</v>
          </cell>
          <cell r="H85">
            <v>3650.2108948052096</v>
          </cell>
          <cell r="I85">
            <v>4326.0347354271571</v>
          </cell>
          <cell r="J85">
            <v>4842.8511202062627</v>
          </cell>
          <cell r="K85">
            <v>5117.8310732044993</v>
          </cell>
          <cell r="L85">
            <v>5406.5339718951427</v>
          </cell>
          <cell r="M85">
            <v>5670.1014665165339</v>
          </cell>
          <cell r="N85">
            <v>5944.6538473142591</v>
          </cell>
          <cell r="O85">
            <v>6234.7042635414136</v>
          </cell>
        </row>
        <row r="89">
          <cell r="A89" t="str">
            <v>International</v>
          </cell>
          <cell r="B89">
            <v>500.56198979999954</v>
          </cell>
          <cell r="C89">
            <v>513.92506409999987</v>
          </cell>
          <cell r="D89">
            <v>395.26806527999986</v>
          </cell>
          <cell r="E89">
            <v>444.95742394604093</v>
          </cell>
          <cell r="F89">
            <v>486.15016449108515</v>
          </cell>
          <cell r="G89">
            <v>528.00728924288092</v>
          </cell>
          <cell r="H89">
            <v>570.8022659206415</v>
          </cell>
          <cell r="I89">
            <v>614.09028261669118</v>
          </cell>
          <cell r="J89">
            <v>655.13633155465573</v>
          </cell>
          <cell r="K89">
            <v>698.68399115729551</v>
          </cell>
          <cell r="L89">
            <v>744.85678731119197</v>
          </cell>
          <cell r="M89">
            <v>793.78056133996165</v>
          </cell>
          <cell r="N89">
            <v>845.58290317152466</v>
          </cell>
          <cell r="O89">
            <v>900.39246405475762</v>
          </cell>
        </row>
        <row r="90">
          <cell r="A90" t="str">
            <v>Interprovincial</v>
          </cell>
          <cell r="B90">
            <v>5078.7962247599944</v>
          </cell>
          <cell r="C90">
            <v>5214.3804934199979</v>
          </cell>
          <cell r="D90">
            <v>3542.5900350719985</v>
          </cell>
          <cell r="E90">
            <v>3940.7760533300084</v>
          </cell>
          <cell r="F90">
            <v>4253.7544484565315</v>
          </cell>
          <cell r="G90">
            <v>4572.3603020268629</v>
          </cell>
          <cell r="H90">
            <v>4891.1852499190263</v>
          </cell>
          <cell r="I90">
            <v>5206.6825684182968</v>
          </cell>
          <cell r="J90">
            <v>5506.731895141329</v>
          </cell>
          <cell r="K90">
            <v>5821.8188143765119</v>
          </cell>
          <cell r="L90">
            <v>6152.4570197061284</v>
          </cell>
          <cell r="M90">
            <v>6499.1484108735831</v>
          </cell>
          <cell r="N90">
            <v>6862.3781005614355</v>
          </cell>
          <cell r="O90">
            <v>7242.6087122492199</v>
          </cell>
        </row>
        <row r="91">
          <cell r="A91" t="str">
            <v>Provincial</v>
          </cell>
          <cell r="B91">
            <v>2922.563725199997</v>
          </cell>
          <cell r="C91">
            <v>3000.5849033999984</v>
          </cell>
          <cell r="D91">
            <v>503.96678323199973</v>
          </cell>
          <cell r="E91">
            <v>550.98057705541066</v>
          </cell>
          <cell r="F91">
            <v>584.63490084238003</v>
          </cell>
          <cell r="G91">
            <v>619.10943668277787</v>
          </cell>
          <cell r="H91">
            <v>652.9713719977733</v>
          </cell>
          <cell r="I91">
            <v>686.23526990456435</v>
          </cell>
          <cell r="J91">
            <v>720.52491545206442</v>
          </cell>
          <cell r="K91">
            <v>756.1864651911319</v>
          </cell>
          <cell r="L91">
            <v>793.89757220615559</v>
          </cell>
          <cell r="M91">
            <v>833.73819902664366</v>
          </cell>
          <cell r="N91">
            <v>875.09083982793959</v>
          </cell>
          <cell r="O91">
            <v>919.38810201175124</v>
          </cell>
        </row>
        <row r="92">
          <cell r="A92" t="str">
            <v>Local</v>
          </cell>
          <cell r="B92">
            <v>14968.374765839984</v>
          </cell>
          <cell r="C92">
            <v>15367.972634279995</v>
          </cell>
          <cell r="D92">
            <v>15979.699709107195</v>
          </cell>
          <cell r="E92">
            <v>17512.921489273202</v>
          </cell>
          <cell r="F92">
            <v>18632.564528450417</v>
          </cell>
          <cell r="G92">
            <v>19731.487116205979</v>
          </cell>
          <cell r="H92">
            <v>20861.596042465695</v>
          </cell>
          <cell r="I92">
            <v>22078.622438837036</v>
          </cell>
          <cell r="J92">
            <v>23437.832272965315</v>
          </cell>
          <cell r="K92">
            <v>24872.556657853391</v>
          </cell>
          <cell r="L92">
            <v>26386.036815362892</v>
          </cell>
          <cell r="M92">
            <v>27981.530252975692</v>
          </cell>
          <cell r="N92">
            <v>29662.290412751248</v>
          </cell>
          <cell r="O92">
            <v>31431.542717979512</v>
          </cell>
        </row>
        <row r="93">
          <cell r="A93" t="str">
            <v>To mobile</v>
          </cell>
          <cell r="C93">
            <v>230.45966999999993</v>
          </cell>
          <cell r="D93">
            <v>197.63403263999993</v>
          </cell>
          <cell r="E93">
            <v>360.26792568551542</v>
          </cell>
          <cell r="F93">
            <v>528.68319401245174</v>
          </cell>
          <cell r="G93">
            <v>713.50076776523031</v>
          </cell>
          <cell r="H93">
            <v>898.05979024528074</v>
          </cell>
          <cell r="I93">
            <v>1047.6394357090928</v>
          </cell>
          <cell r="J93">
            <v>1161.7592264980924</v>
          </cell>
          <cell r="K93">
            <v>1222.6646747555603</v>
          </cell>
          <cell r="L93">
            <v>1286.3190717259401</v>
          </cell>
          <cell r="M93">
            <v>1349.3224381898963</v>
          </cell>
          <cell r="N93">
            <v>1414.9118891765168</v>
          </cell>
          <cell r="O93">
            <v>1483.5157822317733</v>
          </cell>
        </row>
        <row r="120">
          <cell r="A120" t="str">
            <v>International</v>
          </cell>
          <cell r="B120">
            <v>0.7510247256379744</v>
          </cell>
          <cell r="C120">
            <v>0.7510247256379744</v>
          </cell>
          <cell r="D120">
            <v>0.68515379899751183</v>
          </cell>
          <cell r="E120">
            <v>0.62917673361941517</v>
          </cell>
          <cell r="F120">
            <v>0.57777299448270891</v>
          </cell>
          <cell r="G120">
            <v>0.53305336470974718</v>
          </cell>
          <cell r="H120">
            <v>0.49637929321771657</v>
          </cell>
          <cell r="I120">
            <v>0.47076612168768239</v>
          </cell>
          <cell r="J120">
            <v>0.46135079925392875</v>
          </cell>
          <cell r="K120">
            <v>0.45212378326885017</v>
          </cell>
          <cell r="L120">
            <v>0.44308130760347314</v>
          </cell>
          <cell r="M120">
            <v>0.43421968145140366</v>
          </cell>
          <cell r="N120">
            <v>0.4255352878223756</v>
          </cell>
          <cell r="O120">
            <v>0.41702458206592807</v>
          </cell>
        </row>
        <row r="121">
          <cell r="A121" t="str">
            <v>Interprovincial</v>
          </cell>
          <cell r="B121">
            <v>0.31973843953217224</v>
          </cell>
          <cell r="C121">
            <v>0.24040484175351293</v>
          </cell>
          <cell r="D121">
            <v>0.21636435757816164</v>
          </cell>
          <cell r="E121">
            <v>0.19375428221124374</v>
          </cell>
          <cell r="F121">
            <v>0.17350695972016877</v>
          </cell>
          <cell r="G121">
            <v>0.15632977070787207</v>
          </cell>
          <cell r="H121">
            <v>0.14257275088557933</v>
          </cell>
          <cell r="I121">
            <v>0.13316294932713107</v>
          </cell>
          <cell r="J121">
            <v>0.12850224610068148</v>
          </cell>
          <cell r="K121">
            <v>0.12400466748715762</v>
          </cell>
          <cell r="L121">
            <v>0.1196645041251071</v>
          </cell>
          <cell r="M121">
            <v>0.11547624648072835</v>
          </cell>
          <cell r="N121">
            <v>0.11143457785390286</v>
          </cell>
          <cell r="O121">
            <v>0.10753436762901626</v>
          </cell>
        </row>
        <row r="122">
          <cell r="A122" t="str">
            <v>Provincial</v>
          </cell>
          <cell r="B122">
            <v>0.12561152981621049</v>
          </cell>
          <cell r="C122">
            <v>0.12561152981621049</v>
          </cell>
          <cell r="D122">
            <v>0.12020242087675646</v>
          </cell>
          <cell r="E122">
            <v>0.11015349849145963</v>
          </cell>
          <cell r="F122">
            <v>0.1009446660175736</v>
          </cell>
          <cell r="G122">
            <v>9.2949848468981758E-2</v>
          </cell>
          <cell r="H122">
            <v>8.6406179136765446E-2</v>
          </cell>
          <cell r="I122">
            <v>8.1843932878344239E-2</v>
          </cell>
          <cell r="J122">
            <v>7.7751736234427021E-2</v>
          </cell>
          <cell r="K122">
            <v>7.3864149422705666E-2</v>
          </cell>
          <cell r="L122">
            <v>6.9801621204456848E-2</v>
          </cell>
          <cell r="M122">
            <v>6.561352393218943E-2</v>
          </cell>
          <cell r="N122">
            <v>6.1676712496258057E-2</v>
          </cell>
          <cell r="O122">
            <v>5.7359342621519989E-2</v>
          </cell>
        </row>
        <row r="123">
          <cell r="A123" t="str">
            <v>Local</v>
          </cell>
          <cell r="B123">
            <v>2.3439472070967509E-2</v>
          </cell>
          <cell r="C123">
            <v>3.3957183897683707E-2</v>
          </cell>
          <cell r="D123">
            <v>3.3957183897683707E-2</v>
          </cell>
          <cell r="E123">
            <v>3.5505631483418086E-2</v>
          </cell>
          <cell r="F123">
            <v>3.7124688279061957E-2</v>
          </cell>
          <cell r="G123">
            <v>3.8728474812717427E-2</v>
          </cell>
          <cell r="H123">
            <v>4.0215648245525773E-2</v>
          </cell>
          <cell r="I123">
            <v>4.1373858914996911E-2</v>
          </cell>
          <cell r="J123">
            <v>4.1580728209571892E-2</v>
          </cell>
          <cell r="K123">
            <v>4.1788631850619748E-2</v>
          </cell>
          <cell r="L123">
            <v>4.1997575009872841E-2</v>
          </cell>
          <cell r="M123">
            <v>4.2207562884922202E-2</v>
          </cell>
          <cell r="N123">
            <v>4.241860069934681E-2</v>
          </cell>
          <cell r="O123">
            <v>4.2630693702843538E-2</v>
          </cell>
        </row>
        <row r="124">
          <cell r="A124" t="str">
            <v>To mobile</v>
          </cell>
          <cell r="C124">
            <v>0.45075907828783673</v>
          </cell>
          <cell r="D124">
            <v>0.45075907828783673</v>
          </cell>
          <cell r="E124">
            <v>0.39925174448788331</v>
          </cell>
          <cell r="F124">
            <v>0.34707722635685445</v>
          </cell>
          <cell r="G124">
            <v>0.28286364451631896</v>
          </cell>
          <cell r="H124">
            <v>0.25334974148256206</v>
          </cell>
          <cell r="I124">
            <v>0.23462460291849585</v>
          </cell>
          <cell r="J124">
            <v>0.22445374303586516</v>
          </cell>
          <cell r="K124">
            <v>0.22040228571090628</v>
          </cell>
          <cell r="L124">
            <v>0.21642862873005972</v>
          </cell>
          <cell r="M124">
            <v>0.21694557791551242</v>
          </cell>
          <cell r="N124">
            <v>0.21742351079512159</v>
          </cell>
          <cell r="O124">
            <v>0.21742351079512159</v>
          </cell>
        </row>
        <row r="125">
          <cell r="A125" t="str">
            <v>Monthly payment</v>
          </cell>
          <cell r="B125">
            <v>7.4645703364465765</v>
          </cell>
          <cell r="C125">
            <v>7.4645703364465765</v>
          </cell>
          <cell r="D125">
            <v>7.4645703364465765</v>
          </cell>
          <cell r="E125">
            <v>7.8049547437885414</v>
          </cell>
          <cell r="F125">
            <v>8.1608606801052996</v>
          </cell>
          <cell r="G125">
            <v>8.5134098614858473</v>
          </cell>
          <cell r="H125">
            <v>8.8403248001669041</v>
          </cell>
          <cell r="I125">
            <v>9.094926154411711</v>
          </cell>
          <cell r="J125">
            <v>9.1404007851837683</v>
          </cell>
          <cell r="K125">
            <v>9.186102789109686</v>
          </cell>
          <cell r="L125">
            <v>9.2320333030552337</v>
          </cell>
          <cell r="M125">
            <v>9.2781934695705086</v>
          </cell>
          <cell r="N125">
            <v>9.3245844369183608</v>
          </cell>
          <cell r="O125">
            <v>9.3712073591029519</v>
          </cell>
        </row>
        <row r="126">
          <cell r="A126" t="str">
            <v>Joining fee</v>
          </cell>
          <cell r="B126">
            <v>127.71507218155375</v>
          </cell>
          <cell r="C126">
            <v>127.71507218155375</v>
          </cell>
          <cell r="D126">
            <v>127.71507218155375</v>
          </cell>
          <cell r="E126">
            <v>122.13392352721986</v>
          </cell>
          <cell r="F126">
            <v>116.79667106908036</v>
          </cell>
          <cell r="G126">
            <v>111.96128888682044</v>
          </cell>
          <cell r="H126">
            <v>107.84111345578546</v>
          </cell>
          <cell r="I126">
            <v>104.86469872440578</v>
          </cell>
          <cell r="J126">
            <v>102.76740474991766</v>
          </cell>
          <cell r="K126">
            <v>100.71205665491931</v>
          </cell>
          <cell r="L126">
            <v>98.697815521820914</v>
          </cell>
          <cell r="M126">
            <v>96.723859211384493</v>
          </cell>
          <cell r="N126">
            <v>94.789382027156805</v>
          </cell>
          <cell r="O126">
            <v>92.893594386613671</v>
          </cell>
        </row>
        <row r="129">
          <cell r="A129" t="str">
            <v>International</v>
          </cell>
          <cell r="B129">
            <v>0.7510247256379744</v>
          </cell>
          <cell r="C129">
            <v>0.7510247256379744</v>
          </cell>
          <cell r="D129">
            <v>0.68515379899751183</v>
          </cell>
          <cell r="E129">
            <v>0.62917673361941517</v>
          </cell>
          <cell r="F129">
            <v>0.57777299448270891</v>
          </cell>
          <cell r="G129">
            <v>0.53305336470974718</v>
          </cell>
          <cell r="H129">
            <v>0.49637929321771657</v>
          </cell>
          <cell r="I129">
            <v>0.47076612168768239</v>
          </cell>
          <cell r="J129">
            <v>0.46135079925392875</v>
          </cell>
          <cell r="K129">
            <v>0.45212378326885017</v>
          </cell>
          <cell r="L129">
            <v>0.44308130760347314</v>
          </cell>
          <cell r="M129">
            <v>0.43421968145140366</v>
          </cell>
          <cell r="N129">
            <v>0.4255352878223756</v>
          </cell>
          <cell r="O129">
            <v>0.41702458206592807</v>
          </cell>
        </row>
        <row r="130">
          <cell r="A130" t="str">
            <v>Interprovincial</v>
          </cell>
          <cell r="B130">
            <v>0.31973843953217224</v>
          </cell>
          <cell r="C130">
            <v>0.24040484175351293</v>
          </cell>
          <cell r="D130">
            <v>0.21636435757816164</v>
          </cell>
          <cell r="E130">
            <v>0.19375428221124374</v>
          </cell>
          <cell r="F130">
            <v>0.17350695972016877</v>
          </cell>
          <cell r="G130">
            <v>0.15632977070787207</v>
          </cell>
          <cell r="H130">
            <v>0.14257275088557933</v>
          </cell>
          <cell r="I130">
            <v>0.13316294932713107</v>
          </cell>
          <cell r="J130">
            <v>0.12850224610068148</v>
          </cell>
          <cell r="K130">
            <v>0.12400466748715762</v>
          </cell>
          <cell r="L130">
            <v>0.1196645041251071</v>
          </cell>
          <cell r="M130">
            <v>0.11547624648072835</v>
          </cell>
          <cell r="N130">
            <v>0.11143457785390286</v>
          </cell>
          <cell r="O130">
            <v>0.10753436762901626</v>
          </cell>
        </row>
        <row r="131">
          <cell r="A131" t="str">
            <v>Provincial</v>
          </cell>
          <cell r="B131">
            <v>0.12561152981621049</v>
          </cell>
          <cell r="C131">
            <v>0.12561152981621049</v>
          </cell>
          <cell r="D131">
            <v>0.12020242087675646</v>
          </cell>
          <cell r="E131">
            <v>0.11015349849145963</v>
          </cell>
          <cell r="F131">
            <v>0.1009446660175736</v>
          </cell>
          <cell r="G131">
            <v>9.2949848468981758E-2</v>
          </cell>
          <cell r="H131">
            <v>8.6406179136765446E-2</v>
          </cell>
          <cell r="I131">
            <v>8.1843932878344239E-2</v>
          </cell>
          <cell r="J131">
            <v>7.7751736234427021E-2</v>
          </cell>
          <cell r="K131">
            <v>7.3864149422705666E-2</v>
          </cell>
          <cell r="L131">
            <v>6.9801621204456848E-2</v>
          </cell>
          <cell r="M131">
            <v>6.561352393218943E-2</v>
          </cell>
          <cell r="N131">
            <v>6.1676712496258057E-2</v>
          </cell>
          <cell r="O131">
            <v>5.7359342621519989E-2</v>
          </cell>
        </row>
        <row r="132">
          <cell r="A132" t="str">
            <v>Local</v>
          </cell>
          <cell r="B132">
            <v>2.3439472070967509E-2</v>
          </cell>
          <cell r="C132">
            <v>3.3957183897683707E-2</v>
          </cell>
          <cell r="D132">
            <v>3.3957183897683707E-2</v>
          </cell>
          <cell r="E132">
            <v>3.5505631483418086E-2</v>
          </cell>
          <cell r="F132">
            <v>3.7124688279061957E-2</v>
          </cell>
          <cell r="G132">
            <v>3.8728474812717427E-2</v>
          </cell>
          <cell r="H132">
            <v>4.0215648245525773E-2</v>
          </cell>
          <cell r="I132">
            <v>4.1373858914996911E-2</v>
          </cell>
          <cell r="J132">
            <v>4.1580728209571892E-2</v>
          </cell>
          <cell r="K132">
            <v>4.1788631850619748E-2</v>
          </cell>
          <cell r="L132">
            <v>4.1997575009872841E-2</v>
          </cell>
          <cell r="M132">
            <v>4.2207562884922202E-2</v>
          </cell>
          <cell r="N132">
            <v>4.241860069934681E-2</v>
          </cell>
          <cell r="O132">
            <v>4.2630693702843538E-2</v>
          </cell>
        </row>
        <row r="133">
          <cell r="A133" t="str">
            <v>To mobile</v>
          </cell>
          <cell r="C133">
            <v>0.45075907828783673</v>
          </cell>
          <cell r="D133">
            <v>0.30050605219189119</v>
          </cell>
          <cell r="E133">
            <v>0.26616782965858887</v>
          </cell>
          <cell r="F133">
            <v>0.2313848175712363</v>
          </cell>
          <cell r="G133">
            <v>0.1885757630108793</v>
          </cell>
          <cell r="H133">
            <v>0.16889982765504138</v>
          </cell>
          <cell r="I133">
            <v>0.15641640194566392</v>
          </cell>
          <cell r="J133">
            <v>0.14963582869057679</v>
          </cell>
          <cell r="K133">
            <v>0.14693485714060422</v>
          </cell>
          <cell r="L133">
            <v>0.14428575248670653</v>
          </cell>
          <cell r="M133">
            <v>0.14463038527700833</v>
          </cell>
          <cell r="N133">
            <v>0.1449490071967478</v>
          </cell>
          <cell r="O133">
            <v>0.1449490071967478</v>
          </cell>
        </row>
        <row r="134">
          <cell r="A134" t="str">
            <v>Monthly payment</v>
          </cell>
          <cell r="B134">
            <v>7.4645703364465765</v>
          </cell>
          <cell r="C134">
            <v>7.4645703364465765</v>
          </cell>
          <cell r="D134">
            <v>7.4645703364465765</v>
          </cell>
          <cell r="E134">
            <v>7.8049547437885414</v>
          </cell>
          <cell r="F134">
            <v>8.1608606801052996</v>
          </cell>
          <cell r="G134">
            <v>8.5134098614858473</v>
          </cell>
          <cell r="H134">
            <v>8.8403248001669041</v>
          </cell>
          <cell r="I134">
            <v>9.094926154411711</v>
          </cell>
          <cell r="J134">
            <v>9.1404007851837683</v>
          </cell>
          <cell r="K134">
            <v>9.186102789109686</v>
          </cell>
          <cell r="L134">
            <v>9.2320333030552337</v>
          </cell>
          <cell r="M134">
            <v>9.2781934695705086</v>
          </cell>
          <cell r="N134">
            <v>9.3245844369183608</v>
          </cell>
          <cell r="O134">
            <v>9.3712073591029519</v>
          </cell>
        </row>
        <row r="135">
          <cell r="A135" t="str">
            <v>Joining fee</v>
          </cell>
          <cell r="B135">
            <v>127.71507218155375</v>
          </cell>
          <cell r="C135">
            <v>127.71507218155375</v>
          </cell>
          <cell r="D135">
            <v>127.71507218155375</v>
          </cell>
          <cell r="E135">
            <v>122.13392352721986</v>
          </cell>
          <cell r="F135">
            <v>116.79667106908036</v>
          </cell>
          <cell r="G135">
            <v>111.96128888682044</v>
          </cell>
          <cell r="H135">
            <v>107.84111345578546</v>
          </cell>
          <cell r="I135">
            <v>104.86469872440578</v>
          </cell>
          <cell r="J135">
            <v>102.76740474991766</v>
          </cell>
          <cell r="K135">
            <v>100.71205665491931</v>
          </cell>
          <cell r="L135">
            <v>98.697815521820914</v>
          </cell>
          <cell r="M135">
            <v>96.723859211384493</v>
          </cell>
          <cell r="N135">
            <v>94.789382027156805</v>
          </cell>
          <cell r="O135">
            <v>92.893594386613671</v>
          </cell>
        </row>
      </sheetData>
      <sheetData sheetId="1" refreshError="1"/>
      <sheetData sheetId="2" refreshError="1">
        <row r="15">
          <cell r="A15" t="str">
            <v>% clients with out joining fee</v>
          </cell>
          <cell r="E15">
            <v>0.5</v>
          </cell>
          <cell r="F15">
            <v>0.5</v>
          </cell>
          <cell r="G15">
            <v>0.5</v>
          </cell>
          <cell r="H15">
            <v>0.5</v>
          </cell>
          <cell r="I15">
            <v>0.5</v>
          </cell>
          <cell r="J15">
            <v>0.5</v>
          </cell>
          <cell r="K15">
            <v>0.5</v>
          </cell>
          <cell r="L15">
            <v>0.5</v>
          </cell>
          <cell r="M15">
            <v>0.5</v>
          </cell>
          <cell r="N15">
            <v>0.5</v>
          </cell>
          <cell r="O15">
            <v>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REQUEST_TABLE"/>
      <sheetName val="Datastream"/>
      <sheetName val="Datastream clean"/>
      <sheetName val="Share price analysis"/>
      <sheetName val="Forecast &amp; Analysis "/>
      <sheetName val="Market Values"/>
      <sheetName val="Output Multiples"/>
      <sheetName val="Output Multiples (3)"/>
      <sheetName val="Ratios"/>
      <sheetName val="Beta"/>
      <sheetName val="Regressions"/>
      <sheetName val="Graph Multiples"/>
      <sheetName val="Graph Margins"/>
      <sheetName val="Graph Growth Rates"/>
      <sheetName val="Synthesis"/>
      <sheetName val="Synthesis (2)"/>
      <sheetName val="Multiples"/>
    </sheetNames>
    <sheetDataSet>
      <sheetData sheetId="0" refreshError="1">
        <row r="8">
          <cell r="E8">
            <v>1</v>
          </cell>
        </row>
        <row r="40">
          <cell r="D40" t="str">
            <v>Fixed Line Incumbents</v>
          </cell>
        </row>
        <row r="41">
          <cell r="D41" t="str">
            <v>Telecom Mobile Europe</v>
          </cell>
        </row>
        <row r="42">
          <cell r="D42" t="str">
            <v>Internet Companies</v>
          </cell>
        </row>
        <row r="43">
          <cell r="D43" t="str">
            <v>Fixed Line Europe - Alternative Careers</v>
          </cell>
        </row>
        <row r="44">
          <cell r="D44" t="str">
            <v>Satellites</v>
          </cell>
        </row>
        <row r="45">
          <cell r="D45" t="str">
            <v>Eastern Europe Incumbents</v>
          </cell>
        </row>
        <row r="46">
          <cell r="D46" t="str">
            <v>Eastern Europe Mobile</v>
          </cell>
        </row>
        <row r="47">
          <cell r="D47" t="str">
            <v>MEA Incumbents</v>
          </cell>
        </row>
        <row r="48">
          <cell r="D48" t="str">
            <v>MEA Mobile</v>
          </cell>
        </row>
        <row r="49">
          <cell r="D49" t="str">
            <v>Latam Telecom</v>
          </cell>
        </row>
        <row r="50">
          <cell r="D50" t="str">
            <v>US Telecom</v>
          </cell>
        </row>
        <row r="51">
          <cell r="D51" t="str">
            <v>Target 12</v>
          </cell>
        </row>
        <row r="52">
          <cell r="D52" t="str">
            <v>Target 13</v>
          </cell>
        </row>
        <row r="53">
          <cell r="D53" t="str">
            <v>Target 14</v>
          </cell>
        </row>
        <row r="54">
          <cell r="D54" t="str">
            <v>Target 15</v>
          </cell>
        </row>
        <row r="55">
          <cell r="D55" t="str">
            <v>Target 16</v>
          </cell>
        </row>
        <row r="56">
          <cell r="D56" t="str">
            <v>Target 17</v>
          </cell>
        </row>
        <row r="57">
          <cell r="D57" t="str">
            <v>Target 18</v>
          </cell>
        </row>
      </sheetData>
      <sheetData sheetId="1" refreshError="1"/>
      <sheetData sheetId="2" refreshError="1"/>
      <sheetData sheetId="3" refreshError="1"/>
      <sheetData sheetId="4" refreshError="1"/>
      <sheetData sheetId="5" refreshError="1"/>
      <sheetData sheetId="6" refreshError="1">
        <row r="6">
          <cell r="A6">
            <v>0</v>
          </cell>
          <cell r="B6" t="str">
            <v>Target FIXED LINE INCUMBENTS</v>
          </cell>
          <cell r="C6">
            <v>0</v>
          </cell>
          <cell r="G6">
            <v>0</v>
          </cell>
          <cell r="I6">
            <v>0</v>
          </cell>
          <cell r="J6" t="str">
            <v>na</v>
          </cell>
          <cell r="K6" t="e">
            <v>#VALUE!</v>
          </cell>
          <cell r="L6" t="str">
            <v>na</v>
          </cell>
          <cell r="N6">
            <v>0</v>
          </cell>
          <cell r="U6" t="str">
            <v>na</v>
          </cell>
          <cell r="W6" t="str">
            <v>na</v>
          </cell>
          <cell r="X6" t="str">
            <v>na</v>
          </cell>
          <cell r="Z6">
            <v>0</v>
          </cell>
          <cell r="AA6">
            <v>0</v>
          </cell>
          <cell r="AB6">
            <v>0</v>
          </cell>
          <cell r="AC6">
            <v>0</v>
          </cell>
          <cell r="AD6">
            <v>0</v>
          </cell>
          <cell r="AF6" t="str">
            <v>na</v>
          </cell>
          <cell r="AM6">
            <v>0</v>
          </cell>
          <cell r="AU6">
            <v>0</v>
          </cell>
          <cell r="BA6" t="str">
            <v>na</v>
          </cell>
        </row>
        <row r="7">
          <cell r="A7">
            <v>1</v>
          </cell>
          <cell r="B7" t="str">
            <v>British Telecom</v>
          </cell>
          <cell r="C7">
            <v>1</v>
          </cell>
          <cell r="D7" t="str">
            <v>Fixed Line Incumbents</v>
          </cell>
          <cell r="E7">
            <v>38077</v>
          </cell>
          <cell r="F7" t="str">
            <v>GBP m</v>
          </cell>
          <cell r="G7">
            <v>0.68315000000000003</v>
          </cell>
          <cell r="I7">
            <v>2.2549999999999999</v>
          </cell>
          <cell r="J7">
            <v>3.300885603454585</v>
          </cell>
          <cell r="K7">
            <v>2.706</v>
          </cell>
          <cell r="L7">
            <v>0.83333333333333326</v>
          </cell>
          <cell r="N7">
            <v>8324331</v>
          </cell>
          <cell r="U7">
            <v>8324331</v>
          </cell>
          <cell r="W7">
            <v>18771.366404999997</v>
          </cell>
          <cell r="X7">
            <v>27477.664356290705</v>
          </cell>
          <cell r="Z7">
            <v>7534</v>
          </cell>
          <cell r="AA7">
            <v>1782.9</v>
          </cell>
          <cell r="AB7">
            <v>0</v>
          </cell>
          <cell r="AC7">
            <v>0</v>
          </cell>
          <cell r="AD7">
            <v>627.72414987781337</v>
          </cell>
          <cell r="AF7">
            <v>28715.990554877812</v>
          </cell>
          <cell r="AM7">
            <v>0</v>
          </cell>
          <cell r="AN7">
            <v>1555</v>
          </cell>
          <cell r="AO7">
            <v>52</v>
          </cell>
          <cell r="AP7">
            <v>2547</v>
          </cell>
          <cell r="AQ7">
            <v>331</v>
          </cell>
          <cell r="AT7">
            <v>7534</v>
          </cell>
          <cell r="AU7">
            <v>12019</v>
          </cell>
          <cell r="AV7" t="str">
            <v>AR 2006 - March 2006</v>
          </cell>
          <cell r="AX7">
            <v>0.3</v>
          </cell>
          <cell r="BA7">
            <v>3.2358431860609833E-2</v>
          </cell>
          <cell r="BB7" t="str">
            <v>UK</v>
          </cell>
        </row>
        <row r="8">
          <cell r="A8">
            <v>2</v>
          </cell>
          <cell r="B8" t="str">
            <v>Deutsche Telekom</v>
          </cell>
          <cell r="C8">
            <v>2</v>
          </cell>
          <cell r="D8" t="str">
            <v>Fixed Line Incumbents</v>
          </cell>
          <cell r="E8">
            <v>38352</v>
          </cell>
          <cell r="F8" t="str">
            <v>EUR m</v>
          </cell>
          <cell r="G8">
            <v>1</v>
          </cell>
          <cell r="I8">
            <v>12.43</v>
          </cell>
          <cell r="J8">
            <v>12.43</v>
          </cell>
          <cell r="K8">
            <v>14.915999999999999</v>
          </cell>
          <cell r="L8">
            <v>0.83333333333333337</v>
          </cell>
          <cell r="N8">
            <v>4260807</v>
          </cell>
          <cell r="U8">
            <v>4260807</v>
          </cell>
          <cell r="W8">
            <v>52961.831009999994</v>
          </cell>
          <cell r="X8">
            <v>52961.831009999994</v>
          </cell>
          <cell r="Z8">
            <v>44533</v>
          </cell>
          <cell r="AA8">
            <v>2726.9648999999999</v>
          </cell>
          <cell r="AB8">
            <v>0</v>
          </cell>
          <cell r="AC8">
            <v>-5154</v>
          </cell>
          <cell r="AD8">
            <v>4276.6344332693416</v>
          </cell>
          <cell r="AF8">
            <v>99344.430343269341</v>
          </cell>
          <cell r="AH8">
            <v>20322</v>
          </cell>
          <cell r="AI8">
            <v>34303</v>
          </cell>
          <cell r="AJ8">
            <v>48376</v>
          </cell>
          <cell r="AK8">
            <v>342</v>
          </cell>
          <cell r="AL8">
            <v>-6376</v>
          </cell>
          <cell r="AM8">
            <v>96967</v>
          </cell>
          <cell r="AN8">
            <v>43183</v>
          </cell>
          <cell r="AO8">
            <v>3487</v>
          </cell>
          <cell r="AP8">
            <v>4419</v>
          </cell>
          <cell r="AQ8">
            <v>6499</v>
          </cell>
          <cell r="AS8">
            <v>-5154</v>
          </cell>
          <cell r="AT8">
            <v>44533</v>
          </cell>
          <cell r="AU8">
            <v>96967</v>
          </cell>
          <cell r="AV8" t="str">
            <v>H1 2005</v>
          </cell>
          <cell r="AX8">
            <v>0.38290000000000002</v>
          </cell>
          <cell r="BA8">
            <v>7.4716091707735161E-2</v>
          </cell>
          <cell r="BB8" t="str">
            <v>GER</v>
          </cell>
        </row>
        <row r="9">
          <cell r="A9">
            <v>3</v>
          </cell>
          <cell r="B9" t="str">
            <v>Eircom</v>
          </cell>
          <cell r="C9">
            <v>3</v>
          </cell>
          <cell r="D9" t="str">
            <v>Fixed Line Incumbents</v>
          </cell>
          <cell r="E9">
            <v>38077</v>
          </cell>
          <cell r="F9" t="str">
            <v>EUR m</v>
          </cell>
          <cell r="G9">
            <v>1</v>
          </cell>
          <cell r="I9">
            <v>2.1800000000000002</v>
          </cell>
          <cell r="J9">
            <v>2.1800000000000002</v>
          </cell>
          <cell r="K9">
            <v>2.6160000000000001</v>
          </cell>
          <cell r="L9">
            <v>0.83333333333333337</v>
          </cell>
          <cell r="N9">
            <v>1073019</v>
          </cell>
          <cell r="U9">
            <v>1073019</v>
          </cell>
          <cell r="W9">
            <v>2339.1814200000003</v>
          </cell>
          <cell r="X9">
            <v>2339.1814200000003</v>
          </cell>
          <cell r="Z9">
            <v>2111</v>
          </cell>
          <cell r="AA9">
            <v>117.25</v>
          </cell>
          <cell r="AB9">
            <v>0</v>
          </cell>
          <cell r="AC9">
            <v>-70</v>
          </cell>
          <cell r="AD9">
            <v>0</v>
          </cell>
          <cell r="AF9">
            <v>4497.4314200000008</v>
          </cell>
          <cell r="AM9">
            <v>0</v>
          </cell>
          <cell r="AN9">
            <v>939</v>
          </cell>
          <cell r="AP9">
            <v>134</v>
          </cell>
          <cell r="AS9">
            <v>-70</v>
          </cell>
          <cell r="AT9">
            <v>2111</v>
          </cell>
          <cell r="AU9">
            <v>3114</v>
          </cell>
          <cell r="AV9" t="str">
            <v>H1 2005</v>
          </cell>
          <cell r="AX9">
            <v>0.125</v>
          </cell>
          <cell r="BA9">
            <v>0</v>
          </cell>
          <cell r="BB9" t="str">
            <v>UK</v>
          </cell>
        </row>
        <row r="10">
          <cell r="A10">
            <v>4</v>
          </cell>
          <cell r="B10" t="str">
            <v>France Telecom</v>
          </cell>
          <cell r="C10">
            <v>4</v>
          </cell>
          <cell r="D10" t="str">
            <v>Fixed Line Incumbents</v>
          </cell>
          <cell r="E10">
            <v>38352</v>
          </cell>
          <cell r="F10" t="str">
            <v>EUR m</v>
          </cell>
          <cell r="G10">
            <v>1</v>
          </cell>
          <cell r="I10">
            <v>16.88</v>
          </cell>
          <cell r="J10">
            <v>16.88</v>
          </cell>
          <cell r="K10">
            <v>20.255999999999997</v>
          </cell>
          <cell r="L10">
            <v>0.83333333333333337</v>
          </cell>
          <cell r="N10">
            <v>2603058</v>
          </cell>
          <cell r="U10">
            <v>2603058</v>
          </cell>
          <cell r="W10">
            <v>43939.619039999998</v>
          </cell>
          <cell r="X10">
            <v>43939.619039999998</v>
          </cell>
          <cell r="Z10">
            <v>56060.5</v>
          </cell>
          <cell r="AA10">
            <v>2785.0646999999999</v>
          </cell>
          <cell r="AB10">
            <v>0</v>
          </cell>
          <cell r="AC10">
            <v>-5270</v>
          </cell>
          <cell r="AD10">
            <v>8179</v>
          </cell>
          <cell r="AF10">
            <v>105694.18373999999</v>
          </cell>
          <cell r="AM10">
            <v>0</v>
          </cell>
          <cell r="AN10">
            <v>15681</v>
          </cell>
          <cell r="AO10">
            <v>8179</v>
          </cell>
          <cell r="AP10">
            <v>4241</v>
          </cell>
          <cell r="AS10">
            <v>-5270</v>
          </cell>
          <cell r="AT10">
            <v>56060.5</v>
          </cell>
          <cell r="AU10">
            <v>78891.5</v>
          </cell>
          <cell r="AV10" t="str">
            <v>Multiples folder used for FT-amena</v>
          </cell>
          <cell r="AX10">
            <v>0.34329999999999999</v>
          </cell>
          <cell r="BA10">
            <v>0.34279128248113999</v>
          </cell>
          <cell r="BB10" t="str">
            <v>FR</v>
          </cell>
        </row>
        <row r="11">
          <cell r="A11">
            <v>5</v>
          </cell>
          <cell r="B11" t="str">
            <v>KPN</v>
          </cell>
          <cell r="C11">
            <v>5</v>
          </cell>
          <cell r="D11" t="str">
            <v>Fixed Line Incumbents</v>
          </cell>
          <cell r="E11">
            <v>38352</v>
          </cell>
          <cell r="F11" t="str">
            <v>EUR m</v>
          </cell>
          <cell r="G11">
            <v>1</v>
          </cell>
          <cell r="I11">
            <v>8.7899999999999991</v>
          </cell>
          <cell r="J11">
            <v>8.7899999999999991</v>
          </cell>
          <cell r="K11">
            <v>10.547999999999998</v>
          </cell>
          <cell r="L11">
            <v>0.83333333333333337</v>
          </cell>
          <cell r="N11">
            <v>2151360</v>
          </cell>
          <cell r="U11">
            <v>2151360</v>
          </cell>
          <cell r="W11">
            <v>18910.454399999999</v>
          </cell>
          <cell r="X11">
            <v>18910.454399999999</v>
          </cell>
          <cell r="Z11">
            <v>8247</v>
          </cell>
          <cell r="AA11">
            <v>957.61</v>
          </cell>
          <cell r="AB11">
            <v>0</v>
          </cell>
          <cell r="AC11">
            <v>-81</v>
          </cell>
          <cell r="AD11">
            <v>495.79356086871451</v>
          </cell>
          <cell r="AF11">
            <v>28529.857960868714</v>
          </cell>
          <cell r="AH11">
            <v>4084</v>
          </cell>
          <cell r="AI11">
            <v>4415</v>
          </cell>
          <cell r="AJ11">
            <v>8440</v>
          </cell>
          <cell r="AK11">
            <v>1305</v>
          </cell>
          <cell r="AL11">
            <v>-2564</v>
          </cell>
          <cell r="AM11">
            <v>15680</v>
          </cell>
          <cell r="AN11">
            <v>5111</v>
          </cell>
          <cell r="AO11">
            <v>134</v>
          </cell>
          <cell r="AP11">
            <v>1462</v>
          </cell>
          <cell r="AQ11">
            <v>797</v>
          </cell>
          <cell r="AS11">
            <v>-81</v>
          </cell>
          <cell r="AT11">
            <v>8247</v>
          </cell>
          <cell r="AU11">
            <v>15670</v>
          </cell>
          <cell r="AV11" t="str">
            <v>H1 2005</v>
          </cell>
          <cell r="AX11">
            <v>0.34499999999999997</v>
          </cell>
          <cell r="BA11">
            <v>2.5548141086749285E-2</v>
          </cell>
          <cell r="BB11" t="str">
            <v>NL</v>
          </cell>
        </row>
        <row r="12">
          <cell r="A12">
            <v>6</v>
          </cell>
          <cell r="B12" t="str">
            <v>OTE</v>
          </cell>
          <cell r="C12">
            <v>6</v>
          </cell>
          <cell r="D12" t="str">
            <v>Fixed Line Incumbents</v>
          </cell>
          <cell r="E12">
            <v>38352</v>
          </cell>
          <cell r="F12" t="str">
            <v>EUR m</v>
          </cell>
          <cell r="G12">
            <v>1</v>
          </cell>
          <cell r="I12">
            <v>17.420000000000002</v>
          </cell>
          <cell r="J12">
            <v>17.420000000000002</v>
          </cell>
          <cell r="K12">
            <v>20.904</v>
          </cell>
          <cell r="L12">
            <v>0.83333333333333337</v>
          </cell>
          <cell r="N12">
            <v>490583</v>
          </cell>
          <cell r="U12">
            <v>490583</v>
          </cell>
          <cell r="W12">
            <v>8545.9558600000018</v>
          </cell>
          <cell r="X12">
            <v>8545.9558600000018</v>
          </cell>
          <cell r="Z12">
            <v>2251.5</v>
          </cell>
          <cell r="AA12">
            <v>332.40999999999997</v>
          </cell>
          <cell r="AB12">
            <v>0</v>
          </cell>
          <cell r="AC12">
            <v>-158.6</v>
          </cell>
          <cell r="AD12">
            <v>2190.9977295585295</v>
          </cell>
          <cell r="AF12">
            <v>13162.26358955853</v>
          </cell>
          <cell r="AH12">
            <v>79.8</v>
          </cell>
          <cell r="AI12">
            <v>387.5</v>
          </cell>
          <cell r="AJ12">
            <v>6616</v>
          </cell>
          <cell r="AK12">
            <v>775.3</v>
          </cell>
          <cell r="AL12">
            <v>-615.50000000000023</v>
          </cell>
          <cell r="AM12">
            <v>7243.1</v>
          </cell>
          <cell r="AN12">
            <v>3692.2</v>
          </cell>
          <cell r="AO12">
            <v>946.6</v>
          </cell>
          <cell r="AP12">
            <v>511.39999999999992</v>
          </cell>
          <cell r="AS12">
            <v>-158.6</v>
          </cell>
          <cell r="AT12">
            <v>2251.5</v>
          </cell>
          <cell r="AU12">
            <v>7243.0999999999995</v>
          </cell>
          <cell r="AV12" t="str">
            <v>H1 2005</v>
          </cell>
          <cell r="AX12">
            <v>0.35</v>
          </cell>
          <cell r="BA12">
            <v>0.20406139518841079</v>
          </cell>
          <cell r="BB12" t="str">
            <v>GRE</v>
          </cell>
        </row>
        <row r="13">
          <cell r="A13">
            <v>7</v>
          </cell>
          <cell r="B13" t="str">
            <v>Portugal Telecom</v>
          </cell>
          <cell r="C13">
            <v>7</v>
          </cell>
          <cell r="D13" t="str">
            <v>Fixed Line Incumbents</v>
          </cell>
          <cell r="E13">
            <v>38352</v>
          </cell>
          <cell r="F13" t="str">
            <v>EUR m</v>
          </cell>
          <cell r="G13">
            <v>1</v>
          </cell>
          <cell r="I13">
            <v>9.31</v>
          </cell>
          <cell r="J13">
            <v>9.31</v>
          </cell>
          <cell r="K13">
            <v>11.172000000000001</v>
          </cell>
          <cell r="L13">
            <v>0.83333333333333337</v>
          </cell>
          <cell r="N13">
            <v>1128856</v>
          </cell>
          <cell r="U13">
            <v>1128856</v>
          </cell>
          <cell r="W13">
            <v>10509.649360000001</v>
          </cell>
          <cell r="X13">
            <v>10509.649360000001</v>
          </cell>
          <cell r="Z13">
            <v>3600.4000000000005</v>
          </cell>
          <cell r="AA13">
            <v>606.1</v>
          </cell>
          <cell r="AB13">
            <v>0</v>
          </cell>
          <cell r="AC13">
            <v>-644.30000000000007</v>
          </cell>
          <cell r="AD13">
            <v>2487.3789426811695</v>
          </cell>
          <cell r="AF13">
            <v>16559.228302681171</v>
          </cell>
          <cell r="AM13">
            <v>0</v>
          </cell>
          <cell r="AN13">
            <v>2942</v>
          </cell>
          <cell r="AO13">
            <v>696.3</v>
          </cell>
          <cell r="AP13">
            <v>836</v>
          </cell>
          <cell r="AQ13">
            <v>518.4</v>
          </cell>
          <cell r="AS13">
            <v>-644.30000000000007</v>
          </cell>
          <cell r="AT13">
            <v>3600.4000000000005</v>
          </cell>
          <cell r="AU13">
            <v>7948.8</v>
          </cell>
          <cell r="AV13" t="str">
            <v>Q1 2005</v>
          </cell>
          <cell r="AX13">
            <v>0.27500000000000002</v>
          </cell>
          <cell r="BA13">
            <v>0.19138058983591236</v>
          </cell>
          <cell r="BB13" t="str">
            <v>POR</v>
          </cell>
        </row>
        <row r="14">
          <cell r="A14">
            <v>8</v>
          </cell>
          <cell r="B14" t="str">
            <v>Swisscom</v>
          </cell>
          <cell r="C14">
            <v>8</v>
          </cell>
          <cell r="D14" t="str">
            <v>Fixed Line Incumbents</v>
          </cell>
          <cell r="E14">
            <v>38352</v>
          </cell>
          <cell r="F14" t="str">
            <v>CHF m</v>
          </cell>
          <cell r="G14">
            <v>1.55786</v>
          </cell>
          <cell r="I14">
            <v>395.5</v>
          </cell>
          <cell r="J14">
            <v>253.87390394515552</v>
          </cell>
          <cell r="K14">
            <v>474.59999999999997</v>
          </cell>
          <cell r="L14">
            <v>0.83333333333333337</v>
          </cell>
          <cell r="N14">
            <v>61483</v>
          </cell>
          <cell r="U14">
            <v>61483</v>
          </cell>
          <cell r="W14">
            <v>24316.5265</v>
          </cell>
          <cell r="X14">
            <v>15608.929236259997</v>
          </cell>
          <cell r="Z14">
            <v>-2398</v>
          </cell>
          <cell r="AA14">
            <v>843.24900000000002</v>
          </cell>
          <cell r="AB14">
            <v>0</v>
          </cell>
          <cell r="AC14">
            <v>0</v>
          </cell>
          <cell r="AD14">
            <v>1747.6243996534579</v>
          </cell>
          <cell r="AF14">
            <v>24509.399899653457</v>
          </cell>
          <cell r="AM14">
            <v>0</v>
          </cell>
          <cell r="AN14">
            <v>6637</v>
          </cell>
          <cell r="AO14">
            <v>477</v>
          </cell>
          <cell r="AP14">
            <v>1111</v>
          </cell>
          <cell r="AQ14">
            <v>2722</v>
          </cell>
          <cell r="AT14">
            <v>-2398</v>
          </cell>
          <cell r="AU14">
            <v>8549</v>
          </cell>
          <cell r="AV14" t="str">
            <v>H1 2005</v>
          </cell>
          <cell r="AX14">
            <v>0.24099999999999999</v>
          </cell>
          <cell r="BA14">
            <v>6.7050885577734046E-2</v>
          </cell>
          <cell r="BB14" t="str">
            <v>SUI</v>
          </cell>
        </row>
        <row r="15">
          <cell r="A15">
            <v>9</v>
          </cell>
          <cell r="B15" t="str">
            <v>TDC</v>
          </cell>
          <cell r="C15">
            <v>9</v>
          </cell>
          <cell r="D15" t="str">
            <v>Fixed Line Incumbents</v>
          </cell>
          <cell r="E15">
            <v>38352</v>
          </cell>
          <cell r="F15" t="str">
            <v>DEK m</v>
          </cell>
          <cell r="G15">
            <v>7.45465</v>
          </cell>
          <cell r="I15">
            <v>190</v>
          </cell>
          <cell r="J15">
            <v>25.487447432139671</v>
          </cell>
          <cell r="K15">
            <v>228</v>
          </cell>
          <cell r="L15">
            <v>0.83333333333333337</v>
          </cell>
          <cell r="N15">
            <v>198375</v>
          </cell>
          <cell r="U15">
            <v>198375</v>
          </cell>
          <cell r="W15">
            <v>37691.25</v>
          </cell>
          <cell r="X15">
            <v>5056.0723843507076</v>
          </cell>
          <cell r="Z15">
            <v>22723</v>
          </cell>
          <cell r="AA15">
            <v>165.2</v>
          </cell>
          <cell r="AB15">
            <v>0</v>
          </cell>
          <cell r="AC15">
            <v>0</v>
          </cell>
          <cell r="AD15">
            <v>290.00121451642553</v>
          </cell>
          <cell r="AF15">
            <v>60869.451214516419</v>
          </cell>
          <cell r="AI15">
            <v>33945</v>
          </cell>
          <cell r="AJ15">
            <v>26808</v>
          </cell>
          <cell r="AK15">
            <v>9858</v>
          </cell>
          <cell r="AL15">
            <v>-6291</v>
          </cell>
          <cell r="AM15">
            <v>64320</v>
          </cell>
          <cell r="AN15">
            <v>38081</v>
          </cell>
          <cell r="AO15">
            <v>293</v>
          </cell>
          <cell r="AP15">
            <v>236</v>
          </cell>
          <cell r="AQ15">
            <v>2987</v>
          </cell>
          <cell r="AT15">
            <v>22723</v>
          </cell>
          <cell r="AU15">
            <v>64320</v>
          </cell>
          <cell r="AV15" t="str">
            <v>H1 2005</v>
          </cell>
          <cell r="AX15">
            <v>0.3</v>
          </cell>
          <cell r="BA15">
            <v>7.6353781206024915E-3</v>
          </cell>
          <cell r="BB15" t="str">
            <v>DEN</v>
          </cell>
        </row>
        <row r="16">
          <cell r="A16">
            <v>10</v>
          </cell>
          <cell r="B16" t="str">
            <v>Telecom Italia</v>
          </cell>
          <cell r="C16">
            <v>10</v>
          </cell>
          <cell r="D16" t="str">
            <v>Fixed Line Incumbents</v>
          </cell>
          <cell r="E16">
            <v>38352</v>
          </cell>
          <cell r="F16" t="str">
            <v>EUR m</v>
          </cell>
          <cell r="G16">
            <v>1</v>
          </cell>
          <cell r="I16">
            <v>2.1549999999999998</v>
          </cell>
          <cell r="J16">
            <v>2.1549999999999998</v>
          </cell>
          <cell r="K16">
            <v>2.5859999999999999</v>
          </cell>
          <cell r="L16">
            <v>0.83333333333333326</v>
          </cell>
          <cell r="N16">
            <v>13380700</v>
          </cell>
          <cell r="O16">
            <v>5795920.9000000004</v>
          </cell>
          <cell r="P16">
            <v>2.1549999999999998</v>
          </cell>
          <cell r="U16">
            <v>19176620.899999999</v>
          </cell>
          <cell r="W16">
            <v>41325.618039499997</v>
          </cell>
          <cell r="X16">
            <v>41325.618039499997</v>
          </cell>
          <cell r="Z16">
            <v>43502</v>
          </cell>
          <cell r="AA16">
            <v>771.82500000000005</v>
          </cell>
          <cell r="AB16">
            <v>0</v>
          </cell>
          <cell r="AC16">
            <v>-2400</v>
          </cell>
          <cell r="AD16">
            <v>5222.8061063951418</v>
          </cell>
          <cell r="AF16">
            <v>88422.249145895141</v>
          </cell>
          <cell r="AM16">
            <v>0</v>
          </cell>
          <cell r="AN16">
            <v>18816</v>
          </cell>
          <cell r="AO16">
            <v>2378</v>
          </cell>
          <cell r="AP16">
            <v>1230</v>
          </cell>
          <cell r="AQ16">
            <v>847</v>
          </cell>
          <cell r="AS16">
            <v>-2400</v>
          </cell>
          <cell r="AT16">
            <v>43502</v>
          </cell>
          <cell r="AU16">
            <v>64373</v>
          </cell>
          <cell r="AV16" t="str">
            <v>Q1 2005</v>
          </cell>
          <cell r="AX16">
            <v>0.3725</v>
          </cell>
          <cell r="BA16">
            <v>0.11220156648107955</v>
          </cell>
          <cell r="BB16" t="str">
            <v>IT</v>
          </cell>
        </row>
        <row r="17">
          <cell r="A17">
            <v>11</v>
          </cell>
          <cell r="B17" t="str">
            <v>Telefonica</v>
          </cell>
          <cell r="C17">
            <v>11</v>
          </cell>
          <cell r="D17" t="str">
            <v>Fixed Line Incumbents</v>
          </cell>
          <cell r="E17">
            <v>38352</v>
          </cell>
          <cell r="F17" t="str">
            <v>EUR m</v>
          </cell>
          <cell r="G17">
            <v>1</v>
          </cell>
          <cell r="I17">
            <v>12.7</v>
          </cell>
          <cell r="J17">
            <v>12.7</v>
          </cell>
          <cell r="K17">
            <v>15.239999999999998</v>
          </cell>
          <cell r="L17">
            <v>0.83333333333333337</v>
          </cell>
          <cell r="N17">
            <v>4921128</v>
          </cell>
          <cell r="U17">
            <v>4921128</v>
          </cell>
          <cell r="W17">
            <v>62498.325599999996</v>
          </cell>
          <cell r="X17">
            <v>62498.325599999996</v>
          </cell>
          <cell r="Z17">
            <v>27990.400000000001</v>
          </cell>
          <cell r="AA17">
            <v>3206.125</v>
          </cell>
          <cell r="AB17">
            <v>0</v>
          </cell>
          <cell r="AC17">
            <v>-11795</v>
          </cell>
          <cell r="AD17">
            <v>8718</v>
          </cell>
          <cell r="AF17">
            <v>90617.850600000005</v>
          </cell>
          <cell r="AH17">
            <v>7409.4</v>
          </cell>
          <cell r="AI17">
            <v>8839.2000000000007</v>
          </cell>
          <cell r="AJ17">
            <v>23348.1</v>
          </cell>
          <cell r="AK17">
            <v>11794.8</v>
          </cell>
          <cell r="AL17">
            <v>-2829.3999999999978</v>
          </cell>
          <cell r="AM17">
            <v>48562.100000000006</v>
          </cell>
          <cell r="AN17">
            <v>10637.8</v>
          </cell>
          <cell r="AO17">
            <v>3323.9</v>
          </cell>
          <cell r="AP17">
            <v>4932.5</v>
          </cell>
          <cell r="AQ17">
            <v>2901.8</v>
          </cell>
          <cell r="AS17">
            <v>-2391.3000000000002</v>
          </cell>
          <cell r="AT17">
            <v>27990.400000000001</v>
          </cell>
          <cell r="AU17">
            <v>47395.1</v>
          </cell>
          <cell r="AV17" t="str">
            <v>H1 2005</v>
          </cell>
          <cell r="AX17">
            <v>0.35</v>
          </cell>
          <cell r="BA17">
            <v>0.2380727275331801</v>
          </cell>
          <cell r="BB17" t="str">
            <v>ESP</v>
          </cell>
        </row>
        <row r="18">
          <cell r="A18">
            <v>12</v>
          </cell>
          <cell r="B18" t="str">
            <v>Telekom Austria</v>
          </cell>
          <cell r="C18">
            <v>12</v>
          </cell>
          <cell r="D18" t="str">
            <v>Fixed Line Incumbents</v>
          </cell>
          <cell r="E18">
            <v>38352</v>
          </cell>
          <cell r="F18" t="str">
            <v>EUR m</v>
          </cell>
          <cell r="G18">
            <v>1</v>
          </cell>
          <cell r="I18">
            <v>17.36</v>
          </cell>
          <cell r="J18">
            <v>17.36</v>
          </cell>
          <cell r="K18">
            <v>20.831999999999997</v>
          </cell>
          <cell r="L18">
            <v>0.83333333333333337</v>
          </cell>
          <cell r="N18">
            <v>500000</v>
          </cell>
          <cell r="U18">
            <v>500000</v>
          </cell>
          <cell r="W18">
            <v>8680</v>
          </cell>
          <cell r="X18">
            <v>8680</v>
          </cell>
          <cell r="Z18">
            <v>1872</v>
          </cell>
          <cell r="AA18">
            <v>72.731999999999999</v>
          </cell>
          <cell r="AB18">
            <v>0</v>
          </cell>
          <cell r="AC18">
            <v>0</v>
          </cell>
          <cell r="AD18">
            <v>0</v>
          </cell>
          <cell r="AF18">
            <v>10624.732</v>
          </cell>
          <cell r="AM18">
            <v>0</v>
          </cell>
          <cell r="AN18">
            <v>2769.1</v>
          </cell>
          <cell r="AP18">
            <v>110.2</v>
          </cell>
          <cell r="AQ18">
            <v>327.5</v>
          </cell>
          <cell r="AT18">
            <v>1872</v>
          </cell>
          <cell r="AU18">
            <v>5078.7999999999993</v>
          </cell>
          <cell r="AV18" t="str">
            <v>H1 2005</v>
          </cell>
          <cell r="AX18">
            <v>0.34</v>
          </cell>
          <cell r="BA18">
            <v>0</v>
          </cell>
          <cell r="BB18" t="str">
            <v>AUT</v>
          </cell>
        </row>
        <row r="19">
          <cell r="A19">
            <v>13</v>
          </cell>
          <cell r="B19" t="str">
            <v>Telenor</v>
          </cell>
          <cell r="C19">
            <v>13</v>
          </cell>
          <cell r="D19" t="str">
            <v>Fixed Line Incumbents</v>
          </cell>
          <cell r="E19">
            <v>38352</v>
          </cell>
          <cell r="F19" t="str">
            <v>NOK m</v>
          </cell>
          <cell r="G19">
            <v>7.8622500000000004</v>
          </cell>
          <cell r="I19">
            <v>73.5</v>
          </cell>
          <cell r="J19">
            <v>9.3484689497281312</v>
          </cell>
          <cell r="K19">
            <v>88.2</v>
          </cell>
          <cell r="L19">
            <v>0.83333333333333326</v>
          </cell>
          <cell r="N19">
            <v>1706569</v>
          </cell>
          <cell r="U19">
            <v>1706569</v>
          </cell>
          <cell r="W19">
            <v>125432.82150000001</v>
          </cell>
          <cell r="X19">
            <v>15953.807307068588</v>
          </cell>
          <cell r="Z19">
            <v>18728</v>
          </cell>
          <cell r="AA19">
            <v>1657.44</v>
          </cell>
          <cell r="AB19">
            <v>0</v>
          </cell>
          <cell r="AC19">
            <v>-11337</v>
          </cell>
          <cell r="AD19">
            <v>14562.536698721166</v>
          </cell>
          <cell r="AF19">
            <v>149043.7981987212</v>
          </cell>
          <cell r="AM19">
            <v>0</v>
          </cell>
          <cell r="AN19">
            <v>39880</v>
          </cell>
          <cell r="AO19">
            <v>4630</v>
          </cell>
          <cell r="AP19">
            <v>2302</v>
          </cell>
          <cell r="AQ19">
            <v>17480</v>
          </cell>
          <cell r="AS19">
            <v>-11337</v>
          </cell>
          <cell r="AT19">
            <v>18728</v>
          </cell>
          <cell r="AU19">
            <v>71683</v>
          </cell>
          <cell r="AV19" t="str">
            <v>H1 2005</v>
          </cell>
          <cell r="AX19">
            <v>0.28000000000000003</v>
          </cell>
          <cell r="BA19">
            <v>0.10402156818692429</v>
          </cell>
          <cell r="BB19" t="str">
            <v>NW</v>
          </cell>
        </row>
        <row r="20">
          <cell r="A20">
            <v>14</v>
          </cell>
          <cell r="B20" t="str">
            <v>TeliaSonera</v>
          </cell>
          <cell r="C20">
            <v>14</v>
          </cell>
          <cell r="D20" t="str">
            <v>Fixed Line Incumbents</v>
          </cell>
          <cell r="E20">
            <v>38352</v>
          </cell>
          <cell r="F20" t="str">
            <v>SEK m</v>
          </cell>
          <cell r="G20">
            <v>9.2825000000000006</v>
          </cell>
          <cell r="I20">
            <v>39</v>
          </cell>
          <cell r="J20">
            <v>4.2014543495825478</v>
          </cell>
          <cell r="K20">
            <v>46.8</v>
          </cell>
          <cell r="L20">
            <v>0.83333333333333337</v>
          </cell>
          <cell r="N20">
            <v>4675230</v>
          </cell>
          <cell r="U20">
            <v>4675230</v>
          </cell>
          <cell r="W20">
            <v>182333.97</v>
          </cell>
          <cell r="X20">
            <v>19642.765418798816</v>
          </cell>
          <cell r="Z20">
            <v>4680</v>
          </cell>
          <cell r="AA20">
            <v>0</v>
          </cell>
          <cell r="AB20">
            <v>0</v>
          </cell>
          <cell r="AC20">
            <v>-36289</v>
          </cell>
          <cell r="AD20">
            <v>11252.680404129916</v>
          </cell>
          <cell r="AF20">
            <v>161977.6504041299</v>
          </cell>
          <cell r="AM20">
            <v>0</v>
          </cell>
          <cell r="AN20">
            <v>119615</v>
          </cell>
          <cell r="AO20">
            <v>7382</v>
          </cell>
          <cell r="AQ20">
            <v>47448</v>
          </cell>
          <cell r="AS20">
            <v>-36289</v>
          </cell>
          <cell r="AT20">
            <v>4680</v>
          </cell>
          <cell r="AU20">
            <v>142836</v>
          </cell>
          <cell r="AV20" t="str">
            <v>H1 2005</v>
          </cell>
          <cell r="AX20">
            <v>0.28000000000000003</v>
          </cell>
          <cell r="BA20">
            <v>5.8127357339149741E-2</v>
          </cell>
          <cell r="BB20" t="str">
            <v>SWE</v>
          </cell>
        </row>
        <row r="21">
          <cell r="A21">
            <v>15</v>
          </cell>
          <cell r="B21" t="str">
            <v>Belgacom</v>
          </cell>
          <cell r="C21">
            <v>15</v>
          </cell>
          <cell r="D21" t="str">
            <v>Fixed Line Incumbents</v>
          </cell>
          <cell r="E21">
            <v>38352</v>
          </cell>
          <cell r="F21" t="str">
            <v>EUR m</v>
          </cell>
          <cell r="G21">
            <v>1</v>
          </cell>
          <cell r="I21">
            <v>25.17</v>
          </cell>
          <cell r="J21">
            <v>25.17</v>
          </cell>
          <cell r="K21">
            <v>30.204000000000001</v>
          </cell>
          <cell r="L21">
            <v>0.83333333333333337</v>
          </cell>
          <cell r="N21">
            <v>361775</v>
          </cell>
          <cell r="U21">
            <v>361775</v>
          </cell>
          <cell r="W21">
            <v>9105.8767499999994</v>
          </cell>
          <cell r="X21">
            <v>9105.8767499999994</v>
          </cell>
          <cell r="Z21">
            <v>-18</v>
          </cell>
          <cell r="AA21">
            <v>460.08969999999999</v>
          </cell>
          <cell r="AB21">
            <v>0</v>
          </cell>
          <cell r="AC21">
            <v>-132</v>
          </cell>
          <cell r="AD21">
            <v>1323.7809383937083</v>
          </cell>
          <cell r="AF21">
            <v>10739.747388393709</v>
          </cell>
          <cell r="AM21">
            <v>0</v>
          </cell>
          <cell r="AN21">
            <v>2098</v>
          </cell>
          <cell r="AO21">
            <v>305</v>
          </cell>
          <cell r="AP21">
            <v>697</v>
          </cell>
          <cell r="AQ21">
            <v>199</v>
          </cell>
          <cell r="AS21">
            <v>-132</v>
          </cell>
          <cell r="AT21">
            <v>-18</v>
          </cell>
          <cell r="AU21">
            <v>3149</v>
          </cell>
          <cell r="AV21" t="str">
            <v>H1 2005</v>
          </cell>
          <cell r="AX21">
            <v>0.33989999999999998</v>
          </cell>
          <cell r="BA21">
            <v>0.12692467748647523</v>
          </cell>
          <cell r="BB21" t="str">
            <v>BE</v>
          </cell>
        </row>
        <row r="22">
          <cell r="A22">
            <v>16</v>
          </cell>
          <cell r="B22" t="str">
            <v>Target TELECOM MOBILE EUROPE</v>
          </cell>
          <cell r="C22">
            <v>16</v>
          </cell>
          <cell r="G22">
            <v>0</v>
          </cell>
          <cell r="I22">
            <v>0</v>
          </cell>
          <cell r="J22" t="str">
            <v>na</v>
          </cell>
          <cell r="K22" t="e">
            <v>#VALUE!</v>
          </cell>
          <cell r="L22" t="str">
            <v>na</v>
          </cell>
          <cell r="N22">
            <v>0</v>
          </cell>
          <cell r="U22" t="str">
            <v>na</v>
          </cell>
          <cell r="W22" t="str">
            <v>na</v>
          </cell>
          <cell r="X22" t="str">
            <v>na</v>
          </cell>
          <cell r="Z22">
            <v>0</v>
          </cell>
          <cell r="AA22">
            <v>0</v>
          </cell>
          <cell r="AB22">
            <v>0</v>
          </cell>
          <cell r="AC22">
            <v>0</v>
          </cell>
          <cell r="AD22">
            <v>0</v>
          </cell>
          <cell r="AF22" t="str">
            <v>na</v>
          </cell>
          <cell r="AM22">
            <v>0</v>
          </cell>
          <cell r="AU22">
            <v>0</v>
          </cell>
          <cell r="BA22" t="str">
            <v>na</v>
          </cell>
        </row>
        <row r="23">
          <cell r="A23">
            <v>17</v>
          </cell>
          <cell r="B23" t="str">
            <v>mmo2</v>
          </cell>
          <cell r="C23">
            <v>17</v>
          </cell>
          <cell r="D23" t="str">
            <v>Telecom Mobile Europe</v>
          </cell>
          <cell r="E23">
            <v>38077</v>
          </cell>
          <cell r="F23" t="str">
            <v>GBP m</v>
          </cell>
          <cell r="G23">
            <v>0.68315000000000003</v>
          </cell>
          <cell r="I23">
            <v>1.9950000000000001</v>
          </cell>
          <cell r="J23">
            <v>2.920295689087316</v>
          </cell>
          <cell r="K23">
            <v>2.3940000000000001</v>
          </cell>
          <cell r="L23">
            <v>0.83333333333333337</v>
          </cell>
          <cell r="N23">
            <v>8772830</v>
          </cell>
          <cell r="U23">
            <v>8772830</v>
          </cell>
          <cell r="W23">
            <v>17501.795850000002</v>
          </cell>
          <cell r="X23">
            <v>25619.257630095883</v>
          </cell>
          <cell r="Z23">
            <v>78</v>
          </cell>
          <cell r="AA23">
            <v>0</v>
          </cell>
          <cell r="AB23">
            <v>0</v>
          </cell>
          <cell r="AC23">
            <v>-671</v>
          </cell>
          <cell r="AD23">
            <v>0</v>
          </cell>
          <cell r="AF23">
            <v>16908.795850000002</v>
          </cell>
          <cell r="AH23">
            <v>7045</v>
          </cell>
          <cell r="AJ23">
            <v>3778</v>
          </cell>
          <cell r="AL23">
            <v>-884</v>
          </cell>
          <cell r="AM23">
            <v>9939</v>
          </cell>
          <cell r="AN23">
            <v>10281</v>
          </cell>
          <cell r="AO23">
            <v>0</v>
          </cell>
          <cell r="AQ23">
            <v>254</v>
          </cell>
          <cell r="AS23">
            <v>-671</v>
          </cell>
          <cell r="AT23">
            <v>78</v>
          </cell>
          <cell r="AU23">
            <v>9942</v>
          </cell>
          <cell r="AV23" t="str">
            <v>AR 31/03/05</v>
          </cell>
          <cell r="AW23" t="str">
            <v>Updated 02-03-05</v>
          </cell>
          <cell r="AX23">
            <v>0.3</v>
          </cell>
          <cell r="BA23">
            <v>0</v>
          </cell>
          <cell r="BB23" t="str">
            <v>UK</v>
          </cell>
        </row>
        <row r="24">
          <cell r="A24">
            <v>18</v>
          </cell>
          <cell r="B24" t="str">
            <v>Mobistar</v>
          </cell>
          <cell r="C24">
            <v>18</v>
          </cell>
          <cell r="D24" t="str">
            <v>Telecom Mobile Europe</v>
          </cell>
          <cell r="E24">
            <v>38352</v>
          </cell>
          <cell r="F24" t="str">
            <v>EUR m</v>
          </cell>
          <cell r="G24">
            <v>1</v>
          </cell>
          <cell r="I24">
            <v>60.55</v>
          </cell>
          <cell r="J24">
            <v>60.55</v>
          </cell>
          <cell r="K24">
            <v>72.66</v>
          </cell>
          <cell r="L24">
            <v>0.83333333333333337</v>
          </cell>
          <cell r="N24">
            <v>63282</v>
          </cell>
          <cell r="U24">
            <v>63282</v>
          </cell>
          <cell r="W24">
            <v>3831.7250999999997</v>
          </cell>
          <cell r="X24">
            <v>3831.7250999999997</v>
          </cell>
          <cell r="Z24">
            <v>144.07</v>
          </cell>
          <cell r="AA24">
            <v>0</v>
          </cell>
          <cell r="AB24">
            <v>0</v>
          </cell>
          <cell r="AC24">
            <v>0</v>
          </cell>
          <cell r="AD24">
            <v>0</v>
          </cell>
          <cell r="AF24">
            <v>3975.7950999999998</v>
          </cell>
          <cell r="AI24">
            <v>388.17200000000003</v>
          </cell>
          <cell r="AJ24">
            <v>416.34500000000003</v>
          </cell>
          <cell r="AK24">
            <v>0.191</v>
          </cell>
          <cell r="AL24">
            <v>-214.613</v>
          </cell>
          <cell r="AM24">
            <v>590.09500000000003</v>
          </cell>
          <cell r="AN24">
            <v>440.58</v>
          </cell>
          <cell r="AO24">
            <v>0</v>
          </cell>
          <cell r="AQ24">
            <v>6.032</v>
          </cell>
          <cell r="AT24">
            <v>144.07</v>
          </cell>
          <cell r="AU24">
            <v>590.68200000000002</v>
          </cell>
          <cell r="AV24" t="str">
            <v>AR 31/12/04</v>
          </cell>
          <cell r="AW24" t="str">
            <v>Updated 02-03-05</v>
          </cell>
          <cell r="AX24">
            <v>0.33989999999999998</v>
          </cell>
          <cell r="BA24">
            <v>0</v>
          </cell>
          <cell r="BB24" t="str">
            <v>BE</v>
          </cell>
        </row>
        <row r="25">
          <cell r="A25">
            <v>19</v>
          </cell>
          <cell r="B25" t="str">
            <v>TIM</v>
          </cell>
          <cell r="C25">
            <v>19</v>
          </cell>
          <cell r="D25" t="str">
            <v>Telecom Mobile Europe</v>
          </cell>
          <cell r="E25">
            <v>38352</v>
          </cell>
          <cell r="F25" t="str">
            <v>EUR m</v>
          </cell>
          <cell r="G25">
            <v>1</v>
          </cell>
          <cell r="I25">
            <v>4.3899999999999997</v>
          </cell>
          <cell r="J25">
            <v>4.3899999999999997</v>
          </cell>
          <cell r="K25">
            <v>5.2679999999999998</v>
          </cell>
          <cell r="L25">
            <v>0.83333333333333326</v>
          </cell>
          <cell r="N25">
            <v>8476802</v>
          </cell>
          <cell r="O25">
            <v>132069.20000000001</v>
          </cell>
          <cell r="P25">
            <v>5.0289999999999999</v>
          </cell>
          <cell r="U25">
            <v>8608871.1999999993</v>
          </cell>
          <cell r="W25">
            <v>37877.336786799999</v>
          </cell>
          <cell r="X25">
            <v>37877.336786799999</v>
          </cell>
          <cell r="Z25">
            <v>-317</v>
          </cell>
          <cell r="AA25">
            <v>69.652500000000003</v>
          </cell>
          <cell r="AB25">
            <v>0</v>
          </cell>
          <cell r="AC25">
            <v>-52</v>
          </cell>
          <cell r="AD25">
            <v>1271</v>
          </cell>
          <cell r="AF25">
            <v>38848.989286799995</v>
          </cell>
          <cell r="AH25">
            <v>671</v>
          </cell>
          <cell r="AI25">
            <v>4785</v>
          </cell>
          <cell r="AJ25">
            <v>4302</v>
          </cell>
          <cell r="AK25">
            <v>1404</v>
          </cell>
          <cell r="AL25">
            <v>-2455</v>
          </cell>
          <cell r="AM25">
            <v>8707</v>
          </cell>
          <cell r="AN25">
            <v>7660</v>
          </cell>
          <cell r="AO25">
            <v>587</v>
          </cell>
          <cell r="AP25">
            <v>111</v>
          </cell>
          <cell r="AQ25">
            <v>718</v>
          </cell>
          <cell r="AS25">
            <v>-52</v>
          </cell>
          <cell r="AT25">
            <v>-317</v>
          </cell>
          <cell r="AU25">
            <v>8707</v>
          </cell>
          <cell r="AV25" t="str">
            <v>AR 31/12/04</v>
          </cell>
          <cell r="AW25" t="str">
            <v>Updated 02-03-05</v>
          </cell>
          <cell r="AX25">
            <v>0.3725</v>
          </cell>
          <cell r="BA25">
            <v>7.1177397841639387E-2</v>
          </cell>
          <cell r="BB25" t="str">
            <v>IT</v>
          </cell>
        </row>
        <row r="26">
          <cell r="A26">
            <v>20</v>
          </cell>
          <cell r="B26" t="str">
            <v>Telefonica Moviles</v>
          </cell>
          <cell r="C26">
            <v>20</v>
          </cell>
          <cell r="D26" t="str">
            <v>Telecom Mobile Europe</v>
          </cell>
          <cell r="E26">
            <v>38352</v>
          </cell>
          <cell r="F26" t="str">
            <v>EUR m</v>
          </cell>
          <cell r="G26">
            <v>1</v>
          </cell>
          <cell r="I26">
            <v>10.7</v>
          </cell>
          <cell r="J26">
            <v>10.7</v>
          </cell>
          <cell r="K26">
            <v>12.839999999999998</v>
          </cell>
          <cell r="L26">
            <v>0.83333333333333337</v>
          </cell>
          <cell r="N26">
            <v>4330549</v>
          </cell>
          <cell r="U26">
            <v>4330549</v>
          </cell>
          <cell r="W26">
            <v>46336.874299999996</v>
          </cell>
          <cell r="X26">
            <v>46336.874299999996</v>
          </cell>
          <cell r="Z26">
            <v>8175.9000000000015</v>
          </cell>
          <cell r="AA26">
            <v>0</v>
          </cell>
          <cell r="AB26">
            <v>0</v>
          </cell>
          <cell r="AC26">
            <v>-2763</v>
          </cell>
          <cell r="AD26">
            <v>1571</v>
          </cell>
          <cell r="AF26">
            <v>53320.774299999997</v>
          </cell>
          <cell r="AH26">
            <v>3142</v>
          </cell>
          <cell r="AI26">
            <v>4255.7</v>
          </cell>
          <cell r="AJ26">
            <v>5640</v>
          </cell>
          <cell r="AK26">
            <v>3402.5</v>
          </cell>
          <cell r="AL26">
            <v>-2332.8999999999992</v>
          </cell>
          <cell r="AM26">
            <v>14107.300000000001</v>
          </cell>
          <cell r="AN26">
            <v>4719.8999999999996</v>
          </cell>
          <cell r="AO26">
            <v>-57</v>
          </cell>
          <cell r="AQ26">
            <v>1153.5999999999999</v>
          </cell>
          <cell r="AT26">
            <v>8175.9000000000015</v>
          </cell>
          <cell r="AU26">
            <v>13992.400000000001</v>
          </cell>
          <cell r="AV26" t="str">
            <v>4Q 31/12/04</v>
          </cell>
          <cell r="AW26" t="str">
            <v>Updated 02-03-05</v>
          </cell>
          <cell r="AX26">
            <v>0.35</v>
          </cell>
          <cell r="BA26">
            <v>-1.2224152351540887E-2</v>
          </cell>
          <cell r="BB26" t="str">
            <v>ESP</v>
          </cell>
        </row>
        <row r="27">
          <cell r="A27">
            <v>21</v>
          </cell>
          <cell r="B27" t="str">
            <v>Vodafone</v>
          </cell>
          <cell r="C27">
            <v>21</v>
          </cell>
          <cell r="D27" t="str">
            <v>Telecom Mobile Europe</v>
          </cell>
          <cell r="E27">
            <v>38077</v>
          </cell>
          <cell r="F27" t="str">
            <v>GBP m</v>
          </cell>
          <cell r="G27">
            <v>0.68315000000000003</v>
          </cell>
          <cell r="I27">
            <v>1.1499999999999999</v>
          </cell>
          <cell r="J27">
            <v>1.6833784673936907</v>
          </cell>
          <cell r="K27">
            <v>1.38</v>
          </cell>
          <cell r="L27">
            <v>0.83333333333333337</v>
          </cell>
          <cell r="N27">
            <v>60156240</v>
          </cell>
          <cell r="U27">
            <v>60156240</v>
          </cell>
          <cell r="W27">
            <v>69179.676000000007</v>
          </cell>
          <cell r="X27">
            <v>101265.71909536705</v>
          </cell>
          <cell r="Z27">
            <v>11095</v>
          </cell>
          <cell r="AA27">
            <v>0</v>
          </cell>
          <cell r="AB27">
            <v>0</v>
          </cell>
          <cell r="AC27">
            <v>-17941</v>
          </cell>
          <cell r="AD27">
            <v>4064</v>
          </cell>
          <cell r="AF27">
            <v>66397.676000000007</v>
          </cell>
          <cell r="AI27">
            <v>83464</v>
          </cell>
          <cell r="AJ27">
            <v>18398</v>
          </cell>
          <cell r="AL27">
            <v>13164</v>
          </cell>
          <cell r="AM27">
            <v>115026</v>
          </cell>
          <cell r="AN27">
            <v>113800</v>
          </cell>
          <cell r="AO27">
            <v>-152</v>
          </cell>
          <cell r="AQ27">
            <v>5749</v>
          </cell>
          <cell r="AT27">
            <v>11095</v>
          </cell>
          <cell r="AU27">
            <v>130492</v>
          </cell>
          <cell r="AV27" t="str">
            <v>Exane 31-03-05</v>
          </cell>
          <cell r="AW27" t="str">
            <v>Updated 02-03-05</v>
          </cell>
          <cell r="AX27">
            <v>0.3</v>
          </cell>
          <cell r="BA27">
            <v>-1.3374630437843166E-3</v>
          </cell>
          <cell r="BB27" t="str">
            <v>UK</v>
          </cell>
        </row>
        <row r="28">
          <cell r="A28">
            <v>22</v>
          </cell>
          <cell r="B28" t="str">
            <v>Firm22</v>
          </cell>
          <cell r="C28">
            <v>22</v>
          </cell>
          <cell r="G28">
            <v>0</v>
          </cell>
          <cell r="I28">
            <v>0</v>
          </cell>
          <cell r="J28" t="str">
            <v>na</v>
          </cell>
          <cell r="K28" t="e">
            <v>#VALUE!</v>
          </cell>
          <cell r="L28" t="str">
            <v>na</v>
          </cell>
          <cell r="N28">
            <v>0</v>
          </cell>
          <cell r="U28" t="str">
            <v>na</v>
          </cell>
          <cell r="W28" t="str">
            <v>na</v>
          </cell>
          <cell r="X28" t="str">
            <v>na</v>
          </cell>
          <cell r="Z28">
            <v>0</v>
          </cell>
          <cell r="AA28">
            <v>0</v>
          </cell>
          <cell r="AB28">
            <v>0</v>
          </cell>
          <cell r="AC28">
            <v>0</v>
          </cell>
          <cell r="AD28">
            <v>0</v>
          </cell>
          <cell r="AF28" t="str">
            <v>na</v>
          </cell>
          <cell r="AM28">
            <v>0</v>
          </cell>
          <cell r="AU28">
            <v>0</v>
          </cell>
          <cell r="BA28" t="str">
            <v>na</v>
          </cell>
        </row>
        <row r="29">
          <cell r="A29">
            <v>23</v>
          </cell>
          <cell r="B29" t="str">
            <v>Firm23</v>
          </cell>
          <cell r="C29">
            <v>23</v>
          </cell>
          <cell r="G29">
            <v>0</v>
          </cell>
          <cell r="I29">
            <v>0</v>
          </cell>
          <cell r="J29" t="str">
            <v>na</v>
          </cell>
          <cell r="K29" t="e">
            <v>#VALUE!</v>
          </cell>
          <cell r="L29" t="str">
            <v>na</v>
          </cell>
          <cell r="N29">
            <v>0</v>
          </cell>
          <cell r="U29" t="str">
            <v>na</v>
          </cell>
          <cell r="W29" t="str">
            <v>na</v>
          </cell>
          <cell r="X29" t="str">
            <v>na</v>
          </cell>
          <cell r="Z29">
            <v>0</v>
          </cell>
          <cell r="AA29">
            <v>0</v>
          </cell>
          <cell r="AB29">
            <v>0</v>
          </cell>
          <cell r="AC29">
            <v>0</v>
          </cell>
          <cell r="AD29">
            <v>0</v>
          </cell>
          <cell r="AF29" t="str">
            <v>na</v>
          </cell>
          <cell r="AM29">
            <v>0</v>
          </cell>
          <cell r="AU29">
            <v>0</v>
          </cell>
          <cell r="BA29" t="str">
            <v>na</v>
          </cell>
        </row>
        <row r="30">
          <cell r="A30">
            <v>24</v>
          </cell>
          <cell r="B30" t="str">
            <v>Firm24</v>
          </cell>
          <cell r="C30">
            <v>24</v>
          </cell>
          <cell r="G30">
            <v>0</v>
          </cell>
          <cell r="I30">
            <v>0</v>
          </cell>
          <cell r="J30" t="str">
            <v>na</v>
          </cell>
          <cell r="K30" t="e">
            <v>#VALUE!</v>
          </cell>
          <cell r="L30" t="str">
            <v>na</v>
          </cell>
          <cell r="N30">
            <v>0</v>
          </cell>
          <cell r="U30" t="str">
            <v>na</v>
          </cell>
          <cell r="W30" t="str">
            <v>na</v>
          </cell>
          <cell r="X30" t="str">
            <v>na</v>
          </cell>
          <cell r="Z30">
            <v>0</v>
          </cell>
          <cell r="AA30">
            <v>0</v>
          </cell>
          <cell r="AB30">
            <v>0</v>
          </cell>
          <cell r="AC30">
            <v>0</v>
          </cell>
          <cell r="AD30">
            <v>0</v>
          </cell>
          <cell r="AF30" t="str">
            <v>na</v>
          </cell>
          <cell r="AM30">
            <v>0</v>
          </cell>
          <cell r="AU30">
            <v>0</v>
          </cell>
          <cell r="BA30" t="str">
            <v>na</v>
          </cell>
        </row>
        <row r="31">
          <cell r="A31">
            <v>25</v>
          </cell>
          <cell r="B31" t="str">
            <v>Firm25</v>
          </cell>
          <cell r="C31">
            <v>25</v>
          </cell>
          <cell r="G31">
            <v>0</v>
          </cell>
          <cell r="I31">
            <v>0</v>
          </cell>
          <cell r="J31" t="str">
            <v>na</v>
          </cell>
          <cell r="K31" t="e">
            <v>#VALUE!</v>
          </cell>
          <cell r="L31" t="str">
            <v>na</v>
          </cell>
          <cell r="N31">
            <v>0</v>
          </cell>
          <cell r="U31" t="str">
            <v>na</v>
          </cell>
          <cell r="W31" t="str">
            <v>na</v>
          </cell>
          <cell r="X31" t="str">
            <v>na</v>
          </cell>
          <cell r="Z31">
            <v>0</v>
          </cell>
          <cell r="AA31">
            <v>0</v>
          </cell>
          <cell r="AB31">
            <v>0</v>
          </cell>
          <cell r="AC31">
            <v>0</v>
          </cell>
          <cell r="AD31">
            <v>0</v>
          </cell>
          <cell r="AF31" t="str">
            <v>na</v>
          </cell>
          <cell r="AM31">
            <v>0</v>
          </cell>
          <cell r="AU31">
            <v>0</v>
          </cell>
          <cell r="BA31" t="str">
            <v>na</v>
          </cell>
        </row>
        <row r="32">
          <cell r="A32">
            <v>26</v>
          </cell>
          <cell r="B32" t="str">
            <v>Firm26</v>
          </cell>
          <cell r="C32">
            <v>26</v>
          </cell>
          <cell r="G32">
            <v>0</v>
          </cell>
          <cell r="I32">
            <v>0</v>
          </cell>
          <cell r="J32" t="str">
            <v>na</v>
          </cell>
          <cell r="K32" t="e">
            <v>#VALUE!</v>
          </cell>
          <cell r="L32" t="str">
            <v>na</v>
          </cell>
          <cell r="N32">
            <v>0</v>
          </cell>
          <cell r="U32" t="str">
            <v>na</v>
          </cell>
          <cell r="W32" t="str">
            <v>na</v>
          </cell>
          <cell r="X32" t="str">
            <v>na</v>
          </cell>
          <cell r="Z32">
            <v>0</v>
          </cell>
          <cell r="AA32">
            <v>0</v>
          </cell>
          <cell r="AB32">
            <v>0</v>
          </cell>
          <cell r="AC32">
            <v>0</v>
          </cell>
          <cell r="AD32">
            <v>0</v>
          </cell>
          <cell r="AF32" t="str">
            <v>na</v>
          </cell>
          <cell r="AM32">
            <v>0</v>
          </cell>
          <cell r="AU32">
            <v>0</v>
          </cell>
          <cell r="BA32" t="str">
            <v>na</v>
          </cell>
        </row>
        <row r="33">
          <cell r="A33">
            <v>27</v>
          </cell>
          <cell r="B33" t="str">
            <v>Firm27</v>
          </cell>
          <cell r="C33">
            <v>27</v>
          </cell>
          <cell r="G33">
            <v>0</v>
          </cell>
          <cell r="I33">
            <v>0</v>
          </cell>
          <cell r="J33" t="str">
            <v>na</v>
          </cell>
          <cell r="K33" t="e">
            <v>#VALUE!</v>
          </cell>
          <cell r="L33" t="str">
            <v>na</v>
          </cell>
          <cell r="N33">
            <v>0</v>
          </cell>
          <cell r="U33" t="str">
            <v>na</v>
          </cell>
          <cell r="W33" t="str">
            <v>na</v>
          </cell>
          <cell r="X33" t="str">
            <v>na</v>
          </cell>
          <cell r="Z33">
            <v>0</v>
          </cell>
          <cell r="AA33">
            <v>0</v>
          </cell>
          <cell r="AB33">
            <v>0</v>
          </cell>
          <cell r="AC33">
            <v>0</v>
          </cell>
          <cell r="AD33">
            <v>0</v>
          </cell>
          <cell r="AF33" t="str">
            <v>na</v>
          </cell>
          <cell r="AM33">
            <v>0</v>
          </cell>
          <cell r="AU33">
            <v>0</v>
          </cell>
          <cell r="BA33" t="str">
            <v>na</v>
          </cell>
        </row>
        <row r="34">
          <cell r="A34">
            <v>28</v>
          </cell>
          <cell r="B34" t="str">
            <v>Target INTERNET COMPANIES</v>
          </cell>
          <cell r="C34">
            <v>28</v>
          </cell>
          <cell r="G34">
            <v>0</v>
          </cell>
          <cell r="I34">
            <v>0</v>
          </cell>
          <cell r="J34" t="str">
            <v>na</v>
          </cell>
          <cell r="K34" t="e">
            <v>#VALUE!</v>
          </cell>
          <cell r="L34" t="str">
            <v>na</v>
          </cell>
          <cell r="N34">
            <v>0</v>
          </cell>
          <cell r="U34" t="str">
            <v>na</v>
          </cell>
          <cell r="W34" t="str">
            <v>na</v>
          </cell>
          <cell r="X34" t="str">
            <v>na</v>
          </cell>
          <cell r="Z34">
            <v>0</v>
          </cell>
          <cell r="AA34">
            <v>0</v>
          </cell>
          <cell r="AB34">
            <v>0</v>
          </cell>
          <cell r="AC34">
            <v>0</v>
          </cell>
          <cell r="AD34">
            <v>0</v>
          </cell>
          <cell r="AF34" t="str">
            <v>na</v>
          </cell>
          <cell r="AM34">
            <v>0</v>
          </cell>
          <cell r="AU34">
            <v>0</v>
          </cell>
          <cell r="BA34" t="str">
            <v>na</v>
          </cell>
        </row>
        <row r="35">
          <cell r="A35">
            <v>29</v>
          </cell>
          <cell r="B35" t="str">
            <v>T-Online</v>
          </cell>
          <cell r="C35">
            <v>29</v>
          </cell>
          <cell r="D35" t="str">
            <v>Internet Companies</v>
          </cell>
          <cell r="E35">
            <v>38352</v>
          </cell>
          <cell r="F35" t="str">
            <v>EUR m</v>
          </cell>
          <cell r="G35">
            <v>1</v>
          </cell>
          <cell r="I35">
            <v>6.93</v>
          </cell>
          <cell r="J35">
            <v>6.93</v>
          </cell>
          <cell r="K35">
            <v>8.3159999999999989</v>
          </cell>
          <cell r="L35">
            <v>0.83333333333333337</v>
          </cell>
          <cell r="N35">
            <v>1223889</v>
          </cell>
          <cell r="U35">
            <v>1223889</v>
          </cell>
          <cell r="W35">
            <v>8481.5507699999998</v>
          </cell>
          <cell r="X35">
            <v>8481.5507699999998</v>
          </cell>
          <cell r="Z35">
            <v>-4237.7</v>
          </cell>
          <cell r="AA35">
            <v>8.2691400000000002</v>
          </cell>
          <cell r="AB35">
            <v>0</v>
          </cell>
          <cell r="AC35">
            <v>0</v>
          </cell>
          <cell r="AD35">
            <v>4.5488499138423206</v>
          </cell>
          <cell r="AF35">
            <v>4256.6687599138422</v>
          </cell>
          <cell r="AH35">
            <v>1248</v>
          </cell>
          <cell r="AI35">
            <v>128.69999999999999</v>
          </cell>
          <cell r="AJ35">
            <v>114.1</v>
          </cell>
          <cell r="AK35">
            <v>174.29999999999998</v>
          </cell>
          <cell r="AL35">
            <v>-53.899999999999977</v>
          </cell>
          <cell r="AM35">
            <v>1611.1999999999998</v>
          </cell>
          <cell r="AN35">
            <v>5780.1</v>
          </cell>
          <cell r="AO35">
            <v>3.1</v>
          </cell>
          <cell r="AP35">
            <v>13.4</v>
          </cell>
          <cell r="AQ35">
            <v>53.1</v>
          </cell>
          <cell r="AT35">
            <v>-4237.7</v>
          </cell>
          <cell r="AU35">
            <v>1612.0000000000009</v>
          </cell>
          <cell r="AV35" t="str">
            <v>AR 31/12/04</v>
          </cell>
          <cell r="AW35" t="str">
            <v>Updated 13-12-04</v>
          </cell>
          <cell r="AX35">
            <v>0.38290000000000002</v>
          </cell>
          <cell r="BA35">
            <v>5.3603541292018256E-4</v>
          </cell>
          <cell r="BB35" t="str">
            <v>GER</v>
          </cell>
        </row>
        <row r="36">
          <cell r="A36">
            <v>30</v>
          </cell>
          <cell r="B36" t="str">
            <v>Tiscali</v>
          </cell>
          <cell r="C36">
            <v>30</v>
          </cell>
          <cell r="D36" t="str">
            <v>Internet Companies</v>
          </cell>
          <cell r="E36">
            <v>38352</v>
          </cell>
          <cell r="F36" t="str">
            <v>EUR m</v>
          </cell>
          <cell r="G36">
            <v>1</v>
          </cell>
          <cell r="I36">
            <v>2.3450000000000002</v>
          </cell>
          <cell r="J36">
            <v>2.3450000000000002</v>
          </cell>
          <cell r="K36">
            <v>2.8140000000000001</v>
          </cell>
          <cell r="L36">
            <v>0.83333333333333337</v>
          </cell>
          <cell r="N36">
            <v>396738</v>
          </cell>
          <cell r="U36">
            <v>396738</v>
          </cell>
          <cell r="W36">
            <v>930.35061000000007</v>
          </cell>
          <cell r="X36">
            <v>930.35061000000007</v>
          </cell>
          <cell r="Z36">
            <v>313.60000000000002</v>
          </cell>
          <cell r="AA36">
            <v>3.9331700000000001</v>
          </cell>
          <cell r="AB36">
            <v>0</v>
          </cell>
          <cell r="AC36">
            <v>0</v>
          </cell>
          <cell r="AD36">
            <v>8.4501964111261874</v>
          </cell>
          <cell r="AF36">
            <v>1256.3339764111263</v>
          </cell>
          <cell r="AM36">
            <v>0</v>
          </cell>
          <cell r="AN36">
            <v>296.274</v>
          </cell>
          <cell r="AO36">
            <v>2.6909999999999998</v>
          </cell>
          <cell r="AP36">
            <v>6.2679999999999998</v>
          </cell>
          <cell r="AQ36">
            <v>15.166</v>
          </cell>
          <cell r="AT36">
            <v>313.60000000000002</v>
          </cell>
          <cell r="AU36">
            <v>633.99900000000002</v>
          </cell>
          <cell r="AV36" t="str">
            <v>Q1 06 31-03-06</v>
          </cell>
          <cell r="AW36" t="str">
            <v>Updated 13-12-04</v>
          </cell>
          <cell r="AX36">
            <v>0.3725</v>
          </cell>
          <cell r="BA36">
            <v>9.0010536350408916E-3</v>
          </cell>
          <cell r="BB36" t="str">
            <v>IT</v>
          </cell>
        </row>
        <row r="37">
          <cell r="A37">
            <v>31</v>
          </cell>
          <cell r="B37" t="str">
            <v>Freenet</v>
          </cell>
          <cell r="C37">
            <v>31</v>
          </cell>
          <cell r="D37" t="str">
            <v>Internet Companies</v>
          </cell>
          <cell r="E37">
            <v>38352</v>
          </cell>
          <cell r="F37" t="str">
            <v>EUR m</v>
          </cell>
          <cell r="G37">
            <v>1</v>
          </cell>
          <cell r="I37">
            <v>16.18</v>
          </cell>
          <cell r="J37">
            <v>16.18</v>
          </cell>
          <cell r="K37">
            <v>19.416</v>
          </cell>
          <cell r="L37">
            <v>0.83333333333333326</v>
          </cell>
          <cell r="N37">
            <v>58931</v>
          </cell>
          <cell r="U37">
            <v>58931</v>
          </cell>
          <cell r="W37">
            <v>953.50357999999994</v>
          </cell>
          <cell r="X37">
            <v>953.50357999999994</v>
          </cell>
          <cell r="Z37">
            <v>-177.559</v>
          </cell>
          <cell r="AA37">
            <v>0.33261689999999999</v>
          </cell>
          <cell r="AB37">
            <v>0</v>
          </cell>
          <cell r="AC37">
            <v>-18.413</v>
          </cell>
          <cell r="AD37">
            <v>1.1763767415634867</v>
          </cell>
          <cell r="AF37">
            <v>759.04057364156336</v>
          </cell>
          <cell r="AM37">
            <v>0</v>
          </cell>
          <cell r="AN37">
            <v>294.22699999999998</v>
          </cell>
          <cell r="AO37">
            <v>0.36299999999999999</v>
          </cell>
          <cell r="AP37">
            <v>0.53900000000000003</v>
          </cell>
          <cell r="AQ37">
            <v>20.861000000000001</v>
          </cell>
          <cell r="AS37">
            <v>-18.413</v>
          </cell>
          <cell r="AT37">
            <v>-177.559</v>
          </cell>
          <cell r="AU37">
            <v>120.01799999999994</v>
          </cell>
          <cell r="AV37" t="str">
            <v>Q1 2006</v>
          </cell>
          <cell r="AW37" t="str">
            <v>Updated 13-12-04</v>
          </cell>
          <cell r="AX37">
            <v>0.38290000000000002</v>
          </cell>
          <cell r="BA37">
            <v>1.2322210529888999E-3</v>
          </cell>
          <cell r="BB37" t="str">
            <v>GER</v>
          </cell>
        </row>
        <row r="38">
          <cell r="A38">
            <v>32</v>
          </cell>
          <cell r="B38" t="str">
            <v>United Internet</v>
          </cell>
          <cell r="C38">
            <v>32</v>
          </cell>
          <cell r="D38" t="str">
            <v>Internet Companies</v>
          </cell>
          <cell r="E38">
            <v>38352</v>
          </cell>
          <cell r="F38" t="str">
            <v>EUR m</v>
          </cell>
          <cell r="G38">
            <v>1</v>
          </cell>
          <cell r="I38">
            <v>42.6</v>
          </cell>
          <cell r="J38">
            <v>42.6</v>
          </cell>
          <cell r="K38">
            <v>51.12</v>
          </cell>
          <cell r="L38">
            <v>0.83333333333333337</v>
          </cell>
          <cell r="N38">
            <v>62275</v>
          </cell>
          <cell r="U38">
            <v>62275</v>
          </cell>
          <cell r="W38">
            <v>2652.915</v>
          </cell>
          <cell r="X38">
            <v>2652.915</v>
          </cell>
          <cell r="Z38">
            <v>12.996</v>
          </cell>
          <cell r="AA38">
            <v>0</v>
          </cell>
          <cell r="AB38">
            <v>0</v>
          </cell>
          <cell r="AC38">
            <v>0</v>
          </cell>
          <cell r="AD38">
            <v>84.179746691470598</v>
          </cell>
          <cell r="AF38">
            <v>2750.0907466914705</v>
          </cell>
          <cell r="AM38">
            <v>0</v>
          </cell>
          <cell r="AN38">
            <v>311.24099999999999</v>
          </cell>
          <cell r="AO38">
            <v>9.8759999999999994</v>
          </cell>
          <cell r="AT38">
            <v>12.996</v>
          </cell>
          <cell r="AU38">
            <v>334.11299999999994</v>
          </cell>
          <cell r="AV38" t="str">
            <v>Q1 2006</v>
          </cell>
          <cell r="AW38" t="str">
            <v>Updated 13-12-04</v>
          </cell>
          <cell r="AX38">
            <v>0.38290000000000002</v>
          </cell>
          <cell r="BA38">
            <v>3.075514532086436E-2</v>
          </cell>
          <cell r="BB38" t="str">
            <v>GER</v>
          </cell>
        </row>
        <row r="39">
          <cell r="A39">
            <v>33</v>
          </cell>
          <cell r="B39" t="str">
            <v>Iliad</v>
          </cell>
          <cell r="C39">
            <v>33</v>
          </cell>
          <cell r="D39" t="str">
            <v>Internet Companies</v>
          </cell>
          <cell r="E39">
            <v>38352</v>
          </cell>
          <cell r="F39" t="str">
            <v>EUR m</v>
          </cell>
          <cell r="G39">
            <v>1</v>
          </cell>
          <cell r="I39">
            <v>65.05</v>
          </cell>
          <cell r="J39">
            <v>65.05</v>
          </cell>
          <cell r="K39">
            <v>78.059999999999988</v>
          </cell>
          <cell r="L39">
            <v>0.83333333333333337</v>
          </cell>
          <cell r="N39">
            <v>54152</v>
          </cell>
          <cell r="U39">
            <v>54152</v>
          </cell>
          <cell r="W39">
            <v>3522.5875999999998</v>
          </cell>
          <cell r="X39">
            <v>3522.5875999999998</v>
          </cell>
          <cell r="Z39">
            <v>38.511000000000003</v>
          </cell>
          <cell r="AA39">
            <v>0</v>
          </cell>
          <cell r="AB39">
            <v>0</v>
          </cell>
          <cell r="AC39">
            <v>0</v>
          </cell>
          <cell r="AD39">
            <v>1.417118282684432E-2</v>
          </cell>
          <cell r="AF39">
            <v>3561.1127711828267</v>
          </cell>
          <cell r="AM39">
            <v>0</v>
          </cell>
          <cell r="AN39">
            <v>248.57400000000001</v>
          </cell>
          <cell r="AO39">
            <v>1E-3</v>
          </cell>
          <cell r="AQ39">
            <v>1.333</v>
          </cell>
          <cell r="AT39">
            <v>38.511000000000003</v>
          </cell>
          <cell r="AU39">
            <v>288.41900000000004</v>
          </cell>
          <cell r="AV39">
            <v>38717</v>
          </cell>
          <cell r="AW39" t="str">
            <v>Updated 13-12-04</v>
          </cell>
          <cell r="AX39">
            <v>0.34329999999999999</v>
          </cell>
          <cell r="BA39">
            <v>4.0229307050186059E-6</v>
          </cell>
          <cell r="BB39" t="str">
            <v>FR</v>
          </cell>
        </row>
        <row r="40">
          <cell r="A40">
            <v>34</v>
          </cell>
          <cell r="B40" t="str">
            <v>Firm34</v>
          </cell>
          <cell r="C40">
            <v>34</v>
          </cell>
          <cell r="G40">
            <v>0</v>
          </cell>
          <cell r="I40">
            <v>0</v>
          </cell>
          <cell r="J40" t="str">
            <v>na</v>
          </cell>
          <cell r="K40" t="e">
            <v>#VALUE!</v>
          </cell>
          <cell r="L40" t="str">
            <v>na</v>
          </cell>
          <cell r="N40">
            <v>0</v>
          </cell>
          <cell r="U40" t="str">
            <v>na</v>
          </cell>
          <cell r="W40" t="str">
            <v>na</v>
          </cell>
          <cell r="X40" t="str">
            <v>na</v>
          </cell>
          <cell r="Z40">
            <v>0</v>
          </cell>
          <cell r="AA40">
            <v>0</v>
          </cell>
          <cell r="AB40">
            <v>0</v>
          </cell>
          <cell r="AC40">
            <v>0</v>
          </cell>
          <cell r="AD40">
            <v>0</v>
          </cell>
          <cell r="AF40" t="str">
            <v>na</v>
          </cell>
          <cell r="AM40">
            <v>0</v>
          </cell>
          <cell r="AU40">
            <v>0</v>
          </cell>
          <cell r="BA40" t="str">
            <v>na</v>
          </cell>
        </row>
        <row r="41">
          <cell r="A41">
            <v>35</v>
          </cell>
          <cell r="B41" t="str">
            <v>Firm35</v>
          </cell>
          <cell r="C41">
            <v>35</v>
          </cell>
          <cell r="G41">
            <v>0</v>
          </cell>
          <cell r="I41">
            <v>0</v>
          </cell>
          <cell r="J41" t="str">
            <v>na</v>
          </cell>
          <cell r="K41" t="e">
            <v>#VALUE!</v>
          </cell>
          <cell r="L41" t="str">
            <v>na</v>
          </cell>
          <cell r="N41">
            <v>0</v>
          </cell>
          <cell r="U41" t="str">
            <v>na</v>
          </cell>
          <cell r="W41" t="str">
            <v>na</v>
          </cell>
          <cell r="X41" t="str">
            <v>na</v>
          </cell>
          <cell r="Z41">
            <v>0</v>
          </cell>
          <cell r="AA41">
            <v>0</v>
          </cell>
          <cell r="AB41">
            <v>0</v>
          </cell>
          <cell r="AC41">
            <v>0</v>
          </cell>
          <cell r="AD41">
            <v>0</v>
          </cell>
          <cell r="AF41" t="str">
            <v>na</v>
          </cell>
          <cell r="AM41">
            <v>0</v>
          </cell>
          <cell r="AU41">
            <v>0</v>
          </cell>
          <cell r="BA41" t="str">
            <v>na</v>
          </cell>
        </row>
        <row r="42">
          <cell r="A42">
            <v>36</v>
          </cell>
          <cell r="B42" t="str">
            <v>Firm36</v>
          </cell>
          <cell r="C42">
            <v>36</v>
          </cell>
          <cell r="G42">
            <v>0</v>
          </cell>
          <cell r="I42">
            <v>0</v>
          </cell>
          <cell r="J42" t="str">
            <v>na</v>
          </cell>
          <cell r="K42" t="e">
            <v>#VALUE!</v>
          </cell>
          <cell r="L42" t="str">
            <v>na</v>
          </cell>
          <cell r="N42">
            <v>0</v>
          </cell>
          <cell r="U42" t="str">
            <v>na</v>
          </cell>
          <cell r="W42" t="str">
            <v>na</v>
          </cell>
          <cell r="X42" t="str">
            <v>na</v>
          </cell>
          <cell r="Z42">
            <v>0</v>
          </cell>
          <cell r="AA42">
            <v>0</v>
          </cell>
          <cell r="AB42">
            <v>0</v>
          </cell>
          <cell r="AC42">
            <v>0</v>
          </cell>
          <cell r="AD42">
            <v>0</v>
          </cell>
          <cell r="AF42" t="str">
            <v>na</v>
          </cell>
          <cell r="AM42">
            <v>0</v>
          </cell>
          <cell r="AU42">
            <v>0</v>
          </cell>
          <cell r="BA42" t="str">
            <v>na</v>
          </cell>
        </row>
        <row r="43">
          <cell r="A43">
            <v>37</v>
          </cell>
          <cell r="B43" t="str">
            <v>Firm37</v>
          </cell>
          <cell r="C43">
            <v>37</v>
          </cell>
          <cell r="G43">
            <v>0</v>
          </cell>
          <cell r="I43">
            <v>0</v>
          </cell>
          <cell r="J43" t="str">
            <v>na</v>
          </cell>
          <cell r="K43" t="e">
            <v>#VALUE!</v>
          </cell>
          <cell r="L43" t="str">
            <v>na</v>
          </cell>
          <cell r="N43">
            <v>0</v>
          </cell>
          <cell r="U43" t="str">
            <v>na</v>
          </cell>
          <cell r="W43" t="str">
            <v>na</v>
          </cell>
          <cell r="X43" t="str">
            <v>na</v>
          </cell>
          <cell r="Z43">
            <v>0</v>
          </cell>
          <cell r="AA43">
            <v>0</v>
          </cell>
          <cell r="AB43">
            <v>0</v>
          </cell>
          <cell r="AC43">
            <v>0</v>
          </cell>
          <cell r="AD43">
            <v>0</v>
          </cell>
          <cell r="AF43" t="str">
            <v>na</v>
          </cell>
          <cell r="AM43">
            <v>0</v>
          </cell>
          <cell r="AU43">
            <v>0</v>
          </cell>
          <cell r="BA43" t="str">
            <v>na</v>
          </cell>
        </row>
        <row r="44">
          <cell r="A44">
            <v>38</v>
          </cell>
          <cell r="B44" t="str">
            <v>Firm38</v>
          </cell>
          <cell r="C44">
            <v>38</v>
          </cell>
          <cell r="G44">
            <v>0</v>
          </cell>
          <cell r="I44">
            <v>0</v>
          </cell>
          <cell r="J44" t="str">
            <v>na</v>
          </cell>
          <cell r="K44" t="e">
            <v>#VALUE!</v>
          </cell>
          <cell r="L44" t="str">
            <v>na</v>
          </cell>
          <cell r="N44">
            <v>0</v>
          </cell>
          <cell r="U44" t="str">
            <v>na</v>
          </cell>
          <cell r="W44" t="str">
            <v>na</v>
          </cell>
          <cell r="X44" t="str">
            <v>na</v>
          </cell>
          <cell r="Z44">
            <v>0</v>
          </cell>
          <cell r="AA44">
            <v>0</v>
          </cell>
          <cell r="AB44">
            <v>0</v>
          </cell>
          <cell r="AC44">
            <v>0</v>
          </cell>
          <cell r="AD44">
            <v>0</v>
          </cell>
          <cell r="AF44" t="str">
            <v>na</v>
          </cell>
          <cell r="AM44">
            <v>0</v>
          </cell>
          <cell r="AU44">
            <v>0</v>
          </cell>
          <cell r="BA44" t="str">
            <v>na</v>
          </cell>
        </row>
        <row r="45">
          <cell r="A45">
            <v>39</v>
          </cell>
          <cell r="B45" t="str">
            <v>Target FIXED LINE EUROPE - ALTERNATIVE CARRIERS</v>
          </cell>
          <cell r="C45">
            <v>39</v>
          </cell>
          <cell r="G45">
            <v>0</v>
          </cell>
          <cell r="I45">
            <v>0</v>
          </cell>
          <cell r="J45" t="str">
            <v>na</v>
          </cell>
          <cell r="K45" t="e">
            <v>#VALUE!</v>
          </cell>
          <cell r="L45" t="str">
            <v>na</v>
          </cell>
          <cell r="N45">
            <v>0</v>
          </cell>
          <cell r="U45" t="str">
            <v>na</v>
          </cell>
          <cell r="W45" t="str">
            <v>na</v>
          </cell>
          <cell r="X45" t="str">
            <v>na</v>
          </cell>
          <cell r="Z45">
            <v>0</v>
          </cell>
          <cell r="AA45">
            <v>0</v>
          </cell>
          <cell r="AB45">
            <v>0</v>
          </cell>
          <cell r="AC45">
            <v>-4.968</v>
          </cell>
          <cell r="AD45">
            <v>0</v>
          </cell>
          <cell r="AF45" t="str">
            <v>na</v>
          </cell>
          <cell r="AM45">
            <v>0</v>
          </cell>
          <cell r="AU45">
            <v>0</v>
          </cell>
          <cell r="BA45" t="str">
            <v>na</v>
          </cell>
        </row>
        <row r="46">
          <cell r="A46">
            <v>40</v>
          </cell>
          <cell r="B46" t="str">
            <v>Cable &amp; Wireless</v>
          </cell>
          <cell r="C46">
            <v>40</v>
          </cell>
          <cell r="D46" t="str">
            <v>Fixed Line Europe - Alternative Careers</v>
          </cell>
          <cell r="E46">
            <v>38077</v>
          </cell>
          <cell r="F46" t="str">
            <v>GBP m</v>
          </cell>
          <cell r="G46">
            <v>0.68315000000000003</v>
          </cell>
          <cell r="I46" t="str">
            <v>#NA</v>
          </cell>
          <cell r="J46" t="str">
            <v>na</v>
          </cell>
          <cell r="K46" t="e">
            <v>#VALUE!</v>
          </cell>
          <cell r="L46" t="str">
            <v>na</v>
          </cell>
          <cell r="N46" t="str">
            <v>#NA</v>
          </cell>
          <cell r="U46" t="str">
            <v>na</v>
          </cell>
          <cell r="W46" t="str">
            <v>na</v>
          </cell>
          <cell r="X46" t="str">
            <v>na</v>
          </cell>
          <cell r="Z46">
            <v>-172.25</v>
          </cell>
          <cell r="AA46">
            <v>177.8</v>
          </cell>
          <cell r="AB46">
            <v>0</v>
          </cell>
          <cell r="AC46">
            <v>-415</v>
          </cell>
          <cell r="AD46">
            <v>0</v>
          </cell>
          <cell r="AF46" t="str">
            <v>na</v>
          </cell>
          <cell r="AM46">
            <v>0</v>
          </cell>
          <cell r="AN46">
            <v>1646</v>
          </cell>
          <cell r="AO46">
            <v>325</v>
          </cell>
          <cell r="AP46">
            <v>254</v>
          </cell>
          <cell r="AQ46">
            <v>387</v>
          </cell>
          <cell r="AS46">
            <v>-415</v>
          </cell>
          <cell r="AT46">
            <v>-172.25</v>
          </cell>
          <cell r="AU46">
            <v>2024.75</v>
          </cell>
          <cell r="AV46" t="str">
            <v>Interim res 30-09-05</v>
          </cell>
          <cell r="AW46" t="str">
            <v>Updated 13-12-04</v>
          </cell>
          <cell r="AX46">
            <v>0.3</v>
          </cell>
          <cell r="BA46">
            <v>0.16489091831557584</v>
          </cell>
          <cell r="BB46" t="str">
            <v>UK</v>
          </cell>
        </row>
        <row r="47">
          <cell r="A47">
            <v>41</v>
          </cell>
          <cell r="B47" t="str">
            <v>Colt</v>
          </cell>
          <cell r="C47">
            <v>41</v>
          </cell>
          <cell r="D47" t="str">
            <v>Fixed Line Europe - Alternative Careers</v>
          </cell>
          <cell r="E47">
            <v>38352</v>
          </cell>
          <cell r="F47" t="str">
            <v>GBP m</v>
          </cell>
          <cell r="G47">
            <v>0.68315000000000003</v>
          </cell>
          <cell r="I47">
            <v>0.61750000000000005</v>
          </cell>
          <cell r="J47">
            <v>0.90390104662226456</v>
          </cell>
          <cell r="K47">
            <v>0.74099999999999999</v>
          </cell>
          <cell r="L47">
            <v>0.83333333333333337</v>
          </cell>
          <cell r="N47">
            <v>1513531</v>
          </cell>
          <cell r="U47">
            <v>1513531</v>
          </cell>
          <cell r="W47">
            <v>934.60539250000011</v>
          </cell>
          <cell r="X47">
            <v>1368.0822549952427</v>
          </cell>
          <cell r="Z47">
            <v>360.7999999999999</v>
          </cell>
          <cell r="AA47">
            <v>0</v>
          </cell>
          <cell r="AB47">
            <v>0</v>
          </cell>
          <cell r="AC47">
            <v>0</v>
          </cell>
          <cell r="AD47">
            <v>0</v>
          </cell>
          <cell r="AF47">
            <v>1295.4053925000001</v>
          </cell>
          <cell r="AM47">
            <v>0</v>
          </cell>
          <cell r="AN47">
            <v>333.9</v>
          </cell>
          <cell r="AO47">
            <v>0</v>
          </cell>
          <cell r="AQ47">
            <v>35.700000000000003</v>
          </cell>
          <cell r="AT47">
            <v>360.7999999999999</v>
          </cell>
          <cell r="AU47">
            <v>730.39999999999986</v>
          </cell>
          <cell r="AV47" t="str">
            <v>AR 2005</v>
          </cell>
          <cell r="AW47" t="str">
            <v>Updated 13-12-04</v>
          </cell>
          <cell r="AX47">
            <v>0.3</v>
          </cell>
          <cell r="BA47">
            <v>0</v>
          </cell>
          <cell r="BB47" t="str">
            <v>UK</v>
          </cell>
        </row>
        <row r="48">
          <cell r="A48">
            <v>42</v>
          </cell>
          <cell r="B48" t="str">
            <v>Completel</v>
          </cell>
          <cell r="C48">
            <v>42</v>
          </cell>
          <cell r="D48" t="str">
            <v>Fixed Line Europe - Alternative Careers</v>
          </cell>
          <cell r="E48">
            <v>38352</v>
          </cell>
          <cell r="F48" t="str">
            <v>EUR m</v>
          </cell>
          <cell r="G48">
            <v>1</v>
          </cell>
          <cell r="I48">
            <v>20.059999999999999</v>
          </cell>
          <cell r="J48">
            <v>20.059999999999999</v>
          </cell>
          <cell r="K48">
            <v>24.071999999999999</v>
          </cell>
          <cell r="L48">
            <v>0.83333333333333326</v>
          </cell>
          <cell r="N48">
            <v>17888</v>
          </cell>
          <cell r="U48">
            <v>17888</v>
          </cell>
          <cell r="W48">
            <v>358.83327999999995</v>
          </cell>
          <cell r="X48">
            <v>358.83327999999995</v>
          </cell>
          <cell r="Z48">
            <v>-91.281000000000006</v>
          </cell>
          <cell r="AA48">
            <v>0</v>
          </cell>
          <cell r="AB48">
            <v>0</v>
          </cell>
          <cell r="AC48">
            <v>0</v>
          </cell>
          <cell r="AD48">
            <v>0</v>
          </cell>
          <cell r="AF48">
            <v>267.55227999999994</v>
          </cell>
          <cell r="AM48">
            <v>0</v>
          </cell>
          <cell r="AN48">
            <v>271.834</v>
          </cell>
          <cell r="AT48">
            <v>-91.281000000000006</v>
          </cell>
          <cell r="AU48">
            <v>180.553</v>
          </cell>
          <cell r="AV48" t="str">
            <v>Q3 30/09/2005</v>
          </cell>
          <cell r="AW48" t="str">
            <v>Updated 13-12-04</v>
          </cell>
          <cell r="AX48">
            <v>0.34329999999999999</v>
          </cell>
          <cell r="BA48">
            <v>0</v>
          </cell>
          <cell r="BB48" t="str">
            <v>NL</v>
          </cell>
        </row>
        <row r="49">
          <cell r="A49">
            <v>43</v>
          </cell>
          <cell r="B49" t="str">
            <v>Fastweb</v>
          </cell>
          <cell r="C49">
            <v>43</v>
          </cell>
          <cell r="D49" t="str">
            <v>Fixed Line Europe - Alternative Careers</v>
          </cell>
          <cell r="E49">
            <v>38352</v>
          </cell>
          <cell r="F49" t="str">
            <v>EUR m</v>
          </cell>
          <cell r="G49">
            <v>1</v>
          </cell>
          <cell r="I49">
            <v>36.21</v>
          </cell>
          <cell r="J49">
            <v>36.21</v>
          </cell>
          <cell r="K49">
            <v>43.451999999999998</v>
          </cell>
          <cell r="L49">
            <v>0.83333333333333337</v>
          </cell>
          <cell r="N49">
            <v>79508</v>
          </cell>
          <cell r="U49">
            <v>79508</v>
          </cell>
          <cell r="W49">
            <v>2878.98468</v>
          </cell>
          <cell r="X49">
            <v>2878.98468</v>
          </cell>
          <cell r="Z49">
            <v>582.5</v>
          </cell>
          <cell r="AA49">
            <v>0</v>
          </cell>
          <cell r="AB49">
            <v>0</v>
          </cell>
          <cell r="AC49">
            <v>3.157</v>
          </cell>
          <cell r="AD49">
            <v>0</v>
          </cell>
          <cell r="AF49">
            <v>3464.6416800000002</v>
          </cell>
          <cell r="AM49">
            <v>0</v>
          </cell>
          <cell r="AN49">
            <v>1741.56</v>
          </cell>
          <cell r="AO49">
            <v>0</v>
          </cell>
          <cell r="AQ49">
            <v>41.465000000000003</v>
          </cell>
          <cell r="AS49">
            <v>3.157</v>
          </cell>
          <cell r="AT49">
            <v>582.5</v>
          </cell>
          <cell r="AU49">
            <v>2368.6819999999998</v>
          </cell>
          <cell r="AV49" t="str">
            <v>AR 2005</v>
          </cell>
          <cell r="AW49" t="str">
            <v>Updated 13-12-04</v>
          </cell>
          <cell r="AX49">
            <v>0.3725</v>
          </cell>
          <cell r="BA49">
            <v>0</v>
          </cell>
          <cell r="BB49" t="str">
            <v>IT</v>
          </cell>
        </row>
        <row r="50">
          <cell r="A50">
            <v>44</v>
          </cell>
          <cell r="B50" t="str">
            <v>Equant</v>
          </cell>
          <cell r="C50">
            <v>44</v>
          </cell>
          <cell r="D50" t="str">
            <v>Fixed Line Europe - Alternative Careers</v>
          </cell>
          <cell r="E50">
            <v>38352</v>
          </cell>
          <cell r="F50" t="str">
            <v>USD m</v>
          </cell>
          <cell r="G50">
            <v>1.25535</v>
          </cell>
          <cell r="I50">
            <v>5.3980049999999995</v>
          </cell>
          <cell r="J50">
            <v>4.3</v>
          </cell>
          <cell r="K50">
            <v>6.4776059999999989</v>
          </cell>
          <cell r="L50">
            <v>0.83333333333333337</v>
          </cell>
          <cell r="N50">
            <v>282094</v>
          </cell>
          <cell r="O50">
            <v>10000</v>
          </cell>
          <cell r="P50">
            <v>5.3980049999999995</v>
          </cell>
          <cell r="U50">
            <v>292094</v>
          </cell>
          <cell r="W50">
            <v>1576.7248724699998</v>
          </cell>
          <cell r="X50">
            <v>1256.0041999999999</v>
          </cell>
          <cell r="Z50">
            <v>-404</v>
          </cell>
          <cell r="AA50">
            <v>0</v>
          </cell>
          <cell r="AB50">
            <v>0</v>
          </cell>
          <cell r="AC50">
            <v>0</v>
          </cell>
          <cell r="AD50">
            <v>0.38161957381282768</v>
          </cell>
          <cell r="AF50">
            <v>1173.1064920438128</v>
          </cell>
          <cell r="AI50">
            <v>128.80000000000001</v>
          </cell>
          <cell r="AJ50">
            <v>842.3</v>
          </cell>
          <cell r="AK50">
            <v>50.2</v>
          </cell>
          <cell r="AL50">
            <v>-22.300000000000097</v>
          </cell>
          <cell r="AM50">
            <v>998.99999999999989</v>
          </cell>
          <cell r="AN50">
            <v>1239.5</v>
          </cell>
          <cell r="AO50">
            <v>0.3</v>
          </cell>
          <cell r="AQ50">
            <v>163.19999999999999</v>
          </cell>
          <cell r="AT50">
            <v>-404</v>
          </cell>
          <cell r="AU50">
            <v>999</v>
          </cell>
          <cell r="AV50" t="str">
            <v>4Q 31/12/04</v>
          </cell>
          <cell r="AW50" t="str">
            <v>Updated 10-11-04</v>
          </cell>
          <cell r="AX50">
            <v>0.34329999999999999</v>
          </cell>
          <cell r="BA50">
            <v>2.4197451201806743E-4</v>
          </cell>
          <cell r="BB50" t="str">
            <v>FR</v>
          </cell>
        </row>
        <row r="51">
          <cell r="A51">
            <v>45</v>
          </cell>
          <cell r="B51" t="str">
            <v>Jazztel</v>
          </cell>
          <cell r="C51">
            <v>45</v>
          </cell>
          <cell r="D51" t="str">
            <v>Fixed Line Europe - Alternative Careers</v>
          </cell>
          <cell r="E51">
            <v>38352</v>
          </cell>
          <cell r="F51" t="str">
            <v>EUR m</v>
          </cell>
          <cell r="G51">
            <v>1</v>
          </cell>
          <cell r="I51">
            <v>0.74</v>
          </cell>
          <cell r="J51">
            <v>0.74</v>
          </cell>
          <cell r="K51">
            <v>0.88800000000000001</v>
          </cell>
          <cell r="L51">
            <v>0.83333333333333326</v>
          </cell>
          <cell r="N51">
            <v>970697</v>
          </cell>
          <cell r="U51">
            <v>970697</v>
          </cell>
          <cell r="W51">
            <v>718.31578000000002</v>
          </cell>
          <cell r="X51">
            <v>718.31578000000002</v>
          </cell>
          <cell r="Z51">
            <v>141.12199999999999</v>
          </cell>
          <cell r="AA51">
            <v>0</v>
          </cell>
          <cell r="AB51">
            <v>0</v>
          </cell>
          <cell r="AC51">
            <v>36.923000000000002</v>
          </cell>
          <cell r="AD51">
            <v>0</v>
          </cell>
          <cell r="AF51">
            <v>896.36077999999998</v>
          </cell>
          <cell r="AM51">
            <v>0</v>
          </cell>
          <cell r="AN51">
            <v>179.94200000000001</v>
          </cell>
          <cell r="AO51">
            <v>0</v>
          </cell>
          <cell r="AQ51">
            <v>19.440000000000001</v>
          </cell>
          <cell r="AS51">
            <v>36.923000000000002</v>
          </cell>
          <cell r="AT51">
            <v>141.12199999999999</v>
          </cell>
          <cell r="AU51">
            <v>377.42700000000002</v>
          </cell>
          <cell r="AV51" t="str">
            <v>4Q 31/12/04</v>
          </cell>
          <cell r="AW51" t="str">
            <v>Updated 13-12-04</v>
          </cell>
          <cell r="AX51">
            <v>0.35</v>
          </cell>
          <cell r="BA51">
            <v>0</v>
          </cell>
          <cell r="BB51" t="str">
            <v>UK</v>
          </cell>
        </row>
        <row r="52">
          <cell r="A52">
            <v>46</v>
          </cell>
          <cell r="B52" t="str">
            <v>Kingston Com.</v>
          </cell>
          <cell r="C52">
            <v>46</v>
          </cell>
          <cell r="D52" t="str">
            <v>Fixed Line Europe - Alternative Careers</v>
          </cell>
          <cell r="E52">
            <v>38077</v>
          </cell>
          <cell r="F52" t="str">
            <v>GBP m</v>
          </cell>
          <cell r="G52">
            <v>0.68315000000000003</v>
          </cell>
          <cell r="I52">
            <v>0.505</v>
          </cell>
          <cell r="J52">
            <v>0.73922271829027297</v>
          </cell>
          <cell r="K52">
            <v>0.60599999999999998</v>
          </cell>
          <cell r="L52">
            <v>0.83333333333333337</v>
          </cell>
          <cell r="N52">
            <v>514795</v>
          </cell>
          <cell r="U52">
            <v>514795</v>
          </cell>
          <cell r="W52">
            <v>259.971475</v>
          </cell>
          <cell r="X52">
            <v>380.54815926224109</v>
          </cell>
          <cell r="Z52">
            <v>163.59899999999999</v>
          </cell>
          <cell r="AA52">
            <v>0</v>
          </cell>
          <cell r="AB52">
            <v>0</v>
          </cell>
          <cell r="AC52">
            <v>0</v>
          </cell>
          <cell r="AD52">
            <v>0</v>
          </cell>
          <cell r="AF52">
            <v>423.57047499999999</v>
          </cell>
          <cell r="AM52">
            <v>0</v>
          </cell>
          <cell r="AN52">
            <v>244.874</v>
          </cell>
          <cell r="AQ52">
            <v>5.5410000000000004</v>
          </cell>
          <cell r="AT52">
            <v>163.59899999999999</v>
          </cell>
          <cell r="AU52">
            <v>414.01400000000001</v>
          </cell>
          <cell r="AV52" t="str">
            <v>AR 31-03-05</v>
          </cell>
          <cell r="AW52" t="str">
            <v>To be released</v>
          </cell>
          <cell r="AX52">
            <v>0.3</v>
          </cell>
          <cell r="BA52">
            <v>0</v>
          </cell>
          <cell r="BB52" t="str">
            <v>UK</v>
          </cell>
        </row>
        <row r="53">
          <cell r="A53">
            <v>47</v>
          </cell>
          <cell r="B53" t="str">
            <v>QSC</v>
          </cell>
          <cell r="C53">
            <v>47</v>
          </cell>
          <cell r="D53" t="str">
            <v>Fixed Line Europe - Alternative Careers</v>
          </cell>
          <cell r="E53">
            <v>38352</v>
          </cell>
          <cell r="F53" t="str">
            <v>EUR m</v>
          </cell>
          <cell r="G53">
            <v>1</v>
          </cell>
          <cell r="I53">
            <v>4.08</v>
          </cell>
          <cell r="J53">
            <v>4.08</v>
          </cell>
          <cell r="K53">
            <v>4.8959999999999999</v>
          </cell>
          <cell r="L53">
            <v>0.83333333333333337</v>
          </cell>
          <cell r="N53">
            <v>115033</v>
          </cell>
          <cell r="U53">
            <v>115033</v>
          </cell>
          <cell r="W53">
            <v>469.33464000000004</v>
          </cell>
          <cell r="X53">
            <v>469.33464000000004</v>
          </cell>
          <cell r="Z53">
            <v>-11.182099999999998</v>
          </cell>
          <cell r="AA53">
            <v>0</v>
          </cell>
          <cell r="AB53">
            <v>0</v>
          </cell>
          <cell r="AC53">
            <v>-26.358000000000001</v>
          </cell>
          <cell r="AD53">
            <v>0</v>
          </cell>
          <cell r="AF53">
            <v>431.79454000000004</v>
          </cell>
          <cell r="AM53">
            <v>0</v>
          </cell>
          <cell r="AN53">
            <v>85.037999999999997</v>
          </cell>
          <cell r="AO53">
            <v>0</v>
          </cell>
          <cell r="AS53">
            <v>-26.358000000000001</v>
          </cell>
          <cell r="AT53">
            <v>-11.182099999999998</v>
          </cell>
          <cell r="AU53">
            <v>47.497899999999994</v>
          </cell>
          <cell r="AV53" t="str">
            <v>AR 31-12-05</v>
          </cell>
          <cell r="AW53" t="str">
            <v>Updated 13-12-04</v>
          </cell>
          <cell r="AX53">
            <v>0.38290000000000002</v>
          </cell>
          <cell r="BA53">
            <v>0</v>
          </cell>
          <cell r="BB53" t="str">
            <v>GER</v>
          </cell>
        </row>
        <row r="54">
          <cell r="A54">
            <v>48</v>
          </cell>
          <cell r="B54" t="str">
            <v>Song Networks</v>
          </cell>
          <cell r="C54">
            <v>48</v>
          </cell>
          <cell r="D54" t="str">
            <v>Fixed Line Europe - Alternative Careers</v>
          </cell>
          <cell r="E54">
            <v>38352</v>
          </cell>
          <cell r="F54" t="str">
            <v>SEK m</v>
          </cell>
          <cell r="G54">
            <v>9.2825000000000006</v>
          </cell>
          <cell r="I54">
            <v>95</v>
          </cell>
          <cell r="J54">
            <v>10.234311877188256</v>
          </cell>
          <cell r="K54">
            <v>114</v>
          </cell>
          <cell r="L54">
            <v>0.83333333333333337</v>
          </cell>
          <cell r="N54">
            <v>52413</v>
          </cell>
          <cell r="U54">
            <v>52413</v>
          </cell>
          <cell r="W54">
            <v>4979.2349999999997</v>
          </cell>
          <cell r="X54">
            <v>536.41098841906808</v>
          </cell>
          <cell r="Z54">
            <v>-334.97900000000004</v>
          </cell>
          <cell r="AA54">
            <v>0</v>
          </cell>
          <cell r="AB54">
            <v>0</v>
          </cell>
          <cell r="AC54">
            <v>0</v>
          </cell>
          <cell r="AD54">
            <v>0</v>
          </cell>
          <cell r="AF54">
            <v>4644.2559999999994</v>
          </cell>
          <cell r="AH54">
            <v>33.570999999999998</v>
          </cell>
          <cell r="AJ54">
            <v>1517.5250000000001</v>
          </cell>
          <cell r="AK54">
            <v>97.593000000000004</v>
          </cell>
          <cell r="AL54">
            <v>-159.82500000000005</v>
          </cell>
          <cell r="AM54">
            <v>1488.864</v>
          </cell>
          <cell r="AN54">
            <v>1471.836</v>
          </cell>
          <cell r="AQ54">
            <v>352.00700000000001</v>
          </cell>
          <cell r="AT54">
            <v>-334.97900000000004</v>
          </cell>
          <cell r="AU54">
            <v>1488.864</v>
          </cell>
          <cell r="AV54" t="str">
            <v>3Q 30/09/04</v>
          </cell>
          <cell r="AW54" t="str">
            <v>Updated 13-12-04</v>
          </cell>
          <cell r="AX54">
            <v>0.28000000000000003</v>
          </cell>
          <cell r="BA54">
            <v>0</v>
          </cell>
          <cell r="BB54" t="str">
            <v>SWE</v>
          </cell>
        </row>
        <row r="55">
          <cell r="A55">
            <v>49</v>
          </cell>
          <cell r="B55" t="str">
            <v>Thus</v>
          </cell>
          <cell r="C55">
            <v>49</v>
          </cell>
          <cell r="D55" t="str">
            <v>Fixed Line Europe - Alternative Careers</v>
          </cell>
          <cell r="E55">
            <v>38077</v>
          </cell>
          <cell r="F55" t="str">
            <v>GBP m</v>
          </cell>
          <cell r="G55">
            <v>0.68315000000000003</v>
          </cell>
          <cell r="I55">
            <v>1.31</v>
          </cell>
          <cell r="J55">
            <v>1.9175876454658567</v>
          </cell>
          <cell r="K55">
            <v>1.5720000000000001</v>
          </cell>
          <cell r="L55">
            <v>0.83333333333333337</v>
          </cell>
          <cell r="N55">
            <v>180758</v>
          </cell>
          <cell r="U55">
            <v>180758</v>
          </cell>
          <cell r="W55">
            <v>236.79298</v>
          </cell>
          <cell r="X55">
            <v>346.61930761911731</v>
          </cell>
          <cell r="Z55">
            <v>30.1</v>
          </cell>
          <cell r="AA55">
            <v>3.7576000000000001</v>
          </cell>
          <cell r="AB55">
            <v>0</v>
          </cell>
          <cell r="AC55">
            <v>0</v>
          </cell>
          <cell r="AD55">
            <v>0</v>
          </cell>
          <cell r="AF55">
            <v>270.65058000000005</v>
          </cell>
          <cell r="AM55">
            <v>0</v>
          </cell>
          <cell r="AN55">
            <v>325.00400000000002</v>
          </cell>
          <cell r="AP55">
            <v>5.3680000000000003</v>
          </cell>
          <cell r="AQ55">
            <v>0.79500000000000004</v>
          </cell>
          <cell r="AT55">
            <v>30.1</v>
          </cell>
          <cell r="AU55">
            <v>361.26700000000005</v>
          </cell>
          <cell r="AV55" t="str">
            <v>H1 05-06 (30/09)</v>
          </cell>
          <cell r="AW55" t="str">
            <v>Updated 13-12-04</v>
          </cell>
          <cell r="AX55">
            <v>0.3</v>
          </cell>
          <cell r="BA55">
            <v>0</v>
          </cell>
          <cell r="BB55" t="str">
            <v>UK</v>
          </cell>
        </row>
        <row r="56">
          <cell r="A56">
            <v>50</v>
          </cell>
          <cell r="B56" t="str">
            <v>Versatel</v>
          </cell>
          <cell r="C56">
            <v>50</v>
          </cell>
          <cell r="D56" t="str">
            <v>Fixed Line Europe - Alternative Careers</v>
          </cell>
          <cell r="E56">
            <v>38352</v>
          </cell>
          <cell r="F56" t="str">
            <v>EUR m</v>
          </cell>
          <cell r="G56">
            <v>1</v>
          </cell>
          <cell r="I56">
            <v>0.92</v>
          </cell>
          <cell r="J56">
            <v>0.92</v>
          </cell>
          <cell r="K56">
            <v>1.1040000000000001</v>
          </cell>
          <cell r="L56">
            <v>0.83333333333333326</v>
          </cell>
          <cell r="N56">
            <v>518017</v>
          </cell>
          <cell r="U56">
            <v>518017</v>
          </cell>
          <cell r="W56">
            <v>476.57564000000002</v>
          </cell>
          <cell r="X56">
            <v>476.57564000000002</v>
          </cell>
          <cell r="Z56">
            <v>20.485999999999997</v>
          </cell>
          <cell r="AA56">
            <v>0</v>
          </cell>
          <cell r="AB56">
            <v>0</v>
          </cell>
          <cell r="AC56">
            <v>0</v>
          </cell>
          <cell r="AD56">
            <v>0</v>
          </cell>
          <cell r="AF56">
            <v>497.06164000000001</v>
          </cell>
          <cell r="AM56">
            <v>0</v>
          </cell>
          <cell r="AN56">
            <v>567.529</v>
          </cell>
          <cell r="AO56">
            <v>0</v>
          </cell>
          <cell r="AQ56">
            <v>115.735</v>
          </cell>
          <cell r="AT56">
            <v>20.485999999999997</v>
          </cell>
          <cell r="AU56">
            <v>703.75</v>
          </cell>
          <cell r="AV56" t="str">
            <v>Q3 30-09-05</v>
          </cell>
          <cell r="AW56" t="str">
            <v>Updated 13-12-04</v>
          </cell>
          <cell r="AX56">
            <v>0.34499999999999997</v>
          </cell>
          <cell r="BA56">
            <v>0</v>
          </cell>
          <cell r="BB56" t="str">
            <v>NL</v>
          </cell>
        </row>
        <row r="57">
          <cell r="A57">
            <v>51</v>
          </cell>
          <cell r="B57" t="str">
            <v>Mobilcom</v>
          </cell>
          <cell r="C57">
            <v>51</v>
          </cell>
          <cell r="D57" t="str">
            <v>Fixed Line Europe - Alternative Careers</v>
          </cell>
          <cell r="E57">
            <v>38717</v>
          </cell>
          <cell r="F57" t="str">
            <v>EUR m</v>
          </cell>
          <cell r="G57">
            <v>1</v>
          </cell>
          <cell r="I57">
            <v>15.07</v>
          </cell>
          <cell r="J57">
            <v>15.07</v>
          </cell>
          <cell r="K57">
            <v>18.084</v>
          </cell>
          <cell r="L57">
            <v>0.83333333333333337</v>
          </cell>
          <cell r="N57">
            <v>65702</v>
          </cell>
          <cell r="U57">
            <v>65702</v>
          </cell>
          <cell r="W57">
            <v>990.12914000000001</v>
          </cell>
          <cell r="X57">
            <v>990.12914000000001</v>
          </cell>
          <cell r="Z57">
            <v>-332.11599999999999</v>
          </cell>
          <cell r="AA57">
            <v>0.33261689999999999</v>
          </cell>
          <cell r="AB57">
            <v>0</v>
          </cell>
          <cell r="AC57">
            <v>-4.0409999999999995</v>
          </cell>
          <cell r="AD57">
            <v>234.06597430449122</v>
          </cell>
          <cell r="AF57">
            <v>888.37073120449111</v>
          </cell>
          <cell r="AM57">
            <v>0</v>
          </cell>
          <cell r="AN57">
            <v>547.93700000000001</v>
          </cell>
          <cell r="AO57">
            <v>129.53200000000001</v>
          </cell>
          <cell r="AP57">
            <v>0.53900000000000003</v>
          </cell>
          <cell r="AQ57">
            <v>1.0269999999999999</v>
          </cell>
          <cell r="AS57">
            <v>-4.0409999999999995</v>
          </cell>
          <cell r="AT57">
            <v>-332.11599999999999</v>
          </cell>
          <cell r="AU57">
            <v>342.87800000000004</v>
          </cell>
          <cell r="AV57" t="str">
            <v>AR 31/12/05</v>
          </cell>
          <cell r="AW57" t="str">
            <v>Updated 12-01-05</v>
          </cell>
          <cell r="AX57">
            <v>0.38290000000000002</v>
          </cell>
          <cell r="BA57">
            <v>0.19119989254120853</v>
          </cell>
          <cell r="BB57" t="str">
            <v>GER</v>
          </cell>
        </row>
        <row r="58">
          <cell r="A58">
            <v>52</v>
          </cell>
          <cell r="B58" t="str">
            <v>Tiscali</v>
          </cell>
          <cell r="C58">
            <v>52</v>
          </cell>
          <cell r="G58">
            <v>0</v>
          </cell>
          <cell r="I58">
            <v>0</v>
          </cell>
          <cell r="J58" t="str">
            <v>na</v>
          </cell>
          <cell r="K58" t="e">
            <v>#VALUE!</v>
          </cell>
          <cell r="L58" t="str">
            <v>na</v>
          </cell>
          <cell r="N58">
            <v>0</v>
          </cell>
          <cell r="U58" t="str">
            <v>na</v>
          </cell>
          <cell r="W58" t="str">
            <v>na</v>
          </cell>
          <cell r="X58" t="str">
            <v>na</v>
          </cell>
          <cell r="Z58">
            <v>313.60000000000002</v>
          </cell>
          <cell r="AA58">
            <v>6.2679999999999998</v>
          </cell>
          <cell r="AB58">
            <v>0</v>
          </cell>
          <cell r="AC58">
            <v>0</v>
          </cell>
          <cell r="AD58">
            <v>0</v>
          </cell>
          <cell r="AF58" t="str">
            <v>na</v>
          </cell>
          <cell r="AM58">
            <v>0</v>
          </cell>
          <cell r="AN58">
            <v>296.274</v>
          </cell>
          <cell r="AO58">
            <v>2.6909999999999998</v>
          </cell>
          <cell r="AP58">
            <v>6.2679999999999998</v>
          </cell>
          <cell r="AQ58">
            <v>15.166</v>
          </cell>
          <cell r="AT58">
            <v>313.60000000000002</v>
          </cell>
          <cell r="AU58">
            <v>633.99900000000002</v>
          </cell>
          <cell r="AV58" t="str">
            <v>Q1 06 31-03-06</v>
          </cell>
          <cell r="BA58">
            <v>9.0010536350408916E-3</v>
          </cell>
        </row>
        <row r="59">
          <cell r="A59">
            <v>53</v>
          </cell>
          <cell r="B59" t="str">
            <v>Target SATELLITES</v>
          </cell>
          <cell r="C59">
            <v>53</v>
          </cell>
          <cell r="G59">
            <v>0</v>
          </cell>
          <cell r="I59">
            <v>0</v>
          </cell>
          <cell r="J59" t="str">
            <v>na</v>
          </cell>
          <cell r="K59" t="e">
            <v>#VALUE!</v>
          </cell>
          <cell r="L59" t="str">
            <v>na</v>
          </cell>
          <cell r="N59">
            <v>0</v>
          </cell>
          <cell r="U59" t="str">
            <v>na</v>
          </cell>
          <cell r="W59" t="str">
            <v>na</v>
          </cell>
          <cell r="X59" t="str">
            <v>na</v>
          </cell>
          <cell r="Z59">
            <v>0</v>
          </cell>
          <cell r="AA59">
            <v>0</v>
          </cell>
          <cell r="AB59">
            <v>0</v>
          </cell>
          <cell r="AC59">
            <v>0</v>
          </cell>
          <cell r="AD59">
            <v>0</v>
          </cell>
          <cell r="AF59" t="str">
            <v>na</v>
          </cell>
          <cell r="AM59">
            <v>0</v>
          </cell>
          <cell r="AU59">
            <v>0</v>
          </cell>
          <cell r="BA59" t="str">
            <v>na</v>
          </cell>
        </row>
        <row r="60">
          <cell r="A60">
            <v>54</v>
          </cell>
          <cell r="B60" t="str">
            <v>New Skies</v>
          </cell>
          <cell r="C60">
            <v>54</v>
          </cell>
          <cell r="D60" t="str">
            <v>Satellites</v>
          </cell>
          <cell r="E60">
            <v>38352</v>
          </cell>
          <cell r="F60" t="str">
            <v>USD m</v>
          </cell>
          <cell r="G60">
            <v>1.25535</v>
          </cell>
          <cell r="I60" t="str">
            <v>#NA</v>
          </cell>
          <cell r="J60" t="str">
            <v>na</v>
          </cell>
          <cell r="K60" t="e">
            <v>#VALUE!</v>
          </cell>
          <cell r="L60" t="str">
            <v>na</v>
          </cell>
          <cell r="N60" t="str">
            <v>#NA</v>
          </cell>
          <cell r="U60" t="str">
            <v>na</v>
          </cell>
          <cell r="W60" t="str">
            <v>na</v>
          </cell>
          <cell r="X60" t="str">
            <v>na</v>
          </cell>
          <cell r="Z60">
            <v>678.85099999999989</v>
          </cell>
          <cell r="AA60">
            <v>0</v>
          </cell>
          <cell r="AB60">
            <v>0</v>
          </cell>
          <cell r="AC60">
            <v>0</v>
          </cell>
          <cell r="AD60">
            <v>0</v>
          </cell>
          <cell r="AF60" t="str">
            <v>na</v>
          </cell>
          <cell r="AJ60">
            <v>706.83799999999997</v>
          </cell>
          <cell r="AL60">
            <v>-27.297000000000008</v>
          </cell>
          <cell r="AM60">
            <v>679.54099999999994</v>
          </cell>
          <cell r="AN60">
            <v>0.69</v>
          </cell>
          <cell r="AT60">
            <v>678.85099999999989</v>
          </cell>
          <cell r="AU60">
            <v>679.54099999999994</v>
          </cell>
          <cell r="AV60" t="str">
            <v>Q1 2005</v>
          </cell>
          <cell r="AW60" t="str">
            <v>Updated 13-12-04</v>
          </cell>
          <cell r="AX60">
            <v>0.35</v>
          </cell>
          <cell r="BA60">
            <v>0</v>
          </cell>
          <cell r="BB60" t="str">
            <v>US</v>
          </cell>
        </row>
        <row r="61">
          <cell r="A61">
            <v>55</v>
          </cell>
          <cell r="B61" t="str">
            <v>Firm 55</v>
          </cell>
          <cell r="C61">
            <v>55</v>
          </cell>
          <cell r="G61">
            <v>0</v>
          </cell>
          <cell r="I61">
            <v>0</v>
          </cell>
          <cell r="J61" t="str">
            <v>na</v>
          </cell>
          <cell r="K61" t="e">
            <v>#VALUE!</v>
          </cell>
          <cell r="L61" t="str">
            <v>na</v>
          </cell>
          <cell r="N61">
            <v>0</v>
          </cell>
          <cell r="U61" t="str">
            <v>na</v>
          </cell>
          <cell r="W61" t="str">
            <v>na</v>
          </cell>
          <cell r="X61" t="str">
            <v>na</v>
          </cell>
          <cell r="Z61">
            <v>0</v>
          </cell>
          <cell r="AA61">
            <v>0</v>
          </cell>
          <cell r="AB61">
            <v>0</v>
          </cell>
          <cell r="AC61">
            <v>0</v>
          </cell>
          <cell r="AD61">
            <v>0</v>
          </cell>
          <cell r="AF61" t="str">
            <v>na</v>
          </cell>
          <cell r="AM61">
            <v>0</v>
          </cell>
          <cell r="AU61">
            <v>0</v>
          </cell>
          <cell r="AX61">
            <v>0.35</v>
          </cell>
          <cell r="BA61" t="str">
            <v>na</v>
          </cell>
          <cell r="BB61" t="str">
            <v>US</v>
          </cell>
        </row>
        <row r="62">
          <cell r="A62">
            <v>56</v>
          </cell>
          <cell r="B62" t="str">
            <v>SES Global</v>
          </cell>
          <cell r="C62">
            <v>56</v>
          </cell>
          <cell r="D62" t="str">
            <v>Satellites</v>
          </cell>
          <cell r="E62">
            <v>38352</v>
          </cell>
          <cell r="F62" t="str">
            <v>EUR m</v>
          </cell>
          <cell r="G62">
            <v>1</v>
          </cell>
          <cell r="I62">
            <v>10.91</v>
          </cell>
          <cell r="J62">
            <v>10.91</v>
          </cell>
          <cell r="K62">
            <v>13.092000000000001</v>
          </cell>
          <cell r="L62">
            <v>0.83333333333333326</v>
          </cell>
          <cell r="N62">
            <v>310340</v>
          </cell>
          <cell r="O62">
            <v>245817.8</v>
          </cell>
          <cell r="P62">
            <v>4.92</v>
          </cell>
          <cell r="Q62">
            <v>181295.7</v>
          </cell>
          <cell r="R62">
            <v>12.3</v>
          </cell>
          <cell r="U62">
            <v>737453.5</v>
          </cell>
          <cell r="W62">
            <v>6825.1700860000001</v>
          </cell>
          <cell r="X62">
            <v>6825.1700860000001</v>
          </cell>
          <cell r="Z62">
            <v>1629.9999999999998</v>
          </cell>
          <cell r="AA62">
            <v>0</v>
          </cell>
          <cell r="AB62">
            <v>0</v>
          </cell>
          <cell r="AC62">
            <v>0</v>
          </cell>
          <cell r="AD62">
            <v>592.98571309822819</v>
          </cell>
          <cell r="AF62">
            <v>9048.1557990982292</v>
          </cell>
          <cell r="AH62">
            <v>1546.8</v>
          </cell>
          <cell r="AI62">
            <v>937.4</v>
          </cell>
          <cell r="AJ62">
            <v>3287</v>
          </cell>
          <cell r="AK62">
            <v>166.4</v>
          </cell>
          <cell r="AL62">
            <v>-142.99999999999991</v>
          </cell>
          <cell r="AM62">
            <v>5794.5999999999995</v>
          </cell>
          <cell r="AN62">
            <v>3217</v>
          </cell>
          <cell r="AO62">
            <v>279.5</v>
          </cell>
          <cell r="AQ62">
            <v>668.1</v>
          </cell>
          <cell r="AT62">
            <v>1629.9999999999998</v>
          </cell>
          <cell r="AU62">
            <v>5794.6</v>
          </cell>
          <cell r="AV62" t="str">
            <v>AR 31/12/04</v>
          </cell>
          <cell r="AW62" t="str">
            <v>Updated 13-12-04</v>
          </cell>
          <cell r="AX62">
            <v>0.30380000000000001</v>
          </cell>
          <cell r="BA62">
            <v>7.9937079937079936E-2</v>
          </cell>
          <cell r="BB62" t="str">
            <v>LX</v>
          </cell>
        </row>
        <row r="63">
          <cell r="A63">
            <v>57</v>
          </cell>
          <cell r="B63" t="str">
            <v>Asia Sat</v>
          </cell>
          <cell r="C63">
            <v>57</v>
          </cell>
          <cell r="D63" t="str">
            <v>Satellites</v>
          </cell>
          <cell r="E63">
            <v>38352</v>
          </cell>
          <cell r="F63" t="str">
            <v>HKD m</v>
          </cell>
          <cell r="G63">
            <v>9.7492000000000001</v>
          </cell>
          <cell r="I63">
            <v>13.4</v>
          </cell>
          <cell r="J63">
            <v>1.3744717515283305</v>
          </cell>
          <cell r="K63">
            <v>16.079999999999998</v>
          </cell>
          <cell r="L63">
            <v>0.83333333333333348</v>
          </cell>
          <cell r="N63">
            <v>390265</v>
          </cell>
          <cell r="U63">
            <v>390265</v>
          </cell>
          <cell r="W63">
            <v>5229.5510000000004</v>
          </cell>
          <cell r="X63">
            <v>536.40821811020396</v>
          </cell>
          <cell r="Z63">
            <v>-1330.8409999999999</v>
          </cell>
          <cell r="AA63">
            <v>0</v>
          </cell>
          <cell r="AB63">
            <v>0</v>
          </cell>
          <cell r="AC63">
            <v>-14.134</v>
          </cell>
          <cell r="AD63">
            <v>7.7071925603084122</v>
          </cell>
          <cell r="AF63">
            <v>3892.2831925603091</v>
          </cell>
          <cell r="AI63">
            <v>0.75</v>
          </cell>
          <cell r="AJ63">
            <v>2791.58</v>
          </cell>
          <cell r="AL63">
            <v>-177.01199999999997</v>
          </cell>
          <cell r="AM63">
            <v>2615.3179999999998</v>
          </cell>
          <cell r="AN63">
            <v>3954.4650000000001</v>
          </cell>
          <cell r="AO63">
            <v>5.8280000000000003</v>
          </cell>
          <cell r="AS63">
            <v>-14.134</v>
          </cell>
          <cell r="AT63">
            <v>-1330.8409999999999</v>
          </cell>
          <cell r="AU63">
            <v>2615.3180000000002</v>
          </cell>
          <cell r="AV63" t="str">
            <v>AR 31/12/04</v>
          </cell>
          <cell r="AW63" t="str">
            <v>Updated 13-12-04</v>
          </cell>
          <cell r="AX63">
            <v>0.17499999999999999</v>
          </cell>
          <cell r="BA63">
            <v>1.4716082875686218E-3</v>
          </cell>
          <cell r="BB63" t="str">
            <v>HK</v>
          </cell>
        </row>
        <row r="64">
          <cell r="A64">
            <v>58</v>
          </cell>
          <cell r="B64" t="str">
            <v>PanAmSat</v>
          </cell>
          <cell r="C64">
            <v>58</v>
          </cell>
          <cell r="D64" t="str">
            <v>Satellites</v>
          </cell>
          <cell r="E64">
            <v>38352</v>
          </cell>
          <cell r="F64" t="str">
            <v>USD m</v>
          </cell>
          <cell r="G64">
            <v>1.25535</v>
          </cell>
          <cell r="I64">
            <v>25.33</v>
          </cell>
          <cell r="J64">
            <v>20.177639702075119</v>
          </cell>
          <cell r="K64">
            <v>30.395999999999997</v>
          </cell>
          <cell r="L64">
            <v>0.83333333333333337</v>
          </cell>
          <cell r="N64">
            <v>122598</v>
          </cell>
          <cell r="U64">
            <v>122598</v>
          </cell>
          <cell r="W64">
            <v>3105.4073399999997</v>
          </cell>
          <cell r="X64">
            <v>2473.7382721950053</v>
          </cell>
          <cell r="Z64">
            <v>2900.2669999999998</v>
          </cell>
          <cell r="AA64">
            <v>0</v>
          </cell>
          <cell r="AB64">
            <v>0</v>
          </cell>
          <cell r="AC64">
            <v>0</v>
          </cell>
          <cell r="AD64">
            <v>0</v>
          </cell>
          <cell r="AF64">
            <v>6005.6743399999996</v>
          </cell>
          <cell r="AH64">
            <v>2244.1309999999999</v>
          </cell>
          <cell r="AJ64">
            <v>1974.2829999999999</v>
          </cell>
          <cell r="AL64">
            <v>-28.581000000000017</v>
          </cell>
          <cell r="AM64">
            <v>4189.8329999999996</v>
          </cell>
          <cell r="AN64">
            <v>1289.566</v>
          </cell>
          <cell r="AT64">
            <v>2900.2669999999998</v>
          </cell>
          <cell r="AU64">
            <v>4189.8329999999996</v>
          </cell>
          <cell r="AV64" t="str">
            <v>AR 31/12/04</v>
          </cell>
          <cell r="AX64">
            <v>0.4</v>
          </cell>
          <cell r="BA64">
            <v>0</v>
          </cell>
          <cell r="BB64" t="str">
            <v>US</v>
          </cell>
        </row>
        <row r="65">
          <cell r="A65">
            <v>59</v>
          </cell>
          <cell r="B65" t="str">
            <v>Firm59</v>
          </cell>
          <cell r="C65">
            <v>59</v>
          </cell>
          <cell r="G65">
            <v>0</v>
          </cell>
          <cell r="I65">
            <v>0</v>
          </cell>
          <cell r="J65" t="str">
            <v>na</v>
          </cell>
          <cell r="K65" t="e">
            <v>#VALUE!</v>
          </cell>
          <cell r="L65" t="str">
            <v>na</v>
          </cell>
          <cell r="N65">
            <v>0</v>
          </cell>
          <cell r="U65" t="str">
            <v>na</v>
          </cell>
          <cell r="W65" t="str">
            <v>na</v>
          </cell>
          <cell r="X65" t="str">
            <v>na</v>
          </cell>
          <cell r="Z65">
            <v>0</v>
          </cell>
          <cell r="AA65">
            <v>0</v>
          </cell>
          <cell r="AB65">
            <v>0</v>
          </cell>
          <cell r="AC65">
            <v>0</v>
          </cell>
          <cell r="AD65">
            <v>0</v>
          </cell>
          <cell r="AF65" t="str">
            <v>na</v>
          </cell>
          <cell r="AM65">
            <v>0</v>
          </cell>
          <cell r="AU65">
            <v>0</v>
          </cell>
          <cell r="BA65" t="str">
            <v>na</v>
          </cell>
        </row>
        <row r="66">
          <cell r="A66">
            <v>60</v>
          </cell>
          <cell r="B66" t="str">
            <v>Firm60</v>
          </cell>
          <cell r="C66">
            <v>60</v>
          </cell>
          <cell r="G66">
            <v>0</v>
          </cell>
          <cell r="I66">
            <v>0</v>
          </cell>
          <cell r="J66" t="str">
            <v>na</v>
          </cell>
          <cell r="K66" t="e">
            <v>#VALUE!</v>
          </cell>
          <cell r="L66" t="str">
            <v>na</v>
          </cell>
          <cell r="N66">
            <v>0</v>
          </cell>
          <cell r="U66" t="str">
            <v>na</v>
          </cell>
          <cell r="W66" t="str">
            <v>na</v>
          </cell>
          <cell r="X66" t="str">
            <v>na</v>
          </cell>
          <cell r="Z66">
            <v>0</v>
          </cell>
          <cell r="AA66">
            <v>0</v>
          </cell>
          <cell r="AB66">
            <v>0</v>
          </cell>
          <cell r="AC66">
            <v>0</v>
          </cell>
          <cell r="AD66">
            <v>0</v>
          </cell>
          <cell r="AF66" t="str">
            <v>na</v>
          </cell>
          <cell r="AM66">
            <v>0</v>
          </cell>
          <cell r="AU66">
            <v>0</v>
          </cell>
          <cell r="BA66" t="str">
            <v>na</v>
          </cell>
        </row>
        <row r="67">
          <cell r="A67">
            <v>61</v>
          </cell>
          <cell r="B67" t="str">
            <v>Firm61</v>
          </cell>
          <cell r="C67">
            <v>61</v>
          </cell>
          <cell r="G67">
            <v>0</v>
          </cell>
          <cell r="I67">
            <v>0</v>
          </cell>
          <cell r="J67" t="str">
            <v>na</v>
          </cell>
          <cell r="K67" t="e">
            <v>#VALUE!</v>
          </cell>
          <cell r="L67" t="str">
            <v>na</v>
          </cell>
          <cell r="N67">
            <v>0</v>
          </cell>
          <cell r="U67" t="str">
            <v>na</v>
          </cell>
          <cell r="W67" t="str">
            <v>na</v>
          </cell>
          <cell r="X67" t="str">
            <v>na</v>
          </cell>
          <cell r="Z67">
            <v>0</v>
          </cell>
          <cell r="AA67">
            <v>0</v>
          </cell>
          <cell r="AB67">
            <v>0</v>
          </cell>
          <cell r="AC67">
            <v>0</v>
          </cell>
          <cell r="AD67">
            <v>0</v>
          </cell>
          <cell r="AF67" t="str">
            <v>na</v>
          </cell>
          <cell r="AM67">
            <v>0</v>
          </cell>
          <cell r="AU67">
            <v>0</v>
          </cell>
          <cell r="BA67" t="str">
            <v>na</v>
          </cell>
        </row>
        <row r="68">
          <cell r="A68">
            <v>62</v>
          </cell>
          <cell r="B68" t="str">
            <v>Firm62</v>
          </cell>
          <cell r="C68">
            <v>62</v>
          </cell>
          <cell r="G68">
            <v>0</v>
          </cell>
          <cell r="I68">
            <v>0</v>
          </cell>
          <cell r="J68" t="str">
            <v>na</v>
          </cell>
          <cell r="K68" t="e">
            <v>#VALUE!</v>
          </cell>
          <cell r="L68" t="str">
            <v>na</v>
          </cell>
          <cell r="N68">
            <v>0</v>
          </cell>
          <cell r="U68" t="str">
            <v>na</v>
          </cell>
          <cell r="W68" t="str">
            <v>na</v>
          </cell>
          <cell r="X68" t="str">
            <v>na</v>
          </cell>
          <cell r="Z68">
            <v>0</v>
          </cell>
          <cell r="AA68">
            <v>0</v>
          </cell>
          <cell r="AB68">
            <v>0</v>
          </cell>
          <cell r="AC68">
            <v>0</v>
          </cell>
          <cell r="AD68">
            <v>0</v>
          </cell>
          <cell r="AF68" t="str">
            <v>na</v>
          </cell>
          <cell r="AM68">
            <v>0</v>
          </cell>
          <cell r="AU68">
            <v>0</v>
          </cell>
          <cell r="BA68" t="str">
            <v>na</v>
          </cell>
        </row>
        <row r="69">
          <cell r="A69">
            <v>63</v>
          </cell>
          <cell r="B69" t="str">
            <v>Firm63</v>
          </cell>
          <cell r="C69">
            <v>63</v>
          </cell>
          <cell r="G69">
            <v>0</v>
          </cell>
          <cell r="I69">
            <v>0</v>
          </cell>
          <cell r="J69" t="str">
            <v>na</v>
          </cell>
          <cell r="K69" t="e">
            <v>#VALUE!</v>
          </cell>
          <cell r="L69" t="str">
            <v>na</v>
          </cell>
          <cell r="N69">
            <v>0</v>
          </cell>
          <cell r="U69" t="str">
            <v>na</v>
          </cell>
          <cell r="W69" t="str">
            <v>na</v>
          </cell>
          <cell r="X69" t="str">
            <v>na</v>
          </cell>
          <cell r="Z69">
            <v>0</v>
          </cell>
          <cell r="AA69">
            <v>0</v>
          </cell>
          <cell r="AB69">
            <v>0</v>
          </cell>
          <cell r="AC69">
            <v>0</v>
          </cell>
          <cell r="AD69">
            <v>0</v>
          </cell>
          <cell r="AF69" t="str">
            <v>na</v>
          </cell>
          <cell r="AM69">
            <v>0</v>
          </cell>
          <cell r="AU69">
            <v>0</v>
          </cell>
          <cell r="BA69" t="str">
            <v>na</v>
          </cell>
        </row>
        <row r="70">
          <cell r="A70">
            <v>64</v>
          </cell>
          <cell r="B70" t="str">
            <v>Firm64</v>
          </cell>
          <cell r="C70">
            <v>64</v>
          </cell>
          <cell r="G70">
            <v>0</v>
          </cell>
          <cell r="I70">
            <v>0</v>
          </cell>
          <cell r="J70" t="str">
            <v>na</v>
          </cell>
          <cell r="K70" t="e">
            <v>#VALUE!</v>
          </cell>
          <cell r="L70" t="str">
            <v>na</v>
          </cell>
          <cell r="N70">
            <v>0</v>
          </cell>
          <cell r="U70" t="str">
            <v>na</v>
          </cell>
          <cell r="W70" t="str">
            <v>na</v>
          </cell>
          <cell r="X70" t="str">
            <v>na</v>
          </cell>
          <cell r="Z70">
            <v>0</v>
          </cell>
          <cell r="AA70">
            <v>0</v>
          </cell>
          <cell r="AB70">
            <v>0</v>
          </cell>
          <cell r="AC70">
            <v>0</v>
          </cell>
          <cell r="AD70">
            <v>0</v>
          </cell>
          <cell r="AF70" t="str">
            <v>na</v>
          </cell>
          <cell r="AM70">
            <v>0</v>
          </cell>
          <cell r="AU70">
            <v>0</v>
          </cell>
          <cell r="BA70" t="str">
            <v>na</v>
          </cell>
        </row>
        <row r="71">
          <cell r="A71">
            <v>65</v>
          </cell>
          <cell r="B71" t="str">
            <v>Target EASTERN EUROPE INCUMBENTS</v>
          </cell>
          <cell r="C71">
            <v>65</v>
          </cell>
          <cell r="G71">
            <v>0</v>
          </cell>
          <cell r="I71">
            <v>0</v>
          </cell>
          <cell r="J71" t="str">
            <v>na</v>
          </cell>
          <cell r="K71" t="e">
            <v>#VALUE!</v>
          </cell>
          <cell r="L71" t="str">
            <v>na</v>
          </cell>
          <cell r="N71">
            <v>0</v>
          </cell>
          <cell r="U71" t="str">
            <v>na</v>
          </cell>
          <cell r="W71" t="str">
            <v>na</v>
          </cell>
          <cell r="X71" t="str">
            <v>na</v>
          </cell>
          <cell r="Z71">
            <v>0</v>
          </cell>
          <cell r="AA71">
            <v>0</v>
          </cell>
          <cell r="AB71">
            <v>0</v>
          </cell>
          <cell r="AC71">
            <v>0</v>
          </cell>
          <cell r="AD71">
            <v>0</v>
          </cell>
          <cell r="AF71" t="str">
            <v>na</v>
          </cell>
          <cell r="AM71">
            <v>0</v>
          </cell>
          <cell r="AU71">
            <v>0</v>
          </cell>
          <cell r="BA71" t="str">
            <v>na</v>
          </cell>
        </row>
        <row r="72">
          <cell r="A72">
            <v>66</v>
          </cell>
          <cell r="B72" t="str">
            <v>Cesky Telecom</v>
          </cell>
          <cell r="C72">
            <v>66</v>
          </cell>
          <cell r="D72" t="str">
            <v>Eastern Europe Incumbents</v>
          </cell>
          <cell r="E72">
            <v>38352</v>
          </cell>
          <cell r="F72" t="str">
            <v>CZK m</v>
          </cell>
          <cell r="G72">
            <v>28.5425</v>
          </cell>
          <cell r="I72">
            <v>456.1</v>
          </cell>
          <cell r="J72">
            <v>15.979679425418237</v>
          </cell>
          <cell r="K72">
            <v>547.32000000000005</v>
          </cell>
          <cell r="L72">
            <v>0.83333333333333326</v>
          </cell>
          <cell r="N72">
            <v>322090</v>
          </cell>
          <cell r="U72">
            <v>322090</v>
          </cell>
          <cell r="W72">
            <v>146905.24900000001</v>
          </cell>
          <cell r="X72">
            <v>5146.8949461329603</v>
          </cell>
          <cell r="Z72">
            <v>15500</v>
          </cell>
          <cell r="AA72">
            <v>0</v>
          </cell>
          <cell r="AB72">
            <v>0</v>
          </cell>
          <cell r="AC72">
            <v>-321</v>
          </cell>
          <cell r="AD72">
            <v>0</v>
          </cell>
          <cell r="AF72">
            <v>162084.24900000001</v>
          </cell>
          <cell r="AI72">
            <v>23853</v>
          </cell>
          <cell r="AJ72">
            <v>92392</v>
          </cell>
          <cell r="AL72">
            <v>-4982</v>
          </cell>
          <cell r="AM72">
            <v>111263</v>
          </cell>
          <cell r="AN72">
            <v>92789</v>
          </cell>
          <cell r="AO72">
            <v>0</v>
          </cell>
          <cell r="AQ72">
            <v>3295</v>
          </cell>
          <cell r="AS72">
            <v>-321</v>
          </cell>
          <cell r="AT72">
            <v>15500</v>
          </cell>
          <cell r="AU72">
            <v>111263</v>
          </cell>
          <cell r="AV72" t="str">
            <v>H1 2005</v>
          </cell>
          <cell r="AW72" t="str">
            <v>Updated 28-02-05</v>
          </cell>
          <cell r="AX72">
            <v>0.28000000000000003</v>
          </cell>
          <cell r="BA72">
            <v>0</v>
          </cell>
          <cell r="BB72" t="str">
            <v>CZE</v>
          </cell>
        </row>
        <row r="73">
          <cell r="A73">
            <v>67</v>
          </cell>
          <cell r="B73" t="str">
            <v>Eesti Telekom</v>
          </cell>
          <cell r="C73">
            <v>67</v>
          </cell>
          <cell r="D73" t="str">
            <v>Eastern Europe Incumbents</v>
          </cell>
          <cell r="E73">
            <v>38352</v>
          </cell>
          <cell r="F73" t="str">
            <v>ESK m</v>
          </cell>
          <cell r="G73">
            <v>15.6464940975</v>
          </cell>
          <cell r="I73">
            <v>111.09010809224999</v>
          </cell>
          <cell r="J73">
            <v>7.1</v>
          </cell>
          <cell r="K73">
            <v>133.30812971069997</v>
          </cell>
          <cell r="L73">
            <v>0.83333333333333348</v>
          </cell>
          <cell r="N73">
            <v>137955</v>
          </cell>
          <cell r="U73">
            <v>137955</v>
          </cell>
          <cell r="W73">
            <v>15325.435861866348</v>
          </cell>
          <cell r="X73">
            <v>979.48050000000001</v>
          </cell>
          <cell r="Z73">
            <v>-1278.2260000000001</v>
          </cell>
          <cell r="AA73">
            <v>8.1669599999999996</v>
          </cell>
          <cell r="AB73">
            <v>0</v>
          </cell>
          <cell r="AC73">
            <v>-20.920999999999999</v>
          </cell>
          <cell r="AD73">
            <v>0</v>
          </cell>
          <cell r="AF73">
            <v>14034.455821866348</v>
          </cell>
          <cell r="AH73">
            <v>5.452</v>
          </cell>
          <cell r="AJ73">
            <v>1833.0160000000001</v>
          </cell>
          <cell r="AK73">
            <v>82.929000000000002</v>
          </cell>
          <cell r="AL73">
            <v>118.70600000000013</v>
          </cell>
          <cell r="AM73">
            <v>2040.1030000000003</v>
          </cell>
          <cell r="AN73">
            <v>3327.9070000000002</v>
          </cell>
          <cell r="AO73">
            <v>0</v>
          </cell>
          <cell r="AP73">
            <v>11.343</v>
          </cell>
          <cell r="AS73">
            <v>-20.920999999999999</v>
          </cell>
          <cell r="AT73">
            <v>-1278.2260000000001</v>
          </cell>
          <cell r="AU73">
            <v>2040.1030000000001</v>
          </cell>
          <cell r="AV73" t="str">
            <v>H1 2005</v>
          </cell>
          <cell r="AW73" t="str">
            <v>Updated 28-02-05</v>
          </cell>
          <cell r="AX73">
            <v>0.28000000000000003</v>
          </cell>
          <cell r="BA73">
            <v>0</v>
          </cell>
          <cell r="BB73" t="str">
            <v>EST</v>
          </cell>
        </row>
        <row r="74">
          <cell r="A74">
            <v>68</v>
          </cell>
          <cell r="B74" t="str">
            <v>Matav</v>
          </cell>
          <cell r="C74">
            <v>68</v>
          </cell>
          <cell r="D74" t="str">
            <v>Eastern Europe Incumbents</v>
          </cell>
          <cell r="E74">
            <v>38352</v>
          </cell>
          <cell r="F74" t="str">
            <v>HUF m</v>
          </cell>
          <cell r="G74">
            <v>276.375</v>
          </cell>
          <cell r="I74">
            <v>775</v>
          </cell>
          <cell r="J74">
            <v>2.8041610131162371</v>
          </cell>
          <cell r="K74">
            <v>930</v>
          </cell>
          <cell r="L74">
            <v>0.83333333333333337</v>
          </cell>
          <cell r="N74">
            <v>1042812</v>
          </cell>
          <cell r="U74">
            <v>1042812</v>
          </cell>
          <cell r="W74">
            <v>808179.3</v>
          </cell>
          <cell r="X74">
            <v>2924.2127544097693</v>
          </cell>
          <cell r="Z74">
            <v>342579</v>
          </cell>
          <cell r="AA74">
            <v>0</v>
          </cell>
          <cell r="AB74">
            <v>0</v>
          </cell>
          <cell r="AC74">
            <v>-4083</v>
          </cell>
          <cell r="AD74">
            <v>104505.49856819678</v>
          </cell>
          <cell r="AF74">
            <v>1251180.7985681968</v>
          </cell>
          <cell r="AI74">
            <v>309811</v>
          </cell>
          <cell r="AJ74">
            <v>582535</v>
          </cell>
          <cell r="AK74">
            <v>7731</v>
          </cell>
          <cell r="AL74">
            <v>-1739</v>
          </cell>
          <cell r="AM74">
            <v>898338</v>
          </cell>
          <cell r="AN74">
            <v>484913</v>
          </cell>
          <cell r="AO74">
            <v>62704</v>
          </cell>
          <cell r="AQ74">
            <v>2181</v>
          </cell>
          <cell r="AS74">
            <v>-4083</v>
          </cell>
          <cell r="AT74">
            <v>342579</v>
          </cell>
          <cell r="AU74">
            <v>888294</v>
          </cell>
          <cell r="AV74" t="str">
            <v>H1 2005</v>
          </cell>
          <cell r="AW74" t="str">
            <v>Updated 28-02-05</v>
          </cell>
          <cell r="AX74">
            <v>0.16</v>
          </cell>
          <cell r="BA74">
            <v>0.11450338466482962</v>
          </cell>
          <cell r="BB74" t="str">
            <v>HUN</v>
          </cell>
        </row>
        <row r="75">
          <cell r="A75">
            <v>69</v>
          </cell>
          <cell r="B75" t="str">
            <v>TPSA</v>
          </cell>
          <cell r="C75">
            <v>69</v>
          </cell>
          <cell r="D75" t="str">
            <v>Eastern Europe Incumbents</v>
          </cell>
          <cell r="E75">
            <v>38352</v>
          </cell>
          <cell r="F75" t="str">
            <v>POZ m</v>
          </cell>
          <cell r="G75">
            <v>4.0756500000000004</v>
          </cell>
          <cell r="I75">
            <v>18.899999999999999</v>
          </cell>
          <cell r="J75">
            <v>4.6372971182510758</v>
          </cell>
          <cell r="K75">
            <v>22.679999999999996</v>
          </cell>
          <cell r="L75">
            <v>0.83333333333333337</v>
          </cell>
          <cell r="N75">
            <v>1400000</v>
          </cell>
          <cell r="U75">
            <v>1400000</v>
          </cell>
          <cell r="W75">
            <v>26459.999999999996</v>
          </cell>
          <cell r="X75">
            <v>6492.2159655515052</v>
          </cell>
          <cell r="Z75">
            <v>5517</v>
          </cell>
          <cell r="AA75">
            <v>382.32</v>
          </cell>
          <cell r="AB75">
            <v>0</v>
          </cell>
          <cell r="AC75">
            <v>-225</v>
          </cell>
          <cell r="AD75">
            <v>1407.736775131794</v>
          </cell>
          <cell r="AF75">
            <v>33542.056775131787</v>
          </cell>
          <cell r="AI75">
            <v>3079</v>
          </cell>
          <cell r="AJ75">
            <v>24338</v>
          </cell>
          <cell r="AL75">
            <v>-3954</v>
          </cell>
          <cell r="AM75">
            <v>23463</v>
          </cell>
          <cell r="AN75">
            <v>16503</v>
          </cell>
          <cell r="AO75">
            <v>878</v>
          </cell>
          <cell r="AP75">
            <v>472</v>
          </cell>
          <cell r="AQ75">
            <v>327</v>
          </cell>
          <cell r="AS75">
            <v>-225</v>
          </cell>
          <cell r="AT75">
            <v>5517</v>
          </cell>
          <cell r="AU75">
            <v>23472</v>
          </cell>
          <cell r="AV75" t="str">
            <v>H1 2005</v>
          </cell>
          <cell r="AW75" t="str">
            <v>Updated 28-02-05</v>
          </cell>
          <cell r="AX75">
            <v>0.19</v>
          </cell>
          <cell r="BA75">
            <v>5.0514930096081927E-2</v>
          </cell>
          <cell r="BB75" t="str">
            <v>POL</v>
          </cell>
        </row>
        <row r="76">
          <cell r="A76">
            <v>70</v>
          </cell>
          <cell r="B76" t="str">
            <v>Bezeq</v>
          </cell>
          <cell r="C76">
            <v>70</v>
          </cell>
          <cell r="D76" t="str">
            <v>Eastern Europe Incumbents</v>
          </cell>
          <cell r="E76">
            <v>38352</v>
          </cell>
          <cell r="F76" t="str">
            <v>ILS m</v>
          </cell>
          <cell r="G76">
            <v>5.5863500000000004</v>
          </cell>
          <cell r="I76">
            <v>5.4</v>
          </cell>
          <cell r="J76">
            <v>0.96664190392653526</v>
          </cell>
          <cell r="K76">
            <v>6.48</v>
          </cell>
          <cell r="L76">
            <v>0.83333333333333337</v>
          </cell>
          <cell r="N76">
            <v>2605044</v>
          </cell>
          <cell r="R76">
            <v>5.4</v>
          </cell>
          <cell r="U76">
            <v>2605044</v>
          </cell>
          <cell r="W76">
            <v>14067.237600000002</v>
          </cell>
          <cell r="X76">
            <v>2518.1446919723971</v>
          </cell>
          <cell r="Z76">
            <v>5574.0559999999996</v>
          </cell>
          <cell r="AA76">
            <v>827.17050000000017</v>
          </cell>
          <cell r="AB76">
            <v>0</v>
          </cell>
          <cell r="AC76">
            <v>-942.88300000000004</v>
          </cell>
          <cell r="AD76">
            <v>-19.618624300919119</v>
          </cell>
          <cell r="AF76">
            <v>19505.962475699082</v>
          </cell>
          <cell r="AH76">
            <v>1792.6579999999999</v>
          </cell>
          <cell r="AI76">
            <v>140.49600000000001</v>
          </cell>
          <cell r="AJ76">
            <v>10740.334000000001</v>
          </cell>
          <cell r="AK76">
            <v>964.96199999999999</v>
          </cell>
          <cell r="AL76">
            <v>-231.97700000000009</v>
          </cell>
          <cell r="AM76">
            <v>13406.473</v>
          </cell>
          <cell r="AN76">
            <v>7465.7669999999998</v>
          </cell>
          <cell r="AO76">
            <v>-10.412000000000001</v>
          </cell>
          <cell r="AP76">
            <v>1272.5700000000002</v>
          </cell>
          <cell r="AQ76">
            <v>47.375</v>
          </cell>
          <cell r="AS76">
            <v>-942.88300000000004</v>
          </cell>
          <cell r="AT76">
            <v>5574.0559999999996</v>
          </cell>
          <cell r="AU76">
            <v>13406.472999999998</v>
          </cell>
          <cell r="AV76" t="str">
            <v>AR 2004</v>
          </cell>
          <cell r="AW76" t="str">
            <v>Updated 28-02-05</v>
          </cell>
          <cell r="AX76">
            <v>0.35</v>
          </cell>
          <cell r="BA76">
            <v>-1.3965800421307907E-3</v>
          </cell>
          <cell r="BB76" t="str">
            <v>ISR</v>
          </cell>
        </row>
        <row r="77">
          <cell r="A77">
            <v>71</v>
          </cell>
          <cell r="B77" t="str">
            <v>Firm71</v>
          </cell>
          <cell r="C77">
            <v>71</v>
          </cell>
          <cell r="G77">
            <v>0</v>
          </cell>
          <cell r="I77">
            <v>0</v>
          </cell>
          <cell r="J77" t="str">
            <v>na</v>
          </cell>
          <cell r="K77" t="e">
            <v>#VALUE!</v>
          </cell>
          <cell r="L77" t="str">
            <v>na</v>
          </cell>
          <cell r="N77">
            <v>0</v>
          </cell>
          <cell r="U77" t="str">
            <v>na</v>
          </cell>
          <cell r="W77" t="str">
            <v>na</v>
          </cell>
          <cell r="X77" t="str">
            <v>na</v>
          </cell>
          <cell r="Z77">
            <v>0</v>
          </cell>
          <cell r="AA77">
            <v>0</v>
          </cell>
          <cell r="AB77">
            <v>0</v>
          </cell>
          <cell r="AC77">
            <v>0</v>
          </cell>
          <cell r="AD77">
            <v>0</v>
          </cell>
          <cell r="AF77" t="str">
            <v>na</v>
          </cell>
          <cell r="AM77">
            <v>0</v>
          </cell>
          <cell r="AU77">
            <v>0</v>
          </cell>
          <cell r="BA77" t="str">
            <v>na</v>
          </cell>
        </row>
        <row r="78">
          <cell r="A78">
            <v>72</v>
          </cell>
          <cell r="B78" t="str">
            <v>Firm72</v>
          </cell>
          <cell r="C78">
            <v>72</v>
          </cell>
          <cell r="G78">
            <v>0</v>
          </cell>
          <cell r="I78">
            <v>0</v>
          </cell>
          <cell r="J78" t="str">
            <v>na</v>
          </cell>
          <cell r="K78" t="e">
            <v>#VALUE!</v>
          </cell>
          <cell r="L78" t="str">
            <v>na</v>
          </cell>
          <cell r="N78">
            <v>0</v>
          </cell>
          <cell r="U78" t="str">
            <v>na</v>
          </cell>
          <cell r="W78" t="str">
            <v>na</v>
          </cell>
          <cell r="X78" t="str">
            <v>na</v>
          </cell>
          <cell r="Z78">
            <v>0</v>
          </cell>
          <cell r="AA78">
            <v>0</v>
          </cell>
          <cell r="AB78">
            <v>0</v>
          </cell>
          <cell r="AC78">
            <v>0</v>
          </cell>
          <cell r="AD78">
            <v>0</v>
          </cell>
          <cell r="AF78" t="str">
            <v>na</v>
          </cell>
          <cell r="AM78">
            <v>0</v>
          </cell>
          <cell r="AU78">
            <v>0</v>
          </cell>
          <cell r="BA78" t="str">
            <v>na</v>
          </cell>
        </row>
        <row r="79">
          <cell r="A79">
            <v>73</v>
          </cell>
          <cell r="B79" t="str">
            <v>Firm73</v>
          </cell>
          <cell r="C79">
            <v>73</v>
          </cell>
          <cell r="G79">
            <v>0</v>
          </cell>
          <cell r="I79">
            <v>0</v>
          </cell>
          <cell r="J79" t="str">
            <v>na</v>
          </cell>
          <cell r="K79" t="e">
            <v>#VALUE!</v>
          </cell>
          <cell r="L79" t="str">
            <v>na</v>
          </cell>
          <cell r="N79">
            <v>0</v>
          </cell>
          <cell r="U79" t="str">
            <v>na</v>
          </cell>
          <cell r="W79" t="str">
            <v>na</v>
          </cell>
          <cell r="X79" t="str">
            <v>na</v>
          </cell>
          <cell r="Z79">
            <v>0</v>
          </cell>
          <cell r="AA79">
            <v>0</v>
          </cell>
          <cell r="AB79">
            <v>0</v>
          </cell>
          <cell r="AC79">
            <v>0</v>
          </cell>
          <cell r="AD79">
            <v>0</v>
          </cell>
          <cell r="AF79" t="str">
            <v>na</v>
          </cell>
          <cell r="AM79">
            <v>0</v>
          </cell>
          <cell r="AU79">
            <v>0</v>
          </cell>
          <cell r="BA79" t="str">
            <v>na</v>
          </cell>
        </row>
        <row r="80">
          <cell r="A80">
            <v>74</v>
          </cell>
          <cell r="B80" t="str">
            <v>Firm74</v>
          </cell>
          <cell r="C80">
            <v>74</v>
          </cell>
          <cell r="G80">
            <v>0</v>
          </cell>
          <cell r="I80">
            <v>0</v>
          </cell>
          <cell r="J80" t="str">
            <v>na</v>
          </cell>
          <cell r="K80" t="e">
            <v>#VALUE!</v>
          </cell>
          <cell r="L80" t="str">
            <v>na</v>
          </cell>
          <cell r="N80">
            <v>0</v>
          </cell>
          <cell r="U80" t="str">
            <v>na</v>
          </cell>
          <cell r="W80" t="str">
            <v>na</v>
          </cell>
          <cell r="X80" t="str">
            <v>na</v>
          </cell>
          <cell r="Z80">
            <v>0</v>
          </cell>
          <cell r="AA80">
            <v>0</v>
          </cell>
          <cell r="AB80">
            <v>0</v>
          </cell>
          <cell r="AC80">
            <v>0</v>
          </cell>
          <cell r="AD80">
            <v>0</v>
          </cell>
          <cell r="AF80" t="str">
            <v>na</v>
          </cell>
          <cell r="AM80">
            <v>0</v>
          </cell>
          <cell r="AU80">
            <v>0</v>
          </cell>
          <cell r="BA80" t="str">
            <v>na</v>
          </cell>
        </row>
        <row r="81">
          <cell r="A81">
            <v>75</v>
          </cell>
          <cell r="B81" t="str">
            <v>Firm75</v>
          </cell>
          <cell r="C81">
            <v>75</v>
          </cell>
          <cell r="G81">
            <v>0</v>
          </cell>
          <cell r="I81">
            <v>0</v>
          </cell>
          <cell r="J81" t="str">
            <v>na</v>
          </cell>
          <cell r="K81" t="e">
            <v>#VALUE!</v>
          </cell>
          <cell r="L81" t="str">
            <v>na</v>
          </cell>
          <cell r="N81">
            <v>0</v>
          </cell>
          <cell r="U81" t="str">
            <v>na</v>
          </cell>
          <cell r="W81" t="str">
            <v>na</v>
          </cell>
          <cell r="X81" t="str">
            <v>na</v>
          </cell>
          <cell r="Z81">
            <v>0</v>
          </cell>
          <cell r="AA81">
            <v>0</v>
          </cell>
          <cell r="AB81">
            <v>0</v>
          </cell>
          <cell r="AC81">
            <v>0</v>
          </cell>
          <cell r="AD81">
            <v>0</v>
          </cell>
          <cell r="AF81" t="str">
            <v>na</v>
          </cell>
          <cell r="AM81">
            <v>0</v>
          </cell>
          <cell r="AU81">
            <v>0</v>
          </cell>
          <cell r="BA81" t="str">
            <v>na</v>
          </cell>
        </row>
        <row r="82">
          <cell r="A82">
            <v>76</v>
          </cell>
          <cell r="B82" t="str">
            <v>Firm76</v>
          </cell>
          <cell r="C82">
            <v>76</v>
          </cell>
          <cell r="G82">
            <v>0</v>
          </cell>
          <cell r="I82">
            <v>0</v>
          </cell>
          <cell r="J82" t="str">
            <v>na</v>
          </cell>
          <cell r="K82" t="e">
            <v>#VALUE!</v>
          </cell>
          <cell r="L82" t="str">
            <v>na</v>
          </cell>
          <cell r="N82">
            <v>0</v>
          </cell>
          <cell r="U82" t="str">
            <v>na</v>
          </cell>
          <cell r="W82" t="str">
            <v>na</v>
          </cell>
          <cell r="X82" t="str">
            <v>na</v>
          </cell>
          <cell r="Z82">
            <v>0</v>
          </cell>
          <cell r="AA82">
            <v>0</v>
          </cell>
          <cell r="AB82">
            <v>0</v>
          </cell>
          <cell r="AC82">
            <v>0</v>
          </cell>
          <cell r="AD82">
            <v>0</v>
          </cell>
          <cell r="AF82" t="str">
            <v>na</v>
          </cell>
          <cell r="AM82">
            <v>0</v>
          </cell>
          <cell r="AU82">
            <v>0</v>
          </cell>
          <cell r="BA82" t="str">
            <v>na</v>
          </cell>
        </row>
        <row r="83">
          <cell r="A83">
            <v>77</v>
          </cell>
          <cell r="B83" t="str">
            <v>Firm77</v>
          </cell>
          <cell r="C83">
            <v>77</v>
          </cell>
          <cell r="G83">
            <v>0</v>
          </cell>
          <cell r="I83">
            <v>0</v>
          </cell>
          <cell r="J83" t="str">
            <v>na</v>
          </cell>
          <cell r="K83" t="e">
            <v>#VALUE!</v>
          </cell>
          <cell r="L83" t="str">
            <v>na</v>
          </cell>
          <cell r="N83">
            <v>0</v>
          </cell>
          <cell r="U83" t="str">
            <v>na</v>
          </cell>
          <cell r="W83" t="str">
            <v>na</v>
          </cell>
          <cell r="X83" t="str">
            <v>na</v>
          </cell>
          <cell r="Z83">
            <v>0</v>
          </cell>
          <cell r="AA83">
            <v>0</v>
          </cell>
          <cell r="AB83">
            <v>0</v>
          </cell>
          <cell r="AC83">
            <v>0</v>
          </cell>
          <cell r="AD83">
            <v>0</v>
          </cell>
          <cell r="AF83" t="str">
            <v>na</v>
          </cell>
          <cell r="AM83">
            <v>0</v>
          </cell>
          <cell r="AU83">
            <v>0</v>
          </cell>
          <cell r="BA83" t="str">
            <v>na</v>
          </cell>
        </row>
        <row r="84">
          <cell r="A84">
            <v>78</v>
          </cell>
          <cell r="B84" t="str">
            <v>Target EASTERN EUROPE MOBILE</v>
          </cell>
          <cell r="C84">
            <v>78</v>
          </cell>
          <cell r="G84">
            <v>0</v>
          </cell>
          <cell r="I84">
            <v>0</v>
          </cell>
          <cell r="J84" t="str">
            <v>na</v>
          </cell>
          <cell r="K84" t="e">
            <v>#VALUE!</v>
          </cell>
          <cell r="L84" t="str">
            <v>na</v>
          </cell>
          <cell r="N84">
            <v>0</v>
          </cell>
          <cell r="U84" t="str">
            <v>na</v>
          </cell>
          <cell r="W84" t="str">
            <v>na</v>
          </cell>
          <cell r="X84" t="str">
            <v>na</v>
          </cell>
          <cell r="Z84">
            <v>0</v>
          </cell>
          <cell r="AA84">
            <v>0</v>
          </cell>
          <cell r="AB84">
            <v>0</v>
          </cell>
          <cell r="AC84">
            <v>0</v>
          </cell>
          <cell r="AD84">
            <v>0</v>
          </cell>
          <cell r="AF84" t="str">
            <v>na</v>
          </cell>
          <cell r="AM84">
            <v>0</v>
          </cell>
          <cell r="AU84">
            <v>0</v>
          </cell>
          <cell r="BA84" t="str">
            <v>na</v>
          </cell>
        </row>
        <row r="85">
          <cell r="A85">
            <v>79</v>
          </cell>
          <cell r="B85" t="str">
            <v>Cosmote</v>
          </cell>
          <cell r="C85">
            <v>79</v>
          </cell>
          <cell r="D85" t="str">
            <v>Eastern Europe Mobile</v>
          </cell>
          <cell r="E85">
            <v>38352</v>
          </cell>
          <cell r="F85" t="str">
            <v>EUR m</v>
          </cell>
          <cell r="G85">
            <v>1</v>
          </cell>
          <cell r="I85">
            <v>17.579999999999998</v>
          </cell>
          <cell r="J85">
            <v>17.579999999999998</v>
          </cell>
          <cell r="K85">
            <v>21.095999999999997</v>
          </cell>
          <cell r="L85">
            <v>0.83333333333333337</v>
          </cell>
          <cell r="N85">
            <v>333688</v>
          </cell>
          <cell r="U85">
            <v>333688</v>
          </cell>
          <cell r="W85">
            <v>5866.2350399999987</v>
          </cell>
          <cell r="X85">
            <v>5866.2350399999987</v>
          </cell>
          <cell r="Z85">
            <v>286.79999999999995</v>
          </cell>
          <cell r="AA85">
            <v>0</v>
          </cell>
          <cell r="AB85">
            <v>0</v>
          </cell>
          <cell r="AC85">
            <v>0</v>
          </cell>
          <cell r="AD85">
            <v>224.77859873336317</v>
          </cell>
          <cell r="AF85">
            <v>6377.8136387333616</v>
          </cell>
          <cell r="AH85">
            <v>61.033999999999999</v>
          </cell>
          <cell r="AJ85">
            <v>869.84299999999996</v>
          </cell>
          <cell r="AK85">
            <v>237.66499999999999</v>
          </cell>
          <cell r="AL85">
            <v>-91.542000000000002</v>
          </cell>
          <cell r="AM85">
            <v>1077</v>
          </cell>
          <cell r="AN85">
            <v>761.03899999999999</v>
          </cell>
          <cell r="AO85">
            <v>29.161000000000001</v>
          </cell>
          <cell r="AT85">
            <v>286.79999999999995</v>
          </cell>
          <cell r="AU85">
            <v>1077</v>
          </cell>
          <cell r="AV85" t="str">
            <v>Q1 31/03/05</v>
          </cell>
          <cell r="AW85" t="str">
            <v>Updated 02-03/05</v>
          </cell>
          <cell r="AX85">
            <v>0.35</v>
          </cell>
          <cell r="BA85">
            <v>3.690331561629967E-2</v>
          </cell>
          <cell r="BB85" t="str">
            <v>GRE</v>
          </cell>
        </row>
        <row r="86">
          <cell r="A86">
            <v>80</v>
          </cell>
          <cell r="B86" t="str">
            <v>MTS</v>
          </cell>
          <cell r="C86">
            <v>80</v>
          </cell>
          <cell r="D86" t="str">
            <v>Eastern Europe Mobile</v>
          </cell>
          <cell r="E86">
            <v>38352</v>
          </cell>
          <cell r="F86" t="str">
            <v>USD m</v>
          </cell>
          <cell r="G86">
            <v>1.25535</v>
          </cell>
          <cell r="I86">
            <v>26.22</v>
          </cell>
          <cell r="J86">
            <v>20.886605329191063</v>
          </cell>
          <cell r="K86">
            <v>31.463999999999999</v>
          </cell>
          <cell r="L86">
            <v>0.83333333333333337</v>
          </cell>
          <cell r="N86">
            <v>398664</v>
          </cell>
          <cell r="U86">
            <v>398664</v>
          </cell>
          <cell r="W86">
            <v>10452.970080000001</v>
          </cell>
          <cell r="X86">
            <v>8326.7376269566266</v>
          </cell>
          <cell r="Z86">
            <v>1538.7349999999999</v>
          </cell>
          <cell r="AA86">
            <v>0</v>
          </cell>
          <cell r="AB86">
            <v>0</v>
          </cell>
          <cell r="AC86">
            <v>0</v>
          </cell>
          <cell r="AD86">
            <v>253.74150825306958</v>
          </cell>
          <cell r="AF86">
            <v>12245.446588253071</v>
          </cell>
          <cell r="AH86">
            <v>1208.133</v>
          </cell>
          <cell r="AJ86">
            <v>3278.7820000000002</v>
          </cell>
          <cell r="AK86">
            <v>99.193999999999988</v>
          </cell>
          <cell r="AL86">
            <v>-759.53499999999985</v>
          </cell>
          <cell r="AM86">
            <v>3826.5740000000005</v>
          </cell>
          <cell r="AN86">
            <v>2558.19</v>
          </cell>
          <cell r="AO86">
            <v>62.098999999999997</v>
          </cell>
          <cell r="AT86">
            <v>1538.7349999999999</v>
          </cell>
          <cell r="AU86">
            <v>4159.0240000000003</v>
          </cell>
          <cell r="AV86" t="str">
            <v>4Q 31/12/04</v>
          </cell>
          <cell r="AW86" t="str">
            <v>Updated 02-03/05</v>
          </cell>
          <cell r="AX86">
            <v>0.35</v>
          </cell>
          <cell r="BA86">
            <v>2.3699294238154645E-2</v>
          </cell>
          <cell r="BB86" t="str">
            <v>RUS</v>
          </cell>
        </row>
        <row r="87">
          <cell r="A87">
            <v>81</v>
          </cell>
          <cell r="B87" t="str">
            <v>Partner</v>
          </cell>
          <cell r="C87">
            <v>81</v>
          </cell>
          <cell r="D87" t="str">
            <v>Eastern Europe Mobile</v>
          </cell>
          <cell r="E87">
            <v>38352</v>
          </cell>
          <cell r="F87" t="str">
            <v>ILS m</v>
          </cell>
          <cell r="G87">
            <v>5.5863500000000004</v>
          </cell>
          <cell r="I87">
            <v>38.049999999999997</v>
          </cell>
          <cell r="J87">
            <v>6.8112452674823443</v>
          </cell>
          <cell r="K87">
            <v>45.66</v>
          </cell>
          <cell r="L87">
            <v>0.83333333333333337</v>
          </cell>
          <cell r="N87">
            <v>153213</v>
          </cell>
          <cell r="U87">
            <v>153213</v>
          </cell>
          <cell r="W87">
            <v>5829.7546499999999</v>
          </cell>
          <cell r="X87">
            <v>1043.5713211667726</v>
          </cell>
          <cell r="Z87">
            <v>1836.9279999999999</v>
          </cell>
          <cell r="AA87">
            <v>65.787520000000001</v>
          </cell>
          <cell r="AB87">
            <v>0</v>
          </cell>
          <cell r="AC87">
            <v>0</v>
          </cell>
          <cell r="AD87">
            <v>0</v>
          </cell>
          <cell r="AF87">
            <v>7732.4701699999996</v>
          </cell>
          <cell r="AI87">
            <v>1360.58</v>
          </cell>
          <cell r="AJ87">
            <v>1890.1020000000001</v>
          </cell>
          <cell r="AL87">
            <v>424.5619999999999</v>
          </cell>
          <cell r="AM87">
            <v>3675.2439999999997</v>
          </cell>
          <cell r="AN87">
            <v>1735.5229999999999</v>
          </cell>
          <cell r="AP87">
            <v>102.79300000000001</v>
          </cell>
          <cell r="AT87">
            <v>1836.9279999999999</v>
          </cell>
          <cell r="AU87">
            <v>3675.2439999999997</v>
          </cell>
          <cell r="AV87" t="str">
            <v>1Q 31/03/05</v>
          </cell>
          <cell r="AW87" t="str">
            <v>Updated 02-03/05</v>
          </cell>
          <cell r="AX87">
            <v>0.36</v>
          </cell>
          <cell r="BA87">
            <v>0</v>
          </cell>
          <cell r="BB87" t="str">
            <v>ISR</v>
          </cell>
        </row>
        <row r="88">
          <cell r="A88">
            <v>82</v>
          </cell>
          <cell r="B88" t="str">
            <v>Turkcell</v>
          </cell>
          <cell r="C88">
            <v>82</v>
          </cell>
          <cell r="D88" t="str">
            <v>Eastern Europe Mobile</v>
          </cell>
          <cell r="E88">
            <v>38352</v>
          </cell>
          <cell r="F88" t="str">
            <v>USD m</v>
          </cell>
          <cell r="G88">
            <v>1.25535</v>
          </cell>
          <cell r="I88">
            <v>13.1</v>
          </cell>
          <cell r="J88">
            <v>10.43533675867288</v>
          </cell>
          <cell r="K88">
            <v>15.719999999999999</v>
          </cell>
          <cell r="L88">
            <v>0.83333333333333337</v>
          </cell>
          <cell r="N88">
            <v>880000</v>
          </cell>
          <cell r="U88">
            <v>880000</v>
          </cell>
          <cell r="W88">
            <v>11528</v>
          </cell>
          <cell r="X88">
            <v>9183.096347632134</v>
          </cell>
          <cell r="Z88">
            <v>12.075000000000106</v>
          </cell>
          <cell r="AA88">
            <v>0</v>
          </cell>
          <cell r="AB88">
            <v>0</v>
          </cell>
          <cell r="AC88">
            <v>0</v>
          </cell>
          <cell r="AD88">
            <v>344.11485580258335</v>
          </cell>
          <cell r="AF88">
            <v>11884.189855802584</v>
          </cell>
          <cell r="AH88">
            <v>1.349</v>
          </cell>
          <cell r="AI88">
            <v>891.19200000000001</v>
          </cell>
          <cell r="AJ88">
            <v>1392.472</v>
          </cell>
          <cell r="AK88">
            <v>269.76499999999999</v>
          </cell>
          <cell r="AL88">
            <v>-332.44200000000001</v>
          </cell>
          <cell r="AM88">
            <v>2222.3359999999998</v>
          </cell>
          <cell r="AN88">
            <v>2118.9699999999998</v>
          </cell>
          <cell r="AO88">
            <v>63.252000000000002</v>
          </cell>
          <cell r="AQ88">
            <v>28.039000000000001</v>
          </cell>
          <cell r="AT88">
            <v>12.075000000000106</v>
          </cell>
          <cell r="AU88">
            <v>2222.3360000000002</v>
          </cell>
          <cell r="AV88" t="str">
            <v>1Q 31/03/05</v>
          </cell>
          <cell r="AW88" t="str">
            <v>Updated 02-03/05</v>
          </cell>
          <cell r="AX88">
            <v>0.33</v>
          </cell>
          <cell r="BA88">
            <v>2.8985135334535173E-2</v>
          </cell>
          <cell r="BB88" t="str">
            <v>TUR</v>
          </cell>
        </row>
        <row r="89">
          <cell r="A89">
            <v>83</v>
          </cell>
          <cell r="B89" t="str">
            <v>Vimpelcom</v>
          </cell>
          <cell r="C89">
            <v>83</v>
          </cell>
          <cell r="D89" t="str">
            <v>Eastern Europe Mobile</v>
          </cell>
          <cell r="E89">
            <v>38352</v>
          </cell>
          <cell r="F89" t="str">
            <v>USD m</v>
          </cell>
          <cell r="G89">
            <v>1.25535</v>
          </cell>
          <cell r="I89">
            <v>41.26</v>
          </cell>
          <cell r="J89">
            <v>32.867327836858244</v>
          </cell>
          <cell r="K89">
            <v>49.511999999999993</v>
          </cell>
          <cell r="L89">
            <v>0.83333333333333337</v>
          </cell>
          <cell r="N89">
            <v>205124</v>
          </cell>
          <cell r="U89">
            <v>205124</v>
          </cell>
          <cell r="W89">
            <v>8463.4162400000005</v>
          </cell>
          <cell r="X89">
            <v>6741.8777552077117</v>
          </cell>
          <cell r="Z89">
            <v>1733</v>
          </cell>
          <cell r="AA89">
            <v>0</v>
          </cell>
          <cell r="AB89">
            <v>0</v>
          </cell>
          <cell r="AC89">
            <v>0</v>
          </cell>
          <cell r="AD89">
            <v>0</v>
          </cell>
          <cell r="AF89">
            <v>10196.41624</v>
          </cell>
          <cell r="AM89">
            <v>0</v>
          </cell>
          <cell r="AN89">
            <v>1273.6990000000001</v>
          </cell>
          <cell r="AT89">
            <v>1733</v>
          </cell>
          <cell r="AU89">
            <v>3006.6990000000001</v>
          </cell>
          <cell r="AV89" t="str">
            <v>3Q 30/09/04</v>
          </cell>
          <cell r="AW89" t="str">
            <v>Updated 02-03/05</v>
          </cell>
          <cell r="AX89">
            <v>0.24</v>
          </cell>
          <cell r="BA89">
            <v>0</v>
          </cell>
          <cell r="BB89" t="str">
            <v>RUS</v>
          </cell>
        </row>
        <row r="90">
          <cell r="A90">
            <v>84</v>
          </cell>
          <cell r="B90" t="str">
            <v>Firm84</v>
          </cell>
          <cell r="C90">
            <v>84</v>
          </cell>
          <cell r="G90">
            <v>0</v>
          </cell>
          <cell r="I90">
            <v>0</v>
          </cell>
          <cell r="J90" t="str">
            <v>na</v>
          </cell>
          <cell r="K90" t="e">
            <v>#VALUE!</v>
          </cell>
          <cell r="L90" t="str">
            <v>na</v>
          </cell>
          <cell r="N90">
            <v>0</v>
          </cell>
          <cell r="U90" t="str">
            <v>na</v>
          </cell>
          <cell r="W90" t="str">
            <v>na</v>
          </cell>
          <cell r="X90" t="str">
            <v>na</v>
          </cell>
          <cell r="Z90">
            <v>0</v>
          </cell>
          <cell r="AA90">
            <v>0</v>
          </cell>
          <cell r="AB90">
            <v>0</v>
          </cell>
          <cell r="AC90">
            <v>0</v>
          </cell>
          <cell r="AD90">
            <v>0</v>
          </cell>
          <cell r="AF90" t="str">
            <v>na</v>
          </cell>
          <cell r="AM90">
            <v>0</v>
          </cell>
          <cell r="AU90">
            <v>0</v>
          </cell>
          <cell r="BA90" t="str">
            <v>na</v>
          </cell>
        </row>
        <row r="91">
          <cell r="A91">
            <v>85</v>
          </cell>
          <cell r="B91" t="str">
            <v>Firm85</v>
          </cell>
          <cell r="C91">
            <v>85</v>
          </cell>
          <cell r="G91">
            <v>0</v>
          </cell>
          <cell r="I91">
            <v>0</v>
          </cell>
          <cell r="J91" t="str">
            <v>na</v>
          </cell>
          <cell r="K91" t="e">
            <v>#VALUE!</v>
          </cell>
          <cell r="L91" t="str">
            <v>na</v>
          </cell>
          <cell r="N91">
            <v>0</v>
          </cell>
          <cell r="U91" t="str">
            <v>na</v>
          </cell>
          <cell r="W91" t="str">
            <v>na</v>
          </cell>
          <cell r="X91" t="str">
            <v>na</v>
          </cell>
          <cell r="Z91">
            <v>0</v>
          </cell>
          <cell r="AA91">
            <v>0</v>
          </cell>
          <cell r="AB91">
            <v>0</v>
          </cell>
          <cell r="AC91">
            <v>0</v>
          </cell>
          <cell r="AD91">
            <v>0</v>
          </cell>
          <cell r="AF91" t="str">
            <v>na</v>
          </cell>
          <cell r="AM91">
            <v>0</v>
          </cell>
          <cell r="AU91">
            <v>0</v>
          </cell>
          <cell r="BA91" t="str">
            <v>na</v>
          </cell>
        </row>
        <row r="92">
          <cell r="A92">
            <v>86</v>
          </cell>
          <cell r="B92" t="str">
            <v>Firm86</v>
          </cell>
          <cell r="C92">
            <v>86</v>
          </cell>
          <cell r="G92">
            <v>0</v>
          </cell>
          <cell r="I92">
            <v>0</v>
          </cell>
          <cell r="J92" t="str">
            <v>na</v>
          </cell>
          <cell r="K92" t="e">
            <v>#VALUE!</v>
          </cell>
          <cell r="L92" t="str">
            <v>na</v>
          </cell>
          <cell r="N92">
            <v>0</v>
          </cell>
          <cell r="U92" t="str">
            <v>na</v>
          </cell>
          <cell r="W92" t="str">
            <v>na</v>
          </cell>
          <cell r="X92" t="str">
            <v>na</v>
          </cell>
          <cell r="Z92">
            <v>0</v>
          </cell>
          <cell r="AA92">
            <v>0</v>
          </cell>
          <cell r="AB92">
            <v>0</v>
          </cell>
          <cell r="AC92">
            <v>0</v>
          </cell>
          <cell r="AD92">
            <v>0</v>
          </cell>
          <cell r="AF92" t="str">
            <v>na</v>
          </cell>
          <cell r="AM92">
            <v>0</v>
          </cell>
          <cell r="AU92">
            <v>0</v>
          </cell>
          <cell r="BA92" t="str">
            <v>na</v>
          </cell>
        </row>
        <row r="93">
          <cell r="A93">
            <v>87</v>
          </cell>
          <cell r="B93" t="str">
            <v>Firm87</v>
          </cell>
          <cell r="C93">
            <v>87</v>
          </cell>
          <cell r="G93">
            <v>0</v>
          </cell>
          <cell r="I93">
            <v>0</v>
          </cell>
          <cell r="J93" t="str">
            <v>na</v>
          </cell>
          <cell r="K93" t="e">
            <v>#VALUE!</v>
          </cell>
          <cell r="L93" t="str">
            <v>na</v>
          </cell>
          <cell r="N93">
            <v>0</v>
          </cell>
          <cell r="U93" t="str">
            <v>na</v>
          </cell>
          <cell r="W93" t="str">
            <v>na</v>
          </cell>
          <cell r="X93" t="str">
            <v>na</v>
          </cell>
          <cell r="Z93">
            <v>0</v>
          </cell>
          <cell r="AA93">
            <v>0</v>
          </cell>
          <cell r="AB93">
            <v>0</v>
          </cell>
          <cell r="AC93">
            <v>0</v>
          </cell>
          <cell r="AD93">
            <v>0</v>
          </cell>
          <cell r="AF93" t="str">
            <v>na</v>
          </cell>
          <cell r="AM93">
            <v>0</v>
          </cell>
          <cell r="AU93">
            <v>0</v>
          </cell>
          <cell r="BA93" t="str">
            <v>na</v>
          </cell>
        </row>
        <row r="94">
          <cell r="A94">
            <v>88</v>
          </cell>
          <cell r="B94" t="str">
            <v>Firm88</v>
          </cell>
          <cell r="C94">
            <v>88</v>
          </cell>
          <cell r="G94">
            <v>0</v>
          </cell>
          <cell r="I94">
            <v>0</v>
          </cell>
          <cell r="J94" t="str">
            <v>na</v>
          </cell>
          <cell r="K94" t="e">
            <v>#VALUE!</v>
          </cell>
          <cell r="L94" t="str">
            <v>na</v>
          </cell>
          <cell r="N94">
            <v>0</v>
          </cell>
          <cell r="U94" t="str">
            <v>na</v>
          </cell>
          <cell r="W94" t="str">
            <v>na</v>
          </cell>
          <cell r="X94" t="str">
            <v>na</v>
          </cell>
          <cell r="Z94">
            <v>0</v>
          </cell>
          <cell r="AA94">
            <v>0</v>
          </cell>
          <cell r="AB94">
            <v>0</v>
          </cell>
          <cell r="AC94">
            <v>0</v>
          </cell>
          <cell r="AD94">
            <v>0</v>
          </cell>
          <cell r="AF94" t="str">
            <v>na</v>
          </cell>
          <cell r="AM94">
            <v>0</v>
          </cell>
          <cell r="AU94">
            <v>0</v>
          </cell>
          <cell r="BA94" t="str">
            <v>na</v>
          </cell>
        </row>
        <row r="95">
          <cell r="A95">
            <v>89</v>
          </cell>
          <cell r="B95" t="str">
            <v>Target MEA INCUMBENTS</v>
          </cell>
          <cell r="C95">
            <v>89</v>
          </cell>
          <cell r="G95">
            <v>0</v>
          </cell>
          <cell r="I95">
            <v>0</v>
          </cell>
          <cell r="J95" t="str">
            <v>na</v>
          </cell>
          <cell r="K95" t="e">
            <v>#VALUE!</v>
          </cell>
          <cell r="L95" t="str">
            <v>na</v>
          </cell>
          <cell r="N95">
            <v>0</v>
          </cell>
          <cell r="U95" t="str">
            <v>na</v>
          </cell>
          <cell r="W95" t="str">
            <v>na</v>
          </cell>
          <cell r="X95" t="str">
            <v>na</v>
          </cell>
          <cell r="Z95">
            <v>0</v>
          </cell>
          <cell r="AA95">
            <v>0</v>
          </cell>
          <cell r="AB95">
            <v>0</v>
          </cell>
          <cell r="AC95">
            <v>0</v>
          </cell>
          <cell r="AD95">
            <v>0</v>
          </cell>
          <cell r="AF95" t="str">
            <v>na</v>
          </cell>
          <cell r="AM95">
            <v>0</v>
          </cell>
          <cell r="AU95">
            <v>0</v>
          </cell>
          <cell r="BA95" t="str">
            <v>na</v>
          </cell>
        </row>
        <row r="96">
          <cell r="A96">
            <v>90</v>
          </cell>
          <cell r="B96" t="str">
            <v>Batelco</v>
          </cell>
          <cell r="C96">
            <v>90</v>
          </cell>
          <cell r="D96" t="str">
            <v>MEA Incumbents</v>
          </cell>
          <cell r="E96">
            <v>38352</v>
          </cell>
          <cell r="F96" t="str">
            <v>BHD m</v>
          </cell>
          <cell r="G96">
            <v>0.4733</v>
          </cell>
          <cell r="I96">
            <v>1.53</v>
          </cell>
          <cell r="J96">
            <v>3.2326220156349041</v>
          </cell>
          <cell r="K96">
            <v>1.8359999999999999</v>
          </cell>
          <cell r="L96">
            <v>0.83333333333333337</v>
          </cell>
          <cell r="N96">
            <v>1000000</v>
          </cell>
          <cell r="U96">
            <v>1000000</v>
          </cell>
          <cell r="W96">
            <v>1530</v>
          </cell>
          <cell r="X96">
            <v>3232.6220156349041</v>
          </cell>
          <cell r="Z96">
            <v>-136.369</v>
          </cell>
          <cell r="AA96">
            <v>0</v>
          </cell>
          <cell r="AB96">
            <v>0</v>
          </cell>
          <cell r="AC96">
            <v>0</v>
          </cell>
          <cell r="AD96">
            <v>31.0603690647314</v>
          </cell>
          <cell r="AF96">
            <v>1424.6913690647316</v>
          </cell>
          <cell r="AI96">
            <v>0.623</v>
          </cell>
          <cell r="AJ96">
            <v>153.27699999999999</v>
          </cell>
          <cell r="AK96">
            <v>23.821000000000002</v>
          </cell>
          <cell r="AL96">
            <v>-8.1639999999999961</v>
          </cell>
          <cell r="AM96">
            <v>169.55699999999999</v>
          </cell>
          <cell r="AN96">
            <v>299.839</v>
          </cell>
          <cell r="AO96">
            <v>6.0869999999999997</v>
          </cell>
          <cell r="AT96">
            <v>-136.369</v>
          </cell>
          <cell r="AU96">
            <v>169.55699999999999</v>
          </cell>
          <cell r="AV96" t="str">
            <v>AR 31/12/04</v>
          </cell>
          <cell r="AW96" t="str">
            <v>Updated 13-12-04</v>
          </cell>
          <cell r="AX96">
            <v>0</v>
          </cell>
          <cell r="BA96">
            <v>1.9896968547949503E-2</v>
          </cell>
          <cell r="BB96" t="str">
            <v>BAH</v>
          </cell>
        </row>
        <row r="97">
          <cell r="A97">
            <v>91</v>
          </cell>
          <cell r="B97" t="str">
            <v>Etisalat</v>
          </cell>
          <cell r="C97">
            <v>91</v>
          </cell>
          <cell r="D97" t="str">
            <v>MEA Incumbents</v>
          </cell>
          <cell r="E97">
            <v>38352</v>
          </cell>
          <cell r="F97" t="str">
            <v>AED m</v>
          </cell>
          <cell r="G97">
            <v>4.6106499999999997</v>
          </cell>
          <cell r="I97">
            <v>38.85</v>
          </cell>
          <cell r="J97">
            <v>8.4261438192011973</v>
          </cell>
          <cell r="K97">
            <v>46.62</v>
          </cell>
          <cell r="L97">
            <v>0.83333333333333337</v>
          </cell>
          <cell r="N97">
            <v>3630000</v>
          </cell>
          <cell r="U97">
            <v>3630000</v>
          </cell>
          <cell r="W97">
            <v>141025.5</v>
          </cell>
          <cell r="X97">
            <v>30586.902063700349</v>
          </cell>
          <cell r="Z97">
            <v>-7655.6850000000004</v>
          </cell>
          <cell r="AA97">
            <v>0</v>
          </cell>
          <cell r="AB97">
            <v>0</v>
          </cell>
          <cell r="AC97">
            <v>-3471.7849999999999</v>
          </cell>
          <cell r="AD97">
            <v>0</v>
          </cell>
          <cell r="AF97">
            <v>129898.03</v>
          </cell>
          <cell r="AJ97">
            <v>8525.6980000000003</v>
          </cell>
          <cell r="AL97">
            <v>-3630.6360000000004</v>
          </cell>
          <cell r="AM97">
            <v>4895.0619999999999</v>
          </cell>
          <cell r="AN97">
            <v>15608.933000000001</v>
          </cell>
          <cell r="AQ97">
            <v>413.59899999999999</v>
          </cell>
          <cell r="AS97">
            <v>-3471.7849999999999</v>
          </cell>
          <cell r="AT97">
            <v>-7655.6850000000004</v>
          </cell>
          <cell r="AU97">
            <v>4895.0620000000008</v>
          </cell>
          <cell r="AV97" t="str">
            <v>AR 31/12/04</v>
          </cell>
          <cell r="AW97" t="str">
            <v>Updated 13-12-04</v>
          </cell>
          <cell r="AX97">
            <v>0</v>
          </cell>
          <cell r="BA97">
            <v>0</v>
          </cell>
          <cell r="BB97" t="str">
            <v>UAE</v>
          </cell>
        </row>
        <row r="98">
          <cell r="A98">
            <v>92</v>
          </cell>
          <cell r="B98" t="str">
            <v>Jordan Telecom</v>
          </cell>
          <cell r="C98">
            <v>92</v>
          </cell>
          <cell r="D98" t="str">
            <v>MEA Incumbents</v>
          </cell>
          <cell r="E98">
            <v>38352</v>
          </cell>
          <cell r="F98" t="str">
            <v>JOD m</v>
          </cell>
          <cell r="G98">
            <v>0.88954100999999997</v>
          </cell>
          <cell r="I98">
            <v>6.34</v>
          </cell>
          <cell r="J98">
            <v>7.1272711755020719</v>
          </cell>
          <cell r="K98">
            <v>7.6079999999999997</v>
          </cell>
          <cell r="L98">
            <v>0.83333333333333337</v>
          </cell>
          <cell r="N98">
            <v>250000</v>
          </cell>
          <cell r="U98">
            <v>250000</v>
          </cell>
          <cell r="W98">
            <v>1585</v>
          </cell>
          <cell r="X98">
            <v>1781.817793875518</v>
          </cell>
          <cell r="Z98">
            <v>-95.751000000000005</v>
          </cell>
          <cell r="AA98">
            <v>0</v>
          </cell>
          <cell r="AB98">
            <v>0</v>
          </cell>
          <cell r="AC98">
            <v>0</v>
          </cell>
          <cell r="AD98">
            <v>0</v>
          </cell>
          <cell r="AF98">
            <v>1489.249</v>
          </cell>
          <cell r="AJ98">
            <v>285.53899999999999</v>
          </cell>
          <cell r="AL98">
            <v>-21.275999999999996</v>
          </cell>
          <cell r="AM98">
            <v>264.26299999999998</v>
          </cell>
          <cell r="AN98">
            <v>361.036</v>
          </cell>
          <cell r="AO98">
            <v>0</v>
          </cell>
          <cell r="AT98">
            <v>-95.751000000000005</v>
          </cell>
          <cell r="AU98">
            <v>265.28499999999997</v>
          </cell>
          <cell r="AV98" t="str">
            <v>2Q 30/06/2005</v>
          </cell>
          <cell r="AW98" t="str">
            <v>Updated 21-12-04</v>
          </cell>
          <cell r="AX98">
            <v>0.25</v>
          </cell>
          <cell r="BA98">
            <v>0</v>
          </cell>
          <cell r="BB98" t="str">
            <v>JOR</v>
          </cell>
        </row>
        <row r="99">
          <cell r="A99">
            <v>93</v>
          </cell>
          <cell r="B99" t="str">
            <v>MTN</v>
          </cell>
          <cell r="C99">
            <v>93</v>
          </cell>
          <cell r="D99" t="str">
            <v>MEA Incumbents</v>
          </cell>
          <cell r="E99">
            <v>38077</v>
          </cell>
          <cell r="F99" t="str">
            <v>ZAR m</v>
          </cell>
          <cell r="G99">
            <v>8.7563999999999993</v>
          </cell>
          <cell r="I99">
            <v>57.5</v>
          </cell>
          <cell r="J99">
            <v>6.5666255538805904</v>
          </cell>
          <cell r="K99">
            <v>69</v>
          </cell>
          <cell r="L99">
            <v>0.83333333333333337</v>
          </cell>
          <cell r="N99">
            <v>1666946</v>
          </cell>
          <cell r="U99">
            <v>1666946</v>
          </cell>
          <cell r="W99">
            <v>95849.395000000004</v>
          </cell>
          <cell r="X99">
            <v>10946.210200539035</v>
          </cell>
          <cell r="Z99">
            <v>-3201</v>
          </cell>
          <cell r="AA99">
            <v>0</v>
          </cell>
          <cell r="AB99">
            <v>0</v>
          </cell>
          <cell r="AC99">
            <v>0</v>
          </cell>
          <cell r="AD99">
            <v>13980.668673821629</v>
          </cell>
          <cell r="AF99">
            <v>106629.06367382163</v>
          </cell>
          <cell r="AH99">
            <v>33</v>
          </cell>
          <cell r="AI99">
            <v>1686</v>
          </cell>
          <cell r="AJ99">
            <v>15623</v>
          </cell>
          <cell r="AK99">
            <v>604</v>
          </cell>
          <cell r="AL99">
            <v>-2890</v>
          </cell>
          <cell r="AM99">
            <v>15056</v>
          </cell>
          <cell r="AN99">
            <v>15933</v>
          </cell>
          <cell r="AO99">
            <v>2324</v>
          </cell>
          <cell r="AT99">
            <v>-3201</v>
          </cell>
          <cell r="AU99">
            <v>15056</v>
          </cell>
          <cell r="AV99" t="str">
            <v>AR 31/03/05</v>
          </cell>
          <cell r="AW99" t="str">
            <v>Updated 21-12-04</v>
          </cell>
          <cell r="AX99">
            <v>0.378</v>
          </cell>
          <cell r="BA99">
            <v>0.12729364079531139</v>
          </cell>
          <cell r="BB99" t="str">
            <v>ZA</v>
          </cell>
        </row>
        <row r="100">
          <cell r="A100">
            <v>94</v>
          </cell>
          <cell r="B100" t="str">
            <v>Q-Tel</v>
          </cell>
          <cell r="C100">
            <v>94</v>
          </cell>
          <cell r="D100" t="str">
            <v>MEA Incumbents</v>
          </cell>
          <cell r="E100">
            <v>38352</v>
          </cell>
          <cell r="F100" t="str">
            <v>QAR m</v>
          </cell>
          <cell r="G100">
            <v>4.5689500000000001</v>
          </cell>
          <cell r="I100">
            <v>300</v>
          </cell>
          <cell r="J100">
            <v>65.660600356755921</v>
          </cell>
          <cell r="K100">
            <v>360</v>
          </cell>
          <cell r="L100">
            <v>0.83333333333333337</v>
          </cell>
          <cell r="N100">
            <v>100000</v>
          </cell>
          <cell r="U100">
            <v>100000</v>
          </cell>
          <cell r="W100">
            <v>30000</v>
          </cell>
          <cell r="X100">
            <v>6566.0600356755931</v>
          </cell>
          <cell r="Z100">
            <v>-904.65700000000004</v>
          </cell>
          <cell r="AA100">
            <v>0</v>
          </cell>
          <cell r="AB100">
            <v>0</v>
          </cell>
          <cell r="AC100">
            <v>0</v>
          </cell>
          <cell r="AD100">
            <v>489.49775263647501</v>
          </cell>
          <cell r="AF100">
            <v>29584.840752636475</v>
          </cell>
          <cell r="AJ100">
            <v>2117.913</v>
          </cell>
          <cell r="AK100">
            <v>1605.78</v>
          </cell>
          <cell r="AL100">
            <v>-577.30799999999999</v>
          </cell>
          <cell r="AM100">
            <v>3146.3850000000002</v>
          </cell>
          <cell r="AN100">
            <v>3986.0039999999999</v>
          </cell>
          <cell r="AO100">
            <v>65.037999999999997</v>
          </cell>
          <cell r="AT100">
            <v>-904.65700000000004</v>
          </cell>
          <cell r="AU100">
            <v>3146.3849999999998</v>
          </cell>
          <cell r="AV100" t="str">
            <v>Q2 2005</v>
          </cell>
          <cell r="AW100" t="str">
            <v>Updated 13-12-04</v>
          </cell>
          <cell r="AX100">
            <v>0</v>
          </cell>
          <cell r="BA100">
            <v>1.6054634832223413E-2</v>
          </cell>
          <cell r="BB100" t="str">
            <v>QAT</v>
          </cell>
        </row>
        <row r="101">
          <cell r="A101">
            <v>95</v>
          </cell>
          <cell r="B101" t="str">
            <v>Saudi Telecom</v>
          </cell>
          <cell r="C101">
            <v>95</v>
          </cell>
          <cell r="D101" t="str">
            <v>MEA Incumbents</v>
          </cell>
          <cell r="E101">
            <v>38352</v>
          </cell>
          <cell r="F101" t="str">
            <v>SAR m</v>
          </cell>
          <cell r="G101">
            <v>4.7082529424999997</v>
          </cell>
          <cell r="I101">
            <v>915.75</v>
          </cell>
          <cell r="J101">
            <v>194.49889612637352</v>
          </cell>
          <cell r="K101">
            <v>1098.8999999999999</v>
          </cell>
          <cell r="L101">
            <v>0.83333333333333348</v>
          </cell>
          <cell r="N101">
            <v>300000</v>
          </cell>
          <cell r="U101">
            <v>300000</v>
          </cell>
          <cell r="W101">
            <v>274725</v>
          </cell>
          <cell r="X101">
            <v>58349.668837912061</v>
          </cell>
          <cell r="Z101">
            <v>-4766.2539999999999</v>
          </cell>
          <cell r="AA101">
            <v>0</v>
          </cell>
          <cell r="AB101">
            <v>0</v>
          </cell>
          <cell r="AC101">
            <v>0</v>
          </cell>
          <cell r="AD101">
            <v>0</v>
          </cell>
          <cell r="AF101">
            <v>269958.74599999998</v>
          </cell>
          <cell r="AJ101">
            <v>31256.646999999997</v>
          </cell>
          <cell r="AK101">
            <v>1502.4859999999999</v>
          </cell>
          <cell r="AL101">
            <v>-4902.7209999999995</v>
          </cell>
          <cell r="AM101">
            <v>27856.411999999997</v>
          </cell>
          <cell r="AN101">
            <v>32622.666000000001</v>
          </cell>
          <cell r="AO101">
            <v>0</v>
          </cell>
          <cell r="AT101">
            <v>-4766.2539999999999</v>
          </cell>
          <cell r="AU101">
            <v>27856.412</v>
          </cell>
          <cell r="AV101" t="str">
            <v>2Q 30/06/2005 Zawya</v>
          </cell>
          <cell r="AW101" t="str">
            <v>Updated 21-12-04</v>
          </cell>
          <cell r="AX101">
            <v>0.04</v>
          </cell>
          <cell r="BA101">
            <v>0</v>
          </cell>
          <cell r="BB101" t="str">
            <v>SA</v>
          </cell>
        </row>
        <row r="102">
          <cell r="A102">
            <v>96</v>
          </cell>
          <cell r="B102" t="str">
            <v>Telkom SA</v>
          </cell>
          <cell r="C102">
            <v>96</v>
          </cell>
          <cell r="D102" t="str">
            <v>MEA Incumbents</v>
          </cell>
          <cell r="E102">
            <v>38077</v>
          </cell>
          <cell r="F102" t="str">
            <v>ZAR m</v>
          </cell>
          <cell r="G102">
            <v>8.7563999999999993</v>
          </cell>
          <cell r="I102">
            <v>132</v>
          </cell>
          <cell r="J102">
            <v>15.074688228038921</v>
          </cell>
          <cell r="K102">
            <v>158.4</v>
          </cell>
          <cell r="L102">
            <v>0.83333333333333326</v>
          </cell>
          <cell r="N102">
            <v>544945</v>
          </cell>
          <cell r="U102">
            <v>544945</v>
          </cell>
          <cell r="W102">
            <v>71932.740000000005</v>
          </cell>
          <cell r="X102">
            <v>8214.8759764286697</v>
          </cell>
          <cell r="Z102">
            <v>12701</v>
          </cell>
          <cell r="AA102">
            <v>0</v>
          </cell>
          <cell r="AB102">
            <v>0</v>
          </cell>
          <cell r="AC102">
            <v>0</v>
          </cell>
          <cell r="AD102">
            <v>652.21452534227956</v>
          </cell>
          <cell r="AF102">
            <v>85285.954525342284</v>
          </cell>
          <cell r="AH102">
            <v>580</v>
          </cell>
          <cell r="AJ102">
            <v>39024</v>
          </cell>
          <cell r="AK102">
            <v>2319</v>
          </cell>
          <cell r="AL102">
            <v>-2868</v>
          </cell>
          <cell r="AM102">
            <v>39055</v>
          </cell>
          <cell r="AN102">
            <v>22058</v>
          </cell>
          <cell r="AO102">
            <v>200</v>
          </cell>
          <cell r="AQ102">
            <v>4096</v>
          </cell>
          <cell r="AT102">
            <v>12701</v>
          </cell>
          <cell r="AU102">
            <v>39055</v>
          </cell>
          <cell r="AV102" t="str">
            <v>AR 31/03/04</v>
          </cell>
          <cell r="AW102" t="str">
            <v>Updated 21-12-04</v>
          </cell>
          <cell r="AX102">
            <v>0.378</v>
          </cell>
          <cell r="BA102">
            <v>8.9855332914008448E-3</v>
          </cell>
          <cell r="BB102" t="str">
            <v>ZAF</v>
          </cell>
        </row>
        <row r="103">
          <cell r="A103">
            <v>97</v>
          </cell>
          <cell r="B103" t="str">
            <v>Pakistan Telecom</v>
          </cell>
          <cell r="C103">
            <v>97</v>
          </cell>
          <cell r="D103" t="str">
            <v>MEA Incumbents</v>
          </cell>
          <cell r="E103">
            <v>38168</v>
          </cell>
          <cell r="F103" t="str">
            <v>PKR m</v>
          </cell>
          <cell r="G103">
            <v>75.659899999999993</v>
          </cell>
          <cell r="I103">
            <v>65.95</v>
          </cell>
          <cell r="J103">
            <v>0.87166385363977494</v>
          </cell>
          <cell r="K103">
            <v>79.14</v>
          </cell>
          <cell r="L103">
            <v>0.83333333333333337</v>
          </cell>
          <cell r="N103">
            <v>5100000</v>
          </cell>
          <cell r="U103">
            <v>5100000</v>
          </cell>
          <cell r="W103">
            <v>336345</v>
          </cell>
          <cell r="X103">
            <v>4445.4856535628523</v>
          </cell>
          <cell r="Z103">
            <v>-9582</v>
          </cell>
          <cell r="AA103">
            <v>0</v>
          </cell>
          <cell r="AB103">
            <v>0</v>
          </cell>
          <cell r="AC103">
            <v>0</v>
          </cell>
          <cell r="AD103">
            <v>0</v>
          </cell>
          <cell r="AF103">
            <v>326763</v>
          </cell>
          <cell r="AH103">
            <v>5537</v>
          </cell>
          <cell r="AJ103">
            <v>91880</v>
          </cell>
          <cell r="AL103">
            <v>-13404</v>
          </cell>
          <cell r="AM103">
            <v>84013</v>
          </cell>
          <cell r="AN103">
            <v>78265</v>
          </cell>
          <cell r="AQ103">
            <v>15330</v>
          </cell>
          <cell r="AT103">
            <v>-9582</v>
          </cell>
          <cell r="AU103">
            <v>84013</v>
          </cell>
          <cell r="AV103" t="str">
            <v>internal BNPP 2004</v>
          </cell>
          <cell r="AW103" t="str">
            <v>Updated 13-12-04</v>
          </cell>
          <cell r="AX103">
            <v>0.35</v>
          </cell>
          <cell r="BA103">
            <v>0</v>
          </cell>
          <cell r="BB103" t="str">
            <v>PAK</v>
          </cell>
        </row>
        <row r="104">
          <cell r="A104">
            <v>98</v>
          </cell>
          <cell r="B104" t="str">
            <v>Maroc Telecom</v>
          </cell>
          <cell r="C104">
            <v>98</v>
          </cell>
          <cell r="D104" t="str">
            <v>MEA Incumbents</v>
          </cell>
          <cell r="E104">
            <v>38352</v>
          </cell>
          <cell r="F104" t="str">
            <v>EUR m</v>
          </cell>
          <cell r="G104">
            <v>1</v>
          </cell>
          <cell r="I104">
            <v>10.561594202898551</v>
          </cell>
          <cell r="J104">
            <v>10.561594202898551</v>
          </cell>
          <cell r="K104">
            <v>12.67391304347826</v>
          </cell>
          <cell r="L104">
            <v>0.83333333333333337</v>
          </cell>
          <cell r="N104">
            <v>879095</v>
          </cell>
          <cell r="U104">
            <v>879095</v>
          </cell>
          <cell r="W104">
            <v>9284.6446557971012</v>
          </cell>
          <cell r="X104">
            <v>9284.6446557971012</v>
          </cell>
          <cell r="Z104">
            <v>-360.7</v>
          </cell>
          <cell r="AA104">
            <v>0</v>
          </cell>
          <cell r="AB104">
            <v>0</v>
          </cell>
          <cell r="AC104">
            <v>-52</v>
          </cell>
          <cell r="AD104">
            <v>0</v>
          </cell>
          <cell r="AF104">
            <v>8871.9446557971005</v>
          </cell>
          <cell r="AH104">
            <v>13</v>
          </cell>
          <cell r="AI104">
            <v>61</v>
          </cell>
          <cell r="AJ104">
            <v>1098</v>
          </cell>
          <cell r="AL104">
            <v>-90</v>
          </cell>
          <cell r="AM104">
            <v>1082</v>
          </cell>
          <cell r="AN104">
            <v>1620</v>
          </cell>
          <cell r="AO104">
            <v>0</v>
          </cell>
          <cell r="AQ104">
            <v>42</v>
          </cell>
          <cell r="AS104">
            <v>-52</v>
          </cell>
          <cell r="AT104">
            <v>-360.7</v>
          </cell>
          <cell r="AU104">
            <v>1249.3</v>
          </cell>
          <cell r="AV104" t="str">
            <v>BNPP model as of 30-06-05</v>
          </cell>
          <cell r="AW104" t="str">
            <v>Updated 01-03-05</v>
          </cell>
          <cell r="AX104">
            <v>0.35</v>
          </cell>
          <cell r="BA104">
            <v>0</v>
          </cell>
          <cell r="BB104" t="str">
            <v>MOR</v>
          </cell>
        </row>
        <row r="105">
          <cell r="A105">
            <v>99</v>
          </cell>
          <cell r="B105" t="str">
            <v>Firm99</v>
          </cell>
          <cell r="C105">
            <v>99</v>
          </cell>
          <cell r="G105">
            <v>0</v>
          </cell>
          <cell r="I105">
            <v>0</v>
          </cell>
          <cell r="J105" t="str">
            <v>na</v>
          </cell>
          <cell r="K105" t="e">
            <v>#VALUE!</v>
          </cell>
          <cell r="L105" t="str">
            <v>na</v>
          </cell>
          <cell r="N105">
            <v>0</v>
          </cell>
          <cell r="U105" t="str">
            <v>na</v>
          </cell>
          <cell r="W105" t="str">
            <v>na</v>
          </cell>
          <cell r="X105" t="str">
            <v>na</v>
          </cell>
          <cell r="Z105">
            <v>0</v>
          </cell>
          <cell r="AA105">
            <v>0</v>
          </cell>
          <cell r="AB105">
            <v>0</v>
          </cell>
          <cell r="AC105">
            <v>0</v>
          </cell>
          <cell r="AD105">
            <v>0</v>
          </cell>
          <cell r="AF105" t="str">
            <v>na</v>
          </cell>
          <cell r="AM105">
            <v>0</v>
          </cell>
          <cell r="AU105">
            <v>0</v>
          </cell>
          <cell r="BA105" t="str">
            <v>na</v>
          </cell>
        </row>
        <row r="106">
          <cell r="A106">
            <v>100</v>
          </cell>
          <cell r="B106" t="str">
            <v>Firm100</v>
          </cell>
          <cell r="C106">
            <v>100</v>
          </cell>
          <cell r="G106">
            <v>0</v>
          </cell>
          <cell r="I106">
            <v>0</v>
          </cell>
          <cell r="J106" t="str">
            <v>na</v>
          </cell>
          <cell r="K106" t="e">
            <v>#VALUE!</v>
          </cell>
          <cell r="L106" t="str">
            <v>na</v>
          </cell>
          <cell r="N106">
            <v>0</v>
          </cell>
          <cell r="U106" t="str">
            <v>na</v>
          </cell>
          <cell r="W106" t="str">
            <v>na</v>
          </cell>
          <cell r="X106" t="str">
            <v>na</v>
          </cell>
          <cell r="Z106">
            <v>0</v>
          </cell>
          <cell r="AA106">
            <v>0</v>
          </cell>
          <cell r="AB106">
            <v>0</v>
          </cell>
          <cell r="AC106">
            <v>0</v>
          </cell>
          <cell r="AD106">
            <v>0</v>
          </cell>
          <cell r="AF106" t="str">
            <v>na</v>
          </cell>
          <cell r="AM106">
            <v>0</v>
          </cell>
          <cell r="AU106">
            <v>0</v>
          </cell>
          <cell r="BA106" t="str">
            <v>na</v>
          </cell>
        </row>
        <row r="107">
          <cell r="A107">
            <v>101</v>
          </cell>
          <cell r="B107" t="str">
            <v>Firm101</v>
          </cell>
          <cell r="C107">
            <v>101</v>
          </cell>
          <cell r="G107">
            <v>0</v>
          </cell>
          <cell r="I107">
            <v>0</v>
          </cell>
          <cell r="J107" t="str">
            <v>na</v>
          </cell>
          <cell r="K107" t="e">
            <v>#VALUE!</v>
          </cell>
          <cell r="L107" t="str">
            <v>na</v>
          </cell>
          <cell r="N107">
            <v>0</v>
          </cell>
          <cell r="U107" t="str">
            <v>na</v>
          </cell>
          <cell r="W107" t="str">
            <v>na</v>
          </cell>
          <cell r="X107" t="str">
            <v>na</v>
          </cell>
          <cell r="Z107">
            <v>0</v>
          </cell>
          <cell r="AA107">
            <v>0</v>
          </cell>
          <cell r="AB107">
            <v>0</v>
          </cell>
          <cell r="AC107">
            <v>0</v>
          </cell>
          <cell r="AD107">
            <v>0</v>
          </cell>
          <cell r="AF107" t="str">
            <v>na</v>
          </cell>
          <cell r="AM107">
            <v>0</v>
          </cell>
          <cell r="AU107">
            <v>0</v>
          </cell>
          <cell r="BA107" t="str">
            <v>na</v>
          </cell>
        </row>
        <row r="108">
          <cell r="A108">
            <v>102</v>
          </cell>
          <cell r="B108" t="str">
            <v>Firm102</v>
          </cell>
          <cell r="C108">
            <v>102</v>
          </cell>
          <cell r="G108">
            <v>0</v>
          </cell>
          <cell r="I108">
            <v>0</v>
          </cell>
          <cell r="J108" t="str">
            <v>na</v>
          </cell>
          <cell r="K108" t="e">
            <v>#VALUE!</v>
          </cell>
          <cell r="L108" t="str">
            <v>na</v>
          </cell>
          <cell r="N108">
            <v>0</v>
          </cell>
          <cell r="U108" t="str">
            <v>na</v>
          </cell>
          <cell r="W108" t="str">
            <v>na</v>
          </cell>
          <cell r="X108" t="str">
            <v>na</v>
          </cell>
          <cell r="Z108">
            <v>0</v>
          </cell>
          <cell r="AA108">
            <v>0</v>
          </cell>
          <cell r="AB108">
            <v>0</v>
          </cell>
          <cell r="AC108">
            <v>0</v>
          </cell>
          <cell r="AD108">
            <v>0</v>
          </cell>
          <cell r="AF108" t="str">
            <v>na</v>
          </cell>
          <cell r="AM108">
            <v>0</v>
          </cell>
          <cell r="AU108">
            <v>0</v>
          </cell>
          <cell r="BA108" t="str">
            <v>na</v>
          </cell>
        </row>
        <row r="109">
          <cell r="A109">
            <v>103</v>
          </cell>
          <cell r="B109" t="str">
            <v>Firm103</v>
          </cell>
          <cell r="C109">
            <v>103</v>
          </cell>
          <cell r="G109">
            <v>0</v>
          </cell>
          <cell r="I109">
            <v>0</v>
          </cell>
          <cell r="J109" t="str">
            <v>na</v>
          </cell>
          <cell r="K109" t="e">
            <v>#VALUE!</v>
          </cell>
          <cell r="L109" t="str">
            <v>na</v>
          </cell>
          <cell r="N109">
            <v>0</v>
          </cell>
          <cell r="U109" t="str">
            <v>na</v>
          </cell>
          <cell r="W109" t="str">
            <v>na</v>
          </cell>
          <cell r="X109" t="str">
            <v>na</v>
          </cell>
          <cell r="Z109">
            <v>0</v>
          </cell>
          <cell r="AA109">
            <v>0</v>
          </cell>
          <cell r="AB109">
            <v>0</v>
          </cell>
          <cell r="AC109">
            <v>0</v>
          </cell>
          <cell r="AD109">
            <v>0</v>
          </cell>
          <cell r="AF109" t="str">
            <v>na</v>
          </cell>
          <cell r="AM109">
            <v>0</v>
          </cell>
          <cell r="AU109">
            <v>0</v>
          </cell>
          <cell r="BA109" t="str">
            <v>na</v>
          </cell>
        </row>
        <row r="110">
          <cell r="A110">
            <v>104</v>
          </cell>
          <cell r="B110" t="str">
            <v>Firm104</v>
          </cell>
          <cell r="C110">
            <v>104</v>
          </cell>
          <cell r="G110">
            <v>0</v>
          </cell>
          <cell r="I110">
            <v>0</v>
          </cell>
          <cell r="J110" t="str">
            <v>na</v>
          </cell>
          <cell r="K110" t="e">
            <v>#VALUE!</v>
          </cell>
          <cell r="L110" t="str">
            <v>na</v>
          </cell>
          <cell r="N110">
            <v>0</v>
          </cell>
          <cell r="U110" t="str">
            <v>na</v>
          </cell>
          <cell r="W110" t="str">
            <v>na</v>
          </cell>
          <cell r="X110" t="str">
            <v>na</v>
          </cell>
          <cell r="Z110">
            <v>0</v>
          </cell>
          <cell r="AA110">
            <v>0</v>
          </cell>
          <cell r="AB110">
            <v>0</v>
          </cell>
          <cell r="AC110">
            <v>0</v>
          </cell>
          <cell r="AD110">
            <v>0</v>
          </cell>
          <cell r="AF110" t="str">
            <v>na</v>
          </cell>
          <cell r="AM110">
            <v>0</v>
          </cell>
          <cell r="AU110">
            <v>0</v>
          </cell>
          <cell r="BA110" t="str">
            <v>na</v>
          </cell>
        </row>
        <row r="111">
          <cell r="A111">
            <v>105</v>
          </cell>
          <cell r="B111" t="str">
            <v>Target MEA MOBILE</v>
          </cell>
          <cell r="C111">
            <v>105</v>
          </cell>
          <cell r="G111">
            <v>0</v>
          </cell>
          <cell r="I111">
            <v>0</v>
          </cell>
          <cell r="J111" t="str">
            <v>na</v>
          </cell>
          <cell r="K111" t="e">
            <v>#VALUE!</v>
          </cell>
          <cell r="L111" t="str">
            <v>na</v>
          </cell>
          <cell r="N111">
            <v>0</v>
          </cell>
          <cell r="U111" t="str">
            <v>na</v>
          </cell>
          <cell r="W111" t="str">
            <v>na</v>
          </cell>
          <cell r="X111" t="str">
            <v>na</v>
          </cell>
          <cell r="Z111">
            <v>0</v>
          </cell>
          <cell r="AA111">
            <v>0</v>
          </cell>
          <cell r="AB111">
            <v>0</v>
          </cell>
          <cell r="AC111">
            <v>0</v>
          </cell>
          <cell r="AD111">
            <v>0</v>
          </cell>
          <cell r="AF111" t="str">
            <v>na</v>
          </cell>
          <cell r="AM111">
            <v>0</v>
          </cell>
          <cell r="AU111">
            <v>0</v>
          </cell>
          <cell r="AV111" t="str">
            <v xml:space="preserve"> </v>
          </cell>
          <cell r="BA111" t="str">
            <v>na</v>
          </cell>
        </row>
        <row r="112">
          <cell r="A112">
            <v>106</v>
          </cell>
          <cell r="B112" t="str">
            <v>Mobinil</v>
          </cell>
          <cell r="C112">
            <v>106</v>
          </cell>
          <cell r="D112" t="str">
            <v>MEA Mobile</v>
          </cell>
          <cell r="E112">
            <v>36891</v>
          </cell>
          <cell r="F112" t="str">
            <v>EGP m</v>
          </cell>
          <cell r="G112">
            <v>7.2317999999999998</v>
          </cell>
          <cell r="I112">
            <v>133.69</v>
          </cell>
          <cell r="J112">
            <v>18.486407256837854</v>
          </cell>
          <cell r="K112">
            <v>160.428</v>
          </cell>
          <cell r="L112">
            <v>0.83333333333333337</v>
          </cell>
          <cell r="N112">
            <v>100000</v>
          </cell>
          <cell r="U112">
            <v>100000</v>
          </cell>
          <cell r="W112">
            <v>13369</v>
          </cell>
          <cell r="X112">
            <v>1848.6407256837856</v>
          </cell>
          <cell r="Z112">
            <v>2254.5590000000002</v>
          </cell>
          <cell r="AA112">
            <v>0</v>
          </cell>
          <cell r="AB112">
            <v>0</v>
          </cell>
          <cell r="AC112">
            <v>0</v>
          </cell>
          <cell r="AD112">
            <v>0</v>
          </cell>
          <cell r="AF112">
            <v>15623.559000000001</v>
          </cell>
          <cell r="AI112">
            <v>1538.8</v>
          </cell>
          <cell r="AJ112">
            <v>3444.0609999999997</v>
          </cell>
          <cell r="AK112">
            <v>0.9</v>
          </cell>
          <cell r="AL112">
            <v>-927.2800000000002</v>
          </cell>
          <cell r="AM112">
            <v>4056.4809999999993</v>
          </cell>
          <cell r="AN112">
            <v>1801.923</v>
          </cell>
          <cell r="AT112">
            <v>2254.5590000000002</v>
          </cell>
          <cell r="AU112">
            <v>4056.482</v>
          </cell>
          <cell r="AV112" t="str">
            <v>Q2 2005</v>
          </cell>
          <cell r="AW112" t="str">
            <v>Updated 02-03-05</v>
          </cell>
          <cell r="AX112">
            <v>0.4</v>
          </cell>
          <cell r="BA112">
            <v>0</v>
          </cell>
          <cell r="BB112" t="str">
            <v>EGP</v>
          </cell>
        </row>
        <row r="113">
          <cell r="A113">
            <v>107</v>
          </cell>
          <cell r="B113" t="str">
            <v>MTC</v>
          </cell>
          <cell r="C113">
            <v>107</v>
          </cell>
          <cell r="D113" t="str">
            <v>MEA Mobile</v>
          </cell>
          <cell r="E113">
            <v>38352</v>
          </cell>
          <cell r="F113" t="str">
            <v>KWD m</v>
          </cell>
          <cell r="G113">
            <v>0.36310998750000001</v>
          </cell>
          <cell r="I113">
            <v>4.5999999999999996</v>
          </cell>
          <cell r="J113">
            <v>12.668337854518528</v>
          </cell>
          <cell r="K113">
            <v>5.52</v>
          </cell>
          <cell r="L113">
            <v>0.83333333333333337</v>
          </cell>
          <cell r="N113">
            <v>554221</v>
          </cell>
          <cell r="U113">
            <v>554221</v>
          </cell>
          <cell r="W113">
            <v>2549.4165999999996</v>
          </cell>
          <cell r="X113">
            <v>7021.0588740691128</v>
          </cell>
          <cell r="Z113">
            <v>917.37</v>
          </cell>
          <cell r="AA113">
            <v>0</v>
          </cell>
          <cell r="AB113">
            <v>0</v>
          </cell>
          <cell r="AC113">
            <v>0</v>
          </cell>
          <cell r="AD113">
            <v>229.22107694483253</v>
          </cell>
          <cell r="AF113">
            <v>3696.0076769448319</v>
          </cell>
          <cell r="AI113">
            <v>804.00099999999998</v>
          </cell>
          <cell r="AJ113">
            <v>492.96100000000001</v>
          </cell>
          <cell r="AK113">
            <v>169.81100000000001</v>
          </cell>
          <cell r="AL113">
            <v>-98.521999999999991</v>
          </cell>
          <cell r="AM113">
            <v>1368.251</v>
          </cell>
          <cell r="AN113">
            <v>413.68599999999998</v>
          </cell>
          <cell r="AO113">
            <v>37.195</v>
          </cell>
          <cell r="AT113">
            <v>917.37</v>
          </cell>
          <cell r="AU113">
            <v>1368.251</v>
          </cell>
          <cell r="AV113" t="str">
            <v>Q2 2005</v>
          </cell>
          <cell r="AW113" t="str">
            <v>Updated 02-03-05</v>
          </cell>
          <cell r="AX113">
            <v>0</v>
          </cell>
          <cell r="BA113">
            <v>8.2494050536616098E-2</v>
          </cell>
          <cell r="BB113" t="str">
            <v>KW</v>
          </cell>
        </row>
        <row r="114">
          <cell r="A114">
            <v>108</v>
          </cell>
          <cell r="B114" t="str">
            <v>Orascom</v>
          </cell>
          <cell r="C114">
            <v>108</v>
          </cell>
          <cell r="D114" t="str">
            <v>MEA Mobile</v>
          </cell>
          <cell r="E114">
            <v>38352</v>
          </cell>
          <cell r="F114" t="str">
            <v>EGP m</v>
          </cell>
          <cell r="G114">
            <v>7.2317999999999998</v>
          </cell>
          <cell r="I114">
            <v>252.42</v>
          </cell>
          <cell r="J114">
            <v>34.904173234879281</v>
          </cell>
          <cell r="K114">
            <v>302.904</v>
          </cell>
          <cell r="L114">
            <v>0.83333333333333326</v>
          </cell>
          <cell r="N114">
            <v>220000</v>
          </cell>
          <cell r="U114">
            <v>220000</v>
          </cell>
          <cell r="W114">
            <v>55532.4</v>
          </cell>
          <cell r="X114">
            <v>7678.9181116734426</v>
          </cell>
          <cell r="Z114">
            <v>9896.2915169999997</v>
          </cell>
          <cell r="AA114">
            <v>0</v>
          </cell>
          <cell r="AB114">
            <v>0</v>
          </cell>
          <cell r="AC114">
            <v>-35.279373999999997</v>
          </cell>
          <cell r="AD114">
            <v>8629.8902227971175</v>
          </cell>
          <cell r="AF114">
            <v>74023.302365797121</v>
          </cell>
          <cell r="AH114">
            <v>1651.69496</v>
          </cell>
          <cell r="AI114">
            <v>5820.9383760000001</v>
          </cell>
          <cell r="AJ114">
            <v>13561.393431</v>
          </cell>
          <cell r="AK114">
            <v>716.86940500000003</v>
          </cell>
          <cell r="AL114">
            <v>-3849.1086040000005</v>
          </cell>
          <cell r="AM114">
            <v>17901.787568</v>
          </cell>
          <cell r="AN114">
            <v>6959.2833369999998</v>
          </cell>
          <cell r="AO114">
            <v>1081.492088</v>
          </cell>
          <cell r="AS114">
            <v>-35.279373999999997</v>
          </cell>
          <cell r="AT114">
            <v>9896.2915169999997</v>
          </cell>
          <cell r="AU114">
            <v>17901.787568</v>
          </cell>
          <cell r="AV114" t="str">
            <v>Q2 2005</v>
          </cell>
          <cell r="AW114" t="str">
            <v>Updated 02-03-05</v>
          </cell>
          <cell r="AX114">
            <v>0.4</v>
          </cell>
          <cell r="BA114">
            <v>0.13450096922710661</v>
          </cell>
          <cell r="BB114" t="str">
            <v>EGP</v>
          </cell>
        </row>
        <row r="115">
          <cell r="A115">
            <v>109</v>
          </cell>
          <cell r="B115" t="str">
            <v>Sonatel</v>
          </cell>
          <cell r="C115">
            <v>109</v>
          </cell>
          <cell r="E115">
            <v>38352</v>
          </cell>
          <cell r="F115" t="str">
            <v>CFA m</v>
          </cell>
          <cell r="G115">
            <v>655.97764043500001</v>
          </cell>
          <cell r="I115">
            <v>0</v>
          </cell>
          <cell r="J115">
            <v>0</v>
          </cell>
          <cell r="K115">
            <v>0</v>
          </cell>
          <cell r="L115" t="str">
            <v>na</v>
          </cell>
          <cell r="N115">
            <v>10000</v>
          </cell>
          <cell r="U115" t="str">
            <v>na</v>
          </cell>
          <cell r="W115">
            <v>0</v>
          </cell>
          <cell r="X115">
            <v>0</v>
          </cell>
          <cell r="Z115">
            <v>33413</v>
          </cell>
          <cell r="AA115">
            <v>0</v>
          </cell>
          <cell r="AB115">
            <v>0</v>
          </cell>
          <cell r="AC115">
            <v>0</v>
          </cell>
          <cell r="AD115">
            <v>0</v>
          </cell>
          <cell r="AF115">
            <v>33413</v>
          </cell>
          <cell r="AH115">
            <v>5348</v>
          </cell>
          <cell r="AJ115">
            <v>163903</v>
          </cell>
          <cell r="AK115">
            <v>37574</v>
          </cell>
          <cell r="AL115">
            <v>47908</v>
          </cell>
          <cell r="AM115">
            <v>254733</v>
          </cell>
          <cell r="AN115">
            <v>213357</v>
          </cell>
          <cell r="AQ115">
            <v>7963</v>
          </cell>
          <cell r="AT115">
            <v>33413</v>
          </cell>
          <cell r="AU115">
            <v>254733</v>
          </cell>
          <cell r="AX115">
            <v>0.35</v>
          </cell>
          <cell r="BA115">
            <v>0</v>
          </cell>
          <cell r="BB115" t="str">
            <v>SEN</v>
          </cell>
        </row>
        <row r="116">
          <cell r="A116">
            <v>110</v>
          </cell>
          <cell r="B116" t="str">
            <v>Wataniya</v>
          </cell>
          <cell r="C116">
            <v>110</v>
          </cell>
          <cell r="D116" t="str">
            <v>MEA Mobile</v>
          </cell>
          <cell r="E116">
            <v>38352</v>
          </cell>
          <cell r="F116" t="str">
            <v>KWD m</v>
          </cell>
          <cell r="G116">
            <v>0.36310998750000001</v>
          </cell>
          <cell r="I116">
            <v>1.94</v>
          </cell>
          <cell r="J116">
            <v>5.3427337908186843</v>
          </cell>
          <cell r="K116">
            <v>2.3279999999999998</v>
          </cell>
          <cell r="L116">
            <v>0.83333333333333337</v>
          </cell>
          <cell r="N116">
            <v>356400</v>
          </cell>
          <cell r="U116">
            <v>356400</v>
          </cell>
          <cell r="W116">
            <v>691.41600000000005</v>
          </cell>
          <cell r="X116">
            <v>1904.150323047779</v>
          </cell>
          <cell r="Z116">
            <v>175.52400000000003</v>
          </cell>
          <cell r="AA116">
            <v>0</v>
          </cell>
          <cell r="AB116">
            <v>0</v>
          </cell>
          <cell r="AC116">
            <v>0</v>
          </cell>
          <cell r="AD116">
            <v>228.81365464929769</v>
          </cell>
          <cell r="AF116">
            <v>1095.7536546492977</v>
          </cell>
          <cell r="AJ116">
            <v>516.49199999999996</v>
          </cell>
          <cell r="AK116">
            <v>17.452999999999999</v>
          </cell>
          <cell r="AL116">
            <v>-92.064999999999998</v>
          </cell>
          <cell r="AM116">
            <v>441.87999999999994</v>
          </cell>
          <cell r="AN116">
            <v>200.12700000000001</v>
          </cell>
          <cell r="AO116">
            <v>66.228999999999999</v>
          </cell>
          <cell r="AT116">
            <v>175.52400000000003</v>
          </cell>
          <cell r="AU116">
            <v>441.88</v>
          </cell>
          <cell r="AV116" t="str">
            <v>Q2 31/03/05 Zawya</v>
          </cell>
          <cell r="AW116" t="str">
            <v>Updated 02-03-05</v>
          </cell>
          <cell r="AX116">
            <v>0</v>
          </cell>
          <cell r="BA116">
            <v>0.24864842541560919</v>
          </cell>
          <cell r="BB116" t="str">
            <v>KW</v>
          </cell>
        </row>
        <row r="117">
          <cell r="A117">
            <v>111</v>
          </cell>
          <cell r="B117" t="str">
            <v>Vodafone Egypt</v>
          </cell>
          <cell r="C117">
            <v>111</v>
          </cell>
          <cell r="D117" t="str">
            <v>MEA Mobile</v>
          </cell>
          <cell r="E117">
            <v>38352</v>
          </cell>
          <cell r="F117" t="str">
            <v>EGP m</v>
          </cell>
          <cell r="G117">
            <v>7.2317999999999998</v>
          </cell>
          <cell r="I117">
            <v>81.75</v>
          </cell>
          <cell r="J117">
            <v>11.30423960839625</v>
          </cell>
          <cell r="K117">
            <v>98.1</v>
          </cell>
          <cell r="L117">
            <v>0.83333333333333337</v>
          </cell>
          <cell r="N117">
            <v>240000</v>
          </cell>
          <cell r="U117">
            <v>240000</v>
          </cell>
          <cell r="W117">
            <v>19620</v>
          </cell>
          <cell r="X117">
            <v>2713.0175060151</v>
          </cell>
          <cell r="Z117">
            <v>1593</v>
          </cell>
          <cell r="AA117">
            <v>0</v>
          </cell>
          <cell r="AB117">
            <v>0</v>
          </cell>
          <cell r="AC117">
            <v>0</v>
          </cell>
          <cell r="AD117">
            <v>0</v>
          </cell>
          <cell r="AF117">
            <v>21213</v>
          </cell>
          <cell r="AI117">
            <v>1953</v>
          </cell>
          <cell r="AJ117">
            <v>3133</v>
          </cell>
          <cell r="AL117">
            <v>-853</v>
          </cell>
          <cell r="AM117">
            <v>4233</v>
          </cell>
          <cell r="AN117">
            <v>2640</v>
          </cell>
          <cell r="AT117">
            <v>1593</v>
          </cell>
          <cell r="AU117">
            <v>4233</v>
          </cell>
          <cell r="AV117">
            <v>38533</v>
          </cell>
          <cell r="AW117" t="str">
            <v>Updated 02-03-05</v>
          </cell>
          <cell r="AX117">
            <v>0.4</v>
          </cell>
          <cell r="BA117">
            <v>0</v>
          </cell>
          <cell r="BB117" t="str">
            <v>EGP</v>
          </cell>
        </row>
        <row r="118">
          <cell r="A118">
            <v>112</v>
          </cell>
          <cell r="B118" t="str">
            <v>Firm112</v>
          </cell>
          <cell r="C118">
            <v>112</v>
          </cell>
          <cell r="G118">
            <v>0</v>
          </cell>
          <cell r="I118">
            <v>0</v>
          </cell>
          <cell r="J118" t="str">
            <v>na</v>
          </cell>
          <cell r="K118" t="e">
            <v>#VALUE!</v>
          </cell>
          <cell r="L118" t="str">
            <v>na</v>
          </cell>
          <cell r="N118">
            <v>0</v>
          </cell>
          <cell r="U118" t="str">
            <v>na</v>
          </cell>
          <cell r="W118" t="str">
            <v>na</v>
          </cell>
          <cell r="X118" t="str">
            <v>na</v>
          </cell>
          <cell r="Z118">
            <v>0</v>
          </cell>
          <cell r="AA118">
            <v>0</v>
          </cell>
          <cell r="AB118">
            <v>0</v>
          </cell>
          <cell r="AC118">
            <v>0</v>
          </cell>
          <cell r="AD118">
            <v>0</v>
          </cell>
          <cell r="AF118" t="str">
            <v>na</v>
          </cell>
          <cell r="AM118">
            <v>0</v>
          </cell>
          <cell r="AU118">
            <v>0</v>
          </cell>
          <cell r="BA118" t="str">
            <v>na</v>
          </cell>
        </row>
        <row r="119">
          <cell r="A119">
            <v>113</v>
          </cell>
          <cell r="B119" t="str">
            <v>Firm113</v>
          </cell>
          <cell r="C119">
            <v>113</v>
          </cell>
          <cell r="G119">
            <v>0</v>
          </cell>
          <cell r="I119">
            <v>0</v>
          </cell>
          <cell r="J119" t="str">
            <v>na</v>
          </cell>
          <cell r="K119" t="e">
            <v>#VALUE!</v>
          </cell>
          <cell r="L119" t="str">
            <v>na</v>
          </cell>
          <cell r="N119">
            <v>0</v>
          </cell>
          <cell r="U119" t="str">
            <v>na</v>
          </cell>
          <cell r="W119" t="str">
            <v>na</v>
          </cell>
          <cell r="X119" t="str">
            <v>na</v>
          </cell>
          <cell r="Z119">
            <v>0</v>
          </cell>
          <cell r="AA119">
            <v>0</v>
          </cell>
          <cell r="AB119">
            <v>0</v>
          </cell>
          <cell r="AC119">
            <v>0</v>
          </cell>
          <cell r="AD119">
            <v>0</v>
          </cell>
          <cell r="AF119" t="str">
            <v>na</v>
          </cell>
          <cell r="AM119">
            <v>0</v>
          </cell>
          <cell r="AU119">
            <v>0</v>
          </cell>
          <cell r="BA119" t="str">
            <v>na</v>
          </cell>
        </row>
        <row r="120">
          <cell r="A120">
            <v>114</v>
          </cell>
          <cell r="B120" t="str">
            <v>Firm114</v>
          </cell>
          <cell r="C120">
            <v>114</v>
          </cell>
          <cell r="G120">
            <v>0</v>
          </cell>
          <cell r="I120">
            <v>0</v>
          </cell>
          <cell r="J120" t="str">
            <v>na</v>
          </cell>
          <cell r="K120" t="e">
            <v>#VALUE!</v>
          </cell>
          <cell r="L120" t="str">
            <v>na</v>
          </cell>
          <cell r="N120">
            <v>0</v>
          </cell>
          <cell r="U120" t="str">
            <v>na</v>
          </cell>
          <cell r="W120" t="str">
            <v>na</v>
          </cell>
          <cell r="X120" t="str">
            <v>na</v>
          </cell>
          <cell r="Z120">
            <v>0</v>
          </cell>
          <cell r="AA120">
            <v>0</v>
          </cell>
          <cell r="AB120">
            <v>0</v>
          </cell>
          <cell r="AC120">
            <v>0</v>
          </cell>
          <cell r="AD120">
            <v>0</v>
          </cell>
          <cell r="AF120" t="str">
            <v>na</v>
          </cell>
          <cell r="AM120">
            <v>0</v>
          </cell>
          <cell r="AU120">
            <v>0</v>
          </cell>
          <cell r="BA120" t="str">
            <v>na</v>
          </cell>
        </row>
        <row r="121">
          <cell r="A121">
            <v>115</v>
          </cell>
          <cell r="B121" t="str">
            <v>Firm115</v>
          </cell>
          <cell r="C121">
            <v>115</v>
          </cell>
          <cell r="G121">
            <v>0</v>
          </cell>
          <cell r="I121">
            <v>0</v>
          </cell>
          <cell r="J121" t="str">
            <v>na</v>
          </cell>
          <cell r="K121" t="e">
            <v>#VALUE!</v>
          </cell>
          <cell r="L121" t="str">
            <v>na</v>
          </cell>
          <cell r="N121">
            <v>0</v>
          </cell>
          <cell r="U121" t="str">
            <v>na</v>
          </cell>
          <cell r="W121" t="str">
            <v>na</v>
          </cell>
          <cell r="X121" t="str">
            <v>na</v>
          </cell>
          <cell r="Z121">
            <v>0</v>
          </cell>
          <cell r="AA121">
            <v>0</v>
          </cell>
          <cell r="AB121">
            <v>0</v>
          </cell>
          <cell r="AC121">
            <v>0</v>
          </cell>
          <cell r="AD121">
            <v>0</v>
          </cell>
          <cell r="AF121" t="str">
            <v>na</v>
          </cell>
          <cell r="AM121">
            <v>0</v>
          </cell>
          <cell r="AU121">
            <v>0</v>
          </cell>
          <cell r="BA121" t="str">
            <v>na</v>
          </cell>
        </row>
        <row r="122">
          <cell r="A122">
            <v>116</v>
          </cell>
          <cell r="B122" t="str">
            <v>Firm116</v>
          </cell>
          <cell r="C122">
            <v>116</v>
          </cell>
          <cell r="G122">
            <v>0</v>
          </cell>
          <cell r="I122">
            <v>0</v>
          </cell>
          <cell r="J122" t="str">
            <v>na</v>
          </cell>
          <cell r="K122" t="e">
            <v>#VALUE!</v>
          </cell>
          <cell r="L122" t="str">
            <v>na</v>
          </cell>
          <cell r="N122">
            <v>0</v>
          </cell>
          <cell r="U122" t="str">
            <v>na</v>
          </cell>
          <cell r="W122" t="str">
            <v>na</v>
          </cell>
          <cell r="X122" t="str">
            <v>na</v>
          </cell>
          <cell r="Z122">
            <v>0</v>
          </cell>
          <cell r="AA122">
            <v>0</v>
          </cell>
          <cell r="AB122">
            <v>0</v>
          </cell>
          <cell r="AC122">
            <v>0</v>
          </cell>
          <cell r="AD122">
            <v>0</v>
          </cell>
          <cell r="AF122" t="str">
            <v>na</v>
          </cell>
          <cell r="AM122">
            <v>0</v>
          </cell>
          <cell r="AU122">
            <v>0</v>
          </cell>
          <cell r="BA122" t="str">
            <v>na</v>
          </cell>
        </row>
        <row r="123">
          <cell r="A123">
            <v>117</v>
          </cell>
          <cell r="B123" t="str">
            <v>Firm117</v>
          </cell>
          <cell r="C123">
            <v>117</v>
          </cell>
          <cell r="G123">
            <v>0</v>
          </cell>
          <cell r="I123">
            <v>0</v>
          </cell>
          <cell r="J123" t="str">
            <v>na</v>
          </cell>
          <cell r="K123" t="e">
            <v>#VALUE!</v>
          </cell>
          <cell r="L123" t="str">
            <v>na</v>
          </cell>
          <cell r="N123">
            <v>0</v>
          </cell>
          <cell r="U123" t="str">
            <v>na</v>
          </cell>
          <cell r="W123" t="str">
            <v>na</v>
          </cell>
          <cell r="X123" t="str">
            <v>na</v>
          </cell>
          <cell r="Z123">
            <v>0</v>
          </cell>
          <cell r="AA123">
            <v>0</v>
          </cell>
          <cell r="AB123">
            <v>0</v>
          </cell>
          <cell r="AC123">
            <v>0</v>
          </cell>
          <cell r="AD123">
            <v>0</v>
          </cell>
          <cell r="AF123" t="str">
            <v>na</v>
          </cell>
          <cell r="AM123">
            <v>0</v>
          </cell>
          <cell r="AU123">
            <v>0</v>
          </cell>
          <cell r="BA123" t="str">
            <v>na</v>
          </cell>
        </row>
        <row r="124">
          <cell r="A124">
            <v>118</v>
          </cell>
          <cell r="B124" t="str">
            <v>Firm118</v>
          </cell>
          <cell r="C124">
            <v>118</v>
          </cell>
          <cell r="G124">
            <v>0</v>
          </cell>
          <cell r="I124">
            <v>0</v>
          </cell>
          <cell r="J124" t="str">
            <v>na</v>
          </cell>
          <cell r="K124" t="e">
            <v>#VALUE!</v>
          </cell>
          <cell r="L124" t="str">
            <v>na</v>
          </cell>
          <cell r="N124">
            <v>0</v>
          </cell>
          <cell r="U124" t="str">
            <v>na</v>
          </cell>
          <cell r="W124" t="str">
            <v>na</v>
          </cell>
          <cell r="X124" t="str">
            <v>na</v>
          </cell>
          <cell r="Z124">
            <v>0</v>
          </cell>
          <cell r="AA124">
            <v>0</v>
          </cell>
          <cell r="AB124">
            <v>0</v>
          </cell>
          <cell r="AC124">
            <v>0</v>
          </cell>
          <cell r="AD124">
            <v>0</v>
          </cell>
          <cell r="AF124" t="str">
            <v>na</v>
          </cell>
          <cell r="AM124">
            <v>0</v>
          </cell>
          <cell r="AU124">
            <v>0</v>
          </cell>
          <cell r="BA124" t="str">
            <v>na</v>
          </cell>
        </row>
        <row r="125">
          <cell r="A125">
            <v>119</v>
          </cell>
          <cell r="B125" t="str">
            <v>Target LATAM TELECOM</v>
          </cell>
          <cell r="C125">
            <v>119</v>
          </cell>
          <cell r="G125">
            <v>0</v>
          </cell>
          <cell r="I125">
            <v>0</v>
          </cell>
          <cell r="J125" t="str">
            <v>na</v>
          </cell>
          <cell r="K125" t="e">
            <v>#VALUE!</v>
          </cell>
          <cell r="L125" t="str">
            <v>na</v>
          </cell>
          <cell r="N125">
            <v>0</v>
          </cell>
          <cell r="U125" t="str">
            <v>na</v>
          </cell>
          <cell r="W125" t="str">
            <v>na</v>
          </cell>
          <cell r="X125" t="str">
            <v>na</v>
          </cell>
          <cell r="Z125">
            <v>0</v>
          </cell>
          <cell r="AA125">
            <v>0</v>
          </cell>
          <cell r="AB125">
            <v>0</v>
          </cell>
          <cell r="AC125">
            <v>0</v>
          </cell>
          <cell r="AD125">
            <v>0</v>
          </cell>
          <cell r="AF125" t="str">
            <v>na</v>
          </cell>
          <cell r="AM125">
            <v>0</v>
          </cell>
          <cell r="AU125">
            <v>0</v>
          </cell>
          <cell r="BA125" t="str">
            <v>na</v>
          </cell>
        </row>
        <row r="126">
          <cell r="A126">
            <v>120</v>
          </cell>
          <cell r="B126" t="str">
            <v>Brazil Telecom</v>
          </cell>
          <cell r="C126">
            <v>120</v>
          </cell>
          <cell r="D126" t="str">
            <v>Latam Telecom</v>
          </cell>
          <cell r="E126">
            <v>38352</v>
          </cell>
          <cell r="F126" t="str">
            <v>BRR m</v>
          </cell>
          <cell r="G126">
            <v>2.8001209425</v>
          </cell>
          <cell r="I126">
            <v>16.75</v>
          </cell>
          <cell r="J126">
            <v>5.9818844771202233</v>
          </cell>
          <cell r="K126">
            <v>20.099999999999998</v>
          </cell>
          <cell r="L126">
            <v>0.83333333333333337</v>
          </cell>
          <cell r="N126">
            <v>229937.5</v>
          </cell>
          <cell r="O126">
            <v>134038.6875</v>
          </cell>
          <cell r="P126">
            <v>25.68</v>
          </cell>
          <cell r="U126">
            <v>363976.1875</v>
          </cell>
          <cell r="W126">
            <v>7293.5666200000005</v>
          </cell>
          <cell r="X126">
            <v>2604.7327132549385</v>
          </cell>
          <cell r="Z126">
            <v>-343.54699999999991</v>
          </cell>
          <cell r="AA126">
            <v>1.29558</v>
          </cell>
          <cell r="AB126">
            <v>0</v>
          </cell>
          <cell r="AC126">
            <v>0</v>
          </cell>
          <cell r="AD126">
            <v>0</v>
          </cell>
          <cell r="AF126">
            <v>6951.3152000000009</v>
          </cell>
          <cell r="AJ126">
            <v>1.548</v>
          </cell>
          <cell r="AK126">
            <v>4496.7159999999994</v>
          </cell>
          <cell r="AL126">
            <v>966.24699999999996</v>
          </cell>
          <cell r="AM126">
            <v>5464.5109999999995</v>
          </cell>
          <cell r="AN126">
            <v>6301.5020000000004</v>
          </cell>
          <cell r="AP126">
            <v>1.9630000000000001</v>
          </cell>
          <cell r="AQ126">
            <v>0.60099999999999998</v>
          </cell>
          <cell r="AT126">
            <v>-343.54699999999991</v>
          </cell>
          <cell r="AU126">
            <v>5960.5190000000002</v>
          </cell>
          <cell r="AV126" t="str">
            <v>3Q 30/09/04</v>
          </cell>
          <cell r="AW126" t="str">
            <v>Updated 21-12-04</v>
          </cell>
          <cell r="AX126">
            <v>0.34</v>
          </cell>
          <cell r="BA126">
            <v>0</v>
          </cell>
          <cell r="BB126" t="str">
            <v>BRA</v>
          </cell>
        </row>
        <row r="127">
          <cell r="A127">
            <v>121</v>
          </cell>
          <cell r="B127" t="str">
            <v>CANTV</v>
          </cell>
          <cell r="C127">
            <v>121</v>
          </cell>
          <cell r="D127" t="str">
            <v>Latam Telecom</v>
          </cell>
          <cell r="E127">
            <v>38352</v>
          </cell>
          <cell r="F127" t="str">
            <v>USD m</v>
          </cell>
          <cell r="G127">
            <v>1.25535</v>
          </cell>
          <cell r="I127" t="str">
            <v xml:space="preserve"> </v>
          </cell>
          <cell r="J127" t="str">
            <v>na</v>
          </cell>
          <cell r="K127" t="e">
            <v>#VALUE!</v>
          </cell>
          <cell r="L127" t="str">
            <v>na</v>
          </cell>
          <cell r="N127">
            <v>55636</v>
          </cell>
          <cell r="U127" t="str">
            <v>na</v>
          </cell>
          <cell r="W127" t="str">
            <v>na</v>
          </cell>
          <cell r="X127" t="str">
            <v>na</v>
          </cell>
          <cell r="Z127">
            <v>-855.84199999999987</v>
          </cell>
          <cell r="AA127">
            <v>752.19994999999994</v>
          </cell>
          <cell r="AB127">
            <v>0</v>
          </cell>
          <cell r="AC127">
            <v>0</v>
          </cell>
          <cell r="AD127">
            <v>0</v>
          </cell>
          <cell r="AF127" t="str">
            <v>na</v>
          </cell>
          <cell r="AI127">
            <v>190.084</v>
          </cell>
          <cell r="AJ127">
            <v>4128.8609999999999</v>
          </cell>
          <cell r="AK127">
            <v>390.73200000000003</v>
          </cell>
          <cell r="AL127">
            <v>-462.56299999999993</v>
          </cell>
          <cell r="AM127">
            <v>4247.1139999999996</v>
          </cell>
          <cell r="AN127">
            <v>4076.027</v>
          </cell>
          <cell r="AO127">
            <v>5.8090000000000002</v>
          </cell>
          <cell r="AP127">
            <v>906.26499999999999</v>
          </cell>
          <cell r="AQ127">
            <v>114.855</v>
          </cell>
          <cell r="AT127">
            <v>-855.84199999999987</v>
          </cell>
          <cell r="AU127">
            <v>4247.1140000000005</v>
          </cell>
          <cell r="AV127" t="str">
            <v>1Q 31/03/05</v>
          </cell>
          <cell r="AX127">
            <v>0.17</v>
          </cell>
          <cell r="BA127">
            <v>1.4231340994591648E-3</v>
          </cell>
          <cell r="BB127" t="str">
            <v>CHL</v>
          </cell>
        </row>
        <row r="128">
          <cell r="A128">
            <v>122</v>
          </cell>
          <cell r="B128" t="str">
            <v>CTC</v>
          </cell>
          <cell r="C128">
            <v>122</v>
          </cell>
          <cell r="D128" t="str">
            <v>Latam Telecom</v>
          </cell>
          <cell r="E128">
            <v>38352</v>
          </cell>
          <cell r="F128" t="str">
            <v>USD m</v>
          </cell>
          <cell r="G128">
            <v>1.25535</v>
          </cell>
          <cell r="I128">
            <v>6.85</v>
          </cell>
          <cell r="J128">
            <v>5.4566455570159711</v>
          </cell>
          <cell r="K128">
            <v>8.2199999999999989</v>
          </cell>
          <cell r="L128">
            <v>0.83333333333333337</v>
          </cell>
          <cell r="N128">
            <v>218499</v>
          </cell>
          <cell r="U128">
            <v>218499</v>
          </cell>
          <cell r="W128">
            <v>1496.7181499999999</v>
          </cell>
          <cell r="X128">
            <v>1192.2715975624328</v>
          </cell>
          <cell r="Z128">
            <v>1442</v>
          </cell>
          <cell r="AA128">
            <v>0</v>
          </cell>
          <cell r="AB128">
            <v>0</v>
          </cell>
          <cell r="AC128">
            <v>0</v>
          </cell>
          <cell r="AD128">
            <v>1.3897104456824512</v>
          </cell>
          <cell r="AF128">
            <v>2940.107860445682</v>
          </cell>
          <cell r="AJ128">
            <v>3055</v>
          </cell>
          <cell r="AK128">
            <v>408</v>
          </cell>
          <cell r="AL128">
            <v>135</v>
          </cell>
          <cell r="AM128">
            <v>3598</v>
          </cell>
          <cell r="AN128">
            <v>2154</v>
          </cell>
          <cell r="AO128">
            <v>2</v>
          </cell>
          <cell r="AT128">
            <v>1442</v>
          </cell>
          <cell r="AU128">
            <v>3598</v>
          </cell>
          <cell r="AV128" t="str">
            <v>MS 10/06/04</v>
          </cell>
          <cell r="AX128">
            <v>0.17</v>
          </cell>
          <cell r="BA128">
            <v>9.2764378478664194E-4</v>
          </cell>
          <cell r="BB128" t="str">
            <v>CHL</v>
          </cell>
        </row>
        <row r="129">
          <cell r="A129">
            <v>123</v>
          </cell>
          <cell r="B129" t="str">
            <v>Embratel</v>
          </cell>
          <cell r="C129">
            <v>123</v>
          </cell>
          <cell r="D129" t="str">
            <v>Latam Telecom</v>
          </cell>
          <cell r="E129">
            <v>38352</v>
          </cell>
          <cell r="F129" t="str">
            <v>USD m</v>
          </cell>
          <cell r="G129">
            <v>1.25535</v>
          </cell>
          <cell r="I129">
            <v>2.9947770729192351</v>
          </cell>
          <cell r="J129">
            <v>2.3856112422186921</v>
          </cell>
          <cell r="K129">
            <v>3.5937324875030821</v>
          </cell>
          <cell r="L129">
            <v>0.83333333333333337</v>
          </cell>
          <cell r="N129">
            <v>476278</v>
          </cell>
          <cell r="O129">
            <v>282027.6875</v>
          </cell>
          <cell r="P129">
            <v>4.28</v>
          </cell>
          <cell r="U129">
            <v>758305.6875</v>
          </cell>
          <cell r="W129">
            <v>2633.4249372358277</v>
          </cell>
          <cell r="X129">
            <v>2097.7615304383858</v>
          </cell>
          <cell r="Z129">
            <v>897</v>
          </cell>
          <cell r="AA129">
            <v>0</v>
          </cell>
          <cell r="AB129">
            <v>0</v>
          </cell>
          <cell r="AC129">
            <v>0</v>
          </cell>
          <cell r="AD129">
            <v>119.30815539676435</v>
          </cell>
          <cell r="AF129">
            <v>3649.7330926325922</v>
          </cell>
          <cell r="AJ129">
            <v>2248</v>
          </cell>
          <cell r="AK129">
            <v>488</v>
          </cell>
          <cell r="AL129">
            <v>-97</v>
          </cell>
          <cell r="AM129">
            <v>2639</v>
          </cell>
          <cell r="AN129">
            <v>1523</v>
          </cell>
          <cell r="AO129">
            <v>69</v>
          </cell>
          <cell r="AQ129">
            <v>150</v>
          </cell>
          <cell r="AT129">
            <v>897</v>
          </cell>
          <cell r="AU129">
            <v>2639</v>
          </cell>
          <cell r="AV129" t="str">
            <v>MS 23/07/04</v>
          </cell>
          <cell r="AX129">
            <v>0.34</v>
          </cell>
          <cell r="BA129">
            <v>4.3341708542713568E-2</v>
          </cell>
          <cell r="BB129" t="str">
            <v>BRA</v>
          </cell>
        </row>
        <row r="130">
          <cell r="A130">
            <v>124</v>
          </cell>
          <cell r="B130" t="str">
            <v>Entel</v>
          </cell>
          <cell r="C130">
            <v>124</v>
          </cell>
          <cell r="D130" t="str">
            <v>Latam Telecom</v>
          </cell>
          <cell r="E130">
            <v>38352</v>
          </cell>
          <cell r="F130" t="str">
            <v>USD m</v>
          </cell>
          <cell r="G130">
            <v>1.25535</v>
          </cell>
          <cell r="I130">
            <v>9.2380865270282637</v>
          </cell>
          <cell r="J130">
            <v>7.3589728179617353</v>
          </cell>
          <cell r="K130">
            <v>11.085703832433916</v>
          </cell>
          <cell r="L130">
            <v>0.83333333333333337</v>
          </cell>
          <cell r="N130">
            <v>236524</v>
          </cell>
          <cell r="U130">
            <v>236524</v>
          </cell>
          <cell r="W130">
            <v>2185.0291777188331</v>
          </cell>
          <cell r="X130">
            <v>1740.5736867955814</v>
          </cell>
          <cell r="Z130">
            <v>548</v>
          </cell>
          <cell r="AA130">
            <v>0</v>
          </cell>
          <cell r="AB130">
            <v>0</v>
          </cell>
          <cell r="AC130">
            <v>0</v>
          </cell>
          <cell r="AD130">
            <v>22.228170678726684</v>
          </cell>
          <cell r="AF130">
            <v>2755.2573483975598</v>
          </cell>
          <cell r="AJ130">
            <v>1145</v>
          </cell>
          <cell r="AK130">
            <v>16</v>
          </cell>
          <cell r="AL130">
            <v>378</v>
          </cell>
          <cell r="AM130">
            <v>1539</v>
          </cell>
          <cell r="AN130">
            <v>983</v>
          </cell>
          <cell r="AO130">
            <v>10</v>
          </cell>
          <cell r="AT130">
            <v>548</v>
          </cell>
          <cell r="AU130">
            <v>1541</v>
          </cell>
          <cell r="AV130" t="str">
            <v>BBVA 03/06/04</v>
          </cell>
          <cell r="AX130">
            <v>0.17</v>
          </cell>
          <cell r="BA130">
            <v>1.0070493454179255E-2</v>
          </cell>
          <cell r="BB130" t="str">
            <v>CHL</v>
          </cell>
        </row>
        <row r="131">
          <cell r="A131">
            <v>125</v>
          </cell>
          <cell r="B131" t="str">
            <v>Telecom Argentina</v>
          </cell>
          <cell r="C131">
            <v>125</v>
          </cell>
          <cell r="D131" t="str">
            <v>Latam Telecom</v>
          </cell>
          <cell r="E131">
            <v>38352</v>
          </cell>
          <cell r="F131" t="str">
            <v>USD m</v>
          </cell>
          <cell r="G131">
            <v>1.25535</v>
          </cell>
          <cell r="I131">
            <v>10.11</v>
          </cell>
          <cell r="J131">
            <v>8.0535308878002141</v>
          </cell>
          <cell r="K131">
            <v>12.132</v>
          </cell>
          <cell r="L131">
            <v>0.83333333333333326</v>
          </cell>
          <cell r="N131">
            <v>196876</v>
          </cell>
          <cell r="U131">
            <v>196876</v>
          </cell>
          <cell r="W131">
            <v>1990.4163599999999</v>
          </cell>
          <cell r="X131">
            <v>1585.546947066555</v>
          </cell>
          <cell r="Z131">
            <v>2611.8560338743823</v>
          </cell>
          <cell r="AA131">
            <v>0</v>
          </cell>
          <cell r="AB131">
            <v>0</v>
          </cell>
          <cell r="AC131">
            <v>0</v>
          </cell>
          <cell r="AD131">
            <v>0</v>
          </cell>
          <cell r="AF131">
            <v>4602.272393874382</v>
          </cell>
          <cell r="AJ131">
            <v>2795.3422724064926</v>
          </cell>
          <cell r="AK131">
            <v>386.02681721947778</v>
          </cell>
          <cell r="AL131">
            <v>56.104446012702894</v>
          </cell>
          <cell r="AM131">
            <v>3237.4735356386732</v>
          </cell>
          <cell r="AN131">
            <v>544.46012702893438</v>
          </cell>
          <cell r="AQ131">
            <v>81.157374735356385</v>
          </cell>
          <cell r="AT131">
            <v>2611.8560338743823</v>
          </cell>
          <cell r="AU131">
            <v>3237.4735356386732</v>
          </cell>
          <cell r="AV131" t="str">
            <v>JPM  08/03/04</v>
          </cell>
          <cell r="AX131">
            <v>0.35</v>
          </cell>
          <cell r="BA131">
            <v>0</v>
          </cell>
          <cell r="BB131" t="str">
            <v>ARG</v>
          </cell>
        </row>
        <row r="132">
          <cell r="A132">
            <v>126</v>
          </cell>
          <cell r="B132" t="str">
            <v>Telemar</v>
          </cell>
          <cell r="C132">
            <v>126</v>
          </cell>
          <cell r="D132" t="str">
            <v>Latam Telecom</v>
          </cell>
          <cell r="E132">
            <v>38352</v>
          </cell>
          <cell r="F132" t="str">
            <v>USD m</v>
          </cell>
          <cell r="G132">
            <v>1.25535</v>
          </cell>
          <cell r="I132">
            <v>12.11</v>
          </cell>
          <cell r="J132">
            <v>9.6467120723304252</v>
          </cell>
          <cell r="K132">
            <v>14.531999999999998</v>
          </cell>
          <cell r="L132">
            <v>0.83333333333333337</v>
          </cell>
          <cell r="N132">
            <v>261223</v>
          </cell>
          <cell r="U132">
            <v>261223</v>
          </cell>
          <cell r="W132">
            <v>3163.4105299999997</v>
          </cell>
          <cell r="X132">
            <v>2519.9430676703705</v>
          </cell>
          <cell r="Z132">
            <v>2711</v>
          </cell>
          <cell r="AA132">
            <v>0</v>
          </cell>
          <cell r="AB132">
            <v>0</v>
          </cell>
          <cell r="AC132">
            <v>0</v>
          </cell>
          <cell r="AD132">
            <v>741.37419590463298</v>
          </cell>
          <cell r="AF132">
            <v>6615.7847259046321</v>
          </cell>
          <cell r="AJ132">
            <v>5068</v>
          </cell>
          <cell r="AK132">
            <v>1168</v>
          </cell>
          <cell r="AL132">
            <v>561</v>
          </cell>
          <cell r="AM132">
            <v>6797</v>
          </cell>
          <cell r="AN132">
            <v>2957</v>
          </cell>
          <cell r="AO132">
            <v>693</v>
          </cell>
          <cell r="AQ132">
            <v>436</v>
          </cell>
          <cell r="AT132">
            <v>2711</v>
          </cell>
          <cell r="AU132">
            <v>6797</v>
          </cell>
          <cell r="AV132" t="str">
            <v>MS 14/05/04</v>
          </cell>
          <cell r="AX132">
            <v>0.34</v>
          </cell>
          <cell r="BA132">
            <v>0.18986301369863012</v>
          </cell>
          <cell r="BB132" t="str">
            <v>BRA</v>
          </cell>
        </row>
        <row r="133">
          <cell r="A133">
            <v>127</v>
          </cell>
          <cell r="B133" t="str">
            <v>Telmex</v>
          </cell>
          <cell r="C133">
            <v>127</v>
          </cell>
          <cell r="D133" t="str">
            <v>Latam Telecom</v>
          </cell>
          <cell r="E133">
            <v>38352</v>
          </cell>
          <cell r="F133" t="str">
            <v>USD m</v>
          </cell>
          <cell r="G133">
            <v>1.25535</v>
          </cell>
          <cell r="I133">
            <v>18.98</v>
          </cell>
          <cell r="J133">
            <v>15.1192894411917</v>
          </cell>
          <cell r="K133">
            <v>22.776</v>
          </cell>
          <cell r="L133">
            <v>0.83333333333333337</v>
          </cell>
          <cell r="N133">
            <v>618974</v>
          </cell>
          <cell r="U133">
            <v>618974</v>
          </cell>
          <cell r="W133">
            <v>11748.12652</v>
          </cell>
          <cell r="X133">
            <v>9358.4470625721915</v>
          </cell>
          <cell r="Z133">
            <v>4553</v>
          </cell>
          <cell r="AA133">
            <v>0</v>
          </cell>
          <cell r="AB133">
            <v>0</v>
          </cell>
          <cell r="AC133">
            <v>0</v>
          </cell>
          <cell r="AD133">
            <v>0</v>
          </cell>
          <cell r="AF133">
            <v>16301.12652</v>
          </cell>
          <cell r="AJ133">
            <v>10745</v>
          </cell>
          <cell r="AK133">
            <v>2231</v>
          </cell>
          <cell r="AL133">
            <v>491</v>
          </cell>
          <cell r="AM133">
            <v>13467</v>
          </cell>
          <cell r="AN133">
            <v>7093</v>
          </cell>
          <cell r="AQ133">
            <v>1821</v>
          </cell>
          <cell r="AT133">
            <v>4553</v>
          </cell>
          <cell r="AU133">
            <v>13467</v>
          </cell>
          <cell r="AV133" t="str">
            <v>MS 26/05/04</v>
          </cell>
          <cell r="BA133">
            <v>0</v>
          </cell>
          <cell r="BB133" t="str">
            <v>MEX</v>
          </cell>
        </row>
        <row r="134">
          <cell r="A134">
            <v>128</v>
          </cell>
          <cell r="B134" t="str">
            <v>Firm128</v>
          </cell>
          <cell r="C134">
            <v>128</v>
          </cell>
          <cell r="G134">
            <v>0</v>
          </cell>
          <cell r="I134">
            <v>0</v>
          </cell>
          <cell r="J134" t="str">
            <v>na</v>
          </cell>
          <cell r="K134" t="e">
            <v>#VALUE!</v>
          </cell>
          <cell r="L134" t="str">
            <v>na</v>
          </cell>
          <cell r="N134">
            <v>0</v>
          </cell>
          <cell r="U134" t="str">
            <v>na</v>
          </cell>
          <cell r="W134" t="str">
            <v>na</v>
          </cell>
          <cell r="X134" t="str">
            <v>na</v>
          </cell>
          <cell r="Z134">
            <v>0</v>
          </cell>
          <cell r="AA134">
            <v>0</v>
          </cell>
          <cell r="AB134">
            <v>0</v>
          </cell>
          <cell r="AC134">
            <v>0</v>
          </cell>
          <cell r="AD134">
            <v>0</v>
          </cell>
          <cell r="AF134" t="str">
            <v>na</v>
          </cell>
          <cell r="AM134">
            <v>0</v>
          </cell>
          <cell r="AU134">
            <v>0</v>
          </cell>
          <cell r="BA134" t="str">
            <v>na</v>
          </cell>
        </row>
        <row r="135">
          <cell r="A135">
            <v>129</v>
          </cell>
          <cell r="B135" t="str">
            <v>Firm129</v>
          </cell>
          <cell r="C135">
            <v>129</v>
          </cell>
          <cell r="G135">
            <v>0</v>
          </cell>
          <cell r="I135">
            <v>0</v>
          </cell>
          <cell r="J135" t="str">
            <v>na</v>
          </cell>
          <cell r="K135" t="e">
            <v>#VALUE!</v>
          </cell>
          <cell r="L135" t="str">
            <v>na</v>
          </cell>
          <cell r="N135">
            <v>0</v>
          </cell>
          <cell r="U135" t="str">
            <v>na</v>
          </cell>
          <cell r="W135" t="str">
            <v>na</v>
          </cell>
          <cell r="X135" t="str">
            <v>na</v>
          </cell>
          <cell r="Z135">
            <v>0</v>
          </cell>
          <cell r="AA135">
            <v>0</v>
          </cell>
          <cell r="AB135">
            <v>0</v>
          </cell>
          <cell r="AC135">
            <v>0</v>
          </cell>
          <cell r="AD135">
            <v>0</v>
          </cell>
          <cell r="AF135" t="str">
            <v>na</v>
          </cell>
          <cell r="AM135">
            <v>0</v>
          </cell>
          <cell r="AU135">
            <v>0</v>
          </cell>
          <cell r="BA135" t="str">
            <v>na</v>
          </cell>
        </row>
        <row r="136">
          <cell r="A136">
            <v>130</v>
          </cell>
          <cell r="B136" t="str">
            <v>Firm130</v>
          </cell>
          <cell r="C136">
            <v>130</v>
          </cell>
          <cell r="G136">
            <v>0</v>
          </cell>
          <cell r="I136">
            <v>0</v>
          </cell>
          <cell r="J136" t="str">
            <v>na</v>
          </cell>
          <cell r="K136" t="e">
            <v>#VALUE!</v>
          </cell>
          <cell r="L136" t="str">
            <v>na</v>
          </cell>
          <cell r="N136">
            <v>0</v>
          </cell>
          <cell r="U136" t="str">
            <v>na</v>
          </cell>
          <cell r="W136" t="str">
            <v>na</v>
          </cell>
          <cell r="X136" t="str">
            <v>na</v>
          </cell>
          <cell r="Z136">
            <v>0</v>
          </cell>
          <cell r="AA136">
            <v>0</v>
          </cell>
          <cell r="AB136">
            <v>0</v>
          </cell>
          <cell r="AC136">
            <v>0</v>
          </cell>
          <cell r="AD136">
            <v>0</v>
          </cell>
          <cell r="AF136" t="str">
            <v>na</v>
          </cell>
          <cell r="AM136">
            <v>0</v>
          </cell>
          <cell r="AU136">
            <v>0</v>
          </cell>
          <cell r="BA136" t="str">
            <v>na</v>
          </cell>
        </row>
        <row r="137">
          <cell r="A137">
            <v>131</v>
          </cell>
          <cell r="B137" t="str">
            <v>Firm131</v>
          </cell>
          <cell r="C137">
            <v>131</v>
          </cell>
          <cell r="G137">
            <v>0</v>
          </cell>
          <cell r="I137">
            <v>0</v>
          </cell>
          <cell r="J137" t="str">
            <v>na</v>
          </cell>
          <cell r="K137" t="e">
            <v>#VALUE!</v>
          </cell>
          <cell r="L137" t="str">
            <v>na</v>
          </cell>
          <cell r="N137">
            <v>0</v>
          </cell>
          <cell r="U137" t="str">
            <v>na</v>
          </cell>
          <cell r="W137" t="str">
            <v>na</v>
          </cell>
          <cell r="X137" t="str">
            <v>na</v>
          </cell>
          <cell r="Z137">
            <v>0</v>
          </cell>
          <cell r="AA137">
            <v>0</v>
          </cell>
          <cell r="AB137">
            <v>0</v>
          </cell>
          <cell r="AC137">
            <v>0</v>
          </cell>
          <cell r="AD137">
            <v>0</v>
          </cell>
          <cell r="AF137" t="str">
            <v>na</v>
          </cell>
          <cell r="AM137">
            <v>0</v>
          </cell>
          <cell r="AU137">
            <v>0</v>
          </cell>
          <cell r="BA137" t="str">
            <v>na</v>
          </cell>
        </row>
        <row r="138">
          <cell r="A138">
            <v>132</v>
          </cell>
          <cell r="B138" t="str">
            <v>Firm132</v>
          </cell>
          <cell r="C138">
            <v>132</v>
          </cell>
          <cell r="G138">
            <v>0</v>
          </cell>
          <cell r="I138">
            <v>0</v>
          </cell>
          <cell r="J138" t="str">
            <v>na</v>
          </cell>
          <cell r="K138" t="e">
            <v>#VALUE!</v>
          </cell>
          <cell r="L138" t="str">
            <v>na</v>
          </cell>
          <cell r="N138">
            <v>0</v>
          </cell>
          <cell r="U138" t="str">
            <v>na</v>
          </cell>
          <cell r="W138" t="str">
            <v>na</v>
          </cell>
          <cell r="X138" t="str">
            <v>na</v>
          </cell>
          <cell r="Z138">
            <v>0</v>
          </cell>
          <cell r="AA138">
            <v>0</v>
          </cell>
          <cell r="AB138">
            <v>0</v>
          </cell>
          <cell r="AC138">
            <v>0</v>
          </cell>
          <cell r="AD138">
            <v>0</v>
          </cell>
          <cell r="AF138" t="str">
            <v>na</v>
          </cell>
          <cell r="AM138">
            <v>0</v>
          </cell>
          <cell r="AU138">
            <v>0</v>
          </cell>
          <cell r="BA138" t="str">
            <v>na</v>
          </cell>
        </row>
        <row r="139">
          <cell r="A139">
            <v>133</v>
          </cell>
          <cell r="B139" t="str">
            <v>Firm133</v>
          </cell>
          <cell r="C139">
            <v>133</v>
          </cell>
          <cell r="G139">
            <v>0</v>
          </cell>
          <cell r="I139">
            <v>0</v>
          </cell>
          <cell r="J139" t="str">
            <v>na</v>
          </cell>
          <cell r="K139" t="e">
            <v>#VALUE!</v>
          </cell>
          <cell r="L139" t="str">
            <v>na</v>
          </cell>
          <cell r="N139">
            <v>0</v>
          </cell>
          <cell r="U139" t="str">
            <v>na</v>
          </cell>
          <cell r="W139" t="str">
            <v>na</v>
          </cell>
          <cell r="X139" t="str">
            <v>na</v>
          </cell>
          <cell r="Z139">
            <v>0</v>
          </cell>
          <cell r="AA139">
            <v>0</v>
          </cell>
          <cell r="AB139">
            <v>0</v>
          </cell>
          <cell r="AC139">
            <v>0</v>
          </cell>
          <cell r="AD139">
            <v>0</v>
          </cell>
          <cell r="AF139" t="str">
            <v>na</v>
          </cell>
          <cell r="AM139">
            <v>0</v>
          </cell>
          <cell r="AU139">
            <v>0</v>
          </cell>
          <cell r="BA139" t="str">
            <v>na</v>
          </cell>
        </row>
        <row r="140">
          <cell r="A140">
            <v>134</v>
          </cell>
          <cell r="B140" t="str">
            <v>Firm134</v>
          </cell>
          <cell r="C140">
            <v>134</v>
          </cell>
          <cell r="G140">
            <v>0</v>
          </cell>
          <cell r="I140">
            <v>0</v>
          </cell>
          <cell r="J140" t="str">
            <v>na</v>
          </cell>
          <cell r="K140" t="e">
            <v>#VALUE!</v>
          </cell>
          <cell r="L140" t="str">
            <v>na</v>
          </cell>
          <cell r="N140">
            <v>0</v>
          </cell>
          <cell r="U140" t="str">
            <v>na</v>
          </cell>
          <cell r="W140" t="str">
            <v>na</v>
          </cell>
          <cell r="X140" t="str">
            <v>na</v>
          </cell>
          <cell r="Z140">
            <v>0</v>
          </cell>
          <cell r="AA140">
            <v>0</v>
          </cell>
          <cell r="AB140">
            <v>0</v>
          </cell>
          <cell r="AC140">
            <v>0</v>
          </cell>
          <cell r="AD140">
            <v>0</v>
          </cell>
          <cell r="AF140" t="str">
            <v>na</v>
          </cell>
          <cell r="AM140">
            <v>0</v>
          </cell>
          <cell r="AU140">
            <v>0</v>
          </cell>
          <cell r="BA140" t="str">
            <v>na</v>
          </cell>
        </row>
        <row r="141">
          <cell r="A141">
            <v>135</v>
          </cell>
          <cell r="B141" t="str">
            <v>Firm135</v>
          </cell>
          <cell r="C141">
            <v>135</v>
          </cell>
          <cell r="G141">
            <v>0</v>
          </cell>
          <cell r="I141">
            <v>0</v>
          </cell>
          <cell r="J141" t="str">
            <v>na</v>
          </cell>
          <cell r="K141" t="e">
            <v>#VALUE!</v>
          </cell>
          <cell r="L141" t="str">
            <v>na</v>
          </cell>
          <cell r="N141">
            <v>0</v>
          </cell>
          <cell r="U141" t="str">
            <v>na</v>
          </cell>
          <cell r="W141" t="str">
            <v>na</v>
          </cell>
          <cell r="X141" t="str">
            <v>na</v>
          </cell>
          <cell r="Z141">
            <v>0</v>
          </cell>
          <cell r="AA141">
            <v>0</v>
          </cell>
          <cell r="AB141">
            <v>0</v>
          </cell>
          <cell r="AC141">
            <v>0</v>
          </cell>
          <cell r="AD141">
            <v>0</v>
          </cell>
          <cell r="AF141" t="str">
            <v>na</v>
          </cell>
          <cell r="AM141">
            <v>0</v>
          </cell>
          <cell r="AU141">
            <v>0</v>
          </cell>
          <cell r="BA141" t="str">
            <v>na</v>
          </cell>
        </row>
        <row r="142">
          <cell r="A142">
            <v>136</v>
          </cell>
          <cell r="B142" t="str">
            <v>Target US TELECOMS</v>
          </cell>
          <cell r="C142">
            <v>136</v>
          </cell>
          <cell r="G142">
            <v>0</v>
          </cell>
          <cell r="I142">
            <v>0</v>
          </cell>
          <cell r="J142" t="str">
            <v>na</v>
          </cell>
          <cell r="K142" t="e">
            <v>#VALUE!</v>
          </cell>
          <cell r="L142" t="str">
            <v>na</v>
          </cell>
          <cell r="N142">
            <v>0</v>
          </cell>
          <cell r="U142" t="str">
            <v>na</v>
          </cell>
          <cell r="W142" t="str">
            <v>na</v>
          </cell>
          <cell r="X142" t="str">
            <v>na</v>
          </cell>
          <cell r="Z142">
            <v>0</v>
          </cell>
          <cell r="AA142">
            <v>0</v>
          </cell>
          <cell r="AB142">
            <v>0</v>
          </cell>
          <cell r="AC142">
            <v>0</v>
          </cell>
          <cell r="AD142">
            <v>0</v>
          </cell>
          <cell r="AF142" t="str">
            <v>na</v>
          </cell>
          <cell r="AM142">
            <v>0</v>
          </cell>
          <cell r="AU142">
            <v>0</v>
          </cell>
          <cell r="BA142" t="str">
            <v>na</v>
          </cell>
        </row>
        <row r="143">
          <cell r="A143">
            <v>137</v>
          </cell>
          <cell r="B143" t="str">
            <v>Verizon</v>
          </cell>
          <cell r="C143">
            <v>137</v>
          </cell>
          <cell r="D143" t="str">
            <v>US Telecom</v>
          </cell>
          <cell r="E143">
            <v>38352</v>
          </cell>
          <cell r="F143" t="str">
            <v>USD m</v>
          </cell>
          <cell r="G143">
            <v>1.25535</v>
          </cell>
          <cell r="I143">
            <v>32.17</v>
          </cell>
          <cell r="J143">
            <v>25.626319353168441</v>
          </cell>
          <cell r="K143">
            <v>38.603999999999999</v>
          </cell>
          <cell r="L143">
            <v>0.83333333333333337</v>
          </cell>
          <cell r="N143">
            <v>2917219</v>
          </cell>
          <cell r="U143">
            <v>2917219</v>
          </cell>
          <cell r="W143">
            <v>93846.935230000003</v>
          </cell>
          <cell r="X143">
            <v>117810.7501409805</v>
          </cell>
          <cell r="Z143">
            <v>36476</v>
          </cell>
          <cell r="AA143">
            <v>11496.55</v>
          </cell>
          <cell r="AB143">
            <v>0</v>
          </cell>
          <cell r="AC143">
            <v>-5817</v>
          </cell>
          <cell r="AD143">
            <v>61166.061997983677</v>
          </cell>
          <cell r="AF143">
            <v>197168.54722798365</v>
          </cell>
          <cell r="AH143">
            <v>837</v>
          </cell>
          <cell r="AI143">
            <v>47149</v>
          </cell>
          <cell r="AJ143">
            <v>74371</v>
          </cell>
          <cell r="AK143">
            <v>20261</v>
          </cell>
          <cell r="AL143">
            <v>134</v>
          </cell>
          <cell r="AM143">
            <v>142752</v>
          </cell>
          <cell r="AN143">
            <v>37980</v>
          </cell>
          <cell r="AO143">
            <v>24754</v>
          </cell>
          <cell r="AP143">
            <v>17687</v>
          </cell>
          <cell r="AQ143">
            <v>31672</v>
          </cell>
          <cell r="AS143">
            <v>-5817</v>
          </cell>
          <cell r="AT143">
            <v>36476</v>
          </cell>
          <cell r="AU143">
            <v>142752</v>
          </cell>
          <cell r="AV143" t="str">
            <v>1Q 31/03/05</v>
          </cell>
          <cell r="AW143" t="str">
            <v>Updated 22-12-04</v>
          </cell>
          <cell r="AX143">
            <v>0.35</v>
          </cell>
          <cell r="BA143">
            <v>0.39458666751681704</v>
          </cell>
          <cell r="BB143" t="str">
            <v>US</v>
          </cell>
        </row>
        <row r="144">
          <cell r="A144">
            <v>138</v>
          </cell>
          <cell r="B144" t="str">
            <v>SBC</v>
          </cell>
          <cell r="C144">
            <v>138</v>
          </cell>
          <cell r="D144" t="str">
            <v>US Telecom</v>
          </cell>
          <cell r="E144">
            <v>38352</v>
          </cell>
          <cell r="F144" t="str">
            <v>USD m</v>
          </cell>
          <cell r="G144">
            <v>1.25535</v>
          </cell>
          <cell r="I144" t="str">
            <v>#NA</v>
          </cell>
          <cell r="J144" t="str">
            <v>na</v>
          </cell>
          <cell r="K144" t="e">
            <v>#VALUE!</v>
          </cell>
          <cell r="L144" t="str">
            <v>na</v>
          </cell>
          <cell r="N144" t="str">
            <v>#NA</v>
          </cell>
          <cell r="U144" t="str">
            <v>na</v>
          </cell>
          <cell r="W144" t="str">
            <v>na</v>
          </cell>
          <cell r="X144" t="str">
            <v>na</v>
          </cell>
          <cell r="Z144">
            <v>27716</v>
          </cell>
          <cell r="AA144">
            <v>6001.4500000000007</v>
          </cell>
          <cell r="AB144">
            <v>0</v>
          </cell>
          <cell r="AC144">
            <v>-1867</v>
          </cell>
          <cell r="AD144">
            <v>0</v>
          </cell>
          <cell r="AF144" t="str">
            <v>na</v>
          </cell>
          <cell r="AH144">
            <v>1768</v>
          </cell>
          <cell r="AI144">
            <v>32949</v>
          </cell>
          <cell r="AJ144">
            <v>49311</v>
          </cell>
          <cell r="AK144">
            <v>13865</v>
          </cell>
          <cell r="AL144">
            <v>-2359</v>
          </cell>
          <cell r="AM144">
            <v>95534</v>
          </cell>
          <cell r="AN144">
            <v>40404</v>
          </cell>
          <cell r="AP144">
            <v>9233</v>
          </cell>
          <cell r="AQ144">
            <v>20048</v>
          </cell>
          <cell r="AS144">
            <v>-1867</v>
          </cell>
          <cell r="AT144">
            <v>27716</v>
          </cell>
          <cell r="AU144">
            <v>95534</v>
          </cell>
          <cell r="AV144" t="str">
            <v>1Q 31/03/05</v>
          </cell>
          <cell r="AW144" t="str">
            <v>Updated 22-12-04</v>
          </cell>
          <cell r="AX144">
            <v>0.35</v>
          </cell>
          <cell r="BA144">
            <v>0</v>
          </cell>
          <cell r="BB144" t="str">
            <v>US</v>
          </cell>
        </row>
        <row r="145">
          <cell r="A145">
            <v>139</v>
          </cell>
          <cell r="B145" t="str">
            <v>Bellsouth</v>
          </cell>
          <cell r="C145">
            <v>139</v>
          </cell>
          <cell r="D145" t="str">
            <v>US Telecom</v>
          </cell>
          <cell r="E145">
            <v>38352</v>
          </cell>
          <cell r="F145" t="str">
            <v>USD m</v>
          </cell>
          <cell r="G145">
            <v>1.25535</v>
          </cell>
          <cell r="I145">
            <v>36.14</v>
          </cell>
          <cell r="J145">
            <v>28.788784004460908</v>
          </cell>
          <cell r="K145">
            <v>43.368000000000002</v>
          </cell>
          <cell r="L145">
            <v>0.83333333333333326</v>
          </cell>
          <cell r="N145">
            <v>1808802</v>
          </cell>
          <cell r="U145">
            <v>1808802</v>
          </cell>
          <cell r="W145">
            <v>65370.10428</v>
          </cell>
          <cell r="X145">
            <v>82062.360407897999</v>
          </cell>
          <cell r="Z145">
            <v>18302</v>
          </cell>
          <cell r="AA145">
            <v>0</v>
          </cell>
          <cell r="AB145">
            <v>0</v>
          </cell>
          <cell r="AC145">
            <v>-22265</v>
          </cell>
          <cell r="AD145">
            <v>0</v>
          </cell>
          <cell r="AF145">
            <v>61407.10428</v>
          </cell>
          <cell r="AH145">
            <v>0</v>
          </cell>
          <cell r="AI145">
            <v>1557</v>
          </cell>
          <cell r="AJ145">
            <v>21913</v>
          </cell>
          <cell r="AK145">
            <v>7512</v>
          </cell>
          <cell r="AL145">
            <v>-361</v>
          </cell>
          <cell r="AM145">
            <v>30621</v>
          </cell>
          <cell r="AN145">
            <v>23676</v>
          </cell>
          <cell r="AQ145">
            <v>10908</v>
          </cell>
          <cell r="AS145">
            <v>-22265</v>
          </cell>
          <cell r="AT145">
            <v>18302</v>
          </cell>
          <cell r="AU145">
            <v>30621</v>
          </cell>
          <cell r="AV145" t="str">
            <v>1Q 31/03/05</v>
          </cell>
          <cell r="AW145" t="str">
            <v>Updated 22-12-04</v>
          </cell>
          <cell r="AX145">
            <v>0.35</v>
          </cell>
          <cell r="BA145">
            <v>0</v>
          </cell>
          <cell r="BB145" t="str">
            <v>US</v>
          </cell>
        </row>
        <row r="146">
          <cell r="A146">
            <v>140</v>
          </cell>
          <cell r="B146" t="str">
            <v>Alltel</v>
          </cell>
          <cell r="C146">
            <v>140</v>
          </cell>
          <cell r="D146" t="str">
            <v>US Telecom</v>
          </cell>
          <cell r="E146">
            <v>38352</v>
          </cell>
          <cell r="F146" t="str">
            <v>USD m</v>
          </cell>
          <cell r="G146">
            <v>1.25535</v>
          </cell>
          <cell r="I146">
            <v>60.84</v>
          </cell>
          <cell r="J146">
            <v>48.464571633409015</v>
          </cell>
          <cell r="K146">
            <v>73.007999999999996</v>
          </cell>
          <cell r="L146">
            <v>0.83333333333333348</v>
          </cell>
          <cell r="N146">
            <v>389107</v>
          </cell>
          <cell r="U146">
            <v>389107</v>
          </cell>
          <cell r="W146">
            <v>23673.269880000003</v>
          </cell>
          <cell r="X146">
            <v>29718.239343858004</v>
          </cell>
          <cell r="Z146">
            <v>4710.0029999999997</v>
          </cell>
          <cell r="AA146">
            <v>0</v>
          </cell>
          <cell r="AB146">
            <v>0</v>
          </cell>
          <cell r="AC146">
            <v>-668.15800000000002</v>
          </cell>
          <cell r="AD146">
            <v>0</v>
          </cell>
          <cell r="AF146">
            <v>27715.114880000005</v>
          </cell>
          <cell r="AH146">
            <v>4912.9399999999996</v>
          </cell>
          <cell r="AI146">
            <v>1295.731</v>
          </cell>
          <cell r="AJ146">
            <v>7500.366</v>
          </cell>
          <cell r="AK146">
            <v>413.30500000000001</v>
          </cell>
          <cell r="AL146">
            <v>-257.88900000000018</v>
          </cell>
          <cell r="AM146">
            <v>13864.453</v>
          </cell>
          <cell r="AN146">
            <v>7240.116</v>
          </cell>
          <cell r="AQ146">
            <v>2582.4920000000002</v>
          </cell>
          <cell r="AS146">
            <v>-668.15800000000002</v>
          </cell>
          <cell r="AT146">
            <v>4710.0029999999997</v>
          </cell>
          <cell r="AU146">
            <v>13864.453000000001</v>
          </cell>
          <cell r="AV146" t="str">
            <v>1Q 31/03/05</v>
          </cell>
          <cell r="AW146" t="str">
            <v>Updated 22-12-04</v>
          </cell>
          <cell r="AX146">
            <v>0.35</v>
          </cell>
          <cell r="BA146">
            <v>0</v>
          </cell>
          <cell r="BB146" t="str">
            <v>US</v>
          </cell>
        </row>
        <row r="147">
          <cell r="A147">
            <v>141</v>
          </cell>
          <cell r="B147" t="str">
            <v>Sprint</v>
          </cell>
          <cell r="C147">
            <v>141</v>
          </cell>
          <cell r="D147" t="str">
            <v>US Telecom</v>
          </cell>
          <cell r="E147">
            <v>38352</v>
          </cell>
          <cell r="F147" t="str">
            <v>USD m</v>
          </cell>
          <cell r="G147">
            <v>1.25535</v>
          </cell>
          <cell r="I147" t="str">
            <v>#NA</v>
          </cell>
          <cell r="J147" t="str">
            <v>na</v>
          </cell>
          <cell r="K147" t="e">
            <v>#VALUE!</v>
          </cell>
          <cell r="L147" t="str">
            <v>na</v>
          </cell>
          <cell r="N147" t="str">
            <v>#NA</v>
          </cell>
          <cell r="U147" t="str">
            <v>na</v>
          </cell>
          <cell r="W147" t="str">
            <v>na</v>
          </cell>
          <cell r="X147" t="str">
            <v>na</v>
          </cell>
          <cell r="Z147">
            <v>11956</v>
          </cell>
          <cell r="AA147">
            <v>0</v>
          </cell>
          <cell r="AB147">
            <v>0</v>
          </cell>
          <cell r="AC147">
            <v>0</v>
          </cell>
          <cell r="AD147">
            <v>0</v>
          </cell>
          <cell r="AF147" t="str">
            <v>na</v>
          </cell>
          <cell r="AI147">
            <v>7830</v>
          </cell>
          <cell r="AJ147">
            <v>22247</v>
          </cell>
          <cell r="AK147">
            <v>730</v>
          </cell>
          <cell r="AL147">
            <v>2831</v>
          </cell>
          <cell r="AM147">
            <v>33638</v>
          </cell>
          <cell r="AN147">
            <v>13920</v>
          </cell>
          <cell r="AO147">
            <v>0</v>
          </cell>
          <cell r="AP147">
            <v>0</v>
          </cell>
          <cell r="AQ147">
            <v>7762</v>
          </cell>
          <cell r="AS147">
            <v>0</v>
          </cell>
          <cell r="AT147">
            <v>11956</v>
          </cell>
          <cell r="AU147">
            <v>33638</v>
          </cell>
          <cell r="AV147" t="str">
            <v>1Q 31/03/05</v>
          </cell>
          <cell r="AW147" t="str">
            <v>Updated 22-12-04</v>
          </cell>
          <cell r="AX147">
            <v>0.35</v>
          </cell>
          <cell r="BA147">
            <v>0</v>
          </cell>
          <cell r="BB147" t="str">
            <v>US</v>
          </cell>
        </row>
        <row r="148">
          <cell r="A148">
            <v>142</v>
          </cell>
          <cell r="B148" t="str">
            <v>Firm142</v>
          </cell>
          <cell r="C148">
            <v>142</v>
          </cell>
          <cell r="G148">
            <v>0</v>
          </cell>
          <cell r="I148">
            <v>0</v>
          </cell>
          <cell r="J148" t="str">
            <v>na</v>
          </cell>
          <cell r="K148" t="e">
            <v>#VALUE!</v>
          </cell>
          <cell r="L148" t="str">
            <v>na</v>
          </cell>
          <cell r="N148">
            <v>0</v>
          </cell>
          <cell r="U148" t="str">
            <v>na</v>
          </cell>
          <cell r="W148" t="str">
            <v>na</v>
          </cell>
          <cell r="X148" t="str">
            <v>na</v>
          </cell>
          <cell r="Z148">
            <v>0</v>
          </cell>
          <cell r="AA148">
            <v>0</v>
          </cell>
          <cell r="AB148">
            <v>0</v>
          </cell>
          <cell r="AC148">
            <v>0</v>
          </cell>
          <cell r="AD148">
            <v>0</v>
          </cell>
          <cell r="AF148" t="str">
            <v>na</v>
          </cell>
          <cell r="AM148">
            <v>0</v>
          </cell>
          <cell r="AU148">
            <v>0</v>
          </cell>
          <cell r="BA148" t="str">
            <v>na</v>
          </cell>
        </row>
        <row r="149">
          <cell r="A149">
            <v>143</v>
          </cell>
          <cell r="B149" t="str">
            <v>Firm143</v>
          </cell>
          <cell r="C149">
            <v>143</v>
          </cell>
          <cell r="G149">
            <v>0</v>
          </cell>
          <cell r="I149">
            <v>0</v>
          </cell>
          <cell r="J149" t="str">
            <v>na</v>
          </cell>
          <cell r="K149" t="e">
            <v>#VALUE!</v>
          </cell>
          <cell r="L149" t="str">
            <v>na</v>
          </cell>
          <cell r="N149">
            <v>0</v>
          </cell>
          <cell r="U149" t="str">
            <v>na</v>
          </cell>
          <cell r="W149" t="str">
            <v>na</v>
          </cell>
          <cell r="X149" t="str">
            <v>na</v>
          </cell>
          <cell r="Z149">
            <v>0</v>
          </cell>
          <cell r="AA149">
            <v>0</v>
          </cell>
          <cell r="AB149">
            <v>0</v>
          </cell>
          <cell r="AC149">
            <v>0</v>
          </cell>
          <cell r="AD149">
            <v>0</v>
          </cell>
          <cell r="AF149" t="str">
            <v>na</v>
          </cell>
          <cell r="AM149">
            <v>0</v>
          </cell>
          <cell r="AU149">
            <v>0</v>
          </cell>
          <cell r="BA149" t="str">
            <v>na</v>
          </cell>
        </row>
        <row r="150">
          <cell r="A150">
            <v>144</v>
          </cell>
          <cell r="B150" t="str">
            <v>Firm144</v>
          </cell>
          <cell r="C150">
            <v>144</v>
          </cell>
          <cell r="G150">
            <v>0</v>
          </cell>
          <cell r="I150">
            <v>0</v>
          </cell>
          <cell r="J150" t="str">
            <v>na</v>
          </cell>
          <cell r="K150" t="e">
            <v>#VALUE!</v>
          </cell>
          <cell r="L150" t="str">
            <v>na</v>
          </cell>
          <cell r="N150">
            <v>0</v>
          </cell>
          <cell r="U150" t="str">
            <v>na</v>
          </cell>
          <cell r="W150" t="str">
            <v>na</v>
          </cell>
          <cell r="X150" t="str">
            <v>na</v>
          </cell>
          <cell r="Z150">
            <v>0</v>
          </cell>
          <cell r="AA150">
            <v>0</v>
          </cell>
          <cell r="AB150">
            <v>0</v>
          </cell>
          <cell r="AC150">
            <v>0</v>
          </cell>
          <cell r="AD150">
            <v>0</v>
          </cell>
          <cell r="AF150" t="str">
            <v>na</v>
          </cell>
          <cell r="AM150">
            <v>0</v>
          </cell>
          <cell r="AU150">
            <v>0</v>
          </cell>
          <cell r="BA150" t="str">
            <v>na</v>
          </cell>
        </row>
        <row r="151">
          <cell r="A151">
            <v>145</v>
          </cell>
          <cell r="B151" t="str">
            <v>Firm145</v>
          </cell>
          <cell r="C151">
            <v>145</v>
          </cell>
          <cell r="G151">
            <v>0</v>
          </cell>
          <cell r="I151">
            <v>0</v>
          </cell>
          <cell r="J151" t="str">
            <v>na</v>
          </cell>
          <cell r="K151" t="e">
            <v>#VALUE!</v>
          </cell>
          <cell r="L151" t="str">
            <v>na</v>
          </cell>
          <cell r="N151">
            <v>0</v>
          </cell>
          <cell r="U151" t="str">
            <v>na</v>
          </cell>
          <cell r="W151" t="str">
            <v>na</v>
          </cell>
          <cell r="X151" t="str">
            <v>na</v>
          </cell>
          <cell r="Z151">
            <v>0</v>
          </cell>
          <cell r="AA151">
            <v>0</v>
          </cell>
          <cell r="AB151">
            <v>0</v>
          </cell>
          <cell r="AC151">
            <v>0</v>
          </cell>
          <cell r="AD151">
            <v>0</v>
          </cell>
          <cell r="AF151" t="str">
            <v>na</v>
          </cell>
          <cell r="AM151">
            <v>0</v>
          </cell>
          <cell r="AU151">
            <v>0</v>
          </cell>
          <cell r="BA151" t="str">
            <v>na</v>
          </cell>
        </row>
        <row r="152">
          <cell r="A152">
            <v>146</v>
          </cell>
          <cell r="B152" t="str">
            <v>Firm146</v>
          </cell>
          <cell r="C152">
            <v>146</v>
          </cell>
          <cell r="G152">
            <v>0</v>
          </cell>
          <cell r="I152">
            <v>0</v>
          </cell>
          <cell r="J152" t="str">
            <v>na</v>
          </cell>
          <cell r="K152" t="e">
            <v>#VALUE!</v>
          </cell>
          <cell r="L152" t="str">
            <v>na</v>
          </cell>
          <cell r="N152">
            <v>0</v>
          </cell>
          <cell r="U152" t="str">
            <v>na</v>
          </cell>
          <cell r="W152" t="str">
            <v>na</v>
          </cell>
          <cell r="X152" t="str">
            <v>na</v>
          </cell>
          <cell r="Z152">
            <v>0</v>
          </cell>
          <cell r="AA152">
            <v>0</v>
          </cell>
          <cell r="AB152">
            <v>0</v>
          </cell>
          <cell r="AC152">
            <v>0</v>
          </cell>
          <cell r="AD152">
            <v>0</v>
          </cell>
          <cell r="AF152" t="str">
            <v>na</v>
          </cell>
          <cell r="AM152">
            <v>0</v>
          </cell>
          <cell r="AU152">
            <v>0</v>
          </cell>
          <cell r="BA152" t="str">
            <v>na</v>
          </cell>
        </row>
        <row r="153">
          <cell r="A153">
            <v>147</v>
          </cell>
          <cell r="B153" t="str">
            <v>Firm147</v>
          </cell>
          <cell r="C153">
            <v>147</v>
          </cell>
          <cell r="G153">
            <v>0</v>
          </cell>
          <cell r="I153">
            <v>0</v>
          </cell>
          <cell r="J153" t="str">
            <v>na</v>
          </cell>
          <cell r="K153" t="e">
            <v>#VALUE!</v>
          </cell>
          <cell r="L153" t="str">
            <v>na</v>
          </cell>
          <cell r="N153">
            <v>0</v>
          </cell>
          <cell r="U153" t="str">
            <v>na</v>
          </cell>
          <cell r="W153" t="str">
            <v>na</v>
          </cell>
          <cell r="X153" t="str">
            <v>na</v>
          </cell>
          <cell r="Z153">
            <v>0</v>
          </cell>
          <cell r="AA153">
            <v>0</v>
          </cell>
          <cell r="AB153">
            <v>0</v>
          </cell>
          <cell r="AC153">
            <v>0</v>
          </cell>
          <cell r="AD153">
            <v>0</v>
          </cell>
          <cell r="AF153" t="str">
            <v>na</v>
          </cell>
          <cell r="AM153">
            <v>0</v>
          </cell>
          <cell r="AU153">
            <v>0</v>
          </cell>
          <cell r="BA153" t="str">
            <v>na</v>
          </cell>
        </row>
        <row r="154">
          <cell r="A154">
            <v>148</v>
          </cell>
          <cell r="B154" t="str">
            <v>Target 12</v>
          </cell>
          <cell r="C154">
            <v>148</v>
          </cell>
          <cell r="D154" t="str">
            <v>Target 12</v>
          </cell>
          <cell r="G154">
            <v>0</v>
          </cell>
          <cell r="I154">
            <v>0</v>
          </cell>
          <cell r="J154" t="str">
            <v>na</v>
          </cell>
          <cell r="K154" t="e">
            <v>#VALUE!</v>
          </cell>
          <cell r="L154" t="str">
            <v>na</v>
          </cell>
          <cell r="N154">
            <v>0</v>
          </cell>
          <cell r="U154" t="str">
            <v>na</v>
          </cell>
          <cell r="W154" t="str">
            <v>na</v>
          </cell>
          <cell r="X154" t="str">
            <v>na</v>
          </cell>
          <cell r="Z154">
            <v>0</v>
          </cell>
          <cell r="AA154">
            <v>0</v>
          </cell>
          <cell r="AB154">
            <v>0</v>
          </cell>
          <cell r="AC154">
            <v>0</v>
          </cell>
          <cell r="AD154">
            <v>0</v>
          </cell>
          <cell r="AF154" t="str">
            <v>na</v>
          </cell>
          <cell r="AM154">
            <v>0</v>
          </cell>
          <cell r="AU154">
            <v>0</v>
          </cell>
          <cell r="BA154" t="str">
            <v>na</v>
          </cell>
        </row>
        <row r="155">
          <cell r="A155">
            <v>149</v>
          </cell>
          <cell r="B155" t="str">
            <v>Firm149</v>
          </cell>
          <cell r="C155">
            <v>149</v>
          </cell>
          <cell r="G155">
            <v>0</v>
          </cell>
          <cell r="I155">
            <v>0</v>
          </cell>
          <cell r="J155" t="str">
            <v>na</v>
          </cell>
          <cell r="K155" t="e">
            <v>#VALUE!</v>
          </cell>
          <cell r="L155" t="str">
            <v>na</v>
          </cell>
          <cell r="N155">
            <v>0</v>
          </cell>
          <cell r="U155" t="str">
            <v>na</v>
          </cell>
          <cell r="W155" t="str">
            <v>na</v>
          </cell>
          <cell r="X155" t="str">
            <v>na</v>
          </cell>
          <cell r="Z155">
            <v>0</v>
          </cell>
          <cell r="AA155">
            <v>0</v>
          </cell>
          <cell r="AB155">
            <v>0</v>
          </cell>
          <cell r="AC155">
            <v>0</v>
          </cell>
          <cell r="AD155">
            <v>0</v>
          </cell>
          <cell r="AF155" t="str">
            <v>na</v>
          </cell>
          <cell r="AM155">
            <v>0</v>
          </cell>
          <cell r="AU155">
            <v>0</v>
          </cell>
          <cell r="BA155" t="str">
            <v>na</v>
          </cell>
        </row>
        <row r="156">
          <cell r="A156">
            <v>150</v>
          </cell>
          <cell r="B156" t="str">
            <v>Firm150</v>
          </cell>
          <cell r="C156">
            <v>150</v>
          </cell>
          <cell r="G156">
            <v>0</v>
          </cell>
          <cell r="I156">
            <v>0</v>
          </cell>
          <cell r="J156" t="str">
            <v>na</v>
          </cell>
          <cell r="K156" t="e">
            <v>#VALUE!</v>
          </cell>
          <cell r="L156" t="str">
            <v>na</v>
          </cell>
          <cell r="N156">
            <v>0</v>
          </cell>
          <cell r="U156" t="str">
            <v>na</v>
          </cell>
          <cell r="W156" t="str">
            <v>na</v>
          </cell>
          <cell r="X156" t="str">
            <v>na</v>
          </cell>
          <cell r="Z156">
            <v>0</v>
          </cell>
          <cell r="AA156">
            <v>0</v>
          </cell>
          <cell r="AB156">
            <v>0</v>
          </cell>
          <cell r="AC156">
            <v>0</v>
          </cell>
          <cell r="AD156">
            <v>0</v>
          </cell>
          <cell r="AF156" t="str">
            <v>na</v>
          </cell>
          <cell r="AM156">
            <v>0</v>
          </cell>
          <cell r="AU156">
            <v>0</v>
          </cell>
          <cell r="BA156" t="str">
            <v>na</v>
          </cell>
        </row>
        <row r="157">
          <cell r="A157">
            <v>151</v>
          </cell>
          <cell r="B157" t="str">
            <v>Firm151</v>
          </cell>
          <cell r="C157">
            <v>151</v>
          </cell>
          <cell r="G157">
            <v>0</v>
          </cell>
          <cell r="I157">
            <v>0</v>
          </cell>
          <cell r="J157" t="str">
            <v>na</v>
          </cell>
          <cell r="K157" t="e">
            <v>#VALUE!</v>
          </cell>
          <cell r="L157" t="str">
            <v>na</v>
          </cell>
          <cell r="N157">
            <v>0</v>
          </cell>
          <cell r="U157" t="str">
            <v>na</v>
          </cell>
          <cell r="W157" t="str">
            <v>na</v>
          </cell>
          <cell r="X157" t="str">
            <v>na</v>
          </cell>
          <cell r="Z157">
            <v>0</v>
          </cell>
          <cell r="AA157">
            <v>0</v>
          </cell>
          <cell r="AB157">
            <v>0</v>
          </cell>
          <cell r="AC157">
            <v>0</v>
          </cell>
          <cell r="AD157">
            <v>0</v>
          </cell>
          <cell r="AF157" t="str">
            <v>na</v>
          </cell>
          <cell r="AM157">
            <v>0</v>
          </cell>
          <cell r="AU157">
            <v>0</v>
          </cell>
          <cell r="BA157" t="str">
            <v>na</v>
          </cell>
        </row>
        <row r="158">
          <cell r="A158">
            <v>152</v>
          </cell>
          <cell r="B158" t="str">
            <v>Firm152</v>
          </cell>
          <cell r="C158">
            <v>152</v>
          </cell>
          <cell r="G158">
            <v>0</v>
          </cell>
          <cell r="I158">
            <v>0</v>
          </cell>
          <cell r="J158" t="str">
            <v>na</v>
          </cell>
          <cell r="K158" t="e">
            <v>#VALUE!</v>
          </cell>
          <cell r="L158" t="str">
            <v>na</v>
          </cell>
          <cell r="N158">
            <v>0</v>
          </cell>
          <cell r="U158" t="str">
            <v>na</v>
          </cell>
          <cell r="W158" t="str">
            <v>na</v>
          </cell>
          <cell r="X158" t="str">
            <v>na</v>
          </cell>
          <cell r="Z158">
            <v>0</v>
          </cell>
          <cell r="AA158">
            <v>0</v>
          </cell>
          <cell r="AB158">
            <v>0</v>
          </cell>
          <cell r="AC158">
            <v>0</v>
          </cell>
          <cell r="AD158">
            <v>0</v>
          </cell>
          <cell r="AF158" t="str">
            <v>na</v>
          </cell>
          <cell r="AM158">
            <v>0</v>
          </cell>
          <cell r="AU158">
            <v>0</v>
          </cell>
          <cell r="BA158" t="str">
            <v>na</v>
          </cell>
        </row>
        <row r="159">
          <cell r="A159">
            <v>153</v>
          </cell>
          <cell r="B159" t="str">
            <v>Firm153</v>
          </cell>
          <cell r="C159">
            <v>153</v>
          </cell>
          <cell r="G159">
            <v>0</v>
          </cell>
          <cell r="I159">
            <v>0</v>
          </cell>
          <cell r="J159" t="str">
            <v>na</v>
          </cell>
          <cell r="K159" t="e">
            <v>#VALUE!</v>
          </cell>
          <cell r="L159" t="str">
            <v>na</v>
          </cell>
          <cell r="N159">
            <v>0</v>
          </cell>
          <cell r="U159" t="str">
            <v>na</v>
          </cell>
          <cell r="W159" t="str">
            <v>na</v>
          </cell>
          <cell r="X159" t="str">
            <v>na</v>
          </cell>
          <cell r="Z159">
            <v>0</v>
          </cell>
          <cell r="AA159">
            <v>0</v>
          </cell>
          <cell r="AB159">
            <v>0</v>
          </cell>
          <cell r="AC159">
            <v>0</v>
          </cell>
          <cell r="AD159">
            <v>0</v>
          </cell>
          <cell r="AF159" t="str">
            <v>na</v>
          </cell>
          <cell r="AM159">
            <v>0</v>
          </cell>
          <cell r="AU159">
            <v>0</v>
          </cell>
          <cell r="BA159" t="str">
            <v>na</v>
          </cell>
        </row>
        <row r="160">
          <cell r="A160">
            <v>154</v>
          </cell>
          <cell r="B160" t="str">
            <v>Firm154</v>
          </cell>
          <cell r="C160">
            <v>154</v>
          </cell>
          <cell r="G160">
            <v>0</v>
          </cell>
          <cell r="I160">
            <v>0</v>
          </cell>
          <cell r="J160" t="str">
            <v>na</v>
          </cell>
          <cell r="K160" t="e">
            <v>#VALUE!</v>
          </cell>
          <cell r="L160" t="str">
            <v>na</v>
          </cell>
          <cell r="N160">
            <v>0</v>
          </cell>
          <cell r="U160" t="str">
            <v>na</v>
          </cell>
          <cell r="W160" t="str">
            <v>na</v>
          </cell>
          <cell r="X160" t="str">
            <v>na</v>
          </cell>
          <cell r="Z160">
            <v>0</v>
          </cell>
          <cell r="AA160">
            <v>0</v>
          </cell>
          <cell r="AB160">
            <v>0</v>
          </cell>
          <cell r="AC160">
            <v>0</v>
          </cell>
          <cell r="AD160">
            <v>0</v>
          </cell>
          <cell r="AF160" t="str">
            <v>na</v>
          </cell>
          <cell r="AM160">
            <v>0</v>
          </cell>
          <cell r="AU160">
            <v>0</v>
          </cell>
          <cell r="BA160" t="str">
            <v>na</v>
          </cell>
        </row>
        <row r="161">
          <cell r="A161">
            <v>155</v>
          </cell>
          <cell r="B161" t="str">
            <v>Firm155</v>
          </cell>
          <cell r="C161">
            <v>155</v>
          </cell>
          <cell r="G161">
            <v>0</v>
          </cell>
          <cell r="I161">
            <v>0</v>
          </cell>
          <cell r="J161" t="str">
            <v>na</v>
          </cell>
          <cell r="K161" t="e">
            <v>#VALUE!</v>
          </cell>
          <cell r="L161" t="str">
            <v>na</v>
          </cell>
          <cell r="N161">
            <v>0</v>
          </cell>
          <cell r="U161" t="str">
            <v>na</v>
          </cell>
          <cell r="W161" t="str">
            <v>na</v>
          </cell>
          <cell r="X161" t="str">
            <v>na</v>
          </cell>
          <cell r="Z161">
            <v>0</v>
          </cell>
          <cell r="AA161">
            <v>0</v>
          </cell>
          <cell r="AB161">
            <v>0</v>
          </cell>
          <cell r="AC161">
            <v>0</v>
          </cell>
          <cell r="AD161">
            <v>0</v>
          </cell>
          <cell r="AF161" t="str">
            <v>na</v>
          </cell>
          <cell r="AM161">
            <v>0</v>
          </cell>
          <cell r="AU161">
            <v>0</v>
          </cell>
          <cell r="BA161" t="str">
            <v>na</v>
          </cell>
        </row>
        <row r="162">
          <cell r="A162">
            <v>156</v>
          </cell>
          <cell r="B162" t="str">
            <v>Firm156</v>
          </cell>
          <cell r="C162">
            <v>156</v>
          </cell>
          <cell r="G162">
            <v>0</v>
          </cell>
          <cell r="I162">
            <v>0</v>
          </cell>
          <cell r="J162" t="str">
            <v>na</v>
          </cell>
          <cell r="K162" t="e">
            <v>#VALUE!</v>
          </cell>
          <cell r="L162" t="str">
            <v>na</v>
          </cell>
          <cell r="N162">
            <v>0</v>
          </cell>
          <cell r="U162" t="str">
            <v>na</v>
          </cell>
          <cell r="W162" t="str">
            <v>na</v>
          </cell>
          <cell r="X162" t="str">
            <v>na</v>
          </cell>
          <cell r="Z162">
            <v>0</v>
          </cell>
          <cell r="AA162">
            <v>0</v>
          </cell>
          <cell r="AB162">
            <v>0</v>
          </cell>
          <cell r="AC162">
            <v>0</v>
          </cell>
          <cell r="AD162">
            <v>0</v>
          </cell>
          <cell r="AF162" t="str">
            <v>na</v>
          </cell>
          <cell r="AM162">
            <v>0</v>
          </cell>
          <cell r="AU162">
            <v>0</v>
          </cell>
          <cell r="BA162" t="str">
            <v>na</v>
          </cell>
        </row>
        <row r="163">
          <cell r="A163">
            <v>157</v>
          </cell>
          <cell r="B163" t="str">
            <v>Firm157</v>
          </cell>
          <cell r="C163">
            <v>157</v>
          </cell>
          <cell r="G163">
            <v>0</v>
          </cell>
          <cell r="I163">
            <v>0</v>
          </cell>
          <cell r="J163" t="str">
            <v>na</v>
          </cell>
          <cell r="K163" t="e">
            <v>#VALUE!</v>
          </cell>
          <cell r="L163" t="str">
            <v>na</v>
          </cell>
          <cell r="N163">
            <v>0</v>
          </cell>
          <cell r="U163" t="str">
            <v>na</v>
          </cell>
          <cell r="W163" t="str">
            <v>na</v>
          </cell>
          <cell r="X163" t="str">
            <v>na</v>
          </cell>
          <cell r="Z163">
            <v>0</v>
          </cell>
          <cell r="AA163">
            <v>0</v>
          </cell>
          <cell r="AB163">
            <v>0</v>
          </cell>
          <cell r="AC163">
            <v>0</v>
          </cell>
          <cell r="AD163">
            <v>0</v>
          </cell>
          <cell r="AF163" t="str">
            <v>na</v>
          </cell>
          <cell r="AM163">
            <v>0</v>
          </cell>
          <cell r="AU163">
            <v>0</v>
          </cell>
          <cell r="BA163" t="str">
            <v>na</v>
          </cell>
        </row>
        <row r="164">
          <cell r="A164">
            <v>158</v>
          </cell>
          <cell r="B164" t="str">
            <v>Firm158</v>
          </cell>
          <cell r="C164">
            <v>158</v>
          </cell>
          <cell r="G164">
            <v>0</v>
          </cell>
          <cell r="I164">
            <v>0</v>
          </cell>
          <cell r="J164" t="str">
            <v>na</v>
          </cell>
          <cell r="K164" t="e">
            <v>#VALUE!</v>
          </cell>
          <cell r="L164" t="str">
            <v>na</v>
          </cell>
          <cell r="N164">
            <v>0</v>
          </cell>
          <cell r="U164" t="str">
            <v>na</v>
          </cell>
          <cell r="W164" t="str">
            <v>na</v>
          </cell>
          <cell r="X164" t="str">
            <v>na</v>
          </cell>
          <cell r="Z164">
            <v>0</v>
          </cell>
          <cell r="AA164">
            <v>0</v>
          </cell>
          <cell r="AB164">
            <v>0</v>
          </cell>
          <cell r="AC164">
            <v>0</v>
          </cell>
          <cell r="AD164">
            <v>0</v>
          </cell>
          <cell r="AF164" t="str">
            <v>na</v>
          </cell>
          <cell r="AM164">
            <v>0</v>
          </cell>
          <cell r="AU164">
            <v>0</v>
          </cell>
          <cell r="BA164" t="str">
            <v>na</v>
          </cell>
        </row>
        <row r="165">
          <cell r="A165">
            <v>159</v>
          </cell>
          <cell r="B165" t="str">
            <v>Target 13</v>
          </cell>
          <cell r="C165">
            <v>159</v>
          </cell>
          <cell r="D165" t="str">
            <v>Target 13</v>
          </cell>
          <cell r="G165">
            <v>0</v>
          </cell>
          <cell r="I165">
            <v>0</v>
          </cell>
          <cell r="J165" t="str">
            <v>na</v>
          </cell>
          <cell r="K165" t="e">
            <v>#VALUE!</v>
          </cell>
          <cell r="L165" t="str">
            <v>na</v>
          </cell>
          <cell r="N165">
            <v>0</v>
          </cell>
          <cell r="U165" t="str">
            <v>na</v>
          </cell>
          <cell r="W165" t="str">
            <v>na</v>
          </cell>
          <cell r="X165" t="str">
            <v>na</v>
          </cell>
          <cell r="Z165">
            <v>0</v>
          </cell>
          <cell r="AA165">
            <v>0</v>
          </cell>
          <cell r="AB165">
            <v>0</v>
          </cell>
          <cell r="AC165">
            <v>0</v>
          </cell>
          <cell r="AD165">
            <v>0</v>
          </cell>
          <cell r="AF165" t="str">
            <v>na</v>
          </cell>
          <cell r="AM165">
            <v>0</v>
          </cell>
          <cell r="AU165">
            <v>0</v>
          </cell>
          <cell r="BA165" t="str">
            <v>na</v>
          </cell>
        </row>
        <row r="166">
          <cell r="A166">
            <v>160</v>
          </cell>
          <cell r="B166" t="str">
            <v>Firm160</v>
          </cell>
          <cell r="C166">
            <v>160</v>
          </cell>
          <cell r="G166">
            <v>0</v>
          </cell>
          <cell r="I166">
            <v>0</v>
          </cell>
          <cell r="J166" t="str">
            <v>na</v>
          </cell>
          <cell r="K166" t="e">
            <v>#VALUE!</v>
          </cell>
          <cell r="L166" t="str">
            <v>na</v>
          </cell>
          <cell r="N166">
            <v>0</v>
          </cell>
          <cell r="U166" t="str">
            <v>na</v>
          </cell>
          <cell r="W166" t="str">
            <v>na</v>
          </cell>
          <cell r="X166" t="str">
            <v>na</v>
          </cell>
          <cell r="Z166">
            <v>0</v>
          </cell>
          <cell r="AA166">
            <v>0</v>
          </cell>
          <cell r="AB166">
            <v>0</v>
          </cell>
          <cell r="AC166">
            <v>0</v>
          </cell>
          <cell r="AD166">
            <v>0</v>
          </cell>
          <cell r="AF166" t="str">
            <v>na</v>
          </cell>
          <cell r="AM166">
            <v>0</v>
          </cell>
          <cell r="AU166">
            <v>0</v>
          </cell>
          <cell r="BA166" t="str">
            <v>na</v>
          </cell>
        </row>
        <row r="167">
          <cell r="A167">
            <v>161</v>
          </cell>
          <cell r="B167" t="str">
            <v>Firm161</v>
          </cell>
          <cell r="C167">
            <v>161</v>
          </cell>
          <cell r="G167">
            <v>0</v>
          </cell>
          <cell r="I167">
            <v>0</v>
          </cell>
          <cell r="J167" t="str">
            <v>na</v>
          </cell>
          <cell r="K167" t="e">
            <v>#VALUE!</v>
          </cell>
          <cell r="L167" t="str">
            <v>na</v>
          </cell>
          <cell r="N167">
            <v>0</v>
          </cell>
          <cell r="U167" t="str">
            <v>na</v>
          </cell>
          <cell r="W167" t="str">
            <v>na</v>
          </cell>
          <cell r="X167" t="str">
            <v>na</v>
          </cell>
          <cell r="Z167">
            <v>0</v>
          </cell>
          <cell r="AA167">
            <v>0</v>
          </cell>
          <cell r="AB167">
            <v>0</v>
          </cell>
          <cell r="AC167">
            <v>0</v>
          </cell>
          <cell r="AD167">
            <v>0</v>
          </cell>
          <cell r="AF167" t="str">
            <v>na</v>
          </cell>
          <cell r="AM167">
            <v>0</v>
          </cell>
          <cell r="AU167">
            <v>0</v>
          </cell>
          <cell r="BA167" t="str">
            <v>na</v>
          </cell>
        </row>
        <row r="168">
          <cell r="A168">
            <v>162</v>
          </cell>
          <cell r="B168" t="str">
            <v>Firm162</v>
          </cell>
          <cell r="C168">
            <v>162</v>
          </cell>
          <cell r="G168">
            <v>0</v>
          </cell>
          <cell r="I168">
            <v>0</v>
          </cell>
          <cell r="J168" t="str">
            <v>na</v>
          </cell>
          <cell r="K168" t="e">
            <v>#VALUE!</v>
          </cell>
          <cell r="L168" t="str">
            <v>na</v>
          </cell>
          <cell r="N168">
            <v>0</v>
          </cell>
          <cell r="U168" t="str">
            <v>na</v>
          </cell>
          <cell r="W168" t="str">
            <v>na</v>
          </cell>
          <cell r="X168" t="str">
            <v>na</v>
          </cell>
          <cell r="Z168">
            <v>0</v>
          </cell>
          <cell r="AA168">
            <v>0</v>
          </cell>
          <cell r="AB168">
            <v>0</v>
          </cell>
          <cell r="AC168">
            <v>0</v>
          </cell>
          <cell r="AD168">
            <v>0</v>
          </cell>
          <cell r="AF168" t="str">
            <v>na</v>
          </cell>
          <cell r="AM168">
            <v>0</v>
          </cell>
          <cell r="AU168">
            <v>0</v>
          </cell>
          <cell r="BA168" t="str">
            <v>na</v>
          </cell>
        </row>
        <row r="169">
          <cell r="A169">
            <v>163</v>
          </cell>
          <cell r="B169" t="str">
            <v>Firm163</v>
          </cell>
          <cell r="C169">
            <v>163</v>
          </cell>
          <cell r="G169">
            <v>0</v>
          </cell>
          <cell r="I169">
            <v>0</v>
          </cell>
          <cell r="J169" t="str">
            <v>na</v>
          </cell>
          <cell r="K169" t="e">
            <v>#VALUE!</v>
          </cell>
          <cell r="L169" t="str">
            <v>na</v>
          </cell>
          <cell r="N169">
            <v>0</v>
          </cell>
          <cell r="U169" t="str">
            <v>na</v>
          </cell>
          <cell r="W169" t="str">
            <v>na</v>
          </cell>
          <cell r="X169" t="str">
            <v>na</v>
          </cell>
          <cell r="Z169">
            <v>0</v>
          </cell>
          <cell r="AA169">
            <v>0</v>
          </cell>
          <cell r="AB169">
            <v>0</v>
          </cell>
          <cell r="AC169">
            <v>0</v>
          </cell>
          <cell r="AD169">
            <v>0</v>
          </cell>
          <cell r="AF169" t="str">
            <v>na</v>
          </cell>
          <cell r="AM169">
            <v>0</v>
          </cell>
          <cell r="AU169">
            <v>0</v>
          </cell>
          <cell r="BA169" t="str">
            <v>na</v>
          </cell>
        </row>
        <row r="170">
          <cell r="A170">
            <v>164</v>
          </cell>
          <cell r="B170" t="str">
            <v>Firm164</v>
          </cell>
          <cell r="C170">
            <v>164</v>
          </cell>
          <cell r="G170">
            <v>0</v>
          </cell>
          <cell r="I170">
            <v>0</v>
          </cell>
          <cell r="J170" t="str">
            <v>na</v>
          </cell>
          <cell r="K170" t="e">
            <v>#VALUE!</v>
          </cell>
          <cell r="L170" t="str">
            <v>na</v>
          </cell>
          <cell r="N170">
            <v>0</v>
          </cell>
          <cell r="U170" t="str">
            <v>na</v>
          </cell>
          <cell r="W170" t="str">
            <v>na</v>
          </cell>
          <cell r="X170" t="str">
            <v>na</v>
          </cell>
          <cell r="Z170">
            <v>0</v>
          </cell>
          <cell r="AA170">
            <v>0</v>
          </cell>
          <cell r="AB170">
            <v>0</v>
          </cell>
          <cell r="AC170">
            <v>0</v>
          </cell>
          <cell r="AD170">
            <v>0</v>
          </cell>
          <cell r="AF170" t="str">
            <v>na</v>
          </cell>
          <cell r="AM170">
            <v>0</v>
          </cell>
          <cell r="AU170">
            <v>0</v>
          </cell>
          <cell r="BA170" t="str">
            <v>na</v>
          </cell>
        </row>
        <row r="171">
          <cell r="A171">
            <v>165</v>
          </cell>
          <cell r="B171" t="str">
            <v>Firm165</v>
          </cell>
          <cell r="C171">
            <v>165</v>
          </cell>
          <cell r="G171">
            <v>0</v>
          </cell>
          <cell r="I171">
            <v>0</v>
          </cell>
          <cell r="J171" t="str">
            <v>na</v>
          </cell>
          <cell r="K171" t="e">
            <v>#VALUE!</v>
          </cell>
          <cell r="L171" t="str">
            <v>na</v>
          </cell>
          <cell r="N171">
            <v>0</v>
          </cell>
          <cell r="U171" t="str">
            <v>na</v>
          </cell>
          <cell r="W171" t="str">
            <v>na</v>
          </cell>
          <cell r="X171" t="str">
            <v>na</v>
          </cell>
          <cell r="Z171">
            <v>0</v>
          </cell>
          <cell r="AA171">
            <v>0</v>
          </cell>
          <cell r="AB171">
            <v>0</v>
          </cell>
          <cell r="AC171">
            <v>0</v>
          </cell>
          <cell r="AD171">
            <v>0</v>
          </cell>
          <cell r="AF171" t="str">
            <v>na</v>
          </cell>
          <cell r="AM171">
            <v>0</v>
          </cell>
          <cell r="AU171">
            <v>0</v>
          </cell>
          <cell r="BA171" t="str">
            <v>na</v>
          </cell>
        </row>
        <row r="172">
          <cell r="A172">
            <v>166</v>
          </cell>
          <cell r="B172" t="str">
            <v>Firm166</v>
          </cell>
          <cell r="C172">
            <v>166</v>
          </cell>
          <cell r="G172">
            <v>0</v>
          </cell>
          <cell r="I172">
            <v>0</v>
          </cell>
          <cell r="J172" t="str">
            <v>na</v>
          </cell>
          <cell r="K172" t="e">
            <v>#VALUE!</v>
          </cell>
          <cell r="L172" t="str">
            <v>na</v>
          </cell>
          <cell r="N172">
            <v>0</v>
          </cell>
          <cell r="U172" t="str">
            <v>na</v>
          </cell>
          <cell r="W172" t="str">
            <v>na</v>
          </cell>
          <cell r="X172" t="str">
            <v>na</v>
          </cell>
          <cell r="Z172">
            <v>0</v>
          </cell>
          <cell r="AA172">
            <v>0</v>
          </cell>
          <cell r="AB172">
            <v>0</v>
          </cell>
          <cell r="AC172">
            <v>0</v>
          </cell>
          <cell r="AD172">
            <v>0</v>
          </cell>
          <cell r="AF172" t="str">
            <v>na</v>
          </cell>
          <cell r="AM172">
            <v>0</v>
          </cell>
          <cell r="AU172">
            <v>0</v>
          </cell>
          <cell r="BA172" t="str">
            <v>na</v>
          </cell>
        </row>
        <row r="173">
          <cell r="A173">
            <v>167</v>
          </cell>
          <cell r="B173" t="str">
            <v>Firm167</v>
          </cell>
          <cell r="C173">
            <v>167</v>
          </cell>
          <cell r="G173">
            <v>0</v>
          </cell>
          <cell r="I173">
            <v>0</v>
          </cell>
          <cell r="J173" t="str">
            <v>na</v>
          </cell>
          <cell r="K173" t="e">
            <v>#VALUE!</v>
          </cell>
          <cell r="L173" t="str">
            <v>na</v>
          </cell>
          <cell r="N173">
            <v>0</v>
          </cell>
          <cell r="U173" t="str">
            <v>na</v>
          </cell>
          <cell r="W173" t="str">
            <v>na</v>
          </cell>
          <cell r="X173" t="str">
            <v>na</v>
          </cell>
          <cell r="Z173">
            <v>0</v>
          </cell>
          <cell r="AA173">
            <v>0</v>
          </cell>
          <cell r="AB173">
            <v>0</v>
          </cell>
          <cell r="AC173">
            <v>0</v>
          </cell>
          <cell r="AD173">
            <v>0</v>
          </cell>
          <cell r="AF173" t="str">
            <v>na</v>
          </cell>
          <cell r="AM173">
            <v>0</v>
          </cell>
          <cell r="AU173">
            <v>0</v>
          </cell>
          <cell r="BA173" t="str">
            <v>na</v>
          </cell>
        </row>
        <row r="174">
          <cell r="A174">
            <v>168</v>
          </cell>
          <cell r="B174" t="str">
            <v>Firm168</v>
          </cell>
          <cell r="C174">
            <v>168</v>
          </cell>
          <cell r="G174">
            <v>0</v>
          </cell>
          <cell r="I174">
            <v>0</v>
          </cell>
          <cell r="J174" t="str">
            <v>na</v>
          </cell>
          <cell r="K174" t="e">
            <v>#VALUE!</v>
          </cell>
          <cell r="L174" t="str">
            <v>na</v>
          </cell>
          <cell r="N174">
            <v>0</v>
          </cell>
          <cell r="U174" t="str">
            <v>na</v>
          </cell>
          <cell r="W174" t="str">
            <v>na</v>
          </cell>
          <cell r="X174" t="str">
            <v>na</v>
          </cell>
          <cell r="Z174">
            <v>0</v>
          </cell>
          <cell r="AA174">
            <v>0</v>
          </cell>
          <cell r="AB174">
            <v>0</v>
          </cell>
          <cell r="AC174">
            <v>0</v>
          </cell>
          <cell r="AD174">
            <v>0</v>
          </cell>
          <cell r="AF174" t="str">
            <v>na</v>
          </cell>
          <cell r="AM174">
            <v>0</v>
          </cell>
          <cell r="AU174">
            <v>0</v>
          </cell>
          <cell r="BA174" t="str">
            <v>na</v>
          </cell>
        </row>
        <row r="175">
          <cell r="A175">
            <v>169</v>
          </cell>
          <cell r="B175" t="str">
            <v>Firm169</v>
          </cell>
          <cell r="C175">
            <v>169</v>
          </cell>
          <cell r="G175">
            <v>0</v>
          </cell>
          <cell r="I175">
            <v>0</v>
          </cell>
          <cell r="J175" t="str">
            <v>na</v>
          </cell>
          <cell r="K175" t="e">
            <v>#VALUE!</v>
          </cell>
          <cell r="L175" t="str">
            <v>na</v>
          </cell>
          <cell r="N175">
            <v>0</v>
          </cell>
          <cell r="U175" t="str">
            <v>na</v>
          </cell>
          <cell r="W175" t="str">
            <v>na</v>
          </cell>
          <cell r="X175" t="str">
            <v>na</v>
          </cell>
          <cell r="Z175">
            <v>0</v>
          </cell>
          <cell r="AA175">
            <v>0</v>
          </cell>
          <cell r="AB175">
            <v>0</v>
          </cell>
          <cell r="AC175">
            <v>0</v>
          </cell>
          <cell r="AD175">
            <v>0</v>
          </cell>
          <cell r="AF175" t="str">
            <v>na</v>
          </cell>
          <cell r="AM175">
            <v>0</v>
          </cell>
          <cell r="AU175">
            <v>0</v>
          </cell>
          <cell r="BA175" t="str">
            <v>na</v>
          </cell>
        </row>
        <row r="176">
          <cell r="A176">
            <v>170</v>
          </cell>
          <cell r="B176" t="str">
            <v>Firm170</v>
          </cell>
          <cell r="C176">
            <v>170</v>
          </cell>
          <cell r="G176">
            <v>0</v>
          </cell>
          <cell r="I176">
            <v>0</v>
          </cell>
          <cell r="J176" t="str">
            <v>na</v>
          </cell>
          <cell r="K176" t="e">
            <v>#VALUE!</v>
          </cell>
          <cell r="L176" t="str">
            <v>na</v>
          </cell>
          <cell r="N176">
            <v>0</v>
          </cell>
          <cell r="U176" t="str">
            <v>na</v>
          </cell>
          <cell r="W176" t="str">
            <v>na</v>
          </cell>
          <cell r="X176" t="str">
            <v>na</v>
          </cell>
          <cell r="Z176">
            <v>0</v>
          </cell>
          <cell r="AA176">
            <v>0</v>
          </cell>
          <cell r="AB176">
            <v>0</v>
          </cell>
          <cell r="AC176">
            <v>0</v>
          </cell>
          <cell r="AD176">
            <v>0</v>
          </cell>
          <cell r="AF176" t="str">
            <v>na</v>
          </cell>
          <cell r="AM176">
            <v>0</v>
          </cell>
          <cell r="AU176">
            <v>0</v>
          </cell>
          <cell r="BA176" t="str">
            <v>na</v>
          </cell>
        </row>
        <row r="177">
          <cell r="A177">
            <v>171</v>
          </cell>
          <cell r="B177" t="str">
            <v>Target 14</v>
          </cell>
          <cell r="C177">
            <v>171</v>
          </cell>
          <cell r="D177" t="str">
            <v>Target 14</v>
          </cell>
          <cell r="G177">
            <v>0</v>
          </cell>
          <cell r="I177">
            <v>0</v>
          </cell>
          <cell r="J177" t="str">
            <v>na</v>
          </cell>
          <cell r="K177" t="e">
            <v>#VALUE!</v>
          </cell>
          <cell r="L177" t="str">
            <v>na</v>
          </cell>
          <cell r="N177">
            <v>0</v>
          </cell>
          <cell r="U177" t="str">
            <v>na</v>
          </cell>
          <cell r="W177" t="str">
            <v>na</v>
          </cell>
          <cell r="X177" t="str">
            <v>na</v>
          </cell>
          <cell r="Z177">
            <v>0</v>
          </cell>
          <cell r="AA177">
            <v>0</v>
          </cell>
          <cell r="AB177">
            <v>0</v>
          </cell>
          <cell r="AC177">
            <v>0</v>
          </cell>
          <cell r="AD177">
            <v>0</v>
          </cell>
          <cell r="AF177" t="str">
            <v>na</v>
          </cell>
          <cell r="AM177">
            <v>0</v>
          </cell>
          <cell r="AU177">
            <v>0</v>
          </cell>
          <cell r="BA177" t="str">
            <v>na</v>
          </cell>
        </row>
        <row r="178">
          <cell r="A178">
            <v>172</v>
          </cell>
          <cell r="B178" t="str">
            <v>Firm172</v>
          </cell>
          <cell r="C178">
            <v>172</v>
          </cell>
          <cell r="G178">
            <v>0</v>
          </cell>
          <cell r="I178">
            <v>0</v>
          </cell>
          <cell r="J178" t="str">
            <v>na</v>
          </cell>
          <cell r="K178" t="e">
            <v>#VALUE!</v>
          </cell>
          <cell r="L178" t="str">
            <v>na</v>
          </cell>
          <cell r="N178">
            <v>0</v>
          </cell>
          <cell r="U178" t="str">
            <v>na</v>
          </cell>
          <cell r="W178" t="str">
            <v>na</v>
          </cell>
          <cell r="X178" t="str">
            <v>na</v>
          </cell>
          <cell r="Z178">
            <v>0</v>
          </cell>
          <cell r="AA178">
            <v>0</v>
          </cell>
          <cell r="AB178">
            <v>0</v>
          </cell>
          <cell r="AC178">
            <v>0</v>
          </cell>
          <cell r="AD178">
            <v>0</v>
          </cell>
          <cell r="AF178" t="str">
            <v>na</v>
          </cell>
          <cell r="AM178">
            <v>0</v>
          </cell>
          <cell r="AU178">
            <v>0</v>
          </cell>
          <cell r="BA178" t="str">
            <v>na</v>
          </cell>
        </row>
        <row r="179">
          <cell r="A179">
            <v>173</v>
          </cell>
          <cell r="B179" t="str">
            <v>Firm173</v>
          </cell>
          <cell r="C179">
            <v>173</v>
          </cell>
          <cell r="G179">
            <v>0</v>
          </cell>
          <cell r="I179">
            <v>0</v>
          </cell>
          <cell r="J179" t="str">
            <v>na</v>
          </cell>
          <cell r="K179" t="e">
            <v>#VALUE!</v>
          </cell>
          <cell r="L179" t="str">
            <v>na</v>
          </cell>
          <cell r="N179">
            <v>0</v>
          </cell>
          <cell r="U179" t="str">
            <v>na</v>
          </cell>
          <cell r="W179" t="str">
            <v>na</v>
          </cell>
          <cell r="X179" t="str">
            <v>na</v>
          </cell>
          <cell r="Z179">
            <v>0</v>
          </cell>
          <cell r="AA179">
            <v>0</v>
          </cell>
          <cell r="AB179">
            <v>0</v>
          </cell>
          <cell r="AC179">
            <v>0</v>
          </cell>
          <cell r="AD179">
            <v>0</v>
          </cell>
          <cell r="AF179" t="str">
            <v>na</v>
          </cell>
          <cell r="AM179">
            <v>0</v>
          </cell>
          <cell r="AU179">
            <v>0</v>
          </cell>
          <cell r="BA179" t="str">
            <v>na</v>
          </cell>
        </row>
        <row r="180">
          <cell r="A180">
            <v>174</v>
          </cell>
          <cell r="B180" t="str">
            <v>Firm174</v>
          </cell>
          <cell r="C180">
            <v>174</v>
          </cell>
          <cell r="G180">
            <v>0</v>
          </cell>
          <cell r="I180">
            <v>0</v>
          </cell>
          <cell r="J180" t="str">
            <v>na</v>
          </cell>
          <cell r="K180" t="e">
            <v>#VALUE!</v>
          </cell>
          <cell r="L180" t="str">
            <v>na</v>
          </cell>
          <cell r="N180">
            <v>0</v>
          </cell>
          <cell r="U180" t="str">
            <v>na</v>
          </cell>
          <cell r="W180" t="str">
            <v>na</v>
          </cell>
          <cell r="X180" t="str">
            <v>na</v>
          </cell>
          <cell r="Z180">
            <v>0</v>
          </cell>
          <cell r="AA180">
            <v>0</v>
          </cell>
          <cell r="AB180">
            <v>0</v>
          </cell>
          <cell r="AC180">
            <v>0</v>
          </cell>
          <cell r="AD180">
            <v>0</v>
          </cell>
          <cell r="AF180" t="str">
            <v>na</v>
          </cell>
          <cell r="AM180">
            <v>0</v>
          </cell>
          <cell r="AU180">
            <v>0</v>
          </cell>
          <cell r="BA180" t="str">
            <v>na</v>
          </cell>
        </row>
        <row r="181">
          <cell r="A181">
            <v>175</v>
          </cell>
          <cell r="B181" t="str">
            <v>Firm175</v>
          </cell>
          <cell r="C181">
            <v>175</v>
          </cell>
          <cell r="G181">
            <v>0</v>
          </cell>
          <cell r="I181">
            <v>0</v>
          </cell>
          <cell r="J181" t="str">
            <v>na</v>
          </cell>
          <cell r="K181" t="e">
            <v>#VALUE!</v>
          </cell>
          <cell r="L181" t="str">
            <v>na</v>
          </cell>
          <cell r="N181">
            <v>0</v>
          </cell>
          <cell r="U181" t="str">
            <v>na</v>
          </cell>
          <cell r="W181" t="str">
            <v>na</v>
          </cell>
          <cell r="X181" t="str">
            <v>na</v>
          </cell>
          <cell r="Z181">
            <v>0</v>
          </cell>
          <cell r="AA181">
            <v>0</v>
          </cell>
          <cell r="AB181">
            <v>0</v>
          </cell>
          <cell r="AC181">
            <v>0</v>
          </cell>
          <cell r="AD181">
            <v>0</v>
          </cell>
          <cell r="AF181" t="str">
            <v>na</v>
          </cell>
          <cell r="AM181">
            <v>0</v>
          </cell>
          <cell r="AU181">
            <v>0</v>
          </cell>
          <cell r="BA181" t="str">
            <v>na</v>
          </cell>
        </row>
        <row r="182">
          <cell r="A182">
            <v>176</v>
          </cell>
          <cell r="B182" t="str">
            <v>Firm176</v>
          </cell>
          <cell r="C182">
            <v>176</v>
          </cell>
          <cell r="G182">
            <v>0</v>
          </cell>
          <cell r="I182">
            <v>0</v>
          </cell>
          <cell r="J182" t="str">
            <v>na</v>
          </cell>
          <cell r="K182" t="e">
            <v>#VALUE!</v>
          </cell>
          <cell r="L182" t="str">
            <v>na</v>
          </cell>
          <cell r="N182">
            <v>0</v>
          </cell>
          <cell r="U182" t="str">
            <v>na</v>
          </cell>
          <cell r="W182" t="str">
            <v>na</v>
          </cell>
          <cell r="X182" t="str">
            <v>na</v>
          </cell>
          <cell r="Z182">
            <v>0</v>
          </cell>
          <cell r="AA182">
            <v>0</v>
          </cell>
          <cell r="AB182">
            <v>0</v>
          </cell>
          <cell r="AC182">
            <v>0</v>
          </cell>
          <cell r="AD182">
            <v>0</v>
          </cell>
          <cell r="AF182" t="str">
            <v>na</v>
          </cell>
          <cell r="AM182">
            <v>0</v>
          </cell>
          <cell r="AU182">
            <v>0</v>
          </cell>
          <cell r="BA182" t="str">
            <v>na</v>
          </cell>
        </row>
        <row r="183">
          <cell r="A183">
            <v>177</v>
          </cell>
          <cell r="B183" t="str">
            <v>Firm177</v>
          </cell>
          <cell r="C183">
            <v>177</v>
          </cell>
          <cell r="G183">
            <v>0</v>
          </cell>
          <cell r="I183">
            <v>0</v>
          </cell>
          <cell r="J183" t="str">
            <v>na</v>
          </cell>
          <cell r="K183" t="e">
            <v>#VALUE!</v>
          </cell>
          <cell r="L183" t="str">
            <v>na</v>
          </cell>
          <cell r="N183">
            <v>0</v>
          </cell>
          <cell r="U183" t="str">
            <v>na</v>
          </cell>
          <cell r="W183" t="str">
            <v>na</v>
          </cell>
          <cell r="X183" t="str">
            <v>na</v>
          </cell>
          <cell r="Z183">
            <v>0</v>
          </cell>
          <cell r="AA183">
            <v>0</v>
          </cell>
          <cell r="AB183">
            <v>0</v>
          </cell>
          <cell r="AC183">
            <v>0</v>
          </cell>
          <cell r="AD183">
            <v>0</v>
          </cell>
          <cell r="AF183" t="str">
            <v>na</v>
          </cell>
          <cell r="AM183">
            <v>0</v>
          </cell>
          <cell r="AU183">
            <v>0</v>
          </cell>
          <cell r="BA183" t="str">
            <v>na</v>
          </cell>
        </row>
        <row r="184">
          <cell r="A184">
            <v>178</v>
          </cell>
          <cell r="B184" t="str">
            <v>Firm178</v>
          </cell>
          <cell r="C184">
            <v>178</v>
          </cell>
          <cell r="G184">
            <v>0</v>
          </cell>
          <cell r="I184">
            <v>0</v>
          </cell>
          <cell r="J184" t="str">
            <v>na</v>
          </cell>
          <cell r="K184" t="e">
            <v>#VALUE!</v>
          </cell>
          <cell r="L184" t="str">
            <v>na</v>
          </cell>
          <cell r="N184">
            <v>0</v>
          </cell>
          <cell r="U184" t="str">
            <v>na</v>
          </cell>
          <cell r="W184" t="str">
            <v>na</v>
          </cell>
          <cell r="X184" t="str">
            <v>na</v>
          </cell>
          <cell r="Z184">
            <v>0</v>
          </cell>
          <cell r="AA184">
            <v>0</v>
          </cell>
          <cell r="AB184">
            <v>0</v>
          </cell>
          <cell r="AC184">
            <v>0</v>
          </cell>
          <cell r="AD184">
            <v>0</v>
          </cell>
          <cell r="AF184" t="str">
            <v>na</v>
          </cell>
          <cell r="AM184">
            <v>0</v>
          </cell>
          <cell r="AU184">
            <v>0</v>
          </cell>
          <cell r="BA184" t="str">
            <v>na</v>
          </cell>
        </row>
        <row r="185">
          <cell r="A185">
            <v>179</v>
          </cell>
          <cell r="B185" t="str">
            <v>Firm179</v>
          </cell>
          <cell r="C185">
            <v>179</v>
          </cell>
          <cell r="G185">
            <v>0</v>
          </cell>
          <cell r="I185">
            <v>0</v>
          </cell>
          <cell r="J185" t="str">
            <v>na</v>
          </cell>
          <cell r="K185" t="e">
            <v>#VALUE!</v>
          </cell>
          <cell r="L185" t="str">
            <v>na</v>
          </cell>
          <cell r="N185">
            <v>0</v>
          </cell>
          <cell r="U185" t="str">
            <v>na</v>
          </cell>
          <cell r="W185" t="str">
            <v>na</v>
          </cell>
          <cell r="X185" t="str">
            <v>na</v>
          </cell>
          <cell r="Z185">
            <v>0</v>
          </cell>
          <cell r="AA185">
            <v>0</v>
          </cell>
          <cell r="AB185">
            <v>0</v>
          </cell>
          <cell r="AC185">
            <v>0</v>
          </cell>
          <cell r="AD185">
            <v>0</v>
          </cell>
          <cell r="AF185" t="str">
            <v>na</v>
          </cell>
          <cell r="AM185">
            <v>0</v>
          </cell>
          <cell r="AU185">
            <v>0</v>
          </cell>
          <cell r="BA185" t="str">
            <v>na</v>
          </cell>
        </row>
        <row r="186">
          <cell r="A186">
            <v>180</v>
          </cell>
          <cell r="B186" t="str">
            <v>Firm180</v>
          </cell>
          <cell r="C186">
            <v>180</v>
          </cell>
          <cell r="G186">
            <v>0</v>
          </cell>
          <cell r="I186">
            <v>0</v>
          </cell>
          <cell r="J186" t="str">
            <v>na</v>
          </cell>
          <cell r="K186" t="e">
            <v>#VALUE!</v>
          </cell>
          <cell r="L186" t="str">
            <v>na</v>
          </cell>
          <cell r="N186">
            <v>0</v>
          </cell>
          <cell r="U186" t="str">
            <v>na</v>
          </cell>
          <cell r="W186" t="str">
            <v>na</v>
          </cell>
          <cell r="X186" t="str">
            <v>na</v>
          </cell>
          <cell r="Z186">
            <v>0</v>
          </cell>
          <cell r="AA186">
            <v>0</v>
          </cell>
          <cell r="AB186">
            <v>0</v>
          </cell>
          <cell r="AC186">
            <v>0</v>
          </cell>
          <cell r="AD186">
            <v>0</v>
          </cell>
          <cell r="AF186" t="str">
            <v>na</v>
          </cell>
          <cell r="AM186">
            <v>0</v>
          </cell>
          <cell r="AU186">
            <v>0</v>
          </cell>
          <cell r="BA186" t="str">
            <v>na</v>
          </cell>
        </row>
        <row r="187">
          <cell r="A187">
            <v>181</v>
          </cell>
          <cell r="B187" t="str">
            <v>Firm181</v>
          </cell>
          <cell r="C187">
            <v>181</v>
          </cell>
          <cell r="G187">
            <v>0</v>
          </cell>
          <cell r="I187">
            <v>0</v>
          </cell>
          <cell r="J187" t="str">
            <v>na</v>
          </cell>
          <cell r="K187" t="e">
            <v>#VALUE!</v>
          </cell>
          <cell r="L187" t="str">
            <v>na</v>
          </cell>
          <cell r="N187">
            <v>0</v>
          </cell>
          <cell r="U187" t="str">
            <v>na</v>
          </cell>
          <cell r="W187" t="str">
            <v>na</v>
          </cell>
          <cell r="X187" t="str">
            <v>na</v>
          </cell>
          <cell r="Z187">
            <v>0</v>
          </cell>
          <cell r="AA187">
            <v>0</v>
          </cell>
          <cell r="AB187">
            <v>0</v>
          </cell>
          <cell r="AC187">
            <v>0</v>
          </cell>
          <cell r="AD187">
            <v>0</v>
          </cell>
          <cell r="AF187" t="str">
            <v>na</v>
          </cell>
          <cell r="AM187">
            <v>0</v>
          </cell>
          <cell r="AU187">
            <v>0</v>
          </cell>
          <cell r="BA187" t="str">
            <v>na</v>
          </cell>
        </row>
        <row r="188">
          <cell r="A188">
            <v>182</v>
          </cell>
          <cell r="B188" t="str">
            <v>Firm182</v>
          </cell>
          <cell r="C188">
            <v>182</v>
          </cell>
          <cell r="G188">
            <v>0</v>
          </cell>
          <cell r="I188">
            <v>0</v>
          </cell>
          <cell r="J188" t="str">
            <v>na</v>
          </cell>
          <cell r="K188" t="e">
            <v>#VALUE!</v>
          </cell>
          <cell r="L188" t="str">
            <v>na</v>
          </cell>
          <cell r="N188">
            <v>0</v>
          </cell>
          <cell r="U188" t="str">
            <v>na</v>
          </cell>
          <cell r="W188" t="str">
            <v>na</v>
          </cell>
          <cell r="X188" t="str">
            <v>na</v>
          </cell>
          <cell r="Z188">
            <v>0</v>
          </cell>
          <cell r="AA188">
            <v>0</v>
          </cell>
          <cell r="AB188">
            <v>0</v>
          </cell>
          <cell r="AC188">
            <v>0</v>
          </cell>
          <cell r="AD188">
            <v>0</v>
          </cell>
          <cell r="AF188" t="str">
            <v>na</v>
          </cell>
          <cell r="AM188">
            <v>0</v>
          </cell>
          <cell r="AU188">
            <v>0</v>
          </cell>
          <cell r="BA188" t="str">
            <v>na</v>
          </cell>
        </row>
        <row r="189">
          <cell r="A189">
            <v>183</v>
          </cell>
          <cell r="B189" t="str">
            <v>Target 15</v>
          </cell>
          <cell r="C189">
            <v>183</v>
          </cell>
          <cell r="D189" t="str">
            <v>Target 15</v>
          </cell>
          <cell r="G189">
            <v>0</v>
          </cell>
          <cell r="I189">
            <v>0</v>
          </cell>
          <cell r="J189" t="str">
            <v>na</v>
          </cell>
          <cell r="K189" t="e">
            <v>#VALUE!</v>
          </cell>
          <cell r="L189" t="str">
            <v>na</v>
          </cell>
          <cell r="N189">
            <v>0</v>
          </cell>
          <cell r="U189" t="str">
            <v>na</v>
          </cell>
          <cell r="W189" t="str">
            <v>na</v>
          </cell>
          <cell r="X189" t="str">
            <v>na</v>
          </cell>
          <cell r="Z189">
            <v>0</v>
          </cell>
          <cell r="AA189">
            <v>0</v>
          </cell>
          <cell r="AB189">
            <v>0</v>
          </cell>
          <cell r="AC189">
            <v>0</v>
          </cell>
          <cell r="AD189">
            <v>0</v>
          </cell>
          <cell r="AF189" t="str">
            <v>na</v>
          </cell>
          <cell r="AM189">
            <v>0</v>
          </cell>
          <cell r="AU189">
            <v>0</v>
          </cell>
          <cell r="BA189" t="str">
            <v>na</v>
          </cell>
        </row>
        <row r="190">
          <cell r="A190">
            <v>184</v>
          </cell>
          <cell r="B190" t="str">
            <v>Firm184</v>
          </cell>
          <cell r="C190">
            <v>184</v>
          </cell>
          <cell r="G190">
            <v>0</v>
          </cell>
          <cell r="I190">
            <v>0</v>
          </cell>
          <cell r="J190" t="str">
            <v>na</v>
          </cell>
          <cell r="K190" t="e">
            <v>#VALUE!</v>
          </cell>
          <cell r="L190" t="str">
            <v>na</v>
          </cell>
          <cell r="N190">
            <v>0</v>
          </cell>
          <cell r="U190" t="str">
            <v>na</v>
          </cell>
          <cell r="W190" t="str">
            <v>na</v>
          </cell>
          <cell r="X190" t="str">
            <v>na</v>
          </cell>
          <cell r="Z190">
            <v>0</v>
          </cell>
          <cell r="AA190">
            <v>0</v>
          </cell>
          <cell r="AB190">
            <v>0</v>
          </cell>
          <cell r="AC190">
            <v>0</v>
          </cell>
          <cell r="AD190">
            <v>0</v>
          </cell>
          <cell r="AF190" t="str">
            <v>na</v>
          </cell>
          <cell r="AM190">
            <v>0</v>
          </cell>
          <cell r="AU190">
            <v>0</v>
          </cell>
          <cell r="BA190" t="str">
            <v>na</v>
          </cell>
        </row>
        <row r="191">
          <cell r="A191">
            <v>185</v>
          </cell>
          <cell r="B191" t="str">
            <v>Firm185</v>
          </cell>
          <cell r="C191">
            <v>185</v>
          </cell>
          <cell r="G191">
            <v>0</v>
          </cell>
          <cell r="I191">
            <v>0</v>
          </cell>
          <cell r="J191" t="str">
            <v>na</v>
          </cell>
          <cell r="K191" t="e">
            <v>#VALUE!</v>
          </cell>
          <cell r="L191" t="str">
            <v>na</v>
          </cell>
          <cell r="N191">
            <v>0</v>
          </cell>
          <cell r="U191" t="str">
            <v>na</v>
          </cell>
          <cell r="W191" t="str">
            <v>na</v>
          </cell>
          <cell r="X191" t="str">
            <v>na</v>
          </cell>
          <cell r="Z191">
            <v>0</v>
          </cell>
          <cell r="AA191">
            <v>0</v>
          </cell>
          <cell r="AB191">
            <v>0</v>
          </cell>
          <cell r="AC191">
            <v>0</v>
          </cell>
          <cell r="AD191">
            <v>0</v>
          </cell>
          <cell r="AF191" t="str">
            <v>na</v>
          </cell>
          <cell r="AM191">
            <v>0</v>
          </cell>
          <cell r="AU191">
            <v>0</v>
          </cell>
          <cell r="BA191" t="str">
            <v>na</v>
          </cell>
        </row>
        <row r="192">
          <cell r="A192">
            <v>186</v>
          </cell>
          <cell r="B192" t="str">
            <v>Firm186</v>
          </cell>
          <cell r="C192">
            <v>186</v>
          </cell>
          <cell r="G192">
            <v>0</v>
          </cell>
          <cell r="I192">
            <v>0</v>
          </cell>
          <cell r="J192" t="str">
            <v>na</v>
          </cell>
          <cell r="K192" t="e">
            <v>#VALUE!</v>
          </cell>
          <cell r="L192" t="str">
            <v>na</v>
          </cell>
          <cell r="N192">
            <v>0</v>
          </cell>
          <cell r="U192" t="str">
            <v>na</v>
          </cell>
          <cell r="W192" t="str">
            <v>na</v>
          </cell>
          <cell r="X192" t="str">
            <v>na</v>
          </cell>
          <cell r="Z192">
            <v>0</v>
          </cell>
          <cell r="AA192">
            <v>0</v>
          </cell>
          <cell r="AB192">
            <v>0</v>
          </cell>
          <cell r="AC192">
            <v>0</v>
          </cell>
          <cell r="AD192">
            <v>0</v>
          </cell>
          <cell r="AF192" t="str">
            <v>na</v>
          </cell>
          <cell r="AM192">
            <v>0</v>
          </cell>
          <cell r="AU192">
            <v>0</v>
          </cell>
          <cell r="BA192" t="str">
            <v>na</v>
          </cell>
        </row>
        <row r="193">
          <cell r="A193">
            <v>187</v>
          </cell>
          <cell r="B193" t="str">
            <v>Firm187</v>
          </cell>
          <cell r="C193">
            <v>187</v>
          </cell>
          <cell r="G193">
            <v>0</v>
          </cell>
          <cell r="I193">
            <v>0</v>
          </cell>
          <cell r="J193" t="str">
            <v>na</v>
          </cell>
          <cell r="K193" t="e">
            <v>#VALUE!</v>
          </cell>
          <cell r="L193" t="str">
            <v>na</v>
          </cell>
          <cell r="N193">
            <v>0</v>
          </cell>
          <cell r="U193" t="str">
            <v>na</v>
          </cell>
          <cell r="W193" t="str">
            <v>na</v>
          </cell>
          <cell r="X193" t="str">
            <v>na</v>
          </cell>
          <cell r="Z193">
            <v>0</v>
          </cell>
          <cell r="AA193">
            <v>0</v>
          </cell>
          <cell r="AB193">
            <v>0</v>
          </cell>
          <cell r="AC193">
            <v>0</v>
          </cell>
          <cell r="AD193">
            <v>0</v>
          </cell>
          <cell r="AF193" t="str">
            <v>na</v>
          </cell>
          <cell r="AM193">
            <v>0</v>
          </cell>
          <cell r="AU193">
            <v>0</v>
          </cell>
          <cell r="BA193" t="str">
            <v>na</v>
          </cell>
        </row>
        <row r="194">
          <cell r="A194">
            <v>188</v>
          </cell>
          <cell r="B194" t="str">
            <v>Firm188</v>
          </cell>
          <cell r="C194">
            <v>188</v>
          </cell>
          <cell r="G194">
            <v>0</v>
          </cell>
          <cell r="I194">
            <v>0</v>
          </cell>
          <cell r="J194" t="str">
            <v>na</v>
          </cell>
          <cell r="K194" t="e">
            <v>#VALUE!</v>
          </cell>
          <cell r="L194" t="str">
            <v>na</v>
          </cell>
          <cell r="N194">
            <v>0</v>
          </cell>
          <cell r="U194" t="str">
            <v>na</v>
          </cell>
          <cell r="W194" t="str">
            <v>na</v>
          </cell>
          <cell r="X194" t="str">
            <v>na</v>
          </cell>
          <cell r="Z194">
            <v>0</v>
          </cell>
          <cell r="AA194">
            <v>0</v>
          </cell>
          <cell r="AB194">
            <v>0</v>
          </cell>
          <cell r="AC194">
            <v>0</v>
          </cell>
          <cell r="AD194">
            <v>0</v>
          </cell>
          <cell r="AF194" t="str">
            <v>na</v>
          </cell>
          <cell r="AM194">
            <v>0</v>
          </cell>
          <cell r="AU194">
            <v>0</v>
          </cell>
          <cell r="BA194" t="str">
            <v>na</v>
          </cell>
        </row>
        <row r="195">
          <cell r="A195">
            <v>189</v>
          </cell>
          <cell r="B195" t="str">
            <v>Firm189</v>
          </cell>
          <cell r="C195">
            <v>189</v>
          </cell>
          <cell r="G195">
            <v>0</v>
          </cell>
          <cell r="I195">
            <v>0</v>
          </cell>
          <cell r="J195" t="str">
            <v>na</v>
          </cell>
          <cell r="K195" t="e">
            <v>#VALUE!</v>
          </cell>
          <cell r="L195" t="str">
            <v>na</v>
          </cell>
          <cell r="N195">
            <v>0</v>
          </cell>
          <cell r="U195" t="str">
            <v>na</v>
          </cell>
          <cell r="W195" t="str">
            <v>na</v>
          </cell>
          <cell r="X195" t="str">
            <v>na</v>
          </cell>
          <cell r="Z195">
            <v>0</v>
          </cell>
          <cell r="AA195">
            <v>0</v>
          </cell>
          <cell r="AB195">
            <v>0</v>
          </cell>
          <cell r="AC195">
            <v>0</v>
          </cell>
          <cell r="AD195">
            <v>0</v>
          </cell>
          <cell r="AF195" t="str">
            <v>na</v>
          </cell>
          <cell r="AM195">
            <v>0</v>
          </cell>
          <cell r="AU195">
            <v>0</v>
          </cell>
          <cell r="BA195" t="str">
            <v>na</v>
          </cell>
        </row>
        <row r="196">
          <cell r="A196">
            <v>190</v>
          </cell>
          <cell r="B196" t="str">
            <v>Firm190</v>
          </cell>
          <cell r="C196">
            <v>190</v>
          </cell>
          <cell r="G196">
            <v>0</v>
          </cell>
          <cell r="I196">
            <v>0</v>
          </cell>
          <cell r="J196" t="str">
            <v>na</v>
          </cell>
          <cell r="K196" t="e">
            <v>#VALUE!</v>
          </cell>
          <cell r="L196" t="str">
            <v>na</v>
          </cell>
          <cell r="N196">
            <v>0</v>
          </cell>
          <cell r="U196" t="str">
            <v>na</v>
          </cell>
          <cell r="W196" t="str">
            <v>na</v>
          </cell>
          <cell r="X196" t="str">
            <v>na</v>
          </cell>
          <cell r="Z196">
            <v>0</v>
          </cell>
          <cell r="AA196">
            <v>0</v>
          </cell>
          <cell r="AB196">
            <v>0</v>
          </cell>
          <cell r="AC196">
            <v>0</v>
          </cell>
          <cell r="AD196">
            <v>0</v>
          </cell>
          <cell r="AF196" t="str">
            <v>na</v>
          </cell>
          <cell r="AM196">
            <v>0</v>
          </cell>
          <cell r="AU196">
            <v>0</v>
          </cell>
          <cell r="BA196" t="str">
            <v>na</v>
          </cell>
        </row>
        <row r="197">
          <cell r="A197">
            <v>191</v>
          </cell>
          <cell r="B197" t="str">
            <v>Firm191</v>
          </cell>
          <cell r="C197">
            <v>191</v>
          </cell>
          <cell r="G197">
            <v>0</v>
          </cell>
          <cell r="I197">
            <v>0</v>
          </cell>
          <cell r="J197" t="str">
            <v>na</v>
          </cell>
          <cell r="K197" t="e">
            <v>#VALUE!</v>
          </cell>
          <cell r="L197" t="str">
            <v>na</v>
          </cell>
          <cell r="N197">
            <v>0</v>
          </cell>
          <cell r="U197" t="str">
            <v>na</v>
          </cell>
          <cell r="W197" t="str">
            <v>na</v>
          </cell>
          <cell r="X197" t="str">
            <v>na</v>
          </cell>
          <cell r="Z197">
            <v>0</v>
          </cell>
          <cell r="AA197">
            <v>0</v>
          </cell>
          <cell r="AB197">
            <v>0</v>
          </cell>
          <cell r="AC197">
            <v>0</v>
          </cell>
          <cell r="AD197">
            <v>0</v>
          </cell>
          <cell r="AF197" t="str">
            <v>na</v>
          </cell>
          <cell r="AM197">
            <v>0</v>
          </cell>
          <cell r="AU197">
            <v>0</v>
          </cell>
          <cell r="BA197" t="str">
            <v>na</v>
          </cell>
        </row>
        <row r="198">
          <cell r="A198">
            <v>192</v>
          </cell>
          <cell r="B198" t="str">
            <v>Firm192</v>
          </cell>
          <cell r="C198">
            <v>192</v>
          </cell>
          <cell r="G198">
            <v>0</v>
          </cell>
          <cell r="I198">
            <v>0</v>
          </cell>
          <cell r="J198" t="str">
            <v>na</v>
          </cell>
          <cell r="K198" t="e">
            <v>#VALUE!</v>
          </cell>
          <cell r="L198" t="str">
            <v>na</v>
          </cell>
          <cell r="N198">
            <v>0</v>
          </cell>
          <cell r="U198" t="str">
            <v>na</v>
          </cell>
          <cell r="W198" t="str">
            <v>na</v>
          </cell>
          <cell r="X198" t="str">
            <v>na</v>
          </cell>
          <cell r="Z198">
            <v>0</v>
          </cell>
          <cell r="AA198">
            <v>0</v>
          </cell>
          <cell r="AB198">
            <v>0</v>
          </cell>
          <cell r="AC198">
            <v>0</v>
          </cell>
          <cell r="AD198">
            <v>0</v>
          </cell>
          <cell r="AF198" t="str">
            <v>na</v>
          </cell>
          <cell r="AM198">
            <v>0</v>
          </cell>
          <cell r="AU198">
            <v>0</v>
          </cell>
          <cell r="BA198" t="str">
            <v>na</v>
          </cell>
        </row>
        <row r="199">
          <cell r="A199">
            <v>193</v>
          </cell>
          <cell r="B199" t="str">
            <v>Firm193</v>
          </cell>
          <cell r="C199">
            <v>193</v>
          </cell>
          <cell r="G199">
            <v>0</v>
          </cell>
          <cell r="I199">
            <v>0</v>
          </cell>
          <cell r="J199" t="str">
            <v>na</v>
          </cell>
          <cell r="K199" t="e">
            <v>#VALUE!</v>
          </cell>
          <cell r="L199" t="str">
            <v>na</v>
          </cell>
          <cell r="N199">
            <v>0</v>
          </cell>
          <cell r="U199" t="str">
            <v>na</v>
          </cell>
          <cell r="W199" t="str">
            <v>na</v>
          </cell>
          <cell r="X199" t="str">
            <v>na</v>
          </cell>
          <cell r="Z199">
            <v>0</v>
          </cell>
          <cell r="AA199">
            <v>0</v>
          </cell>
          <cell r="AB199">
            <v>0</v>
          </cell>
          <cell r="AC199">
            <v>0</v>
          </cell>
          <cell r="AD199">
            <v>0</v>
          </cell>
          <cell r="AF199" t="str">
            <v>na</v>
          </cell>
          <cell r="AM199">
            <v>0</v>
          </cell>
          <cell r="AU199">
            <v>0</v>
          </cell>
          <cell r="BA199" t="str">
            <v>na</v>
          </cell>
        </row>
        <row r="200">
          <cell r="A200">
            <v>194</v>
          </cell>
          <cell r="B200" t="str">
            <v>Target 16</v>
          </cell>
          <cell r="C200">
            <v>194</v>
          </cell>
          <cell r="D200" t="str">
            <v>Target 16</v>
          </cell>
          <cell r="G200">
            <v>0</v>
          </cell>
          <cell r="I200">
            <v>0</v>
          </cell>
          <cell r="J200" t="str">
            <v>na</v>
          </cell>
          <cell r="K200" t="e">
            <v>#VALUE!</v>
          </cell>
          <cell r="L200" t="str">
            <v>na</v>
          </cell>
          <cell r="N200">
            <v>0</v>
          </cell>
          <cell r="U200" t="str">
            <v>na</v>
          </cell>
          <cell r="W200" t="str">
            <v>na</v>
          </cell>
          <cell r="X200" t="str">
            <v>na</v>
          </cell>
          <cell r="Z200">
            <v>0</v>
          </cell>
          <cell r="AA200">
            <v>0</v>
          </cell>
          <cell r="AB200">
            <v>0</v>
          </cell>
          <cell r="AC200">
            <v>0</v>
          </cell>
          <cell r="AD200">
            <v>0</v>
          </cell>
          <cell r="AF200" t="str">
            <v>na</v>
          </cell>
          <cell r="AM200">
            <v>0</v>
          </cell>
          <cell r="AU200">
            <v>0</v>
          </cell>
          <cell r="BA200" t="str">
            <v>na</v>
          </cell>
        </row>
        <row r="201">
          <cell r="A201">
            <v>195</v>
          </cell>
          <cell r="B201" t="str">
            <v>Firm195</v>
          </cell>
          <cell r="C201">
            <v>195</v>
          </cell>
          <cell r="G201">
            <v>0</v>
          </cell>
          <cell r="I201">
            <v>0</v>
          </cell>
          <cell r="J201" t="str">
            <v>na</v>
          </cell>
          <cell r="K201" t="e">
            <v>#VALUE!</v>
          </cell>
          <cell r="L201" t="str">
            <v>na</v>
          </cell>
          <cell r="N201">
            <v>0</v>
          </cell>
          <cell r="U201" t="str">
            <v>na</v>
          </cell>
          <cell r="W201" t="str">
            <v>na</v>
          </cell>
          <cell r="X201" t="str">
            <v>na</v>
          </cell>
          <cell r="Z201">
            <v>0</v>
          </cell>
          <cell r="AA201">
            <v>0</v>
          </cell>
          <cell r="AB201">
            <v>0</v>
          </cell>
          <cell r="AC201">
            <v>0</v>
          </cell>
          <cell r="AD201">
            <v>0</v>
          </cell>
          <cell r="AF201" t="str">
            <v>na</v>
          </cell>
          <cell r="AM201">
            <v>0</v>
          </cell>
          <cell r="AU201">
            <v>0</v>
          </cell>
          <cell r="BA201" t="str">
            <v>na</v>
          </cell>
        </row>
        <row r="202">
          <cell r="A202">
            <v>196</v>
          </cell>
          <cell r="B202" t="str">
            <v>Firm196</v>
          </cell>
          <cell r="C202">
            <v>196</v>
          </cell>
          <cell r="G202">
            <v>0</v>
          </cell>
          <cell r="I202">
            <v>0</v>
          </cell>
          <cell r="J202" t="str">
            <v>na</v>
          </cell>
          <cell r="K202" t="e">
            <v>#VALUE!</v>
          </cell>
          <cell r="L202" t="str">
            <v>na</v>
          </cell>
          <cell r="N202">
            <v>0</v>
          </cell>
          <cell r="U202" t="str">
            <v>na</v>
          </cell>
          <cell r="W202" t="str">
            <v>na</v>
          </cell>
          <cell r="X202" t="str">
            <v>na</v>
          </cell>
          <cell r="Z202">
            <v>0</v>
          </cell>
          <cell r="AA202">
            <v>0</v>
          </cell>
          <cell r="AB202">
            <v>0</v>
          </cell>
          <cell r="AC202">
            <v>0</v>
          </cell>
          <cell r="AD202">
            <v>0</v>
          </cell>
          <cell r="AF202" t="str">
            <v>na</v>
          </cell>
          <cell r="AM202">
            <v>0</v>
          </cell>
          <cell r="AU202">
            <v>0</v>
          </cell>
          <cell r="BA202" t="str">
            <v>na</v>
          </cell>
        </row>
        <row r="203">
          <cell r="A203">
            <v>197</v>
          </cell>
          <cell r="B203" t="str">
            <v>Firm197</v>
          </cell>
          <cell r="C203">
            <v>197</v>
          </cell>
          <cell r="G203">
            <v>0</v>
          </cell>
          <cell r="I203">
            <v>0</v>
          </cell>
          <cell r="J203" t="str">
            <v>na</v>
          </cell>
          <cell r="K203" t="e">
            <v>#VALUE!</v>
          </cell>
          <cell r="L203" t="str">
            <v>na</v>
          </cell>
          <cell r="N203">
            <v>0</v>
          </cell>
          <cell r="U203" t="str">
            <v>na</v>
          </cell>
          <cell r="W203" t="str">
            <v>na</v>
          </cell>
          <cell r="X203" t="str">
            <v>na</v>
          </cell>
          <cell r="Z203">
            <v>0</v>
          </cell>
          <cell r="AA203">
            <v>0</v>
          </cell>
          <cell r="AB203">
            <v>0</v>
          </cell>
          <cell r="AC203">
            <v>0</v>
          </cell>
          <cell r="AD203">
            <v>0</v>
          </cell>
          <cell r="AF203" t="str">
            <v>na</v>
          </cell>
          <cell r="AM203">
            <v>0</v>
          </cell>
          <cell r="AU203">
            <v>0</v>
          </cell>
          <cell r="BA203" t="str">
            <v>na</v>
          </cell>
        </row>
        <row r="204">
          <cell r="A204">
            <v>198</v>
          </cell>
          <cell r="B204" t="str">
            <v>Firm198</v>
          </cell>
          <cell r="C204">
            <v>198</v>
          </cell>
          <cell r="G204">
            <v>0</v>
          </cell>
          <cell r="I204">
            <v>0</v>
          </cell>
          <cell r="J204" t="str">
            <v>na</v>
          </cell>
          <cell r="K204" t="e">
            <v>#VALUE!</v>
          </cell>
          <cell r="L204" t="str">
            <v>na</v>
          </cell>
          <cell r="N204">
            <v>0</v>
          </cell>
          <cell r="U204" t="str">
            <v>na</v>
          </cell>
          <cell r="W204" t="str">
            <v>na</v>
          </cell>
          <cell r="X204" t="str">
            <v>na</v>
          </cell>
          <cell r="Z204">
            <v>0</v>
          </cell>
          <cell r="AA204">
            <v>0</v>
          </cell>
          <cell r="AB204">
            <v>0</v>
          </cell>
          <cell r="AC204">
            <v>0</v>
          </cell>
          <cell r="AD204">
            <v>0</v>
          </cell>
          <cell r="AF204" t="str">
            <v>na</v>
          </cell>
          <cell r="AM204">
            <v>0</v>
          </cell>
          <cell r="AU204">
            <v>0</v>
          </cell>
          <cell r="BA204" t="str">
            <v>na</v>
          </cell>
        </row>
        <row r="205">
          <cell r="A205">
            <v>199</v>
          </cell>
          <cell r="B205" t="str">
            <v>Firm199</v>
          </cell>
          <cell r="C205">
            <v>199</v>
          </cell>
          <cell r="G205">
            <v>0</v>
          </cell>
          <cell r="I205">
            <v>0</v>
          </cell>
          <cell r="J205" t="str">
            <v>na</v>
          </cell>
          <cell r="K205" t="e">
            <v>#VALUE!</v>
          </cell>
          <cell r="L205" t="str">
            <v>na</v>
          </cell>
          <cell r="N205">
            <v>0</v>
          </cell>
          <cell r="U205" t="str">
            <v>na</v>
          </cell>
          <cell r="W205" t="str">
            <v>na</v>
          </cell>
          <cell r="X205" t="str">
            <v>na</v>
          </cell>
          <cell r="Z205">
            <v>0</v>
          </cell>
          <cell r="AA205">
            <v>0</v>
          </cell>
          <cell r="AB205">
            <v>0</v>
          </cell>
          <cell r="AC205">
            <v>0</v>
          </cell>
          <cell r="AD205">
            <v>0</v>
          </cell>
          <cell r="AF205" t="str">
            <v>na</v>
          </cell>
          <cell r="AM205">
            <v>0</v>
          </cell>
          <cell r="AU205">
            <v>0</v>
          </cell>
          <cell r="BA205" t="str">
            <v>na</v>
          </cell>
        </row>
        <row r="206">
          <cell r="A206">
            <v>200</v>
          </cell>
          <cell r="B206" t="str">
            <v>Firm200</v>
          </cell>
          <cell r="C206">
            <v>200</v>
          </cell>
          <cell r="G206">
            <v>0</v>
          </cell>
          <cell r="I206">
            <v>0</v>
          </cell>
          <cell r="J206" t="str">
            <v>na</v>
          </cell>
          <cell r="K206" t="e">
            <v>#VALUE!</v>
          </cell>
          <cell r="L206" t="str">
            <v>na</v>
          </cell>
          <cell r="N206">
            <v>0</v>
          </cell>
          <cell r="U206" t="str">
            <v>na</v>
          </cell>
          <cell r="W206" t="str">
            <v>na</v>
          </cell>
          <cell r="X206" t="str">
            <v>na</v>
          </cell>
          <cell r="Z206">
            <v>0</v>
          </cell>
          <cell r="AA206">
            <v>0</v>
          </cell>
          <cell r="AB206">
            <v>0</v>
          </cell>
          <cell r="AC206">
            <v>0</v>
          </cell>
          <cell r="AD206">
            <v>0</v>
          </cell>
          <cell r="AF206" t="str">
            <v>na</v>
          </cell>
          <cell r="AM206">
            <v>0</v>
          </cell>
          <cell r="AU206">
            <v>0</v>
          </cell>
          <cell r="BA206" t="str">
            <v>na</v>
          </cell>
        </row>
        <row r="207">
          <cell r="A207">
            <v>201</v>
          </cell>
          <cell r="B207" t="str">
            <v>Firm201</v>
          </cell>
          <cell r="C207">
            <v>201</v>
          </cell>
          <cell r="G207">
            <v>0</v>
          </cell>
          <cell r="I207">
            <v>0</v>
          </cell>
          <cell r="J207" t="str">
            <v>na</v>
          </cell>
          <cell r="K207" t="e">
            <v>#VALUE!</v>
          </cell>
          <cell r="L207" t="str">
            <v>na</v>
          </cell>
          <cell r="N207">
            <v>0</v>
          </cell>
          <cell r="U207" t="str">
            <v>na</v>
          </cell>
          <cell r="W207" t="str">
            <v>na</v>
          </cell>
          <cell r="X207" t="str">
            <v>na</v>
          </cell>
          <cell r="Z207">
            <v>0</v>
          </cell>
          <cell r="AA207">
            <v>0</v>
          </cell>
          <cell r="AB207">
            <v>0</v>
          </cell>
          <cell r="AC207">
            <v>0</v>
          </cell>
          <cell r="AD207">
            <v>0</v>
          </cell>
          <cell r="AF207" t="str">
            <v>na</v>
          </cell>
          <cell r="AM207">
            <v>0</v>
          </cell>
          <cell r="AU207">
            <v>0</v>
          </cell>
          <cell r="BA207" t="str">
            <v>na</v>
          </cell>
        </row>
        <row r="208">
          <cell r="A208">
            <v>202</v>
          </cell>
          <cell r="B208" t="str">
            <v>Firm202</v>
          </cell>
          <cell r="C208">
            <v>202</v>
          </cell>
          <cell r="G208">
            <v>0</v>
          </cell>
          <cell r="I208">
            <v>0</v>
          </cell>
          <cell r="J208" t="str">
            <v>na</v>
          </cell>
          <cell r="K208" t="e">
            <v>#VALUE!</v>
          </cell>
          <cell r="L208" t="str">
            <v>na</v>
          </cell>
          <cell r="N208">
            <v>0</v>
          </cell>
          <cell r="U208" t="str">
            <v>na</v>
          </cell>
          <cell r="W208" t="str">
            <v>na</v>
          </cell>
          <cell r="X208" t="str">
            <v>na</v>
          </cell>
          <cell r="Z208">
            <v>0</v>
          </cell>
          <cell r="AA208">
            <v>0</v>
          </cell>
          <cell r="AB208">
            <v>0</v>
          </cell>
          <cell r="AC208">
            <v>0</v>
          </cell>
          <cell r="AD208">
            <v>0</v>
          </cell>
          <cell r="AF208" t="str">
            <v>na</v>
          </cell>
          <cell r="AM208">
            <v>0</v>
          </cell>
          <cell r="AU208">
            <v>0</v>
          </cell>
          <cell r="BA208" t="str">
            <v>na</v>
          </cell>
        </row>
        <row r="209">
          <cell r="A209">
            <v>203</v>
          </cell>
          <cell r="B209" t="str">
            <v>Firm203</v>
          </cell>
          <cell r="C209">
            <v>203</v>
          </cell>
          <cell r="G209">
            <v>0</v>
          </cell>
          <cell r="I209">
            <v>0</v>
          </cell>
          <cell r="J209" t="str">
            <v>na</v>
          </cell>
          <cell r="K209" t="e">
            <v>#VALUE!</v>
          </cell>
          <cell r="L209" t="str">
            <v>na</v>
          </cell>
          <cell r="N209">
            <v>0</v>
          </cell>
          <cell r="U209" t="str">
            <v>na</v>
          </cell>
          <cell r="W209" t="str">
            <v>na</v>
          </cell>
          <cell r="X209" t="str">
            <v>na</v>
          </cell>
          <cell r="Z209">
            <v>0</v>
          </cell>
          <cell r="AA209">
            <v>0</v>
          </cell>
          <cell r="AB209">
            <v>0</v>
          </cell>
          <cell r="AC209">
            <v>0</v>
          </cell>
          <cell r="AD209">
            <v>0</v>
          </cell>
          <cell r="AF209" t="str">
            <v>na</v>
          </cell>
          <cell r="AM209">
            <v>0</v>
          </cell>
          <cell r="AU209">
            <v>0</v>
          </cell>
          <cell r="BA209" t="str">
            <v>na</v>
          </cell>
        </row>
        <row r="210">
          <cell r="A210">
            <v>204</v>
          </cell>
          <cell r="B210" t="str">
            <v>Firm204</v>
          </cell>
          <cell r="C210">
            <v>204</v>
          </cell>
          <cell r="G210">
            <v>0</v>
          </cell>
          <cell r="I210">
            <v>0</v>
          </cell>
          <cell r="J210" t="str">
            <v>na</v>
          </cell>
          <cell r="K210" t="e">
            <v>#VALUE!</v>
          </cell>
          <cell r="L210" t="str">
            <v>na</v>
          </cell>
          <cell r="N210">
            <v>0</v>
          </cell>
          <cell r="U210" t="str">
            <v>na</v>
          </cell>
          <cell r="W210" t="str">
            <v>na</v>
          </cell>
          <cell r="X210" t="str">
            <v>na</v>
          </cell>
          <cell r="Z210">
            <v>0</v>
          </cell>
          <cell r="AA210">
            <v>0</v>
          </cell>
          <cell r="AB210">
            <v>0</v>
          </cell>
          <cell r="AC210">
            <v>0</v>
          </cell>
          <cell r="AD210">
            <v>0</v>
          </cell>
          <cell r="AF210" t="str">
            <v>na</v>
          </cell>
          <cell r="AM210">
            <v>0</v>
          </cell>
          <cell r="AU210">
            <v>0</v>
          </cell>
          <cell r="BA210" t="str">
            <v>na</v>
          </cell>
        </row>
        <row r="211">
          <cell r="A211">
            <v>205</v>
          </cell>
          <cell r="B211" t="str">
            <v>Firm205</v>
          </cell>
          <cell r="C211">
            <v>205</v>
          </cell>
          <cell r="G211">
            <v>0</v>
          </cell>
          <cell r="I211">
            <v>0</v>
          </cell>
          <cell r="J211" t="str">
            <v>na</v>
          </cell>
          <cell r="K211" t="e">
            <v>#VALUE!</v>
          </cell>
          <cell r="L211" t="str">
            <v>na</v>
          </cell>
          <cell r="N211">
            <v>0</v>
          </cell>
          <cell r="U211" t="str">
            <v>na</v>
          </cell>
          <cell r="W211" t="str">
            <v>na</v>
          </cell>
          <cell r="X211" t="str">
            <v>na</v>
          </cell>
          <cell r="Z211">
            <v>0</v>
          </cell>
          <cell r="AA211">
            <v>0</v>
          </cell>
          <cell r="AB211">
            <v>0</v>
          </cell>
          <cell r="AC211">
            <v>0</v>
          </cell>
          <cell r="AD211">
            <v>0</v>
          </cell>
          <cell r="AF211" t="str">
            <v>na</v>
          </cell>
          <cell r="AM211">
            <v>0</v>
          </cell>
          <cell r="AU211">
            <v>0</v>
          </cell>
          <cell r="BA211" t="str">
            <v>na</v>
          </cell>
        </row>
        <row r="212">
          <cell r="A212">
            <v>206</v>
          </cell>
          <cell r="B212" t="str">
            <v>Firm206</v>
          </cell>
          <cell r="C212">
            <v>206</v>
          </cell>
          <cell r="G212">
            <v>0</v>
          </cell>
          <cell r="I212">
            <v>0</v>
          </cell>
          <cell r="J212" t="str">
            <v>na</v>
          </cell>
          <cell r="K212" t="e">
            <v>#VALUE!</v>
          </cell>
          <cell r="L212" t="str">
            <v>na</v>
          </cell>
          <cell r="N212">
            <v>0</v>
          </cell>
          <cell r="U212" t="str">
            <v>na</v>
          </cell>
          <cell r="W212" t="str">
            <v>na</v>
          </cell>
          <cell r="X212" t="str">
            <v>na</v>
          </cell>
          <cell r="Z212">
            <v>0</v>
          </cell>
          <cell r="AA212">
            <v>0</v>
          </cell>
          <cell r="AB212">
            <v>0</v>
          </cell>
          <cell r="AC212">
            <v>0</v>
          </cell>
          <cell r="AD212">
            <v>0</v>
          </cell>
          <cell r="AF212" t="str">
            <v>na</v>
          </cell>
          <cell r="AM212">
            <v>0</v>
          </cell>
          <cell r="AU212">
            <v>0</v>
          </cell>
          <cell r="BA212" t="str">
            <v>na</v>
          </cell>
        </row>
        <row r="213">
          <cell r="A213">
            <v>207</v>
          </cell>
          <cell r="B213" t="str">
            <v>Firm207</v>
          </cell>
          <cell r="C213">
            <v>207</v>
          </cell>
          <cell r="G213">
            <v>0</v>
          </cell>
          <cell r="I213">
            <v>0</v>
          </cell>
          <cell r="J213" t="str">
            <v>na</v>
          </cell>
          <cell r="K213" t="e">
            <v>#VALUE!</v>
          </cell>
          <cell r="L213" t="str">
            <v>na</v>
          </cell>
          <cell r="N213">
            <v>0</v>
          </cell>
          <cell r="U213" t="str">
            <v>na</v>
          </cell>
          <cell r="W213" t="str">
            <v>na</v>
          </cell>
          <cell r="X213" t="str">
            <v>na</v>
          </cell>
          <cell r="Z213">
            <v>0</v>
          </cell>
          <cell r="AA213">
            <v>0</v>
          </cell>
          <cell r="AB213">
            <v>0</v>
          </cell>
          <cell r="AC213">
            <v>0</v>
          </cell>
          <cell r="AD213">
            <v>0</v>
          </cell>
          <cell r="AF213" t="str">
            <v>na</v>
          </cell>
          <cell r="AM213">
            <v>0</v>
          </cell>
          <cell r="AU213">
            <v>0</v>
          </cell>
          <cell r="BA213" t="str">
            <v>na</v>
          </cell>
        </row>
        <row r="214">
          <cell r="A214">
            <v>208</v>
          </cell>
          <cell r="B214" t="str">
            <v>Firm208</v>
          </cell>
          <cell r="C214">
            <v>208</v>
          </cell>
          <cell r="G214">
            <v>0</v>
          </cell>
          <cell r="I214">
            <v>0</v>
          </cell>
          <cell r="J214" t="str">
            <v>na</v>
          </cell>
          <cell r="K214" t="e">
            <v>#VALUE!</v>
          </cell>
          <cell r="L214" t="str">
            <v>na</v>
          </cell>
          <cell r="N214">
            <v>0</v>
          </cell>
          <cell r="U214" t="str">
            <v>na</v>
          </cell>
          <cell r="W214" t="str">
            <v>na</v>
          </cell>
          <cell r="X214" t="str">
            <v>na</v>
          </cell>
          <cell r="Z214">
            <v>0</v>
          </cell>
          <cell r="AA214">
            <v>0</v>
          </cell>
          <cell r="AB214">
            <v>0</v>
          </cell>
          <cell r="AC214">
            <v>0</v>
          </cell>
          <cell r="AD214">
            <v>0</v>
          </cell>
          <cell r="AF214" t="str">
            <v>na</v>
          </cell>
          <cell r="AM214">
            <v>0</v>
          </cell>
          <cell r="AU214">
            <v>0</v>
          </cell>
          <cell r="BA214" t="str">
            <v>na</v>
          </cell>
        </row>
        <row r="215">
          <cell r="A215">
            <v>209</v>
          </cell>
          <cell r="B215" t="str">
            <v>Target 17</v>
          </cell>
          <cell r="C215">
            <v>209</v>
          </cell>
          <cell r="D215" t="str">
            <v>Target 17</v>
          </cell>
          <cell r="G215">
            <v>0</v>
          </cell>
          <cell r="I215">
            <v>0</v>
          </cell>
          <cell r="J215" t="str">
            <v>na</v>
          </cell>
          <cell r="K215" t="e">
            <v>#VALUE!</v>
          </cell>
          <cell r="L215" t="str">
            <v>na</v>
          </cell>
          <cell r="N215">
            <v>0</v>
          </cell>
          <cell r="U215" t="str">
            <v>na</v>
          </cell>
          <cell r="W215" t="str">
            <v>na</v>
          </cell>
          <cell r="X215" t="str">
            <v>na</v>
          </cell>
          <cell r="Z215">
            <v>0</v>
          </cell>
          <cell r="AA215">
            <v>0</v>
          </cell>
          <cell r="AB215">
            <v>0</v>
          </cell>
          <cell r="AC215">
            <v>0</v>
          </cell>
          <cell r="AD215">
            <v>0</v>
          </cell>
          <cell r="AF215" t="str">
            <v>na</v>
          </cell>
          <cell r="AM215">
            <v>0</v>
          </cell>
          <cell r="AU215">
            <v>0</v>
          </cell>
          <cell r="BA215" t="str">
            <v>na</v>
          </cell>
        </row>
        <row r="216">
          <cell r="A216">
            <v>210</v>
          </cell>
          <cell r="B216" t="str">
            <v>Firm210</v>
          </cell>
          <cell r="C216">
            <v>210</v>
          </cell>
          <cell r="G216">
            <v>0</v>
          </cell>
          <cell r="I216">
            <v>0</v>
          </cell>
          <cell r="J216" t="str">
            <v>na</v>
          </cell>
          <cell r="K216" t="e">
            <v>#VALUE!</v>
          </cell>
          <cell r="L216" t="str">
            <v>na</v>
          </cell>
          <cell r="N216">
            <v>0</v>
          </cell>
          <cell r="U216" t="str">
            <v>na</v>
          </cell>
          <cell r="W216" t="str">
            <v>na</v>
          </cell>
          <cell r="X216" t="str">
            <v>na</v>
          </cell>
          <cell r="Z216">
            <v>0</v>
          </cell>
          <cell r="AA216">
            <v>0</v>
          </cell>
          <cell r="AB216">
            <v>0</v>
          </cell>
          <cell r="AC216">
            <v>0</v>
          </cell>
          <cell r="AD216">
            <v>0</v>
          </cell>
          <cell r="AF216" t="str">
            <v>na</v>
          </cell>
          <cell r="AM216">
            <v>0</v>
          </cell>
          <cell r="AU216">
            <v>0</v>
          </cell>
          <cell r="BA216" t="str">
            <v>na</v>
          </cell>
        </row>
        <row r="217">
          <cell r="A217">
            <v>211</v>
          </cell>
          <cell r="B217" t="str">
            <v>Firm211</v>
          </cell>
          <cell r="C217">
            <v>211</v>
          </cell>
          <cell r="G217">
            <v>0</v>
          </cell>
          <cell r="I217">
            <v>0</v>
          </cell>
          <cell r="J217" t="str">
            <v>na</v>
          </cell>
          <cell r="K217" t="e">
            <v>#VALUE!</v>
          </cell>
          <cell r="L217" t="str">
            <v>na</v>
          </cell>
          <cell r="N217">
            <v>0</v>
          </cell>
          <cell r="U217" t="str">
            <v>na</v>
          </cell>
          <cell r="W217" t="str">
            <v>na</v>
          </cell>
          <cell r="X217" t="str">
            <v>na</v>
          </cell>
          <cell r="Z217">
            <v>0</v>
          </cell>
          <cell r="AA217">
            <v>0</v>
          </cell>
          <cell r="AB217">
            <v>0</v>
          </cell>
          <cell r="AC217">
            <v>0</v>
          </cell>
          <cell r="AD217">
            <v>0</v>
          </cell>
          <cell r="AF217" t="str">
            <v>na</v>
          </cell>
          <cell r="AM217">
            <v>0</v>
          </cell>
          <cell r="AU217">
            <v>0</v>
          </cell>
          <cell r="BA217" t="str">
            <v>na</v>
          </cell>
        </row>
        <row r="218">
          <cell r="A218">
            <v>212</v>
          </cell>
          <cell r="B218" t="str">
            <v>Firm212</v>
          </cell>
          <cell r="C218">
            <v>212</v>
          </cell>
          <cell r="G218">
            <v>0</v>
          </cell>
          <cell r="I218">
            <v>0</v>
          </cell>
          <cell r="J218" t="str">
            <v>na</v>
          </cell>
          <cell r="K218" t="e">
            <v>#VALUE!</v>
          </cell>
          <cell r="L218" t="str">
            <v>na</v>
          </cell>
          <cell r="N218">
            <v>0</v>
          </cell>
          <cell r="U218" t="str">
            <v>na</v>
          </cell>
          <cell r="W218" t="str">
            <v>na</v>
          </cell>
          <cell r="X218" t="str">
            <v>na</v>
          </cell>
          <cell r="Z218">
            <v>0</v>
          </cell>
          <cell r="AA218">
            <v>0</v>
          </cell>
          <cell r="AB218">
            <v>0</v>
          </cell>
          <cell r="AC218">
            <v>0</v>
          </cell>
          <cell r="AD218">
            <v>0</v>
          </cell>
          <cell r="AF218" t="str">
            <v>na</v>
          </cell>
          <cell r="AM218">
            <v>0</v>
          </cell>
          <cell r="AU218">
            <v>0</v>
          </cell>
          <cell r="BA218" t="str">
            <v>na</v>
          </cell>
        </row>
        <row r="219">
          <cell r="A219">
            <v>213</v>
          </cell>
          <cell r="B219" t="str">
            <v>Firm213</v>
          </cell>
          <cell r="C219">
            <v>213</v>
          </cell>
          <cell r="G219">
            <v>0</v>
          </cell>
          <cell r="I219">
            <v>0</v>
          </cell>
          <cell r="J219" t="str">
            <v>na</v>
          </cell>
          <cell r="K219" t="e">
            <v>#VALUE!</v>
          </cell>
          <cell r="L219" t="str">
            <v>na</v>
          </cell>
          <cell r="N219">
            <v>0</v>
          </cell>
          <cell r="U219" t="str">
            <v>na</v>
          </cell>
          <cell r="W219" t="str">
            <v>na</v>
          </cell>
          <cell r="X219" t="str">
            <v>na</v>
          </cell>
          <cell r="Z219">
            <v>0</v>
          </cell>
          <cell r="AA219">
            <v>0</v>
          </cell>
          <cell r="AB219">
            <v>0</v>
          </cell>
          <cell r="AC219">
            <v>0</v>
          </cell>
          <cell r="AD219">
            <v>0</v>
          </cell>
          <cell r="AF219" t="str">
            <v>na</v>
          </cell>
          <cell r="AM219">
            <v>0</v>
          </cell>
          <cell r="AU219">
            <v>0</v>
          </cell>
          <cell r="BA219" t="str">
            <v>na</v>
          </cell>
        </row>
        <row r="220">
          <cell r="A220">
            <v>214</v>
          </cell>
          <cell r="B220" t="str">
            <v>Firm214</v>
          </cell>
          <cell r="C220">
            <v>214</v>
          </cell>
          <cell r="G220">
            <v>0</v>
          </cell>
          <cell r="I220">
            <v>0</v>
          </cell>
          <cell r="J220" t="str">
            <v>na</v>
          </cell>
          <cell r="K220" t="e">
            <v>#VALUE!</v>
          </cell>
          <cell r="L220" t="str">
            <v>na</v>
          </cell>
          <cell r="N220">
            <v>0</v>
          </cell>
          <cell r="U220" t="str">
            <v>na</v>
          </cell>
          <cell r="W220" t="str">
            <v>na</v>
          </cell>
          <cell r="X220" t="str">
            <v>na</v>
          </cell>
          <cell r="Z220">
            <v>0</v>
          </cell>
          <cell r="AA220">
            <v>0</v>
          </cell>
          <cell r="AB220">
            <v>0</v>
          </cell>
          <cell r="AC220">
            <v>0</v>
          </cell>
          <cell r="AD220">
            <v>0</v>
          </cell>
          <cell r="AF220" t="str">
            <v>na</v>
          </cell>
          <cell r="AM220">
            <v>0</v>
          </cell>
          <cell r="AU220">
            <v>0</v>
          </cell>
          <cell r="BA220" t="str">
            <v>na</v>
          </cell>
        </row>
        <row r="221">
          <cell r="A221">
            <v>215</v>
          </cell>
          <cell r="B221" t="str">
            <v>Firm215</v>
          </cell>
          <cell r="C221">
            <v>215</v>
          </cell>
          <cell r="G221">
            <v>0</v>
          </cell>
          <cell r="I221">
            <v>0</v>
          </cell>
          <cell r="J221" t="str">
            <v>na</v>
          </cell>
          <cell r="K221" t="e">
            <v>#VALUE!</v>
          </cell>
          <cell r="L221" t="str">
            <v>na</v>
          </cell>
          <cell r="N221">
            <v>0</v>
          </cell>
          <cell r="U221" t="str">
            <v>na</v>
          </cell>
          <cell r="W221" t="str">
            <v>na</v>
          </cell>
          <cell r="X221" t="str">
            <v>na</v>
          </cell>
          <cell r="Z221">
            <v>0</v>
          </cell>
          <cell r="AA221">
            <v>0</v>
          </cell>
          <cell r="AB221">
            <v>0</v>
          </cell>
          <cell r="AC221">
            <v>0</v>
          </cell>
          <cell r="AD221">
            <v>0</v>
          </cell>
          <cell r="AF221" t="str">
            <v>na</v>
          </cell>
          <cell r="AM221">
            <v>0</v>
          </cell>
          <cell r="AU221">
            <v>0</v>
          </cell>
          <cell r="BA221" t="str">
            <v>na</v>
          </cell>
        </row>
        <row r="222">
          <cell r="A222">
            <v>216</v>
          </cell>
          <cell r="B222" t="str">
            <v>Firm216</v>
          </cell>
          <cell r="C222">
            <v>216</v>
          </cell>
          <cell r="G222">
            <v>0</v>
          </cell>
          <cell r="I222">
            <v>0</v>
          </cell>
          <cell r="J222" t="str">
            <v>na</v>
          </cell>
          <cell r="K222" t="e">
            <v>#VALUE!</v>
          </cell>
          <cell r="L222" t="str">
            <v>na</v>
          </cell>
          <cell r="N222">
            <v>0</v>
          </cell>
          <cell r="U222" t="str">
            <v>na</v>
          </cell>
          <cell r="W222" t="str">
            <v>na</v>
          </cell>
          <cell r="X222" t="str">
            <v>na</v>
          </cell>
          <cell r="Z222">
            <v>0</v>
          </cell>
          <cell r="AA222">
            <v>0</v>
          </cell>
          <cell r="AB222">
            <v>0</v>
          </cell>
          <cell r="AC222">
            <v>0</v>
          </cell>
          <cell r="AD222">
            <v>0</v>
          </cell>
          <cell r="AF222" t="str">
            <v>na</v>
          </cell>
          <cell r="AM222">
            <v>0</v>
          </cell>
          <cell r="AU222">
            <v>0</v>
          </cell>
          <cell r="BA222" t="str">
            <v>na</v>
          </cell>
        </row>
        <row r="223">
          <cell r="A223">
            <v>217</v>
          </cell>
          <cell r="B223" t="str">
            <v>Firm217</v>
          </cell>
          <cell r="C223">
            <v>217</v>
          </cell>
          <cell r="G223">
            <v>0</v>
          </cell>
          <cell r="I223">
            <v>0</v>
          </cell>
          <cell r="J223" t="str">
            <v>na</v>
          </cell>
          <cell r="K223" t="e">
            <v>#VALUE!</v>
          </cell>
          <cell r="L223" t="str">
            <v>na</v>
          </cell>
          <cell r="N223">
            <v>0</v>
          </cell>
          <cell r="U223" t="str">
            <v>na</v>
          </cell>
          <cell r="W223" t="str">
            <v>na</v>
          </cell>
          <cell r="X223" t="str">
            <v>na</v>
          </cell>
          <cell r="Z223">
            <v>0</v>
          </cell>
          <cell r="AA223">
            <v>0</v>
          </cell>
          <cell r="AB223">
            <v>0</v>
          </cell>
          <cell r="AC223">
            <v>0</v>
          </cell>
          <cell r="AD223">
            <v>0</v>
          </cell>
          <cell r="AF223" t="str">
            <v>na</v>
          </cell>
          <cell r="AM223">
            <v>0</v>
          </cell>
          <cell r="AU223">
            <v>0</v>
          </cell>
          <cell r="BA223" t="str">
            <v>na</v>
          </cell>
        </row>
        <row r="224">
          <cell r="A224">
            <v>218</v>
          </cell>
          <cell r="B224" t="str">
            <v>Firm218</v>
          </cell>
          <cell r="C224">
            <v>218</v>
          </cell>
          <cell r="G224">
            <v>0</v>
          </cell>
          <cell r="I224">
            <v>0</v>
          </cell>
          <cell r="J224" t="str">
            <v>na</v>
          </cell>
          <cell r="K224" t="e">
            <v>#VALUE!</v>
          </cell>
          <cell r="L224" t="str">
            <v>na</v>
          </cell>
          <cell r="N224">
            <v>0</v>
          </cell>
          <cell r="U224" t="str">
            <v>na</v>
          </cell>
          <cell r="W224" t="str">
            <v>na</v>
          </cell>
          <cell r="X224" t="str">
            <v>na</v>
          </cell>
          <cell r="Z224">
            <v>0</v>
          </cell>
          <cell r="AA224">
            <v>0</v>
          </cell>
          <cell r="AB224">
            <v>0</v>
          </cell>
          <cell r="AC224">
            <v>0</v>
          </cell>
          <cell r="AD224">
            <v>0</v>
          </cell>
          <cell r="AF224" t="str">
            <v>na</v>
          </cell>
          <cell r="AM224">
            <v>0</v>
          </cell>
          <cell r="AU224">
            <v>0</v>
          </cell>
          <cell r="BA224" t="str">
            <v>na</v>
          </cell>
        </row>
        <row r="225">
          <cell r="A225">
            <v>219</v>
          </cell>
          <cell r="B225" t="str">
            <v>Firm219</v>
          </cell>
          <cell r="C225">
            <v>219</v>
          </cell>
          <cell r="G225">
            <v>0</v>
          </cell>
          <cell r="I225">
            <v>0</v>
          </cell>
          <cell r="J225" t="str">
            <v>na</v>
          </cell>
          <cell r="K225" t="e">
            <v>#VALUE!</v>
          </cell>
          <cell r="L225" t="str">
            <v>na</v>
          </cell>
          <cell r="N225">
            <v>0</v>
          </cell>
          <cell r="U225" t="str">
            <v>na</v>
          </cell>
          <cell r="W225" t="str">
            <v>na</v>
          </cell>
          <cell r="X225" t="str">
            <v>na</v>
          </cell>
          <cell r="Z225">
            <v>0</v>
          </cell>
          <cell r="AA225">
            <v>0</v>
          </cell>
          <cell r="AB225">
            <v>0</v>
          </cell>
          <cell r="AC225">
            <v>0</v>
          </cell>
          <cell r="AD225">
            <v>0</v>
          </cell>
          <cell r="AF225" t="str">
            <v>na</v>
          </cell>
          <cell r="AM225">
            <v>0</v>
          </cell>
          <cell r="AU225">
            <v>0</v>
          </cell>
          <cell r="BA225" t="str">
            <v>na</v>
          </cell>
        </row>
        <row r="226">
          <cell r="A226">
            <v>220</v>
          </cell>
          <cell r="B226" t="str">
            <v>Firm220</v>
          </cell>
          <cell r="C226">
            <v>220</v>
          </cell>
          <cell r="G226">
            <v>0</v>
          </cell>
          <cell r="I226">
            <v>0</v>
          </cell>
          <cell r="J226" t="str">
            <v>na</v>
          </cell>
          <cell r="K226" t="e">
            <v>#VALUE!</v>
          </cell>
          <cell r="L226" t="str">
            <v>na</v>
          </cell>
          <cell r="N226">
            <v>0</v>
          </cell>
          <cell r="U226" t="str">
            <v>na</v>
          </cell>
          <cell r="W226" t="str">
            <v>na</v>
          </cell>
          <cell r="X226" t="str">
            <v>na</v>
          </cell>
          <cell r="Z226">
            <v>0</v>
          </cell>
          <cell r="AA226">
            <v>0</v>
          </cell>
          <cell r="AB226">
            <v>0</v>
          </cell>
          <cell r="AC226">
            <v>0</v>
          </cell>
          <cell r="AD226">
            <v>0</v>
          </cell>
          <cell r="AF226" t="str">
            <v>na</v>
          </cell>
          <cell r="AM226">
            <v>0</v>
          </cell>
          <cell r="AU226">
            <v>0</v>
          </cell>
          <cell r="BA226" t="str">
            <v>na</v>
          </cell>
        </row>
        <row r="227">
          <cell r="A227">
            <v>221</v>
          </cell>
          <cell r="B227" t="str">
            <v>Firm221</v>
          </cell>
          <cell r="C227">
            <v>221</v>
          </cell>
          <cell r="G227">
            <v>0</v>
          </cell>
          <cell r="I227">
            <v>0</v>
          </cell>
          <cell r="J227" t="str">
            <v>na</v>
          </cell>
          <cell r="K227" t="e">
            <v>#VALUE!</v>
          </cell>
          <cell r="L227" t="str">
            <v>na</v>
          </cell>
          <cell r="N227">
            <v>0</v>
          </cell>
          <cell r="U227" t="str">
            <v>na</v>
          </cell>
          <cell r="W227" t="str">
            <v>na</v>
          </cell>
          <cell r="X227" t="str">
            <v>na</v>
          </cell>
          <cell r="Z227">
            <v>0</v>
          </cell>
          <cell r="AA227">
            <v>0</v>
          </cell>
          <cell r="AB227">
            <v>0</v>
          </cell>
          <cell r="AC227">
            <v>0</v>
          </cell>
          <cell r="AD227">
            <v>0</v>
          </cell>
          <cell r="AF227" t="str">
            <v>na</v>
          </cell>
          <cell r="AM227">
            <v>0</v>
          </cell>
          <cell r="AU227">
            <v>0</v>
          </cell>
          <cell r="BA227" t="str">
            <v>na</v>
          </cell>
        </row>
        <row r="228">
          <cell r="A228">
            <v>222</v>
          </cell>
          <cell r="B228" t="str">
            <v>Target 18</v>
          </cell>
          <cell r="C228">
            <v>222</v>
          </cell>
          <cell r="D228" t="str">
            <v>Target 18</v>
          </cell>
          <cell r="G228">
            <v>0</v>
          </cell>
          <cell r="I228">
            <v>0</v>
          </cell>
          <cell r="J228" t="str">
            <v>na</v>
          </cell>
          <cell r="K228" t="e">
            <v>#VALUE!</v>
          </cell>
          <cell r="L228" t="str">
            <v>na</v>
          </cell>
          <cell r="N228">
            <v>0</v>
          </cell>
          <cell r="U228" t="str">
            <v>na</v>
          </cell>
          <cell r="W228" t="str">
            <v>na</v>
          </cell>
          <cell r="X228" t="str">
            <v>na</v>
          </cell>
          <cell r="Z228">
            <v>0</v>
          </cell>
          <cell r="AA228">
            <v>0</v>
          </cell>
          <cell r="AB228">
            <v>0</v>
          </cell>
          <cell r="AC228">
            <v>0</v>
          </cell>
          <cell r="AD228">
            <v>0</v>
          </cell>
          <cell r="AF228" t="str">
            <v>na</v>
          </cell>
          <cell r="AM228">
            <v>0</v>
          </cell>
          <cell r="AU228">
            <v>0</v>
          </cell>
          <cell r="BA228" t="str">
            <v>na</v>
          </cell>
        </row>
        <row r="229">
          <cell r="A229">
            <v>223</v>
          </cell>
          <cell r="B229" t="str">
            <v>Firm223</v>
          </cell>
          <cell r="C229">
            <v>223</v>
          </cell>
          <cell r="G229">
            <v>0</v>
          </cell>
          <cell r="I229">
            <v>0</v>
          </cell>
          <cell r="J229" t="str">
            <v>na</v>
          </cell>
          <cell r="K229" t="e">
            <v>#VALUE!</v>
          </cell>
          <cell r="L229" t="str">
            <v>na</v>
          </cell>
          <cell r="N229">
            <v>0</v>
          </cell>
          <cell r="U229" t="str">
            <v>na</v>
          </cell>
          <cell r="W229" t="str">
            <v>na</v>
          </cell>
          <cell r="X229" t="str">
            <v>na</v>
          </cell>
          <cell r="Z229">
            <v>0</v>
          </cell>
          <cell r="AA229">
            <v>0</v>
          </cell>
          <cell r="AB229">
            <v>0</v>
          </cell>
          <cell r="AC229">
            <v>0</v>
          </cell>
          <cell r="AD229">
            <v>0</v>
          </cell>
          <cell r="AF229" t="str">
            <v>na</v>
          </cell>
          <cell r="AM229">
            <v>0</v>
          </cell>
          <cell r="AU229">
            <v>0</v>
          </cell>
          <cell r="BA229" t="str">
            <v>na</v>
          </cell>
        </row>
        <row r="230">
          <cell r="A230">
            <v>224</v>
          </cell>
          <cell r="B230" t="str">
            <v>Firm224</v>
          </cell>
          <cell r="C230">
            <v>224</v>
          </cell>
          <cell r="G230">
            <v>0</v>
          </cell>
          <cell r="I230">
            <v>0</v>
          </cell>
          <cell r="J230" t="str">
            <v>na</v>
          </cell>
          <cell r="K230" t="e">
            <v>#VALUE!</v>
          </cell>
          <cell r="L230" t="str">
            <v>na</v>
          </cell>
          <cell r="N230">
            <v>0</v>
          </cell>
          <cell r="U230" t="str">
            <v>na</v>
          </cell>
          <cell r="W230" t="str">
            <v>na</v>
          </cell>
          <cell r="X230" t="str">
            <v>na</v>
          </cell>
          <cell r="Z230">
            <v>0</v>
          </cell>
          <cell r="AA230">
            <v>0</v>
          </cell>
          <cell r="AB230">
            <v>0</v>
          </cell>
          <cell r="AC230">
            <v>0</v>
          </cell>
          <cell r="AD230">
            <v>0</v>
          </cell>
          <cell r="AF230" t="str">
            <v>na</v>
          </cell>
          <cell r="AM230">
            <v>0</v>
          </cell>
          <cell r="AU230">
            <v>0</v>
          </cell>
          <cell r="BA230" t="str">
            <v>na</v>
          </cell>
        </row>
        <row r="231">
          <cell r="A231">
            <v>225</v>
          </cell>
          <cell r="B231" t="str">
            <v>Firm225</v>
          </cell>
          <cell r="C231">
            <v>225</v>
          </cell>
          <cell r="G231">
            <v>0</v>
          </cell>
          <cell r="I231">
            <v>0</v>
          </cell>
          <cell r="J231" t="str">
            <v>na</v>
          </cell>
          <cell r="K231" t="e">
            <v>#VALUE!</v>
          </cell>
          <cell r="L231" t="str">
            <v>na</v>
          </cell>
          <cell r="N231">
            <v>0</v>
          </cell>
          <cell r="U231" t="str">
            <v>na</v>
          </cell>
          <cell r="W231" t="str">
            <v>na</v>
          </cell>
          <cell r="X231" t="str">
            <v>na</v>
          </cell>
          <cell r="Z231">
            <v>0</v>
          </cell>
          <cell r="AA231">
            <v>0</v>
          </cell>
          <cell r="AB231">
            <v>0</v>
          </cell>
          <cell r="AC231">
            <v>0</v>
          </cell>
          <cell r="AD231">
            <v>0</v>
          </cell>
          <cell r="AF231" t="str">
            <v>na</v>
          </cell>
          <cell r="AM231">
            <v>0</v>
          </cell>
          <cell r="AU231">
            <v>0</v>
          </cell>
          <cell r="BA231" t="str">
            <v>na</v>
          </cell>
        </row>
        <row r="232">
          <cell r="A232">
            <v>226</v>
          </cell>
          <cell r="B232" t="str">
            <v>Firm226</v>
          </cell>
          <cell r="C232">
            <v>226</v>
          </cell>
          <cell r="G232">
            <v>0</v>
          </cell>
          <cell r="I232">
            <v>0</v>
          </cell>
          <cell r="J232" t="str">
            <v>na</v>
          </cell>
          <cell r="K232" t="e">
            <v>#VALUE!</v>
          </cell>
          <cell r="L232" t="str">
            <v>na</v>
          </cell>
          <cell r="N232">
            <v>0</v>
          </cell>
          <cell r="U232" t="str">
            <v>na</v>
          </cell>
          <cell r="W232" t="str">
            <v>na</v>
          </cell>
          <cell r="X232" t="str">
            <v>na</v>
          </cell>
          <cell r="Z232">
            <v>0</v>
          </cell>
          <cell r="AA232">
            <v>0</v>
          </cell>
          <cell r="AB232">
            <v>0</v>
          </cell>
          <cell r="AC232">
            <v>0</v>
          </cell>
          <cell r="AD232">
            <v>0</v>
          </cell>
          <cell r="AF232" t="str">
            <v>na</v>
          </cell>
          <cell r="AM232">
            <v>0</v>
          </cell>
          <cell r="AU232">
            <v>0</v>
          </cell>
          <cell r="BA232" t="str">
            <v>na</v>
          </cell>
        </row>
        <row r="233">
          <cell r="A233">
            <v>227</v>
          </cell>
          <cell r="B233" t="str">
            <v>Firm227</v>
          </cell>
          <cell r="C233">
            <v>227</v>
          </cell>
          <cell r="G233">
            <v>0</v>
          </cell>
          <cell r="I233">
            <v>0</v>
          </cell>
          <cell r="J233" t="str">
            <v>na</v>
          </cell>
          <cell r="K233" t="e">
            <v>#VALUE!</v>
          </cell>
          <cell r="L233" t="str">
            <v>na</v>
          </cell>
          <cell r="N233">
            <v>0</v>
          </cell>
          <cell r="U233" t="str">
            <v>na</v>
          </cell>
          <cell r="W233" t="str">
            <v>na</v>
          </cell>
          <cell r="X233" t="str">
            <v>na</v>
          </cell>
          <cell r="Z233">
            <v>0</v>
          </cell>
          <cell r="AA233">
            <v>0</v>
          </cell>
          <cell r="AB233">
            <v>0</v>
          </cell>
          <cell r="AC233">
            <v>0</v>
          </cell>
          <cell r="AD233">
            <v>0</v>
          </cell>
          <cell r="AF233" t="str">
            <v>na</v>
          </cell>
          <cell r="AM233">
            <v>0</v>
          </cell>
          <cell r="AU233">
            <v>0</v>
          </cell>
          <cell r="BA233" t="str">
            <v>na</v>
          </cell>
        </row>
        <row r="234">
          <cell r="A234">
            <v>228</v>
          </cell>
          <cell r="B234" t="str">
            <v>Firm228</v>
          </cell>
          <cell r="C234">
            <v>228</v>
          </cell>
          <cell r="G234">
            <v>0</v>
          </cell>
          <cell r="I234">
            <v>0</v>
          </cell>
          <cell r="J234" t="str">
            <v>na</v>
          </cell>
          <cell r="K234" t="e">
            <v>#VALUE!</v>
          </cell>
          <cell r="L234" t="str">
            <v>na</v>
          </cell>
          <cell r="N234">
            <v>0</v>
          </cell>
          <cell r="U234" t="str">
            <v>na</v>
          </cell>
          <cell r="W234" t="str">
            <v>na</v>
          </cell>
          <cell r="X234" t="str">
            <v>na</v>
          </cell>
          <cell r="Z234">
            <v>0</v>
          </cell>
          <cell r="AA234">
            <v>0</v>
          </cell>
          <cell r="AB234">
            <v>0</v>
          </cell>
          <cell r="AC234">
            <v>0</v>
          </cell>
          <cell r="AD234">
            <v>0</v>
          </cell>
          <cell r="AF234" t="str">
            <v>na</v>
          </cell>
          <cell r="AM234">
            <v>0</v>
          </cell>
          <cell r="AU234">
            <v>0</v>
          </cell>
          <cell r="BA234" t="str">
            <v>na</v>
          </cell>
        </row>
        <row r="235">
          <cell r="A235">
            <v>229</v>
          </cell>
          <cell r="B235" t="str">
            <v>Firm229</v>
          </cell>
          <cell r="C235">
            <v>229</v>
          </cell>
          <cell r="G235">
            <v>0</v>
          </cell>
          <cell r="I235">
            <v>0</v>
          </cell>
          <cell r="J235" t="str">
            <v>na</v>
          </cell>
          <cell r="K235" t="e">
            <v>#VALUE!</v>
          </cell>
          <cell r="L235" t="str">
            <v>na</v>
          </cell>
          <cell r="N235">
            <v>0</v>
          </cell>
          <cell r="U235" t="str">
            <v>na</v>
          </cell>
          <cell r="W235" t="str">
            <v>na</v>
          </cell>
          <cell r="X235" t="str">
            <v>na</v>
          </cell>
          <cell r="Z235">
            <v>0</v>
          </cell>
          <cell r="AA235">
            <v>0</v>
          </cell>
          <cell r="AB235">
            <v>0</v>
          </cell>
          <cell r="AC235">
            <v>0</v>
          </cell>
          <cell r="AD235">
            <v>0</v>
          </cell>
          <cell r="AF235" t="str">
            <v>na</v>
          </cell>
          <cell r="AM235">
            <v>0</v>
          </cell>
          <cell r="AU235">
            <v>0</v>
          </cell>
          <cell r="BA235" t="str">
            <v>na</v>
          </cell>
        </row>
        <row r="236">
          <cell r="A236">
            <v>230</v>
          </cell>
          <cell r="B236" t="str">
            <v>Firm230</v>
          </cell>
          <cell r="C236">
            <v>230</v>
          </cell>
          <cell r="G236">
            <v>0</v>
          </cell>
          <cell r="I236">
            <v>0</v>
          </cell>
          <cell r="J236" t="str">
            <v>na</v>
          </cell>
          <cell r="K236" t="e">
            <v>#VALUE!</v>
          </cell>
          <cell r="L236" t="str">
            <v>na</v>
          </cell>
          <cell r="N236">
            <v>0</v>
          </cell>
          <cell r="U236" t="str">
            <v>na</v>
          </cell>
          <cell r="W236" t="str">
            <v>na</v>
          </cell>
          <cell r="X236" t="str">
            <v>na</v>
          </cell>
          <cell r="Z236">
            <v>0</v>
          </cell>
          <cell r="AA236">
            <v>0</v>
          </cell>
          <cell r="AB236">
            <v>0</v>
          </cell>
          <cell r="AC236">
            <v>0</v>
          </cell>
          <cell r="AD236">
            <v>0</v>
          </cell>
          <cell r="AF236" t="str">
            <v>na</v>
          </cell>
          <cell r="AM236">
            <v>0</v>
          </cell>
          <cell r="AU236">
            <v>0</v>
          </cell>
          <cell r="BA236" t="str">
            <v>na</v>
          </cell>
        </row>
        <row r="237">
          <cell r="A237">
            <v>231</v>
          </cell>
          <cell r="B237" t="str">
            <v>Firm231</v>
          </cell>
          <cell r="C237">
            <v>231</v>
          </cell>
          <cell r="G237">
            <v>0</v>
          </cell>
          <cell r="I237">
            <v>0</v>
          </cell>
          <cell r="J237" t="str">
            <v>na</v>
          </cell>
          <cell r="K237" t="e">
            <v>#VALUE!</v>
          </cell>
          <cell r="L237" t="str">
            <v>na</v>
          </cell>
          <cell r="N237">
            <v>0</v>
          </cell>
          <cell r="U237" t="str">
            <v>na</v>
          </cell>
          <cell r="W237" t="str">
            <v>na</v>
          </cell>
          <cell r="X237" t="str">
            <v>na</v>
          </cell>
          <cell r="Z237">
            <v>0</v>
          </cell>
          <cell r="AA237">
            <v>0</v>
          </cell>
          <cell r="AB237">
            <v>0</v>
          </cell>
          <cell r="AC237">
            <v>0</v>
          </cell>
          <cell r="AD237">
            <v>0</v>
          </cell>
          <cell r="AF237" t="str">
            <v>na</v>
          </cell>
          <cell r="AM237">
            <v>0</v>
          </cell>
          <cell r="AU237">
            <v>0</v>
          </cell>
          <cell r="BA237" t="str">
            <v>na</v>
          </cell>
        </row>
        <row r="238">
          <cell r="A238">
            <v>232</v>
          </cell>
          <cell r="B238" t="str">
            <v>Firm232</v>
          </cell>
          <cell r="C238">
            <v>232</v>
          </cell>
          <cell r="G238">
            <v>0</v>
          </cell>
          <cell r="I238">
            <v>0</v>
          </cell>
          <cell r="J238" t="str">
            <v>na</v>
          </cell>
          <cell r="K238" t="e">
            <v>#VALUE!</v>
          </cell>
          <cell r="L238" t="str">
            <v>na</v>
          </cell>
          <cell r="N238">
            <v>0</v>
          </cell>
          <cell r="U238" t="str">
            <v>na</v>
          </cell>
          <cell r="W238" t="str">
            <v>na</v>
          </cell>
          <cell r="X238" t="str">
            <v>na</v>
          </cell>
          <cell r="Z238">
            <v>0</v>
          </cell>
          <cell r="AA238">
            <v>0</v>
          </cell>
          <cell r="AB238">
            <v>0</v>
          </cell>
          <cell r="AC238">
            <v>0</v>
          </cell>
          <cell r="AD238">
            <v>0</v>
          </cell>
          <cell r="AF238" t="str">
            <v>na</v>
          </cell>
          <cell r="AM238">
            <v>0</v>
          </cell>
          <cell r="AU238">
            <v>0</v>
          </cell>
          <cell r="BA238" t="str">
            <v>na</v>
          </cell>
        </row>
        <row r="239">
          <cell r="A239">
            <v>233</v>
          </cell>
          <cell r="B239" t="str">
            <v>Firm233</v>
          </cell>
          <cell r="C239">
            <v>233</v>
          </cell>
          <cell r="G239">
            <v>0</v>
          </cell>
          <cell r="I239">
            <v>0</v>
          </cell>
          <cell r="J239" t="str">
            <v>na</v>
          </cell>
          <cell r="K239" t="e">
            <v>#VALUE!</v>
          </cell>
          <cell r="L239" t="str">
            <v>na</v>
          </cell>
          <cell r="N239">
            <v>0</v>
          </cell>
          <cell r="U239" t="str">
            <v>na</v>
          </cell>
          <cell r="W239" t="str">
            <v>na</v>
          </cell>
          <cell r="X239" t="str">
            <v>na</v>
          </cell>
          <cell r="Z239">
            <v>0</v>
          </cell>
          <cell r="AA239">
            <v>0</v>
          </cell>
          <cell r="AB239">
            <v>0</v>
          </cell>
          <cell r="AC239">
            <v>0</v>
          </cell>
          <cell r="AD239">
            <v>0</v>
          </cell>
          <cell r="AF239" t="str">
            <v>na</v>
          </cell>
          <cell r="AM239">
            <v>0</v>
          </cell>
          <cell r="AU239">
            <v>0</v>
          </cell>
          <cell r="BA239" t="str">
            <v>na</v>
          </cell>
        </row>
        <row r="240">
          <cell r="A240">
            <v>234</v>
          </cell>
          <cell r="B240" t="str">
            <v>Firm234</v>
          </cell>
          <cell r="C240">
            <v>234</v>
          </cell>
          <cell r="G240">
            <v>0</v>
          </cell>
          <cell r="I240">
            <v>0</v>
          </cell>
          <cell r="J240" t="str">
            <v>na</v>
          </cell>
          <cell r="K240" t="e">
            <v>#VALUE!</v>
          </cell>
          <cell r="L240" t="str">
            <v>na</v>
          </cell>
          <cell r="N240">
            <v>0</v>
          </cell>
          <cell r="U240" t="str">
            <v>na</v>
          </cell>
          <cell r="W240" t="str">
            <v>na</v>
          </cell>
          <cell r="X240" t="str">
            <v>na</v>
          </cell>
          <cell r="Z240">
            <v>0</v>
          </cell>
          <cell r="AA240">
            <v>0</v>
          </cell>
          <cell r="AB240">
            <v>0</v>
          </cell>
          <cell r="AC240">
            <v>0</v>
          </cell>
          <cell r="AD240">
            <v>0</v>
          </cell>
          <cell r="AF240" t="str">
            <v>na</v>
          </cell>
          <cell r="AM240">
            <v>0</v>
          </cell>
          <cell r="AU240">
            <v>0</v>
          </cell>
          <cell r="BA240" t="str">
            <v>na</v>
          </cell>
        </row>
        <row r="241">
          <cell r="A241">
            <v>235</v>
          </cell>
          <cell r="B241" t="str">
            <v>Firm235</v>
          </cell>
          <cell r="C241">
            <v>235</v>
          </cell>
          <cell r="G241">
            <v>0</v>
          </cell>
          <cell r="I241">
            <v>0</v>
          </cell>
          <cell r="J241" t="str">
            <v>na</v>
          </cell>
          <cell r="K241" t="e">
            <v>#VALUE!</v>
          </cell>
          <cell r="L241" t="str">
            <v>na</v>
          </cell>
          <cell r="N241">
            <v>0</v>
          </cell>
          <cell r="U241" t="str">
            <v>na</v>
          </cell>
          <cell r="W241" t="str">
            <v>na</v>
          </cell>
          <cell r="X241" t="str">
            <v>na</v>
          </cell>
          <cell r="Z241">
            <v>0</v>
          </cell>
          <cell r="AA241">
            <v>0</v>
          </cell>
          <cell r="AB241">
            <v>0</v>
          </cell>
          <cell r="AC241">
            <v>0</v>
          </cell>
          <cell r="AD241">
            <v>0</v>
          </cell>
          <cell r="AF241" t="str">
            <v>na</v>
          </cell>
          <cell r="AM241">
            <v>0</v>
          </cell>
          <cell r="AU241">
            <v>0</v>
          </cell>
          <cell r="BA241" t="str">
            <v>na</v>
          </cell>
        </row>
        <row r="242">
          <cell r="A242">
            <v>236</v>
          </cell>
          <cell r="B242" t="str">
            <v>Firm236</v>
          </cell>
          <cell r="C242">
            <v>236</v>
          </cell>
          <cell r="G242">
            <v>0</v>
          </cell>
          <cell r="I242">
            <v>0</v>
          </cell>
          <cell r="J242" t="str">
            <v>na</v>
          </cell>
          <cell r="K242" t="e">
            <v>#VALUE!</v>
          </cell>
          <cell r="L242" t="str">
            <v>na</v>
          </cell>
          <cell r="N242">
            <v>0</v>
          </cell>
          <cell r="U242" t="str">
            <v>na</v>
          </cell>
          <cell r="W242" t="str">
            <v>na</v>
          </cell>
          <cell r="X242" t="str">
            <v>na</v>
          </cell>
          <cell r="Z242">
            <v>0</v>
          </cell>
          <cell r="AA242">
            <v>0</v>
          </cell>
          <cell r="AB242">
            <v>0</v>
          </cell>
          <cell r="AC242">
            <v>0</v>
          </cell>
          <cell r="AD242">
            <v>0</v>
          </cell>
          <cell r="AF242" t="str">
            <v>na</v>
          </cell>
          <cell r="AM242">
            <v>0</v>
          </cell>
          <cell r="AU242">
            <v>0</v>
          </cell>
          <cell r="BA242" t="str">
            <v>na</v>
          </cell>
        </row>
        <row r="243">
          <cell r="A243">
            <v>237</v>
          </cell>
          <cell r="B243" t="str">
            <v>Firm237</v>
          </cell>
          <cell r="C243">
            <v>237</v>
          </cell>
          <cell r="G243">
            <v>0</v>
          </cell>
          <cell r="I243">
            <v>0</v>
          </cell>
          <cell r="J243" t="str">
            <v>na</v>
          </cell>
          <cell r="K243" t="e">
            <v>#VALUE!</v>
          </cell>
          <cell r="L243" t="str">
            <v>na</v>
          </cell>
          <cell r="N243">
            <v>0</v>
          </cell>
          <cell r="U243" t="str">
            <v>na</v>
          </cell>
          <cell r="W243" t="str">
            <v>na</v>
          </cell>
          <cell r="X243" t="str">
            <v>na</v>
          </cell>
          <cell r="Z243">
            <v>0</v>
          </cell>
          <cell r="AA243">
            <v>0</v>
          </cell>
          <cell r="AB243">
            <v>0</v>
          </cell>
          <cell r="AC243">
            <v>0</v>
          </cell>
          <cell r="AD243">
            <v>0</v>
          </cell>
          <cell r="AF243" t="str">
            <v>na</v>
          </cell>
          <cell r="AM243">
            <v>0</v>
          </cell>
          <cell r="AU243">
            <v>0</v>
          </cell>
          <cell r="BA243" t="str">
            <v>na</v>
          </cell>
        </row>
        <row r="244">
          <cell r="A244">
            <v>238</v>
          </cell>
          <cell r="B244" t="str">
            <v>Firm238</v>
          </cell>
          <cell r="C244">
            <v>238</v>
          </cell>
          <cell r="G244">
            <v>0</v>
          </cell>
          <cell r="I244">
            <v>0</v>
          </cell>
          <cell r="J244" t="str">
            <v>na</v>
          </cell>
          <cell r="K244" t="e">
            <v>#VALUE!</v>
          </cell>
          <cell r="L244" t="str">
            <v>na</v>
          </cell>
          <cell r="N244">
            <v>0</v>
          </cell>
          <cell r="U244" t="str">
            <v>na</v>
          </cell>
          <cell r="W244" t="str">
            <v>na</v>
          </cell>
          <cell r="X244" t="str">
            <v>na</v>
          </cell>
          <cell r="Z244">
            <v>0</v>
          </cell>
          <cell r="AA244">
            <v>0</v>
          </cell>
          <cell r="AB244">
            <v>0</v>
          </cell>
          <cell r="AC244">
            <v>0</v>
          </cell>
          <cell r="AD244">
            <v>0</v>
          </cell>
          <cell r="AF244" t="str">
            <v>na</v>
          </cell>
          <cell r="AM244">
            <v>0</v>
          </cell>
          <cell r="AU244">
            <v>0</v>
          </cell>
          <cell r="BA244" t="str">
            <v>na</v>
          </cell>
        </row>
        <row r="245">
          <cell r="A245">
            <v>239</v>
          </cell>
          <cell r="B245" t="str">
            <v>Firm239</v>
          </cell>
          <cell r="C245">
            <v>239</v>
          </cell>
          <cell r="G245">
            <v>0</v>
          </cell>
          <cell r="I245">
            <v>0</v>
          </cell>
          <cell r="J245" t="str">
            <v>na</v>
          </cell>
          <cell r="K245" t="e">
            <v>#VALUE!</v>
          </cell>
          <cell r="L245" t="str">
            <v>na</v>
          </cell>
          <cell r="N245">
            <v>0</v>
          </cell>
          <cell r="U245" t="str">
            <v>na</v>
          </cell>
          <cell r="W245" t="str">
            <v>na</v>
          </cell>
          <cell r="X245" t="str">
            <v>na</v>
          </cell>
          <cell r="Z245">
            <v>0</v>
          </cell>
          <cell r="AA245">
            <v>0</v>
          </cell>
          <cell r="AB245">
            <v>0</v>
          </cell>
          <cell r="AC245">
            <v>0</v>
          </cell>
          <cell r="AD245">
            <v>0</v>
          </cell>
          <cell r="AF245" t="str">
            <v>na</v>
          </cell>
          <cell r="AM245">
            <v>0</v>
          </cell>
          <cell r="AU245">
            <v>0</v>
          </cell>
          <cell r="BA245" t="str">
            <v>na</v>
          </cell>
        </row>
        <row r="246">
          <cell r="A246">
            <v>240</v>
          </cell>
          <cell r="B246" t="str">
            <v>Firm240</v>
          </cell>
          <cell r="C246">
            <v>240</v>
          </cell>
          <cell r="G246">
            <v>0</v>
          </cell>
          <cell r="I246">
            <v>0</v>
          </cell>
          <cell r="J246" t="str">
            <v>na</v>
          </cell>
          <cell r="K246" t="e">
            <v>#VALUE!</v>
          </cell>
          <cell r="L246" t="str">
            <v>na</v>
          </cell>
          <cell r="N246">
            <v>0</v>
          </cell>
          <cell r="U246" t="str">
            <v>na</v>
          </cell>
          <cell r="W246" t="str">
            <v>na</v>
          </cell>
          <cell r="X246" t="str">
            <v>na</v>
          </cell>
          <cell r="Z246">
            <v>0</v>
          </cell>
          <cell r="AA246">
            <v>0</v>
          </cell>
          <cell r="AB246">
            <v>0</v>
          </cell>
          <cell r="AC246">
            <v>0</v>
          </cell>
          <cell r="AD246">
            <v>0</v>
          </cell>
          <cell r="AF246" t="str">
            <v>na</v>
          </cell>
          <cell r="AM246">
            <v>0</v>
          </cell>
          <cell r="AU246">
            <v>0</v>
          </cell>
          <cell r="BA246" t="str">
            <v>na</v>
          </cell>
        </row>
        <row r="247">
          <cell r="A247">
            <v>241</v>
          </cell>
          <cell r="B247" t="str">
            <v>Firm241</v>
          </cell>
          <cell r="C247">
            <v>241</v>
          </cell>
          <cell r="G247">
            <v>0</v>
          </cell>
          <cell r="I247">
            <v>0</v>
          </cell>
          <cell r="J247" t="str">
            <v>na</v>
          </cell>
          <cell r="K247" t="e">
            <v>#VALUE!</v>
          </cell>
          <cell r="L247" t="str">
            <v>na</v>
          </cell>
          <cell r="N247">
            <v>0</v>
          </cell>
          <cell r="U247" t="str">
            <v>na</v>
          </cell>
          <cell r="W247" t="str">
            <v>na</v>
          </cell>
          <cell r="X247" t="str">
            <v>na</v>
          </cell>
          <cell r="Z247">
            <v>0</v>
          </cell>
          <cell r="AA247">
            <v>0</v>
          </cell>
          <cell r="AB247">
            <v>0</v>
          </cell>
          <cell r="AC247">
            <v>0</v>
          </cell>
          <cell r="AD247">
            <v>0</v>
          </cell>
          <cell r="AF247" t="str">
            <v>na</v>
          </cell>
          <cell r="AM247">
            <v>0</v>
          </cell>
          <cell r="AU247">
            <v>0</v>
          </cell>
          <cell r="BA247" t="str">
            <v>na</v>
          </cell>
        </row>
        <row r="248">
          <cell r="A248">
            <v>242</v>
          </cell>
          <cell r="B248" t="str">
            <v>Firm242</v>
          </cell>
          <cell r="C248">
            <v>242</v>
          </cell>
          <cell r="G248">
            <v>0</v>
          </cell>
          <cell r="I248">
            <v>0</v>
          </cell>
          <cell r="J248" t="str">
            <v>na</v>
          </cell>
          <cell r="K248" t="e">
            <v>#VALUE!</v>
          </cell>
          <cell r="L248" t="str">
            <v>na</v>
          </cell>
          <cell r="N248">
            <v>0</v>
          </cell>
          <cell r="U248" t="str">
            <v>na</v>
          </cell>
          <cell r="W248" t="str">
            <v>na</v>
          </cell>
          <cell r="X248" t="str">
            <v>na</v>
          </cell>
          <cell r="Z248">
            <v>0</v>
          </cell>
          <cell r="AA248">
            <v>0</v>
          </cell>
          <cell r="AB248">
            <v>0</v>
          </cell>
          <cell r="AC248">
            <v>0</v>
          </cell>
          <cell r="AD248">
            <v>0</v>
          </cell>
          <cell r="AF248" t="str">
            <v>na</v>
          </cell>
          <cell r="AM248">
            <v>0</v>
          </cell>
          <cell r="AU248">
            <v>0</v>
          </cell>
          <cell r="BA248" t="str">
            <v>na</v>
          </cell>
        </row>
        <row r="249">
          <cell r="A249">
            <v>243</v>
          </cell>
          <cell r="B249" t="str">
            <v>Firm243</v>
          </cell>
          <cell r="C249">
            <v>243</v>
          </cell>
          <cell r="G249">
            <v>0</v>
          </cell>
          <cell r="I249">
            <v>0</v>
          </cell>
          <cell r="J249" t="str">
            <v>na</v>
          </cell>
          <cell r="K249" t="e">
            <v>#VALUE!</v>
          </cell>
          <cell r="L249" t="str">
            <v>na</v>
          </cell>
          <cell r="N249">
            <v>0</v>
          </cell>
          <cell r="U249" t="str">
            <v>na</v>
          </cell>
          <cell r="W249" t="str">
            <v>na</v>
          </cell>
          <cell r="X249" t="str">
            <v>na</v>
          </cell>
          <cell r="Z249">
            <v>0</v>
          </cell>
          <cell r="AA249">
            <v>0</v>
          </cell>
          <cell r="AB249">
            <v>0</v>
          </cell>
          <cell r="AC249">
            <v>0</v>
          </cell>
          <cell r="AD249">
            <v>0</v>
          </cell>
          <cell r="AF249" t="str">
            <v>na</v>
          </cell>
          <cell r="AM249">
            <v>0</v>
          </cell>
          <cell r="AU249">
            <v>0</v>
          </cell>
          <cell r="BA249" t="str">
            <v>na</v>
          </cell>
        </row>
        <row r="250">
          <cell r="A250">
            <v>244</v>
          </cell>
          <cell r="B250" t="str">
            <v>Firm244</v>
          </cell>
          <cell r="C250">
            <v>244</v>
          </cell>
          <cell r="G250">
            <v>0</v>
          </cell>
          <cell r="I250">
            <v>0</v>
          </cell>
          <cell r="J250" t="str">
            <v>na</v>
          </cell>
          <cell r="K250" t="e">
            <v>#VALUE!</v>
          </cell>
          <cell r="L250" t="str">
            <v>na</v>
          </cell>
          <cell r="N250">
            <v>0</v>
          </cell>
          <cell r="U250" t="str">
            <v>na</v>
          </cell>
          <cell r="W250" t="str">
            <v>na</v>
          </cell>
          <cell r="X250" t="str">
            <v>na</v>
          </cell>
          <cell r="Z250">
            <v>0</v>
          </cell>
          <cell r="AA250">
            <v>0</v>
          </cell>
          <cell r="AB250">
            <v>0</v>
          </cell>
          <cell r="AC250">
            <v>0</v>
          </cell>
          <cell r="AD250">
            <v>0</v>
          </cell>
          <cell r="AF250" t="str">
            <v>na</v>
          </cell>
          <cell r="AM250">
            <v>0</v>
          </cell>
          <cell r="AU250">
            <v>0</v>
          </cell>
          <cell r="BA250" t="str">
            <v>na</v>
          </cell>
        </row>
        <row r="251">
          <cell r="A251">
            <v>245</v>
          </cell>
          <cell r="B251" t="str">
            <v>Firm245</v>
          </cell>
          <cell r="C251">
            <v>245</v>
          </cell>
          <cell r="G251">
            <v>0</v>
          </cell>
          <cell r="I251">
            <v>0</v>
          </cell>
          <cell r="J251" t="str">
            <v>na</v>
          </cell>
          <cell r="K251" t="e">
            <v>#VALUE!</v>
          </cell>
          <cell r="L251" t="str">
            <v>na</v>
          </cell>
          <cell r="N251">
            <v>0</v>
          </cell>
          <cell r="U251" t="str">
            <v>na</v>
          </cell>
          <cell r="W251" t="str">
            <v>na</v>
          </cell>
          <cell r="X251" t="str">
            <v>na</v>
          </cell>
          <cell r="Z251">
            <v>0</v>
          </cell>
          <cell r="AA251">
            <v>0</v>
          </cell>
          <cell r="AB251">
            <v>0</v>
          </cell>
          <cell r="AC251">
            <v>0</v>
          </cell>
          <cell r="AD251">
            <v>0</v>
          </cell>
          <cell r="AF251" t="str">
            <v>na</v>
          </cell>
          <cell r="AM251">
            <v>0</v>
          </cell>
          <cell r="AU251">
            <v>0</v>
          </cell>
          <cell r="BA251" t="str">
            <v>na</v>
          </cell>
        </row>
        <row r="252">
          <cell r="A252">
            <v>246</v>
          </cell>
          <cell r="B252" t="str">
            <v>Firm246</v>
          </cell>
          <cell r="C252">
            <v>246</v>
          </cell>
          <cell r="G252">
            <v>0</v>
          </cell>
          <cell r="I252">
            <v>0</v>
          </cell>
          <cell r="J252" t="str">
            <v>na</v>
          </cell>
          <cell r="K252" t="e">
            <v>#VALUE!</v>
          </cell>
          <cell r="L252" t="str">
            <v>na</v>
          </cell>
          <cell r="N252">
            <v>0</v>
          </cell>
          <cell r="U252" t="str">
            <v>na</v>
          </cell>
          <cell r="W252" t="str">
            <v>na</v>
          </cell>
          <cell r="X252" t="str">
            <v>na</v>
          </cell>
          <cell r="Z252">
            <v>0</v>
          </cell>
          <cell r="AA252">
            <v>0</v>
          </cell>
          <cell r="AB252">
            <v>0</v>
          </cell>
          <cell r="AC252">
            <v>0</v>
          </cell>
          <cell r="AD252">
            <v>0</v>
          </cell>
          <cell r="AF252" t="str">
            <v>na</v>
          </cell>
          <cell r="AM252">
            <v>0</v>
          </cell>
          <cell r="AU252">
            <v>0</v>
          </cell>
          <cell r="BA252" t="str">
            <v>na</v>
          </cell>
        </row>
        <row r="253">
          <cell r="A253">
            <v>247</v>
          </cell>
          <cell r="B253" t="str">
            <v>Firm247</v>
          </cell>
          <cell r="C253">
            <v>247</v>
          </cell>
          <cell r="G253">
            <v>0</v>
          </cell>
          <cell r="I253">
            <v>0</v>
          </cell>
          <cell r="J253" t="str">
            <v>na</v>
          </cell>
          <cell r="K253" t="e">
            <v>#VALUE!</v>
          </cell>
          <cell r="L253" t="str">
            <v>na</v>
          </cell>
          <cell r="N253">
            <v>0</v>
          </cell>
          <cell r="U253" t="str">
            <v>na</v>
          </cell>
          <cell r="W253" t="str">
            <v>na</v>
          </cell>
          <cell r="X253" t="str">
            <v>na</v>
          </cell>
          <cell r="Z253">
            <v>0</v>
          </cell>
          <cell r="AA253">
            <v>0</v>
          </cell>
          <cell r="AB253">
            <v>0</v>
          </cell>
          <cell r="AC253">
            <v>0</v>
          </cell>
          <cell r="AD253">
            <v>0</v>
          </cell>
          <cell r="AF253" t="str">
            <v>na</v>
          </cell>
          <cell r="AM253">
            <v>0</v>
          </cell>
          <cell r="AU253">
            <v>0</v>
          </cell>
          <cell r="BA253" t="str">
            <v>na</v>
          </cell>
        </row>
        <row r="254">
          <cell r="A254">
            <v>248</v>
          </cell>
          <cell r="B254" t="str">
            <v>Firm248</v>
          </cell>
          <cell r="C254">
            <v>248</v>
          </cell>
          <cell r="G254">
            <v>0</v>
          </cell>
          <cell r="I254">
            <v>0</v>
          </cell>
          <cell r="J254" t="str">
            <v>na</v>
          </cell>
          <cell r="K254" t="e">
            <v>#VALUE!</v>
          </cell>
          <cell r="L254" t="str">
            <v>na</v>
          </cell>
          <cell r="N254">
            <v>0</v>
          </cell>
          <cell r="U254" t="str">
            <v>na</v>
          </cell>
          <cell r="W254" t="str">
            <v>na</v>
          </cell>
          <cell r="X254" t="str">
            <v>na</v>
          </cell>
          <cell r="Z254">
            <v>0</v>
          </cell>
          <cell r="AA254">
            <v>0</v>
          </cell>
          <cell r="AB254">
            <v>0</v>
          </cell>
          <cell r="AC254">
            <v>0</v>
          </cell>
          <cell r="AD254">
            <v>0</v>
          </cell>
          <cell r="AF254" t="str">
            <v>na</v>
          </cell>
          <cell r="AM254">
            <v>0</v>
          </cell>
          <cell r="AU254">
            <v>0</v>
          </cell>
          <cell r="BA254" t="str">
            <v>na</v>
          </cell>
        </row>
        <row r="255">
          <cell r="A255">
            <v>249</v>
          </cell>
          <cell r="B255" t="str">
            <v>Firm249</v>
          </cell>
          <cell r="C255">
            <v>249</v>
          </cell>
          <cell r="G255">
            <v>0</v>
          </cell>
          <cell r="I255">
            <v>0</v>
          </cell>
          <cell r="J255" t="str">
            <v>na</v>
          </cell>
          <cell r="K255" t="e">
            <v>#VALUE!</v>
          </cell>
          <cell r="L255" t="str">
            <v>na</v>
          </cell>
          <cell r="N255">
            <v>0</v>
          </cell>
          <cell r="U255" t="str">
            <v>na</v>
          </cell>
          <cell r="W255" t="str">
            <v>na</v>
          </cell>
          <cell r="X255" t="str">
            <v>na</v>
          </cell>
          <cell r="Z255">
            <v>0</v>
          </cell>
          <cell r="AA255">
            <v>0</v>
          </cell>
          <cell r="AB255">
            <v>0</v>
          </cell>
          <cell r="AC255">
            <v>0</v>
          </cell>
          <cell r="AD255">
            <v>0</v>
          </cell>
          <cell r="AF255" t="str">
            <v>na</v>
          </cell>
          <cell r="AM255">
            <v>0</v>
          </cell>
          <cell r="AU255">
            <v>0</v>
          </cell>
          <cell r="BA255" t="str">
            <v>na</v>
          </cell>
        </row>
        <row r="256">
          <cell r="A256">
            <v>250</v>
          </cell>
          <cell r="B256" t="str">
            <v>Firm250</v>
          </cell>
          <cell r="C256">
            <v>250</v>
          </cell>
          <cell r="G256">
            <v>0</v>
          </cell>
          <cell r="I256">
            <v>0</v>
          </cell>
          <cell r="J256" t="str">
            <v>na</v>
          </cell>
          <cell r="K256" t="e">
            <v>#VALUE!</v>
          </cell>
          <cell r="L256" t="str">
            <v>na</v>
          </cell>
          <cell r="N256">
            <v>0</v>
          </cell>
          <cell r="U256" t="str">
            <v>na</v>
          </cell>
          <cell r="W256" t="str">
            <v>na</v>
          </cell>
          <cell r="X256" t="str">
            <v>na</v>
          </cell>
          <cell r="Z256">
            <v>0</v>
          </cell>
          <cell r="AA256">
            <v>0</v>
          </cell>
          <cell r="AB256">
            <v>0</v>
          </cell>
          <cell r="AC256">
            <v>0</v>
          </cell>
          <cell r="AD256">
            <v>0</v>
          </cell>
          <cell r="AF256" t="str">
            <v>na</v>
          </cell>
          <cell r="AM256">
            <v>0</v>
          </cell>
          <cell r="AU256">
            <v>0</v>
          </cell>
          <cell r="BA256" t="str">
            <v>na</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
      <sheetName val="Rev Breakout"/>
      <sheetName val="Income"/>
      <sheetName val="Parameters"/>
      <sheetName val="Market Values"/>
    </sheetNames>
    <sheetDataSet>
      <sheetData sheetId="0" refreshError="1"/>
      <sheetData sheetId="1" refreshError="1"/>
      <sheetData sheetId="2" refreshError="1"/>
      <sheetData sheetId="3" refreshError="1"/>
      <sheetData sheetId="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i Allocation"/>
      <sheetName val="Società"/>
      <sheetName val="S&amp;U"/>
      <sheetName val="Rev Breakout"/>
      <sheetName val="Income"/>
      <sheetName val="Dati%20Allocation.xls"/>
    </sheetNames>
    <definedNames>
      <definedName name="Macros.sum_mins"/>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N"/>
      <sheetName val="Imports"/>
      <sheetName val="H-BY-H"/>
      <sheetName val="REVENUES"/>
      <sheetName val="FIXDCF"/>
      <sheetName val="STARTUPS"/>
      <sheetName val="NEWMODEL"/>
      <sheetName val="MOBILE"/>
      <sheetName val="MOBDCF"/>
      <sheetName val="NEWP&amp;L"/>
      <sheetName val="NEWCASH"/>
      <sheetName val="COC"/>
      <sheetName val="KPNQuest"/>
      <sheetName val="VALUE"/>
      <sheetName val="MobileAdds"/>
      <sheetName val="Analytics"/>
      <sheetName val="BBEURO"/>
      <sheetName val="BB"/>
      <sheetName val="SHARES"/>
      <sheetName val="Datapage"/>
      <sheetName val="MRS data"/>
      <sheetName val="report imports"/>
      <sheetName val="POSTVAL"/>
      <sheetName val="KPNSUM"/>
      <sheetName val="KPNCASH"/>
      <sheetName val="KPNMODEL"/>
      <sheetName val="TNT"/>
      <sheetName val="TELDCF"/>
      <sheetName val="EURO"/>
      <sheetName val="Millennium_Equities(H@KPN)"/>
      <sheetName val="HillSamuel"/>
      <sheetName val="Export"/>
      <sheetName val="99Res"/>
      <sheetName val="KPNMobile"/>
      <sheetName val="Forecasts"/>
      <sheetName val="Mobile IPO"/>
      <sheetName val="Mobile IPO-CF"/>
      <sheetName val="MobileComps"/>
      <sheetName val="EPlus-DCF"/>
      <sheetName val="EPlus-Deal"/>
      <sheetName val="Int"/>
      <sheetName val="Charts"/>
      <sheetName val="Interactive export"/>
      <sheetName val="SOPExport"/>
      <sheetName val="SofP-Export"/>
      <sheetName val="Comps Export"/>
      <sheetName val="10 Uncommon Values"/>
      <sheetName val="charts for 10UCV"/>
      <sheetName val="CompsExport"/>
      <sheetName val="VALUE (2004)"/>
      <sheetName val="Contents"/>
      <sheetName val="P&amp;L"/>
      <sheetName val="Cashflow"/>
      <sheetName val="Web - CoView"/>
      <sheetName val="BUs"/>
      <sheetName val="Q by Q"/>
      <sheetName val="Guidance"/>
      <sheetName val="Fcast changes"/>
      <sheetName val="Consumer"/>
      <sheetName val="Business"/>
      <sheetName val="Wholesale"/>
      <sheetName val="Fixed KPIs"/>
      <sheetName val="Q by Q old"/>
      <sheetName val="Broadband Forecasts"/>
      <sheetName val="Buyback"/>
      <sheetName val="Dutch Mobile"/>
      <sheetName val="EPlus"/>
      <sheetName val="BASE"/>
      <sheetName val="Mobile KPIs"/>
      <sheetName val="Mobile KPI charts"/>
      <sheetName val="Dutch &amp; German comps"/>
      <sheetName val="EPlus comps"/>
      <sheetName val="TEF &amp; FT acqn"/>
      <sheetName val="Val Multiples"/>
      <sheetName val="Tax analysis"/>
      <sheetName val="KPN tax paper"/>
      <sheetName val="Shares In Issue"/>
      <sheetName val="Revs per POP"/>
      <sheetName val="E-Plus vs Amena"/>
      <sheetName val="EPlus+O2Germany DCF flexer"/>
      <sheetName val="Scenarios"/>
      <sheetName val="EPlus+O2Germany"/>
      <sheetName val="Cashflow analysis"/>
      <sheetName val="German mobile charts"/>
      <sheetName val="Fixed tariffs "/>
      <sheetName val="Broadband calcs"/>
      <sheetName val="UPC charts"/>
      <sheetName val="B'band, phone &amp; 3-play prices"/>
      <sheetName val="Debt maturity"/>
      <sheetName val="Group structure"/>
      <sheetName val="Debt analysis"/>
      <sheetName val="Disposals"/>
      <sheetName val="Group DCF"/>
      <sheetName val="FX rates"/>
      <sheetName val="Millennium RUP"/>
      <sheetName val="Web - OpComp"/>
      <sheetName val="FID"/>
      <sheetName val="Growth 04 - 07"/>
      <sheetName val="Growth Drivers 03-06"/>
      <sheetName val="areiss"/>
      <sheetName val="Fixed export"/>
      <sheetName val="Cash Flexer"/>
      <sheetName val="German pricing"/>
      <sheetName val="Multiples"/>
      <sheetName val="IPTV"/>
      <sheetName val="Cref"/>
      <sheetName val="Fixed networks"/>
      <sheetName val="Business Solutions"/>
      <sheetName val="VALUE 02"/>
      <sheetName val="Offering"/>
      <sheetName val="VALUE 03"/>
      <sheetName val="CFExport"/>
      <sheetName val="EPS"/>
      <sheetName val="Dutch comps 1"/>
      <sheetName val="Dutch comps 2"/>
      <sheetName val="QbyQ"/>
      <sheetName val="E+vsO2"/>
      <sheetName val="B'band prices"/>
      <sheetName val="Analysis1"/>
      <sheetName val="Q restated old"/>
      <sheetName val="Detailed changes"/>
      <sheetName val="Q1 02 preview"/>
      <sheetName val="EBITDA"/>
      <sheetName val="EBIT"/>
      <sheetName val="E-Plus consensus"/>
      <sheetName val="Pannon"/>
      <sheetName val="Use of financing"/>
      <sheetName val="GDP"/>
      <sheetName val="KPN-Belgacom"/>
      <sheetName val="Belgacom"/>
      <sheetName val="POTS"/>
      <sheetName val="Monthly mobile subs"/>
      <sheetName val="QbyQ group OLD BASIS"/>
      <sheetName val="H1 2000"/>
      <sheetName val="FIDQ"/>
      <sheetName val="Growth Drivers"/>
      <sheetName val="Opex savings"/>
      <sheetName val="Carrier services"/>
      <sheetName val="VALUE (2005)"/>
      <sheetName val="Dutch comps"/>
      <sheetName val="Millenium export"/>
      <sheetName val="Fixed"/>
      <sheetName val="Q template"/>
      <sheetName val="BUs NEW"/>
      <sheetName val="Fixed NEW"/>
      <sheetName val="KPN Orange"/>
      <sheetName val="Q restated"/>
      <sheetName val="DataIP NEW"/>
      <sheetName val="QbyQ group"/>
      <sheetName val="QbyQ mobile"/>
      <sheetName val="QbyQmobilecharts"/>
      <sheetName val="QbyQ fixed"/>
      <sheetName val="Q4 01 preview"/>
      <sheetName val="Intl Mobile"/>
      <sheetName val="Q3 01 tables"/>
      <sheetName val="CFExport (2)"/>
      <sheetName val="NoteData"/>
      <sheetName val="Mobile subs"/>
      <sheetName val="2000 preview"/>
      <sheetName val="FcastChange"/>
      <sheetName val="Millennium sheet"/>
      <sheetName val="COC (2)"/>
      <sheetName val="Sheet7"/>
      <sheetName val="Sheet6"/>
      <sheetName val="Sheet5"/>
      <sheetName val="Sheet4"/>
      <sheetName val="Sheet3"/>
      <sheetName val="E-Plus"/>
      <sheetName val="1H00"/>
      <sheetName val="Sheet1"/>
      <sheetName val="KPN Mobile subs"/>
      <sheetName val="E-Plus subs"/>
      <sheetName val="Qtl analysis"/>
      <sheetName val="VALUE 04"/>
      <sheetName val="UPC price comparison"/>
      <sheetName val="VALUE (2011)"/>
      <sheetName val="Flexer Export"/>
      <sheetName val="Output"/>
      <sheetName val="Financial Summary Template"/>
      <sheetName val="Valuation"/>
      <sheetName val="SOP Template"/>
      <sheetName val="Fully Consol"/>
      <sheetName val="Telenet acq."/>
      <sheetName val="LBO Valuation"/>
      <sheetName val="LBO Eplus sale"/>
      <sheetName val="Open Platform"/>
      <sheetName val="Balance Sheet"/>
      <sheetName val="mwareValPrintout"/>
      <sheetName val="Fixed Stats"/>
      <sheetName val="KPIs"/>
      <sheetName val="Quarterly"/>
      <sheetName val="Quarterly Old"/>
      <sheetName val="VoIP Impact"/>
      <sheetName val="KPN Mobile"/>
      <sheetName val="Mob Stats (NETH)"/>
      <sheetName val="Mob Stats (GERM)"/>
      <sheetName val="Domestic-Mobile"/>
      <sheetName val="Telfort"/>
      <sheetName val="BUS Solutions"/>
      <sheetName val="SBB sensitivity"/>
      <sheetName val="Taxes"/>
      <sheetName val="Tariffs"/>
      <sheetName val="__FDSCACHE__"/>
      <sheetName val="mwareTaxoPres"/>
      <sheetName val="Restructuring"/>
      <sheetName val="Capex and depreciation"/>
      <sheetName val="Affiliates"/>
      <sheetName val="International Interests"/>
      <sheetName val="Fully diluted shares"/>
      <sheetName val="AdditionalCalcs"/>
      <sheetName val="German Merger Summary"/>
      <sheetName val="Eplus - O2 estimates"/>
      <sheetName val="O2 Germany"/>
      <sheetName val="KPN Mobile - O2"/>
      <sheetName val="mmO2 Group Estimates"/>
      <sheetName val="mmO2 Capex and Cashflow"/>
      <sheetName val="KPN Group - O2"/>
      <sheetName val="KPN - O2 Deal terms"/>
      <sheetName val="GE Upload"/>
      <sheetName val="Eplus ARPU"/>
      <sheetName val="ARPU Eplus-Sector"/>
      <sheetName val="Margins comparison"/>
      <sheetName val="RONTA-WACC"/>
      <sheetName val="Newco RONTA"/>
      <sheetName val="Newco Margins"/>
      <sheetName val="Charts Data"/>
      <sheetName val="RI-data"/>
      <sheetName val="RI-forecasts"/>
      <sheetName val="RI-charts"/>
      <sheetName val="mwareSettings"/>
      <sheetName val="mwareDates"/>
      <sheetName val="gearing"/>
      <sheetName val="new link"/>
      <sheetName val="Link"/>
      <sheetName val="Pensions"/>
      <sheetName val="Rating"/>
      <sheetName val="Revenue at Risk"/>
      <sheetName val="GE3"/>
      <sheetName val="Sum of parts 2006"/>
      <sheetName val="Sum of parts"/>
      <sheetName val="KPN Fixed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Feuil2"/>
      <sheetName val="Salaires"/>
      <sheetName val="VAD Renouvelés fin essai"/>
      <sheetName val="Essai"/>
      <sheetName val="Engagements"/>
      <sheetName val="CDD avril"/>
      <sheetName val="CDD"/>
      <sheetName val="Préavis"/>
      <sheetName val="Notif de licenciement"/>
      <sheetName val="Intérim"/>
    </sheetNames>
    <sheetDataSet>
      <sheetData sheetId="0" refreshError="1"/>
      <sheetData sheetId="1" refreshError="1"/>
      <sheetData sheetId="2" refreshError="1">
        <row r="1">
          <cell r="A1" t="str">
            <v>Matricule</v>
          </cell>
          <cell r="B1" t="str">
            <v>Nom</v>
          </cell>
          <cell r="C1" t="str">
            <v>Prenom</v>
          </cell>
          <cell r="D1" t="str">
            <v>L Ville</v>
          </cell>
          <cell r="E1" t="str">
            <v>C Société St. adm.</v>
          </cell>
          <cell r="F1" t="str">
            <v>L Société St. adm</v>
          </cell>
          <cell r="G1" t="str">
            <v>L Service (Aff1)</v>
          </cell>
          <cell r="H1" t="str">
            <v>Libellé signataire</v>
          </cell>
          <cell r="I1" t="str">
            <v>N° Imputation</v>
          </cell>
          <cell r="J1" t="str">
            <v>% Imputation</v>
          </cell>
          <cell r="K1" t="str">
            <v>Entree</v>
          </cell>
          <cell r="L1" t="str">
            <v>Libelle emploi</v>
          </cell>
          <cell r="M1" t="str">
            <v>Statut</v>
          </cell>
          <cell r="N1" t="str">
            <v>Position</v>
          </cell>
          <cell r="O1" t="str">
            <v>Libelle Contrat</v>
          </cell>
          <cell r="P1" t="str">
            <v>Horaire</v>
          </cell>
          <cell r="Q1" t="str">
            <v>Salaire  rém. cons.</v>
          </cell>
          <cell r="R1" t="str">
            <v>Chargespatronales</v>
          </cell>
          <cell r="S1" t="str">
            <v>Remgarantie</v>
          </cell>
          <cell r="T1" t="str">
            <v>Commissions</v>
          </cell>
          <cell r="U1" t="str">
            <v>primeequipe</v>
          </cell>
          <cell r="V1" t="str">
            <v>primetravaux</v>
          </cell>
          <cell r="W1" t="str">
            <v>Primeobjectif</v>
          </cell>
          <cell r="X1" t="str">
            <v>PrimeHD</v>
          </cell>
          <cell r="Y1" t="str">
            <v>Primequalite</v>
          </cell>
          <cell r="Z1" t="str">
            <v>Primedimanche</v>
          </cell>
          <cell r="AA1" t="str">
            <v>Primeproductivite</v>
          </cell>
          <cell r="AB1" t="str">
            <v>Cooptation</v>
          </cell>
          <cell r="AC1" t="str">
            <v>Primesemestrielle</v>
          </cell>
          <cell r="AD1" t="str">
            <v>Primeannuelle</v>
          </cell>
          <cell r="AE1" t="str">
            <v>Heurescompl</v>
          </cell>
          <cell r="AF1" t="str">
            <v>Heurestxnorm</v>
          </cell>
          <cell r="AG1" t="str">
            <v>HS150</v>
          </cell>
          <cell r="AH1" t="str">
            <v>HS125</v>
          </cell>
          <cell r="AI1" t="str">
            <v>HS200</v>
          </cell>
          <cell r="AJ1" t="str">
            <v>Prime</v>
          </cell>
          <cell r="AK1" t="str">
            <v>Astreintes</v>
          </cell>
          <cell r="AL1" t="str">
            <v>Primeexception</v>
          </cell>
          <cell r="AM1" t="str">
            <v>Dispensepreavis</v>
          </cell>
          <cell r="AN1" t="str">
            <v>Conges</v>
          </cell>
          <cell r="AO1" t="str">
            <v>PSE641410</v>
          </cell>
          <cell r="AP1" t="str">
            <v>IJSS641160</v>
          </cell>
          <cell r="AQ1" t="str">
            <v>Appointements641100</v>
          </cell>
          <cell r="AR1" t="str">
            <v>Primes641300</v>
          </cell>
          <cell r="AS1">
            <v>641400</v>
          </cell>
          <cell r="AT1">
            <v>641420</v>
          </cell>
          <cell r="AU1" t="str">
            <v>Avantagesennature</v>
          </cell>
        </row>
        <row r="2">
          <cell r="A2" t="str">
            <v>000F0093</v>
          </cell>
          <cell r="B2" t="str">
            <v>GUIONNET</v>
          </cell>
          <cell r="C2" t="str">
            <v>CHRISTOPHE</v>
          </cell>
          <cell r="D2" t="str">
            <v>LA MADELEINE</v>
          </cell>
          <cell r="E2">
            <v>91</v>
          </cell>
          <cell r="F2" t="str">
            <v>NC NUMERICABLE ILE-DE-FRANCE</v>
          </cell>
          <cell r="G2" t="str">
            <v>VAD RCR</v>
          </cell>
          <cell r="H2" t="str">
            <v>LOTT</v>
          </cell>
          <cell r="I2" t="str">
            <v>NPCA500001</v>
          </cell>
          <cell r="J2">
            <v>100</v>
          </cell>
          <cell r="K2">
            <v>33841</v>
          </cell>
          <cell r="L2" t="str">
            <v>RESPONSABLE COM.</v>
          </cell>
          <cell r="M2" t="str">
            <v>CADRE</v>
          </cell>
          <cell r="N2" t="str">
            <v>E</v>
          </cell>
          <cell r="O2" t="str">
            <v>CDI</v>
          </cell>
          <cell r="P2">
            <v>151.57</v>
          </cell>
          <cell r="Q2">
            <v>3750</v>
          </cell>
          <cell r="R2">
            <v>3131.76</v>
          </cell>
          <cell r="S2">
            <v>0</v>
          </cell>
          <cell r="T2">
            <v>2136.98</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658.75</v>
          </cell>
          <cell r="AO2">
            <v>0</v>
          </cell>
          <cell r="AP2">
            <v>0</v>
          </cell>
          <cell r="AQ2">
            <v>3750</v>
          </cell>
          <cell r="AR2">
            <v>0</v>
          </cell>
          <cell r="AS2">
            <v>0</v>
          </cell>
          <cell r="AT2">
            <v>0</v>
          </cell>
          <cell r="AU2">
            <v>0</v>
          </cell>
        </row>
        <row r="3">
          <cell r="A3" t="str">
            <v>000A0546</v>
          </cell>
          <cell r="B3" t="str">
            <v>TRUYENS</v>
          </cell>
          <cell r="C3" t="str">
            <v>GUY</v>
          </cell>
          <cell r="D3" t="str">
            <v>SIEGE</v>
          </cell>
          <cell r="E3">
            <v>91</v>
          </cell>
          <cell r="F3" t="str">
            <v>NC NUMERICABLE ILE-DE-FRANCE</v>
          </cell>
          <cell r="G3" t="str">
            <v>TECHNIQUE</v>
          </cell>
          <cell r="H3" t="str">
            <v>DELEBARRE JL</v>
          </cell>
          <cell r="I3" t="str">
            <v>GENE306001</v>
          </cell>
          <cell r="J3">
            <v>100</v>
          </cell>
          <cell r="K3">
            <v>33482</v>
          </cell>
          <cell r="L3" t="str">
            <v>RESP.SUPP.NATIONAL</v>
          </cell>
          <cell r="M3" t="str">
            <v>CADRE</v>
          </cell>
          <cell r="N3" t="str">
            <v>F</v>
          </cell>
          <cell r="O3" t="str">
            <v>CDI</v>
          </cell>
          <cell r="P3">
            <v>151.57</v>
          </cell>
          <cell r="Q3">
            <v>5910.33</v>
          </cell>
          <cell r="R3">
            <v>3014.53</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657.75</v>
          </cell>
          <cell r="AO3">
            <v>0</v>
          </cell>
          <cell r="AP3">
            <v>0</v>
          </cell>
          <cell r="AQ3">
            <v>5910.33</v>
          </cell>
          <cell r="AR3">
            <v>0</v>
          </cell>
          <cell r="AS3">
            <v>0</v>
          </cell>
          <cell r="AT3">
            <v>0</v>
          </cell>
          <cell r="AU3">
            <v>0</v>
          </cell>
        </row>
        <row r="4">
          <cell r="A4" t="str">
            <v>000F0017</v>
          </cell>
          <cell r="B4" t="str">
            <v>DE BOSREDON</v>
          </cell>
          <cell r="C4" t="str">
            <v>SABINE</v>
          </cell>
          <cell r="D4" t="str">
            <v>SIEGE</v>
          </cell>
          <cell r="E4">
            <v>91</v>
          </cell>
          <cell r="F4" t="str">
            <v>NC NUMERICABLE ILE-DE-FRANCE</v>
          </cell>
          <cell r="G4" t="str">
            <v>MARKETING</v>
          </cell>
          <cell r="I4" t="str">
            <v>GENE905001</v>
          </cell>
          <cell r="J4">
            <v>100</v>
          </cell>
          <cell r="K4">
            <v>33786</v>
          </cell>
          <cell r="L4" t="str">
            <v>ASSISTANT MARKETING</v>
          </cell>
          <cell r="M4" t="str">
            <v>TSM</v>
          </cell>
          <cell r="N4" t="str">
            <v>D</v>
          </cell>
          <cell r="O4" t="str">
            <v>CDI</v>
          </cell>
          <cell r="P4">
            <v>151.57</v>
          </cell>
          <cell r="Q4">
            <v>2841</v>
          </cell>
          <cell r="R4">
            <v>373.14</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-303.12</v>
          </cell>
          <cell r="AN4">
            <v>260.39</v>
          </cell>
          <cell r="AO4">
            <v>-303.12</v>
          </cell>
          <cell r="AP4">
            <v>0</v>
          </cell>
          <cell r="AQ4">
            <v>2841</v>
          </cell>
          <cell r="AR4">
            <v>0</v>
          </cell>
          <cell r="AS4">
            <v>0</v>
          </cell>
          <cell r="AT4">
            <v>0</v>
          </cell>
          <cell r="AU4">
            <v>0</v>
          </cell>
        </row>
        <row r="5">
          <cell r="A5" t="str">
            <v>A000739A</v>
          </cell>
          <cell r="B5" t="str">
            <v>MARNEUR</v>
          </cell>
          <cell r="C5" t="str">
            <v>CLAUDETTE</v>
          </cell>
          <cell r="D5" t="str">
            <v>SIEGE</v>
          </cell>
          <cell r="E5">
            <v>91</v>
          </cell>
          <cell r="F5" t="str">
            <v>NC NUMERICABLE ILE-DE-FRANCE</v>
          </cell>
          <cell r="G5" t="str">
            <v>DIRECTION RESS HUM</v>
          </cell>
          <cell r="H5" t="str">
            <v>LUCIANI</v>
          </cell>
          <cell r="I5" t="str">
            <v>GENE703001</v>
          </cell>
          <cell r="J5">
            <v>100</v>
          </cell>
          <cell r="K5">
            <v>36425</v>
          </cell>
          <cell r="L5" t="str">
            <v>ATTACHE(E) DIRECT.</v>
          </cell>
          <cell r="M5" t="str">
            <v>CADRE</v>
          </cell>
          <cell r="N5" t="str">
            <v>E</v>
          </cell>
          <cell r="O5" t="str">
            <v>CDI</v>
          </cell>
          <cell r="P5">
            <v>151.57</v>
          </cell>
          <cell r="Q5">
            <v>2919</v>
          </cell>
          <cell r="R5">
            <v>1359.05</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314.82</v>
          </cell>
          <cell r="AO5">
            <v>46.43</v>
          </cell>
          <cell r="AP5">
            <v>0</v>
          </cell>
          <cell r="AQ5">
            <v>2716.95</v>
          </cell>
          <cell r="AR5">
            <v>0</v>
          </cell>
          <cell r="AS5">
            <v>0</v>
          </cell>
          <cell r="AT5">
            <v>0</v>
          </cell>
          <cell r="AU5">
            <v>0</v>
          </cell>
        </row>
        <row r="6">
          <cell r="A6" t="str">
            <v>000A0931</v>
          </cell>
          <cell r="B6" t="str">
            <v>AGOURRAME</v>
          </cell>
          <cell r="C6" t="str">
            <v>STEPHANIE</v>
          </cell>
          <cell r="D6" t="str">
            <v>SIEGE</v>
          </cell>
          <cell r="E6">
            <v>91</v>
          </cell>
          <cell r="F6" t="str">
            <v>NC NUMERICABLE ILE-DE-FRANCE</v>
          </cell>
          <cell r="G6" t="str">
            <v>COMPTABILITE</v>
          </cell>
          <cell r="H6" t="str">
            <v>BARBERY</v>
          </cell>
          <cell r="I6" t="str">
            <v>GENE701001</v>
          </cell>
          <cell r="J6">
            <v>100</v>
          </cell>
          <cell r="K6">
            <v>37354</v>
          </cell>
          <cell r="L6" t="str">
            <v>COMPTABLE.NIV.1</v>
          </cell>
          <cell r="M6" t="str">
            <v>EMPLOYE</v>
          </cell>
          <cell r="N6" t="str">
            <v>C</v>
          </cell>
          <cell r="O6" t="str">
            <v>CDI</v>
          </cell>
          <cell r="P6">
            <v>130</v>
          </cell>
          <cell r="Q6">
            <v>1586.19</v>
          </cell>
          <cell r="R6">
            <v>783.24</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170.82</v>
          </cell>
          <cell r="AO6">
            <v>38.68</v>
          </cell>
          <cell r="AP6">
            <v>0</v>
          </cell>
          <cell r="AQ6">
            <v>1586.19</v>
          </cell>
          <cell r="AR6">
            <v>0</v>
          </cell>
          <cell r="AS6">
            <v>0</v>
          </cell>
          <cell r="AT6">
            <v>0</v>
          </cell>
          <cell r="AU6">
            <v>0</v>
          </cell>
        </row>
        <row r="7">
          <cell r="A7" t="str">
            <v>000A0961</v>
          </cell>
          <cell r="B7" t="str">
            <v>EL KADHI</v>
          </cell>
          <cell r="C7" t="str">
            <v>RAMZI</v>
          </cell>
          <cell r="D7" t="str">
            <v>SIEGE</v>
          </cell>
          <cell r="E7">
            <v>91</v>
          </cell>
          <cell r="F7" t="str">
            <v>NC NUMERICABLE ILE-DE-FRANCE</v>
          </cell>
          <cell r="G7" t="str">
            <v>COMPTABILITE</v>
          </cell>
          <cell r="H7" t="str">
            <v>BARBERY</v>
          </cell>
          <cell r="I7" t="str">
            <v>GENE701001</v>
          </cell>
          <cell r="J7">
            <v>100</v>
          </cell>
          <cell r="K7">
            <v>37599</v>
          </cell>
          <cell r="L7" t="str">
            <v>RESP. GEST. NIV. 1</v>
          </cell>
          <cell r="M7" t="str">
            <v>CADRE</v>
          </cell>
          <cell r="N7" t="str">
            <v>E</v>
          </cell>
          <cell r="O7" t="str">
            <v>CDI</v>
          </cell>
          <cell r="P7">
            <v>151.57</v>
          </cell>
          <cell r="Q7">
            <v>4140</v>
          </cell>
          <cell r="R7">
            <v>2041.97</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445.84</v>
          </cell>
          <cell r="AO7">
            <v>23.61</v>
          </cell>
          <cell r="AP7">
            <v>0</v>
          </cell>
          <cell r="AQ7">
            <v>4140</v>
          </cell>
          <cell r="AR7">
            <v>0</v>
          </cell>
          <cell r="AS7">
            <v>0</v>
          </cell>
          <cell r="AT7">
            <v>0</v>
          </cell>
          <cell r="AU7">
            <v>0</v>
          </cell>
        </row>
        <row r="8">
          <cell r="A8" t="str">
            <v>000A0828</v>
          </cell>
          <cell r="B8" t="str">
            <v>DERUELLE</v>
          </cell>
          <cell r="C8" t="str">
            <v>SABINE</v>
          </cell>
          <cell r="D8" t="str">
            <v>LA MADELEINE</v>
          </cell>
          <cell r="E8">
            <v>91</v>
          </cell>
          <cell r="F8" t="str">
            <v>NC NUMERICABLE ILE-DE-FRANCE</v>
          </cell>
          <cell r="G8" t="str">
            <v>CARTOGRAPHIE-DICT</v>
          </cell>
          <cell r="H8" t="str">
            <v>MARQUANT</v>
          </cell>
          <cell r="I8" t="str">
            <v>GENE320001</v>
          </cell>
          <cell r="J8">
            <v>100</v>
          </cell>
          <cell r="K8">
            <v>36808</v>
          </cell>
          <cell r="L8" t="str">
            <v>GEST. DONN..NIV.1</v>
          </cell>
          <cell r="M8" t="str">
            <v>EMPLOYE</v>
          </cell>
          <cell r="N8" t="str">
            <v>C</v>
          </cell>
          <cell r="O8" t="str">
            <v>CDI</v>
          </cell>
          <cell r="P8">
            <v>151.57</v>
          </cell>
          <cell r="Q8">
            <v>1632.87</v>
          </cell>
          <cell r="R8">
            <v>778.75</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175.84</v>
          </cell>
          <cell r="AO8">
            <v>0</v>
          </cell>
          <cell r="AP8">
            <v>0</v>
          </cell>
          <cell r="AQ8">
            <v>1632.87</v>
          </cell>
          <cell r="AR8">
            <v>0</v>
          </cell>
          <cell r="AS8">
            <v>0</v>
          </cell>
          <cell r="AT8">
            <v>0</v>
          </cell>
          <cell r="AU8">
            <v>0</v>
          </cell>
        </row>
        <row r="9">
          <cell r="A9" t="str">
            <v>000A0870</v>
          </cell>
          <cell r="B9" t="str">
            <v>FLAMENT</v>
          </cell>
          <cell r="C9" t="str">
            <v>MORGANE</v>
          </cell>
          <cell r="D9" t="str">
            <v>SIEGE</v>
          </cell>
          <cell r="E9">
            <v>91</v>
          </cell>
          <cell r="F9" t="str">
            <v>NC NUMERICABLE ILE-DE-FRANCE</v>
          </cell>
          <cell r="G9" t="str">
            <v>CONTROLE GESTION</v>
          </cell>
          <cell r="H9" t="str">
            <v>LE PESQ</v>
          </cell>
          <cell r="I9" t="str">
            <v>GENE701001</v>
          </cell>
          <cell r="J9">
            <v>100</v>
          </cell>
          <cell r="K9">
            <v>36913</v>
          </cell>
          <cell r="L9" t="str">
            <v>CONTROLEUR DE GEST.</v>
          </cell>
          <cell r="M9" t="str">
            <v>CADRE</v>
          </cell>
          <cell r="N9" t="str">
            <v>E</v>
          </cell>
          <cell r="O9" t="str">
            <v>CDI</v>
          </cell>
          <cell r="P9">
            <v>151.57</v>
          </cell>
          <cell r="Q9">
            <v>3500</v>
          </cell>
          <cell r="R9">
            <v>-4080.22</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408.98</v>
          </cell>
          <cell r="AO9">
            <v>23.61</v>
          </cell>
          <cell r="AP9">
            <v>-8420</v>
          </cell>
          <cell r="AQ9">
            <v>-929.38</v>
          </cell>
          <cell r="AR9">
            <v>0</v>
          </cell>
          <cell r="AS9">
            <v>0</v>
          </cell>
          <cell r="AT9">
            <v>0</v>
          </cell>
          <cell r="AU9">
            <v>0</v>
          </cell>
        </row>
        <row r="10">
          <cell r="A10" t="str">
            <v>000A0778</v>
          </cell>
          <cell r="B10" t="str">
            <v>STANISLAS</v>
          </cell>
          <cell r="C10" t="str">
            <v>DOMINIQUE</v>
          </cell>
          <cell r="D10" t="str">
            <v>SIEGE</v>
          </cell>
          <cell r="E10">
            <v>91</v>
          </cell>
          <cell r="F10" t="str">
            <v>NC NUMERICABLE ILE-DE-FRANCE</v>
          </cell>
          <cell r="G10" t="str">
            <v>VENTE</v>
          </cell>
          <cell r="H10" t="str">
            <v>LORCET</v>
          </cell>
          <cell r="I10" t="str">
            <v>GENE549001</v>
          </cell>
          <cell r="J10">
            <v>100</v>
          </cell>
          <cell r="K10">
            <v>36655</v>
          </cell>
          <cell r="L10" t="str">
            <v>ASSISTANT(E) NIV. 2</v>
          </cell>
          <cell r="M10" t="str">
            <v>TSM</v>
          </cell>
          <cell r="N10" t="str">
            <v>D</v>
          </cell>
          <cell r="O10" t="str">
            <v>CDI</v>
          </cell>
          <cell r="P10">
            <v>151.57</v>
          </cell>
          <cell r="Q10">
            <v>2987.98</v>
          </cell>
          <cell r="R10">
            <v>1088.56</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224.15</v>
          </cell>
          <cell r="AO10">
            <v>0</v>
          </cell>
          <cell r="AP10">
            <v>0</v>
          </cell>
          <cell r="AQ10">
            <v>2168.5</v>
          </cell>
          <cell r="AR10">
            <v>0</v>
          </cell>
          <cell r="AS10">
            <v>0</v>
          </cell>
          <cell r="AT10">
            <v>0</v>
          </cell>
          <cell r="AU10">
            <v>0</v>
          </cell>
        </row>
        <row r="11">
          <cell r="A11" t="str">
            <v>000A1556</v>
          </cell>
          <cell r="B11" t="str">
            <v>POURIAS</v>
          </cell>
          <cell r="C11" t="str">
            <v>SEBASTIEN</v>
          </cell>
          <cell r="D11" t="str">
            <v>NANTES</v>
          </cell>
          <cell r="E11">
            <v>91</v>
          </cell>
          <cell r="F11" t="str">
            <v>NC NUMERICABLE ILE-DE-FRANCE</v>
          </cell>
          <cell r="G11" t="str">
            <v>COLLECTIF</v>
          </cell>
          <cell r="H11" t="str">
            <v>DURAND JP</v>
          </cell>
          <cell r="I11" t="str">
            <v>OUES510001</v>
          </cell>
          <cell r="J11">
            <v>100</v>
          </cell>
          <cell r="K11">
            <v>38719</v>
          </cell>
          <cell r="L11" t="str">
            <v>ATTACHE COMMERCIAL</v>
          </cell>
          <cell r="M11" t="str">
            <v>CADRE</v>
          </cell>
          <cell r="N11" t="str">
            <v>DB</v>
          </cell>
          <cell r="O11" t="str">
            <v>CDI</v>
          </cell>
          <cell r="P11">
            <v>151.57</v>
          </cell>
          <cell r="Q11">
            <v>1800</v>
          </cell>
          <cell r="R11">
            <v>1516.76</v>
          </cell>
          <cell r="S11">
            <v>0</v>
          </cell>
          <cell r="T11">
            <v>1000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301.52999999999997</v>
          </cell>
          <cell r="AO11">
            <v>0</v>
          </cell>
          <cell r="AP11">
            <v>0</v>
          </cell>
          <cell r="AQ11">
            <v>1800</v>
          </cell>
          <cell r="AR11">
            <v>0</v>
          </cell>
          <cell r="AS11">
            <v>0</v>
          </cell>
          <cell r="AT11">
            <v>0</v>
          </cell>
          <cell r="AU11">
            <v>0</v>
          </cell>
        </row>
        <row r="12">
          <cell r="A12" t="str">
            <v>000A1218</v>
          </cell>
          <cell r="B12" t="str">
            <v>SOUFI</v>
          </cell>
          <cell r="C12" t="str">
            <v>KARIM</v>
          </cell>
          <cell r="D12" t="str">
            <v>VERSAILLES</v>
          </cell>
          <cell r="E12">
            <v>91</v>
          </cell>
          <cell r="F12" t="str">
            <v>NC NUMERICABLE ILE-DE-FRANCE</v>
          </cell>
          <cell r="G12" t="str">
            <v>VAD CONSEILLERS</v>
          </cell>
          <cell r="H12" t="str">
            <v>FERRADJ</v>
          </cell>
          <cell r="I12" t="str">
            <v>IDFR500001</v>
          </cell>
          <cell r="J12">
            <v>100</v>
          </cell>
          <cell r="K12">
            <v>38649</v>
          </cell>
          <cell r="L12" t="str">
            <v>CONSEILLER(E) COM.</v>
          </cell>
          <cell r="M12" t="str">
            <v>TSM</v>
          </cell>
          <cell r="N12" t="str">
            <v>D</v>
          </cell>
          <cell r="O12" t="str">
            <v>CDI</v>
          </cell>
          <cell r="P12">
            <v>151.57</v>
          </cell>
          <cell r="Q12">
            <v>1217.8800000000001</v>
          </cell>
          <cell r="R12">
            <v>1374.35</v>
          </cell>
          <cell r="S12">
            <v>0</v>
          </cell>
          <cell r="T12">
            <v>2380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387.46</v>
          </cell>
          <cell r="AO12">
            <v>0</v>
          </cell>
          <cell r="AP12">
            <v>0</v>
          </cell>
          <cell r="AQ12">
            <v>1217.8800000000001</v>
          </cell>
          <cell r="AR12">
            <v>0</v>
          </cell>
          <cell r="AS12">
            <v>0</v>
          </cell>
          <cell r="AT12">
            <v>0</v>
          </cell>
          <cell r="AU12">
            <v>0</v>
          </cell>
        </row>
        <row r="13">
          <cell r="A13" t="str">
            <v>000A1227</v>
          </cell>
          <cell r="B13" t="str">
            <v>MOTTET</v>
          </cell>
          <cell r="C13" t="str">
            <v>CLAUDE</v>
          </cell>
          <cell r="D13" t="str">
            <v>LYON GARIBALDI</v>
          </cell>
          <cell r="E13">
            <v>91</v>
          </cell>
          <cell r="F13" t="str">
            <v>NC NUMERICABLE ILE-DE-FRANCE</v>
          </cell>
          <cell r="G13" t="str">
            <v>VAD CONSEILLERS</v>
          </cell>
          <cell r="H13" t="str">
            <v>JAUNAY</v>
          </cell>
          <cell r="I13" t="str">
            <v>RHON500001</v>
          </cell>
          <cell r="J13">
            <v>100</v>
          </cell>
          <cell r="K13">
            <v>38651</v>
          </cell>
          <cell r="L13" t="str">
            <v>CONSEILLER(E) COM.</v>
          </cell>
          <cell r="M13" t="str">
            <v>TSM</v>
          </cell>
          <cell r="N13" t="str">
            <v>D</v>
          </cell>
          <cell r="O13" t="str">
            <v>CDI</v>
          </cell>
          <cell r="P13">
            <v>151.57</v>
          </cell>
          <cell r="Q13">
            <v>1217.8800000000001</v>
          </cell>
          <cell r="R13">
            <v>602.88</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131.16</v>
          </cell>
          <cell r="AO13">
            <v>0</v>
          </cell>
          <cell r="AP13">
            <v>0</v>
          </cell>
          <cell r="AQ13">
            <v>1217.8800000000001</v>
          </cell>
          <cell r="AR13">
            <v>0</v>
          </cell>
          <cell r="AS13">
            <v>0</v>
          </cell>
          <cell r="AT13">
            <v>0</v>
          </cell>
          <cell r="AU13">
            <v>0</v>
          </cell>
        </row>
        <row r="14">
          <cell r="A14" t="str">
            <v>000A1684</v>
          </cell>
          <cell r="B14" t="str">
            <v>ROUIBAH</v>
          </cell>
          <cell r="C14" t="str">
            <v>HEDI</v>
          </cell>
          <cell r="D14" t="str">
            <v>LYON GARIBALDI</v>
          </cell>
          <cell r="E14">
            <v>91</v>
          </cell>
          <cell r="F14" t="str">
            <v>NC NUMERICABLE ILE-DE-FRANCE</v>
          </cell>
          <cell r="G14" t="str">
            <v>VAD CONSEILLERS</v>
          </cell>
          <cell r="H14" t="str">
            <v>DONT</v>
          </cell>
          <cell r="I14" t="str">
            <v>RHON500001</v>
          </cell>
          <cell r="J14">
            <v>100</v>
          </cell>
          <cell r="K14">
            <v>38796</v>
          </cell>
          <cell r="L14" t="str">
            <v>CONSEILLER(E) COM.</v>
          </cell>
          <cell r="M14" t="str">
            <v>TSM</v>
          </cell>
          <cell r="N14" t="str">
            <v>D</v>
          </cell>
          <cell r="O14" t="str">
            <v>CDI</v>
          </cell>
          <cell r="P14">
            <v>151.57</v>
          </cell>
          <cell r="Q14">
            <v>0</v>
          </cell>
          <cell r="R14">
            <v>463.11</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1705.03</v>
          </cell>
          <cell r="AR14">
            <v>0</v>
          </cell>
          <cell r="AS14">
            <v>0</v>
          </cell>
          <cell r="AT14">
            <v>0</v>
          </cell>
          <cell r="AU14">
            <v>0</v>
          </cell>
        </row>
        <row r="15">
          <cell r="A15" t="str">
            <v>000A1256</v>
          </cell>
          <cell r="B15" t="str">
            <v>AIDOUN</v>
          </cell>
          <cell r="C15" t="str">
            <v>TAHAR</v>
          </cell>
          <cell r="D15" t="str">
            <v>VERSAILLES</v>
          </cell>
          <cell r="E15">
            <v>91</v>
          </cell>
          <cell r="F15" t="str">
            <v>NC NUMERICABLE ILE-DE-FRANCE</v>
          </cell>
          <cell r="G15" t="str">
            <v>VAD CONSEILLERS</v>
          </cell>
          <cell r="H15" t="str">
            <v>SELLAMI</v>
          </cell>
          <cell r="I15" t="str">
            <v>IDFR500001</v>
          </cell>
          <cell r="J15">
            <v>100</v>
          </cell>
          <cell r="K15">
            <v>38658</v>
          </cell>
          <cell r="L15" t="str">
            <v>CONSEILLER(E) COM.</v>
          </cell>
          <cell r="M15" t="str">
            <v>TSM</v>
          </cell>
          <cell r="N15" t="str">
            <v>D</v>
          </cell>
          <cell r="O15" t="str">
            <v>CDI</v>
          </cell>
          <cell r="P15">
            <v>151.57</v>
          </cell>
          <cell r="Q15">
            <v>1217.8800000000001</v>
          </cell>
          <cell r="R15">
            <v>628.25</v>
          </cell>
          <cell r="S15">
            <v>0</v>
          </cell>
          <cell r="T15">
            <v>820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197.6</v>
          </cell>
          <cell r="AO15">
            <v>0</v>
          </cell>
          <cell r="AP15">
            <v>0</v>
          </cell>
          <cell r="AQ15">
            <v>1014.9</v>
          </cell>
          <cell r="AR15">
            <v>0</v>
          </cell>
          <cell r="AS15">
            <v>0</v>
          </cell>
          <cell r="AT15">
            <v>0</v>
          </cell>
          <cell r="AU15">
            <v>0</v>
          </cell>
        </row>
        <row r="16">
          <cell r="A16" t="str">
            <v>000A1473</v>
          </cell>
          <cell r="B16" t="str">
            <v>ABIBON</v>
          </cell>
          <cell r="C16" t="str">
            <v>JEAN MARC</v>
          </cell>
          <cell r="D16" t="str">
            <v>SIEGE</v>
          </cell>
          <cell r="E16">
            <v>91</v>
          </cell>
          <cell r="F16" t="str">
            <v>NC NUMERICABLE ILE-DE-FRANCE</v>
          </cell>
          <cell r="G16" t="str">
            <v>INFORMATIQUE</v>
          </cell>
          <cell r="H16" t="str">
            <v>DELEBARRE JL</v>
          </cell>
          <cell r="I16" t="str">
            <v>GENE620001</v>
          </cell>
          <cell r="J16">
            <v>100</v>
          </cell>
          <cell r="K16">
            <v>38761</v>
          </cell>
          <cell r="L16" t="str">
            <v>CHEF DE PROJET</v>
          </cell>
          <cell r="M16" t="str">
            <v>CADRE</v>
          </cell>
          <cell r="N16" t="str">
            <v>E</v>
          </cell>
          <cell r="O16" t="str">
            <v>CDI</v>
          </cell>
          <cell r="P16">
            <v>151.57</v>
          </cell>
          <cell r="Q16">
            <v>4250</v>
          </cell>
          <cell r="R16">
            <v>2476.89</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1190</v>
          </cell>
          <cell r="AO16">
            <v>23.61</v>
          </cell>
          <cell r="AP16">
            <v>0</v>
          </cell>
          <cell r="AQ16">
            <v>4250</v>
          </cell>
          <cell r="AR16">
            <v>0</v>
          </cell>
          <cell r="AS16">
            <v>0</v>
          </cell>
          <cell r="AT16">
            <v>0</v>
          </cell>
          <cell r="AU16">
            <v>0</v>
          </cell>
        </row>
        <row r="17">
          <cell r="A17" t="str">
            <v>000A1580</v>
          </cell>
          <cell r="B17" t="str">
            <v>MBOULOU</v>
          </cell>
          <cell r="C17" t="str">
            <v>DISMAS</v>
          </cell>
          <cell r="D17" t="str">
            <v>BORDEAUX</v>
          </cell>
          <cell r="E17">
            <v>91</v>
          </cell>
          <cell r="F17" t="str">
            <v>NC NUMERICABLE ILE-DE-FRANCE</v>
          </cell>
          <cell r="G17" t="str">
            <v>VAD CONSEILLERS</v>
          </cell>
          <cell r="H17" t="str">
            <v>GALERA</v>
          </cell>
          <cell r="I17" t="str">
            <v>SUOU500001</v>
          </cell>
          <cell r="J17">
            <v>100</v>
          </cell>
          <cell r="K17">
            <v>38775</v>
          </cell>
          <cell r="L17" t="str">
            <v>CONSEILLER(E) COM.</v>
          </cell>
          <cell r="M17" t="str">
            <v>TSM</v>
          </cell>
          <cell r="N17" t="str">
            <v>D</v>
          </cell>
          <cell r="O17" t="str">
            <v>CDI</v>
          </cell>
          <cell r="P17">
            <v>151.57</v>
          </cell>
          <cell r="Q17">
            <v>0</v>
          </cell>
          <cell r="R17">
            <v>518.6</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279.8</v>
          </cell>
          <cell r="AO17">
            <v>0</v>
          </cell>
          <cell r="AP17">
            <v>0</v>
          </cell>
          <cell r="AQ17">
            <v>1217.8800000000001</v>
          </cell>
          <cell r="AR17">
            <v>0</v>
          </cell>
          <cell r="AS17">
            <v>0</v>
          </cell>
          <cell r="AT17">
            <v>0</v>
          </cell>
          <cell r="AU17">
            <v>0</v>
          </cell>
        </row>
        <row r="18">
          <cell r="A18" t="str">
            <v>000A1237</v>
          </cell>
          <cell r="B18" t="str">
            <v>MBAY</v>
          </cell>
          <cell r="C18" t="str">
            <v>LANDRY</v>
          </cell>
          <cell r="D18" t="str">
            <v>LYON GARIBALDI</v>
          </cell>
          <cell r="E18">
            <v>91</v>
          </cell>
          <cell r="F18" t="str">
            <v>NC NUMERICABLE ILE-DE-FRANCE</v>
          </cell>
          <cell r="G18" t="str">
            <v>VAD CONSEILLERS</v>
          </cell>
          <cell r="H18" t="str">
            <v>KUDONOO</v>
          </cell>
          <cell r="I18" t="str">
            <v>RHON500001</v>
          </cell>
          <cell r="J18">
            <v>100</v>
          </cell>
          <cell r="K18">
            <v>38670</v>
          </cell>
          <cell r="L18" t="str">
            <v>CONSEILLER(E) COM.</v>
          </cell>
          <cell r="M18" t="str">
            <v>TSM</v>
          </cell>
          <cell r="N18" t="str">
            <v>D</v>
          </cell>
          <cell r="O18" t="str">
            <v>CDI</v>
          </cell>
          <cell r="P18">
            <v>151.57</v>
          </cell>
          <cell r="Q18">
            <v>1217.8800000000001</v>
          </cell>
          <cell r="R18">
            <v>1363.28</v>
          </cell>
          <cell r="S18">
            <v>0</v>
          </cell>
          <cell r="T18">
            <v>2360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385.31</v>
          </cell>
          <cell r="AO18">
            <v>0</v>
          </cell>
          <cell r="AP18">
            <v>0</v>
          </cell>
          <cell r="AQ18">
            <v>1217.8800000000001</v>
          </cell>
          <cell r="AR18">
            <v>0</v>
          </cell>
          <cell r="AS18">
            <v>0</v>
          </cell>
          <cell r="AT18">
            <v>0</v>
          </cell>
          <cell r="AU18">
            <v>0</v>
          </cell>
        </row>
        <row r="19">
          <cell r="A19" t="str">
            <v>000A1662</v>
          </cell>
          <cell r="B19" t="str">
            <v>CARBONNEL</v>
          </cell>
          <cell r="C19" t="str">
            <v>DAVID</v>
          </cell>
          <cell r="D19" t="str">
            <v>NICE</v>
          </cell>
          <cell r="E19">
            <v>91</v>
          </cell>
          <cell r="F19" t="str">
            <v>NC NUMERICABLE ILE-DE-FRANCE</v>
          </cell>
          <cell r="G19" t="str">
            <v>VAD CONSEILLERS</v>
          </cell>
          <cell r="H19" t="str">
            <v>VIVIN</v>
          </cell>
          <cell r="I19" t="str">
            <v>SUES500001</v>
          </cell>
          <cell r="J19">
            <v>100</v>
          </cell>
          <cell r="K19">
            <v>38789</v>
          </cell>
          <cell r="L19" t="str">
            <v>CONSEILLER(E) COM.</v>
          </cell>
          <cell r="M19" t="str">
            <v>TSM</v>
          </cell>
          <cell r="N19" t="str">
            <v>D</v>
          </cell>
          <cell r="O19" t="str">
            <v>CDI</v>
          </cell>
          <cell r="P19">
            <v>151.57</v>
          </cell>
          <cell r="Q19">
            <v>0</v>
          </cell>
          <cell r="R19">
            <v>735.86</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214.22</v>
          </cell>
          <cell r="AO19">
            <v>0</v>
          </cell>
          <cell r="AP19">
            <v>0</v>
          </cell>
          <cell r="AQ19">
            <v>1989.2</v>
          </cell>
          <cell r="AR19">
            <v>0</v>
          </cell>
          <cell r="AS19">
            <v>0</v>
          </cell>
          <cell r="AT19">
            <v>0</v>
          </cell>
          <cell r="AU19">
            <v>0</v>
          </cell>
        </row>
        <row r="20">
          <cell r="A20" t="str">
            <v>000A1439</v>
          </cell>
          <cell r="B20" t="str">
            <v>CHALI</v>
          </cell>
          <cell r="C20" t="str">
            <v>CORINE</v>
          </cell>
          <cell r="D20" t="str">
            <v>LYON GARIBALDI</v>
          </cell>
          <cell r="E20">
            <v>91</v>
          </cell>
          <cell r="F20" t="str">
            <v>NC NUMERICABLE ILE-DE-FRANCE</v>
          </cell>
          <cell r="G20" t="str">
            <v>VAD CONSEILLERS</v>
          </cell>
          <cell r="H20" t="str">
            <v>SILIKI</v>
          </cell>
          <cell r="I20" t="str">
            <v>RHON500001</v>
          </cell>
          <cell r="J20">
            <v>100</v>
          </cell>
          <cell r="K20">
            <v>38740</v>
          </cell>
          <cell r="L20" t="str">
            <v>CONSEILLER(E) COM.</v>
          </cell>
          <cell r="M20" t="str">
            <v>TSM</v>
          </cell>
          <cell r="N20" t="str">
            <v>D</v>
          </cell>
          <cell r="O20" t="str">
            <v>CDI</v>
          </cell>
          <cell r="P20">
            <v>151.57</v>
          </cell>
          <cell r="Q20">
            <v>1583.24</v>
          </cell>
          <cell r="R20">
            <v>-17.190000000000001</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33.14</v>
          </cell>
          <cell r="AO20">
            <v>0</v>
          </cell>
          <cell r="AP20">
            <v>0</v>
          </cell>
          <cell r="AQ20">
            <v>-131.18</v>
          </cell>
          <cell r="AR20">
            <v>0</v>
          </cell>
          <cell r="AS20">
            <v>0</v>
          </cell>
          <cell r="AT20">
            <v>0</v>
          </cell>
          <cell r="AU20">
            <v>0</v>
          </cell>
        </row>
        <row r="21">
          <cell r="A21" t="str">
            <v>000A1723</v>
          </cell>
          <cell r="B21" t="str">
            <v>DUFOUR</v>
          </cell>
          <cell r="C21" t="str">
            <v>SOPHIE</v>
          </cell>
          <cell r="D21" t="str">
            <v>NICE</v>
          </cell>
          <cell r="E21">
            <v>91</v>
          </cell>
          <cell r="F21" t="str">
            <v>NC NUMERICABLE ILE-DE-FRANCE</v>
          </cell>
          <cell r="G21" t="str">
            <v>VAD CONSEILLERS</v>
          </cell>
          <cell r="H21" t="str">
            <v>VIVIN</v>
          </cell>
          <cell r="I21" t="str">
            <v>SUES500001</v>
          </cell>
          <cell r="J21">
            <v>100</v>
          </cell>
          <cell r="K21">
            <v>38819</v>
          </cell>
          <cell r="L21" t="str">
            <v>CONSEILLER(E) COM.</v>
          </cell>
          <cell r="M21" t="str">
            <v>TSM</v>
          </cell>
          <cell r="N21" t="str">
            <v>D</v>
          </cell>
          <cell r="O21" t="str">
            <v>CDI</v>
          </cell>
          <cell r="P21">
            <v>151.57</v>
          </cell>
          <cell r="Q21">
            <v>0</v>
          </cell>
          <cell r="R21">
            <v>224.11</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771.32</v>
          </cell>
          <cell r="AR21">
            <v>0</v>
          </cell>
          <cell r="AS21">
            <v>0</v>
          </cell>
          <cell r="AT21">
            <v>0</v>
          </cell>
          <cell r="AU21">
            <v>0</v>
          </cell>
        </row>
        <row r="22">
          <cell r="A22" t="str">
            <v>000A1621</v>
          </cell>
          <cell r="B22" t="str">
            <v>MENNESSIER</v>
          </cell>
          <cell r="C22" t="str">
            <v>TONY</v>
          </cell>
          <cell r="D22" t="str">
            <v>METZ</v>
          </cell>
          <cell r="E22">
            <v>91</v>
          </cell>
          <cell r="F22" t="str">
            <v>NC NUMERICABLE ILE-DE-FRANCE</v>
          </cell>
          <cell r="H22" t="str">
            <v>BEKHALED</v>
          </cell>
          <cell r="I22" t="str">
            <v>ESTR507001</v>
          </cell>
          <cell r="J22">
            <v>100</v>
          </cell>
          <cell r="K22">
            <v>38777</v>
          </cell>
          <cell r="L22" t="str">
            <v>CONSEILLER(E) CLT BOUTIQUE</v>
          </cell>
          <cell r="M22" t="str">
            <v>EMPLOYE</v>
          </cell>
          <cell r="N22" t="str">
            <v>C</v>
          </cell>
          <cell r="O22" t="str">
            <v>CDD</v>
          </cell>
          <cell r="P22">
            <v>151.57</v>
          </cell>
          <cell r="Q22">
            <v>0</v>
          </cell>
          <cell r="R22">
            <v>1226.1600000000001</v>
          </cell>
          <cell r="S22">
            <v>0</v>
          </cell>
          <cell r="T22">
            <v>0</v>
          </cell>
          <cell r="U22">
            <v>0</v>
          </cell>
          <cell r="V22">
            <v>0</v>
          </cell>
          <cell r="W22">
            <v>806</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425.46</v>
          </cell>
          <cell r="AO22">
            <v>0</v>
          </cell>
          <cell r="AP22">
            <v>0</v>
          </cell>
          <cell r="AQ22">
            <v>1166.67</v>
          </cell>
          <cell r="AR22">
            <v>0</v>
          </cell>
          <cell r="AS22">
            <v>0</v>
          </cell>
          <cell r="AT22">
            <v>0</v>
          </cell>
          <cell r="AU22">
            <v>0</v>
          </cell>
        </row>
        <row r="23">
          <cell r="A23" t="str">
            <v>000A1447</v>
          </cell>
          <cell r="B23" t="str">
            <v>DEGREMONT</v>
          </cell>
          <cell r="C23" t="str">
            <v>GUILLAUME</v>
          </cell>
          <cell r="D23" t="str">
            <v>BORDEAUX</v>
          </cell>
          <cell r="E23">
            <v>91</v>
          </cell>
          <cell r="F23" t="str">
            <v>NC NUMERICABLE ILE-DE-FRANCE</v>
          </cell>
          <cell r="G23" t="str">
            <v>VAD CONSEILLERS</v>
          </cell>
          <cell r="H23" t="str">
            <v>FLAICHER</v>
          </cell>
          <cell r="I23" t="str">
            <v>SUOU500001</v>
          </cell>
          <cell r="J23">
            <v>100</v>
          </cell>
          <cell r="K23">
            <v>38770</v>
          </cell>
          <cell r="L23" t="str">
            <v>CONSEILLER(E) CLT BOUTIQUE</v>
          </cell>
          <cell r="M23" t="str">
            <v>EMPLOYE</v>
          </cell>
          <cell r="N23" t="str">
            <v>C</v>
          </cell>
          <cell r="O23" t="str">
            <v>CDD</v>
          </cell>
          <cell r="P23">
            <v>151.57</v>
          </cell>
          <cell r="Q23">
            <v>1266</v>
          </cell>
          <cell r="R23">
            <v>581.72</v>
          </cell>
          <cell r="S23">
            <v>0</v>
          </cell>
          <cell r="T23">
            <v>552</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426.04</v>
          </cell>
          <cell r="AO23">
            <v>0</v>
          </cell>
          <cell r="AP23">
            <v>0</v>
          </cell>
          <cell r="AQ23">
            <v>1266</v>
          </cell>
          <cell r="AR23">
            <v>0</v>
          </cell>
          <cell r="AS23">
            <v>0</v>
          </cell>
          <cell r="AT23">
            <v>0</v>
          </cell>
          <cell r="AU23">
            <v>0</v>
          </cell>
        </row>
        <row r="24">
          <cell r="A24" t="str">
            <v>000A0894</v>
          </cell>
          <cell r="B24" t="str">
            <v>BRIAND</v>
          </cell>
          <cell r="C24" t="str">
            <v>ANTHONY</v>
          </cell>
          <cell r="D24" t="str">
            <v>SIEGE</v>
          </cell>
          <cell r="E24">
            <v>91</v>
          </cell>
          <cell r="F24" t="str">
            <v>NC NUMERICABLE ILE-DE-FRANCE</v>
          </cell>
          <cell r="G24" t="str">
            <v>COMPTABILITE</v>
          </cell>
          <cell r="I24" t="str">
            <v>GENE905001</v>
          </cell>
          <cell r="J24">
            <v>100</v>
          </cell>
          <cell r="K24">
            <v>37053</v>
          </cell>
          <cell r="L24" t="str">
            <v>COMPTABLE.NIV.1</v>
          </cell>
          <cell r="M24" t="str">
            <v>EMPLOYE</v>
          </cell>
          <cell r="N24" t="str">
            <v>C</v>
          </cell>
          <cell r="O24" t="str">
            <v>CDI</v>
          </cell>
          <cell r="P24">
            <v>151.57</v>
          </cell>
          <cell r="Q24">
            <v>1636.52</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-2610.75</v>
          </cell>
          <cell r="AP24">
            <v>0</v>
          </cell>
          <cell r="AQ24">
            <v>0</v>
          </cell>
          <cell r="AR24">
            <v>0</v>
          </cell>
          <cell r="AS24">
            <v>0</v>
          </cell>
          <cell r="AT24">
            <v>0</v>
          </cell>
          <cell r="AU24">
            <v>0</v>
          </cell>
        </row>
        <row r="25">
          <cell r="A25">
            <v>20004</v>
          </cell>
          <cell r="B25" t="str">
            <v>DELANNOY</v>
          </cell>
          <cell r="C25" t="str">
            <v>SEBASTIEN</v>
          </cell>
          <cell r="D25" t="str">
            <v>MARSEILLE</v>
          </cell>
          <cell r="E25">
            <v>91</v>
          </cell>
          <cell r="F25" t="str">
            <v>NC NUMERICABLE ILE-DE-FRANCE</v>
          </cell>
          <cell r="G25" t="str">
            <v>DISTRIBUTEUR</v>
          </cell>
          <cell r="H25" t="str">
            <v>PORTE</v>
          </cell>
          <cell r="I25" t="str">
            <v>NPCA506001</v>
          </cell>
          <cell r="J25">
            <v>100</v>
          </cell>
          <cell r="K25">
            <v>34578</v>
          </cell>
          <cell r="L25" t="str">
            <v>RESPONSABLE COM.</v>
          </cell>
          <cell r="M25" t="str">
            <v>CADRE</v>
          </cell>
          <cell r="N25" t="str">
            <v>E</v>
          </cell>
          <cell r="O25" t="str">
            <v>CDI</v>
          </cell>
          <cell r="P25">
            <v>151.57</v>
          </cell>
          <cell r="Q25">
            <v>3000</v>
          </cell>
          <cell r="R25">
            <v>3168.38</v>
          </cell>
          <cell r="S25">
            <v>0</v>
          </cell>
          <cell r="T25">
            <v>3000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668.09</v>
          </cell>
          <cell r="AO25">
            <v>0</v>
          </cell>
          <cell r="AP25">
            <v>0</v>
          </cell>
          <cell r="AQ25">
            <v>3000</v>
          </cell>
          <cell r="AR25">
            <v>0</v>
          </cell>
          <cell r="AS25">
            <v>0</v>
          </cell>
          <cell r="AT25">
            <v>0</v>
          </cell>
          <cell r="AU25">
            <v>0</v>
          </cell>
        </row>
        <row r="26">
          <cell r="A26" t="str">
            <v>000A0811</v>
          </cell>
          <cell r="B26" t="str">
            <v>BEHAGUE</v>
          </cell>
          <cell r="C26" t="str">
            <v>FELICIE</v>
          </cell>
          <cell r="D26" t="str">
            <v>LA MADELEINE</v>
          </cell>
          <cell r="E26">
            <v>91</v>
          </cell>
          <cell r="F26" t="str">
            <v>NC NUMERICABLE ILE-DE-FRANCE</v>
          </cell>
          <cell r="G26" t="str">
            <v>CARTOGRAPHIE-DICT</v>
          </cell>
          <cell r="H26" t="str">
            <v>MARQUANT</v>
          </cell>
          <cell r="I26" t="str">
            <v>GENE320001</v>
          </cell>
          <cell r="J26">
            <v>100</v>
          </cell>
          <cell r="K26">
            <v>36787</v>
          </cell>
          <cell r="L26" t="str">
            <v>GEST. DONN..NIV.1</v>
          </cell>
          <cell r="M26" t="str">
            <v>EMPLOYE</v>
          </cell>
          <cell r="N26" t="str">
            <v>C</v>
          </cell>
          <cell r="O26" t="str">
            <v>CDI</v>
          </cell>
          <cell r="P26">
            <v>151.57</v>
          </cell>
          <cell r="Q26">
            <v>1683.88</v>
          </cell>
          <cell r="R26">
            <v>820.79</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181.33</v>
          </cell>
          <cell r="AO26">
            <v>0</v>
          </cell>
          <cell r="AP26">
            <v>0</v>
          </cell>
          <cell r="AQ26">
            <v>1683.88</v>
          </cell>
          <cell r="AR26">
            <v>0</v>
          </cell>
          <cell r="AS26">
            <v>0</v>
          </cell>
          <cell r="AT26">
            <v>0</v>
          </cell>
          <cell r="AU26">
            <v>0</v>
          </cell>
        </row>
        <row r="27">
          <cell r="A27" t="str">
            <v>000A0298</v>
          </cell>
          <cell r="B27" t="str">
            <v>COLIN</v>
          </cell>
          <cell r="C27" t="str">
            <v>MARIE FRANCE</v>
          </cell>
          <cell r="D27" t="str">
            <v>SIEGE</v>
          </cell>
          <cell r="E27">
            <v>91</v>
          </cell>
          <cell r="F27" t="str">
            <v>NC NUMERICABLE ILE-DE-FRANCE</v>
          </cell>
          <cell r="G27" t="str">
            <v>MARKETING</v>
          </cell>
          <cell r="H27" t="str">
            <v>VINEL</v>
          </cell>
          <cell r="I27" t="str">
            <v>GENE546001</v>
          </cell>
          <cell r="J27">
            <v>100</v>
          </cell>
          <cell r="K27">
            <v>32783</v>
          </cell>
          <cell r="L27" t="str">
            <v>ASS. DIRECT.</v>
          </cell>
          <cell r="M27" t="str">
            <v>TSM</v>
          </cell>
          <cell r="N27" t="str">
            <v>D</v>
          </cell>
          <cell r="O27" t="str">
            <v>CDI</v>
          </cell>
          <cell r="P27">
            <v>130</v>
          </cell>
          <cell r="Q27">
            <v>2013.67</v>
          </cell>
          <cell r="R27">
            <v>1368.75</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297.13</v>
          </cell>
          <cell r="AO27">
            <v>23.61</v>
          </cell>
          <cell r="AP27">
            <v>0</v>
          </cell>
          <cell r="AQ27">
            <v>2758.99</v>
          </cell>
          <cell r="AR27">
            <v>0</v>
          </cell>
          <cell r="AS27">
            <v>0</v>
          </cell>
          <cell r="AT27">
            <v>0</v>
          </cell>
          <cell r="AU27">
            <v>0</v>
          </cell>
        </row>
        <row r="28">
          <cell r="A28" t="str">
            <v>000A0865</v>
          </cell>
          <cell r="B28" t="str">
            <v>WANG</v>
          </cell>
          <cell r="C28" t="str">
            <v>PASCAL</v>
          </cell>
          <cell r="D28" t="str">
            <v>VANVES</v>
          </cell>
          <cell r="E28">
            <v>91</v>
          </cell>
          <cell r="F28" t="str">
            <v>NC NUMERICABLE ILE-DE-FRANCE</v>
          </cell>
          <cell r="G28" t="str">
            <v>NMC ADMIN</v>
          </cell>
          <cell r="I28" t="str">
            <v>GENE905001</v>
          </cell>
          <cell r="J28">
            <v>100</v>
          </cell>
          <cell r="K28">
            <v>36892</v>
          </cell>
          <cell r="L28" t="str">
            <v>RESP.TECH.EXPL.</v>
          </cell>
          <cell r="M28" t="str">
            <v>CADRE</v>
          </cell>
          <cell r="N28" t="str">
            <v>E</v>
          </cell>
          <cell r="O28" t="str">
            <v>CDI</v>
          </cell>
          <cell r="P28">
            <v>151.57</v>
          </cell>
          <cell r="Q28">
            <v>2815</v>
          </cell>
          <cell r="R28">
            <v>516.91</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258.83</v>
          </cell>
          <cell r="AN28">
            <v>303.14999999999998</v>
          </cell>
          <cell r="AO28">
            <v>290.04000000000002</v>
          </cell>
          <cell r="AP28">
            <v>0</v>
          </cell>
          <cell r="AQ28">
            <v>2815</v>
          </cell>
          <cell r="AR28">
            <v>0</v>
          </cell>
          <cell r="AS28">
            <v>0</v>
          </cell>
          <cell r="AT28">
            <v>0</v>
          </cell>
          <cell r="AU28">
            <v>0</v>
          </cell>
        </row>
        <row r="29">
          <cell r="A29" t="str">
            <v>000A0822</v>
          </cell>
          <cell r="B29" t="str">
            <v>DUPERRON</v>
          </cell>
          <cell r="C29" t="str">
            <v>JOEL</v>
          </cell>
          <cell r="D29" t="str">
            <v>VANVES</v>
          </cell>
          <cell r="E29">
            <v>91</v>
          </cell>
          <cell r="F29" t="str">
            <v>NC NUMERICABLE ILE-DE-FRANCE</v>
          </cell>
          <cell r="G29" t="str">
            <v>NOC</v>
          </cell>
          <cell r="I29" t="str">
            <v>GENE905001</v>
          </cell>
          <cell r="J29">
            <v>100</v>
          </cell>
          <cell r="K29">
            <v>36773</v>
          </cell>
          <cell r="L29" t="str">
            <v>CHARGE(E) ETUDES  DVP</v>
          </cell>
          <cell r="M29" t="str">
            <v>CADRE</v>
          </cell>
          <cell r="N29" t="str">
            <v>E</v>
          </cell>
          <cell r="O29" t="str">
            <v>CDI</v>
          </cell>
          <cell r="P29">
            <v>151.57</v>
          </cell>
          <cell r="Q29">
            <v>4890</v>
          </cell>
          <cell r="R29">
            <v>2447.13</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33</v>
          </cell>
          <cell r="AN29">
            <v>530.15</v>
          </cell>
          <cell r="AO29">
            <v>0</v>
          </cell>
          <cell r="AP29">
            <v>0</v>
          </cell>
          <cell r="AQ29">
            <v>4923</v>
          </cell>
          <cell r="AR29">
            <v>0</v>
          </cell>
          <cell r="AS29">
            <v>0</v>
          </cell>
          <cell r="AT29">
            <v>0</v>
          </cell>
          <cell r="AU29">
            <v>0</v>
          </cell>
        </row>
        <row r="30">
          <cell r="A30">
            <v>3</v>
          </cell>
          <cell r="B30" t="str">
            <v>ROIRON</v>
          </cell>
          <cell r="C30" t="str">
            <v>THIERRY</v>
          </cell>
          <cell r="D30" t="str">
            <v>VANVES</v>
          </cell>
          <cell r="E30">
            <v>91</v>
          </cell>
          <cell r="F30" t="str">
            <v>NC NUMERICABLE ILE-DE-FRANCE</v>
          </cell>
          <cell r="G30" t="str">
            <v>SUPPORT ET EXPERTISE</v>
          </cell>
          <cell r="H30" t="str">
            <v>MASON</v>
          </cell>
          <cell r="I30" t="str">
            <v>GENE306001</v>
          </cell>
          <cell r="J30">
            <v>100</v>
          </cell>
          <cell r="K30">
            <v>31740</v>
          </cell>
          <cell r="L30" t="str">
            <v>RESP. TECH. SUPPORT</v>
          </cell>
          <cell r="M30" t="str">
            <v>CADRE</v>
          </cell>
          <cell r="N30" t="str">
            <v>E</v>
          </cell>
          <cell r="O30" t="str">
            <v>CDI</v>
          </cell>
          <cell r="P30">
            <v>151.57</v>
          </cell>
          <cell r="Q30">
            <v>3633</v>
          </cell>
          <cell r="R30">
            <v>2036.25</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219</v>
          </cell>
          <cell r="AL30">
            <v>0</v>
          </cell>
          <cell r="AM30">
            <v>0</v>
          </cell>
          <cell r="AN30">
            <v>414.84</v>
          </cell>
          <cell r="AO30">
            <v>0</v>
          </cell>
          <cell r="AP30">
            <v>0</v>
          </cell>
          <cell r="AQ30">
            <v>3633</v>
          </cell>
          <cell r="AR30">
            <v>0</v>
          </cell>
          <cell r="AS30">
            <v>219</v>
          </cell>
          <cell r="AT30">
            <v>0</v>
          </cell>
          <cell r="AU30">
            <v>0</v>
          </cell>
        </row>
        <row r="31">
          <cell r="A31" t="str">
            <v>000A1285</v>
          </cell>
          <cell r="B31" t="str">
            <v>BELGOUIZA</v>
          </cell>
          <cell r="C31" t="str">
            <v>ADILLE</v>
          </cell>
          <cell r="D31" t="str">
            <v>BORDEAUX</v>
          </cell>
          <cell r="E31">
            <v>91</v>
          </cell>
          <cell r="F31" t="str">
            <v>NC NUMERICABLE ILE-DE-FRANCE</v>
          </cell>
          <cell r="G31" t="str">
            <v>VAD CONSEILLERS</v>
          </cell>
          <cell r="H31" t="str">
            <v>FERNANDEZ A</v>
          </cell>
          <cell r="I31" t="str">
            <v>SUOU500001</v>
          </cell>
          <cell r="J31">
            <v>100</v>
          </cell>
          <cell r="K31">
            <v>38677</v>
          </cell>
          <cell r="L31" t="str">
            <v>CONSEILLER(E) COM.</v>
          </cell>
          <cell r="M31" t="str">
            <v>TSM</v>
          </cell>
          <cell r="N31" t="str">
            <v>D</v>
          </cell>
          <cell r="O31" t="str">
            <v>CDI</v>
          </cell>
          <cell r="P31">
            <v>151.57</v>
          </cell>
          <cell r="Q31">
            <v>1217.8800000000001</v>
          </cell>
          <cell r="R31">
            <v>514.4</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131.15</v>
          </cell>
          <cell r="AO31">
            <v>0</v>
          </cell>
          <cell r="AP31">
            <v>0</v>
          </cell>
          <cell r="AQ31">
            <v>1217.8800000000001</v>
          </cell>
          <cell r="AR31">
            <v>0</v>
          </cell>
          <cell r="AS31">
            <v>0</v>
          </cell>
          <cell r="AT31">
            <v>0</v>
          </cell>
          <cell r="AU31">
            <v>0</v>
          </cell>
        </row>
        <row r="32">
          <cell r="A32" t="str">
            <v>000A1261</v>
          </cell>
          <cell r="B32" t="str">
            <v>POUZET</v>
          </cell>
          <cell r="C32" t="str">
            <v>FABRICE</v>
          </cell>
          <cell r="D32" t="str">
            <v>BORDEAUX</v>
          </cell>
          <cell r="E32">
            <v>91</v>
          </cell>
          <cell r="F32" t="str">
            <v>NC NUMERICABLE ILE-DE-FRANCE</v>
          </cell>
          <cell r="G32" t="str">
            <v>VAD CONSEILLERS</v>
          </cell>
          <cell r="H32" t="str">
            <v>GALERA</v>
          </cell>
          <cell r="I32" t="str">
            <v>SUOU500001</v>
          </cell>
          <cell r="J32">
            <v>100</v>
          </cell>
          <cell r="K32">
            <v>38677</v>
          </cell>
          <cell r="L32" t="str">
            <v>CONSEILLER(E) COM.</v>
          </cell>
          <cell r="M32" t="str">
            <v>TSM</v>
          </cell>
          <cell r="N32" t="str">
            <v>D</v>
          </cell>
          <cell r="O32" t="str">
            <v>CDI</v>
          </cell>
          <cell r="P32">
            <v>151.57</v>
          </cell>
          <cell r="Q32">
            <v>1217.8800000000001</v>
          </cell>
          <cell r="R32">
            <v>702.98</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131.16</v>
          </cell>
          <cell r="AO32">
            <v>0</v>
          </cell>
          <cell r="AP32">
            <v>0</v>
          </cell>
          <cell r="AQ32">
            <v>1217.8800000000001</v>
          </cell>
          <cell r="AR32">
            <v>0</v>
          </cell>
          <cell r="AS32">
            <v>0</v>
          </cell>
          <cell r="AT32">
            <v>0</v>
          </cell>
          <cell r="AU32">
            <v>0</v>
          </cell>
        </row>
        <row r="33">
          <cell r="A33" t="str">
            <v>000A1156</v>
          </cell>
          <cell r="B33" t="str">
            <v>EL M'HAMEDI</v>
          </cell>
          <cell r="C33" t="str">
            <v>JAMAL</v>
          </cell>
          <cell r="D33" t="str">
            <v>VERSAILLES</v>
          </cell>
          <cell r="E33">
            <v>91</v>
          </cell>
          <cell r="F33" t="str">
            <v>NC NUMERICABLE ILE-DE-FRANCE</v>
          </cell>
          <cell r="G33" t="str">
            <v>VAD CONSEILLERS</v>
          </cell>
          <cell r="H33" t="str">
            <v>MAXIMIN-TARTARE</v>
          </cell>
          <cell r="I33" t="str">
            <v>IDFR500001</v>
          </cell>
          <cell r="J33">
            <v>100</v>
          </cell>
          <cell r="K33">
            <v>38642</v>
          </cell>
          <cell r="L33" t="str">
            <v>CONSEILLER(E) COM.</v>
          </cell>
          <cell r="M33" t="str">
            <v>TSM</v>
          </cell>
          <cell r="N33" t="str">
            <v>D</v>
          </cell>
          <cell r="O33" t="str">
            <v>CDI</v>
          </cell>
          <cell r="P33">
            <v>151.57</v>
          </cell>
          <cell r="Q33">
            <v>1217.8800000000001</v>
          </cell>
          <cell r="R33">
            <v>1287.51</v>
          </cell>
          <cell r="S33">
            <v>0</v>
          </cell>
          <cell r="T33">
            <v>2200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359.35</v>
          </cell>
          <cell r="AO33">
            <v>46.43</v>
          </cell>
          <cell r="AP33">
            <v>0</v>
          </cell>
          <cell r="AQ33">
            <v>1136.69</v>
          </cell>
          <cell r="AR33">
            <v>0</v>
          </cell>
          <cell r="AS33">
            <v>0</v>
          </cell>
          <cell r="AT33">
            <v>0</v>
          </cell>
          <cell r="AU33">
            <v>0</v>
          </cell>
        </row>
        <row r="34">
          <cell r="A34" t="str">
            <v>000A1097</v>
          </cell>
          <cell r="B34" t="str">
            <v>DERUYCK</v>
          </cell>
          <cell r="C34" t="str">
            <v>FABIEN</v>
          </cell>
          <cell r="D34" t="str">
            <v>LA MADELEINE</v>
          </cell>
          <cell r="E34">
            <v>91</v>
          </cell>
          <cell r="F34" t="str">
            <v>NC NUMERICABLE ILE-DE-FRANCE</v>
          </cell>
          <cell r="G34" t="str">
            <v>VAD CONSEILLERS</v>
          </cell>
          <cell r="H34" t="str">
            <v>DESCATOIRE</v>
          </cell>
          <cell r="I34" t="str">
            <v>NPCA500001</v>
          </cell>
          <cell r="J34">
            <v>100</v>
          </cell>
          <cell r="K34">
            <v>38617</v>
          </cell>
          <cell r="L34" t="str">
            <v>CONSEILLER(E) COM.</v>
          </cell>
          <cell r="M34" t="str">
            <v>TSM</v>
          </cell>
          <cell r="N34" t="str">
            <v>D</v>
          </cell>
          <cell r="O34" t="str">
            <v>CDI</v>
          </cell>
          <cell r="P34">
            <v>151.57</v>
          </cell>
          <cell r="Q34">
            <v>1217.8800000000001</v>
          </cell>
          <cell r="R34">
            <v>465.88</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126.79</v>
          </cell>
          <cell r="AO34">
            <v>0</v>
          </cell>
          <cell r="AP34">
            <v>0</v>
          </cell>
          <cell r="AQ34">
            <v>1177.28</v>
          </cell>
          <cell r="AR34">
            <v>0</v>
          </cell>
          <cell r="AS34">
            <v>0</v>
          </cell>
          <cell r="AT34">
            <v>0</v>
          </cell>
          <cell r="AU34">
            <v>0</v>
          </cell>
        </row>
        <row r="35">
          <cell r="A35" t="str">
            <v>000A1634</v>
          </cell>
          <cell r="B35" t="str">
            <v>RIVIERE</v>
          </cell>
          <cell r="C35" t="str">
            <v>DOMINIQUE</v>
          </cell>
          <cell r="D35" t="str">
            <v>NANCY</v>
          </cell>
          <cell r="E35">
            <v>91</v>
          </cell>
          <cell r="F35" t="str">
            <v>NC NUMERICABLE ILE-DE-FRANCE</v>
          </cell>
          <cell r="G35" t="str">
            <v>VAD CONSEILLERS</v>
          </cell>
          <cell r="H35" t="str">
            <v>LORCET</v>
          </cell>
          <cell r="I35" t="str">
            <v>ESTR500001</v>
          </cell>
          <cell r="J35">
            <v>100</v>
          </cell>
          <cell r="K35">
            <v>38790</v>
          </cell>
          <cell r="L35" t="str">
            <v>CONSEILLER(E) COM.</v>
          </cell>
          <cell r="M35" t="str">
            <v>TSM</v>
          </cell>
          <cell r="N35" t="str">
            <v>D</v>
          </cell>
          <cell r="O35" t="str">
            <v>CDI</v>
          </cell>
          <cell r="P35">
            <v>151.57</v>
          </cell>
          <cell r="Q35">
            <v>0</v>
          </cell>
          <cell r="R35">
            <v>364.15</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1217.8800000000001</v>
          </cell>
          <cell r="AR35">
            <v>0</v>
          </cell>
          <cell r="AS35">
            <v>0</v>
          </cell>
          <cell r="AT35">
            <v>0</v>
          </cell>
          <cell r="AU35">
            <v>0</v>
          </cell>
        </row>
        <row r="36">
          <cell r="A36" t="str">
            <v>000A1735</v>
          </cell>
          <cell r="B36" t="str">
            <v>BLASZCZYK</v>
          </cell>
          <cell r="C36" t="str">
            <v>NICOLAS</v>
          </cell>
          <cell r="D36" t="str">
            <v>LA MADELEINE</v>
          </cell>
          <cell r="E36">
            <v>91</v>
          </cell>
          <cell r="F36" t="str">
            <v>NC NUMERICABLE ILE-DE-FRANCE</v>
          </cell>
          <cell r="G36" t="str">
            <v>VAD CONSEILLERS</v>
          </cell>
          <cell r="H36" t="str">
            <v>GUIONNET</v>
          </cell>
          <cell r="I36" t="str">
            <v>NPCA500001</v>
          </cell>
          <cell r="J36">
            <v>100</v>
          </cell>
          <cell r="K36">
            <v>38803</v>
          </cell>
          <cell r="L36" t="str">
            <v>CONSEILLER(E) COM.</v>
          </cell>
          <cell r="M36" t="str">
            <v>TSM</v>
          </cell>
          <cell r="N36" t="str">
            <v>D</v>
          </cell>
          <cell r="O36" t="str">
            <v>CDI</v>
          </cell>
          <cell r="P36">
            <v>151.57</v>
          </cell>
          <cell r="Q36">
            <v>0</v>
          </cell>
          <cell r="R36">
            <v>389.78</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1420.86</v>
          </cell>
          <cell r="AR36">
            <v>0</v>
          </cell>
          <cell r="AS36">
            <v>0</v>
          </cell>
          <cell r="AT36">
            <v>0</v>
          </cell>
          <cell r="AU36">
            <v>0</v>
          </cell>
        </row>
        <row r="37">
          <cell r="A37" t="str">
            <v>000A1479</v>
          </cell>
          <cell r="B37" t="str">
            <v>LAVOINE</v>
          </cell>
          <cell r="C37" t="str">
            <v>BENJAMIN</v>
          </cell>
          <cell r="D37" t="str">
            <v>VANVES</v>
          </cell>
          <cell r="E37">
            <v>91</v>
          </cell>
          <cell r="F37" t="str">
            <v>NC NUMERICABLE ILE-DE-FRANCE</v>
          </cell>
          <cell r="G37" t="str">
            <v>TECHNIQUE</v>
          </cell>
          <cell r="H37" t="str">
            <v>TRUYENS</v>
          </cell>
          <cell r="I37" t="str">
            <v>GENE306001</v>
          </cell>
          <cell r="J37">
            <v>100</v>
          </cell>
          <cell r="K37">
            <v>38737</v>
          </cell>
          <cell r="L37" t="str">
            <v>APPRENTI</v>
          </cell>
          <cell r="M37" t="str">
            <v>544A</v>
          </cell>
          <cell r="N37">
            <v>0</v>
          </cell>
          <cell r="O37" t="str">
            <v>CONTRAT APPRENTISSAGE</v>
          </cell>
          <cell r="P37">
            <v>151.57</v>
          </cell>
          <cell r="Q37">
            <v>235.97</v>
          </cell>
          <cell r="R37">
            <v>186.96</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63.53</v>
          </cell>
          <cell r="AO37">
            <v>23.61</v>
          </cell>
          <cell r="AP37">
            <v>0</v>
          </cell>
          <cell r="AQ37">
            <v>589.91999999999996</v>
          </cell>
          <cell r="AR37">
            <v>0</v>
          </cell>
          <cell r="AS37">
            <v>0</v>
          </cell>
          <cell r="AT37">
            <v>0</v>
          </cell>
          <cell r="AU37">
            <v>0</v>
          </cell>
        </row>
        <row r="38">
          <cell r="A38" t="str">
            <v>000A1288</v>
          </cell>
          <cell r="B38" t="str">
            <v>AOUE-OSSONA</v>
          </cell>
          <cell r="C38" t="str">
            <v>DORIS</v>
          </cell>
          <cell r="D38" t="str">
            <v>LYON GARIBALDI</v>
          </cell>
          <cell r="E38">
            <v>91</v>
          </cell>
          <cell r="F38" t="str">
            <v>NC NUMERICABLE ILE-DE-FRANCE</v>
          </cell>
          <cell r="G38" t="str">
            <v>VAD CONSEILLERS</v>
          </cell>
          <cell r="H38" t="str">
            <v>KUDONOO</v>
          </cell>
          <cell r="I38" t="str">
            <v>RHON500001</v>
          </cell>
          <cell r="J38">
            <v>100</v>
          </cell>
          <cell r="K38">
            <v>38684</v>
          </cell>
          <cell r="L38" t="str">
            <v>CONSEILLER(E) CLT BOUTIQUE</v>
          </cell>
          <cell r="M38" t="str">
            <v>EMPLOYE</v>
          </cell>
          <cell r="N38" t="str">
            <v>C</v>
          </cell>
          <cell r="O38" t="str">
            <v>CDI</v>
          </cell>
          <cell r="P38">
            <v>151.57</v>
          </cell>
          <cell r="Q38">
            <v>1217.8800000000001</v>
          </cell>
          <cell r="R38">
            <v>529.61</v>
          </cell>
          <cell r="S38">
            <v>0</v>
          </cell>
          <cell r="T38">
            <v>603.20000000000005</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222.64</v>
          </cell>
          <cell r="AO38">
            <v>0</v>
          </cell>
          <cell r="AP38">
            <v>0</v>
          </cell>
          <cell r="AQ38">
            <v>1464.24</v>
          </cell>
          <cell r="AR38">
            <v>0</v>
          </cell>
          <cell r="AS38">
            <v>0</v>
          </cell>
          <cell r="AT38">
            <v>0</v>
          </cell>
          <cell r="AU38">
            <v>0</v>
          </cell>
        </row>
        <row r="39">
          <cell r="A39" t="str">
            <v>000A1101</v>
          </cell>
          <cell r="B39" t="str">
            <v>LAKRAD</v>
          </cell>
          <cell r="C39" t="str">
            <v>FARID</v>
          </cell>
          <cell r="D39" t="str">
            <v>LA MADELEINE</v>
          </cell>
          <cell r="E39">
            <v>91</v>
          </cell>
          <cell r="F39" t="str">
            <v>NC NUMERICABLE ILE-DE-FRANCE</v>
          </cell>
          <cell r="G39" t="str">
            <v>VAD CONSEILLERS</v>
          </cell>
          <cell r="H39" t="str">
            <v>DESCATOIRE</v>
          </cell>
          <cell r="I39" t="str">
            <v>NPCA500001</v>
          </cell>
          <cell r="J39">
            <v>100</v>
          </cell>
          <cell r="K39">
            <v>38628</v>
          </cell>
          <cell r="L39" t="str">
            <v>SUPERVISEUR COM.</v>
          </cell>
          <cell r="M39" t="str">
            <v>TSM</v>
          </cell>
          <cell r="N39" t="str">
            <v>D</v>
          </cell>
          <cell r="O39" t="str">
            <v>CDI</v>
          </cell>
          <cell r="P39">
            <v>151.57</v>
          </cell>
          <cell r="Q39">
            <v>1217.8800000000001</v>
          </cell>
          <cell r="R39">
            <v>1544.4</v>
          </cell>
          <cell r="S39">
            <v>0</v>
          </cell>
          <cell r="T39">
            <v>2900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443.46</v>
          </cell>
          <cell r="AO39">
            <v>0</v>
          </cell>
          <cell r="AP39">
            <v>0</v>
          </cell>
          <cell r="AQ39">
            <v>1217.8800000000001</v>
          </cell>
          <cell r="AR39">
            <v>0</v>
          </cell>
          <cell r="AS39">
            <v>0</v>
          </cell>
          <cell r="AT39">
            <v>0</v>
          </cell>
          <cell r="AU39">
            <v>0</v>
          </cell>
        </row>
        <row r="40">
          <cell r="A40" t="str">
            <v>000A1452</v>
          </cell>
          <cell r="B40" t="str">
            <v>PERRIRAZ</v>
          </cell>
          <cell r="C40" t="str">
            <v>MICHEL</v>
          </cell>
          <cell r="D40" t="str">
            <v>MONTPELLIER</v>
          </cell>
          <cell r="E40">
            <v>91</v>
          </cell>
          <cell r="F40" t="str">
            <v>NC NUMERICABLE ILE-DE-FRANCE</v>
          </cell>
          <cell r="G40" t="str">
            <v>VAD CONSEILLERS</v>
          </cell>
          <cell r="H40" t="str">
            <v>VIVIN</v>
          </cell>
          <cell r="I40" t="str">
            <v>SUES500001</v>
          </cell>
          <cell r="J40">
            <v>100</v>
          </cell>
          <cell r="K40">
            <v>38754</v>
          </cell>
          <cell r="L40" t="str">
            <v>CONSEILLER(E) COM.</v>
          </cell>
          <cell r="M40" t="str">
            <v>TSM</v>
          </cell>
          <cell r="N40" t="str">
            <v>D</v>
          </cell>
          <cell r="O40" t="str">
            <v>CDI</v>
          </cell>
          <cell r="P40">
            <v>151.57</v>
          </cell>
          <cell r="Q40">
            <v>1217.8800000000001</v>
          </cell>
          <cell r="R40">
            <v>586.96</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403.65</v>
          </cell>
          <cell r="AO40">
            <v>0</v>
          </cell>
          <cell r="AP40">
            <v>0</v>
          </cell>
          <cell r="AQ40">
            <v>1217.8800000000001</v>
          </cell>
          <cell r="AR40">
            <v>0</v>
          </cell>
          <cell r="AS40">
            <v>0</v>
          </cell>
          <cell r="AT40">
            <v>0</v>
          </cell>
          <cell r="AU40">
            <v>0</v>
          </cell>
        </row>
        <row r="41">
          <cell r="A41" t="str">
            <v>000A1309</v>
          </cell>
          <cell r="B41" t="str">
            <v>LETALLEUR</v>
          </cell>
          <cell r="C41" t="str">
            <v>MARC</v>
          </cell>
          <cell r="D41" t="str">
            <v>MARSEILLE</v>
          </cell>
          <cell r="E41">
            <v>91</v>
          </cell>
          <cell r="F41" t="str">
            <v>NC NUMERICABLE ILE-DE-FRANCE</v>
          </cell>
          <cell r="G41" t="str">
            <v>VAD CONSEILLERS</v>
          </cell>
          <cell r="H41" t="str">
            <v>HAIOUN</v>
          </cell>
          <cell r="I41" t="str">
            <v>SUES500001</v>
          </cell>
          <cell r="J41">
            <v>100</v>
          </cell>
          <cell r="K41">
            <v>38685</v>
          </cell>
          <cell r="L41" t="str">
            <v>CONSEILLER(E) COM.</v>
          </cell>
          <cell r="M41" t="str">
            <v>TSM</v>
          </cell>
          <cell r="N41" t="str">
            <v>D</v>
          </cell>
          <cell r="O41" t="str">
            <v>CDI</v>
          </cell>
          <cell r="P41">
            <v>151.57</v>
          </cell>
          <cell r="Q41">
            <v>1217.8800000000001</v>
          </cell>
          <cell r="R41">
            <v>613.05999999999995</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131.16</v>
          </cell>
          <cell r="AO41">
            <v>0</v>
          </cell>
          <cell r="AP41">
            <v>0</v>
          </cell>
          <cell r="AQ41">
            <v>1217.8800000000001</v>
          </cell>
          <cell r="AR41">
            <v>0</v>
          </cell>
          <cell r="AS41">
            <v>0</v>
          </cell>
          <cell r="AT41">
            <v>0</v>
          </cell>
          <cell r="AU41">
            <v>0</v>
          </cell>
        </row>
        <row r="42">
          <cell r="A42" t="str">
            <v>000A1304</v>
          </cell>
          <cell r="B42" t="str">
            <v>BARIGAULT</v>
          </cell>
          <cell r="C42" t="str">
            <v>VINCENT</v>
          </cell>
          <cell r="D42" t="str">
            <v>VERSAILLES</v>
          </cell>
          <cell r="E42">
            <v>91</v>
          </cell>
          <cell r="F42" t="str">
            <v>NC NUMERICABLE ILE-DE-FRANCE</v>
          </cell>
          <cell r="G42" t="str">
            <v>VAD CONSEILLERS</v>
          </cell>
          <cell r="H42" t="str">
            <v>MAXIMIN-TARTARE</v>
          </cell>
          <cell r="I42" t="str">
            <v>IDFR500001</v>
          </cell>
          <cell r="J42">
            <v>100</v>
          </cell>
          <cell r="K42">
            <v>38691</v>
          </cell>
          <cell r="L42" t="str">
            <v>CONSEILLER(E) COM.</v>
          </cell>
          <cell r="M42" t="str">
            <v>TSM</v>
          </cell>
          <cell r="N42" t="str">
            <v>D</v>
          </cell>
          <cell r="O42" t="str">
            <v>CDI</v>
          </cell>
          <cell r="P42">
            <v>151.57</v>
          </cell>
          <cell r="Q42">
            <v>1217.8800000000001</v>
          </cell>
          <cell r="R42">
            <v>1577.95</v>
          </cell>
          <cell r="S42">
            <v>0</v>
          </cell>
          <cell r="T42">
            <v>3240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458.22</v>
          </cell>
          <cell r="AO42">
            <v>0</v>
          </cell>
          <cell r="AP42">
            <v>0</v>
          </cell>
          <cell r="AQ42">
            <v>1014.9</v>
          </cell>
          <cell r="AR42">
            <v>0</v>
          </cell>
          <cell r="AS42">
            <v>0</v>
          </cell>
          <cell r="AT42">
            <v>0</v>
          </cell>
          <cell r="AU42">
            <v>0</v>
          </cell>
        </row>
        <row r="43">
          <cell r="A43" t="str">
            <v>000A1698</v>
          </cell>
          <cell r="B43" t="str">
            <v>SIMON</v>
          </cell>
          <cell r="C43" t="str">
            <v>NICOLAS</v>
          </cell>
          <cell r="D43" t="str">
            <v>MONTPELLIER</v>
          </cell>
          <cell r="E43">
            <v>91</v>
          </cell>
          <cell r="F43" t="str">
            <v>NC NUMERICABLE ILE-DE-FRANCE</v>
          </cell>
          <cell r="G43" t="str">
            <v>VAD CONSEILLERS</v>
          </cell>
          <cell r="H43" t="str">
            <v>VIVIN</v>
          </cell>
          <cell r="I43" t="str">
            <v>SUES500001</v>
          </cell>
          <cell r="J43">
            <v>100</v>
          </cell>
          <cell r="K43">
            <v>38810</v>
          </cell>
          <cell r="L43" t="str">
            <v>CONSEILLER(E) COM.</v>
          </cell>
          <cell r="M43" t="str">
            <v>TSM</v>
          </cell>
          <cell r="N43" t="str">
            <v>D</v>
          </cell>
          <cell r="O43" t="str">
            <v>CDI</v>
          </cell>
          <cell r="P43">
            <v>151.57</v>
          </cell>
          <cell r="Q43">
            <v>0</v>
          </cell>
          <cell r="R43">
            <v>143.34</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365.36</v>
          </cell>
          <cell r="AR43">
            <v>0</v>
          </cell>
          <cell r="AS43">
            <v>0</v>
          </cell>
          <cell r="AT43">
            <v>0</v>
          </cell>
          <cell r="AU43">
            <v>0</v>
          </cell>
        </row>
        <row r="44">
          <cell r="A44" t="str">
            <v>000A1598</v>
          </cell>
          <cell r="B44" t="str">
            <v>LAURENDEAU</v>
          </cell>
          <cell r="C44" t="str">
            <v>J.JACQUES</v>
          </cell>
          <cell r="D44" t="str">
            <v>SIEGE</v>
          </cell>
          <cell r="E44">
            <v>91</v>
          </cell>
          <cell r="F44" t="str">
            <v>NC NUMERICABLE ILE-DE-FRANCE</v>
          </cell>
          <cell r="G44" t="str">
            <v>VAD CONSEILLERS</v>
          </cell>
          <cell r="H44" t="str">
            <v>ZERFAINE</v>
          </cell>
          <cell r="I44" t="str">
            <v>IDFR500001</v>
          </cell>
          <cell r="J44">
            <v>100</v>
          </cell>
          <cell r="K44">
            <v>38777</v>
          </cell>
          <cell r="L44" t="str">
            <v>CONSEILLER(E) COM.</v>
          </cell>
          <cell r="M44" t="str">
            <v>TSM</v>
          </cell>
          <cell r="N44" t="str">
            <v>D</v>
          </cell>
          <cell r="O44" t="str">
            <v>CDI</v>
          </cell>
          <cell r="P44">
            <v>151.57</v>
          </cell>
          <cell r="Q44">
            <v>0</v>
          </cell>
          <cell r="R44">
            <v>1337.5</v>
          </cell>
          <cell r="S44">
            <v>0</v>
          </cell>
          <cell r="T44">
            <v>2120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490.62</v>
          </cell>
          <cell r="AO44">
            <v>0</v>
          </cell>
          <cell r="AP44">
            <v>0</v>
          </cell>
          <cell r="AQ44">
            <v>1217.8800000000001</v>
          </cell>
          <cell r="AR44">
            <v>0</v>
          </cell>
          <cell r="AS44">
            <v>0</v>
          </cell>
          <cell r="AT44">
            <v>0</v>
          </cell>
          <cell r="AU44">
            <v>0</v>
          </cell>
        </row>
        <row r="45">
          <cell r="A45" t="str">
            <v>000A1305</v>
          </cell>
          <cell r="B45" t="str">
            <v>PAMA</v>
          </cell>
          <cell r="C45" t="str">
            <v>LASM</v>
          </cell>
          <cell r="D45" t="str">
            <v>GRENOBLE</v>
          </cell>
          <cell r="E45">
            <v>91</v>
          </cell>
          <cell r="F45" t="str">
            <v>NC NUMERICABLE ILE-DE-FRANCE</v>
          </cell>
          <cell r="G45" t="str">
            <v>VAD CONSEILLERS</v>
          </cell>
          <cell r="H45" t="str">
            <v>JAUNAY</v>
          </cell>
          <cell r="I45" t="str">
            <v>RHON500001</v>
          </cell>
          <cell r="J45">
            <v>100</v>
          </cell>
          <cell r="K45">
            <v>38684</v>
          </cell>
          <cell r="L45" t="str">
            <v>CONSEILLER(E) COM.</v>
          </cell>
          <cell r="M45" t="str">
            <v>TSM</v>
          </cell>
          <cell r="N45" t="str">
            <v>D</v>
          </cell>
          <cell r="O45" t="str">
            <v>CDI</v>
          </cell>
          <cell r="P45">
            <v>151.57</v>
          </cell>
          <cell r="Q45">
            <v>1217.8800000000001</v>
          </cell>
          <cell r="R45">
            <v>1292.77</v>
          </cell>
          <cell r="S45">
            <v>0</v>
          </cell>
          <cell r="T45">
            <v>2140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361.62</v>
          </cell>
          <cell r="AO45">
            <v>0</v>
          </cell>
          <cell r="AP45">
            <v>0</v>
          </cell>
          <cell r="AQ45">
            <v>1217.8800000000001</v>
          </cell>
          <cell r="AR45">
            <v>0</v>
          </cell>
          <cell r="AS45">
            <v>0</v>
          </cell>
          <cell r="AT45">
            <v>0</v>
          </cell>
          <cell r="AU45">
            <v>0</v>
          </cell>
        </row>
        <row r="46">
          <cell r="A46" t="str">
            <v>000A1063</v>
          </cell>
          <cell r="B46" t="str">
            <v>BELLONCLE</v>
          </cell>
          <cell r="C46" t="str">
            <v>MIGUEL</v>
          </cell>
          <cell r="D46" t="str">
            <v>CAEN</v>
          </cell>
          <cell r="E46">
            <v>91</v>
          </cell>
          <cell r="F46" t="str">
            <v>NC NUMERICABLE ILE-DE-FRANCE</v>
          </cell>
          <cell r="G46" t="str">
            <v>VAD CONSEILLERS</v>
          </cell>
          <cell r="H46" t="str">
            <v>ALLAIN G</v>
          </cell>
          <cell r="I46" t="str">
            <v>OUES500001</v>
          </cell>
          <cell r="J46">
            <v>100</v>
          </cell>
          <cell r="K46">
            <v>38628</v>
          </cell>
          <cell r="L46" t="str">
            <v>CONSEILLER(E) COM.</v>
          </cell>
          <cell r="M46" t="str">
            <v>TSM</v>
          </cell>
          <cell r="N46" t="str">
            <v>D</v>
          </cell>
          <cell r="O46" t="str">
            <v>CDI</v>
          </cell>
          <cell r="P46">
            <v>151.57</v>
          </cell>
          <cell r="Q46">
            <v>1217.8800000000001</v>
          </cell>
          <cell r="R46">
            <v>1422.76</v>
          </cell>
          <cell r="S46">
            <v>0</v>
          </cell>
          <cell r="T46">
            <v>2520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402.54</v>
          </cell>
          <cell r="AO46">
            <v>0</v>
          </cell>
          <cell r="AP46">
            <v>0</v>
          </cell>
          <cell r="AQ46">
            <v>1217.8800000000001</v>
          </cell>
          <cell r="AR46">
            <v>0</v>
          </cell>
          <cell r="AS46">
            <v>0</v>
          </cell>
          <cell r="AT46">
            <v>0</v>
          </cell>
          <cell r="AU46">
            <v>0</v>
          </cell>
        </row>
        <row r="47">
          <cell r="A47" t="str">
            <v>000A1259</v>
          </cell>
          <cell r="B47" t="str">
            <v>REY</v>
          </cell>
          <cell r="C47" t="str">
            <v>FRANCOISE</v>
          </cell>
          <cell r="D47" t="str">
            <v>BAB</v>
          </cell>
          <cell r="E47">
            <v>91</v>
          </cell>
          <cell r="F47" t="str">
            <v>NC NUMERICABLE ILE-DE-FRANCE</v>
          </cell>
          <cell r="G47" t="str">
            <v>VAD CONSEILLERS</v>
          </cell>
          <cell r="H47" t="str">
            <v>GALERA</v>
          </cell>
          <cell r="I47" t="str">
            <v>SUOU500001</v>
          </cell>
          <cell r="J47">
            <v>100</v>
          </cell>
          <cell r="K47">
            <v>38684</v>
          </cell>
          <cell r="L47" t="str">
            <v>CONSEILLER(E) COM.</v>
          </cell>
          <cell r="M47" t="str">
            <v>TSM</v>
          </cell>
          <cell r="N47" t="str">
            <v>D</v>
          </cell>
          <cell r="O47" t="str">
            <v>CDI</v>
          </cell>
          <cell r="P47">
            <v>151.57</v>
          </cell>
          <cell r="Q47">
            <v>1217.8800000000001</v>
          </cell>
          <cell r="R47">
            <v>398.35</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131.16</v>
          </cell>
          <cell r="AO47">
            <v>0</v>
          </cell>
          <cell r="AP47">
            <v>0</v>
          </cell>
          <cell r="AQ47">
            <v>1217.8800000000001</v>
          </cell>
          <cell r="AR47">
            <v>0</v>
          </cell>
          <cell r="AS47">
            <v>0</v>
          </cell>
          <cell r="AT47">
            <v>0</v>
          </cell>
          <cell r="AU47">
            <v>0</v>
          </cell>
        </row>
        <row r="48">
          <cell r="A48" t="str">
            <v>000A1010</v>
          </cell>
          <cell r="B48" t="str">
            <v>GADOIN</v>
          </cell>
          <cell r="C48" t="str">
            <v>JEAN FRANCOIS</v>
          </cell>
          <cell r="D48" t="str">
            <v>SIEGE</v>
          </cell>
          <cell r="E48">
            <v>91</v>
          </cell>
          <cell r="F48" t="str">
            <v>NC NUMERICABLE ILE-DE-FRANCE</v>
          </cell>
          <cell r="G48" t="str">
            <v>COMPTABILITE</v>
          </cell>
          <cell r="H48" t="str">
            <v>BARBERY</v>
          </cell>
          <cell r="I48" t="str">
            <v>GENE701001</v>
          </cell>
          <cell r="J48">
            <v>100</v>
          </cell>
          <cell r="K48">
            <v>38327</v>
          </cell>
          <cell r="L48" t="str">
            <v>COMPTABLE.NIV.2</v>
          </cell>
          <cell r="M48" t="str">
            <v>TSM</v>
          </cell>
          <cell r="N48" t="str">
            <v>D</v>
          </cell>
          <cell r="O48" t="str">
            <v>CDI</v>
          </cell>
          <cell r="P48">
            <v>151.57</v>
          </cell>
          <cell r="Q48">
            <v>2400</v>
          </cell>
          <cell r="R48">
            <v>1207.48</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258.48</v>
          </cell>
          <cell r="AO48">
            <v>22.46</v>
          </cell>
          <cell r="AP48">
            <v>0</v>
          </cell>
          <cell r="AQ48">
            <v>2400</v>
          </cell>
          <cell r="AR48">
            <v>0</v>
          </cell>
          <cell r="AS48">
            <v>0</v>
          </cell>
          <cell r="AT48">
            <v>0</v>
          </cell>
          <cell r="AU48">
            <v>0</v>
          </cell>
        </row>
        <row r="49">
          <cell r="A49" t="str">
            <v>000A0780</v>
          </cell>
          <cell r="B49" t="str">
            <v>KAYSER</v>
          </cell>
          <cell r="C49" t="str">
            <v>JEAN MICHEL</v>
          </cell>
          <cell r="D49" t="str">
            <v>SIEGE</v>
          </cell>
          <cell r="E49">
            <v>91</v>
          </cell>
          <cell r="F49" t="str">
            <v>NC NUMERICABLE ILE-DE-FRANCE</v>
          </cell>
          <cell r="G49" t="str">
            <v>INFORMATIQUE</v>
          </cell>
          <cell r="H49" t="str">
            <v>CANAS</v>
          </cell>
          <cell r="I49" t="str">
            <v>GENE620001</v>
          </cell>
          <cell r="J49">
            <v>100</v>
          </cell>
          <cell r="K49">
            <v>36675</v>
          </cell>
          <cell r="L49" t="str">
            <v>CHARGE(E) EXP. INFO.</v>
          </cell>
          <cell r="M49" t="str">
            <v>CADRE</v>
          </cell>
          <cell r="N49" t="str">
            <v>E</v>
          </cell>
          <cell r="O49" t="str">
            <v>CDI</v>
          </cell>
          <cell r="P49">
            <v>151.57</v>
          </cell>
          <cell r="Q49">
            <v>3792</v>
          </cell>
          <cell r="R49">
            <v>1640.25</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410.12</v>
          </cell>
          <cell r="AO49">
            <v>23.61</v>
          </cell>
          <cell r="AP49">
            <v>0</v>
          </cell>
          <cell r="AQ49">
            <v>3267.04</v>
          </cell>
          <cell r="AR49">
            <v>0</v>
          </cell>
          <cell r="AS49">
            <v>0</v>
          </cell>
          <cell r="AT49">
            <v>0</v>
          </cell>
          <cell r="AU49">
            <v>0</v>
          </cell>
        </row>
        <row r="50">
          <cell r="A50" t="str">
            <v>000A0860</v>
          </cell>
          <cell r="B50" t="str">
            <v>KERVELLA</v>
          </cell>
          <cell r="C50" t="str">
            <v>ISABELLE</v>
          </cell>
          <cell r="D50" t="str">
            <v>SIEGE</v>
          </cell>
          <cell r="E50">
            <v>91</v>
          </cell>
          <cell r="F50" t="str">
            <v>NC NUMERICABLE ILE-DE-FRANCE</v>
          </cell>
          <cell r="G50" t="str">
            <v>COMMUNICATION</v>
          </cell>
          <cell r="I50" t="str">
            <v>GENE905001</v>
          </cell>
          <cell r="J50">
            <v>100</v>
          </cell>
          <cell r="K50">
            <v>36906</v>
          </cell>
          <cell r="L50" t="str">
            <v>RESPONSABLE COMM.</v>
          </cell>
          <cell r="M50" t="str">
            <v>CADRE</v>
          </cell>
          <cell r="N50" t="str">
            <v>F</v>
          </cell>
          <cell r="O50" t="str">
            <v>CDI</v>
          </cell>
          <cell r="P50">
            <v>151.57</v>
          </cell>
          <cell r="Q50">
            <v>5051</v>
          </cell>
          <cell r="R50">
            <v>2786.58</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821.52</v>
          </cell>
          <cell r="AN50">
            <v>632.42999999999995</v>
          </cell>
          <cell r="AO50">
            <v>0</v>
          </cell>
          <cell r="AP50">
            <v>-269.44</v>
          </cell>
          <cell r="AQ50">
            <v>5826.9</v>
          </cell>
          <cell r="AR50">
            <v>0</v>
          </cell>
          <cell r="AS50">
            <v>0</v>
          </cell>
          <cell r="AT50">
            <v>0</v>
          </cell>
          <cell r="AU50">
            <v>0</v>
          </cell>
        </row>
        <row r="51">
          <cell r="A51">
            <v>50068</v>
          </cell>
          <cell r="B51" t="str">
            <v>BRUNON</v>
          </cell>
          <cell r="C51" t="str">
            <v>JEAN PHILIP</v>
          </cell>
          <cell r="D51" t="str">
            <v>SIEGE</v>
          </cell>
          <cell r="E51">
            <v>91</v>
          </cell>
          <cell r="F51" t="str">
            <v>NC NUMERICABLE ILE-DE-FRANCE</v>
          </cell>
          <cell r="G51" t="str">
            <v>QUALITE</v>
          </cell>
          <cell r="I51" t="str">
            <v>GENE905001</v>
          </cell>
          <cell r="J51">
            <v>100</v>
          </cell>
          <cell r="K51">
            <v>33359</v>
          </cell>
          <cell r="L51" t="str">
            <v>RESPONSABLE QUALITE</v>
          </cell>
          <cell r="M51" t="str">
            <v>CADRE</v>
          </cell>
          <cell r="N51" t="str">
            <v>E</v>
          </cell>
          <cell r="O51" t="str">
            <v>CDI</v>
          </cell>
          <cell r="P51">
            <v>151.57</v>
          </cell>
          <cell r="Q51">
            <v>3961</v>
          </cell>
          <cell r="R51">
            <v>-2035.56</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-382.87</v>
          </cell>
          <cell r="AN51">
            <v>426.56</v>
          </cell>
          <cell r="AO51">
            <v>-382.87</v>
          </cell>
          <cell r="AP51">
            <v>0</v>
          </cell>
          <cell r="AQ51">
            <v>3961</v>
          </cell>
          <cell r="AR51">
            <v>0</v>
          </cell>
          <cell r="AS51">
            <v>0</v>
          </cell>
          <cell r="AT51">
            <v>0</v>
          </cell>
          <cell r="AU51">
            <v>0</v>
          </cell>
        </row>
        <row r="52">
          <cell r="A52" t="str">
            <v>000A0925</v>
          </cell>
          <cell r="B52" t="str">
            <v>LONGCOTE</v>
          </cell>
          <cell r="C52" t="str">
            <v>JEAN MARC</v>
          </cell>
          <cell r="D52" t="str">
            <v>SIEGE</v>
          </cell>
          <cell r="E52">
            <v>91</v>
          </cell>
          <cell r="F52" t="str">
            <v>NC NUMERICABLE ILE-DE-FRANCE</v>
          </cell>
          <cell r="G52" t="str">
            <v>COMPTABILITE</v>
          </cell>
          <cell r="H52" t="str">
            <v>BARBERY</v>
          </cell>
          <cell r="I52" t="str">
            <v>GENE701001</v>
          </cell>
          <cell r="J52">
            <v>100</v>
          </cell>
          <cell r="K52">
            <v>37288</v>
          </cell>
          <cell r="L52" t="str">
            <v>RESP. GEST. NIV. 1</v>
          </cell>
          <cell r="M52" t="str">
            <v>CADRE</v>
          </cell>
          <cell r="N52" t="str">
            <v>E</v>
          </cell>
          <cell r="O52" t="str">
            <v>CDI</v>
          </cell>
          <cell r="P52">
            <v>151.57</v>
          </cell>
          <cell r="Q52">
            <v>2950</v>
          </cell>
          <cell r="R52">
            <v>2168.4299999999998</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1800</v>
          </cell>
          <cell r="AM52">
            <v>0</v>
          </cell>
          <cell r="AN52">
            <v>319.42</v>
          </cell>
          <cell r="AO52">
            <v>38.68</v>
          </cell>
          <cell r="AP52">
            <v>0</v>
          </cell>
          <cell r="AQ52">
            <v>2745.8</v>
          </cell>
          <cell r="AR52">
            <v>1800</v>
          </cell>
          <cell r="AS52">
            <v>0</v>
          </cell>
          <cell r="AT52">
            <v>0</v>
          </cell>
          <cell r="AU52">
            <v>0</v>
          </cell>
        </row>
        <row r="53">
          <cell r="A53" t="str">
            <v>000F0259</v>
          </cell>
          <cell r="B53" t="str">
            <v>CORABOEUF</v>
          </cell>
          <cell r="C53" t="str">
            <v>ANNE</v>
          </cell>
          <cell r="D53" t="str">
            <v>NANTES</v>
          </cell>
          <cell r="E53">
            <v>91</v>
          </cell>
          <cell r="F53" t="str">
            <v>NC NUMERICABLE ILE-DE-FRANCE</v>
          </cell>
          <cell r="G53" t="str">
            <v>BOUTIQUE</v>
          </cell>
          <cell r="H53" t="str">
            <v>JAUD</v>
          </cell>
          <cell r="I53" t="str">
            <v>OUES507001</v>
          </cell>
          <cell r="J53">
            <v>100</v>
          </cell>
          <cell r="K53">
            <v>34785</v>
          </cell>
          <cell r="L53" t="str">
            <v>RESPONSABLE BOUTIQUE</v>
          </cell>
          <cell r="M53" t="str">
            <v>CADRE</v>
          </cell>
          <cell r="N53" t="str">
            <v>DB</v>
          </cell>
          <cell r="O53" t="str">
            <v>CDI</v>
          </cell>
          <cell r="P53">
            <v>151.57</v>
          </cell>
          <cell r="Q53">
            <v>2301.65</v>
          </cell>
          <cell r="R53">
            <v>1665.52</v>
          </cell>
          <cell r="S53">
            <v>0</v>
          </cell>
          <cell r="T53">
            <v>1200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377.11</v>
          </cell>
          <cell r="AO53">
            <v>0</v>
          </cell>
          <cell r="AP53">
            <v>0</v>
          </cell>
          <cell r="AQ53">
            <v>2195.44</v>
          </cell>
          <cell r="AR53">
            <v>0</v>
          </cell>
          <cell r="AS53">
            <v>0</v>
          </cell>
          <cell r="AT53">
            <v>0</v>
          </cell>
          <cell r="AU53">
            <v>0</v>
          </cell>
        </row>
        <row r="54">
          <cell r="A54" t="str">
            <v>000F0067</v>
          </cell>
          <cell r="B54" t="str">
            <v>JAUD</v>
          </cell>
          <cell r="C54" t="str">
            <v>CHRISTIAN</v>
          </cell>
          <cell r="D54" t="str">
            <v>NANTES</v>
          </cell>
          <cell r="E54">
            <v>91</v>
          </cell>
          <cell r="F54" t="str">
            <v>NC NUMERICABLE ILE-DE-FRANCE</v>
          </cell>
          <cell r="G54" t="str">
            <v>VAD RGP</v>
          </cell>
          <cell r="H54" t="str">
            <v>DURAND JP</v>
          </cell>
          <cell r="I54" t="str">
            <v>OUES500001</v>
          </cell>
          <cell r="J54">
            <v>100</v>
          </cell>
          <cell r="K54">
            <v>33800</v>
          </cell>
          <cell r="L54" t="str">
            <v>RESPONSABLE COM.</v>
          </cell>
          <cell r="M54" t="str">
            <v>CADRE</v>
          </cell>
          <cell r="N54" t="str">
            <v>E</v>
          </cell>
          <cell r="O54" t="str">
            <v>CDI</v>
          </cell>
          <cell r="P54">
            <v>151.57</v>
          </cell>
          <cell r="Q54">
            <v>3750</v>
          </cell>
          <cell r="R54">
            <v>2477.0100000000002</v>
          </cell>
          <cell r="S54">
            <v>0</v>
          </cell>
          <cell r="T54">
            <v>1922.08</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684.98</v>
          </cell>
          <cell r="AO54">
            <v>0</v>
          </cell>
          <cell r="AP54">
            <v>0</v>
          </cell>
          <cell r="AQ54">
            <v>2884.75</v>
          </cell>
          <cell r="AR54">
            <v>0</v>
          </cell>
          <cell r="AS54">
            <v>0</v>
          </cell>
          <cell r="AT54">
            <v>0</v>
          </cell>
          <cell r="AU54">
            <v>0</v>
          </cell>
        </row>
        <row r="55">
          <cell r="A55" t="str">
            <v>000A1708</v>
          </cell>
          <cell r="B55" t="str">
            <v>HOUDROUGE</v>
          </cell>
          <cell r="C55" t="str">
            <v>JAMIL</v>
          </cell>
          <cell r="D55" t="str">
            <v>ANGOULEME</v>
          </cell>
          <cell r="E55">
            <v>91</v>
          </cell>
          <cell r="F55" t="str">
            <v>NC NUMERICABLE ILE-DE-FRANCE</v>
          </cell>
          <cell r="G55" t="str">
            <v>VAD CONSEILLERS</v>
          </cell>
          <cell r="H55" t="str">
            <v>COMINARDI</v>
          </cell>
          <cell r="I55" t="str">
            <v>SUOU500001</v>
          </cell>
          <cell r="J55">
            <v>100</v>
          </cell>
          <cell r="K55">
            <v>38831</v>
          </cell>
          <cell r="L55" t="str">
            <v>CONSEILLER(E) COM.</v>
          </cell>
          <cell r="M55" t="str">
            <v>TSM</v>
          </cell>
          <cell r="N55" t="str">
            <v>D</v>
          </cell>
          <cell r="O55" t="str">
            <v>CDI</v>
          </cell>
          <cell r="P55">
            <v>151.57</v>
          </cell>
          <cell r="Q55">
            <v>0</v>
          </cell>
          <cell r="R55">
            <v>123.34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284.17</v>
          </cell>
          <cell r="AR55">
            <v>0</v>
          </cell>
          <cell r="AS55">
            <v>0</v>
          </cell>
          <cell r="AT55">
            <v>0</v>
          </cell>
          <cell r="AU55">
            <v>0</v>
          </cell>
        </row>
        <row r="56">
          <cell r="A56" t="str">
            <v>000A1383</v>
          </cell>
          <cell r="B56" t="str">
            <v>MIRANDA</v>
          </cell>
          <cell r="C56" t="str">
            <v>DANIEL</v>
          </cell>
          <cell r="D56" t="str">
            <v>AVIGNON</v>
          </cell>
          <cell r="E56">
            <v>91</v>
          </cell>
          <cell r="F56" t="str">
            <v>NC NUMERICABLE ILE-DE-FRANCE</v>
          </cell>
          <cell r="G56" t="str">
            <v>VAD CONSEILLERS</v>
          </cell>
          <cell r="H56" t="str">
            <v>RIOS</v>
          </cell>
          <cell r="I56" t="str">
            <v>SUES500001</v>
          </cell>
          <cell r="J56">
            <v>100</v>
          </cell>
          <cell r="K56">
            <v>38727</v>
          </cell>
          <cell r="L56" t="str">
            <v>CONSEILLER(E) COM.</v>
          </cell>
          <cell r="M56" t="str">
            <v>TSM</v>
          </cell>
          <cell r="N56" t="str">
            <v>D</v>
          </cell>
          <cell r="O56" t="str">
            <v>CDI</v>
          </cell>
          <cell r="P56">
            <v>151.57</v>
          </cell>
          <cell r="Q56">
            <v>1217.8800000000001</v>
          </cell>
          <cell r="R56">
            <v>430.61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131.15</v>
          </cell>
          <cell r="AO56">
            <v>0</v>
          </cell>
          <cell r="AP56">
            <v>0</v>
          </cell>
          <cell r="AQ56">
            <v>1217.8800000000001</v>
          </cell>
          <cell r="AR56">
            <v>0</v>
          </cell>
          <cell r="AS56">
            <v>0</v>
          </cell>
          <cell r="AT56">
            <v>0</v>
          </cell>
          <cell r="AU56">
            <v>0</v>
          </cell>
        </row>
        <row r="57">
          <cell r="A57" t="str">
            <v>000A1572</v>
          </cell>
          <cell r="B57" t="str">
            <v>LAVANDIER</v>
          </cell>
          <cell r="C57" t="str">
            <v>MICHAEL</v>
          </cell>
          <cell r="D57" t="str">
            <v>BORDEAUX</v>
          </cell>
          <cell r="E57">
            <v>91</v>
          </cell>
          <cell r="F57" t="str">
            <v>NC NUMERICABLE ILE-DE-FRANCE</v>
          </cell>
          <cell r="G57" t="str">
            <v>VAD CONSEILLERS</v>
          </cell>
          <cell r="H57" t="str">
            <v>GALERA</v>
          </cell>
          <cell r="I57" t="str">
            <v>SUOU500001</v>
          </cell>
          <cell r="J57">
            <v>100</v>
          </cell>
          <cell r="K57">
            <v>38768</v>
          </cell>
          <cell r="L57" t="str">
            <v>CONSEILLER(E) COM.</v>
          </cell>
          <cell r="M57" t="str">
            <v>TSM</v>
          </cell>
          <cell r="N57" t="str">
            <v>D</v>
          </cell>
          <cell r="O57" t="str">
            <v>CDI</v>
          </cell>
          <cell r="P57">
            <v>151.57</v>
          </cell>
          <cell r="Q57">
            <v>0</v>
          </cell>
          <cell r="R57">
            <v>406.9</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281.01</v>
          </cell>
          <cell r="AO57">
            <v>0</v>
          </cell>
          <cell r="AP57">
            <v>0</v>
          </cell>
          <cell r="AQ57">
            <v>502.76</v>
          </cell>
          <cell r="AR57">
            <v>0</v>
          </cell>
          <cell r="AS57">
            <v>0</v>
          </cell>
          <cell r="AT57">
            <v>0</v>
          </cell>
          <cell r="AU57">
            <v>0</v>
          </cell>
        </row>
        <row r="58">
          <cell r="A58" t="str">
            <v>000A1337</v>
          </cell>
          <cell r="B58" t="str">
            <v>SELLIEZ</v>
          </cell>
          <cell r="C58" t="str">
            <v>LUDOVIC</v>
          </cell>
          <cell r="D58" t="str">
            <v>LA MADELEINE</v>
          </cell>
          <cell r="E58">
            <v>91</v>
          </cell>
          <cell r="F58" t="str">
            <v>NC NUMERICABLE ILE-DE-FRANCE</v>
          </cell>
          <cell r="G58" t="str">
            <v>VAD CONSEILLERS</v>
          </cell>
          <cell r="H58" t="str">
            <v>DESCATOIRE</v>
          </cell>
          <cell r="I58" t="str">
            <v>NPCA500001</v>
          </cell>
          <cell r="J58">
            <v>100</v>
          </cell>
          <cell r="K58">
            <v>38698</v>
          </cell>
          <cell r="L58" t="str">
            <v>CONSEILLER(E) COM.</v>
          </cell>
          <cell r="M58" t="str">
            <v>TSM</v>
          </cell>
          <cell r="N58" t="str">
            <v>D</v>
          </cell>
          <cell r="O58" t="str">
            <v>CDI</v>
          </cell>
          <cell r="P58">
            <v>151.57</v>
          </cell>
          <cell r="Q58">
            <v>1217.8800000000001</v>
          </cell>
          <cell r="R58">
            <v>1133.27</v>
          </cell>
          <cell r="S58">
            <v>0</v>
          </cell>
          <cell r="T58">
            <v>1720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316.38</v>
          </cell>
          <cell r="AO58">
            <v>0</v>
          </cell>
          <cell r="AP58">
            <v>0</v>
          </cell>
          <cell r="AQ58">
            <v>1217.8800000000001</v>
          </cell>
          <cell r="AR58">
            <v>0</v>
          </cell>
          <cell r="AS58">
            <v>0</v>
          </cell>
          <cell r="AT58">
            <v>0</v>
          </cell>
          <cell r="AU58">
            <v>0</v>
          </cell>
        </row>
        <row r="59">
          <cell r="A59" t="str">
            <v>000A1187</v>
          </cell>
          <cell r="B59" t="str">
            <v>LAREQUIE</v>
          </cell>
          <cell r="C59" t="str">
            <v>STEVE</v>
          </cell>
          <cell r="D59" t="str">
            <v>VERSAILLES</v>
          </cell>
          <cell r="E59">
            <v>91</v>
          </cell>
          <cell r="F59" t="str">
            <v>NC NUMERICABLE ILE-DE-FRANCE</v>
          </cell>
          <cell r="G59" t="str">
            <v>VAD CONSEILLERS</v>
          </cell>
          <cell r="H59" t="str">
            <v>FERRADJ</v>
          </cell>
          <cell r="I59" t="str">
            <v>IDFR500001</v>
          </cell>
          <cell r="J59">
            <v>100</v>
          </cell>
          <cell r="K59">
            <v>38649</v>
          </cell>
          <cell r="L59" t="str">
            <v>CONSEILLER(E) COM.</v>
          </cell>
          <cell r="M59" t="str">
            <v>TSM</v>
          </cell>
          <cell r="N59" t="str">
            <v>D</v>
          </cell>
          <cell r="O59" t="str">
            <v>CDI</v>
          </cell>
          <cell r="P59">
            <v>151.57</v>
          </cell>
          <cell r="Q59">
            <v>1217.8800000000001</v>
          </cell>
          <cell r="R59">
            <v>1441.48</v>
          </cell>
          <cell r="S59">
            <v>0</v>
          </cell>
          <cell r="T59">
            <v>2660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417.62</v>
          </cell>
          <cell r="AO59">
            <v>0</v>
          </cell>
          <cell r="AP59">
            <v>0</v>
          </cell>
          <cell r="AQ59">
            <v>1217.8800000000001</v>
          </cell>
          <cell r="AR59">
            <v>0</v>
          </cell>
          <cell r="AS59">
            <v>0</v>
          </cell>
          <cell r="AT59">
            <v>0</v>
          </cell>
          <cell r="AU59">
            <v>0</v>
          </cell>
        </row>
        <row r="60">
          <cell r="A60" t="str">
            <v>000A1098</v>
          </cell>
          <cell r="B60" t="str">
            <v>NGUYEN</v>
          </cell>
          <cell r="C60" t="str">
            <v>VAN XINH</v>
          </cell>
          <cell r="D60" t="str">
            <v>MONTPELLIER</v>
          </cell>
          <cell r="E60">
            <v>91</v>
          </cell>
          <cell r="F60" t="str">
            <v>NC NUMERICABLE ILE-DE-FRANCE</v>
          </cell>
          <cell r="G60" t="str">
            <v>VAD CONSEILLERS</v>
          </cell>
          <cell r="H60" t="str">
            <v>DEY</v>
          </cell>
          <cell r="I60" t="str">
            <v>SUES500001</v>
          </cell>
          <cell r="J60">
            <v>100</v>
          </cell>
          <cell r="K60">
            <v>38629</v>
          </cell>
          <cell r="L60" t="str">
            <v>CONSEILLER(E) COM.</v>
          </cell>
          <cell r="M60" t="str">
            <v>TSM</v>
          </cell>
          <cell r="N60" t="str">
            <v>D</v>
          </cell>
          <cell r="O60" t="str">
            <v>CDI</v>
          </cell>
          <cell r="P60">
            <v>151.57</v>
          </cell>
          <cell r="Q60">
            <v>1217.8800000000001</v>
          </cell>
          <cell r="R60">
            <v>688.06</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172.18</v>
          </cell>
          <cell r="AO60">
            <v>0</v>
          </cell>
          <cell r="AP60">
            <v>0</v>
          </cell>
          <cell r="AQ60">
            <v>1217.8800000000001</v>
          </cell>
          <cell r="AR60">
            <v>0</v>
          </cell>
          <cell r="AS60">
            <v>0</v>
          </cell>
          <cell r="AT60">
            <v>0</v>
          </cell>
          <cell r="AU60">
            <v>0</v>
          </cell>
        </row>
        <row r="61">
          <cell r="A61" t="str">
            <v>000A1295</v>
          </cell>
          <cell r="B61" t="str">
            <v>GILMAS</v>
          </cell>
          <cell r="C61" t="str">
            <v>RAPHAEL</v>
          </cell>
          <cell r="D61" t="str">
            <v>SIEGE</v>
          </cell>
          <cell r="E61">
            <v>91</v>
          </cell>
          <cell r="F61" t="str">
            <v>NC NUMERICABLE ILE-DE-FRANCE</v>
          </cell>
          <cell r="G61" t="str">
            <v>MARKETING</v>
          </cell>
          <cell r="H61" t="str">
            <v>SUMING</v>
          </cell>
          <cell r="I61" t="str">
            <v>GENE546001</v>
          </cell>
          <cell r="J61">
            <v>100</v>
          </cell>
          <cell r="K61">
            <v>38698</v>
          </cell>
          <cell r="L61" t="str">
            <v>CHEF PRODUIT JUNIOR</v>
          </cell>
          <cell r="M61" t="str">
            <v>CADRE</v>
          </cell>
          <cell r="N61" t="str">
            <v>DB</v>
          </cell>
          <cell r="O61" t="str">
            <v>CDI</v>
          </cell>
          <cell r="P61">
            <v>151.57</v>
          </cell>
          <cell r="Q61">
            <v>2666.67</v>
          </cell>
          <cell r="R61">
            <v>1372.7</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287.18</v>
          </cell>
          <cell r="AO61">
            <v>23.61</v>
          </cell>
          <cell r="AP61">
            <v>0</v>
          </cell>
          <cell r="AQ61">
            <v>2666.67</v>
          </cell>
          <cell r="AR61">
            <v>0</v>
          </cell>
          <cell r="AS61">
            <v>0</v>
          </cell>
          <cell r="AT61">
            <v>0</v>
          </cell>
          <cell r="AU61">
            <v>0</v>
          </cell>
        </row>
        <row r="62">
          <cell r="A62" t="str">
            <v>000A1293</v>
          </cell>
          <cell r="B62" t="str">
            <v>QUILGARS</v>
          </cell>
          <cell r="C62" t="str">
            <v>PHILIPPE</v>
          </cell>
          <cell r="D62" t="str">
            <v>RENNES</v>
          </cell>
          <cell r="E62">
            <v>91</v>
          </cell>
          <cell r="F62" t="str">
            <v>NC NUMERICABLE ILE-DE-FRANCE</v>
          </cell>
          <cell r="G62" t="str">
            <v>DISTRIBUTEUR</v>
          </cell>
          <cell r="H62" t="str">
            <v>TUTTOLOMONDO</v>
          </cell>
          <cell r="I62" t="str">
            <v>OUES506001</v>
          </cell>
          <cell r="J62">
            <v>100</v>
          </cell>
          <cell r="K62">
            <v>38677</v>
          </cell>
          <cell r="L62" t="str">
            <v>ATTACHE COMMERCIAL</v>
          </cell>
          <cell r="M62" t="str">
            <v>CADRE</v>
          </cell>
          <cell r="N62" t="str">
            <v>DB</v>
          </cell>
          <cell r="O62" t="str">
            <v>CDI</v>
          </cell>
          <cell r="P62">
            <v>151.57</v>
          </cell>
          <cell r="Q62">
            <v>1500</v>
          </cell>
          <cell r="R62">
            <v>1905.58</v>
          </cell>
          <cell r="S62">
            <v>0</v>
          </cell>
          <cell r="T62">
            <v>2134.29</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391.38</v>
          </cell>
          <cell r="AO62">
            <v>0</v>
          </cell>
          <cell r="AP62">
            <v>0</v>
          </cell>
          <cell r="AQ62">
            <v>1500</v>
          </cell>
          <cell r="AR62">
            <v>0</v>
          </cell>
          <cell r="AS62">
            <v>0</v>
          </cell>
          <cell r="AT62">
            <v>0</v>
          </cell>
          <cell r="AU62">
            <v>0</v>
          </cell>
        </row>
        <row r="63">
          <cell r="A63" t="str">
            <v>000A1414</v>
          </cell>
          <cell r="B63" t="str">
            <v>GAUGRY</v>
          </cell>
          <cell r="C63" t="str">
            <v>VINCENT</v>
          </cell>
          <cell r="D63" t="str">
            <v>SIEGE</v>
          </cell>
          <cell r="E63">
            <v>91</v>
          </cell>
          <cell r="F63" t="str">
            <v>NC NUMERICABLE ILE-DE-FRANCE</v>
          </cell>
          <cell r="G63" t="str">
            <v>VAD CONSEILLERS</v>
          </cell>
          <cell r="H63" t="str">
            <v>ZERFAINE</v>
          </cell>
          <cell r="I63" t="str">
            <v>IDFR500001</v>
          </cell>
          <cell r="J63">
            <v>100</v>
          </cell>
          <cell r="K63">
            <v>38736</v>
          </cell>
          <cell r="L63" t="str">
            <v>CONSEILLER(E) COM.</v>
          </cell>
          <cell r="M63" t="str">
            <v>TSM</v>
          </cell>
          <cell r="N63" t="str">
            <v>D</v>
          </cell>
          <cell r="O63" t="str">
            <v>CDI</v>
          </cell>
          <cell r="P63">
            <v>151.57</v>
          </cell>
          <cell r="Q63">
            <v>1745.63</v>
          </cell>
          <cell r="R63">
            <v>1634.5</v>
          </cell>
          <cell r="S63">
            <v>0</v>
          </cell>
          <cell r="T63">
            <v>3120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467.16</v>
          </cell>
          <cell r="AO63">
            <v>0</v>
          </cell>
          <cell r="AP63">
            <v>0</v>
          </cell>
          <cell r="AQ63">
            <v>1217.8800000000001</v>
          </cell>
          <cell r="AR63">
            <v>0</v>
          </cell>
          <cell r="AS63">
            <v>0</v>
          </cell>
          <cell r="AT63">
            <v>0</v>
          </cell>
          <cell r="AU63">
            <v>0</v>
          </cell>
        </row>
        <row r="64">
          <cell r="A64" t="str">
            <v>000A1177</v>
          </cell>
          <cell r="B64" t="str">
            <v>LAMBACH</v>
          </cell>
          <cell r="C64" t="str">
            <v>ADIL</v>
          </cell>
          <cell r="D64" t="str">
            <v>NANTES</v>
          </cell>
          <cell r="E64">
            <v>91</v>
          </cell>
          <cell r="F64" t="str">
            <v>NC NUMERICABLE ILE-DE-FRANCE</v>
          </cell>
          <cell r="G64" t="str">
            <v>VAD CONSEILLERS</v>
          </cell>
          <cell r="H64" t="str">
            <v>HOUGET</v>
          </cell>
          <cell r="I64" t="str">
            <v>OUES500001</v>
          </cell>
          <cell r="J64">
            <v>100</v>
          </cell>
          <cell r="K64">
            <v>38642</v>
          </cell>
          <cell r="L64" t="str">
            <v>CONSEILLER(E) COM.</v>
          </cell>
          <cell r="M64" t="str">
            <v>TSM</v>
          </cell>
          <cell r="N64" t="str">
            <v>D</v>
          </cell>
          <cell r="O64" t="str">
            <v>CDI</v>
          </cell>
          <cell r="P64">
            <v>151.57</v>
          </cell>
          <cell r="Q64">
            <v>1217.8800000000001</v>
          </cell>
          <cell r="R64">
            <v>1908.66</v>
          </cell>
          <cell r="S64">
            <v>0</v>
          </cell>
          <cell r="T64">
            <v>3975</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559.24</v>
          </cell>
          <cell r="AO64">
            <v>0</v>
          </cell>
          <cell r="AP64">
            <v>0</v>
          </cell>
          <cell r="AQ64">
            <v>1217.8800000000001</v>
          </cell>
          <cell r="AR64">
            <v>0</v>
          </cell>
          <cell r="AS64">
            <v>0</v>
          </cell>
          <cell r="AT64">
            <v>0</v>
          </cell>
          <cell r="AU64">
            <v>0</v>
          </cell>
        </row>
        <row r="65">
          <cell r="A65" t="str">
            <v>000A1581</v>
          </cell>
          <cell r="B65" t="str">
            <v>KOUANG LIBAM</v>
          </cell>
          <cell r="C65" t="str">
            <v>MAXIME</v>
          </cell>
          <cell r="D65" t="str">
            <v>SIEGE</v>
          </cell>
          <cell r="E65">
            <v>91</v>
          </cell>
          <cell r="F65" t="str">
            <v>NC NUMERICABLE ILE-DE-FRANCE</v>
          </cell>
          <cell r="G65" t="str">
            <v>VAD CONSEILLERS</v>
          </cell>
          <cell r="H65" t="str">
            <v>ZERFAINE</v>
          </cell>
          <cell r="I65" t="str">
            <v>IDFR500001</v>
          </cell>
          <cell r="J65">
            <v>100</v>
          </cell>
          <cell r="K65">
            <v>38761</v>
          </cell>
          <cell r="L65" t="str">
            <v>CONSEILLER(E) COM.</v>
          </cell>
          <cell r="M65" t="str">
            <v>TSM</v>
          </cell>
          <cell r="N65" t="str">
            <v>D</v>
          </cell>
          <cell r="O65" t="str">
            <v>CDI</v>
          </cell>
          <cell r="P65">
            <v>151.57</v>
          </cell>
          <cell r="Q65">
            <v>0</v>
          </cell>
          <cell r="R65">
            <v>726.14</v>
          </cell>
          <cell r="S65">
            <v>0</v>
          </cell>
          <cell r="T65">
            <v>1010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239.92</v>
          </cell>
          <cell r="AO65">
            <v>0</v>
          </cell>
          <cell r="AP65">
            <v>0</v>
          </cell>
          <cell r="AQ65">
            <v>1217.8800000000001</v>
          </cell>
          <cell r="AR65">
            <v>0</v>
          </cell>
          <cell r="AS65">
            <v>0</v>
          </cell>
          <cell r="AT65">
            <v>0</v>
          </cell>
          <cell r="AU65">
            <v>0</v>
          </cell>
        </row>
        <row r="66">
          <cell r="A66" t="str">
            <v>000A1675</v>
          </cell>
          <cell r="B66" t="str">
            <v>CORTINHAL</v>
          </cell>
          <cell r="C66" t="str">
            <v>JOEL</v>
          </cell>
          <cell r="D66" t="str">
            <v>SIEGE</v>
          </cell>
          <cell r="E66">
            <v>91</v>
          </cell>
          <cell r="F66" t="str">
            <v>NC NUMERICABLE ILE-DE-FRANCE</v>
          </cell>
          <cell r="G66" t="str">
            <v>VAD CONSEILLERS</v>
          </cell>
          <cell r="H66" t="str">
            <v>ZERFAINE</v>
          </cell>
          <cell r="I66" t="str">
            <v>IDFR500001</v>
          </cell>
          <cell r="J66">
            <v>100</v>
          </cell>
          <cell r="K66">
            <v>38803</v>
          </cell>
          <cell r="L66" t="str">
            <v>CONSEILLER(E) COM.</v>
          </cell>
          <cell r="M66" t="str">
            <v>TSM</v>
          </cell>
          <cell r="N66" t="str">
            <v>D</v>
          </cell>
          <cell r="O66" t="str">
            <v>CDI</v>
          </cell>
          <cell r="P66">
            <v>151.57</v>
          </cell>
          <cell r="Q66">
            <v>0</v>
          </cell>
          <cell r="R66">
            <v>389.78</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1420.86</v>
          </cell>
          <cell r="AR66">
            <v>0</v>
          </cell>
          <cell r="AS66">
            <v>0</v>
          </cell>
          <cell r="AT66">
            <v>0</v>
          </cell>
          <cell r="AU66">
            <v>0</v>
          </cell>
        </row>
        <row r="67">
          <cell r="A67" t="str">
            <v>000A1049</v>
          </cell>
          <cell r="B67" t="str">
            <v>CLODION</v>
          </cell>
          <cell r="C67" t="str">
            <v>ERIC</v>
          </cell>
          <cell r="D67" t="str">
            <v>VERSAILLES</v>
          </cell>
          <cell r="E67">
            <v>91</v>
          </cell>
          <cell r="F67" t="str">
            <v>NC NUMERICABLE ILE-DE-FRANCE</v>
          </cell>
          <cell r="G67" t="str">
            <v>VAD CONSEILLERS</v>
          </cell>
          <cell r="H67" t="str">
            <v>YILDIZ</v>
          </cell>
          <cell r="I67" t="str">
            <v>IDFR500001</v>
          </cell>
          <cell r="J67">
            <v>100</v>
          </cell>
          <cell r="K67">
            <v>38628</v>
          </cell>
          <cell r="L67" t="str">
            <v>CONSEILLER(E) COM.</v>
          </cell>
          <cell r="M67" t="str">
            <v>TSM</v>
          </cell>
          <cell r="N67" t="str">
            <v>D</v>
          </cell>
          <cell r="O67" t="str">
            <v>CDI</v>
          </cell>
          <cell r="P67">
            <v>151.57</v>
          </cell>
          <cell r="Q67">
            <v>1217.8800000000001</v>
          </cell>
          <cell r="R67">
            <v>-128.51</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22.64</v>
          </cell>
          <cell r="AO67">
            <v>0</v>
          </cell>
          <cell r="AP67">
            <v>0</v>
          </cell>
          <cell r="AQ67">
            <v>-262.35000000000002</v>
          </cell>
          <cell r="AR67">
            <v>0</v>
          </cell>
          <cell r="AS67">
            <v>0</v>
          </cell>
          <cell r="AT67">
            <v>0</v>
          </cell>
          <cell r="AU67">
            <v>0</v>
          </cell>
        </row>
        <row r="68">
          <cell r="A68" t="str">
            <v>000A1140</v>
          </cell>
          <cell r="B68" t="str">
            <v>GROSSHAENY</v>
          </cell>
          <cell r="C68" t="str">
            <v>SERGE</v>
          </cell>
          <cell r="D68" t="str">
            <v>LYON GARIBALDI</v>
          </cell>
          <cell r="E68">
            <v>91</v>
          </cell>
          <cell r="F68" t="str">
            <v>NC NUMERICABLE ILE-DE-FRANCE</v>
          </cell>
          <cell r="G68" t="str">
            <v>B TO B</v>
          </cell>
          <cell r="H68" t="str">
            <v>PRADERE</v>
          </cell>
          <cell r="I68" t="str">
            <v>RHON504001</v>
          </cell>
          <cell r="J68">
            <v>100</v>
          </cell>
          <cell r="K68">
            <v>38642</v>
          </cell>
          <cell r="L68" t="str">
            <v>RESPONSABLE COM.</v>
          </cell>
          <cell r="M68" t="str">
            <v>CADRE</v>
          </cell>
          <cell r="N68" t="str">
            <v>E</v>
          </cell>
          <cell r="O68" t="str">
            <v>CDI</v>
          </cell>
          <cell r="P68">
            <v>151.57</v>
          </cell>
          <cell r="Q68">
            <v>3333.34</v>
          </cell>
          <cell r="R68">
            <v>1870.75</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384.25</v>
          </cell>
          <cell r="AO68">
            <v>0</v>
          </cell>
          <cell r="AP68">
            <v>0</v>
          </cell>
          <cell r="AQ68">
            <v>3333.34</v>
          </cell>
          <cell r="AR68">
            <v>0</v>
          </cell>
          <cell r="AS68">
            <v>0</v>
          </cell>
          <cell r="AT68">
            <v>0</v>
          </cell>
          <cell r="AU68">
            <v>0</v>
          </cell>
        </row>
        <row r="69">
          <cell r="A69" t="str">
            <v>000A1609</v>
          </cell>
          <cell r="B69" t="str">
            <v>DELAUNAY</v>
          </cell>
          <cell r="C69" t="str">
            <v>SEBASTIEN</v>
          </cell>
          <cell r="D69" t="str">
            <v>RENNES</v>
          </cell>
          <cell r="E69">
            <v>91</v>
          </cell>
          <cell r="F69" t="str">
            <v>NC NUMERICABLE ILE-DE-FRANCE</v>
          </cell>
          <cell r="G69" t="str">
            <v>VAD CONSEILLERS</v>
          </cell>
          <cell r="H69" t="str">
            <v>JAUD</v>
          </cell>
          <cell r="I69" t="str">
            <v>OUES500001</v>
          </cell>
          <cell r="J69">
            <v>100</v>
          </cell>
          <cell r="K69">
            <v>38768</v>
          </cell>
          <cell r="L69" t="str">
            <v>CONSEILLER(E) COM.</v>
          </cell>
          <cell r="M69" t="str">
            <v>TSM</v>
          </cell>
          <cell r="N69" t="str">
            <v>D</v>
          </cell>
          <cell r="O69" t="str">
            <v>CDI</v>
          </cell>
          <cell r="P69">
            <v>151.57</v>
          </cell>
          <cell r="Q69">
            <v>0</v>
          </cell>
          <cell r="R69">
            <v>894.89</v>
          </cell>
          <cell r="S69">
            <v>0</v>
          </cell>
          <cell r="T69">
            <v>1043</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112.5</v>
          </cell>
          <cell r="AM69">
            <v>0</v>
          </cell>
          <cell r="AN69">
            <v>396.5</v>
          </cell>
          <cell r="AO69">
            <v>0</v>
          </cell>
          <cell r="AP69">
            <v>0</v>
          </cell>
          <cell r="AQ69">
            <v>1055.5</v>
          </cell>
          <cell r="AR69">
            <v>112.5</v>
          </cell>
          <cell r="AS69">
            <v>0</v>
          </cell>
          <cell r="AT69">
            <v>0</v>
          </cell>
          <cell r="AU69">
            <v>0</v>
          </cell>
        </row>
        <row r="70">
          <cell r="A70" t="str">
            <v>000A1736</v>
          </cell>
          <cell r="B70" t="str">
            <v>JEAN</v>
          </cell>
          <cell r="C70" t="str">
            <v>SANDRINE</v>
          </cell>
          <cell r="D70" t="str">
            <v>LUDRES</v>
          </cell>
          <cell r="E70">
            <v>13</v>
          </cell>
          <cell r="F70" t="str">
            <v>NC NUMERICABLE LORRAINE</v>
          </cell>
          <cell r="H70" t="str">
            <v>BOUTON</v>
          </cell>
          <cell r="I70" t="str">
            <v>ESTR507001</v>
          </cell>
          <cell r="J70">
            <v>100</v>
          </cell>
          <cell r="K70">
            <v>38808</v>
          </cell>
          <cell r="L70" t="str">
            <v>CONSEILLER CLIENTELE BOUTIQUE</v>
          </cell>
          <cell r="M70" t="str">
            <v>463E</v>
          </cell>
          <cell r="N70" t="str">
            <v>C</v>
          </cell>
          <cell r="O70" t="str">
            <v>CDI</v>
          </cell>
          <cell r="P70">
            <v>151.57</v>
          </cell>
          <cell r="Q70">
            <v>0</v>
          </cell>
          <cell r="R70">
            <v>336.23</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1250</v>
          </cell>
          <cell r="AR70">
            <v>0</v>
          </cell>
          <cell r="AS70">
            <v>0</v>
          </cell>
          <cell r="AT70">
            <v>0</v>
          </cell>
          <cell r="AU70">
            <v>0</v>
          </cell>
        </row>
        <row r="71">
          <cell r="A71" t="str">
            <v>000A1060</v>
          </cell>
          <cell r="B71" t="str">
            <v>SENUNDON</v>
          </cell>
          <cell r="C71" t="str">
            <v>SAMANTHA</v>
          </cell>
          <cell r="D71" t="str">
            <v>VERSAILLES</v>
          </cell>
          <cell r="E71">
            <v>91</v>
          </cell>
          <cell r="F71" t="str">
            <v>NC NUMERICABLE ILE-DE-FRANCE</v>
          </cell>
          <cell r="G71" t="str">
            <v>VAD CONSEILLERS</v>
          </cell>
          <cell r="H71" t="str">
            <v>MAXIMIN-TARTARE</v>
          </cell>
          <cell r="I71" t="str">
            <v>IDFR500001</v>
          </cell>
          <cell r="J71">
            <v>100</v>
          </cell>
          <cell r="K71">
            <v>38635</v>
          </cell>
          <cell r="L71" t="str">
            <v>CONSEILLER(E) COM.</v>
          </cell>
          <cell r="M71" t="str">
            <v>TSM</v>
          </cell>
          <cell r="N71" t="str">
            <v>D</v>
          </cell>
          <cell r="O71" t="str">
            <v>CDI</v>
          </cell>
          <cell r="P71">
            <v>151.57</v>
          </cell>
          <cell r="Q71">
            <v>1217.8800000000001</v>
          </cell>
          <cell r="R71">
            <v>2054.36</v>
          </cell>
          <cell r="S71">
            <v>0</v>
          </cell>
          <cell r="T71">
            <v>4625</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607.38</v>
          </cell>
          <cell r="AO71">
            <v>0</v>
          </cell>
          <cell r="AP71">
            <v>0</v>
          </cell>
          <cell r="AQ71">
            <v>1014.9</v>
          </cell>
          <cell r="AR71">
            <v>0</v>
          </cell>
          <cell r="AS71">
            <v>0</v>
          </cell>
          <cell r="AT71">
            <v>0</v>
          </cell>
          <cell r="AU71">
            <v>0</v>
          </cell>
        </row>
        <row r="72">
          <cell r="A72" t="str">
            <v>000A1342</v>
          </cell>
          <cell r="B72" t="str">
            <v>GOMEZ</v>
          </cell>
          <cell r="C72" t="str">
            <v>FRANCK</v>
          </cell>
          <cell r="D72" t="str">
            <v>BORDEAUX</v>
          </cell>
          <cell r="E72">
            <v>91</v>
          </cell>
          <cell r="F72" t="str">
            <v>NC NUMERICABLE ILE-DE-FRANCE</v>
          </cell>
          <cell r="G72" t="str">
            <v>VAD CONSEILLERS</v>
          </cell>
          <cell r="H72" t="str">
            <v>FERNANDEZ A</v>
          </cell>
          <cell r="I72" t="str">
            <v>SUOU500001</v>
          </cell>
          <cell r="J72">
            <v>100</v>
          </cell>
          <cell r="K72">
            <v>38698</v>
          </cell>
          <cell r="L72" t="str">
            <v>CONSEILLER(E) COM.</v>
          </cell>
          <cell r="M72" t="str">
            <v>TSM</v>
          </cell>
          <cell r="N72" t="str">
            <v>D</v>
          </cell>
          <cell r="O72" t="str">
            <v>CDI</v>
          </cell>
          <cell r="P72">
            <v>151.57</v>
          </cell>
          <cell r="Q72">
            <v>1217.8800000000001</v>
          </cell>
          <cell r="R72">
            <v>615.91</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131.16</v>
          </cell>
          <cell r="AO72">
            <v>0</v>
          </cell>
          <cell r="AP72">
            <v>0</v>
          </cell>
          <cell r="AQ72">
            <v>1217.8800000000001</v>
          </cell>
          <cell r="AR72">
            <v>0</v>
          </cell>
          <cell r="AS72">
            <v>0</v>
          </cell>
          <cell r="AT72">
            <v>0</v>
          </cell>
          <cell r="AU72">
            <v>0</v>
          </cell>
        </row>
        <row r="73">
          <cell r="A73" t="str">
            <v>000BA016</v>
          </cell>
          <cell r="B73" t="str">
            <v>ANXIONNAZ</v>
          </cell>
          <cell r="C73" t="str">
            <v>MICHEL</v>
          </cell>
          <cell r="D73" t="str">
            <v>LYON GARIBALDI</v>
          </cell>
          <cell r="E73">
            <v>91</v>
          </cell>
          <cell r="F73" t="str">
            <v>NC NUMERICABLE ILE-DE-FRANCE</v>
          </cell>
          <cell r="G73" t="str">
            <v>RACCORDEMENT IMMOB STC.</v>
          </cell>
          <cell r="I73" t="str">
            <v>GENE905001</v>
          </cell>
          <cell r="J73">
            <v>100</v>
          </cell>
          <cell r="K73">
            <v>33882</v>
          </cell>
          <cell r="L73" t="str">
            <v>RESP.TECH.CLIENTELE</v>
          </cell>
          <cell r="M73" t="str">
            <v>CADRE</v>
          </cell>
          <cell r="N73" t="str">
            <v>E</v>
          </cell>
          <cell r="O73" t="str">
            <v>CDI</v>
          </cell>
          <cell r="P73">
            <v>151.57</v>
          </cell>
          <cell r="Q73">
            <v>2872</v>
          </cell>
          <cell r="R73">
            <v>474.6</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47.54</v>
          </cell>
          <cell r="AN73">
            <v>230.39</v>
          </cell>
          <cell r="AO73">
            <v>47.54</v>
          </cell>
          <cell r="AP73">
            <v>0</v>
          </cell>
          <cell r="AQ73">
            <v>2872</v>
          </cell>
          <cell r="AR73">
            <v>0</v>
          </cell>
          <cell r="AS73">
            <v>0</v>
          </cell>
          <cell r="AT73">
            <v>0</v>
          </cell>
          <cell r="AU73">
            <v>0</v>
          </cell>
        </row>
        <row r="74">
          <cell r="A74" t="str">
            <v>000F0077</v>
          </cell>
          <cell r="B74" t="str">
            <v>DUCEPT</v>
          </cell>
          <cell r="C74" t="str">
            <v>PASCAL</v>
          </cell>
          <cell r="D74" t="str">
            <v>NANTES</v>
          </cell>
          <cell r="E74">
            <v>91</v>
          </cell>
          <cell r="F74" t="str">
            <v>NC NUMERICABLE ILE-DE-FRANCE</v>
          </cell>
          <cell r="G74" t="str">
            <v>RACCORDEMENT IMMOB STC.</v>
          </cell>
          <cell r="H74" t="str">
            <v>DURAND JP</v>
          </cell>
          <cell r="I74" t="str">
            <v>OUES302001</v>
          </cell>
          <cell r="J74">
            <v>100</v>
          </cell>
          <cell r="K74">
            <v>32568</v>
          </cell>
          <cell r="L74" t="str">
            <v>RESP. EXPL.TECHNIQUE</v>
          </cell>
          <cell r="M74" t="str">
            <v>CADRE</v>
          </cell>
          <cell r="N74" t="str">
            <v>E</v>
          </cell>
          <cell r="O74" t="str">
            <v>CDI</v>
          </cell>
          <cell r="P74">
            <v>151.57</v>
          </cell>
          <cell r="Q74">
            <v>2890</v>
          </cell>
          <cell r="R74">
            <v>2579.62</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594.51</v>
          </cell>
          <cell r="AO74">
            <v>0</v>
          </cell>
          <cell r="AP74">
            <v>0</v>
          </cell>
          <cell r="AQ74">
            <v>4845.46</v>
          </cell>
          <cell r="AR74">
            <v>0</v>
          </cell>
          <cell r="AS74">
            <v>0</v>
          </cell>
          <cell r="AT74">
            <v>0</v>
          </cell>
          <cell r="AU74">
            <v>0</v>
          </cell>
        </row>
        <row r="75">
          <cell r="A75" t="str">
            <v>000A0882</v>
          </cell>
          <cell r="B75" t="str">
            <v>ZAPPON</v>
          </cell>
          <cell r="C75" t="str">
            <v>OLIVIER</v>
          </cell>
          <cell r="D75" t="str">
            <v>SIEGE</v>
          </cell>
          <cell r="E75">
            <v>91</v>
          </cell>
          <cell r="F75" t="str">
            <v>NC NUMERICABLE ILE-DE-FRANCE</v>
          </cell>
          <cell r="G75" t="str">
            <v>INFORMATIQUE</v>
          </cell>
          <cell r="H75" t="str">
            <v>BARLOT</v>
          </cell>
          <cell r="I75" t="str">
            <v>GENE620001</v>
          </cell>
          <cell r="J75">
            <v>100</v>
          </cell>
          <cell r="K75">
            <v>36962</v>
          </cell>
          <cell r="L75" t="str">
            <v>CHARGE(E) ETUDES  DVP</v>
          </cell>
          <cell r="M75" t="str">
            <v>CADRE</v>
          </cell>
          <cell r="N75" t="str">
            <v>E</v>
          </cell>
          <cell r="O75" t="str">
            <v>CDI</v>
          </cell>
          <cell r="P75">
            <v>151.57</v>
          </cell>
          <cell r="Q75">
            <v>3971.23</v>
          </cell>
          <cell r="R75">
            <v>1621.16</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430.98</v>
          </cell>
          <cell r="AO75">
            <v>0</v>
          </cell>
          <cell r="AP75">
            <v>0</v>
          </cell>
          <cell r="AQ75">
            <v>3238.19</v>
          </cell>
          <cell r="AR75">
            <v>0</v>
          </cell>
          <cell r="AS75">
            <v>0</v>
          </cell>
          <cell r="AT75">
            <v>0</v>
          </cell>
          <cell r="AU75">
            <v>0</v>
          </cell>
        </row>
        <row r="76">
          <cell r="A76" t="str">
            <v>000A0756</v>
          </cell>
          <cell r="B76" t="str">
            <v>BOISARD</v>
          </cell>
          <cell r="C76" t="str">
            <v>PASCAL</v>
          </cell>
          <cell r="D76" t="str">
            <v>SIEGE</v>
          </cell>
          <cell r="E76">
            <v>91</v>
          </cell>
          <cell r="F76" t="str">
            <v>NC NUMERICABLE ILE-DE-FRANCE</v>
          </cell>
          <cell r="G76" t="str">
            <v>COMPTABILITE</v>
          </cell>
          <cell r="H76" t="str">
            <v>SANCHEZ</v>
          </cell>
          <cell r="I76" t="str">
            <v>GENE701001</v>
          </cell>
          <cell r="J76">
            <v>100</v>
          </cell>
          <cell r="K76">
            <v>36535</v>
          </cell>
          <cell r="L76" t="str">
            <v>COMPTABLE.NIV.1</v>
          </cell>
          <cell r="M76" t="str">
            <v>EMPLOYE</v>
          </cell>
          <cell r="N76" t="str">
            <v>C</v>
          </cell>
          <cell r="O76" t="str">
            <v>CDI</v>
          </cell>
          <cell r="P76">
            <v>151.57</v>
          </cell>
          <cell r="Q76">
            <v>1767.47</v>
          </cell>
          <cell r="R76">
            <v>820.9</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190.35</v>
          </cell>
          <cell r="AO76">
            <v>0</v>
          </cell>
          <cell r="AP76">
            <v>0</v>
          </cell>
          <cell r="AQ76">
            <v>1767.47</v>
          </cell>
          <cell r="AR76">
            <v>0</v>
          </cell>
          <cell r="AS76">
            <v>0</v>
          </cell>
          <cell r="AT76">
            <v>0</v>
          </cell>
          <cell r="AU76">
            <v>0</v>
          </cell>
        </row>
        <row r="77">
          <cell r="A77" t="str">
            <v>000N0036</v>
          </cell>
          <cell r="B77" t="str">
            <v>CRISTOFARI</v>
          </cell>
          <cell r="C77" t="str">
            <v>JEAN PIERRE</v>
          </cell>
          <cell r="D77" t="str">
            <v>LYON GARIBALDI</v>
          </cell>
          <cell r="E77">
            <v>91</v>
          </cell>
          <cell r="F77" t="str">
            <v>NC NUMERICABLE ILE-DE-FRANCE</v>
          </cell>
          <cell r="G77" t="str">
            <v>VAD RCR</v>
          </cell>
          <cell r="I77" t="str">
            <v>GENE905001</v>
          </cell>
          <cell r="J77">
            <v>100</v>
          </cell>
          <cell r="K77">
            <v>35521</v>
          </cell>
          <cell r="L77" t="str">
            <v>RESPONSABLE COM.</v>
          </cell>
          <cell r="M77" t="str">
            <v>CADRE</v>
          </cell>
          <cell r="N77" t="str">
            <v>E</v>
          </cell>
          <cell r="O77" t="str">
            <v>CDI</v>
          </cell>
          <cell r="P77">
            <v>151.57</v>
          </cell>
          <cell r="Q77">
            <v>3899</v>
          </cell>
          <cell r="R77">
            <v>411.21</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1992.52</v>
          </cell>
          <cell r="AN77">
            <v>419.9</v>
          </cell>
          <cell r="AO77">
            <v>1992.52</v>
          </cell>
          <cell r="AP77">
            <v>0</v>
          </cell>
          <cell r="AQ77">
            <v>3899</v>
          </cell>
          <cell r="AR77">
            <v>0</v>
          </cell>
          <cell r="AS77">
            <v>0</v>
          </cell>
          <cell r="AT77">
            <v>0</v>
          </cell>
          <cell r="AU77">
            <v>0</v>
          </cell>
        </row>
        <row r="78">
          <cell r="A78" t="str">
            <v>000A0891</v>
          </cell>
          <cell r="B78" t="str">
            <v>BARLOT</v>
          </cell>
          <cell r="C78" t="str">
            <v>GUY</v>
          </cell>
          <cell r="D78" t="str">
            <v>SIEGE</v>
          </cell>
          <cell r="E78">
            <v>91</v>
          </cell>
          <cell r="F78" t="str">
            <v>NC NUMERICABLE ILE-DE-FRANCE</v>
          </cell>
          <cell r="G78" t="str">
            <v>INFORMATIQUE</v>
          </cell>
          <cell r="H78" t="str">
            <v>DELEBARRE JL</v>
          </cell>
          <cell r="I78" t="str">
            <v>GENE620001</v>
          </cell>
          <cell r="J78">
            <v>100</v>
          </cell>
          <cell r="K78">
            <v>37053</v>
          </cell>
          <cell r="L78" t="str">
            <v>RESPONSABLE DES DEVPTS</v>
          </cell>
          <cell r="M78" t="str">
            <v>CADRE</v>
          </cell>
          <cell r="N78" t="str">
            <v>F</v>
          </cell>
          <cell r="O78" t="str">
            <v>CDI</v>
          </cell>
          <cell r="P78">
            <v>151.57</v>
          </cell>
          <cell r="Q78">
            <v>5900</v>
          </cell>
          <cell r="R78">
            <v>3298.87</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717.44</v>
          </cell>
          <cell r="AO78">
            <v>46.43</v>
          </cell>
          <cell r="AP78">
            <v>0</v>
          </cell>
          <cell r="AQ78">
            <v>5900</v>
          </cell>
          <cell r="AR78">
            <v>762</v>
          </cell>
          <cell r="AS78">
            <v>0</v>
          </cell>
          <cell r="AT78">
            <v>0</v>
          </cell>
          <cell r="AU78">
            <v>0</v>
          </cell>
        </row>
        <row r="79">
          <cell r="A79" t="str">
            <v>000BF022</v>
          </cell>
          <cell r="B79" t="str">
            <v>FLAMAND</v>
          </cell>
          <cell r="C79" t="str">
            <v>DAVID</v>
          </cell>
          <cell r="D79" t="str">
            <v>LYON GARIBALDI</v>
          </cell>
          <cell r="E79">
            <v>91</v>
          </cell>
          <cell r="F79" t="str">
            <v>NC NUMERICABLE ILE-DE-FRANCE</v>
          </cell>
          <cell r="G79" t="str">
            <v>VAD ANIMATEURS</v>
          </cell>
          <cell r="I79" t="str">
            <v>GENE905001</v>
          </cell>
          <cell r="J79">
            <v>100</v>
          </cell>
          <cell r="K79">
            <v>34288</v>
          </cell>
          <cell r="L79" t="str">
            <v>ANIMATEUR COM.</v>
          </cell>
          <cell r="M79" t="str">
            <v>CADRE</v>
          </cell>
          <cell r="N79" t="str">
            <v>DB</v>
          </cell>
          <cell r="O79" t="str">
            <v>CDI</v>
          </cell>
          <cell r="P79">
            <v>151.57</v>
          </cell>
          <cell r="Q79">
            <v>2174</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-536.67999999999995</v>
          </cell>
          <cell r="AN79">
            <v>0</v>
          </cell>
          <cell r="AO79">
            <v>6619.16</v>
          </cell>
          <cell r="AP79">
            <v>0</v>
          </cell>
          <cell r="AQ79">
            <v>0</v>
          </cell>
          <cell r="AR79">
            <v>0</v>
          </cell>
          <cell r="AS79">
            <v>0</v>
          </cell>
          <cell r="AT79">
            <v>0</v>
          </cell>
          <cell r="AU79">
            <v>0</v>
          </cell>
        </row>
        <row r="80">
          <cell r="A80" t="str">
            <v>000BB026</v>
          </cell>
          <cell r="B80" t="str">
            <v>BOURDELIN</v>
          </cell>
          <cell r="C80" t="str">
            <v>PHILIPPE</v>
          </cell>
          <cell r="D80" t="str">
            <v>LYON GARIBALDI</v>
          </cell>
          <cell r="E80">
            <v>91</v>
          </cell>
          <cell r="F80" t="str">
            <v>NC NUMERICABLE ILE-DE-FRANCE</v>
          </cell>
          <cell r="G80" t="str">
            <v>MAINTENANCE RESEAU</v>
          </cell>
          <cell r="H80" t="str">
            <v>PIZOT</v>
          </cell>
          <cell r="I80" t="str">
            <v>RHON300001</v>
          </cell>
          <cell r="J80">
            <v>100</v>
          </cell>
          <cell r="K80">
            <v>35704</v>
          </cell>
          <cell r="L80" t="str">
            <v>EXPERT TECHNIQUE TDR ET RESEAUX</v>
          </cell>
          <cell r="M80" t="str">
            <v>478D</v>
          </cell>
          <cell r="N80" t="str">
            <v>DB</v>
          </cell>
          <cell r="O80" t="str">
            <v>CDI</v>
          </cell>
          <cell r="P80">
            <v>151.57</v>
          </cell>
          <cell r="Q80">
            <v>3847.7</v>
          </cell>
          <cell r="R80">
            <v>1431.57</v>
          </cell>
          <cell r="S80">
            <v>0</v>
          </cell>
          <cell r="T80">
            <v>0</v>
          </cell>
          <cell r="U80">
            <v>0</v>
          </cell>
          <cell r="V80">
            <v>0</v>
          </cell>
          <cell r="W80">
            <v>0</v>
          </cell>
          <cell r="X80">
            <v>0</v>
          </cell>
          <cell r="Y80">
            <v>0</v>
          </cell>
          <cell r="Z80">
            <v>0</v>
          </cell>
          <cell r="AA80">
            <v>0</v>
          </cell>
          <cell r="AB80">
            <v>0</v>
          </cell>
          <cell r="AC80">
            <v>0</v>
          </cell>
          <cell r="AD80">
            <v>0</v>
          </cell>
          <cell r="AE80">
            <v>0</v>
          </cell>
          <cell r="AF80">
            <v>53.31</v>
          </cell>
          <cell r="AG80">
            <v>0</v>
          </cell>
          <cell r="AH80">
            <v>13.33</v>
          </cell>
          <cell r="AI80">
            <v>0</v>
          </cell>
          <cell r="AJ80">
            <v>0</v>
          </cell>
          <cell r="AK80">
            <v>169</v>
          </cell>
          <cell r="AL80">
            <v>0</v>
          </cell>
          <cell r="AM80">
            <v>0</v>
          </cell>
          <cell r="AN80">
            <v>322.55</v>
          </cell>
          <cell r="AO80">
            <v>0</v>
          </cell>
          <cell r="AP80">
            <v>0</v>
          </cell>
          <cell r="AQ80">
            <v>2387.29</v>
          </cell>
          <cell r="AR80">
            <v>0</v>
          </cell>
          <cell r="AS80">
            <v>169</v>
          </cell>
          <cell r="AT80">
            <v>0</v>
          </cell>
          <cell r="AU80">
            <v>0</v>
          </cell>
        </row>
        <row r="81">
          <cell r="A81" t="str">
            <v>000A0966</v>
          </cell>
          <cell r="B81" t="str">
            <v>CREHANGE</v>
          </cell>
          <cell r="C81" t="str">
            <v>FRANCOIS</v>
          </cell>
          <cell r="D81" t="str">
            <v>SIEGE</v>
          </cell>
          <cell r="E81">
            <v>91</v>
          </cell>
          <cell r="F81" t="str">
            <v>NC NUMERICABLE ILE-DE-FRANCE</v>
          </cell>
          <cell r="G81" t="str">
            <v>MARKETING</v>
          </cell>
          <cell r="H81" t="str">
            <v>SUMING</v>
          </cell>
          <cell r="I81" t="str">
            <v>GENE546001</v>
          </cell>
          <cell r="J81">
            <v>100</v>
          </cell>
          <cell r="K81">
            <v>37644</v>
          </cell>
          <cell r="L81" t="str">
            <v>CHEF DE PRODUIT</v>
          </cell>
          <cell r="M81" t="str">
            <v>CADRE</v>
          </cell>
          <cell r="N81" t="str">
            <v>E</v>
          </cell>
          <cell r="O81" t="str">
            <v>CDI</v>
          </cell>
          <cell r="P81">
            <v>151.57</v>
          </cell>
          <cell r="Q81">
            <v>4361.25</v>
          </cell>
          <cell r="R81">
            <v>1095.92</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585.33000000000004</v>
          </cell>
          <cell r="AO81">
            <v>0</v>
          </cell>
          <cell r="AP81">
            <v>0</v>
          </cell>
          <cell r="AQ81">
            <v>2236.5</v>
          </cell>
          <cell r="AR81">
            <v>0</v>
          </cell>
          <cell r="AS81">
            <v>0</v>
          </cell>
          <cell r="AT81">
            <v>0</v>
          </cell>
          <cell r="AU81">
            <v>0</v>
          </cell>
        </row>
        <row r="82">
          <cell r="A82" t="str">
            <v>000A0978</v>
          </cell>
          <cell r="B82" t="str">
            <v>DE BAILLENX</v>
          </cell>
          <cell r="C82" t="str">
            <v>OLIVIER</v>
          </cell>
          <cell r="D82" t="str">
            <v>SIEGE</v>
          </cell>
          <cell r="E82">
            <v>91</v>
          </cell>
          <cell r="F82" t="str">
            <v>NC NUMERICABLE ILE-DE-FRANCE</v>
          </cell>
          <cell r="G82" t="str">
            <v>DIRECTION DES OPERAT</v>
          </cell>
          <cell r="H82" t="str">
            <v>BENETTI</v>
          </cell>
          <cell r="I82" t="str">
            <v>GENE548001</v>
          </cell>
          <cell r="J82">
            <v>100</v>
          </cell>
          <cell r="K82">
            <v>37725</v>
          </cell>
          <cell r="L82" t="str">
            <v>DIRECTEUR COM.</v>
          </cell>
          <cell r="M82" t="str">
            <v>CADRE</v>
          </cell>
          <cell r="N82" t="str">
            <v>F</v>
          </cell>
          <cell r="O82" t="str">
            <v>CDI</v>
          </cell>
          <cell r="P82">
            <v>151.57</v>
          </cell>
          <cell r="Q82">
            <v>6667</v>
          </cell>
          <cell r="R82">
            <v>3431.86</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744.63</v>
          </cell>
          <cell r="AO82">
            <v>0</v>
          </cell>
          <cell r="AP82">
            <v>0</v>
          </cell>
          <cell r="AQ82">
            <v>6667</v>
          </cell>
          <cell r="AR82">
            <v>0</v>
          </cell>
          <cell r="AS82">
            <v>0</v>
          </cell>
          <cell r="AT82">
            <v>0</v>
          </cell>
          <cell r="AU82">
            <v>0</v>
          </cell>
        </row>
        <row r="83">
          <cell r="A83" t="str">
            <v>000A0326</v>
          </cell>
          <cell r="B83" t="str">
            <v>BARRIER</v>
          </cell>
          <cell r="C83" t="str">
            <v>YANN</v>
          </cell>
          <cell r="D83" t="str">
            <v>NANTES</v>
          </cell>
          <cell r="E83">
            <v>91</v>
          </cell>
          <cell r="F83" t="str">
            <v>NC NUMERICABLE ILE-DE-FRANCE</v>
          </cell>
          <cell r="G83" t="str">
            <v>INFORMATIQUE</v>
          </cell>
          <cell r="H83" t="str">
            <v>DELEBARRE JL</v>
          </cell>
          <cell r="I83" t="str">
            <v>GENE620001</v>
          </cell>
          <cell r="J83">
            <v>100</v>
          </cell>
          <cell r="K83">
            <v>32916</v>
          </cell>
          <cell r="L83" t="str">
            <v>CHARGE(E) EXP. INFO.</v>
          </cell>
          <cell r="M83" t="str">
            <v>CADRE</v>
          </cell>
          <cell r="N83" t="str">
            <v>E</v>
          </cell>
          <cell r="O83" t="str">
            <v>CDI</v>
          </cell>
          <cell r="P83">
            <v>151.57</v>
          </cell>
          <cell r="Q83">
            <v>3281.44</v>
          </cell>
          <cell r="R83">
            <v>1770.26</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353.39</v>
          </cell>
          <cell r="AO83">
            <v>0</v>
          </cell>
          <cell r="AP83">
            <v>0</v>
          </cell>
          <cell r="AQ83">
            <v>3281.44</v>
          </cell>
          <cell r="AR83">
            <v>0</v>
          </cell>
          <cell r="AS83">
            <v>0</v>
          </cell>
          <cell r="AT83">
            <v>0</v>
          </cell>
          <cell r="AU83">
            <v>0</v>
          </cell>
        </row>
        <row r="84">
          <cell r="A84" t="str">
            <v>000A0854</v>
          </cell>
          <cell r="B84" t="str">
            <v>BOUVET MADI</v>
          </cell>
          <cell r="C84" t="str">
            <v>WILFRID</v>
          </cell>
          <cell r="D84" t="str">
            <v>SIEGE</v>
          </cell>
          <cell r="E84">
            <v>91</v>
          </cell>
          <cell r="F84" t="str">
            <v>NC NUMERICABLE ILE-DE-FRANCE</v>
          </cell>
          <cell r="G84" t="str">
            <v>ADV</v>
          </cell>
          <cell r="I84" t="str">
            <v>GENE905001</v>
          </cell>
          <cell r="J84">
            <v>100</v>
          </cell>
          <cell r="K84">
            <v>36857</v>
          </cell>
          <cell r="L84" t="str">
            <v>SUPERVISEUR COM.</v>
          </cell>
          <cell r="M84" t="str">
            <v>TSM</v>
          </cell>
          <cell r="N84" t="str">
            <v>D</v>
          </cell>
          <cell r="O84" t="str">
            <v>CDI</v>
          </cell>
          <cell r="P84">
            <v>151.57</v>
          </cell>
          <cell r="Q84">
            <v>2004</v>
          </cell>
          <cell r="R84">
            <v>1150.9100000000001</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-154.91999999999999</v>
          </cell>
          <cell r="AN84">
            <v>354.77</v>
          </cell>
          <cell r="AO84">
            <v>17699.73</v>
          </cell>
          <cell r="AP84">
            <v>0</v>
          </cell>
          <cell r="AQ84">
            <v>1495.28</v>
          </cell>
          <cell r="AR84">
            <v>0</v>
          </cell>
          <cell r="AS84">
            <v>0</v>
          </cell>
          <cell r="AT84">
            <v>0</v>
          </cell>
          <cell r="AU84">
            <v>0</v>
          </cell>
        </row>
        <row r="85">
          <cell r="A85" t="str">
            <v>000A1160</v>
          </cell>
          <cell r="B85" t="str">
            <v>DEY</v>
          </cell>
          <cell r="C85" t="str">
            <v>GEORGES</v>
          </cell>
          <cell r="D85" t="str">
            <v>MARSEILLE</v>
          </cell>
          <cell r="E85">
            <v>91</v>
          </cell>
          <cell r="F85" t="str">
            <v>NC NUMERICABLE ILE-DE-FRANCE</v>
          </cell>
          <cell r="G85" t="str">
            <v>VAD ANIMATEURS</v>
          </cell>
          <cell r="H85" t="str">
            <v>VIVIN</v>
          </cell>
          <cell r="I85" t="str">
            <v>SUES500001</v>
          </cell>
          <cell r="J85">
            <v>100</v>
          </cell>
          <cell r="K85">
            <v>38649</v>
          </cell>
          <cell r="L85" t="str">
            <v>ANIMATEUR COM.</v>
          </cell>
          <cell r="M85" t="str">
            <v>CADRE</v>
          </cell>
          <cell r="N85" t="str">
            <v>DB</v>
          </cell>
          <cell r="O85" t="str">
            <v>CDI</v>
          </cell>
          <cell r="P85">
            <v>151.57</v>
          </cell>
          <cell r="Q85">
            <v>2382.12</v>
          </cell>
          <cell r="R85">
            <v>1052.25</v>
          </cell>
          <cell r="S85">
            <v>0</v>
          </cell>
          <cell r="T85">
            <v>1000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301.52999999999997</v>
          </cell>
          <cell r="AO85">
            <v>0</v>
          </cell>
          <cell r="AP85">
            <v>0</v>
          </cell>
          <cell r="AQ85">
            <v>1800</v>
          </cell>
          <cell r="AR85">
            <v>0</v>
          </cell>
          <cell r="AS85">
            <v>0</v>
          </cell>
          <cell r="AT85">
            <v>0</v>
          </cell>
          <cell r="AU85">
            <v>0</v>
          </cell>
        </row>
        <row r="86">
          <cell r="A86" t="str">
            <v>000A1072</v>
          </cell>
          <cell r="B86" t="str">
            <v>AIT SI BRAHIM</v>
          </cell>
          <cell r="C86" t="str">
            <v>EL HASSAN</v>
          </cell>
          <cell r="D86" t="str">
            <v>LA MADELEINE</v>
          </cell>
          <cell r="E86">
            <v>91</v>
          </cell>
          <cell r="F86" t="str">
            <v>NC NUMERICABLE ILE-DE-FRANCE</v>
          </cell>
          <cell r="G86" t="str">
            <v>VAD CONSEILLERS</v>
          </cell>
          <cell r="H86" t="str">
            <v>GUILLEMAN</v>
          </cell>
          <cell r="I86" t="str">
            <v>NPCA500001</v>
          </cell>
          <cell r="J86">
            <v>100</v>
          </cell>
          <cell r="K86">
            <v>38628</v>
          </cell>
          <cell r="L86" t="str">
            <v>CONSEILLER(E) COM.</v>
          </cell>
          <cell r="M86" t="str">
            <v>TSM</v>
          </cell>
          <cell r="N86" t="str">
            <v>D</v>
          </cell>
          <cell r="O86" t="str">
            <v>CDI</v>
          </cell>
          <cell r="P86">
            <v>151.57</v>
          </cell>
          <cell r="Q86">
            <v>1217.8800000000001</v>
          </cell>
          <cell r="R86">
            <v>1377.1</v>
          </cell>
          <cell r="S86">
            <v>0</v>
          </cell>
          <cell r="T86">
            <v>2370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386.38</v>
          </cell>
          <cell r="AO86">
            <v>0</v>
          </cell>
          <cell r="AP86">
            <v>0</v>
          </cell>
          <cell r="AQ86">
            <v>1217.8800000000001</v>
          </cell>
          <cell r="AR86">
            <v>0</v>
          </cell>
          <cell r="AS86">
            <v>0</v>
          </cell>
          <cell r="AT86">
            <v>0</v>
          </cell>
          <cell r="AU86">
            <v>0</v>
          </cell>
        </row>
        <row r="87">
          <cell r="A87" t="str">
            <v>000A1334</v>
          </cell>
          <cell r="B87" t="str">
            <v>NISUS</v>
          </cell>
          <cell r="C87" t="str">
            <v>OLIVIER</v>
          </cell>
          <cell r="D87" t="str">
            <v>DUNKERQUE</v>
          </cell>
          <cell r="E87">
            <v>91</v>
          </cell>
          <cell r="F87" t="str">
            <v>NC NUMERICABLE ILE-DE-FRANCE</v>
          </cell>
          <cell r="G87" t="str">
            <v>VAD CONSEILLERS</v>
          </cell>
          <cell r="H87" t="str">
            <v>FERNANDEZ M</v>
          </cell>
          <cell r="I87" t="str">
            <v>NPCA500001</v>
          </cell>
          <cell r="J87">
            <v>100</v>
          </cell>
          <cell r="K87">
            <v>38677</v>
          </cell>
          <cell r="L87" t="str">
            <v>CONSEILLER(E) COM.</v>
          </cell>
          <cell r="M87" t="str">
            <v>TSM</v>
          </cell>
          <cell r="N87" t="str">
            <v>D</v>
          </cell>
          <cell r="O87" t="str">
            <v>CDI</v>
          </cell>
          <cell r="P87">
            <v>151.57</v>
          </cell>
          <cell r="Q87">
            <v>1217.8800000000001</v>
          </cell>
          <cell r="R87">
            <v>2388.91</v>
          </cell>
          <cell r="S87">
            <v>0</v>
          </cell>
          <cell r="T87">
            <v>5352</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707.53</v>
          </cell>
          <cell r="AO87">
            <v>0</v>
          </cell>
          <cell r="AP87">
            <v>0</v>
          </cell>
          <cell r="AQ87">
            <v>1217.8800000000001</v>
          </cell>
          <cell r="AR87">
            <v>0</v>
          </cell>
          <cell r="AS87">
            <v>0</v>
          </cell>
          <cell r="AT87">
            <v>0</v>
          </cell>
          <cell r="AU87">
            <v>0</v>
          </cell>
        </row>
        <row r="88">
          <cell r="A88" t="str">
            <v>000A1483</v>
          </cell>
          <cell r="B88" t="str">
            <v>GENTY</v>
          </cell>
          <cell r="C88" t="str">
            <v>OLIVIER</v>
          </cell>
          <cell r="D88" t="str">
            <v>MARSEILLE</v>
          </cell>
          <cell r="E88">
            <v>91</v>
          </cell>
          <cell r="F88" t="str">
            <v>NC NUMERICABLE ILE-DE-FRANCE</v>
          </cell>
          <cell r="G88" t="str">
            <v>TRAVAUX</v>
          </cell>
          <cell r="H88" t="str">
            <v>SOULIERE</v>
          </cell>
          <cell r="I88" t="str">
            <v>SUES300001</v>
          </cell>
          <cell r="J88">
            <v>100</v>
          </cell>
          <cell r="K88">
            <v>38754</v>
          </cell>
          <cell r="L88" t="str">
            <v>SUPERVISEUR TRAVAUX</v>
          </cell>
          <cell r="M88" t="str">
            <v>478D</v>
          </cell>
          <cell r="N88">
            <v>0</v>
          </cell>
          <cell r="O88" t="str">
            <v>CDI</v>
          </cell>
          <cell r="P88">
            <v>151.57</v>
          </cell>
          <cell r="Q88">
            <v>2791.67</v>
          </cell>
          <cell r="R88">
            <v>1773</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851.82</v>
          </cell>
          <cell r="AO88">
            <v>0</v>
          </cell>
          <cell r="AP88">
            <v>0</v>
          </cell>
          <cell r="AQ88">
            <v>2791.67</v>
          </cell>
          <cell r="AR88">
            <v>0</v>
          </cell>
          <cell r="AS88">
            <v>0</v>
          </cell>
          <cell r="AT88">
            <v>0</v>
          </cell>
          <cell r="AU88">
            <v>0</v>
          </cell>
        </row>
        <row r="89">
          <cell r="A89" t="str">
            <v>000A1367</v>
          </cell>
          <cell r="B89" t="str">
            <v>HENNI</v>
          </cell>
          <cell r="C89" t="str">
            <v>ABDELMONAIM</v>
          </cell>
          <cell r="D89" t="str">
            <v>BORDEAUX</v>
          </cell>
          <cell r="E89">
            <v>91</v>
          </cell>
          <cell r="F89" t="str">
            <v>NC NUMERICABLE ILE-DE-FRANCE</v>
          </cell>
          <cell r="G89" t="str">
            <v>VAD CONSEILLERS</v>
          </cell>
          <cell r="H89" t="str">
            <v>FLAICHER</v>
          </cell>
          <cell r="I89" t="str">
            <v>SUOU500001</v>
          </cell>
          <cell r="J89">
            <v>100</v>
          </cell>
          <cell r="K89">
            <v>38726</v>
          </cell>
          <cell r="L89" t="str">
            <v>CONSEILLER(E) COM.</v>
          </cell>
          <cell r="M89" t="str">
            <v>TSM</v>
          </cell>
          <cell r="N89" t="str">
            <v>D</v>
          </cell>
          <cell r="O89" t="str">
            <v>CDI</v>
          </cell>
          <cell r="P89">
            <v>151.57</v>
          </cell>
          <cell r="Q89">
            <v>1217.8800000000001</v>
          </cell>
          <cell r="R89">
            <v>553.79999999999995</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131.16</v>
          </cell>
          <cell r="AO89">
            <v>0</v>
          </cell>
          <cell r="AP89">
            <v>0</v>
          </cell>
          <cell r="AQ89">
            <v>1217.8800000000001</v>
          </cell>
          <cell r="AR89">
            <v>0</v>
          </cell>
          <cell r="AS89">
            <v>0</v>
          </cell>
          <cell r="AT89">
            <v>0</v>
          </cell>
          <cell r="AU89">
            <v>0</v>
          </cell>
        </row>
        <row r="90">
          <cell r="A90" t="str">
            <v>000A1332</v>
          </cell>
          <cell r="B90" t="str">
            <v>ROMMEL</v>
          </cell>
          <cell r="C90" t="str">
            <v>CEDRIC</v>
          </cell>
          <cell r="D90" t="str">
            <v>LA MADELEINE</v>
          </cell>
          <cell r="E90">
            <v>91</v>
          </cell>
          <cell r="F90" t="str">
            <v>NC NUMERICABLE ILE-DE-FRANCE</v>
          </cell>
          <cell r="G90" t="str">
            <v>VAD CONSEILLERS</v>
          </cell>
          <cell r="H90" t="str">
            <v>LESSCHAVE</v>
          </cell>
          <cell r="I90" t="str">
            <v>NPCA500001</v>
          </cell>
          <cell r="J90">
            <v>100</v>
          </cell>
          <cell r="K90">
            <v>38677</v>
          </cell>
          <cell r="L90" t="str">
            <v>CONSEILLER(E) COM.</v>
          </cell>
          <cell r="M90" t="str">
            <v>TSM</v>
          </cell>
          <cell r="N90" t="str">
            <v>D</v>
          </cell>
          <cell r="O90" t="str">
            <v>CDI</v>
          </cell>
          <cell r="P90">
            <v>151.57</v>
          </cell>
          <cell r="Q90">
            <v>1217.8800000000001</v>
          </cell>
          <cell r="R90">
            <v>613.52</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131.16</v>
          </cell>
          <cell r="AO90">
            <v>0</v>
          </cell>
          <cell r="AP90">
            <v>0</v>
          </cell>
          <cell r="AQ90">
            <v>1217.8800000000001</v>
          </cell>
          <cell r="AR90">
            <v>0</v>
          </cell>
          <cell r="AS90">
            <v>0</v>
          </cell>
          <cell r="AT90">
            <v>0</v>
          </cell>
          <cell r="AU90">
            <v>0</v>
          </cell>
        </row>
        <row r="91">
          <cell r="A91" t="str">
            <v>000A1394</v>
          </cell>
          <cell r="B91" t="str">
            <v>WILST</v>
          </cell>
          <cell r="C91" t="str">
            <v>JOHNNY</v>
          </cell>
          <cell r="D91" t="str">
            <v>BORDEAUX</v>
          </cell>
          <cell r="E91">
            <v>91</v>
          </cell>
          <cell r="F91" t="str">
            <v>NC NUMERICABLE ILE-DE-FRANCE</v>
          </cell>
          <cell r="G91" t="str">
            <v>VAD CONSEILLERS</v>
          </cell>
          <cell r="H91" t="str">
            <v>FLAICHER</v>
          </cell>
          <cell r="I91" t="str">
            <v>SUOU500001</v>
          </cell>
          <cell r="J91">
            <v>100</v>
          </cell>
          <cell r="K91">
            <v>38733</v>
          </cell>
          <cell r="L91" t="str">
            <v>CONSEILLER(E) COM.</v>
          </cell>
          <cell r="M91" t="str">
            <v>TSM</v>
          </cell>
          <cell r="N91" t="str">
            <v>D</v>
          </cell>
          <cell r="O91" t="str">
            <v>CDI</v>
          </cell>
          <cell r="P91">
            <v>151.57</v>
          </cell>
          <cell r="Q91">
            <v>1217.8800000000001</v>
          </cell>
          <cell r="R91">
            <v>506.81</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131.15</v>
          </cell>
          <cell r="AO91">
            <v>0</v>
          </cell>
          <cell r="AP91">
            <v>0</v>
          </cell>
          <cell r="AQ91">
            <v>1217.8800000000001</v>
          </cell>
          <cell r="AR91">
            <v>0</v>
          </cell>
          <cell r="AS91">
            <v>0</v>
          </cell>
          <cell r="AT91">
            <v>0</v>
          </cell>
          <cell r="AU91">
            <v>0</v>
          </cell>
        </row>
        <row r="92">
          <cell r="A92" t="str">
            <v>000A1608</v>
          </cell>
          <cell r="B92" t="str">
            <v>BALLA KPAMA</v>
          </cell>
          <cell r="C92" t="str">
            <v>ETIENNE</v>
          </cell>
          <cell r="D92" t="str">
            <v>LYON GARIBALDI</v>
          </cell>
          <cell r="E92">
            <v>91</v>
          </cell>
          <cell r="F92" t="str">
            <v>NC NUMERICABLE ILE-DE-FRANCE</v>
          </cell>
          <cell r="G92" t="str">
            <v>VAD CONSEILLERS</v>
          </cell>
          <cell r="H92" t="str">
            <v>DONT</v>
          </cell>
          <cell r="I92" t="str">
            <v>RHON500001</v>
          </cell>
          <cell r="J92">
            <v>100</v>
          </cell>
          <cell r="K92">
            <v>38782</v>
          </cell>
          <cell r="L92" t="str">
            <v>CONSEILLER(E) COM.</v>
          </cell>
          <cell r="M92" t="str">
            <v>TSM</v>
          </cell>
          <cell r="N92" t="str">
            <v>D</v>
          </cell>
          <cell r="O92" t="str">
            <v>CDI</v>
          </cell>
          <cell r="P92">
            <v>151.57</v>
          </cell>
          <cell r="Q92">
            <v>0</v>
          </cell>
          <cell r="R92">
            <v>817.7</v>
          </cell>
          <cell r="S92">
            <v>0</v>
          </cell>
          <cell r="T92">
            <v>1070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360.06</v>
          </cell>
          <cell r="AO92">
            <v>0</v>
          </cell>
          <cell r="AP92">
            <v>0</v>
          </cell>
          <cell r="AQ92">
            <v>1217.8800000000001</v>
          </cell>
          <cell r="AR92">
            <v>0</v>
          </cell>
          <cell r="AS92">
            <v>0</v>
          </cell>
          <cell r="AT92">
            <v>0</v>
          </cell>
          <cell r="AU92">
            <v>0</v>
          </cell>
        </row>
        <row r="93">
          <cell r="A93" t="str">
            <v>000A1292</v>
          </cell>
          <cell r="B93" t="str">
            <v>ANTONIN</v>
          </cell>
          <cell r="C93" t="str">
            <v>STEPHANE</v>
          </cell>
          <cell r="D93" t="str">
            <v>LYON CATN</v>
          </cell>
          <cell r="E93">
            <v>91</v>
          </cell>
          <cell r="F93" t="str">
            <v>NC NUMERICABLE ILE-DE-FRANCE</v>
          </cell>
          <cell r="G93" t="str">
            <v>CATN SUPERVISEUR</v>
          </cell>
          <cell r="H93" t="str">
            <v>CARET</v>
          </cell>
          <cell r="I93" t="str">
            <v>CLIE420001</v>
          </cell>
          <cell r="J93">
            <v>100</v>
          </cell>
          <cell r="K93">
            <v>38684</v>
          </cell>
          <cell r="L93" t="str">
            <v>RESPONSABLE CLT</v>
          </cell>
          <cell r="M93" t="str">
            <v>CADRE</v>
          </cell>
          <cell r="N93" t="str">
            <v>E</v>
          </cell>
          <cell r="O93" t="str">
            <v>CDI</v>
          </cell>
          <cell r="P93">
            <v>151.57</v>
          </cell>
          <cell r="Q93">
            <v>4333.33</v>
          </cell>
          <cell r="R93">
            <v>2258.27</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466.67</v>
          </cell>
          <cell r="AO93">
            <v>0</v>
          </cell>
          <cell r="AP93">
            <v>0</v>
          </cell>
          <cell r="AQ93">
            <v>4333.33</v>
          </cell>
          <cell r="AR93">
            <v>0</v>
          </cell>
          <cell r="AS93">
            <v>0</v>
          </cell>
          <cell r="AT93">
            <v>0</v>
          </cell>
          <cell r="AU93">
            <v>0</v>
          </cell>
        </row>
        <row r="94">
          <cell r="A94" t="str">
            <v>000A1642</v>
          </cell>
          <cell r="B94" t="str">
            <v>ANTOINE</v>
          </cell>
          <cell r="C94" t="str">
            <v>SYLVAIN</v>
          </cell>
          <cell r="D94" t="str">
            <v>NIMES</v>
          </cell>
          <cell r="E94">
            <v>91</v>
          </cell>
          <cell r="F94" t="str">
            <v>NC NUMERICABLE ILE-DE-FRANCE</v>
          </cell>
          <cell r="G94" t="str">
            <v>VAD CONSEILLERS</v>
          </cell>
          <cell r="H94" t="str">
            <v>VIVIN</v>
          </cell>
          <cell r="I94" t="str">
            <v>SUES500001</v>
          </cell>
          <cell r="J94">
            <v>100</v>
          </cell>
          <cell r="K94">
            <v>38789</v>
          </cell>
          <cell r="L94" t="str">
            <v>CONSEILLER(E) COM.</v>
          </cell>
          <cell r="M94" t="str">
            <v>TSM</v>
          </cell>
          <cell r="N94" t="str">
            <v>D</v>
          </cell>
          <cell r="O94" t="str">
            <v>CDI</v>
          </cell>
          <cell r="P94">
            <v>151.57</v>
          </cell>
          <cell r="Q94">
            <v>0</v>
          </cell>
          <cell r="R94">
            <v>364.15</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1217.8800000000001</v>
          </cell>
          <cell r="AR94">
            <v>0</v>
          </cell>
          <cell r="AS94">
            <v>0</v>
          </cell>
          <cell r="AT94">
            <v>0</v>
          </cell>
          <cell r="AU94">
            <v>0</v>
          </cell>
        </row>
        <row r="95">
          <cell r="A95" t="str">
            <v>000A1302</v>
          </cell>
          <cell r="B95" t="str">
            <v>RODDIER</v>
          </cell>
          <cell r="C95" t="str">
            <v>STEPHANE</v>
          </cell>
          <cell r="D95" t="str">
            <v>GRENOBLE</v>
          </cell>
          <cell r="E95">
            <v>91</v>
          </cell>
          <cell r="F95" t="str">
            <v>NC NUMERICABLE ILE-DE-FRANCE</v>
          </cell>
          <cell r="G95" t="str">
            <v>VAD CONSEILLERS</v>
          </cell>
          <cell r="H95" t="str">
            <v>JAUNAY</v>
          </cell>
          <cell r="I95" t="str">
            <v>RHON500001</v>
          </cell>
          <cell r="J95">
            <v>100</v>
          </cell>
          <cell r="K95">
            <v>38684</v>
          </cell>
          <cell r="L95" t="str">
            <v>CONSEILLER(E) COM.</v>
          </cell>
          <cell r="M95" t="str">
            <v>TSM</v>
          </cell>
          <cell r="N95" t="str">
            <v>D</v>
          </cell>
          <cell r="O95" t="str">
            <v>CDI</v>
          </cell>
          <cell r="P95">
            <v>151.57</v>
          </cell>
          <cell r="Q95">
            <v>1217.8800000000001</v>
          </cell>
          <cell r="R95">
            <v>1289.4000000000001</v>
          </cell>
          <cell r="S95">
            <v>0</v>
          </cell>
          <cell r="T95">
            <v>2140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361.62</v>
          </cell>
          <cell r="AO95">
            <v>0</v>
          </cell>
          <cell r="AP95">
            <v>0</v>
          </cell>
          <cell r="AQ95">
            <v>1217.8800000000001</v>
          </cell>
          <cell r="AR95">
            <v>0</v>
          </cell>
          <cell r="AS95">
            <v>0</v>
          </cell>
          <cell r="AT95">
            <v>0</v>
          </cell>
          <cell r="AU95">
            <v>0</v>
          </cell>
        </row>
        <row r="96">
          <cell r="A96" t="str">
            <v>000A1554</v>
          </cell>
          <cell r="B96" t="str">
            <v>SALANSON</v>
          </cell>
          <cell r="C96" t="str">
            <v>FRANCOIS XAVIER</v>
          </cell>
          <cell r="D96" t="str">
            <v>RENNES</v>
          </cell>
          <cell r="E96">
            <v>91</v>
          </cell>
          <cell r="F96" t="str">
            <v>NC NUMERICABLE ILE-DE-FRANCE</v>
          </cell>
          <cell r="G96" t="str">
            <v>COLLECTIF</v>
          </cell>
          <cell r="H96" t="str">
            <v>DURAND JP</v>
          </cell>
          <cell r="I96" t="str">
            <v>OUES510001</v>
          </cell>
          <cell r="J96">
            <v>100</v>
          </cell>
          <cell r="K96">
            <v>38719</v>
          </cell>
          <cell r="L96" t="str">
            <v>ATTACHE COMMERCIAL</v>
          </cell>
          <cell r="N96" t="str">
            <v>DB</v>
          </cell>
          <cell r="O96" t="str">
            <v>CDI</v>
          </cell>
          <cell r="P96">
            <v>151.57</v>
          </cell>
          <cell r="Q96">
            <v>1800</v>
          </cell>
          <cell r="R96">
            <v>1538.15</v>
          </cell>
          <cell r="S96">
            <v>0</v>
          </cell>
          <cell r="T96">
            <v>1000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366.15</v>
          </cell>
          <cell r="AO96">
            <v>0</v>
          </cell>
          <cell r="AP96">
            <v>0</v>
          </cell>
          <cell r="AQ96">
            <v>1800</v>
          </cell>
          <cell r="AR96">
            <v>0</v>
          </cell>
          <cell r="AS96">
            <v>0</v>
          </cell>
          <cell r="AT96">
            <v>0</v>
          </cell>
          <cell r="AU96">
            <v>0</v>
          </cell>
        </row>
        <row r="97">
          <cell r="A97" t="str">
            <v>000A1301</v>
          </cell>
          <cell r="B97" t="str">
            <v>ZIO</v>
          </cell>
          <cell r="C97" t="str">
            <v>NOEL</v>
          </cell>
          <cell r="D97" t="str">
            <v>LYON GARIBALDI</v>
          </cell>
          <cell r="E97">
            <v>91</v>
          </cell>
          <cell r="F97" t="str">
            <v>NC NUMERICABLE ILE-DE-FRANCE</v>
          </cell>
          <cell r="G97" t="str">
            <v>VAD CONSEILLERS</v>
          </cell>
          <cell r="H97" t="str">
            <v>KUDONOO</v>
          </cell>
          <cell r="I97" t="str">
            <v>RHON500001</v>
          </cell>
          <cell r="J97">
            <v>100</v>
          </cell>
          <cell r="K97">
            <v>38684</v>
          </cell>
          <cell r="L97" t="str">
            <v>CONSEILLER(E) COM.</v>
          </cell>
          <cell r="M97" t="str">
            <v>TSM</v>
          </cell>
          <cell r="N97" t="str">
            <v>D</v>
          </cell>
          <cell r="O97" t="str">
            <v>CDI</v>
          </cell>
          <cell r="P97">
            <v>151.57</v>
          </cell>
          <cell r="Q97">
            <v>1217.8800000000001</v>
          </cell>
          <cell r="R97">
            <v>745.33</v>
          </cell>
          <cell r="S97">
            <v>0</v>
          </cell>
          <cell r="T97">
            <v>1040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243.15</v>
          </cell>
          <cell r="AO97">
            <v>0</v>
          </cell>
          <cell r="AP97">
            <v>0</v>
          </cell>
          <cell r="AQ97">
            <v>1217.8800000000001</v>
          </cell>
          <cell r="AR97">
            <v>0</v>
          </cell>
          <cell r="AS97">
            <v>0</v>
          </cell>
          <cell r="AT97">
            <v>0</v>
          </cell>
          <cell r="AU97">
            <v>0</v>
          </cell>
        </row>
        <row r="98">
          <cell r="A98" t="str">
            <v>000A1617</v>
          </cell>
          <cell r="B98" t="str">
            <v>EL KHAMSI</v>
          </cell>
          <cell r="C98" t="str">
            <v>SAID</v>
          </cell>
          <cell r="D98" t="str">
            <v>SIEGE</v>
          </cell>
          <cell r="E98">
            <v>91</v>
          </cell>
          <cell r="F98" t="str">
            <v>NC NUMERICABLE ILE-DE-FRANCE</v>
          </cell>
          <cell r="G98" t="str">
            <v>VAD CONSEILLERS</v>
          </cell>
          <cell r="H98" t="str">
            <v>ZERFAINE</v>
          </cell>
          <cell r="I98" t="str">
            <v>IDFR500001</v>
          </cell>
          <cell r="J98">
            <v>100</v>
          </cell>
          <cell r="K98">
            <v>38761</v>
          </cell>
          <cell r="L98" t="str">
            <v>CONSEILLER(E) COM.</v>
          </cell>
          <cell r="M98" t="str">
            <v>TSM</v>
          </cell>
          <cell r="N98" t="str">
            <v>D</v>
          </cell>
          <cell r="O98" t="str">
            <v>CDI</v>
          </cell>
          <cell r="P98">
            <v>151.57</v>
          </cell>
          <cell r="Q98">
            <v>0</v>
          </cell>
          <cell r="R98">
            <v>1207.44</v>
          </cell>
          <cell r="S98">
            <v>0</v>
          </cell>
          <cell r="T98">
            <v>2320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412.43</v>
          </cell>
          <cell r="AO98">
            <v>0</v>
          </cell>
          <cell r="AP98">
            <v>0</v>
          </cell>
          <cell r="AQ98">
            <v>908.72</v>
          </cell>
          <cell r="AR98">
            <v>0</v>
          </cell>
          <cell r="AS98">
            <v>0</v>
          </cell>
          <cell r="AT98">
            <v>0</v>
          </cell>
          <cell r="AU98">
            <v>0</v>
          </cell>
        </row>
        <row r="99">
          <cell r="A99" t="str">
            <v>000A1336</v>
          </cell>
          <cell r="B99" t="str">
            <v>ANTONIAZZI</v>
          </cell>
          <cell r="C99" t="str">
            <v>FREDERIC</v>
          </cell>
          <cell r="D99" t="str">
            <v>LA MADELEINE</v>
          </cell>
          <cell r="E99">
            <v>91</v>
          </cell>
          <cell r="F99" t="str">
            <v>NC NUMERICABLE ILE-DE-FRANCE</v>
          </cell>
          <cell r="G99" t="str">
            <v>VAD CONSEILLERS</v>
          </cell>
          <cell r="H99" t="str">
            <v>GUILLEMAN</v>
          </cell>
          <cell r="I99" t="str">
            <v>NPCA500001</v>
          </cell>
          <cell r="J99">
            <v>100</v>
          </cell>
          <cell r="K99">
            <v>38698</v>
          </cell>
          <cell r="L99" t="str">
            <v>CONSEILLER(E) COM.</v>
          </cell>
          <cell r="M99" t="str">
            <v>TSM</v>
          </cell>
          <cell r="N99" t="str">
            <v>D</v>
          </cell>
          <cell r="O99" t="str">
            <v>CDI</v>
          </cell>
          <cell r="P99">
            <v>151.57</v>
          </cell>
          <cell r="Q99">
            <v>1217.8800000000001</v>
          </cell>
          <cell r="R99">
            <v>1638.66</v>
          </cell>
          <cell r="S99">
            <v>0</v>
          </cell>
          <cell r="T99">
            <v>3160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471.46</v>
          </cell>
          <cell r="AO99">
            <v>0</v>
          </cell>
          <cell r="AP99">
            <v>0</v>
          </cell>
          <cell r="AQ99">
            <v>1217.8800000000001</v>
          </cell>
          <cell r="AR99">
            <v>0</v>
          </cell>
          <cell r="AS99">
            <v>0</v>
          </cell>
          <cell r="AT99">
            <v>0</v>
          </cell>
          <cell r="AU99">
            <v>0</v>
          </cell>
        </row>
        <row r="100">
          <cell r="A100" t="str">
            <v>000A1221</v>
          </cell>
          <cell r="B100" t="str">
            <v>YILDIRIM</v>
          </cell>
          <cell r="C100" t="str">
            <v>SERHAT</v>
          </cell>
          <cell r="D100" t="str">
            <v>VERSAILLES</v>
          </cell>
          <cell r="E100">
            <v>91</v>
          </cell>
          <cell r="F100" t="str">
            <v>NC NUMERICABLE ILE-DE-FRANCE</v>
          </cell>
          <cell r="G100" t="str">
            <v>VAD CONSEILLERS</v>
          </cell>
          <cell r="H100" t="str">
            <v>MAXIMIN-TARTARE</v>
          </cell>
          <cell r="I100" t="str">
            <v>IDFR500001</v>
          </cell>
          <cell r="J100">
            <v>100</v>
          </cell>
          <cell r="K100">
            <v>38649</v>
          </cell>
          <cell r="L100" t="str">
            <v>CONSEILLER(E) COM.</v>
          </cell>
          <cell r="M100" t="str">
            <v>TSM</v>
          </cell>
          <cell r="N100" t="str">
            <v>D</v>
          </cell>
          <cell r="O100" t="str">
            <v>CDI</v>
          </cell>
          <cell r="P100">
            <v>151.57</v>
          </cell>
          <cell r="Q100">
            <v>1217.8800000000001</v>
          </cell>
          <cell r="R100">
            <v>1327.93</v>
          </cell>
          <cell r="S100">
            <v>0</v>
          </cell>
          <cell r="T100">
            <v>2260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374.54</v>
          </cell>
          <cell r="AO100">
            <v>38.68</v>
          </cell>
          <cell r="AP100">
            <v>0</v>
          </cell>
          <cell r="AQ100">
            <v>1217.8800000000001</v>
          </cell>
          <cell r="AR100">
            <v>0</v>
          </cell>
          <cell r="AS100">
            <v>0</v>
          </cell>
          <cell r="AT100">
            <v>0</v>
          </cell>
          <cell r="AU100">
            <v>0</v>
          </cell>
        </row>
        <row r="101">
          <cell r="A101" t="str">
            <v>000A1733</v>
          </cell>
          <cell r="B101" t="str">
            <v>CUVELIER</v>
          </cell>
          <cell r="C101" t="str">
            <v>MAXENCE</v>
          </cell>
          <cell r="D101" t="str">
            <v>LA MADELEINE</v>
          </cell>
          <cell r="E101">
            <v>91</v>
          </cell>
          <cell r="F101" t="str">
            <v>NC NUMERICABLE ILE-DE-FRANCE</v>
          </cell>
          <cell r="G101" t="str">
            <v>VAD CONSEILLERS</v>
          </cell>
          <cell r="H101" t="str">
            <v>GUIONNET</v>
          </cell>
          <cell r="I101" t="str">
            <v>NPCA500001</v>
          </cell>
          <cell r="J101">
            <v>100</v>
          </cell>
          <cell r="K101">
            <v>38803</v>
          </cell>
          <cell r="L101" t="str">
            <v>CONSEILLER(E) COM.</v>
          </cell>
          <cell r="M101" t="str">
            <v>TSM</v>
          </cell>
          <cell r="N101" t="str">
            <v>D</v>
          </cell>
          <cell r="O101" t="str">
            <v>CDI</v>
          </cell>
          <cell r="P101">
            <v>151.57</v>
          </cell>
          <cell r="Q101">
            <v>0</v>
          </cell>
          <cell r="R101">
            <v>389.78</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1420.86</v>
          </cell>
          <cell r="AR101">
            <v>0</v>
          </cell>
          <cell r="AS101">
            <v>0</v>
          </cell>
          <cell r="AT101">
            <v>0</v>
          </cell>
          <cell r="AU101">
            <v>0</v>
          </cell>
        </row>
        <row r="102">
          <cell r="A102" t="str">
            <v>000A1429</v>
          </cell>
          <cell r="B102" t="str">
            <v>CORVIETTO</v>
          </cell>
          <cell r="C102" t="str">
            <v>JEREMY</v>
          </cell>
          <cell r="D102" t="str">
            <v>NICE</v>
          </cell>
          <cell r="E102">
            <v>91</v>
          </cell>
          <cell r="F102" t="str">
            <v>NC NUMERICABLE ILE-DE-FRANCE</v>
          </cell>
          <cell r="G102" t="str">
            <v>VAD CONSEILLERS</v>
          </cell>
          <cell r="H102" t="str">
            <v>DEPREEUW</v>
          </cell>
          <cell r="I102" t="str">
            <v>SUES500001</v>
          </cell>
          <cell r="J102">
            <v>100</v>
          </cell>
          <cell r="K102">
            <v>38747</v>
          </cell>
          <cell r="L102" t="str">
            <v>CONSEILLER(E) COM.</v>
          </cell>
          <cell r="M102" t="str">
            <v>TSM</v>
          </cell>
          <cell r="N102" t="str">
            <v>D</v>
          </cell>
          <cell r="O102" t="str">
            <v>CDI</v>
          </cell>
          <cell r="P102">
            <v>151.57</v>
          </cell>
          <cell r="Q102">
            <v>1299.07</v>
          </cell>
          <cell r="R102">
            <v>411.1</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100.56</v>
          </cell>
          <cell r="AO102">
            <v>0</v>
          </cell>
          <cell r="AP102">
            <v>0</v>
          </cell>
          <cell r="AQ102">
            <v>933.71</v>
          </cell>
          <cell r="AR102">
            <v>0</v>
          </cell>
          <cell r="AS102">
            <v>0</v>
          </cell>
          <cell r="AT102">
            <v>0</v>
          </cell>
          <cell r="AU102">
            <v>0</v>
          </cell>
        </row>
        <row r="103">
          <cell r="A103" t="str">
            <v>000A1714</v>
          </cell>
          <cell r="B103" t="str">
            <v>FAKIR</v>
          </cell>
          <cell r="C103" t="str">
            <v>FOUAD</v>
          </cell>
          <cell r="D103" t="str">
            <v>SIEGE</v>
          </cell>
          <cell r="E103">
            <v>91</v>
          </cell>
          <cell r="F103" t="str">
            <v>NC NUMERICABLE ILE-DE-FRANCE</v>
          </cell>
          <cell r="G103" t="str">
            <v>VAD CONSEILLERS</v>
          </cell>
          <cell r="H103" t="str">
            <v>ZERFAINE</v>
          </cell>
          <cell r="I103" t="str">
            <v>IDFR500001</v>
          </cell>
          <cell r="J103">
            <v>100</v>
          </cell>
          <cell r="K103">
            <v>38819</v>
          </cell>
          <cell r="L103" t="str">
            <v>CONSEILLER(E) COM.</v>
          </cell>
          <cell r="M103" t="str">
            <v>TSM</v>
          </cell>
          <cell r="N103" t="str">
            <v>D</v>
          </cell>
          <cell r="O103" t="str">
            <v>CDI</v>
          </cell>
          <cell r="P103">
            <v>151.57</v>
          </cell>
          <cell r="Q103">
            <v>0</v>
          </cell>
          <cell r="R103">
            <v>224.11</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771.32</v>
          </cell>
          <cell r="AR103">
            <v>0</v>
          </cell>
          <cell r="AS103">
            <v>0</v>
          </cell>
          <cell r="AT103">
            <v>0</v>
          </cell>
          <cell r="AU103">
            <v>0</v>
          </cell>
        </row>
        <row r="104">
          <cell r="A104" t="str">
            <v>000A1245</v>
          </cell>
          <cell r="B104" t="str">
            <v>BOTTO</v>
          </cell>
          <cell r="C104" t="str">
            <v>NATACHA</v>
          </cell>
          <cell r="D104" t="str">
            <v>ANGERS</v>
          </cell>
          <cell r="E104">
            <v>91</v>
          </cell>
          <cell r="F104" t="str">
            <v>NC NUMERICABLE ILE-DE-FRANCE</v>
          </cell>
          <cell r="G104" t="str">
            <v>VAD CONSEILLERS</v>
          </cell>
          <cell r="H104" t="str">
            <v>AIT-OUARET</v>
          </cell>
          <cell r="I104" t="str">
            <v>OUES500001</v>
          </cell>
          <cell r="J104">
            <v>100</v>
          </cell>
          <cell r="K104">
            <v>38663</v>
          </cell>
          <cell r="L104" t="str">
            <v>CONSEILLER(E) COM.</v>
          </cell>
          <cell r="M104" t="str">
            <v>TSM</v>
          </cell>
          <cell r="N104" t="str">
            <v>D</v>
          </cell>
          <cell r="O104" t="str">
            <v>CDI</v>
          </cell>
          <cell r="P104">
            <v>151.57</v>
          </cell>
          <cell r="Q104">
            <v>1217.8800000000001</v>
          </cell>
          <cell r="R104">
            <v>1165.95</v>
          </cell>
          <cell r="S104">
            <v>0</v>
          </cell>
          <cell r="T104">
            <v>1780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322.83999999999997</v>
          </cell>
          <cell r="AO104">
            <v>0</v>
          </cell>
          <cell r="AP104">
            <v>0</v>
          </cell>
          <cell r="AQ104">
            <v>1217.8800000000001</v>
          </cell>
          <cell r="AR104">
            <v>0</v>
          </cell>
          <cell r="AS104">
            <v>0</v>
          </cell>
          <cell r="AT104">
            <v>0</v>
          </cell>
          <cell r="AU104">
            <v>0</v>
          </cell>
        </row>
        <row r="105">
          <cell r="A105" t="str">
            <v>000A1041</v>
          </cell>
          <cell r="B105" t="str">
            <v>KREBS</v>
          </cell>
          <cell r="C105" t="str">
            <v>FRANCOIS</v>
          </cell>
          <cell r="D105" t="str">
            <v>BORDEAUX</v>
          </cell>
          <cell r="E105">
            <v>91</v>
          </cell>
          <cell r="F105" t="str">
            <v>NC NUMERICABLE ILE-DE-FRANCE</v>
          </cell>
          <cell r="G105" t="str">
            <v>VAD CONSEILLERS</v>
          </cell>
          <cell r="H105" t="str">
            <v>FERNANDEZ A</v>
          </cell>
          <cell r="I105" t="str">
            <v>SUOU500001</v>
          </cell>
          <cell r="J105">
            <v>100</v>
          </cell>
          <cell r="K105">
            <v>38628</v>
          </cell>
          <cell r="L105" t="str">
            <v>CONSEILLER(E) COM.</v>
          </cell>
          <cell r="M105" t="str">
            <v>TSM</v>
          </cell>
          <cell r="N105" t="str">
            <v>D</v>
          </cell>
          <cell r="O105" t="str">
            <v>CDI</v>
          </cell>
          <cell r="P105">
            <v>151.57</v>
          </cell>
          <cell r="Q105">
            <v>1217.8800000000001</v>
          </cell>
          <cell r="R105">
            <v>144.79</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78.790000000000006</v>
          </cell>
          <cell r="AO105">
            <v>0</v>
          </cell>
          <cell r="AP105">
            <v>0</v>
          </cell>
          <cell r="AQ105">
            <v>462.17</v>
          </cell>
          <cell r="AR105">
            <v>0</v>
          </cell>
          <cell r="AS105">
            <v>0</v>
          </cell>
          <cell r="AT105">
            <v>0</v>
          </cell>
          <cell r="AU105">
            <v>0</v>
          </cell>
        </row>
        <row r="106">
          <cell r="A106">
            <v>696</v>
          </cell>
          <cell r="B106" t="str">
            <v>DUPEBE</v>
          </cell>
          <cell r="C106" t="str">
            <v>THIERRY</v>
          </cell>
          <cell r="D106" t="str">
            <v>BORDEAUX</v>
          </cell>
          <cell r="E106">
            <v>91</v>
          </cell>
          <cell r="F106" t="str">
            <v>NC NUMERICABLE ILE-DE-FRANCE</v>
          </cell>
          <cell r="G106" t="str">
            <v>TRAVAUX</v>
          </cell>
          <cell r="H106" t="str">
            <v>GALERA</v>
          </cell>
          <cell r="I106" t="str">
            <v>SUOU300001</v>
          </cell>
          <cell r="J106">
            <v>100</v>
          </cell>
          <cell r="K106">
            <v>33560</v>
          </cell>
          <cell r="L106" t="str">
            <v>RESP. TECH.TRAV.</v>
          </cell>
          <cell r="M106" t="str">
            <v>CADRE</v>
          </cell>
          <cell r="N106" t="str">
            <v>E</v>
          </cell>
          <cell r="O106" t="str">
            <v>CDI</v>
          </cell>
          <cell r="P106">
            <v>151.57</v>
          </cell>
          <cell r="Q106">
            <v>3464</v>
          </cell>
          <cell r="R106">
            <v>2309.5700000000002</v>
          </cell>
          <cell r="S106">
            <v>0</v>
          </cell>
          <cell r="T106">
            <v>1000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497.21</v>
          </cell>
          <cell r="AO106">
            <v>0</v>
          </cell>
          <cell r="AP106">
            <v>0</v>
          </cell>
          <cell r="AQ106">
            <v>3304.15</v>
          </cell>
          <cell r="AR106">
            <v>0</v>
          </cell>
          <cell r="AS106">
            <v>0</v>
          </cell>
          <cell r="AT106">
            <v>0</v>
          </cell>
          <cell r="AU106">
            <v>0</v>
          </cell>
        </row>
        <row r="107">
          <cell r="A107" t="str">
            <v>000F0184</v>
          </cell>
          <cell r="B107" t="str">
            <v>CHAUVIN</v>
          </cell>
          <cell r="C107" t="str">
            <v>FRANCK</v>
          </cell>
          <cell r="D107" t="str">
            <v>NANTES</v>
          </cell>
          <cell r="E107">
            <v>91</v>
          </cell>
          <cell r="F107" t="str">
            <v>NC NUMERICABLE ILE-DE-FRANCE</v>
          </cell>
          <cell r="G107" t="str">
            <v>VAD CONSEILLERS</v>
          </cell>
          <cell r="I107" t="str">
            <v>GENE905001</v>
          </cell>
          <cell r="J107">
            <v>100</v>
          </cell>
          <cell r="K107">
            <v>34365</v>
          </cell>
          <cell r="L107" t="str">
            <v>CONSEILLER(E) COM.</v>
          </cell>
          <cell r="M107" t="str">
            <v>TSM</v>
          </cell>
          <cell r="N107" t="str">
            <v>D</v>
          </cell>
          <cell r="O107" t="str">
            <v>CDI</v>
          </cell>
          <cell r="P107">
            <v>151.57</v>
          </cell>
          <cell r="Q107">
            <v>1800</v>
          </cell>
          <cell r="R107">
            <v>334.93</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1700.64</v>
          </cell>
          <cell r="AN107">
            <v>193.84</v>
          </cell>
          <cell r="AO107">
            <v>1700.64</v>
          </cell>
          <cell r="AP107">
            <v>0</v>
          </cell>
          <cell r="AQ107">
            <v>1800</v>
          </cell>
          <cell r="AR107">
            <v>0</v>
          </cell>
          <cell r="AS107">
            <v>0</v>
          </cell>
          <cell r="AT107">
            <v>0</v>
          </cell>
          <cell r="AU107">
            <v>0</v>
          </cell>
        </row>
        <row r="108">
          <cell r="A108">
            <v>6171</v>
          </cell>
          <cell r="B108" t="str">
            <v>PERRET-GENTIL</v>
          </cell>
          <cell r="C108" t="str">
            <v>YVON</v>
          </cell>
          <cell r="D108" t="str">
            <v>LA MADELEINE</v>
          </cell>
          <cell r="E108">
            <v>91</v>
          </cell>
          <cell r="F108" t="str">
            <v>NC NUMERICABLE ILE-DE-FRANCE</v>
          </cell>
          <cell r="G108" t="str">
            <v>COLLECTIF</v>
          </cell>
          <cell r="H108" t="str">
            <v>LOTT</v>
          </cell>
          <cell r="I108" t="str">
            <v>NPCA510001</v>
          </cell>
          <cell r="J108">
            <v>100</v>
          </cell>
          <cell r="K108">
            <v>33451</v>
          </cell>
          <cell r="L108" t="str">
            <v>RESPONSABLE REGIONAL COLLECTIFS</v>
          </cell>
          <cell r="M108" t="str">
            <v>CADRE</v>
          </cell>
          <cell r="N108" t="str">
            <v>E</v>
          </cell>
          <cell r="O108" t="str">
            <v>CDI</v>
          </cell>
          <cell r="P108">
            <v>151.57</v>
          </cell>
          <cell r="Q108">
            <v>2100</v>
          </cell>
          <cell r="R108">
            <v>3115.55</v>
          </cell>
          <cell r="S108">
            <v>0</v>
          </cell>
          <cell r="T108">
            <v>1500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662.78</v>
          </cell>
          <cell r="AO108">
            <v>0</v>
          </cell>
          <cell r="AP108">
            <v>0</v>
          </cell>
          <cell r="AQ108">
            <v>4500</v>
          </cell>
          <cell r="AR108">
            <v>0</v>
          </cell>
          <cell r="AS108">
            <v>0</v>
          </cell>
          <cell r="AT108">
            <v>0</v>
          </cell>
          <cell r="AU108">
            <v>0</v>
          </cell>
        </row>
        <row r="109">
          <cell r="A109" t="str">
            <v>000F0282</v>
          </cell>
          <cell r="B109" t="str">
            <v>ROYER</v>
          </cell>
          <cell r="C109" t="str">
            <v>JEAN-PHILIPPE</v>
          </cell>
          <cell r="D109" t="str">
            <v>NANTES</v>
          </cell>
          <cell r="E109">
            <v>91</v>
          </cell>
          <cell r="F109" t="str">
            <v>NC NUMERICABLE ILE-DE-FRANCE</v>
          </cell>
          <cell r="G109" t="str">
            <v>VAD ANIMATEURS</v>
          </cell>
          <cell r="I109" t="str">
            <v>GENE905001</v>
          </cell>
          <cell r="J109">
            <v>100</v>
          </cell>
          <cell r="K109">
            <v>34932</v>
          </cell>
          <cell r="L109" t="str">
            <v>ANIMATEUR COM.</v>
          </cell>
          <cell r="M109" t="str">
            <v>CADRE</v>
          </cell>
          <cell r="N109" t="str">
            <v>DB</v>
          </cell>
          <cell r="O109" t="str">
            <v>CDI</v>
          </cell>
          <cell r="P109">
            <v>151.57</v>
          </cell>
          <cell r="Q109">
            <v>2199</v>
          </cell>
          <cell r="R109">
            <v>279.13</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2115</v>
          </cell>
          <cell r="AN109">
            <v>271.13</v>
          </cell>
          <cell r="AO109">
            <v>2115</v>
          </cell>
          <cell r="AP109">
            <v>0</v>
          </cell>
          <cell r="AQ109">
            <v>2199</v>
          </cell>
          <cell r="AR109">
            <v>0</v>
          </cell>
          <cell r="AS109">
            <v>0</v>
          </cell>
          <cell r="AT109">
            <v>0</v>
          </cell>
          <cell r="AU109">
            <v>0</v>
          </cell>
        </row>
        <row r="110">
          <cell r="A110" t="str">
            <v>000A0193</v>
          </cell>
          <cell r="B110" t="str">
            <v>LAPLANCHE</v>
          </cell>
          <cell r="C110" t="str">
            <v>PAUL</v>
          </cell>
          <cell r="D110" t="str">
            <v>REIMS</v>
          </cell>
          <cell r="E110">
            <v>91</v>
          </cell>
          <cell r="F110" t="str">
            <v>NC NUMERICABLE ILE-DE-FRANCE</v>
          </cell>
          <cell r="G110" t="str">
            <v>NOC</v>
          </cell>
          <cell r="H110" t="str">
            <v>KAMINSKI</v>
          </cell>
          <cell r="I110" t="str">
            <v>GENE905001</v>
          </cell>
          <cell r="J110">
            <v>100</v>
          </cell>
          <cell r="K110">
            <v>32540</v>
          </cell>
          <cell r="L110" t="str">
            <v>RESP. TECH. SUPPORT</v>
          </cell>
          <cell r="M110" t="str">
            <v>CADRE</v>
          </cell>
          <cell r="N110" t="str">
            <v>E</v>
          </cell>
          <cell r="O110" t="str">
            <v>CDI</v>
          </cell>
          <cell r="P110">
            <v>151.57</v>
          </cell>
          <cell r="Q110">
            <v>3249</v>
          </cell>
          <cell r="R110">
            <v>1820.82</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370.27</v>
          </cell>
          <cell r="AO110">
            <v>0</v>
          </cell>
          <cell r="AP110">
            <v>0</v>
          </cell>
          <cell r="AQ110">
            <v>3249</v>
          </cell>
          <cell r="AR110">
            <v>0</v>
          </cell>
          <cell r="AS110">
            <v>0</v>
          </cell>
          <cell r="AT110">
            <v>0</v>
          </cell>
          <cell r="AU110">
            <v>0</v>
          </cell>
        </row>
        <row r="111">
          <cell r="A111" t="str">
            <v>000BB361</v>
          </cell>
          <cell r="B111" t="str">
            <v>BERGER</v>
          </cell>
          <cell r="C111" t="str">
            <v>SYLVIE</v>
          </cell>
          <cell r="D111" t="str">
            <v>LYON CATN</v>
          </cell>
          <cell r="E111">
            <v>91</v>
          </cell>
          <cell r="F111" t="str">
            <v>NC NUMERICABLE ILE-DE-FRANCE</v>
          </cell>
          <cell r="G111" t="str">
            <v>CATN SUPERVISEUR</v>
          </cell>
          <cell r="H111" t="str">
            <v>BRUNEL M</v>
          </cell>
          <cell r="I111" t="str">
            <v>CLIE411001</v>
          </cell>
          <cell r="J111">
            <v>100</v>
          </cell>
          <cell r="K111">
            <v>36381</v>
          </cell>
          <cell r="L111" t="str">
            <v>SUPERVISEUR CLT NIV 2</v>
          </cell>
          <cell r="M111" t="str">
            <v>CADRE</v>
          </cell>
          <cell r="N111" t="str">
            <v>DB</v>
          </cell>
          <cell r="O111" t="str">
            <v>CDI</v>
          </cell>
          <cell r="P111">
            <v>151.57</v>
          </cell>
          <cell r="Q111">
            <v>2026</v>
          </cell>
          <cell r="R111">
            <v>3067.05</v>
          </cell>
          <cell r="S111">
            <v>0</v>
          </cell>
          <cell r="T111">
            <v>0</v>
          </cell>
          <cell r="U111">
            <v>0</v>
          </cell>
          <cell r="V111">
            <v>0</v>
          </cell>
          <cell r="W111">
            <v>278.18</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799.67</v>
          </cell>
          <cell r="AO111">
            <v>0</v>
          </cell>
          <cell r="AP111">
            <v>0</v>
          </cell>
          <cell r="AQ111">
            <v>6370.21</v>
          </cell>
          <cell r="AR111">
            <v>0</v>
          </cell>
          <cell r="AS111">
            <v>0</v>
          </cell>
          <cell r="AT111">
            <v>0</v>
          </cell>
          <cell r="AU111">
            <v>0</v>
          </cell>
        </row>
        <row r="112">
          <cell r="A112">
            <v>6214</v>
          </cell>
          <cell r="B112" t="str">
            <v>HAMMOUDI</v>
          </cell>
          <cell r="C112" t="str">
            <v>SAID</v>
          </cell>
          <cell r="D112" t="str">
            <v>LA MADELEINE</v>
          </cell>
          <cell r="E112">
            <v>91</v>
          </cell>
          <cell r="F112" t="str">
            <v>NC NUMERICABLE ILE-DE-FRANCE</v>
          </cell>
          <cell r="G112" t="str">
            <v>RACCORDEMENT IMMOB STC.</v>
          </cell>
          <cell r="H112" t="str">
            <v>LOTT</v>
          </cell>
          <cell r="I112" t="str">
            <v>NPCA302001</v>
          </cell>
          <cell r="J112">
            <v>100</v>
          </cell>
          <cell r="K112">
            <v>33451</v>
          </cell>
          <cell r="L112" t="str">
            <v>RESP.TECH.CLIENTELE</v>
          </cell>
          <cell r="M112" t="str">
            <v>CADRE</v>
          </cell>
          <cell r="N112" t="str">
            <v>E</v>
          </cell>
          <cell r="O112" t="str">
            <v>CDI</v>
          </cell>
          <cell r="P112">
            <v>151.57</v>
          </cell>
          <cell r="Q112">
            <v>2808</v>
          </cell>
          <cell r="R112">
            <v>1645.78</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342.28</v>
          </cell>
          <cell r="AO112">
            <v>0</v>
          </cell>
          <cell r="AP112">
            <v>0</v>
          </cell>
          <cell r="AQ112">
            <v>2808</v>
          </cell>
          <cell r="AR112">
            <v>0</v>
          </cell>
          <cell r="AS112">
            <v>0</v>
          </cell>
          <cell r="AT112">
            <v>0</v>
          </cell>
          <cell r="AU112">
            <v>0</v>
          </cell>
        </row>
        <row r="113">
          <cell r="A113" t="str">
            <v>000A1682</v>
          </cell>
          <cell r="B113" t="str">
            <v>TOUMI</v>
          </cell>
          <cell r="C113" t="str">
            <v>SALEM</v>
          </cell>
          <cell r="D113" t="str">
            <v>TOURS</v>
          </cell>
          <cell r="E113">
            <v>91</v>
          </cell>
          <cell r="F113" t="str">
            <v>NC NUMERICABLE ILE-DE-FRANCE</v>
          </cell>
          <cell r="G113" t="str">
            <v>VAD CONSEILLERS</v>
          </cell>
          <cell r="H113" t="str">
            <v>JAUD</v>
          </cell>
          <cell r="I113" t="str">
            <v>RHON500001</v>
          </cell>
          <cell r="J113">
            <v>100</v>
          </cell>
          <cell r="K113">
            <v>38796</v>
          </cell>
          <cell r="L113" t="str">
            <v>CONSEILLER(E) COM.</v>
          </cell>
          <cell r="M113" t="str">
            <v>TSM</v>
          </cell>
          <cell r="N113" t="str">
            <v>D</v>
          </cell>
          <cell r="O113" t="str">
            <v>CDI</v>
          </cell>
          <cell r="P113">
            <v>151.57</v>
          </cell>
          <cell r="Q113">
            <v>0</v>
          </cell>
          <cell r="R113">
            <v>416.31</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1705.03</v>
          </cell>
          <cell r="AR113">
            <v>0</v>
          </cell>
          <cell r="AS113">
            <v>0</v>
          </cell>
          <cell r="AT113">
            <v>0</v>
          </cell>
          <cell r="AU113">
            <v>0</v>
          </cell>
        </row>
        <row r="114">
          <cell r="A114" t="str">
            <v>000A1687</v>
          </cell>
          <cell r="B114" t="str">
            <v>MARIE LUCE</v>
          </cell>
          <cell r="C114" t="str">
            <v>JEAN CLAUDE</v>
          </cell>
          <cell r="D114" t="str">
            <v>MARSEILLE</v>
          </cell>
          <cell r="E114">
            <v>91</v>
          </cell>
          <cell r="F114" t="str">
            <v>NC NUMERICABLE ILE-DE-FRANCE</v>
          </cell>
          <cell r="G114" t="str">
            <v>VAD CONSEILLERS</v>
          </cell>
          <cell r="H114" t="str">
            <v>VIVIN</v>
          </cell>
          <cell r="I114" t="str">
            <v>SUES500001</v>
          </cell>
          <cell r="J114">
            <v>100</v>
          </cell>
          <cell r="K114">
            <v>38803</v>
          </cell>
          <cell r="L114" t="str">
            <v>CONSEILLER(E) COM.</v>
          </cell>
          <cell r="M114" t="str">
            <v>TSM</v>
          </cell>
          <cell r="N114" t="str">
            <v>D</v>
          </cell>
          <cell r="O114" t="str">
            <v>CDI</v>
          </cell>
          <cell r="P114">
            <v>151.57</v>
          </cell>
          <cell r="Q114">
            <v>0</v>
          </cell>
          <cell r="R114">
            <v>166.64</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365.36</v>
          </cell>
          <cell r="AR114">
            <v>0</v>
          </cell>
          <cell r="AS114">
            <v>0</v>
          </cell>
          <cell r="AT114">
            <v>0</v>
          </cell>
          <cell r="AU114">
            <v>0</v>
          </cell>
        </row>
        <row r="115">
          <cell r="A115" t="str">
            <v>000A1444</v>
          </cell>
          <cell r="B115" t="str">
            <v>CORNAND</v>
          </cell>
          <cell r="C115" t="str">
            <v>RAMON</v>
          </cell>
          <cell r="D115" t="str">
            <v>BAB</v>
          </cell>
          <cell r="E115">
            <v>91</v>
          </cell>
          <cell r="F115" t="str">
            <v>NC NUMERICABLE ILE-DE-FRANCE</v>
          </cell>
          <cell r="G115" t="str">
            <v>VAD CONSEILLERS</v>
          </cell>
          <cell r="H115" t="str">
            <v>GALERA</v>
          </cell>
          <cell r="I115" t="str">
            <v>SUOU500001</v>
          </cell>
          <cell r="J115">
            <v>100</v>
          </cell>
          <cell r="K115">
            <v>38747</v>
          </cell>
          <cell r="L115" t="str">
            <v>CONSEILLER(E) COM.</v>
          </cell>
          <cell r="M115" t="str">
            <v>TSM</v>
          </cell>
          <cell r="N115" t="str">
            <v>D</v>
          </cell>
          <cell r="O115" t="str">
            <v>CDI</v>
          </cell>
          <cell r="P115">
            <v>151.57</v>
          </cell>
          <cell r="Q115">
            <v>1299.07</v>
          </cell>
          <cell r="R115">
            <v>445.05</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131.16</v>
          </cell>
          <cell r="AO115">
            <v>0</v>
          </cell>
          <cell r="AP115">
            <v>0</v>
          </cell>
          <cell r="AQ115">
            <v>1217.8800000000001</v>
          </cell>
          <cell r="AR115">
            <v>0</v>
          </cell>
          <cell r="AS115">
            <v>0</v>
          </cell>
          <cell r="AT115">
            <v>0</v>
          </cell>
          <cell r="AU115">
            <v>0</v>
          </cell>
        </row>
        <row r="116">
          <cell r="A116" t="str">
            <v>000A1749</v>
          </cell>
          <cell r="B116" t="str">
            <v>BURNY</v>
          </cell>
          <cell r="C116" t="str">
            <v>VALERIE</v>
          </cell>
          <cell r="D116" t="str">
            <v>SIEGE</v>
          </cell>
          <cell r="E116">
            <v>91</v>
          </cell>
          <cell r="F116" t="str">
            <v>NC NUMERICABLE ILE-DE-FRANCE</v>
          </cell>
          <cell r="G116" t="str">
            <v>DIRECTION RESS HUM</v>
          </cell>
          <cell r="H116" t="str">
            <v>DUPERIER</v>
          </cell>
          <cell r="I116" t="str">
            <v>GENE703001</v>
          </cell>
          <cell r="J116">
            <v>100</v>
          </cell>
          <cell r="K116">
            <v>38831</v>
          </cell>
          <cell r="L116" t="str">
            <v>ADJOINTE RESP. CELLULE PAIE</v>
          </cell>
          <cell r="M116" t="str">
            <v>461E</v>
          </cell>
          <cell r="N116" t="str">
            <v>DB</v>
          </cell>
          <cell r="O116" t="str">
            <v>CDI</v>
          </cell>
          <cell r="P116">
            <v>151.57</v>
          </cell>
          <cell r="Q116">
            <v>0</v>
          </cell>
          <cell r="R116">
            <v>311.64</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700</v>
          </cell>
          <cell r="AR116">
            <v>0</v>
          </cell>
          <cell r="AS116">
            <v>0</v>
          </cell>
          <cell r="AT116">
            <v>0</v>
          </cell>
          <cell r="AU116">
            <v>0</v>
          </cell>
        </row>
        <row r="117">
          <cell r="A117" t="str">
            <v>000A1632</v>
          </cell>
          <cell r="B117" t="str">
            <v>DUBOS</v>
          </cell>
          <cell r="C117" t="str">
            <v>JULIE</v>
          </cell>
          <cell r="D117" t="str">
            <v>ROUEN</v>
          </cell>
          <cell r="E117">
            <v>91</v>
          </cell>
          <cell r="F117" t="str">
            <v>NC NUMERICABLE ILE-DE-FRANCE</v>
          </cell>
          <cell r="G117" t="str">
            <v>VAD CONSEILLERS</v>
          </cell>
          <cell r="H117" t="str">
            <v>JAUD</v>
          </cell>
          <cell r="I117" t="str">
            <v>OUES500001</v>
          </cell>
          <cell r="J117">
            <v>100</v>
          </cell>
          <cell r="K117">
            <v>38782</v>
          </cell>
          <cell r="L117" t="str">
            <v>CONSEILLER(E) COM.</v>
          </cell>
          <cell r="M117" t="str">
            <v>TSM</v>
          </cell>
          <cell r="N117" t="str">
            <v>D</v>
          </cell>
          <cell r="O117" t="str">
            <v>CDI</v>
          </cell>
          <cell r="P117">
            <v>151.57</v>
          </cell>
          <cell r="Q117">
            <v>0</v>
          </cell>
          <cell r="R117">
            <v>489.75</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112.5</v>
          </cell>
          <cell r="AM117">
            <v>0</v>
          </cell>
          <cell r="AN117">
            <v>244.83</v>
          </cell>
          <cell r="AO117">
            <v>0</v>
          </cell>
          <cell r="AP117">
            <v>0</v>
          </cell>
          <cell r="AQ117">
            <v>1217.8800000000001</v>
          </cell>
          <cell r="AR117">
            <v>112.5</v>
          </cell>
          <cell r="AS117">
            <v>0</v>
          </cell>
          <cell r="AT117">
            <v>0</v>
          </cell>
          <cell r="AU117">
            <v>0</v>
          </cell>
        </row>
        <row r="118">
          <cell r="A118" t="str">
            <v>000A1741</v>
          </cell>
          <cell r="B118" t="str">
            <v>DENIAUD</v>
          </cell>
          <cell r="C118" t="str">
            <v>SONIA</v>
          </cell>
          <cell r="D118" t="str">
            <v>SIEGE</v>
          </cell>
          <cell r="E118">
            <v>91</v>
          </cell>
          <cell r="F118" t="str">
            <v>NC NUMERICABLE ILE-DE-FRANCE</v>
          </cell>
          <cell r="G118" t="str">
            <v>MARKETING</v>
          </cell>
          <cell r="H118" t="str">
            <v>ABI ABDALLAH</v>
          </cell>
          <cell r="I118" t="str">
            <v>GENE546001</v>
          </cell>
          <cell r="J118">
            <v>100</v>
          </cell>
          <cell r="K118">
            <v>38825</v>
          </cell>
          <cell r="L118" t="str">
            <v>CHAR. MARKET. DIRECT</v>
          </cell>
          <cell r="M118" t="str">
            <v>375B</v>
          </cell>
          <cell r="N118">
            <v>0</v>
          </cell>
          <cell r="O118" t="str">
            <v>CDD</v>
          </cell>
          <cell r="P118">
            <v>151.57</v>
          </cell>
          <cell r="Q118">
            <v>0</v>
          </cell>
          <cell r="R118">
            <v>478.57</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23.61</v>
          </cell>
          <cell r="AP118">
            <v>0</v>
          </cell>
          <cell r="AQ118">
            <v>1018.34</v>
          </cell>
          <cell r="AR118">
            <v>0</v>
          </cell>
          <cell r="AS118">
            <v>0</v>
          </cell>
          <cell r="AT118">
            <v>0</v>
          </cell>
          <cell r="AU118">
            <v>0</v>
          </cell>
        </row>
        <row r="119">
          <cell r="A119" t="str">
            <v>000A1225</v>
          </cell>
          <cell r="B119" t="str">
            <v>AKO-NAI</v>
          </cell>
          <cell r="C119" t="str">
            <v>CARINE</v>
          </cell>
          <cell r="D119" t="str">
            <v>VERSAILLES</v>
          </cell>
          <cell r="E119">
            <v>91</v>
          </cell>
          <cell r="F119" t="str">
            <v>NC NUMERICABLE ILE-DE-FRANCE</v>
          </cell>
          <cell r="G119" t="str">
            <v>VAD CONSEILLERS</v>
          </cell>
          <cell r="H119" t="str">
            <v>FERRADJ</v>
          </cell>
          <cell r="I119" t="str">
            <v>IDFR500001</v>
          </cell>
          <cell r="J119">
            <v>100</v>
          </cell>
          <cell r="K119">
            <v>38649</v>
          </cell>
          <cell r="L119" t="str">
            <v>CONSEILLER(E) COM.</v>
          </cell>
          <cell r="M119" t="str">
            <v>TSM</v>
          </cell>
          <cell r="N119" t="str">
            <v>D</v>
          </cell>
          <cell r="O119" t="str">
            <v>CDI</v>
          </cell>
          <cell r="P119">
            <v>151.57</v>
          </cell>
          <cell r="Q119">
            <v>1217.8800000000001</v>
          </cell>
          <cell r="R119">
            <v>1219.6199999999999</v>
          </cell>
          <cell r="S119">
            <v>0</v>
          </cell>
          <cell r="T119">
            <v>2520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348.88</v>
          </cell>
          <cell r="AO119">
            <v>0</v>
          </cell>
          <cell r="AP119">
            <v>0</v>
          </cell>
          <cell r="AQ119">
            <v>719.66</v>
          </cell>
          <cell r="AR119">
            <v>0</v>
          </cell>
          <cell r="AS119">
            <v>0</v>
          </cell>
          <cell r="AT119">
            <v>0</v>
          </cell>
          <cell r="AU119">
            <v>0</v>
          </cell>
        </row>
        <row r="120">
          <cell r="A120" t="str">
            <v>000A1105</v>
          </cell>
          <cell r="B120" t="str">
            <v>ETELIN</v>
          </cell>
          <cell r="C120" t="str">
            <v>DAVID</v>
          </cell>
          <cell r="D120" t="str">
            <v>ROUEN</v>
          </cell>
          <cell r="E120">
            <v>91</v>
          </cell>
          <cell r="F120" t="str">
            <v>NC NUMERICABLE ILE-DE-FRANCE</v>
          </cell>
          <cell r="G120" t="str">
            <v>VAD CONSEILLERS</v>
          </cell>
          <cell r="H120" t="str">
            <v>JAUD</v>
          </cell>
          <cell r="I120" t="str">
            <v>OUES500001</v>
          </cell>
          <cell r="J120">
            <v>100</v>
          </cell>
          <cell r="K120">
            <v>38635</v>
          </cell>
          <cell r="L120" t="str">
            <v>CONSEILLER(E) COM.</v>
          </cell>
          <cell r="M120" t="str">
            <v>TSM</v>
          </cell>
          <cell r="N120" t="str">
            <v>D</v>
          </cell>
          <cell r="O120" t="str">
            <v>CDI</v>
          </cell>
          <cell r="P120">
            <v>151.57</v>
          </cell>
          <cell r="Q120">
            <v>1217.8800000000001</v>
          </cell>
          <cell r="R120">
            <v>477.3</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34.97</v>
          </cell>
          <cell r="AO120">
            <v>0</v>
          </cell>
          <cell r="AP120">
            <v>0</v>
          </cell>
          <cell r="AQ120">
            <v>324.77</v>
          </cell>
          <cell r="AR120">
            <v>0</v>
          </cell>
          <cell r="AS120">
            <v>0</v>
          </cell>
          <cell r="AT120">
            <v>0</v>
          </cell>
          <cell r="AU120">
            <v>0</v>
          </cell>
        </row>
        <row r="121">
          <cell r="A121" t="str">
            <v>000A1731</v>
          </cell>
          <cell r="B121" t="str">
            <v>VERHOYE</v>
          </cell>
          <cell r="C121" t="str">
            <v>ESTELLE</v>
          </cell>
          <cell r="D121" t="str">
            <v>LA MADELEINE</v>
          </cell>
          <cell r="E121">
            <v>91</v>
          </cell>
          <cell r="F121" t="str">
            <v>NC NUMERICABLE ILE-DE-FRANCE</v>
          </cell>
          <cell r="G121" t="str">
            <v>VAD CONSEILLERS</v>
          </cell>
          <cell r="H121" t="str">
            <v>GUIONNET</v>
          </cell>
          <cell r="I121" t="str">
            <v>NPCA500001</v>
          </cell>
          <cell r="J121">
            <v>100</v>
          </cell>
          <cell r="K121">
            <v>38803</v>
          </cell>
          <cell r="L121" t="str">
            <v>CONSEILLER(E) COM.</v>
          </cell>
          <cell r="M121" t="str">
            <v>TSM</v>
          </cell>
          <cell r="N121" t="str">
            <v>D</v>
          </cell>
          <cell r="O121" t="str">
            <v>CDI</v>
          </cell>
          <cell r="P121">
            <v>151.57</v>
          </cell>
          <cell r="Q121">
            <v>0</v>
          </cell>
          <cell r="R121">
            <v>389.78</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1420.86</v>
          </cell>
          <cell r="AR121">
            <v>0</v>
          </cell>
          <cell r="AS121">
            <v>0</v>
          </cell>
          <cell r="AT121">
            <v>0</v>
          </cell>
          <cell r="AU121">
            <v>0</v>
          </cell>
        </row>
        <row r="122">
          <cell r="A122" t="str">
            <v>000A1173</v>
          </cell>
          <cell r="B122" t="str">
            <v>MESSINA</v>
          </cell>
          <cell r="C122" t="str">
            <v>EMMANUEL</v>
          </cell>
          <cell r="D122" t="str">
            <v>METZ</v>
          </cell>
          <cell r="E122">
            <v>91</v>
          </cell>
          <cell r="F122" t="str">
            <v>NC NUMERICABLE ILE-DE-FRANCE</v>
          </cell>
          <cell r="G122" t="str">
            <v>VAD CONSEILLERS</v>
          </cell>
          <cell r="H122" t="str">
            <v>YAICI</v>
          </cell>
          <cell r="I122" t="str">
            <v>ESTR500001</v>
          </cell>
          <cell r="J122">
            <v>100</v>
          </cell>
          <cell r="K122">
            <v>38652</v>
          </cell>
          <cell r="L122" t="str">
            <v>CONSEILLER(E) COM.</v>
          </cell>
          <cell r="M122" t="str">
            <v>TSM</v>
          </cell>
          <cell r="N122" t="str">
            <v>D</v>
          </cell>
          <cell r="O122" t="str">
            <v>CDI</v>
          </cell>
          <cell r="P122">
            <v>151.57</v>
          </cell>
          <cell r="Q122">
            <v>1217.8800000000001</v>
          </cell>
          <cell r="R122">
            <v>426.79</v>
          </cell>
          <cell r="S122">
            <v>0</v>
          </cell>
          <cell r="T122">
            <v>823.48</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219.84</v>
          </cell>
          <cell r="AO122">
            <v>0</v>
          </cell>
          <cell r="AP122">
            <v>0</v>
          </cell>
          <cell r="AQ122">
            <v>1217.8800000000001</v>
          </cell>
          <cell r="AR122">
            <v>0</v>
          </cell>
          <cell r="AS122">
            <v>0</v>
          </cell>
          <cell r="AT122">
            <v>0</v>
          </cell>
          <cell r="AU122">
            <v>0</v>
          </cell>
        </row>
        <row r="123">
          <cell r="A123" t="str">
            <v>000A1085</v>
          </cell>
          <cell r="B123" t="str">
            <v>FERREIRA DA COSTA</v>
          </cell>
          <cell r="C123" t="str">
            <v>CYRIL</v>
          </cell>
          <cell r="D123" t="str">
            <v>RENNES</v>
          </cell>
          <cell r="E123">
            <v>91</v>
          </cell>
          <cell r="F123" t="str">
            <v>NC NUMERICABLE ILE-DE-FRANCE</v>
          </cell>
          <cell r="G123" t="str">
            <v>VAD CONSEILLERS</v>
          </cell>
          <cell r="H123" t="str">
            <v>DIGUE</v>
          </cell>
          <cell r="I123" t="str">
            <v>OUES500001</v>
          </cell>
          <cell r="J123">
            <v>100</v>
          </cell>
          <cell r="K123">
            <v>38635</v>
          </cell>
          <cell r="L123" t="str">
            <v>CONSEILLER(E) COM.</v>
          </cell>
          <cell r="M123" t="str">
            <v>TSM</v>
          </cell>
          <cell r="N123" t="str">
            <v>D</v>
          </cell>
          <cell r="O123" t="str">
            <v>CDI</v>
          </cell>
          <cell r="P123">
            <v>151.57</v>
          </cell>
          <cell r="Q123">
            <v>1217.8800000000001</v>
          </cell>
          <cell r="R123">
            <v>532.28</v>
          </cell>
          <cell r="S123">
            <v>0</v>
          </cell>
          <cell r="T123">
            <v>700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197.79</v>
          </cell>
          <cell r="AO123">
            <v>0</v>
          </cell>
          <cell r="AP123">
            <v>0</v>
          </cell>
          <cell r="AQ123">
            <v>1136.69</v>
          </cell>
          <cell r="AR123">
            <v>0</v>
          </cell>
          <cell r="AS123">
            <v>0</v>
          </cell>
          <cell r="AT123">
            <v>0</v>
          </cell>
          <cell r="AU123">
            <v>0</v>
          </cell>
        </row>
        <row r="124">
          <cell r="A124" t="str">
            <v>000BB404</v>
          </cell>
          <cell r="B124" t="str">
            <v>BRIN</v>
          </cell>
          <cell r="C124" t="str">
            <v>LAURENT</v>
          </cell>
          <cell r="D124" t="str">
            <v>REIMS</v>
          </cell>
          <cell r="E124">
            <v>11</v>
          </cell>
          <cell r="F124" t="str">
            <v>NC NUMERICABLE CHAMPAGNE</v>
          </cell>
          <cell r="G124" t="str">
            <v>VAD CONSEILLERS</v>
          </cell>
          <cell r="I124" t="str">
            <v>GENE905001</v>
          </cell>
          <cell r="J124">
            <v>100</v>
          </cell>
          <cell r="K124">
            <v>38064</v>
          </cell>
          <cell r="L124" t="str">
            <v>CONSEILLER(E) COM.</v>
          </cell>
          <cell r="M124" t="str">
            <v>TSM</v>
          </cell>
          <cell r="N124" t="str">
            <v>D</v>
          </cell>
          <cell r="O124" t="str">
            <v>CDI</v>
          </cell>
          <cell r="P124">
            <v>151.57</v>
          </cell>
          <cell r="Q124">
            <v>1192</v>
          </cell>
          <cell r="R124">
            <v>-283.33999999999997</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-588.19000000000005</v>
          </cell>
          <cell r="AN124">
            <v>262.89</v>
          </cell>
          <cell r="AO124">
            <v>16049.09</v>
          </cell>
          <cell r="AP124">
            <v>0</v>
          </cell>
          <cell r="AQ124">
            <v>330.04</v>
          </cell>
          <cell r="AR124">
            <v>0</v>
          </cell>
          <cell r="AS124">
            <v>0</v>
          </cell>
          <cell r="AT124">
            <v>0</v>
          </cell>
          <cell r="AU124">
            <v>0</v>
          </cell>
        </row>
        <row r="125">
          <cell r="A125" t="str">
            <v>000A1234</v>
          </cell>
          <cell r="B125" t="str">
            <v>SELLAMI</v>
          </cell>
          <cell r="C125" t="str">
            <v>PASCAL</v>
          </cell>
          <cell r="D125" t="str">
            <v>VERSAILLES</v>
          </cell>
          <cell r="E125">
            <v>91</v>
          </cell>
          <cell r="F125" t="str">
            <v>NC NUMERICABLE ILE-DE-FRANCE</v>
          </cell>
          <cell r="G125" t="str">
            <v>VAD ANIMATEURS</v>
          </cell>
          <cell r="H125" t="str">
            <v>ZERFAINE</v>
          </cell>
          <cell r="I125" t="str">
            <v>IDFR500001</v>
          </cell>
          <cell r="J125">
            <v>100</v>
          </cell>
          <cell r="K125">
            <v>38658</v>
          </cell>
          <cell r="L125" t="str">
            <v>ANIMATEUR COM.</v>
          </cell>
          <cell r="M125" t="str">
            <v>CADRE</v>
          </cell>
          <cell r="N125" t="str">
            <v>DB</v>
          </cell>
          <cell r="O125" t="str">
            <v>CDI</v>
          </cell>
          <cell r="P125">
            <v>151.57</v>
          </cell>
          <cell r="Q125">
            <v>1800</v>
          </cell>
          <cell r="R125">
            <v>2229.88</v>
          </cell>
          <cell r="S125">
            <v>0</v>
          </cell>
          <cell r="T125">
            <v>2450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457.69</v>
          </cell>
          <cell r="AO125">
            <v>0</v>
          </cell>
          <cell r="AP125">
            <v>0</v>
          </cell>
          <cell r="AQ125">
            <v>1800</v>
          </cell>
          <cell r="AR125">
            <v>0</v>
          </cell>
          <cell r="AS125">
            <v>0</v>
          </cell>
          <cell r="AT125">
            <v>0</v>
          </cell>
          <cell r="AU125">
            <v>0</v>
          </cell>
        </row>
        <row r="126">
          <cell r="A126" t="str">
            <v>000A1582</v>
          </cell>
          <cell r="B126" t="str">
            <v>JAQUET</v>
          </cell>
          <cell r="C126" t="str">
            <v>PATRICK</v>
          </cell>
          <cell r="D126" t="str">
            <v>NICE</v>
          </cell>
          <cell r="E126">
            <v>91</v>
          </cell>
          <cell r="F126" t="str">
            <v>NC NUMERICABLE ILE-DE-FRANCE</v>
          </cell>
          <cell r="G126" t="str">
            <v>VAD CONSEILLERS</v>
          </cell>
          <cell r="H126" t="str">
            <v>VIVIN</v>
          </cell>
          <cell r="I126" t="str">
            <v>SUES500001</v>
          </cell>
          <cell r="J126">
            <v>100</v>
          </cell>
          <cell r="K126">
            <v>38775</v>
          </cell>
          <cell r="L126" t="str">
            <v>CONSEILLER(E) COM.</v>
          </cell>
          <cell r="M126" t="str">
            <v>TSM</v>
          </cell>
          <cell r="N126" t="str">
            <v>D</v>
          </cell>
          <cell r="O126" t="str">
            <v>CDI</v>
          </cell>
          <cell r="P126">
            <v>151.57</v>
          </cell>
          <cell r="Q126">
            <v>0</v>
          </cell>
          <cell r="R126">
            <v>118.92</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213.04</v>
          </cell>
          <cell r="AO126">
            <v>0</v>
          </cell>
          <cell r="AP126">
            <v>0</v>
          </cell>
          <cell r="AQ126">
            <v>56.2</v>
          </cell>
          <cell r="AR126">
            <v>0</v>
          </cell>
          <cell r="AS126">
            <v>0</v>
          </cell>
          <cell r="AT126">
            <v>0</v>
          </cell>
          <cell r="AU126">
            <v>0</v>
          </cell>
        </row>
        <row r="127">
          <cell r="A127" t="str">
            <v>000A1476</v>
          </cell>
          <cell r="B127" t="str">
            <v>CHARTIER</v>
          </cell>
          <cell r="C127" t="str">
            <v>NAIMA</v>
          </cell>
          <cell r="D127" t="str">
            <v>LYON CATN</v>
          </cell>
          <cell r="E127">
            <v>91</v>
          </cell>
          <cell r="F127" t="str">
            <v>NC NUMERICABLE ILE-DE-FRANCE</v>
          </cell>
          <cell r="G127" t="str">
            <v>CATN SUPERVISEUR</v>
          </cell>
          <cell r="H127" t="str">
            <v>ANTONIN</v>
          </cell>
          <cell r="I127" t="str">
            <v>CLIE400001</v>
          </cell>
          <cell r="J127">
            <v>100</v>
          </cell>
          <cell r="K127">
            <v>38754</v>
          </cell>
          <cell r="L127" t="str">
            <v>SUPERVISEUR CLT NIV 2</v>
          </cell>
          <cell r="M127" t="str">
            <v>CADRE</v>
          </cell>
          <cell r="N127" t="str">
            <v>DB</v>
          </cell>
          <cell r="O127" t="str">
            <v>CDI</v>
          </cell>
          <cell r="P127">
            <v>151.57</v>
          </cell>
          <cell r="Q127">
            <v>2666.67</v>
          </cell>
          <cell r="R127">
            <v>1676.33</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794.53</v>
          </cell>
          <cell r="AO127">
            <v>0</v>
          </cell>
          <cell r="AP127">
            <v>0</v>
          </cell>
          <cell r="AQ127">
            <v>2666.67</v>
          </cell>
          <cell r="AR127">
            <v>0</v>
          </cell>
          <cell r="AS127">
            <v>0</v>
          </cell>
          <cell r="AT127">
            <v>0</v>
          </cell>
          <cell r="AU127">
            <v>0</v>
          </cell>
        </row>
        <row r="128">
          <cell r="A128" t="str">
            <v>000A1677</v>
          </cell>
          <cell r="B128" t="str">
            <v>SERBOUT</v>
          </cell>
          <cell r="C128" t="str">
            <v>SAID</v>
          </cell>
          <cell r="D128" t="str">
            <v>TOULOUSE</v>
          </cell>
          <cell r="E128">
            <v>91</v>
          </cell>
          <cell r="F128" t="str">
            <v>NC NUMERICABLE ILE-DE-FRANCE</v>
          </cell>
          <cell r="G128" t="str">
            <v>VAD CONSEILLERS</v>
          </cell>
          <cell r="H128" t="str">
            <v>GALERA</v>
          </cell>
          <cell r="I128" t="str">
            <v>SUOU500001</v>
          </cell>
          <cell r="J128">
            <v>100</v>
          </cell>
          <cell r="K128">
            <v>38810</v>
          </cell>
          <cell r="L128" t="str">
            <v>CONSEILLER(E) COM.</v>
          </cell>
          <cell r="M128" t="str">
            <v>TSM</v>
          </cell>
          <cell r="N128" t="str">
            <v>D</v>
          </cell>
          <cell r="O128" t="str">
            <v>CDI</v>
          </cell>
          <cell r="P128">
            <v>151.57</v>
          </cell>
          <cell r="Q128">
            <v>0</v>
          </cell>
          <cell r="R128">
            <v>317.08</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1136.69</v>
          </cell>
          <cell r="AR128">
            <v>0</v>
          </cell>
          <cell r="AS128">
            <v>0</v>
          </cell>
          <cell r="AT128">
            <v>0</v>
          </cell>
          <cell r="AU128">
            <v>0</v>
          </cell>
        </row>
        <row r="129">
          <cell r="A129" t="str">
            <v>000A1080</v>
          </cell>
          <cell r="B129" t="str">
            <v>THIEBAUT</v>
          </cell>
          <cell r="C129" t="str">
            <v>ORLANDO</v>
          </cell>
          <cell r="D129" t="str">
            <v>NANCY</v>
          </cell>
          <cell r="E129">
            <v>91</v>
          </cell>
          <cell r="F129" t="str">
            <v>NC NUMERICABLE ILE-DE-FRANCE</v>
          </cell>
          <cell r="G129" t="str">
            <v>VAD CONSEILLERS</v>
          </cell>
          <cell r="H129" t="str">
            <v>LAFORET S</v>
          </cell>
          <cell r="I129" t="str">
            <v>ESTR500001</v>
          </cell>
          <cell r="J129">
            <v>100</v>
          </cell>
          <cell r="K129">
            <v>38638</v>
          </cell>
          <cell r="L129" t="str">
            <v>CONSEILLER(E) COM.</v>
          </cell>
          <cell r="M129" t="str">
            <v>TSM</v>
          </cell>
          <cell r="N129" t="str">
            <v>D</v>
          </cell>
          <cell r="O129" t="str">
            <v>CDI</v>
          </cell>
          <cell r="P129">
            <v>151.57</v>
          </cell>
          <cell r="Q129">
            <v>1217.8800000000001</v>
          </cell>
          <cell r="R129">
            <v>35.409999999999997</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79.180000000000007</v>
          </cell>
          <cell r="AO129">
            <v>0</v>
          </cell>
          <cell r="AP129">
            <v>0</v>
          </cell>
          <cell r="AQ129">
            <v>224.8</v>
          </cell>
          <cell r="AR129">
            <v>0</v>
          </cell>
          <cell r="AS129">
            <v>0</v>
          </cell>
          <cell r="AT129">
            <v>0</v>
          </cell>
          <cell r="AU129">
            <v>0</v>
          </cell>
        </row>
        <row r="130">
          <cell r="A130" t="str">
            <v>000A1579</v>
          </cell>
          <cell r="B130" t="str">
            <v>PETITNICOLAS</v>
          </cell>
          <cell r="C130" t="str">
            <v>KEVIN</v>
          </cell>
          <cell r="D130" t="str">
            <v>NANCY</v>
          </cell>
          <cell r="E130">
            <v>91</v>
          </cell>
          <cell r="F130" t="str">
            <v>NC NUMERICABLE ILE-DE-FRANCE</v>
          </cell>
          <cell r="G130" t="str">
            <v>VAD CONSEILLERS</v>
          </cell>
          <cell r="H130" t="str">
            <v>LORCET</v>
          </cell>
          <cell r="I130" t="str">
            <v>ESTR500001</v>
          </cell>
          <cell r="J130">
            <v>100</v>
          </cell>
          <cell r="K130">
            <v>38775</v>
          </cell>
          <cell r="L130" t="str">
            <v>CONSEILLER(E) COM.</v>
          </cell>
          <cell r="M130" t="str">
            <v>TSM</v>
          </cell>
          <cell r="N130" t="str">
            <v>D</v>
          </cell>
          <cell r="O130" t="str">
            <v>CDI</v>
          </cell>
          <cell r="P130">
            <v>151.57</v>
          </cell>
          <cell r="Q130">
            <v>0</v>
          </cell>
          <cell r="R130">
            <v>1016.78</v>
          </cell>
          <cell r="S130">
            <v>0</v>
          </cell>
          <cell r="T130">
            <v>1360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417.52</v>
          </cell>
          <cell r="AO130">
            <v>0</v>
          </cell>
          <cell r="AP130">
            <v>0</v>
          </cell>
          <cell r="AQ130">
            <v>1217.8800000000001</v>
          </cell>
          <cell r="AR130">
            <v>0</v>
          </cell>
          <cell r="AS130">
            <v>0</v>
          </cell>
          <cell r="AT130">
            <v>0</v>
          </cell>
          <cell r="AU130">
            <v>0</v>
          </cell>
        </row>
        <row r="131">
          <cell r="A131" t="str">
            <v>000A1034</v>
          </cell>
          <cell r="B131" t="str">
            <v>GODARD</v>
          </cell>
          <cell r="C131" t="str">
            <v>JULIETTE</v>
          </cell>
          <cell r="D131" t="str">
            <v>SIEGE</v>
          </cell>
          <cell r="E131">
            <v>91</v>
          </cell>
          <cell r="F131" t="str">
            <v>NC NUMERICABLE ILE-DE-FRANCE</v>
          </cell>
          <cell r="G131" t="str">
            <v>DIRECTION RESS HUM</v>
          </cell>
          <cell r="H131" t="str">
            <v>DUPERIER BENEDICTE</v>
          </cell>
          <cell r="I131" t="str">
            <v>GENE703001</v>
          </cell>
          <cell r="J131">
            <v>100</v>
          </cell>
          <cell r="K131">
            <v>38607</v>
          </cell>
          <cell r="L131" t="str">
            <v>ASS.  RES. HUMAINES NIV.1</v>
          </cell>
          <cell r="M131" t="str">
            <v>EMPLOYE</v>
          </cell>
          <cell r="N131" t="str">
            <v>C</v>
          </cell>
          <cell r="O131" t="str">
            <v>CDI</v>
          </cell>
          <cell r="P131">
            <v>151.57</v>
          </cell>
          <cell r="Q131">
            <v>2145</v>
          </cell>
          <cell r="R131">
            <v>1160.4000000000001</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134.44</v>
          </cell>
          <cell r="AG131">
            <v>0</v>
          </cell>
          <cell r="AH131">
            <v>33.61</v>
          </cell>
          <cell r="AI131">
            <v>0</v>
          </cell>
          <cell r="AJ131">
            <v>0</v>
          </cell>
          <cell r="AK131">
            <v>0</v>
          </cell>
          <cell r="AL131">
            <v>0</v>
          </cell>
          <cell r="AM131">
            <v>0</v>
          </cell>
          <cell r="AN131">
            <v>249.09</v>
          </cell>
          <cell r="AO131">
            <v>23.61</v>
          </cell>
          <cell r="AP131">
            <v>0</v>
          </cell>
          <cell r="AQ131">
            <v>2313.0500000000002</v>
          </cell>
          <cell r="AR131">
            <v>0</v>
          </cell>
          <cell r="AS131">
            <v>0</v>
          </cell>
          <cell r="AT131">
            <v>0</v>
          </cell>
          <cell r="AU131">
            <v>0</v>
          </cell>
        </row>
        <row r="132">
          <cell r="A132" t="str">
            <v>000B0009</v>
          </cell>
          <cell r="B132" t="str">
            <v>PAOLI</v>
          </cell>
          <cell r="C132" t="str">
            <v>URSULA</v>
          </cell>
          <cell r="D132" t="str">
            <v>BASTIA</v>
          </cell>
          <cell r="E132">
            <v>91</v>
          </cell>
          <cell r="F132" t="str">
            <v>NC NUMERICABLE ILE-DE-FRANCE</v>
          </cell>
          <cell r="G132" t="str">
            <v>BOUTIQUE</v>
          </cell>
          <cell r="H132" t="str">
            <v>ALBERTINI</v>
          </cell>
          <cell r="I132" t="str">
            <v>SUES507001</v>
          </cell>
          <cell r="J132">
            <v>100</v>
          </cell>
          <cell r="K132">
            <v>33293</v>
          </cell>
          <cell r="L132" t="str">
            <v>ANIMATEUR COM.</v>
          </cell>
          <cell r="M132" t="str">
            <v>CADRE</v>
          </cell>
          <cell r="N132" t="str">
            <v>DB</v>
          </cell>
          <cell r="O132" t="str">
            <v>CDI</v>
          </cell>
          <cell r="P132">
            <v>151.57</v>
          </cell>
          <cell r="Q132">
            <v>2165</v>
          </cell>
          <cell r="R132">
            <v>888.34</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233.35</v>
          </cell>
          <cell r="AO132">
            <v>0</v>
          </cell>
          <cell r="AP132">
            <v>0</v>
          </cell>
          <cell r="AQ132">
            <v>2166.75</v>
          </cell>
          <cell r="AR132">
            <v>0</v>
          </cell>
          <cell r="AS132">
            <v>0</v>
          </cell>
          <cell r="AT132">
            <v>0</v>
          </cell>
          <cell r="AU132">
            <v>0</v>
          </cell>
        </row>
        <row r="133">
          <cell r="A133">
            <v>20127</v>
          </cell>
          <cell r="B133" t="str">
            <v>FERRAND</v>
          </cell>
          <cell r="C133" t="str">
            <v>ROGER</v>
          </cell>
          <cell r="D133" t="str">
            <v>REIMS</v>
          </cell>
          <cell r="E133">
            <v>91</v>
          </cell>
          <cell r="F133" t="str">
            <v>NC NUMERICABLE ILE-DE-FRANCE</v>
          </cell>
          <cell r="G133" t="str">
            <v>DISTRIBUTEUR</v>
          </cell>
          <cell r="I133" t="str">
            <v>GENE905001</v>
          </cell>
          <cell r="J133">
            <v>100</v>
          </cell>
          <cell r="K133">
            <v>35331</v>
          </cell>
          <cell r="L133" t="str">
            <v>ANIMATEUR COM.</v>
          </cell>
          <cell r="M133" t="str">
            <v>CADRE</v>
          </cell>
          <cell r="N133" t="str">
            <v>DB</v>
          </cell>
          <cell r="O133" t="str">
            <v>CDI</v>
          </cell>
          <cell r="P133">
            <v>151.57</v>
          </cell>
          <cell r="Q133">
            <v>1974</v>
          </cell>
          <cell r="R133">
            <v>632.59</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2034.33</v>
          </cell>
          <cell r="AN133">
            <v>212.59</v>
          </cell>
          <cell r="AO133">
            <v>2034.33</v>
          </cell>
          <cell r="AP133">
            <v>0</v>
          </cell>
          <cell r="AQ133">
            <v>1974</v>
          </cell>
          <cell r="AR133">
            <v>0</v>
          </cell>
          <cell r="AS133">
            <v>0</v>
          </cell>
          <cell r="AT133">
            <v>0</v>
          </cell>
          <cell r="AU133">
            <v>0</v>
          </cell>
        </row>
        <row r="134">
          <cell r="A134" t="str">
            <v>000A0842</v>
          </cell>
          <cell r="B134" t="str">
            <v>DAMI</v>
          </cell>
          <cell r="C134" t="str">
            <v>MOHAMMED</v>
          </cell>
          <cell r="D134" t="str">
            <v>EBOUE</v>
          </cell>
          <cell r="E134">
            <v>91</v>
          </cell>
          <cell r="F134" t="str">
            <v>NC NUMERICABLE ILE-DE-FRANCE</v>
          </cell>
          <cell r="G134" t="str">
            <v>TRAVAUX</v>
          </cell>
          <cell r="H134" t="str">
            <v>DUCHARNEUX</v>
          </cell>
          <cell r="I134" t="str">
            <v>IDFR300001</v>
          </cell>
          <cell r="J134">
            <v>100</v>
          </cell>
          <cell r="K134">
            <v>36831</v>
          </cell>
          <cell r="L134" t="str">
            <v>SUPERVISEUR TRAVAUX</v>
          </cell>
          <cell r="M134" t="str">
            <v>TSM</v>
          </cell>
          <cell r="N134" t="str">
            <v>D</v>
          </cell>
          <cell r="O134" t="str">
            <v>CDI</v>
          </cell>
          <cell r="P134">
            <v>151.57</v>
          </cell>
          <cell r="Q134">
            <v>2498.5</v>
          </cell>
          <cell r="R134">
            <v>1433.08</v>
          </cell>
          <cell r="S134">
            <v>0</v>
          </cell>
          <cell r="T134">
            <v>0</v>
          </cell>
          <cell r="U134">
            <v>0</v>
          </cell>
          <cell r="V134">
            <v>249.39</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295.93</v>
          </cell>
          <cell r="AO134">
            <v>0</v>
          </cell>
          <cell r="AP134">
            <v>0</v>
          </cell>
          <cell r="AQ134">
            <v>2498.5</v>
          </cell>
          <cell r="AR134">
            <v>249.39</v>
          </cell>
          <cell r="AS134">
            <v>0</v>
          </cell>
          <cell r="AT134">
            <v>0</v>
          </cell>
          <cell r="AU134">
            <v>0</v>
          </cell>
        </row>
        <row r="135">
          <cell r="A135" t="str">
            <v>000A0853</v>
          </cell>
          <cell r="B135" t="str">
            <v>BERKAINE</v>
          </cell>
          <cell r="C135" t="str">
            <v>CORINNE</v>
          </cell>
          <cell r="D135" t="str">
            <v>LA MADELEINE</v>
          </cell>
          <cell r="E135">
            <v>91</v>
          </cell>
          <cell r="F135" t="str">
            <v>NC NUMERICABLE ILE-DE-FRANCE</v>
          </cell>
          <cell r="G135" t="str">
            <v>BDI</v>
          </cell>
          <cell r="I135" t="str">
            <v>GENE905001</v>
          </cell>
          <cell r="J135">
            <v>100</v>
          </cell>
          <cell r="K135">
            <v>36857</v>
          </cell>
          <cell r="L135" t="str">
            <v>GEST. DONN..NIV.1</v>
          </cell>
          <cell r="M135" t="str">
            <v>EMPLOYE</v>
          </cell>
          <cell r="N135" t="str">
            <v>C</v>
          </cell>
          <cell r="O135" t="str">
            <v>CDI</v>
          </cell>
          <cell r="P135">
            <v>151.57</v>
          </cell>
          <cell r="Q135">
            <v>1648.88</v>
          </cell>
          <cell r="R135">
            <v>708.83</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1.1399999999999999</v>
          </cell>
          <cell r="AN135">
            <v>170.44</v>
          </cell>
          <cell r="AO135">
            <v>0</v>
          </cell>
          <cell r="AP135">
            <v>0</v>
          </cell>
          <cell r="AQ135">
            <v>1650.02</v>
          </cell>
          <cell r="AR135">
            <v>0</v>
          </cell>
          <cell r="AS135">
            <v>0</v>
          </cell>
          <cell r="AT135">
            <v>0</v>
          </cell>
          <cell r="AU135">
            <v>0</v>
          </cell>
        </row>
        <row r="136">
          <cell r="A136" t="str">
            <v>000BU003</v>
          </cell>
          <cell r="B136" t="str">
            <v>UGGERI</v>
          </cell>
          <cell r="C136" t="str">
            <v>DENIS</v>
          </cell>
          <cell r="D136" t="str">
            <v>EBOUE</v>
          </cell>
          <cell r="E136">
            <v>91</v>
          </cell>
          <cell r="F136" t="str">
            <v>NC NUMERICABLE ILE-DE-FRANCE</v>
          </cell>
          <cell r="G136" t="str">
            <v>RACCORDEMENT IMMOB STC.</v>
          </cell>
          <cell r="H136" t="str">
            <v>MOINET</v>
          </cell>
          <cell r="I136" t="str">
            <v>IDFR302001</v>
          </cell>
          <cell r="J136">
            <v>100</v>
          </cell>
          <cell r="K136">
            <v>36234</v>
          </cell>
          <cell r="L136" t="str">
            <v>SUP. TECH. CLIENT</v>
          </cell>
          <cell r="M136" t="str">
            <v>TSM</v>
          </cell>
          <cell r="N136" t="str">
            <v>D</v>
          </cell>
          <cell r="O136" t="str">
            <v>CDI</v>
          </cell>
          <cell r="P136">
            <v>151.57</v>
          </cell>
          <cell r="Q136">
            <v>1955.67</v>
          </cell>
          <cell r="R136">
            <v>652.01</v>
          </cell>
          <cell r="S136">
            <v>0</v>
          </cell>
          <cell r="T136">
            <v>0</v>
          </cell>
          <cell r="U136">
            <v>0</v>
          </cell>
          <cell r="V136">
            <v>0</v>
          </cell>
          <cell r="W136">
            <v>223.5</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239.31</v>
          </cell>
          <cell r="AO136">
            <v>0</v>
          </cell>
          <cell r="AP136">
            <v>0</v>
          </cell>
          <cell r="AQ136">
            <v>1414.18</v>
          </cell>
          <cell r="AR136">
            <v>0</v>
          </cell>
          <cell r="AS136">
            <v>0</v>
          </cell>
          <cell r="AT136">
            <v>0</v>
          </cell>
          <cell r="AU136">
            <v>0</v>
          </cell>
        </row>
        <row r="137">
          <cell r="A137">
            <v>58270</v>
          </cell>
          <cell r="B137" t="str">
            <v>LAUNAY</v>
          </cell>
          <cell r="C137" t="str">
            <v>DOMINIQUE</v>
          </cell>
          <cell r="D137" t="str">
            <v>SIEGE</v>
          </cell>
          <cell r="E137">
            <v>91</v>
          </cell>
          <cell r="F137" t="str">
            <v>NC NUMERICABLE ILE-DE-FRANCE</v>
          </cell>
          <cell r="G137" t="str">
            <v>DIRECTION REGIONALE</v>
          </cell>
          <cell r="H137" t="str">
            <v>BEAURAIN</v>
          </cell>
          <cell r="I137" t="str">
            <v>IDFR520001</v>
          </cell>
          <cell r="J137">
            <v>100</v>
          </cell>
          <cell r="K137">
            <v>35590</v>
          </cell>
          <cell r="L137" t="str">
            <v>ASSISTANT(E) NIV. 2</v>
          </cell>
          <cell r="M137" t="str">
            <v>TSM</v>
          </cell>
          <cell r="N137" t="str">
            <v>D</v>
          </cell>
          <cell r="O137" t="str">
            <v>CDI</v>
          </cell>
          <cell r="P137">
            <v>151.57</v>
          </cell>
          <cell r="Q137">
            <v>2662</v>
          </cell>
          <cell r="R137">
            <v>1334.03</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286.67</v>
          </cell>
          <cell r="AO137">
            <v>23.61</v>
          </cell>
          <cell r="AP137">
            <v>0</v>
          </cell>
          <cell r="AQ137">
            <v>2662</v>
          </cell>
          <cell r="AR137">
            <v>0</v>
          </cell>
          <cell r="AS137">
            <v>0</v>
          </cell>
          <cell r="AT137">
            <v>0</v>
          </cell>
          <cell r="AU137">
            <v>0</v>
          </cell>
        </row>
        <row r="138">
          <cell r="A138" t="str">
            <v>000A1164</v>
          </cell>
          <cell r="B138" t="str">
            <v>FRANCOIS</v>
          </cell>
          <cell r="C138" t="str">
            <v>MARC</v>
          </cell>
          <cell r="D138" t="str">
            <v>NANCY</v>
          </cell>
          <cell r="E138">
            <v>91</v>
          </cell>
          <cell r="F138" t="str">
            <v>NC NUMERICABLE ILE-DE-FRANCE</v>
          </cell>
          <cell r="G138" t="str">
            <v>VAD CONSEILLERS</v>
          </cell>
          <cell r="H138" t="str">
            <v>LAFORET S</v>
          </cell>
          <cell r="I138" t="str">
            <v>ESTR500001</v>
          </cell>
          <cell r="J138">
            <v>100</v>
          </cell>
          <cell r="K138">
            <v>38652</v>
          </cell>
          <cell r="L138" t="str">
            <v>CONSEILLER(E) COM.</v>
          </cell>
          <cell r="M138" t="str">
            <v>TSM</v>
          </cell>
          <cell r="N138" t="str">
            <v>D</v>
          </cell>
          <cell r="O138" t="str">
            <v>CDI</v>
          </cell>
          <cell r="P138">
            <v>151.57</v>
          </cell>
          <cell r="Q138">
            <v>1217.8800000000001</v>
          </cell>
          <cell r="R138">
            <v>377.38</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109.29</v>
          </cell>
          <cell r="AO138">
            <v>0</v>
          </cell>
          <cell r="AP138">
            <v>0</v>
          </cell>
          <cell r="AQ138">
            <v>1014.9</v>
          </cell>
          <cell r="AR138">
            <v>0</v>
          </cell>
          <cell r="AS138">
            <v>0</v>
          </cell>
          <cell r="AT138">
            <v>0</v>
          </cell>
          <cell r="AU138">
            <v>0</v>
          </cell>
        </row>
        <row r="139">
          <cell r="A139" t="str">
            <v>000A1277</v>
          </cell>
          <cell r="B139" t="str">
            <v>LEVENKRON</v>
          </cell>
          <cell r="C139" t="str">
            <v>ERICK</v>
          </cell>
          <cell r="D139" t="str">
            <v>MARSEILLE</v>
          </cell>
          <cell r="E139">
            <v>91</v>
          </cell>
          <cell r="F139" t="str">
            <v>NC NUMERICABLE ILE-DE-FRANCE</v>
          </cell>
          <cell r="G139" t="str">
            <v>VAD CONSEILLERS</v>
          </cell>
          <cell r="H139" t="str">
            <v>ZAMORA</v>
          </cell>
          <cell r="I139" t="str">
            <v>SUES500001</v>
          </cell>
          <cell r="J139">
            <v>100</v>
          </cell>
          <cell r="K139">
            <v>38677</v>
          </cell>
          <cell r="L139" t="str">
            <v>CONSEILLER(E) COM.</v>
          </cell>
          <cell r="M139" t="str">
            <v>TSM</v>
          </cell>
          <cell r="N139" t="str">
            <v>D</v>
          </cell>
          <cell r="O139" t="str">
            <v>CDI</v>
          </cell>
          <cell r="P139">
            <v>151.57</v>
          </cell>
          <cell r="Q139">
            <v>1217.8800000000001</v>
          </cell>
          <cell r="R139">
            <v>612.44000000000005</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131.16</v>
          </cell>
          <cell r="AO139">
            <v>0</v>
          </cell>
          <cell r="AP139">
            <v>0</v>
          </cell>
          <cell r="AQ139">
            <v>1217.8800000000001</v>
          </cell>
          <cell r="AR139">
            <v>0</v>
          </cell>
          <cell r="AS139">
            <v>0</v>
          </cell>
          <cell r="AT139">
            <v>0</v>
          </cell>
          <cell r="AU139">
            <v>0</v>
          </cell>
        </row>
        <row r="140">
          <cell r="A140" t="str">
            <v>000A1633</v>
          </cell>
          <cell r="B140" t="str">
            <v>NOEL</v>
          </cell>
          <cell r="C140" t="str">
            <v>CYRILLE</v>
          </cell>
          <cell r="D140" t="str">
            <v>METZ</v>
          </cell>
          <cell r="E140">
            <v>91</v>
          </cell>
          <cell r="F140" t="str">
            <v>NC NUMERICABLE ILE-DE-FRANCE</v>
          </cell>
          <cell r="G140" t="str">
            <v>VAD CONSEILLERS</v>
          </cell>
          <cell r="H140" t="str">
            <v>LORCET</v>
          </cell>
          <cell r="I140" t="str">
            <v>ESTR500001</v>
          </cell>
          <cell r="J140">
            <v>100</v>
          </cell>
          <cell r="K140">
            <v>38790</v>
          </cell>
          <cell r="L140" t="str">
            <v>CONSEILLER(E) COM.</v>
          </cell>
          <cell r="M140" t="str">
            <v>TSM</v>
          </cell>
          <cell r="N140" t="str">
            <v>D</v>
          </cell>
          <cell r="O140" t="str">
            <v>CDI</v>
          </cell>
          <cell r="P140">
            <v>151.57</v>
          </cell>
          <cell r="Q140">
            <v>0</v>
          </cell>
          <cell r="R140">
            <v>364.15</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1217.8800000000001</v>
          </cell>
          <cell r="AR140">
            <v>0</v>
          </cell>
          <cell r="AS140">
            <v>0</v>
          </cell>
          <cell r="AT140">
            <v>0</v>
          </cell>
          <cell r="AU140">
            <v>0</v>
          </cell>
        </row>
        <row r="141">
          <cell r="A141" t="str">
            <v>000A1096</v>
          </cell>
          <cell r="B141" t="str">
            <v>GEUBBELS</v>
          </cell>
          <cell r="C141" t="str">
            <v>FREDERIC</v>
          </cell>
          <cell r="D141" t="str">
            <v>BORDEAUX</v>
          </cell>
          <cell r="E141">
            <v>91</v>
          </cell>
          <cell r="F141" t="str">
            <v>NC NUMERICABLE ILE-DE-FRANCE</v>
          </cell>
          <cell r="G141" t="str">
            <v>VAD CONSEILLERS</v>
          </cell>
          <cell r="H141" t="str">
            <v>FERNANDEZ A</v>
          </cell>
          <cell r="I141" t="str">
            <v>SUOU500001</v>
          </cell>
          <cell r="J141">
            <v>100</v>
          </cell>
          <cell r="K141">
            <v>38635</v>
          </cell>
          <cell r="L141" t="str">
            <v>CONSEILLER(E) COM.</v>
          </cell>
          <cell r="M141" t="str">
            <v>TSM</v>
          </cell>
          <cell r="N141" t="str">
            <v>D</v>
          </cell>
          <cell r="O141" t="str">
            <v>CDI</v>
          </cell>
          <cell r="P141">
            <v>151.57</v>
          </cell>
          <cell r="Q141">
            <v>1217.8800000000001</v>
          </cell>
          <cell r="R141">
            <v>782.74</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131.16</v>
          </cell>
          <cell r="AO141">
            <v>0</v>
          </cell>
          <cell r="AP141">
            <v>0</v>
          </cell>
          <cell r="AQ141">
            <v>1217.8800000000001</v>
          </cell>
          <cell r="AR141">
            <v>0</v>
          </cell>
          <cell r="AS141">
            <v>0</v>
          </cell>
          <cell r="AT141">
            <v>0</v>
          </cell>
          <cell r="AU141">
            <v>0</v>
          </cell>
        </row>
        <row r="142">
          <cell r="A142" t="str">
            <v>000A1391</v>
          </cell>
          <cell r="B142" t="str">
            <v>RAUCOURT</v>
          </cell>
          <cell r="C142" t="str">
            <v>GAETAN</v>
          </cell>
          <cell r="D142" t="str">
            <v>MONTPELLIER</v>
          </cell>
          <cell r="E142">
            <v>91</v>
          </cell>
          <cell r="F142" t="str">
            <v>NC NUMERICABLE ILE-DE-FRANCE</v>
          </cell>
          <cell r="G142" t="str">
            <v>VAD CONSEILLERS</v>
          </cell>
          <cell r="H142" t="str">
            <v>DEY</v>
          </cell>
          <cell r="I142" t="str">
            <v>SUES500001</v>
          </cell>
          <cell r="J142">
            <v>100</v>
          </cell>
          <cell r="K142">
            <v>38727</v>
          </cell>
          <cell r="L142" t="str">
            <v>CONSEILLER(E) COM.</v>
          </cell>
          <cell r="M142" t="str">
            <v>TSM</v>
          </cell>
          <cell r="N142" t="str">
            <v>D</v>
          </cell>
          <cell r="O142" t="str">
            <v>CDI</v>
          </cell>
          <cell r="P142">
            <v>151.57</v>
          </cell>
          <cell r="Q142">
            <v>1217.8800000000001</v>
          </cell>
          <cell r="R142">
            <v>523.61</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131.16</v>
          </cell>
          <cell r="AO142">
            <v>0</v>
          </cell>
          <cell r="AP142">
            <v>0</v>
          </cell>
          <cell r="AQ142">
            <v>1217.8800000000001</v>
          </cell>
          <cell r="AR142">
            <v>0</v>
          </cell>
          <cell r="AS142">
            <v>0</v>
          </cell>
          <cell r="AT142">
            <v>0</v>
          </cell>
          <cell r="AU142">
            <v>0</v>
          </cell>
        </row>
        <row r="143">
          <cell r="A143" t="str">
            <v>000A1314</v>
          </cell>
          <cell r="B143" t="str">
            <v>BUTA MUELA AMANI</v>
          </cell>
          <cell r="C143" t="str">
            <v>FREDDY</v>
          </cell>
          <cell r="D143" t="str">
            <v>LYON GARIBALDI</v>
          </cell>
          <cell r="E143">
            <v>91</v>
          </cell>
          <cell r="F143" t="str">
            <v>NC NUMERICABLE ILE-DE-FRANCE</v>
          </cell>
          <cell r="G143" t="str">
            <v>VAD CONSEILLERS</v>
          </cell>
          <cell r="H143" t="str">
            <v>KUDONOO</v>
          </cell>
          <cell r="I143" t="str">
            <v>RHON500001</v>
          </cell>
          <cell r="J143">
            <v>100</v>
          </cell>
          <cell r="K143">
            <v>38684</v>
          </cell>
          <cell r="L143" t="str">
            <v>CONSEILLER(E) COM.</v>
          </cell>
          <cell r="M143" t="str">
            <v>TSM</v>
          </cell>
          <cell r="N143" t="str">
            <v>D</v>
          </cell>
          <cell r="O143" t="str">
            <v>CDI</v>
          </cell>
          <cell r="P143">
            <v>151.57</v>
          </cell>
          <cell r="Q143">
            <v>1217.8800000000001</v>
          </cell>
          <cell r="R143">
            <v>1322.8</v>
          </cell>
          <cell r="S143">
            <v>0</v>
          </cell>
          <cell r="T143">
            <v>2220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370.23</v>
          </cell>
          <cell r="AO143">
            <v>0</v>
          </cell>
          <cell r="AP143">
            <v>0</v>
          </cell>
          <cell r="AQ143">
            <v>1217.8800000000001</v>
          </cell>
          <cell r="AR143">
            <v>0</v>
          </cell>
          <cell r="AS143">
            <v>0</v>
          </cell>
          <cell r="AT143">
            <v>0</v>
          </cell>
          <cell r="AU143">
            <v>0</v>
          </cell>
        </row>
        <row r="144">
          <cell r="A144" t="str">
            <v>000A1470</v>
          </cell>
          <cell r="B144" t="str">
            <v>SVILAR</v>
          </cell>
          <cell r="C144" t="str">
            <v>STANKO</v>
          </cell>
          <cell r="D144" t="str">
            <v>VANVES</v>
          </cell>
          <cell r="E144">
            <v>91</v>
          </cell>
          <cell r="F144" t="str">
            <v>NC NUMERICABLE ILE-DE-FRANCE</v>
          </cell>
          <cell r="G144" t="str">
            <v>VAD CONSEILLERS</v>
          </cell>
          <cell r="H144" t="str">
            <v>ZERFAINE</v>
          </cell>
          <cell r="I144" t="str">
            <v>IDFR500001</v>
          </cell>
          <cell r="J144">
            <v>100</v>
          </cell>
          <cell r="K144">
            <v>38740</v>
          </cell>
          <cell r="L144" t="str">
            <v>CONSEILLER(E) COM.</v>
          </cell>
          <cell r="M144" t="str">
            <v>TSM</v>
          </cell>
          <cell r="N144" t="str">
            <v>D</v>
          </cell>
          <cell r="O144" t="str">
            <v>CDI</v>
          </cell>
          <cell r="P144">
            <v>151.57</v>
          </cell>
          <cell r="Q144">
            <v>1583.24</v>
          </cell>
          <cell r="R144">
            <v>2091.64</v>
          </cell>
          <cell r="S144">
            <v>0</v>
          </cell>
          <cell r="T144">
            <v>4450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610.39</v>
          </cell>
          <cell r="AO144">
            <v>0</v>
          </cell>
          <cell r="AP144">
            <v>0</v>
          </cell>
          <cell r="AQ144">
            <v>1217.8800000000001</v>
          </cell>
          <cell r="AR144">
            <v>0</v>
          </cell>
          <cell r="AS144">
            <v>0</v>
          </cell>
          <cell r="AT144">
            <v>0</v>
          </cell>
          <cell r="AU144">
            <v>0</v>
          </cell>
        </row>
        <row r="145">
          <cell r="A145" t="str">
            <v>000A1084</v>
          </cell>
          <cell r="B145" t="str">
            <v>YAZI</v>
          </cell>
          <cell r="C145" t="str">
            <v>HOCINE</v>
          </cell>
          <cell r="D145" t="str">
            <v>VERSAILLES</v>
          </cell>
          <cell r="E145">
            <v>91</v>
          </cell>
          <cell r="F145" t="str">
            <v>NC NUMERICABLE ILE-DE-FRANCE</v>
          </cell>
          <cell r="G145" t="str">
            <v>VAD CONSEILLERS</v>
          </cell>
          <cell r="H145" t="str">
            <v>YILDIZ</v>
          </cell>
          <cell r="I145" t="str">
            <v>IDFR500001</v>
          </cell>
          <cell r="J145">
            <v>100</v>
          </cell>
          <cell r="K145">
            <v>38635</v>
          </cell>
          <cell r="L145" t="str">
            <v>CONSEILLER(E) COM.</v>
          </cell>
          <cell r="M145" t="str">
            <v>TSM</v>
          </cell>
          <cell r="N145" t="str">
            <v>D</v>
          </cell>
          <cell r="O145" t="str">
            <v>CDI</v>
          </cell>
          <cell r="P145">
            <v>151.57</v>
          </cell>
          <cell r="Q145">
            <v>1217.8800000000001</v>
          </cell>
          <cell r="R145">
            <v>1124.26</v>
          </cell>
          <cell r="S145">
            <v>0</v>
          </cell>
          <cell r="T145">
            <v>2622</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413.52</v>
          </cell>
          <cell r="AO145">
            <v>0</v>
          </cell>
          <cell r="AP145">
            <v>0</v>
          </cell>
          <cell r="AQ145">
            <v>1217.8800000000001</v>
          </cell>
          <cell r="AR145">
            <v>0</v>
          </cell>
          <cell r="AS145">
            <v>0</v>
          </cell>
          <cell r="AT145">
            <v>0</v>
          </cell>
          <cell r="AU145">
            <v>0</v>
          </cell>
        </row>
        <row r="146">
          <cell r="A146" t="str">
            <v>000A1601</v>
          </cell>
          <cell r="B146" t="str">
            <v>DOUZI</v>
          </cell>
          <cell r="C146" t="str">
            <v>ABDELLATIF</v>
          </cell>
          <cell r="D146" t="str">
            <v>SIEGE</v>
          </cell>
          <cell r="E146">
            <v>91</v>
          </cell>
          <cell r="F146" t="str">
            <v>NC NUMERICABLE ILE-DE-FRANCE</v>
          </cell>
          <cell r="G146" t="str">
            <v>VAD CONSEILLERS</v>
          </cell>
          <cell r="H146" t="str">
            <v>ZERFAINE</v>
          </cell>
          <cell r="I146" t="str">
            <v>IDFR500001</v>
          </cell>
          <cell r="J146">
            <v>100</v>
          </cell>
          <cell r="K146">
            <v>38777</v>
          </cell>
          <cell r="L146" t="str">
            <v>CONSEILLER(E) COM.</v>
          </cell>
          <cell r="M146" t="str">
            <v>TSM</v>
          </cell>
          <cell r="N146" t="str">
            <v>D</v>
          </cell>
          <cell r="O146" t="str">
            <v>CDI</v>
          </cell>
          <cell r="P146">
            <v>151.57</v>
          </cell>
          <cell r="Q146">
            <v>0</v>
          </cell>
          <cell r="R146">
            <v>1381.09</v>
          </cell>
          <cell r="S146">
            <v>0</v>
          </cell>
          <cell r="T146">
            <v>2245.5</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504.14</v>
          </cell>
          <cell r="AO146">
            <v>0</v>
          </cell>
          <cell r="AP146">
            <v>0</v>
          </cell>
          <cell r="AQ146">
            <v>1217.8800000000001</v>
          </cell>
          <cell r="AR146">
            <v>0</v>
          </cell>
          <cell r="AS146">
            <v>0</v>
          </cell>
          <cell r="AT146">
            <v>0</v>
          </cell>
          <cell r="AU146">
            <v>0</v>
          </cell>
        </row>
        <row r="147">
          <cell r="A147" t="str">
            <v>000A1240</v>
          </cell>
          <cell r="B147" t="str">
            <v>EL YAAKOUBI</v>
          </cell>
          <cell r="C147" t="str">
            <v>RACHIDA</v>
          </cell>
          <cell r="D147" t="str">
            <v>MARSEILLE</v>
          </cell>
          <cell r="E147">
            <v>91</v>
          </cell>
          <cell r="F147" t="str">
            <v>NC NUMERICABLE ILE-DE-FRANCE</v>
          </cell>
          <cell r="G147" t="str">
            <v>VAD CONSEILLERS</v>
          </cell>
          <cell r="H147" t="str">
            <v>BELKHIR</v>
          </cell>
          <cell r="I147" t="str">
            <v>SUES500001</v>
          </cell>
          <cell r="J147">
            <v>100</v>
          </cell>
          <cell r="K147">
            <v>38670</v>
          </cell>
          <cell r="L147" t="str">
            <v>CONSEILLER(E) COM.</v>
          </cell>
          <cell r="M147" t="str">
            <v>TSM</v>
          </cell>
          <cell r="N147" t="str">
            <v>D</v>
          </cell>
          <cell r="O147" t="str">
            <v>CDI</v>
          </cell>
          <cell r="P147">
            <v>151.57</v>
          </cell>
          <cell r="Q147">
            <v>1217.8800000000001</v>
          </cell>
          <cell r="R147">
            <v>736.58</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131.16</v>
          </cell>
          <cell r="AO147">
            <v>0</v>
          </cell>
          <cell r="AP147">
            <v>0</v>
          </cell>
          <cell r="AQ147">
            <v>1217.8800000000001</v>
          </cell>
          <cell r="AR147">
            <v>0</v>
          </cell>
          <cell r="AS147">
            <v>0</v>
          </cell>
          <cell r="AT147">
            <v>0</v>
          </cell>
          <cell r="AU147">
            <v>0</v>
          </cell>
        </row>
        <row r="148">
          <cell r="A148" t="str">
            <v>000A1279</v>
          </cell>
          <cell r="B148" t="str">
            <v>YAICI</v>
          </cell>
          <cell r="C148" t="str">
            <v>ABDERRAHMANE</v>
          </cell>
          <cell r="D148" t="str">
            <v>METZ</v>
          </cell>
          <cell r="E148">
            <v>91</v>
          </cell>
          <cell r="F148" t="str">
            <v>NC NUMERICABLE ILE-DE-FRANCE</v>
          </cell>
          <cell r="G148" t="str">
            <v>VAD ANIMATEURS</v>
          </cell>
          <cell r="H148" t="str">
            <v>BAUER V</v>
          </cell>
          <cell r="I148" t="str">
            <v>ESTR500001</v>
          </cell>
          <cell r="J148">
            <v>100</v>
          </cell>
          <cell r="K148">
            <v>38687</v>
          </cell>
          <cell r="L148" t="str">
            <v>CONSEILLER(E) COM.</v>
          </cell>
          <cell r="M148" t="str">
            <v>TSM</v>
          </cell>
          <cell r="N148" t="str">
            <v>D</v>
          </cell>
          <cell r="O148" t="str">
            <v>CDI</v>
          </cell>
          <cell r="P148">
            <v>151.57</v>
          </cell>
          <cell r="Q148">
            <v>2200</v>
          </cell>
          <cell r="R148">
            <v>1400.8</v>
          </cell>
          <cell r="S148">
            <v>0</v>
          </cell>
          <cell r="T148">
            <v>1500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376.93</v>
          </cell>
          <cell r="AO148">
            <v>0</v>
          </cell>
          <cell r="AP148">
            <v>0</v>
          </cell>
          <cell r="AQ148">
            <v>2000</v>
          </cell>
          <cell r="AR148">
            <v>0</v>
          </cell>
          <cell r="AS148">
            <v>0</v>
          </cell>
          <cell r="AT148">
            <v>0</v>
          </cell>
          <cell r="AU148">
            <v>0</v>
          </cell>
        </row>
        <row r="149">
          <cell r="A149" t="str">
            <v>000A1424</v>
          </cell>
          <cell r="B149" t="str">
            <v>GRASSOT</v>
          </cell>
          <cell r="C149" t="str">
            <v>AUDE</v>
          </cell>
          <cell r="D149" t="str">
            <v>BREST</v>
          </cell>
          <cell r="E149">
            <v>91</v>
          </cell>
          <cell r="F149" t="str">
            <v>NC NUMERICABLE ILE-DE-FRANCE</v>
          </cell>
          <cell r="G149" t="str">
            <v>VAD CONSEILLERS</v>
          </cell>
          <cell r="H149" t="str">
            <v>HOUGET</v>
          </cell>
          <cell r="I149" t="str">
            <v>OUES500001</v>
          </cell>
          <cell r="J149">
            <v>100</v>
          </cell>
          <cell r="K149">
            <v>38747</v>
          </cell>
          <cell r="L149" t="str">
            <v>CONSEILLER(E) COM.</v>
          </cell>
          <cell r="M149" t="str">
            <v>TSM</v>
          </cell>
          <cell r="N149" t="str">
            <v>D</v>
          </cell>
          <cell r="O149" t="str">
            <v>CDI</v>
          </cell>
          <cell r="P149">
            <v>151.57</v>
          </cell>
          <cell r="Q149">
            <v>1299.07</v>
          </cell>
          <cell r="R149">
            <v>453.57</v>
          </cell>
          <cell r="S149">
            <v>0</v>
          </cell>
          <cell r="T149">
            <v>650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201.15</v>
          </cell>
          <cell r="AO149">
            <v>0</v>
          </cell>
          <cell r="AP149">
            <v>0</v>
          </cell>
          <cell r="AQ149">
            <v>1217.8800000000001</v>
          </cell>
          <cell r="AR149">
            <v>0</v>
          </cell>
          <cell r="AS149">
            <v>0</v>
          </cell>
          <cell r="AT149">
            <v>0</v>
          </cell>
          <cell r="AU149">
            <v>0</v>
          </cell>
        </row>
        <row r="150">
          <cell r="A150" t="str">
            <v>000A1037</v>
          </cell>
          <cell r="B150" t="str">
            <v>BOUCHIKHI</v>
          </cell>
          <cell r="C150" t="str">
            <v>MOHAMMED</v>
          </cell>
          <cell r="D150" t="str">
            <v>MARSEILLE</v>
          </cell>
          <cell r="E150">
            <v>91</v>
          </cell>
          <cell r="F150" t="str">
            <v>NC NUMERICABLE ILE-DE-FRANCE</v>
          </cell>
          <cell r="G150" t="str">
            <v>VAD CONSEILLERS</v>
          </cell>
          <cell r="H150" t="str">
            <v>BELKHIR</v>
          </cell>
          <cell r="I150" t="str">
            <v>SUES500001</v>
          </cell>
          <cell r="J150">
            <v>100</v>
          </cell>
          <cell r="K150">
            <v>38629</v>
          </cell>
          <cell r="L150" t="str">
            <v>CONSEILLER(E) COM.</v>
          </cell>
          <cell r="M150" t="str">
            <v>TSM</v>
          </cell>
          <cell r="N150" t="str">
            <v>D</v>
          </cell>
          <cell r="O150" t="str">
            <v>CDI</v>
          </cell>
          <cell r="P150">
            <v>151.57</v>
          </cell>
          <cell r="Q150">
            <v>1217.8800000000001</v>
          </cell>
          <cell r="R150">
            <v>608.4</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250.7</v>
          </cell>
          <cell r="AO150">
            <v>0</v>
          </cell>
          <cell r="AP150">
            <v>0</v>
          </cell>
          <cell r="AQ150">
            <v>2327.88</v>
          </cell>
          <cell r="AR150">
            <v>0</v>
          </cell>
          <cell r="AS150">
            <v>0</v>
          </cell>
          <cell r="AT150">
            <v>0</v>
          </cell>
          <cell r="AU150">
            <v>0</v>
          </cell>
        </row>
        <row r="151">
          <cell r="A151" t="str">
            <v>000A1335</v>
          </cell>
          <cell r="B151" t="str">
            <v>QAZI</v>
          </cell>
          <cell r="C151" t="str">
            <v>NAVEED</v>
          </cell>
          <cell r="D151" t="str">
            <v>LA MADELEINE</v>
          </cell>
          <cell r="E151">
            <v>91</v>
          </cell>
          <cell r="F151" t="str">
            <v>NC NUMERICABLE ILE-DE-FRANCE</v>
          </cell>
          <cell r="G151" t="str">
            <v>VAD CONSEILLERS</v>
          </cell>
          <cell r="H151" t="str">
            <v>LESSCHAVE</v>
          </cell>
          <cell r="I151" t="str">
            <v>NPCA500001</v>
          </cell>
          <cell r="J151">
            <v>100</v>
          </cell>
          <cell r="K151">
            <v>38698</v>
          </cell>
          <cell r="L151" t="str">
            <v>CONSEILLER(E) COM.</v>
          </cell>
          <cell r="M151" t="str">
            <v>TSM</v>
          </cell>
          <cell r="N151" t="str">
            <v>D</v>
          </cell>
          <cell r="O151" t="str">
            <v>CDI</v>
          </cell>
          <cell r="P151">
            <v>151.57</v>
          </cell>
          <cell r="Q151">
            <v>1217.8800000000001</v>
          </cell>
          <cell r="R151">
            <v>1584.19</v>
          </cell>
          <cell r="S151">
            <v>0</v>
          </cell>
          <cell r="T151">
            <v>2980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452.08</v>
          </cell>
          <cell r="AO151">
            <v>0</v>
          </cell>
          <cell r="AP151">
            <v>0</v>
          </cell>
          <cell r="AQ151">
            <v>1217.8800000000001</v>
          </cell>
          <cell r="AR151">
            <v>0</v>
          </cell>
          <cell r="AS151">
            <v>0</v>
          </cell>
          <cell r="AT151">
            <v>0</v>
          </cell>
          <cell r="AU151">
            <v>0</v>
          </cell>
        </row>
        <row r="152">
          <cell r="A152" t="str">
            <v>000A1562</v>
          </cell>
          <cell r="B152" t="str">
            <v>ROLLAND</v>
          </cell>
          <cell r="C152" t="str">
            <v>CHRISTINE</v>
          </cell>
          <cell r="D152" t="str">
            <v>LYON GARIBALDI</v>
          </cell>
          <cell r="E152">
            <v>66</v>
          </cell>
          <cell r="F152" t="str">
            <v>NC NUMERICABLE LYON</v>
          </cell>
          <cell r="G152" t="str">
            <v>COLLECTIF</v>
          </cell>
          <cell r="H152" t="str">
            <v>MORCRETTE</v>
          </cell>
          <cell r="I152" t="str">
            <v>RHON510001</v>
          </cell>
          <cell r="J152">
            <v>100</v>
          </cell>
          <cell r="K152">
            <v>38720</v>
          </cell>
          <cell r="L152" t="str">
            <v>ATTACHE COMMERCIAL</v>
          </cell>
          <cell r="M152" t="str">
            <v>CADRE</v>
          </cell>
          <cell r="N152" t="str">
            <v>DB</v>
          </cell>
          <cell r="O152" t="str">
            <v>CDD</v>
          </cell>
          <cell r="P152">
            <v>151.57</v>
          </cell>
          <cell r="Q152">
            <v>1800</v>
          </cell>
          <cell r="R152">
            <v>625.91999999999996</v>
          </cell>
          <cell r="S152">
            <v>0</v>
          </cell>
          <cell r="T152">
            <v>99.99</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186.03</v>
          </cell>
          <cell r="AO152">
            <v>0</v>
          </cell>
          <cell r="AP152">
            <v>0</v>
          </cell>
          <cell r="AQ152">
            <v>1224.74</v>
          </cell>
          <cell r="AR152">
            <v>0</v>
          </cell>
          <cell r="AS152">
            <v>0</v>
          </cell>
          <cell r="AT152">
            <v>0</v>
          </cell>
          <cell r="AU152">
            <v>0</v>
          </cell>
        </row>
        <row r="153">
          <cell r="A153" t="str">
            <v>000A1668</v>
          </cell>
          <cell r="B153" t="str">
            <v>LAFAIGE DE GAILLARD</v>
          </cell>
          <cell r="C153" t="str">
            <v>HENRI</v>
          </cell>
          <cell r="D153" t="str">
            <v>NANTES</v>
          </cell>
          <cell r="E153">
            <v>91</v>
          </cell>
          <cell r="F153" t="str">
            <v>NC NUMERICABLE ILE-DE-FRANCE</v>
          </cell>
          <cell r="G153" t="str">
            <v>VAD CONSEILLERS</v>
          </cell>
          <cell r="H153" t="str">
            <v>JAUD</v>
          </cell>
          <cell r="I153" t="str">
            <v>OUES500001</v>
          </cell>
          <cell r="J153">
            <v>100</v>
          </cell>
          <cell r="K153">
            <v>38796</v>
          </cell>
          <cell r="L153" t="str">
            <v>CONSEILLER(E) COM.</v>
          </cell>
          <cell r="M153" t="str">
            <v>TSM</v>
          </cell>
          <cell r="N153" t="str">
            <v>D</v>
          </cell>
          <cell r="O153" t="str">
            <v>CDI</v>
          </cell>
          <cell r="P153">
            <v>151.57</v>
          </cell>
          <cell r="Q153">
            <v>0</v>
          </cell>
          <cell r="R153">
            <v>416.31</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1705.03</v>
          </cell>
          <cell r="AR153">
            <v>0</v>
          </cell>
          <cell r="AS153">
            <v>0</v>
          </cell>
          <cell r="AT153">
            <v>0</v>
          </cell>
          <cell r="AU153">
            <v>0</v>
          </cell>
        </row>
        <row r="154">
          <cell r="A154" t="str">
            <v>000A1031</v>
          </cell>
          <cell r="B154" t="str">
            <v>BARBERY</v>
          </cell>
          <cell r="C154" t="str">
            <v>THIBAUT</v>
          </cell>
          <cell r="D154" t="str">
            <v>SIEGE</v>
          </cell>
          <cell r="E154">
            <v>91</v>
          </cell>
          <cell r="F154" t="str">
            <v>NC NUMERICABLE ILE-DE-FRANCE</v>
          </cell>
          <cell r="G154" t="str">
            <v>COMPTABILITE</v>
          </cell>
          <cell r="H154" t="str">
            <v>LAVELOT</v>
          </cell>
          <cell r="I154" t="str">
            <v>GENE701001</v>
          </cell>
          <cell r="J154">
            <v>100</v>
          </cell>
          <cell r="K154">
            <v>38614</v>
          </cell>
          <cell r="L154" t="str">
            <v>RESP. GEST. NIV. 2</v>
          </cell>
          <cell r="M154" t="str">
            <v>CADRE</v>
          </cell>
          <cell r="N154" t="str">
            <v>F</v>
          </cell>
          <cell r="O154" t="str">
            <v>CDI</v>
          </cell>
          <cell r="P154">
            <v>151.57</v>
          </cell>
          <cell r="Q154">
            <v>5416.67</v>
          </cell>
          <cell r="R154">
            <v>2701.64</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583.32000000000005</v>
          </cell>
          <cell r="AO154">
            <v>0</v>
          </cell>
          <cell r="AP154">
            <v>0</v>
          </cell>
          <cell r="AQ154">
            <v>5416.67</v>
          </cell>
          <cell r="AR154">
            <v>0</v>
          </cell>
          <cell r="AS154">
            <v>0</v>
          </cell>
          <cell r="AT154">
            <v>0</v>
          </cell>
          <cell r="AU154">
            <v>0</v>
          </cell>
        </row>
        <row r="155">
          <cell r="A155" t="str">
            <v>000A1681</v>
          </cell>
          <cell r="B155" t="str">
            <v>PEYRARD</v>
          </cell>
          <cell r="C155" t="str">
            <v>JOHANNA</v>
          </cell>
          <cell r="D155" t="str">
            <v>MARSEILLE</v>
          </cell>
          <cell r="E155">
            <v>91</v>
          </cell>
          <cell r="F155" t="str">
            <v>NC NUMERICABLE ILE-DE-FRANCE</v>
          </cell>
          <cell r="G155" t="str">
            <v>VAD CONSEILLERS</v>
          </cell>
          <cell r="H155" t="str">
            <v>VIVIN</v>
          </cell>
          <cell r="I155" t="str">
            <v>SUES500001</v>
          </cell>
          <cell r="J155">
            <v>100</v>
          </cell>
          <cell r="K155">
            <v>38803</v>
          </cell>
          <cell r="L155" t="str">
            <v>CONSEILLER(E) COM.</v>
          </cell>
          <cell r="M155" t="str">
            <v>TSM</v>
          </cell>
          <cell r="N155" t="str">
            <v>D</v>
          </cell>
          <cell r="O155" t="str">
            <v>CDI</v>
          </cell>
          <cell r="P155">
            <v>151.57</v>
          </cell>
          <cell r="Q155">
            <v>0</v>
          </cell>
          <cell r="R155">
            <v>403.82</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1420.86</v>
          </cell>
          <cell r="AR155">
            <v>0</v>
          </cell>
          <cell r="AS155">
            <v>0</v>
          </cell>
          <cell r="AT155">
            <v>0</v>
          </cell>
          <cell r="AU155">
            <v>0</v>
          </cell>
        </row>
        <row r="156">
          <cell r="A156" t="str">
            <v>000A1333</v>
          </cell>
          <cell r="B156" t="str">
            <v>NOUTIE DJIOSSA</v>
          </cell>
          <cell r="C156" t="str">
            <v>HARDING</v>
          </cell>
          <cell r="D156" t="str">
            <v>LA MADELEINE</v>
          </cell>
          <cell r="E156">
            <v>91</v>
          </cell>
          <cell r="F156" t="str">
            <v>NC NUMERICABLE ILE-DE-FRANCE</v>
          </cell>
          <cell r="G156" t="str">
            <v>VAD CONSEILLERS</v>
          </cell>
          <cell r="H156" t="str">
            <v>LESSCHAVE</v>
          </cell>
          <cell r="I156" t="str">
            <v>NPCA500001</v>
          </cell>
          <cell r="J156">
            <v>100</v>
          </cell>
          <cell r="K156">
            <v>38677</v>
          </cell>
          <cell r="L156" t="str">
            <v>CONSEILLER(E) COM.</v>
          </cell>
          <cell r="M156" t="str">
            <v>TSM</v>
          </cell>
          <cell r="N156" t="str">
            <v>D</v>
          </cell>
          <cell r="O156" t="str">
            <v>CDI</v>
          </cell>
          <cell r="P156">
            <v>151.57</v>
          </cell>
          <cell r="Q156">
            <v>1217.8800000000001</v>
          </cell>
          <cell r="R156">
            <v>41.55</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35.46</v>
          </cell>
          <cell r="AO156">
            <v>0</v>
          </cell>
          <cell r="AP156">
            <v>0</v>
          </cell>
          <cell r="AQ156">
            <v>290.39999999999998</v>
          </cell>
          <cell r="AR156">
            <v>0</v>
          </cell>
          <cell r="AS156">
            <v>0</v>
          </cell>
          <cell r="AT156">
            <v>0</v>
          </cell>
          <cell r="AU156">
            <v>0</v>
          </cell>
        </row>
        <row r="157">
          <cell r="A157" t="str">
            <v>000A1547</v>
          </cell>
          <cell r="B157" t="str">
            <v>BLANCHEZ</v>
          </cell>
          <cell r="C157" t="str">
            <v>GILLES</v>
          </cell>
          <cell r="D157" t="str">
            <v>MARSEILLE</v>
          </cell>
          <cell r="E157">
            <v>91</v>
          </cell>
          <cell r="F157" t="str">
            <v>NC NUMERICABLE ILE-DE-FRANCE</v>
          </cell>
          <cell r="G157" t="str">
            <v>MAINTENANCE RESEAU</v>
          </cell>
          <cell r="H157" t="str">
            <v>LE NABEC</v>
          </cell>
          <cell r="I157" t="str">
            <v>SUES300001</v>
          </cell>
          <cell r="J157">
            <v>100</v>
          </cell>
          <cell r="K157">
            <v>38705</v>
          </cell>
          <cell r="L157" t="str">
            <v>CHEF GPE. TECH. EXP.</v>
          </cell>
          <cell r="M157" t="str">
            <v>CADRE</v>
          </cell>
          <cell r="N157" t="str">
            <v>DB</v>
          </cell>
          <cell r="O157" t="str">
            <v>CDI</v>
          </cell>
          <cell r="P157">
            <v>151.57</v>
          </cell>
          <cell r="Q157">
            <v>2833.34</v>
          </cell>
          <cell r="R157">
            <v>1495.23</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219</v>
          </cell>
          <cell r="AL157">
            <v>0</v>
          </cell>
          <cell r="AM157">
            <v>0</v>
          </cell>
          <cell r="AN157">
            <v>328.72</v>
          </cell>
          <cell r="AO157">
            <v>0</v>
          </cell>
          <cell r="AP157">
            <v>0</v>
          </cell>
          <cell r="AQ157">
            <v>2833.34</v>
          </cell>
          <cell r="AR157">
            <v>0</v>
          </cell>
          <cell r="AS157">
            <v>219</v>
          </cell>
          <cell r="AT157">
            <v>0</v>
          </cell>
          <cell r="AU157">
            <v>0</v>
          </cell>
        </row>
        <row r="158">
          <cell r="A158" t="str">
            <v>000A0115</v>
          </cell>
          <cell r="B158" t="str">
            <v>CADENET</v>
          </cell>
          <cell r="C158" t="str">
            <v>SYLVIE</v>
          </cell>
          <cell r="D158" t="str">
            <v>SIEGE</v>
          </cell>
          <cell r="E158">
            <v>91</v>
          </cell>
          <cell r="F158" t="str">
            <v>NC NUMERICABLE ILE-DE-FRANCE</v>
          </cell>
          <cell r="G158" t="str">
            <v>TECHNIQUE</v>
          </cell>
          <cell r="H158" t="str">
            <v>SOTHER</v>
          </cell>
          <cell r="I158" t="str">
            <v>GENE700001</v>
          </cell>
          <cell r="J158">
            <v>100</v>
          </cell>
          <cell r="K158">
            <v>32251</v>
          </cell>
          <cell r="L158" t="str">
            <v>ATTACHE(E) DIRECT.</v>
          </cell>
          <cell r="M158" t="str">
            <v>CADRE</v>
          </cell>
          <cell r="N158" t="str">
            <v>E</v>
          </cell>
          <cell r="O158" t="str">
            <v>CDI</v>
          </cell>
          <cell r="P158">
            <v>151.57</v>
          </cell>
          <cell r="Q158">
            <v>2564.5</v>
          </cell>
          <cell r="R158">
            <v>1345.57</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276.18</v>
          </cell>
          <cell r="AO158">
            <v>23.61</v>
          </cell>
          <cell r="AP158">
            <v>0</v>
          </cell>
          <cell r="AQ158">
            <v>2564.5</v>
          </cell>
          <cell r="AR158">
            <v>0</v>
          </cell>
          <cell r="AS158">
            <v>0</v>
          </cell>
          <cell r="AT158">
            <v>0</v>
          </cell>
          <cell r="AU158">
            <v>0</v>
          </cell>
        </row>
        <row r="159">
          <cell r="A159" t="str">
            <v>000A0674</v>
          </cell>
          <cell r="B159" t="str">
            <v>VOULU</v>
          </cell>
          <cell r="C159" t="str">
            <v>SEVERINE</v>
          </cell>
          <cell r="D159" t="str">
            <v>SIEGE</v>
          </cell>
          <cell r="E159">
            <v>91</v>
          </cell>
          <cell r="F159" t="str">
            <v>NC NUMERICABLE ILE-DE-FRANCE</v>
          </cell>
          <cell r="G159" t="str">
            <v>MARKETING</v>
          </cell>
          <cell r="H159" t="str">
            <v>ABI ABDALLAH</v>
          </cell>
          <cell r="I159" t="str">
            <v>GENE546001</v>
          </cell>
          <cell r="J159">
            <v>100</v>
          </cell>
          <cell r="K159">
            <v>35107</v>
          </cell>
          <cell r="L159" t="str">
            <v>CHEF PRODUIT JUNIOR</v>
          </cell>
          <cell r="M159" t="str">
            <v>CADRE</v>
          </cell>
          <cell r="N159" t="str">
            <v>DB</v>
          </cell>
          <cell r="O159" t="str">
            <v>CDI</v>
          </cell>
          <cell r="P159">
            <v>151.57</v>
          </cell>
          <cell r="Q159">
            <v>2562.3200000000002</v>
          </cell>
          <cell r="R159">
            <v>-5113.2299999999996</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262.33</v>
          </cell>
          <cell r="AO159">
            <v>0</v>
          </cell>
          <cell r="AP159">
            <v>-11374.71</v>
          </cell>
          <cell r="AQ159">
            <v>-142.26</v>
          </cell>
          <cell r="AR159">
            <v>0</v>
          </cell>
          <cell r="AS159">
            <v>0</v>
          </cell>
          <cell r="AT159">
            <v>0</v>
          </cell>
          <cell r="AU159">
            <v>0</v>
          </cell>
        </row>
        <row r="160">
          <cell r="A160" t="str">
            <v>000A0901</v>
          </cell>
          <cell r="B160" t="str">
            <v>FERNANDES</v>
          </cell>
          <cell r="C160" t="str">
            <v>ISABELLE</v>
          </cell>
          <cell r="D160" t="str">
            <v>SIEGE</v>
          </cell>
          <cell r="E160">
            <v>91</v>
          </cell>
          <cell r="F160" t="str">
            <v>NC NUMERICABLE ILE-DE-FRANCE</v>
          </cell>
          <cell r="G160" t="str">
            <v>COMPTABILITE</v>
          </cell>
          <cell r="I160" t="str">
            <v>GENE905001</v>
          </cell>
          <cell r="J160">
            <v>100</v>
          </cell>
          <cell r="K160">
            <v>37074</v>
          </cell>
          <cell r="L160" t="str">
            <v>COMPTABLE.NIV.1</v>
          </cell>
          <cell r="M160" t="str">
            <v>EMPLOYE</v>
          </cell>
          <cell r="N160" t="str">
            <v>C</v>
          </cell>
          <cell r="O160" t="str">
            <v>CDI</v>
          </cell>
          <cell r="P160">
            <v>151.57</v>
          </cell>
          <cell r="Q160">
            <v>1732.22</v>
          </cell>
          <cell r="R160">
            <v>2243.64</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-42.75</v>
          </cell>
          <cell r="AN160">
            <v>503.48</v>
          </cell>
          <cell r="AO160">
            <v>14721.65</v>
          </cell>
          <cell r="AP160">
            <v>0</v>
          </cell>
          <cell r="AQ160">
            <v>1838.69</v>
          </cell>
          <cell r="AR160">
            <v>0</v>
          </cell>
          <cell r="AS160">
            <v>0</v>
          </cell>
          <cell r="AT160">
            <v>0</v>
          </cell>
          <cell r="AU160">
            <v>0</v>
          </cell>
        </row>
        <row r="161">
          <cell r="A161" t="str">
            <v>000A0829</v>
          </cell>
          <cell r="B161" t="str">
            <v>LE PESQ</v>
          </cell>
          <cell r="C161" t="str">
            <v>FREDERIC</v>
          </cell>
          <cell r="D161" t="str">
            <v>SIEGE</v>
          </cell>
          <cell r="E161">
            <v>91</v>
          </cell>
          <cell r="F161" t="str">
            <v>NC NUMERICABLE ILE-DE-FRANCE</v>
          </cell>
          <cell r="G161" t="str">
            <v>CONTROLE GESTION</v>
          </cell>
          <cell r="H161" t="str">
            <v>LAVELOT</v>
          </cell>
          <cell r="I161" t="str">
            <v>GENE701001</v>
          </cell>
          <cell r="J161">
            <v>100</v>
          </cell>
          <cell r="K161">
            <v>36800</v>
          </cell>
          <cell r="L161" t="str">
            <v>CONTROLEUR DE GEST.</v>
          </cell>
          <cell r="M161" t="str">
            <v>CADRE</v>
          </cell>
          <cell r="N161" t="str">
            <v>E</v>
          </cell>
          <cell r="O161" t="str">
            <v>CDI</v>
          </cell>
          <cell r="P161">
            <v>151.57</v>
          </cell>
          <cell r="Q161">
            <v>5400</v>
          </cell>
          <cell r="R161">
            <v>2675.78</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581.54</v>
          </cell>
          <cell r="AO161">
            <v>0</v>
          </cell>
          <cell r="AP161">
            <v>0</v>
          </cell>
          <cell r="AQ161">
            <v>5400</v>
          </cell>
          <cell r="AR161">
            <v>0</v>
          </cell>
          <cell r="AS161">
            <v>0</v>
          </cell>
          <cell r="AT161">
            <v>0</v>
          </cell>
          <cell r="AU161">
            <v>0</v>
          </cell>
        </row>
        <row r="162">
          <cell r="A162">
            <v>58252</v>
          </cell>
          <cell r="B162" t="str">
            <v>FAURE MILLER</v>
          </cell>
          <cell r="C162" t="str">
            <v>MARIE-ANNE</v>
          </cell>
          <cell r="D162" t="str">
            <v>SIEGE</v>
          </cell>
          <cell r="E162">
            <v>91</v>
          </cell>
          <cell r="F162" t="str">
            <v>NC NUMERICABLE ILE-DE-FRANCE</v>
          </cell>
          <cell r="G162" t="str">
            <v>INFORMATIQUE</v>
          </cell>
          <cell r="H162" t="str">
            <v>DELEBARRE JL</v>
          </cell>
          <cell r="I162" t="str">
            <v>GENE620001</v>
          </cell>
          <cell r="J162">
            <v>100</v>
          </cell>
          <cell r="K162">
            <v>35570</v>
          </cell>
          <cell r="L162" t="str">
            <v>ASSISTANT(E) NIV. 2</v>
          </cell>
          <cell r="M162" t="str">
            <v>TSM</v>
          </cell>
          <cell r="N162" t="str">
            <v>D</v>
          </cell>
          <cell r="O162" t="str">
            <v>CDI</v>
          </cell>
          <cell r="P162">
            <v>151.66</v>
          </cell>
          <cell r="Q162">
            <v>2083.0100000000002</v>
          </cell>
          <cell r="R162">
            <v>960.84</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225.48</v>
          </cell>
          <cell r="AO162">
            <v>0</v>
          </cell>
          <cell r="AP162">
            <v>0</v>
          </cell>
          <cell r="AQ162">
            <v>1890.76</v>
          </cell>
          <cell r="AR162">
            <v>0</v>
          </cell>
          <cell r="AS162">
            <v>0</v>
          </cell>
          <cell r="AT162">
            <v>0</v>
          </cell>
          <cell r="AU162">
            <v>0</v>
          </cell>
        </row>
        <row r="163">
          <cell r="A163" t="str">
            <v>000BS024</v>
          </cell>
          <cell r="B163" t="str">
            <v>SAINT-YVES</v>
          </cell>
          <cell r="C163" t="str">
            <v>CHRISTIAN</v>
          </cell>
          <cell r="D163" t="str">
            <v>MONTPELLIER</v>
          </cell>
          <cell r="E163">
            <v>91</v>
          </cell>
          <cell r="F163" t="str">
            <v>NC NUMERICABLE ILE-DE-FRANCE</v>
          </cell>
          <cell r="G163" t="str">
            <v>MAINTENANCE RESEAU</v>
          </cell>
          <cell r="H163" t="str">
            <v>LE NABEC</v>
          </cell>
          <cell r="I163" t="str">
            <v>SUES300001</v>
          </cell>
          <cell r="J163">
            <v>100</v>
          </cell>
          <cell r="K163">
            <v>32021</v>
          </cell>
          <cell r="L163" t="str">
            <v>EXPERT TECHNIQUE TDR ET RESEAUX</v>
          </cell>
          <cell r="M163" t="str">
            <v>478D</v>
          </cell>
          <cell r="N163" t="str">
            <v>DB</v>
          </cell>
          <cell r="O163" t="str">
            <v>CDI</v>
          </cell>
          <cell r="P163">
            <v>151.57</v>
          </cell>
          <cell r="Q163">
            <v>2300.41</v>
          </cell>
          <cell r="R163">
            <v>1264.44</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219</v>
          </cell>
          <cell r="AL163">
            <v>0</v>
          </cell>
          <cell r="AM163">
            <v>0</v>
          </cell>
          <cell r="AN163">
            <v>360.21</v>
          </cell>
          <cell r="AO163">
            <v>0</v>
          </cell>
          <cell r="AP163">
            <v>0</v>
          </cell>
          <cell r="AQ163">
            <v>2757.19</v>
          </cell>
          <cell r="AR163">
            <v>0</v>
          </cell>
          <cell r="AS163">
            <v>219</v>
          </cell>
          <cell r="AT163">
            <v>0</v>
          </cell>
          <cell r="AU163">
            <v>0</v>
          </cell>
        </row>
        <row r="164">
          <cell r="A164" t="str">
            <v>000BL156</v>
          </cell>
          <cell r="B164" t="str">
            <v>LEFEVRE</v>
          </cell>
          <cell r="C164" t="str">
            <v>DAVID</v>
          </cell>
          <cell r="D164" t="str">
            <v>LYON CATN</v>
          </cell>
          <cell r="E164">
            <v>91</v>
          </cell>
          <cell r="F164" t="str">
            <v>NC NUMERICABLE ILE-DE-FRANCE</v>
          </cell>
          <cell r="G164" t="str">
            <v>CLIENTELE</v>
          </cell>
          <cell r="H164" t="str">
            <v>BRUNEL M</v>
          </cell>
          <cell r="I164" t="str">
            <v>CLIE420001</v>
          </cell>
          <cell r="J164">
            <v>100</v>
          </cell>
          <cell r="K164">
            <v>36542</v>
          </cell>
          <cell r="L164" t="str">
            <v>CHEF DE PROJET JUNIOR</v>
          </cell>
          <cell r="M164" t="str">
            <v>CADRE</v>
          </cell>
          <cell r="N164" t="str">
            <v>DB</v>
          </cell>
          <cell r="O164" t="str">
            <v>CDI</v>
          </cell>
          <cell r="P164">
            <v>151.57</v>
          </cell>
          <cell r="Q164">
            <v>2962</v>
          </cell>
          <cell r="R164">
            <v>1434.18</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320.89</v>
          </cell>
          <cell r="AO164">
            <v>0</v>
          </cell>
          <cell r="AP164">
            <v>0</v>
          </cell>
          <cell r="AQ164">
            <v>2688.63</v>
          </cell>
          <cell r="AR164">
            <v>0</v>
          </cell>
          <cell r="AS164">
            <v>0</v>
          </cell>
          <cell r="AT164">
            <v>0</v>
          </cell>
          <cell r="AU164">
            <v>0</v>
          </cell>
        </row>
        <row r="165">
          <cell r="A165" t="str">
            <v>000A0830</v>
          </cell>
          <cell r="B165" t="str">
            <v>BERTOCCHI</v>
          </cell>
          <cell r="C165" t="str">
            <v>SEBASTIEN</v>
          </cell>
          <cell r="D165" t="str">
            <v>VANVES</v>
          </cell>
          <cell r="E165">
            <v>91</v>
          </cell>
          <cell r="F165" t="str">
            <v>NC NUMERICABLE ILE-DE-FRANCE</v>
          </cell>
          <cell r="G165" t="str">
            <v>NOC</v>
          </cell>
          <cell r="H165" t="str">
            <v>BLONDEAU</v>
          </cell>
          <cell r="I165" t="str">
            <v>GENE306001</v>
          </cell>
          <cell r="J165">
            <v>100</v>
          </cell>
          <cell r="K165">
            <v>36787</v>
          </cell>
          <cell r="L165" t="str">
            <v>TECH.SUPP.NIV.2</v>
          </cell>
          <cell r="M165" t="str">
            <v>TSM</v>
          </cell>
          <cell r="N165" t="str">
            <v>D</v>
          </cell>
          <cell r="O165" t="str">
            <v>CDI</v>
          </cell>
          <cell r="P165">
            <v>151.57</v>
          </cell>
          <cell r="Q165">
            <v>2000</v>
          </cell>
          <cell r="R165">
            <v>1110.76</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92.37</v>
          </cell>
          <cell r="AG165">
            <v>13.2</v>
          </cell>
          <cell r="AH165">
            <v>16.5</v>
          </cell>
          <cell r="AI165">
            <v>0</v>
          </cell>
          <cell r="AJ165">
            <v>23.09</v>
          </cell>
          <cell r="AK165">
            <v>532</v>
          </cell>
          <cell r="AL165">
            <v>0</v>
          </cell>
          <cell r="AM165">
            <v>0</v>
          </cell>
          <cell r="AN165">
            <v>290.76</v>
          </cell>
          <cell r="AO165">
            <v>0</v>
          </cell>
          <cell r="AP165">
            <v>0</v>
          </cell>
          <cell r="AQ165">
            <v>1568.31</v>
          </cell>
          <cell r="AR165">
            <v>23.09</v>
          </cell>
          <cell r="AS165">
            <v>532</v>
          </cell>
          <cell r="AT165">
            <v>0</v>
          </cell>
          <cell r="AU165">
            <v>0</v>
          </cell>
        </row>
        <row r="166">
          <cell r="A166" t="str">
            <v>000A0734</v>
          </cell>
          <cell r="B166" t="str">
            <v>CHATELAIN</v>
          </cell>
          <cell r="C166" t="str">
            <v>ANTOINETTE</v>
          </cell>
          <cell r="D166" t="str">
            <v>SIEGE</v>
          </cell>
          <cell r="E166">
            <v>91</v>
          </cell>
          <cell r="F166" t="str">
            <v>NC NUMERICABLE ILE-DE-FRANCE</v>
          </cell>
          <cell r="G166" t="str">
            <v>MARKETING</v>
          </cell>
          <cell r="I166" t="str">
            <v>GENE905001</v>
          </cell>
          <cell r="J166">
            <v>100</v>
          </cell>
          <cell r="K166">
            <v>36374</v>
          </cell>
          <cell r="L166" t="str">
            <v>CHEF PRODUIT JUNIOR</v>
          </cell>
          <cell r="M166" t="str">
            <v>CADRE</v>
          </cell>
          <cell r="N166" t="str">
            <v>DB</v>
          </cell>
          <cell r="O166" t="str">
            <v>CDI</v>
          </cell>
          <cell r="P166">
            <v>135.19999999999999</v>
          </cell>
          <cell r="Q166">
            <v>2169.5</v>
          </cell>
          <cell r="R166">
            <v>339.38</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-25.22</v>
          </cell>
          <cell r="AN166">
            <v>233.65</v>
          </cell>
          <cell r="AO166">
            <v>-25.22</v>
          </cell>
          <cell r="AP166">
            <v>0</v>
          </cell>
          <cell r="AQ166">
            <v>2169.5</v>
          </cell>
          <cell r="AR166">
            <v>0</v>
          </cell>
          <cell r="AS166">
            <v>0</v>
          </cell>
          <cell r="AT166">
            <v>0</v>
          </cell>
          <cell r="AU166">
            <v>0</v>
          </cell>
        </row>
        <row r="167">
          <cell r="A167">
            <v>20177</v>
          </cell>
          <cell r="B167" t="str">
            <v>DUCHARNEUX</v>
          </cell>
          <cell r="C167" t="str">
            <v>CHRISTOPHE</v>
          </cell>
          <cell r="D167" t="str">
            <v>VANVES</v>
          </cell>
          <cell r="E167">
            <v>91</v>
          </cell>
          <cell r="F167" t="str">
            <v>NC NUMERICABLE ILE-DE-FRANCE</v>
          </cell>
          <cell r="G167" t="str">
            <v>CONSTRUCTION</v>
          </cell>
          <cell r="H167" t="str">
            <v>BEAURAIN</v>
          </cell>
          <cell r="I167" t="str">
            <v>IDFR300001</v>
          </cell>
          <cell r="J167">
            <v>100</v>
          </cell>
          <cell r="K167">
            <v>35737</v>
          </cell>
          <cell r="L167" t="str">
            <v>RESP. TECH. SUPPORT</v>
          </cell>
          <cell r="M167" t="str">
            <v>CADRE</v>
          </cell>
          <cell r="N167" t="str">
            <v>E</v>
          </cell>
          <cell r="O167" t="str">
            <v>CDI</v>
          </cell>
          <cell r="P167">
            <v>151.57</v>
          </cell>
          <cell r="Q167">
            <v>3050</v>
          </cell>
          <cell r="R167">
            <v>1639.94</v>
          </cell>
          <cell r="S167">
            <v>0</v>
          </cell>
          <cell r="T167">
            <v>0</v>
          </cell>
          <cell r="U167">
            <v>0</v>
          </cell>
          <cell r="V167">
            <v>249.39</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355.93</v>
          </cell>
          <cell r="AO167">
            <v>0</v>
          </cell>
          <cell r="AP167">
            <v>0</v>
          </cell>
          <cell r="AQ167">
            <v>2909.25</v>
          </cell>
          <cell r="AR167">
            <v>249.39</v>
          </cell>
          <cell r="AS167">
            <v>0</v>
          </cell>
          <cell r="AT167">
            <v>0</v>
          </cell>
          <cell r="AU167">
            <v>0</v>
          </cell>
        </row>
        <row r="168">
          <cell r="A168" t="str">
            <v>000A0368</v>
          </cell>
          <cell r="B168" t="str">
            <v>MANCEAU</v>
          </cell>
          <cell r="C168" t="str">
            <v>JEAN-LUC</v>
          </cell>
          <cell r="D168" t="str">
            <v>SIEGE</v>
          </cell>
          <cell r="E168">
            <v>91</v>
          </cell>
          <cell r="F168" t="str">
            <v>NC NUMERICABLE ILE-DE-FRANCE</v>
          </cell>
          <cell r="G168" t="str">
            <v>TECHNIQUE</v>
          </cell>
          <cell r="H168" t="str">
            <v>TRUYENS</v>
          </cell>
          <cell r="I168" t="str">
            <v>GENE905001</v>
          </cell>
          <cell r="J168">
            <v>100</v>
          </cell>
          <cell r="K168">
            <v>32994</v>
          </cell>
          <cell r="L168" t="str">
            <v>RESP.TRAV.NAT.</v>
          </cell>
          <cell r="M168" t="str">
            <v>CADRE</v>
          </cell>
          <cell r="N168" t="str">
            <v>F</v>
          </cell>
          <cell r="O168" t="str">
            <v>CDI</v>
          </cell>
          <cell r="P168">
            <v>125.66</v>
          </cell>
          <cell r="Q168">
            <v>4788</v>
          </cell>
          <cell r="R168">
            <v>2457.59</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163.09</v>
          </cell>
          <cell r="AN168">
            <v>533.21</v>
          </cell>
          <cell r="AO168">
            <v>46.43</v>
          </cell>
          <cell r="AP168">
            <v>0</v>
          </cell>
          <cell r="AQ168">
            <v>4951.09</v>
          </cell>
          <cell r="AR168">
            <v>0</v>
          </cell>
          <cell r="AS168">
            <v>0</v>
          </cell>
          <cell r="AT168">
            <v>0</v>
          </cell>
          <cell r="AU168">
            <v>0</v>
          </cell>
        </row>
        <row r="169">
          <cell r="A169" t="str">
            <v>000BA131</v>
          </cell>
          <cell r="B169" t="str">
            <v>ABI ABDALLAH</v>
          </cell>
          <cell r="C169" t="str">
            <v>NADINE</v>
          </cell>
          <cell r="D169" t="str">
            <v>SIEGE</v>
          </cell>
          <cell r="E169">
            <v>91</v>
          </cell>
          <cell r="F169" t="str">
            <v>NC NUMERICABLE ILE-DE-FRANCE</v>
          </cell>
          <cell r="G169" t="str">
            <v>MARKETING</v>
          </cell>
          <cell r="H169" t="str">
            <v>VINEL</v>
          </cell>
          <cell r="I169" t="str">
            <v>GENE546001</v>
          </cell>
          <cell r="J169">
            <v>100</v>
          </cell>
          <cell r="K169">
            <v>36717</v>
          </cell>
          <cell r="L169" t="str">
            <v>RESPONSABLE MARKETING</v>
          </cell>
          <cell r="M169" t="str">
            <v>CADRE</v>
          </cell>
          <cell r="N169" t="str">
            <v>F</v>
          </cell>
          <cell r="O169" t="str">
            <v>CDI</v>
          </cell>
          <cell r="P169">
            <v>151.57</v>
          </cell>
          <cell r="Q169">
            <v>4000</v>
          </cell>
          <cell r="R169">
            <v>1986.4</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430.78</v>
          </cell>
          <cell r="AO169">
            <v>23.61</v>
          </cell>
          <cell r="AP169">
            <v>0</v>
          </cell>
          <cell r="AQ169">
            <v>4000</v>
          </cell>
          <cell r="AR169">
            <v>0</v>
          </cell>
          <cell r="AS169">
            <v>0</v>
          </cell>
          <cell r="AT169">
            <v>0</v>
          </cell>
          <cell r="AU169">
            <v>0</v>
          </cell>
        </row>
        <row r="170">
          <cell r="A170" t="str">
            <v>000BB122</v>
          </cell>
          <cell r="B170" t="str">
            <v>BRUNEL</v>
          </cell>
          <cell r="C170" t="str">
            <v>HERVE</v>
          </cell>
          <cell r="D170" t="str">
            <v>LYON CATN</v>
          </cell>
          <cell r="E170">
            <v>91</v>
          </cell>
          <cell r="F170" t="str">
            <v>NC NUMERICABLE ILE-DE-FRANCE</v>
          </cell>
          <cell r="G170" t="str">
            <v>CATN FIDELISATION</v>
          </cell>
          <cell r="I170" t="str">
            <v>GENE905001</v>
          </cell>
          <cell r="J170">
            <v>100</v>
          </cell>
          <cell r="K170">
            <v>34484</v>
          </cell>
          <cell r="L170" t="str">
            <v>RESPONSABLE CLT</v>
          </cell>
          <cell r="M170" t="str">
            <v>CADRE</v>
          </cell>
          <cell r="N170" t="str">
            <v>E</v>
          </cell>
          <cell r="O170" t="str">
            <v>CDI</v>
          </cell>
          <cell r="P170">
            <v>151.57</v>
          </cell>
          <cell r="Q170">
            <v>2472.96</v>
          </cell>
          <cell r="R170">
            <v>-1420.04</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1717.77</v>
          </cell>
          <cell r="AN170">
            <v>266.32</v>
          </cell>
          <cell r="AO170">
            <v>1717.77</v>
          </cell>
          <cell r="AP170">
            <v>0</v>
          </cell>
          <cell r="AQ170">
            <v>2472.96</v>
          </cell>
          <cell r="AR170">
            <v>0</v>
          </cell>
          <cell r="AS170">
            <v>0</v>
          </cell>
          <cell r="AT170">
            <v>0</v>
          </cell>
          <cell r="AU170">
            <v>0</v>
          </cell>
        </row>
        <row r="171">
          <cell r="A171">
            <v>82</v>
          </cell>
          <cell r="B171" t="str">
            <v>FIOCCA</v>
          </cell>
          <cell r="C171" t="str">
            <v>DIDIER</v>
          </cell>
          <cell r="D171" t="str">
            <v>SIEGE</v>
          </cell>
          <cell r="E171">
            <v>91</v>
          </cell>
          <cell r="F171" t="str">
            <v>NC NUMERICABLE ILE-DE-FRANCE</v>
          </cell>
          <cell r="G171" t="str">
            <v>SERV GENER ACHATS</v>
          </cell>
          <cell r="H171" t="str">
            <v>LAVELOT</v>
          </cell>
          <cell r="I171" t="str">
            <v>GENE701001</v>
          </cell>
          <cell r="J171">
            <v>100</v>
          </cell>
          <cell r="K171">
            <v>36557</v>
          </cell>
          <cell r="L171" t="str">
            <v>DIRECT. SERV. GNAUX</v>
          </cell>
          <cell r="M171" t="str">
            <v>CADRE</v>
          </cell>
          <cell r="N171" t="str">
            <v>G</v>
          </cell>
          <cell r="O171" t="str">
            <v>CDI</v>
          </cell>
          <cell r="P171">
            <v>151.57</v>
          </cell>
          <cell r="Q171">
            <v>5629</v>
          </cell>
          <cell r="R171">
            <v>2901.94</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629.82000000000005</v>
          </cell>
          <cell r="AO171">
            <v>0</v>
          </cell>
          <cell r="AP171">
            <v>0</v>
          </cell>
          <cell r="AQ171">
            <v>5629</v>
          </cell>
          <cell r="AR171">
            <v>0</v>
          </cell>
          <cell r="AS171">
            <v>0</v>
          </cell>
          <cell r="AT171">
            <v>0</v>
          </cell>
          <cell r="AU171">
            <v>0</v>
          </cell>
        </row>
        <row r="172">
          <cell r="A172" t="str">
            <v>000A1174</v>
          </cell>
          <cell r="B172" t="str">
            <v>BOONGO</v>
          </cell>
          <cell r="C172" t="str">
            <v>THEODORE</v>
          </cell>
          <cell r="D172" t="str">
            <v>VERSAILLES</v>
          </cell>
          <cell r="E172">
            <v>91</v>
          </cell>
          <cell r="F172" t="str">
            <v>NC NUMERICABLE ILE-DE-FRANCE</v>
          </cell>
          <cell r="G172" t="str">
            <v>VAD CONSEILLERS</v>
          </cell>
          <cell r="H172" t="str">
            <v>ZERFAINE</v>
          </cell>
          <cell r="I172" t="str">
            <v>IDFR500001</v>
          </cell>
          <cell r="J172">
            <v>100</v>
          </cell>
          <cell r="K172">
            <v>38642</v>
          </cell>
          <cell r="L172" t="str">
            <v>CONSEILLER(E) COM.</v>
          </cell>
          <cell r="M172" t="str">
            <v>TSM</v>
          </cell>
          <cell r="N172" t="str">
            <v>D</v>
          </cell>
          <cell r="O172" t="str">
            <v>CDI</v>
          </cell>
          <cell r="P172">
            <v>151.57</v>
          </cell>
          <cell r="Q172">
            <v>1217.8800000000001</v>
          </cell>
          <cell r="R172">
            <v>1734.88</v>
          </cell>
          <cell r="S172">
            <v>0</v>
          </cell>
          <cell r="T172">
            <v>3400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497.3</v>
          </cell>
          <cell r="AO172">
            <v>0</v>
          </cell>
          <cell r="AP172">
            <v>0</v>
          </cell>
          <cell r="AQ172">
            <v>1217.8800000000001</v>
          </cell>
          <cell r="AR172">
            <v>0</v>
          </cell>
          <cell r="AS172">
            <v>0</v>
          </cell>
          <cell r="AT172">
            <v>0</v>
          </cell>
          <cell r="AU172">
            <v>0</v>
          </cell>
        </row>
        <row r="173">
          <cell r="A173" t="str">
            <v>000A1222</v>
          </cell>
          <cell r="B173" t="str">
            <v>ABDOU</v>
          </cell>
          <cell r="C173" t="str">
            <v>RACHID</v>
          </cell>
          <cell r="D173" t="str">
            <v>VERSAILLES</v>
          </cell>
          <cell r="E173">
            <v>91</v>
          </cell>
          <cell r="F173" t="str">
            <v>NC NUMERICABLE ILE-DE-FRANCE</v>
          </cell>
          <cell r="G173" t="str">
            <v>VAD CONSEILLERS</v>
          </cell>
          <cell r="H173" t="str">
            <v>SELLAMI</v>
          </cell>
          <cell r="I173" t="str">
            <v>IDFR500001</v>
          </cell>
          <cell r="J173">
            <v>100</v>
          </cell>
          <cell r="K173">
            <v>38658</v>
          </cell>
          <cell r="L173" t="str">
            <v>CONSEILLER(E) COM.</v>
          </cell>
          <cell r="M173" t="str">
            <v>TSM</v>
          </cell>
          <cell r="N173" t="str">
            <v>D</v>
          </cell>
          <cell r="O173" t="str">
            <v>CDI</v>
          </cell>
          <cell r="P173">
            <v>151.57</v>
          </cell>
          <cell r="Q173">
            <v>1217.8800000000001</v>
          </cell>
          <cell r="R173">
            <v>1582.2</v>
          </cell>
          <cell r="S173">
            <v>0</v>
          </cell>
          <cell r="T173">
            <v>3000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454.23</v>
          </cell>
          <cell r="AO173">
            <v>0</v>
          </cell>
          <cell r="AP173">
            <v>0</v>
          </cell>
          <cell r="AQ173">
            <v>1217.8800000000001</v>
          </cell>
          <cell r="AR173">
            <v>0</v>
          </cell>
          <cell r="AS173">
            <v>0</v>
          </cell>
          <cell r="AT173">
            <v>0</v>
          </cell>
          <cell r="AU173">
            <v>0</v>
          </cell>
        </row>
        <row r="174">
          <cell r="A174" t="str">
            <v>000A1384</v>
          </cell>
          <cell r="B174" t="str">
            <v>GIRAUD</v>
          </cell>
          <cell r="C174" t="str">
            <v>JEAN CHARLES</v>
          </cell>
          <cell r="D174" t="str">
            <v>MARSEILLE</v>
          </cell>
          <cell r="E174">
            <v>91</v>
          </cell>
          <cell r="F174" t="str">
            <v>NC NUMERICABLE ILE-DE-FRANCE</v>
          </cell>
          <cell r="G174" t="str">
            <v>VAD CONSEILLERS</v>
          </cell>
          <cell r="H174" t="str">
            <v>ZAMORA</v>
          </cell>
          <cell r="I174" t="str">
            <v>SUES500001</v>
          </cell>
          <cell r="J174">
            <v>100</v>
          </cell>
          <cell r="K174">
            <v>38726</v>
          </cell>
          <cell r="L174" t="str">
            <v>CONSEILLER(E) COM.</v>
          </cell>
          <cell r="M174" t="str">
            <v>TSM</v>
          </cell>
          <cell r="N174" t="str">
            <v>D</v>
          </cell>
          <cell r="O174" t="str">
            <v>CDI</v>
          </cell>
          <cell r="P174">
            <v>151.57</v>
          </cell>
          <cell r="Q174">
            <v>1217.8800000000001</v>
          </cell>
          <cell r="R174">
            <v>509.01</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118.04</v>
          </cell>
          <cell r="AO174">
            <v>0</v>
          </cell>
          <cell r="AP174">
            <v>0</v>
          </cell>
          <cell r="AQ174">
            <v>1096.0899999999999</v>
          </cell>
          <cell r="AR174">
            <v>0</v>
          </cell>
          <cell r="AS174">
            <v>0</v>
          </cell>
          <cell r="AT174">
            <v>0</v>
          </cell>
          <cell r="AU174">
            <v>0</v>
          </cell>
        </row>
        <row r="175">
          <cell r="A175" t="str">
            <v>000A1294</v>
          </cell>
          <cell r="B175" t="str">
            <v>DASWANI</v>
          </cell>
          <cell r="C175" t="str">
            <v>SITA</v>
          </cell>
          <cell r="D175" t="str">
            <v>SIEGE</v>
          </cell>
          <cell r="E175">
            <v>91</v>
          </cell>
          <cell r="F175" t="str">
            <v>NC NUMERICABLE ILE-DE-FRANCE</v>
          </cell>
          <cell r="G175" t="str">
            <v>DIRECTION RESS HUM</v>
          </cell>
          <cell r="H175" t="str">
            <v>LUCIANI</v>
          </cell>
          <cell r="I175" t="str">
            <v>GENE703001</v>
          </cell>
          <cell r="J175">
            <v>100</v>
          </cell>
          <cell r="K175">
            <v>38688</v>
          </cell>
          <cell r="L175" t="str">
            <v>RESP. R.H. REGIONS</v>
          </cell>
          <cell r="M175" t="str">
            <v>372C</v>
          </cell>
          <cell r="N175">
            <v>0</v>
          </cell>
          <cell r="O175" t="str">
            <v>CDI</v>
          </cell>
          <cell r="P175">
            <v>151.57</v>
          </cell>
          <cell r="Q175">
            <v>3000</v>
          </cell>
          <cell r="R175">
            <v>1510.2</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323.07</v>
          </cell>
          <cell r="AO175">
            <v>31.21</v>
          </cell>
          <cell r="AP175">
            <v>0</v>
          </cell>
          <cell r="AQ175">
            <v>3000</v>
          </cell>
          <cell r="AR175">
            <v>0</v>
          </cell>
          <cell r="AS175">
            <v>0</v>
          </cell>
          <cell r="AT175">
            <v>0</v>
          </cell>
          <cell r="AU175">
            <v>0</v>
          </cell>
        </row>
        <row r="176">
          <cell r="A176" t="str">
            <v>000A1732</v>
          </cell>
          <cell r="B176" t="str">
            <v>LATRECHE</v>
          </cell>
          <cell r="C176" t="str">
            <v>HABIB</v>
          </cell>
          <cell r="D176" t="str">
            <v>LA MADELEINE</v>
          </cell>
          <cell r="E176">
            <v>91</v>
          </cell>
          <cell r="F176" t="str">
            <v>NC NUMERICABLE ILE-DE-FRANCE</v>
          </cell>
          <cell r="G176" t="str">
            <v>VAD CONSEILLERS</v>
          </cell>
          <cell r="H176" t="str">
            <v>GUIONNET</v>
          </cell>
          <cell r="I176" t="str">
            <v>NPCA500001</v>
          </cell>
          <cell r="J176">
            <v>100</v>
          </cell>
          <cell r="K176">
            <v>38803</v>
          </cell>
          <cell r="L176" t="str">
            <v>CONSEILLER(E) COM.</v>
          </cell>
          <cell r="M176" t="str">
            <v>TSM</v>
          </cell>
          <cell r="N176" t="str">
            <v>D</v>
          </cell>
          <cell r="O176" t="str">
            <v>CDI</v>
          </cell>
          <cell r="P176">
            <v>151.57</v>
          </cell>
          <cell r="Q176">
            <v>0</v>
          </cell>
          <cell r="R176">
            <v>389.78</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1420.86</v>
          </cell>
          <cell r="AR176">
            <v>0</v>
          </cell>
          <cell r="AS176">
            <v>0</v>
          </cell>
          <cell r="AT176">
            <v>0</v>
          </cell>
          <cell r="AU176">
            <v>0</v>
          </cell>
        </row>
        <row r="177">
          <cell r="A177" t="str">
            <v>000A1255</v>
          </cell>
          <cell r="B177" t="str">
            <v>DAWAKA</v>
          </cell>
          <cell r="C177" t="str">
            <v>PRIVAT</v>
          </cell>
          <cell r="D177" t="str">
            <v>LYON GARIBALDI</v>
          </cell>
          <cell r="E177">
            <v>91</v>
          </cell>
          <cell r="F177" t="str">
            <v>NC NUMERICABLE ILE-DE-FRANCE</v>
          </cell>
          <cell r="G177" t="str">
            <v>VAD CONSEILLERS</v>
          </cell>
          <cell r="H177" t="str">
            <v>JAUNAY</v>
          </cell>
          <cell r="I177" t="str">
            <v>RHON500001</v>
          </cell>
          <cell r="J177">
            <v>100</v>
          </cell>
          <cell r="K177">
            <v>38670</v>
          </cell>
          <cell r="L177" t="str">
            <v>CONSEILLER(E) COM.</v>
          </cell>
          <cell r="M177" t="str">
            <v>TSM</v>
          </cell>
          <cell r="N177" t="str">
            <v>D</v>
          </cell>
          <cell r="O177" t="str">
            <v>CDI</v>
          </cell>
          <cell r="P177">
            <v>151.57</v>
          </cell>
          <cell r="Q177">
            <v>1217.8800000000001</v>
          </cell>
          <cell r="R177">
            <v>1718.99</v>
          </cell>
          <cell r="S177">
            <v>0</v>
          </cell>
          <cell r="T177">
            <v>3480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505.93</v>
          </cell>
          <cell r="AO177">
            <v>0</v>
          </cell>
          <cell r="AP177">
            <v>0</v>
          </cell>
          <cell r="AQ177">
            <v>1217.8800000000001</v>
          </cell>
          <cell r="AR177">
            <v>0</v>
          </cell>
          <cell r="AS177">
            <v>0</v>
          </cell>
          <cell r="AT177">
            <v>0</v>
          </cell>
          <cell r="AU177">
            <v>0</v>
          </cell>
        </row>
        <row r="178">
          <cell r="A178" t="str">
            <v>000A1600</v>
          </cell>
          <cell r="B178" t="str">
            <v>CHEROUAT</v>
          </cell>
          <cell r="C178" t="str">
            <v>NISEM</v>
          </cell>
          <cell r="D178" t="str">
            <v>MARSEILLE</v>
          </cell>
          <cell r="E178">
            <v>91</v>
          </cell>
          <cell r="F178" t="str">
            <v>NC NUMERICABLE ILE-DE-FRANCE</v>
          </cell>
          <cell r="G178" t="str">
            <v>VAD CONSEILLERS</v>
          </cell>
          <cell r="H178" t="str">
            <v>VIVIN</v>
          </cell>
          <cell r="I178" t="str">
            <v>SUES500001</v>
          </cell>
          <cell r="J178">
            <v>100</v>
          </cell>
          <cell r="K178">
            <v>38775</v>
          </cell>
          <cell r="L178" t="str">
            <v>CONSEILLER(E) COM.</v>
          </cell>
          <cell r="M178" t="str">
            <v>TSM</v>
          </cell>
          <cell r="N178" t="str">
            <v>D</v>
          </cell>
          <cell r="O178" t="str">
            <v>CDI</v>
          </cell>
          <cell r="P178">
            <v>151.57</v>
          </cell>
          <cell r="Q178">
            <v>0</v>
          </cell>
          <cell r="R178">
            <v>518.6</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279.8</v>
          </cell>
          <cell r="AO178">
            <v>0</v>
          </cell>
          <cell r="AP178">
            <v>0</v>
          </cell>
          <cell r="AQ178">
            <v>1217.8800000000001</v>
          </cell>
          <cell r="AR178">
            <v>0</v>
          </cell>
          <cell r="AS178">
            <v>0</v>
          </cell>
          <cell r="AT178">
            <v>0</v>
          </cell>
          <cell r="AU178">
            <v>0</v>
          </cell>
        </row>
        <row r="179">
          <cell r="A179" t="str">
            <v>000A1381</v>
          </cell>
          <cell r="B179" t="str">
            <v>GRIMALDI</v>
          </cell>
          <cell r="C179" t="str">
            <v>VANESSA</v>
          </cell>
          <cell r="D179" t="str">
            <v>MARSEILLE</v>
          </cell>
          <cell r="E179">
            <v>91</v>
          </cell>
          <cell r="F179" t="str">
            <v>NC NUMERICABLE ILE-DE-FRANCE</v>
          </cell>
          <cell r="G179" t="str">
            <v>VAD CONSEILLERS</v>
          </cell>
          <cell r="H179" t="str">
            <v>BELKHIR</v>
          </cell>
          <cell r="I179" t="str">
            <v>SUES500001</v>
          </cell>
          <cell r="J179">
            <v>100</v>
          </cell>
          <cell r="K179">
            <v>38726</v>
          </cell>
          <cell r="L179" t="str">
            <v>CONSEILLER(E) COM.</v>
          </cell>
          <cell r="M179" t="str">
            <v>TSM</v>
          </cell>
          <cell r="N179" t="str">
            <v>D</v>
          </cell>
          <cell r="O179" t="str">
            <v>CDI</v>
          </cell>
          <cell r="P179">
            <v>151.57</v>
          </cell>
          <cell r="Q179">
            <v>1217.8800000000001</v>
          </cell>
          <cell r="R179">
            <v>19.670000000000002</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54.27</v>
          </cell>
          <cell r="AO179">
            <v>0</v>
          </cell>
          <cell r="AP179">
            <v>0</v>
          </cell>
          <cell r="AQ179">
            <v>46.81</v>
          </cell>
          <cell r="AR179">
            <v>0</v>
          </cell>
          <cell r="AS179">
            <v>0</v>
          </cell>
          <cell r="AT179">
            <v>0</v>
          </cell>
          <cell r="AU179">
            <v>0</v>
          </cell>
        </row>
        <row r="180">
          <cell r="A180" t="str">
            <v>000A1627</v>
          </cell>
          <cell r="B180" t="str">
            <v>BOUFEDECHE</v>
          </cell>
          <cell r="C180" t="str">
            <v>SALIM</v>
          </cell>
          <cell r="D180" t="str">
            <v>LA MADELEINE</v>
          </cell>
          <cell r="E180">
            <v>91</v>
          </cell>
          <cell r="F180" t="str">
            <v>NC NUMERICABLE ILE-DE-FRANCE</v>
          </cell>
          <cell r="G180" t="str">
            <v>VAD CONSEILLERS</v>
          </cell>
          <cell r="H180" t="str">
            <v>GUIONNET</v>
          </cell>
          <cell r="I180" t="str">
            <v>NPCA500001</v>
          </cell>
          <cell r="J180">
            <v>100</v>
          </cell>
          <cell r="K180">
            <v>38768</v>
          </cell>
          <cell r="L180" t="str">
            <v>CONSEILLER(E) COM.</v>
          </cell>
          <cell r="M180" t="str">
            <v>TSM</v>
          </cell>
          <cell r="N180" t="str">
            <v>D</v>
          </cell>
          <cell r="O180" t="str">
            <v>CDI</v>
          </cell>
          <cell r="P180">
            <v>151.57</v>
          </cell>
          <cell r="Q180">
            <v>0</v>
          </cell>
          <cell r="R180">
            <v>530.66999999999996</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301.66000000000003</v>
          </cell>
          <cell r="AO180">
            <v>0</v>
          </cell>
          <cell r="AP180">
            <v>0</v>
          </cell>
          <cell r="AQ180">
            <v>1217.8800000000001</v>
          </cell>
          <cell r="AR180">
            <v>0</v>
          </cell>
          <cell r="AS180">
            <v>0</v>
          </cell>
          <cell r="AT180">
            <v>0</v>
          </cell>
          <cell r="AU180">
            <v>0</v>
          </cell>
        </row>
        <row r="181">
          <cell r="A181" t="str">
            <v>000BM273</v>
          </cell>
          <cell r="B181" t="str">
            <v>MEHNANA</v>
          </cell>
          <cell r="C181" t="str">
            <v>RAFIK</v>
          </cell>
          <cell r="D181" t="str">
            <v>LYON CATN</v>
          </cell>
          <cell r="E181">
            <v>61</v>
          </cell>
          <cell r="F181" t="str">
            <v>NC NUMERICABLE RHONES-ALPES</v>
          </cell>
          <cell r="G181" t="str">
            <v>CATN 1ERE LIGNE</v>
          </cell>
          <cell r="H181" t="str">
            <v>BAYARD</v>
          </cell>
          <cell r="I181" t="str">
            <v>CLIE411001</v>
          </cell>
          <cell r="J181">
            <v>100</v>
          </cell>
          <cell r="K181">
            <v>38691</v>
          </cell>
          <cell r="L181" t="str">
            <v>CHARGE(E)CLIENTELE</v>
          </cell>
          <cell r="M181" t="str">
            <v>EMPLOYE</v>
          </cell>
          <cell r="N181" t="str">
            <v>C</v>
          </cell>
          <cell r="O181" t="str">
            <v>CDI</v>
          </cell>
          <cell r="P181">
            <v>151.57</v>
          </cell>
          <cell r="Q181">
            <v>1220</v>
          </cell>
          <cell r="R181">
            <v>1753.56</v>
          </cell>
          <cell r="S181">
            <v>0</v>
          </cell>
          <cell r="T181">
            <v>0</v>
          </cell>
          <cell r="U181">
            <v>0</v>
          </cell>
          <cell r="V181">
            <v>0</v>
          </cell>
          <cell r="W181">
            <v>2176.6999999999998</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365.8</v>
          </cell>
          <cell r="AO181">
            <v>0</v>
          </cell>
          <cell r="AP181">
            <v>0</v>
          </cell>
          <cell r="AQ181">
            <v>1220</v>
          </cell>
          <cell r="AR181">
            <v>0</v>
          </cell>
          <cell r="AS181">
            <v>0</v>
          </cell>
          <cell r="AT181">
            <v>0</v>
          </cell>
          <cell r="AU181">
            <v>0</v>
          </cell>
        </row>
        <row r="182">
          <cell r="A182" t="str">
            <v>000A1329</v>
          </cell>
          <cell r="B182" t="str">
            <v>BOUCHARMA</v>
          </cell>
          <cell r="C182" t="str">
            <v>AMELLE</v>
          </cell>
          <cell r="D182" t="str">
            <v>LYON CATN</v>
          </cell>
          <cell r="E182">
            <v>61</v>
          </cell>
          <cell r="F182" t="str">
            <v>NC NUMERICABLE RHONES-ALPES</v>
          </cell>
          <cell r="G182" t="str">
            <v>CATN 2EME LIGNE</v>
          </cell>
          <cell r="H182" t="str">
            <v>BAYARD</v>
          </cell>
          <cell r="I182" t="str">
            <v>CLIE411001</v>
          </cell>
          <cell r="J182">
            <v>100</v>
          </cell>
          <cell r="K182">
            <v>38692</v>
          </cell>
          <cell r="L182" t="str">
            <v>CHARGE(E)CLIENTELE</v>
          </cell>
          <cell r="M182" t="str">
            <v>EMPLOYE</v>
          </cell>
          <cell r="N182" t="str">
            <v>C</v>
          </cell>
          <cell r="P182">
            <v>151.57</v>
          </cell>
          <cell r="Q182">
            <v>1450</v>
          </cell>
          <cell r="R182">
            <v>917.49</v>
          </cell>
          <cell r="S182">
            <v>0</v>
          </cell>
          <cell r="T182">
            <v>0</v>
          </cell>
          <cell r="U182">
            <v>0</v>
          </cell>
          <cell r="V182">
            <v>0</v>
          </cell>
          <cell r="W182">
            <v>145.35</v>
          </cell>
          <cell r="X182">
            <v>95</v>
          </cell>
          <cell r="Y182">
            <v>0</v>
          </cell>
          <cell r="Z182">
            <v>192</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178.85</v>
          </cell>
          <cell r="AO182">
            <v>0</v>
          </cell>
          <cell r="AP182">
            <v>0</v>
          </cell>
          <cell r="AQ182">
            <v>1228.46</v>
          </cell>
          <cell r="AR182">
            <v>287</v>
          </cell>
          <cell r="AS182">
            <v>0</v>
          </cell>
          <cell r="AT182">
            <v>0</v>
          </cell>
          <cell r="AU182">
            <v>0</v>
          </cell>
        </row>
        <row r="183">
          <cell r="A183" t="str">
            <v>000A1202</v>
          </cell>
          <cell r="B183" t="str">
            <v>CHANTELOUP</v>
          </cell>
          <cell r="C183" t="str">
            <v>RENE</v>
          </cell>
          <cell r="D183" t="str">
            <v>NIMES</v>
          </cell>
          <cell r="E183">
            <v>91</v>
          </cell>
          <cell r="F183" t="str">
            <v>NC NUMERICABLE ILE-DE-FRANCE</v>
          </cell>
          <cell r="G183" t="str">
            <v>VAD CONSEILLERS</v>
          </cell>
          <cell r="H183" t="str">
            <v>RIOS</v>
          </cell>
          <cell r="I183" t="str">
            <v>SUES500001</v>
          </cell>
          <cell r="J183">
            <v>100</v>
          </cell>
          <cell r="K183">
            <v>38663</v>
          </cell>
          <cell r="L183" t="str">
            <v>CONSEILLER(E) COM.</v>
          </cell>
          <cell r="M183" t="str">
            <v>TSM</v>
          </cell>
          <cell r="N183" t="str">
            <v>D</v>
          </cell>
          <cell r="O183" t="str">
            <v>CDI</v>
          </cell>
          <cell r="P183">
            <v>151.57</v>
          </cell>
          <cell r="Q183">
            <v>1217.8800000000001</v>
          </cell>
          <cell r="R183">
            <v>593.64</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131.15</v>
          </cell>
          <cell r="AO183">
            <v>0</v>
          </cell>
          <cell r="AP183">
            <v>0</v>
          </cell>
          <cell r="AQ183">
            <v>1217.8800000000001</v>
          </cell>
          <cell r="AR183">
            <v>0</v>
          </cell>
          <cell r="AS183">
            <v>0</v>
          </cell>
          <cell r="AT183">
            <v>0</v>
          </cell>
          <cell r="AU183">
            <v>0</v>
          </cell>
        </row>
        <row r="184">
          <cell r="A184" t="str">
            <v>000A1278</v>
          </cell>
          <cell r="B184" t="str">
            <v>PARAISO</v>
          </cell>
          <cell r="C184" t="str">
            <v>MESMIN</v>
          </cell>
          <cell r="D184" t="str">
            <v>VERSAILLES</v>
          </cell>
          <cell r="E184">
            <v>91</v>
          </cell>
          <cell r="F184" t="str">
            <v>NC NUMERICABLE ILE-DE-FRANCE</v>
          </cell>
          <cell r="G184" t="str">
            <v>VAD CONSEILLERS</v>
          </cell>
          <cell r="H184" t="str">
            <v>ZERFAINE</v>
          </cell>
          <cell r="I184" t="str">
            <v>IDFR500001</v>
          </cell>
          <cell r="J184">
            <v>100</v>
          </cell>
          <cell r="K184">
            <v>38658</v>
          </cell>
          <cell r="L184" t="str">
            <v>CONSEILLER(E) COM.</v>
          </cell>
          <cell r="M184" t="str">
            <v>TSM</v>
          </cell>
          <cell r="N184" t="str">
            <v>D</v>
          </cell>
          <cell r="O184" t="str">
            <v>CDI</v>
          </cell>
          <cell r="P184">
            <v>151.57</v>
          </cell>
          <cell r="Q184">
            <v>1217.8800000000001</v>
          </cell>
          <cell r="R184">
            <v>1782.87</v>
          </cell>
          <cell r="S184">
            <v>0</v>
          </cell>
          <cell r="T184">
            <v>3560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514.54</v>
          </cell>
          <cell r="AO184">
            <v>0</v>
          </cell>
          <cell r="AP184">
            <v>0</v>
          </cell>
          <cell r="AQ184">
            <v>1217.8800000000001</v>
          </cell>
          <cell r="AR184">
            <v>0</v>
          </cell>
          <cell r="AS184">
            <v>0</v>
          </cell>
          <cell r="AT184">
            <v>0</v>
          </cell>
          <cell r="AU184">
            <v>0</v>
          </cell>
        </row>
        <row r="185">
          <cell r="A185" t="str">
            <v>000A1389</v>
          </cell>
          <cell r="B185" t="str">
            <v>SELLIER</v>
          </cell>
          <cell r="C185" t="str">
            <v>ARNAUD</v>
          </cell>
          <cell r="D185" t="str">
            <v>ROUEN</v>
          </cell>
          <cell r="E185">
            <v>91</v>
          </cell>
          <cell r="F185" t="str">
            <v>NC NUMERICABLE ILE-DE-FRANCE</v>
          </cell>
          <cell r="G185" t="str">
            <v>VAD CONSEILLERS</v>
          </cell>
          <cell r="H185" t="str">
            <v>ALLAIN G</v>
          </cell>
          <cell r="I185" t="str">
            <v>OUES500001</v>
          </cell>
          <cell r="J185">
            <v>100</v>
          </cell>
          <cell r="K185">
            <v>38726</v>
          </cell>
          <cell r="L185" t="str">
            <v>CONSEILLER(E) COM.</v>
          </cell>
          <cell r="M185" t="str">
            <v>TSM</v>
          </cell>
          <cell r="N185" t="str">
            <v>D</v>
          </cell>
          <cell r="O185" t="str">
            <v>CDI</v>
          </cell>
          <cell r="P185">
            <v>151.57</v>
          </cell>
          <cell r="Q185">
            <v>1217.8800000000001</v>
          </cell>
          <cell r="R185">
            <v>1369.31</v>
          </cell>
          <cell r="S185">
            <v>0</v>
          </cell>
          <cell r="T185">
            <v>2353.91</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384.66</v>
          </cell>
          <cell r="AO185">
            <v>0</v>
          </cell>
          <cell r="AP185">
            <v>0</v>
          </cell>
          <cell r="AQ185">
            <v>1217.8800000000001</v>
          </cell>
          <cell r="AR185">
            <v>0</v>
          </cell>
          <cell r="AS185">
            <v>0</v>
          </cell>
          <cell r="AT185">
            <v>0</v>
          </cell>
          <cell r="AU185">
            <v>0</v>
          </cell>
        </row>
        <row r="186">
          <cell r="A186" t="str">
            <v>000A1706</v>
          </cell>
          <cell r="B186" t="str">
            <v>KHAROUBI</v>
          </cell>
          <cell r="C186" t="str">
            <v>JONATHAN</v>
          </cell>
          <cell r="D186" t="str">
            <v>MARSEILLE</v>
          </cell>
          <cell r="E186">
            <v>91</v>
          </cell>
          <cell r="F186" t="str">
            <v>NC NUMERICABLE ILE-DE-FRANCE</v>
          </cell>
          <cell r="G186" t="str">
            <v>VAD CONSEILLERS</v>
          </cell>
          <cell r="H186" t="str">
            <v>VIVIN</v>
          </cell>
          <cell r="I186" t="str">
            <v>SUES500001</v>
          </cell>
          <cell r="J186">
            <v>100</v>
          </cell>
          <cell r="K186">
            <v>38810</v>
          </cell>
          <cell r="L186" t="str">
            <v>CONSEILLER(E) COM.</v>
          </cell>
          <cell r="M186" t="str">
            <v>TSM</v>
          </cell>
          <cell r="N186" t="str">
            <v>D</v>
          </cell>
          <cell r="O186" t="str">
            <v>CDI</v>
          </cell>
          <cell r="P186">
            <v>151.57</v>
          </cell>
          <cell r="Q186">
            <v>0</v>
          </cell>
          <cell r="R186">
            <v>248.46</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893.11</v>
          </cell>
          <cell r="AR186">
            <v>0</v>
          </cell>
          <cell r="AS186">
            <v>0</v>
          </cell>
          <cell r="AT186">
            <v>0</v>
          </cell>
          <cell r="AU186">
            <v>0</v>
          </cell>
        </row>
        <row r="187">
          <cell r="A187" t="str">
            <v>000A1616</v>
          </cell>
          <cell r="B187" t="str">
            <v>LANDAIS</v>
          </cell>
          <cell r="C187" t="str">
            <v>OLIVIER</v>
          </cell>
          <cell r="D187" t="str">
            <v>NANTES</v>
          </cell>
          <cell r="E187">
            <v>91</v>
          </cell>
          <cell r="F187" t="str">
            <v>NC NUMERICABLE ILE-DE-FRANCE</v>
          </cell>
          <cell r="G187" t="str">
            <v>VAD CONSEILLERS</v>
          </cell>
          <cell r="H187" t="str">
            <v>JAUD</v>
          </cell>
          <cell r="I187" t="str">
            <v>OUES500001</v>
          </cell>
          <cell r="J187">
            <v>100</v>
          </cell>
          <cell r="K187">
            <v>38768</v>
          </cell>
          <cell r="L187" t="str">
            <v>CONSEILLER(E) COM.</v>
          </cell>
          <cell r="M187" t="str">
            <v>TSM</v>
          </cell>
          <cell r="N187" t="str">
            <v>D</v>
          </cell>
          <cell r="O187" t="str">
            <v>CDI</v>
          </cell>
          <cell r="P187">
            <v>151.57</v>
          </cell>
          <cell r="Q187">
            <v>0</v>
          </cell>
          <cell r="R187">
            <v>1134.8699999999999</v>
          </cell>
          <cell r="S187">
            <v>0</v>
          </cell>
          <cell r="T187">
            <v>1420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112.5</v>
          </cell>
          <cell r="AM187">
            <v>0</v>
          </cell>
          <cell r="AN187">
            <v>454.58</v>
          </cell>
          <cell r="AO187">
            <v>0</v>
          </cell>
          <cell r="AP187">
            <v>0</v>
          </cell>
          <cell r="AQ187">
            <v>1217.8800000000001</v>
          </cell>
          <cell r="AR187">
            <v>112.5</v>
          </cell>
          <cell r="AS187">
            <v>0</v>
          </cell>
          <cell r="AT187">
            <v>0</v>
          </cell>
          <cell r="AU187">
            <v>0</v>
          </cell>
        </row>
        <row r="188">
          <cell r="A188" t="str">
            <v>000A1641</v>
          </cell>
          <cell r="B188" t="str">
            <v>MOHAMED</v>
          </cell>
          <cell r="C188" t="str">
            <v>LAETITIA</v>
          </cell>
          <cell r="D188" t="str">
            <v>NIMES</v>
          </cell>
          <cell r="E188">
            <v>91</v>
          </cell>
          <cell r="F188" t="str">
            <v>NC NUMERICABLE ILE-DE-FRANCE</v>
          </cell>
          <cell r="G188" t="str">
            <v>VAD CONSEILLERS</v>
          </cell>
          <cell r="H188" t="str">
            <v>VIVIN</v>
          </cell>
          <cell r="I188" t="str">
            <v>SUES500001</v>
          </cell>
          <cell r="J188">
            <v>100</v>
          </cell>
          <cell r="K188">
            <v>38775</v>
          </cell>
          <cell r="L188" t="str">
            <v>CONSEILLER(E) COM.</v>
          </cell>
          <cell r="M188" t="str">
            <v>TSM</v>
          </cell>
          <cell r="N188" t="str">
            <v>D</v>
          </cell>
          <cell r="O188" t="str">
            <v>CDI</v>
          </cell>
          <cell r="P188">
            <v>151.57</v>
          </cell>
          <cell r="Q188">
            <v>0</v>
          </cell>
          <cell r="R188">
            <v>518.6</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279.8</v>
          </cell>
          <cell r="AO188">
            <v>0</v>
          </cell>
          <cell r="AP188">
            <v>0</v>
          </cell>
          <cell r="AQ188">
            <v>1217.8800000000001</v>
          </cell>
          <cell r="AR188">
            <v>0</v>
          </cell>
          <cell r="AS188">
            <v>0</v>
          </cell>
          <cell r="AT188">
            <v>0</v>
          </cell>
          <cell r="AU188">
            <v>0</v>
          </cell>
        </row>
        <row r="189">
          <cell r="A189" t="str">
            <v>000BP012</v>
          </cell>
          <cell r="B189" t="str">
            <v>PIZOT</v>
          </cell>
          <cell r="C189" t="str">
            <v>ALAIN</v>
          </cell>
          <cell r="D189" t="str">
            <v>LYON GARIBALDI</v>
          </cell>
          <cell r="E189">
            <v>91</v>
          </cell>
          <cell r="F189" t="str">
            <v>NC NUMERICABLE ILE-DE-FRANCE</v>
          </cell>
          <cell r="G189" t="str">
            <v>MAINTENANCE RESEAU</v>
          </cell>
          <cell r="H189" t="str">
            <v>DONT</v>
          </cell>
          <cell r="I189" t="str">
            <v>RHON300001</v>
          </cell>
          <cell r="J189">
            <v>100</v>
          </cell>
          <cell r="K189">
            <v>32721</v>
          </cell>
          <cell r="L189" t="str">
            <v>RESP.TECH.EXPL.</v>
          </cell>
          <cell r="M189" t="str">
            <v>CADRE</v>
          </cell>
          <cell r="N189" t="str">
            <v>E</v>
          </cell>
          <cell r="O189" t="str">
            <v>CDI</v>
          </cell>
          <cell r="P189">
            <v>151.57</v>
          </cell>
          <cell r="Q189">
            <v>3880</v>
          </cell>
          <cell r="R189">
            <v>2296.17</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219</v>
          </cell>
          <cell r="AL189">
            <v>0</v>
          </cell>
          <cell r="AM189">
            <v>0</v>
          </cell>
          <cell r="AN189">
            <v>466.73</v>
          </cell>
          <cell r="AO189">
            <v>0</v>
          </cell>
          <cell r="AP189">
            <v>0</v>
          </cell>
          <cell r="AQ189">
            <v>3880</v>
          </cell>
          <cell r="AR189">
            <v>0</v>
          </cell>
          <cell r="AS189">
            <v>219</v>
          </cell>
          <cell r="AT189">
            <v>0</v>
          </cell>
          <cell r="AU189">
            <v>0</v>
          </cell>
        </row>
        <row r="190">
          <cell r="A190" t="str">
            <v>000BK013</v>
          </cell>
          <cell r="B190" t="str">
            <v>KOZMA</v>
          </cell>
          <cell r="C190" t="str">
            <v>JEAN-PHILIPPE</v>
          </cell>
          <cell r="D190" t="str">
            <v>NICE</v>
          </cell>
          <cell r="E190">
            <v>91</v>
          </cell>
          <cell r="F190" t="str">
            <v>NC NUMERICABLE ILE-DE-FRANCE</v>
          </cell>
          <cell r="G190" t="str">
            <v>RACCORDEMENT IMMOB STC.</v>
          </cell>
          <cell r="I190" t="str">
            <v>GENE905001</v>
          </cell>
          <cell r="J190">
            <v>100</v>
          </cell>
          <cell r="K190">
            <v>34212</v>
          </cell>
          <cell r="L190" t="str">
            <v>RESP.TECH.CLIENTELE</v>
          </cell>
          <cell r="M190" t="str">
            <v>CADRE</v>
          </cell>
          <cell r="N190" t="str">
            <v>E</v>
          </cell>
          <cell r="O190" t="str">
            <v>CDI</v>
          </cell>
          <cell r="P190">
            <v>151.57</v>
          </cell>
          <cell r="Q190">
            <v>2899</v>
          </cell>
          <cell r="R190">
            <v>1433.71</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372.49</v>
          </cell>
          <cell r="AO190">
            <v>0</v>
          </cell>
          <cell r="AP190">
            <v>0</v>
          </cell>
          <cell r="AQ190">
            <v>3371.04</v>
          </cell>
          <cell r="AR190">
            <v>0</v>
          </cell>
          <cell r="AS190">
            <v>0</v>
          </cell>
          <cell r="AT190">
            <v>0</v>
          </cell>
          <cell r="AU190">
            <v>0</v>
          </cell>
        </row>
        <row r="191">
          <cell r="A191" t="str">
            <v>000A0713</v>
          </cell>
          <cell r="B191" t="str">
            <v>MANAC'H</v>
          </cell>
          <cell r="C191" t="str">
            <v>JEAN</v>
          </cell>
          <cell r="D191" t="str">
            <v>SIEGE</v>
          </cell>
          <cell r="E191">
            <v>91</v>
          </cell>
          <cell r="F191" t="str">
            <v>NC NUMERICABLE ILE-DE-FRANCE</v>
          </cell>
          <cell r="G191" t="str">
            <v>INFORMATIQUE</v>
          </cell>
          <cell r="H191" t="str">
            <v>BARLOT</v>
          </cell>
          <cell r="I191" t="str">
            <v>GENE620001</v>
          </cell>
          <cell r="J191">
            <v>100</v>
          </cell>
          <cell r="K191">
            <v>36220</v>
          </cell>
          <cell r="L191" t="str">
            <v>CHEF DE PROJET</v>
          </cell>
          <cell r="M191" t="str">
            <v>CADRE</v>
          </cell>
          <cell r="N191" t="str">
            <v>E</v>
          </cell>
          <cell r="O191" t="str">
            <v>CDI</v>
          </cell>
          <cell r="P191">
            <v>151.57</v>
          </cell>
          <cell r="Q191">
            <v>5616</v>
          </cell>
          <cell r="R191">
            <v>2795.42</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604.79999999999995</v>
          </cell>
          <cell r="AO191">
            <v>38.68</v>
          </cell>
          <cell r="AP191">
            <v>0</v>
          </cell>
          <cell r="AQ191">
            <v>5616</v>
          </cell>
          <cell r="AR191">
            <v>0</v>
          </cell>
          <cell r="AS191">
            <v>0</v>
          </cell>
          <cell r="AT191">
            <v>0</v>
          </cell>
          <cell r="AU191">
            <v>0</v>
          </cell>
        </row>
        <row r="192">
          <cell r="A192" t="str">
            <v>000A0724</v>
          </cell>
          <cell r="B192" t="str">
            <v>BARKALLAH</v>
          </cell>
          <cell r="C192" t="str">
            <v>ROUCHDI</v>
          </cell>
          <cell r="D192" t="str">
            <v>SIEGE</v>
          </cell>
          <cell r="E192">
            <v>91</v>
          </cell>
          <cell r="F192" t="str">
            <v>NC NUMERICABLE ILE-DE-FRANCE</v>
          </cell>
          <cell r="G192" t="str">
            <v>COMPTABILITE</v>
          </cell>
          <cell r="I192" t="str">
            <v>GENE905001</v>
          </cell>
          <cell r="J192">
            <v>100</v>
          </cell>
          <cell r="K192">
            <v>36312</v>
          </cell>
          <cell r="L192" t="str">
            <v>CHEF GROUPE COMPT.</v>
          </cell>
          <cell r="M192" t="str">
            <v>CADRE</v>
          </cell>
          <cell r="N192" t="str">
            <v>DB</v>
          </cell>
          <cell r="O192" t="str">
            <v>CDI</v>
          </cell>
          <cell r="P192">
            <v>151.57</v>
          </cell>
          <cell r="Q192">
            <v>2730</v>
          </cell>
          <cell r="R192">
            <v>1521.31</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380.31</v>
          </cell>
          <cell r="AN192">
            <v>282.2</v>
          </cell>
          <cell r="AO192">
            <v>0</v>
          </cell>
          <cell r="AP192">
            <v>0</v>
          </cell>
          <cell r="AQ192">
            <v>3110.31</v>
          </cell>
          <cell r="AR192">
            <v>0</v>
          </cell>
          <cell r="AS192">
            <v>0</v>
          </cell>
          <cell r="AT192">
            <v>0</v>
          </cell>
          <cell r="AU192">
            <v>0</v>
          </cell>
        </row>
        <row r="193">
          <cell r="A193" t="str">
            <v>000A0794</v>
          </cell>
          <cell r="B193" t="str">
            <v>DELPLA</v>
          </cell>
          <cell r="C193" t="str">
            <v>MARC</v>
          </cell>
          <cell r="D193" t="str">
            <v>SIEGE</v>
          </cell>
          <cell r="E193">
            <v>91</v>
          </cell>
          <cell r="F193" t="str">
            <v>NC NUMERICABLE ILE-DE-FRANCE</v>
          </cell>
          <cell r="G193" t="str">
            <v>COMPTABILITE</v>
          </cell>
          <cell r="H193" t="str">
            <v>SANCHEZ</v>
          </cell>
          <cell r="I193" t="str">
            <v>GENE701001</v>
          </cell>
          <cell r="J193">
            <v>100</v>
          </cell>
          <cell r="K193">
            <v>36710</v>
          </cell>
          <cell r="L193" t="str">
            <v>COMPTABLE.NIV.1</v>
          </cell>
          <cell r="M193" t="str">
            <v>EMPLOYE</v>
          </cell>
          <cell r="N193" t="str">
            <v>C</v>
          </cell>
          <cell r="O193" t="str">
            <v>CDI</v>
          </cell>
          <cell r="P193">
            <v>151.57</v>
          </cell>
          <cell r="Q193">
            <v>1818.47</v>
          </cell>
          <cell r="R193">
            <v>672.31</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207.24</v>
          </cell>
          <cell r="AO193">
            <v>38.68</v>
          </cell>
          <cell r="AP193">
            <v>0</v>
          </cell>
          <cell r="AQ193">
            <v>1314.97</v>
          </cell>
          <cell r="AR193">
            <v>0</v>
          </cell>
          <cell r="AS193">
            <v>0</v>
          </cell>
          <cell r="AT193">
            <v>0</v>
          </cell>
          <cell r="AU193">
            <v>0</v>
          </cell>
        </row>
        <row r="194">
          <cell r="A194" t="str">
            <v>000A0912</v>
          </cell>
          <cell r="B194" t="str">
            <v>TADDEI</v>
          </cell>
          <cell r="C194" t="str">
            <v>STEPHANE</v>
          </cell>
          <cell r="D194" t="str">
            <v>SIEGE</v>
          </cell>
          <cell r="E194">
            <v>91</v>
          </cell>
          <cell r="F194" t="str">
            <v>NC NUMERICABLE ILE-DE-FRANCE</v>
          </cell>
          <cell r="G194" t="str">
            <v>DIRECTION RESS HUM</v>
          </cell>
          <cell r="H194" t="str">
            <v>LUCIANI</v>
          </cell>
          <cell r="I194" t="str">
            <v>GENE703001</v>
          </cell>
          <cell r="J194">
            <v>100</v>
          </cell>
          <cell r="K194">
            <v>37207</v>
          </cell>
          <cell r="L194" t="str">
            <v>RESP. ADM. PAIE</v>
          </cell>
          <cell r="M194" t="str">
            <v>CADRE</v>
          </cell>
          <cell r="N194" t="str">
            <v>E</v>
          </cell>
          <cell r="O194" t="str">
            <v>CDI</v>
          </cell>
          <cell r="P194">
            <v>151.57</v>
          </cell>
          <cell r="Q194">
            <v>3000</v>
          </cell>
          <cell r="R194">
            <v>512.02</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323.08</v>
          </cell>
          <cell r="AO194">
            <v>23.61</v>
          </cell>
          <cell r="AP194">
            <v>0</v>
          </cell>
          <cell r="AQ194">
            <v>923.4</v>
          </cell>
          <cell r="AR194">
            <v>0</v>
          </cell>
          <cell r="AS194">
            <v>0</v>
          </cell>
          <cell r="AT194">
            <v>0</v>
          </cell>
          <cell r="AU194">
            <v>0</v>
          </cell>
        </row>
        <row r="195">
          <cell r="A195">
            <v>3529</v>
          </cell>
          <cell r="B195" t="str">
            <v>DELEBARRE</v>
          </cell>
          <cell r="C195" t="str">
            <v>PATRICK</v>
          </cell>
          <cell r="D195" t="str">
            <v>LA MADELEINE</v>
          </cell>
          <cell r="E195">
            <v>91</v>
          </cell>
          <cell r="F195" t="str">
            <v>NC NUMERICABLE ILE-DE-FRANCE</v>
          </cell>
          <cell r="G195" t="str">
            <v>QUALITE</v>
          </cell>
          <cell r="I195" t="str">
            <v>GENE905001</v>
          </cell>
          <cell r="J195">
            <v>100</v>
          </cell>
          <cell r="K195">
            <v>33451</v>
          </cell>
          <cell r="L195" t="str">
            <v>DIRECTEUR QUALITE</v>
          </cell>
          <cell r="M195" t="str">
            <v>CADRE</v>
          </cell>
          <cell r="N195" t="str">
            <v>G</v>
          </cell>
          <cell r="O195" t="str">
            <v>CDI</v>
          </cell>
          <cell r="P195">
            <v>151.57</v>
          </cell>
          <cell r="Q195">
            <v>6528</v>
          </cell>
          <cell r="R195">
            <v>3398.11</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96.45</v>
          </cell>
          <cell r="AN195">
            <v>736.11</v>
          </cell>
          <cell r="AO195">
            <v>0</v>
          </cell>
          <cell r="AP195">
            <v>0</v>
          </cell>
          <cell r="AQ195">
            <v>6624.45</v>
          </cell>
          <cell r="AR195">
            <v>0</v>
          </cell>
          <cell r="AS195">
            <v>0</v>
          </cell>
          <cell r="AT195">
            <v>0</v>
          </cell>
          <cell r="AU195">
            <v>0</v>
          </cell>
        </row>
        <row r="196">
          <cell r="A196" t="str">
            <v>000A0691</v>
          </cell>
          <cell r="B196" t="str">
            <v>BARNAT</v>
          </cell>
          <cell r="C196" t="str">
            <v>SOUNDOUS</v>
          </cell>
          <cell r="D196" t="str">
            <v>SIEGE</v>
          </cell>
          <cell r="E196">
            <v>91</v>
          </cell>
          <cell r="F196" t="str">
            <v>NC NUMERICABLE ILE-DE-FRANCE</v>
          </cell>
          <cell r="G196" t="str">
            <v>JURIDIQUE</v>
          </cell>
          <cell r="H196" t="str">
            <v>BENETTI</v>
          </cell>
          <cell r="I196" t="str">
            <v>GENE548001</v>
          </cell>
          <cell r="J196">
            <v>100</v>
          </cell>
          <cell r="K196">
            <v>35961</v>
          </cell>
          <cell r="L196" t="str">
            <v>JURISTE</v>
          </cell>
          <cell r="M196" t="str">
            <v>CADRE</v>
          </cell>
          <cell r="N196" t="str">
            <v>E</v>
          </cell>
          <cell r="O196" t="str">
            <v>CDI</v>
          </cell>
          <cell r="P196">
            <v>151.57</v>
          </cell>
          <cell r="Q196">
            <v>3166</v>
          </cell>
          <cell r="R196">
            <v>1429.46</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341.78</v>
          </cell>
          <cell r="AO196">
            <v>23.61</v>
          </cell>
          <cell r="AP196">
            <v>0</v>
          </cell>
          <cell r="AQ196">
            <v>2873.8</v>
          </cell>
          <cell r="AR196">
            <v>0</v>
          </cell>
          <cell r="AS196">
            <v>0</v>
          </cell>
          <cell r="AT196">
            <v>0</v>
          </cell>
          <cell r="AU196">
            <v>0</v>
          </cell>
        </row>
        <row r="197">
          <cell r="A197" t="str">
            <v>000A0843</v>
          </cell>
          <cell r="B197" t="str">
            <v>BELLA</v>
          </cell>
          <cell r="C197" t="str">
            <v>HADJ</v>
          </cell>
          <cell r="D197" t="str">
            <v>LA MADELEINE</v>
          </cell>
          <cell r="E197">
            <v>91</v>
          </cell>
          <cell r="F197" t="str">
            <v>NC NUMERICABLE ILE-DE-FRANCE</v>
          </cell>
          <cell r="G197" t="str">
            <v>RACCORDEMENT IMMOB STC.</v>
          </cell>
          <cell r="H197" t="str">
            <v>HAMMOUDI</v>
          </cell>
          <cell r="I197" t="str">
            <v>NPCA302001</v>
          </cell>
          <cell r="J197">
            <v>100</v>
          </cell>
          <cell r="K197">
            <v>36836</v>
          </cell>
          <cell r="L197" t="str">
            <v>SUP. TECH. CLIENT</v>
          </cell>
          <cell r="M197" t="str">
            <v>TSM</v>
          </cell>
          <cell r="N197" t="str">
            <v>D</v>
          </cell>
          <cell r="O197" t="str">
            <v>CDI</v>
          </cell>
          <cell r="P197">
            <v>151.57</v>
          </cell>
          <cell r="Q197">
            <v>2086.52</v>
          </cell>
          <cell r="R197">
            <v>1193.6300000000001</v>
          </cell>
          <cell r="S197">
            <v>0</v>
          </cell>
          <cell r="T197">
            <v>0</v>
          </cell>
          <cell r="U197">
            <v>0</v>
          </cell>
          <cell r="V197">
            <v>0</v>
          </cell>
          <cell r="W197">
            <v>129</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238.59</v>
          </cell>
          <cell r="AO197">
            <v>0</v>
          </cell>
          <cell r="AP197">
            <v>0</v>
          </cell>
          <cell r="AQ197">
            <v>2086.52</v>
          </cell>
          <cell r="AR197">
            <v>0</v>
          </cell>
          <cell r="AS197">
            <v>0</v>
          </cell>
          <cell r="AT197">
            <v>0</v>
          </cell>
          <cell r="AU197">
            <v>0</v>
          </cell>
        </row>
        <row r="198">
          <cell r="A198" t="str">
            <v>000A0805</v>
          </cell>
          <cell r="B198" t="str">
            <v>JOVANOVIC</v>
          </cell>
          <cell r="C198" t="str">
            <v>SNEZANA</v>
          </cell>
          <cell r="D198" t="str">
            <v>SIEGE</v>
          </cell>
          <cell r="E198">
            <v>91</v>
          </cell>
          <cell r="F198" t="str">
            <v>NC NUMERICABLE ILE-DE-FRANCE</v>
          </cell>
          <cell r="G198" t="str">
            <v>BACK OFFICE</v>
          </cell>
          <cell r="I198" t="str">
            <v>GENE905001</v>
          </cell>
          <cell r="J198">
            <v>100</v>
          </cell>
          <cell r="K198">
            <v>36766</v>
          </cell>
          <cell r="L198" t="str">
            <v>CONSEILLER(E) CLT</v>
          </cell>
          <cell r="M198" t="str">
            <v>EMPLOYE</v>
          </cell>
          <cell r="N198" t="str">
            <v>C</v>
          </cell>
          <cell r="O198" t="str">
            <v>CDI</v>
          </cell>
          <cell r="P198">
            <v>151.57</v>
          </cell>
          <cell r="Q198">
            <v>1429</v>
          </cell>
          <cell r="R198">
            <v>242.84</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364.91</v>
          </cell>
          <cell r="AN198">
            <v>153.9</v>
          </cell>
          <cell r="AO198">
            <v>364.91</v>
          </cell>
          <cell r="AP198">
            <v>0</v>
          </cell>
          <cell r="AQ198">
            <v>1429</v>
          </cell>
          <cell r="AR198">
            <v>0</v>
          </cell>
          <cell r="AS198">
            <v>0</v>
          </cell>
          <cell r="AT198">
            <v>0</v>
          </cell>
          <cell r="AU198">
            <v>0</v>
          </cell>
        </row>
        <row r="199">
          <cell r="A199" t="str">
            <v>000BM199</v>
          </cell>
          <cell r="B199" t="str">
            <v>MOTTE</v>
          </cell>
          <cell r="C199" t="str">
            <v>AMAURY</v>
          </cell>
          <cell r="D199" t="str">
            <v>LYON GARIBALDI</v>
          </cell>
          <cell r="E199">
            <v>91</v>
          </cell>
          <cell r="F199" t="str">
            <v>NC NUMERICABLE ILE-DE-FRANCE</v>
          </cell>
          <cell r="G199" t="str">
            <v>DISTRIBUTEUR</v>
          </cell>
          <cell r="H199" t="str">
            <v>DELANNOY</v>
          </cell>
          <cell r="I199" t="str">
            <v>RHON506001</v>
          </cell>
          <cell r="J199">
            <v>100</v>
          </cell>
          <cell r="K199">
            <v>35682</v>
          </cell>
          <cell r="L199" t="str">
            <v>ATTACHE COMMERCIAL</v>
          </cell>
          <cell r="M199" t="str">
            <v>CADRE</v>
          </cell>
          <cell r="N199" t="str">
            <v>DB</v>
          </cell>
          <cell r="O199" t="str">
            <v>CDI</v>
          </cell>
          <cell r="P199">
            <v>151.57</v>
          </cell>
          <cell r="Q199">
            <v>1959.39</v>
          </cell>
          <cell r="R199">
            <v>2393.7399999999998</v>
          </cell>
          <cell r="S199">
            <v>0</v>
          </cell>
          <cell r="T199">
            <v>1811.1</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907.68</v>
          </cell>
          <cell r="AO199">
            <v>0</v>
          </cell>
          <cell r="AP199">
            <v>0</v>
          </cell>
          <cell r="AQ199">
            <v>2808.95</v>
          </cell>
          <cell r="AR199">
            <v>0</v>
          </cell>
          <cell r="AS199">
            <v>0</v>
          </cell>
          <cell r="AT199">
            <v>0</v>
          </cell>
          <cell r="AU199">
            <v>0</v>
          </cell>
        </row>
        <row r="200">
          <cell r="A200" t="str">
            <v>000A1619</v>
          </cell>
          <cell r="B200" t="str">
            <v>PICARD</v>
          </cell>
          <cell r="C200" t="str">
            <v>YASMINA</v>
          </cell>
          <cell r="D200" t="str">
            <v>LYON CATN</v>
          </cell>
          <cell r="E200">
            <v>61</v>
          </cell>
          <cell r="F200" t="str">
            <v>NC NUMERICABLE RHONES-ALPES</v>
          </cell>
          <cell r="H200" t="str">
            <v>BAYARD</v>
          </cell>
          <cell r="I200" t="str">
            <v>CLIE410001</v>
          </cell>
          <cell r="J200">
            <v>100</v>
          </cell>
          <cell r="K200">
            <v>38781</v>
          </cell>
          <cell r="L200" t="str">
            <v>CONSEILLER RECLAMATION</v>
          </cell>
          <cell r="M200" t="str">
            <v>EMPLOYE</v>
          </cell>
          <cell r="N200" t="str">
            <v>C</v>
          </cell>
          <cell r="O200" t="str">
            <v>CDD</v>
          </cell>
          <cell r="P200">
            <v>151.57</v>
          </cell>
          <cell r="Q200">
            <v>0</v>
          </cell>
          <cell r="R200">
            <v>651.52</v>
          </cell>
          <cell r="S200">
            <v>0</v>
          </cell>
          <cell r="T200">
            <v>0</v>
          </cell>
          <cell r="U200">
            <v>0</v>
          </cell>
          <cell r="V200">
            <v>0</v>
          </cell>
          <cell r="W200">
            <v>171</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285.17</v>
          </cell>
          <cell r="AO200">
            <v>0</v>
          </cell>
          <cell r="AP200">
            <v>0</v>
          </cell>
          <cell r="AQ200">
            <v>1220</v>
          </cell>
          <cell r="AR200">
            <v>0</v>
          </cell>
          <cell r="AS200">
            <v>0</v>
          </cell>
          <cell r="AT200">
            <v>0</v>
          </cell>
          <cell r="AU200">
            <v>0</v>
          </cell>
        </row>
        <row r="201">
          <cell r="A201" t="str">
            <v>000A1051</v>
          </cell>
          <cell r="B201" t="str">
            <v>MARROUKI</v>
          </cell>
          <cell r="C201" t="str">
            <v>ALI</v>
          </cell>
          <cell r="D201" t="str">
            <v>LA MADELEINE</v>
          </cell>
          <cell r="E201">
            <v>91</v>
          </cell>
          <cell r="F201" t="str">
            <v>NC NUMERICABLE ILE-DE-FRANCE</v>
          </cell>
          <cell r="G201" t="str">
            <v>VAD CONSEILLERS</v>
          </cell>
          <cell r="H201" t="str">
            <v>GUILLEMAN</v>
          </cell>
          <cell r="I201" t="str">
            <v>NPCA500001</v>
          </cell>
          <cell r="J201">
            <v>100</v>
          </cell>
          <cell r="K201">
            <v>38617</v>
          </cell>
          <cell r="L201" t="str">
            <v>CONSEILLER(E) COM.</v>
          </cell>
          <cell r="M201" t="str">
            <v>TSM</v>
          </cell>
          <cell r="N201" t="str">
            <v>D</v>
          </cell>
          <cell r="O201" t="str">
            <v>CDI</v>
          </cell>
          <cell r="P201">
            <v>151.57</v>
          </cell>
          <cell r="Q201">
            <v>1217.8800000000001</v>
          </cell>
          <cell r="R201">
            <v>1678.9</v>
          </cell>
          <cell r="S201">
            <v>0</v>
          </cell>
          <cell r="T201">
            <v>3280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484.4</v>
          </cell>
          <cell r="AO201">
            <v>0</v>
          </cell>
          <cell r="AP201">
            <v>0</v>
          </cell>
          <cell r="AQ201">
            <v>1217.8800000000001</v>
          </cell>
          <cell r="AR201">
            <v>0</v>
          </cell>
          <cell r="AS201">
            <v>0</v>
          </cell>
          <cell r="AT201">
            <v>0</v>
          </cell>
          <cell r="AU201">
            <v>0</v>
          </cell>
        </row>
        <row r="202">
          <cell r="A202" t="str">
            <v>000A1313</v>
          </cell>
          <cell r="B202" t="str">
            <v>LIATCHE</v>
          </cell>
          <cell r="C202" t="str">
            <v>MARIE-JEANNE</v>
          </cell>
          <cell r="D202" t="str">
            <v>LYON GARIBALDI</v>
          </cell>
          <cell r="E202">
            <v>91</v>
          </cell>
          <cell r="F202" t="str">
            <v>NC NUMERICABLE ILE-DE-FRANCE</v>
          </cell>
          <cell r="G202" t="str">
            <v>VAD CONSEILLERS</v>
          </cell>
          <cell r="H202" t="str">
            <v>SILIKI</v>
          </cell>
          <cell r="I202" t="str">
            <v>RHON500001</v>
          </cell>
          <cell r="J202">
            <v>100</v>
          </cell>
          <cell r="K202">
            <v>38684</v>
          </cell>
          <cell r="L202" t="str">
            <v>CONSEILLER(E) COM.</v>
          </cell>
          <cell r="M202" t="str">
            <v>TSM</v>
          </cell>
          <cell r="N202" t="str">
            <v>D</v>
          </cell>
          <cell r="O202" t="str">
            <v>CDI</v>
          </cell>
          <cell r="P202">
            <v>151.57</v>
          </cell>
          <cell r="Q202">
            <v>1217.8800000000001</v>
          </cell>
          <cell r="R202">
            <v>1540.47</v>
          </cell>
          <cell r="S202">
            <v>0</v>
          </cell>
          <cell r="T202">
            <v>3060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443.21</v>
          </cell>
          <cell r="AO202">
            <v>0</v>
          </cell>
          <cell r="AP202">
            <v>0</v>
          </cell>
          <cell r="AQ202">
            <v>1055.5</v>
          </cell>
          <cell r="AR202">
            <v>0</v>
          </cell>
          <cell r="AS202">
            <v>0</v>
          </cell>
          <cell r="AT202">
            <v>0</v>
          </cell>
          <cell r="AU202">
            <v>0</v>
          </cell>
        </row>
        <row r="203">
          <cell r="A203" t="str">
            <v>000A1032</v>
          </cell>
          <cell r="B203" t="str">
            <v>ZERFAINE</v>
          </cell>
          <cell r="C203" t="str">
            <v>JOSE</v>
          </cell>
          <cell r="D203" t="str">
            <v>VERSAILLES</v>
          </cell>
          <cell r="E203">
            <v>91</v>
          </cell>
          <cell r="F203" t="str">
            <v>NC NUMERICABLE ILE-DE-FRANCE</v>
          </cell>
          <cell r="G203" t="str">
            <v>VAD RGP</v>
          </cell>
          <cell r="H203" t="str">
            <v>BEAURAIN</v>
          </cell>
          <cell r="I203" t="str">
            <v>IDFR500001</v>
          </cell>
          <cell r="J203">
            <v>100</v>
          </cell>
          <cell r="K203">
            <v>38614</v>
          </cell>
          <cell r="L203" t="str">
            <v>RESPONSABLE COM.</v>
          </cell>
          <cell r="M203" t="str">
            <v>CADRE</v>
          </cell>
          <cell r="N203" t="str">
            <v>E</v>
          </cell>
          <cell r="O203" t="str">
            <v>CDI</v>
          </cell>
          <cell r="P203">
            <v>151.57</v>
          </cell>
          <cell r="Q203">
            <v>3750</v>
          </cell>
          <cell r="R203">
            <v>3162.89</v>
          </cell>
          <cell r="S203">
            <v>0</v>
          </cell>
          <cell r="T203">
            <v>2589.96</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682.77</v>
          </cell>
          <cell r="AO203">
            <v>0</v>
          </cell>
          <cell r="AP203">
            <v>0</v>
          </cell>
          <cell r="AQ203">
            <v>3750</v>
          </cell>
          <cell r="AR203">
            <v>0</v>
          </cell>
          <cell r="AS203">
            <v>0</v>
          </cell>
          <cell r="AT203">
            <v>0</v>
          </cell>
          <cell r="AU203">
            <v>0</v>
          </cell>
        </row>
        <row r="204">
          <cell r="A204" t="str">
            <v>000A1224</v>
          </cell>
          <cell r="B204" t="str">
            <v>BRIOUSE</v>
          </cell>
          <cell r="C204" t="str">
            <v>YVAN</v>
          </cell>
          <cell r="D204" t="str">
            <v>VERSAILLES</v>
          </cell>
          <cell r="E204">
            <v>91</v>
          </cell>
          <cell r="F204" t="str">
            <v>NC NUMERICABLE ILE-DE-FRANCE</v>
          </cell>
          <cell r="G204" t="str">
            <v>VAD CONSEILLERS</v>
          </cell>
          <cell r="H204" t="str">
            <v>FERRADJ</v>
          </cell>
          <cell r="I204" t="str">
            <v>IDFR500001</v>
          </cell>
          <cell r="J204">
            <v>100</v>
          </cell>
          <cell r="K204">
            <v>38658</v>
          </cell>
          <cell r="L204" t="str">
            <v>CONSEILLER(E) COM.</v>
          </cell>
          <cell r="M204" t="str">
            <v>TSM</v>
          </cell>
          <cell r="N204" t="str">
            <v>D</v>
          </cell>
          <cell r="O204" t="str">
            <v>CDI</v>
          </cell>
          <cell r="P204">
            <v>151.57</v>
          </cell>
          <cell r="Q204">
            <v>1217.8800000000001</v>
          </cell>
          <cell r="R204">
            <v>741.56</v>
          </cell>
          <cell r="S204">
            <v>0</v>
          </cell>
          <cell r="T204">
            <v>1399</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203.13</v>
          </cell>
          <cell r="AO204">
            <v>0</v>
          </cell>
          <cell r="AP204">
            <v>0</v>
          </cell>
          <cell r="AQ204">
            <v>487.15</v>
          </cell>
          <cell r="AR204">
            <v>0</v>
          </cell>
          <cell r="AS204">
            <v>0</v>
          </cell>
          <cell r="AT204">
            <v>0</v>
          </cell>
          <cell r="AU204">
            <v>0</v>
          </cell>
        </row>
        <row r="205">
          <cell r="A205" t="str">
            <v>000A1599</v>
          </cell>
          <cell r="B205" t="str">
            <v>KONAN</v>
          </cell>
          <cell r="C205" t="str">
            <v>HERMAN</v>
          </cell>
          <cell r="D205" t="str">
            <v>TOULOUSE</v>
          </cell>
          <cell r="E205">
            <v>91</v>
          </cell>
          <cell r="F205" t="str">
            <v>NC NUMERICABLE ILE-DE-FRANCE</v>
          </cell>
          <cell r="G205" t="str">
            <v>VAD CONSEILLERS</v>
          </cell>
          <cell r="H205" t="str">
            <v>GALERA</v>
          </cell>
          <cell r="I205" t="str">
            <v>SUOU500001</v>
          </cell>
          <cell r="J205">
            <v>100</v>
          </cell>
          <cell r="K205">
            <v>38775</v>
          </cell>
          <cell r="L205" t="str">
            <v>CONSEILLER(E) COM.</v>
          </cell>
          <cell r="M205" t="str">
            <v>TSM</v>
          </cell>
          <cell r="N205" t="str">
            <v>D</v>
          </cell>
          <cell r="O205" t="str">
            <v>CDI</v>
          </cell>
          <cell r="P205">
            <v>151.57</v>
          </cell>
          <cell r="Q205">
            <v>0</v>
          </cell>
          <cell r="R205">
            <v>518.6</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279.8</v>
          </cell>
          <cell r="AO205">
            <v>0</v>
          </cell>
          <cell r="AP205">
            <v>0</v>
          </cell>
          <cell r="AQ205">
            <v>1217.8800000000001</v>
          </cell>
          <cell r="AR205">
            <v>0</v>
          </cell>
          <cell r="AS205">
            <v>0</v>
          </cell>
          <cell r="AT205">
            <v>0</v>
          </cell>
          <cell r="AU205">
            <v>0</v>
          </cell>
        </row>
        <row r="206">
          <cell r="A206" t="str">
            <v>000A1585</v>
          </cell>
          <cell r="B206" t="str">
            <v>MECIFI</v>
          </cell>
          <cell r="C206" t="str">
            <v>HOCINE</v>
          </cell>
          <cell r="D206" t="str">
            <v>LA MADELEINE</v>
          </cell>
          <cell r="E206">
            <v>91</v>
          </cell>
          <cell r="F206" t="str">
            <v>NC NUMERICABLE ILE-DE-FRANCE</v>
          </cell>
          <cell r="G206" t="str">
            <v>VAD CONSEILLERS</v>
          </cell>
          <cell r="H206" t="str">
            <v>GUIONNET</v>
          </cell>
          <cell r="I206" t="str">
            <v>NPCA500001</v>
          </cell>
          <cell r="J206">
            <v>100</v>
          </cell>
          <cell r="K206">
            <v>38768</v>
          </cell>
          <cell r="L206" t="str">
            <v>CONSEILLER(E) COM.</v>
          </cell>
          <cell r="M206" t="str">
            <v>TSM</v>
          </cell>
          <cell r="N206" t="str">
            <v>D</v>
          </cell>
          <cell r="O206" t="str">
            <v>CDI</v>
          </cell>
          <cell r="P206">
            <v>151.57</v>
          </cell>
          <cell r="Q206">
            <v>0</v>
          </cell>
          <cell r="R206">
            <v>1099.21</v>
          </cell>
          <cell r="S206">
            <v>0</v>
          </cell>
          <cell r="T206">
            <v>1470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459.97</v>
          </cell>
          <cell r="AO206">
            <v>0</v>
          </cell>
          <cell r="AP206">
            <v>0</v>
          </cell>
          <cell r="AQ206">
            <v>1217.8800000000001</v>
          </cell>
          <cell r="AR206">
            <v>0</v>
          </cell>
          <cell r="AS206">
            <v>0</v>
          </cell>
          <cell r="AT206">
            <v>0</v>
          </cell>
          <cell r="AU206">
            <v>0</v>
          </cell>
        </row>
        <row r="207">
          <cell r="A207" t="str">
            <v>000A1417</v>
          </cell>
          <cell r="B207" t="str">
            <v>NABOULET</v>
          </cell>
          <cell r="C207" t="str">
            <v>EMILIE</v>
          </cell>
          <cell r="D207" t="str">
            <v>BORDEAUX</v>
          </cell>
          <cell r="E207">
            <v>91</v>
          </cell>
          <cell r="F207" t="str">
            <v>NC NUMERICABLE ILE-DE-FRANCE</v>
          </cell>
          <cell r="G207" t="str">
            <v>VAD CONSEILLERS</v>
          </cell>
          <cell r="H207" t="str">
            <v>FLAICHER</v>
          </cell>
          <cell r="I207" t="str">
            <v>SUOU500001</v>
          </cell>
          <cell r="J207">
            <v>100</v>
          </cell>
          <cell r="K207">
            <v>38747</v>
          </cell>
          <cell r="L207" t="str">
            <v>CONSEILLER(E) COM.</v>
          </cell>
          <cell r="M207" t="str">
            <v>TSM</v>
          </cell>
          <cell r="N207" t="str">
            <v>D</v>
          </cell>
          <cell r="O207" t="str">
            <v>CDI</v>
          </cell>
          <cell r="P207">
            <v>151.57</v>
          </cell>
          <cell r="Q207">
            <v>1299.07</v>
          </cell>
          <cell r="R207">
            <v>312.73</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81.48</v>
          </cell>
          <cell r="AO207">
            <v>0</v>
          </cell>
          <cell r="AP207">
            <v>0</v>
          </cell>
          <cell r="AQ207">
            <v>756.56</v>
          </cell>
          <cell r="AR207">
            <v>0</v>
          </cell>
          <cell r="AS207">
            <v>0</v>
          </cell>
          <cell r="AT207">
            <v>0</v>
          </cell>
          <cell r="AU207">
            <v>0</v>
          </cell>
        </row>
        <row r="208">
          <cell r="A208" t="str">
            <v>000A1492</v>
          </cell>
          <cell r="B208" t="str">
            <v>PERRIN</v>
          </cell>
          <cell r="C208" t="str">
            <v>EDOUARD</v>
          </cell>
          <cell r="D208" t="str">
            <v>LYON GARIBALDI</v>
          </cell>
          <cell r="E208">
            <v>91</v>
          </cell>
          <cell r="F208" t="str">
            <v>NC NUMERICABLE ILE-DE-FRANCE</v>
          </cell>
          <cell r="G208" t="str">
            <v>VAD CONSEILLERS</v>
          </cell>
          <cell r="H208" t="str">
            <v>SILIKI</v>
          </cell>
          <cell r="I208" t="str">
            <v>RHON500001</v>
          </cell>
          <cell r="J208">
            <v>100</v>
          </cell>
          <cell r="K208">
            <v>38754</v>
          </cell>
          <cell r="L208" t="str">
            <v>CONSEILLER(E) COM.</v>
          </cell>
          <cell r="M208" t="str">
            <v>TSM</v>
          </cell>
          <cell r="N208" t="str">
            <v>D</v>
          </cell>
          <cell r="O208" t="str">
            <v>CDI</v>
          </cell>
          <cell r="P208">
            <v>151.57</v>
          </cell>
          <cell r="Q208">
            <v>1217.8800000000001</v>
          </cell>
          <cell r="R208">
            <v>507.02</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349.07</v>
          </cell>
          <cell r="AO208">
            <v>0</v>
          </cell>
          <cell r="AP208">
            <v>0</v>
          </cell>
          <cell r="AQ208">
            <v>640.15</v>
          </cell>
          <cell r="AR208">
            <v>0</v>
          </cell>
          <cell r="AS208">
            <v>0</v>
          </cell>
          <cell r="AT208">
            <v>0</v>
          </cell>
          <cell r="AU208">
            <v>0</v>
          </cell>
        </row>
        <row r="209">
          <cell r="A209" t="str">
            <v>000A1355</v>
          </cell>
          <cell r="B209" t="str">
            <v>NIANG</v>
          </cell>
          <cell r="C209" t="str">
            <v>AMINATA</v>
          </cell>
          <cell r="D209" t="str">
            <v>TOULOUSE</v>
          </cell>
          <cell r="E209">
            <v>91</v>
          </cell>
          <cell r="F209" t="str">
            <v>NC NUMERICABLE ILE-DE-FRANCE</v>
          </cell>
          <cell r="G209" t="str">
            <v>VAD CONSEILLERS</v>
          </cell>
          <cell r="H209" t="str">
            <v>GALERA</v>
          </cell>
          <cell r="I209" t="str">
            <v>SUOU500001</v>
          </cell>
          <cell r="J209">
            <v>100</v>
          </cell>
          <cell r="K209">
            <v>38726</v>
          </cell>
          <cell r="L209" t="str">
            <v>CONSEILLER(E) COM.</v>
          </cell>
          <cell r="M209" t="str">
            <v>TSM</v>
          </cell>
          <cell r="N209" t="str">
            <v>D</v>
          </cell>
          <cell r="O209" t="str">
            <v>CDI</v>
          </cell>
          <cell r="P209">
            <v>151.57</v>
          </cell>
          <cell r="Q209">
            <v>1217.8800000000001</v>
          </cell>
          <cell r="R209">
            <v>505.12</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131.16</v>
          </cell>
          <cell r="AO209">
            <v>0</v>
          </cell>
          <cell r="AP209">
            <v>0</v>
          </cell>
          <cell r="AQ209">
            <v>1217.8800000000001</v>
          </cell>
          <cell r="AR209">
            <v>0</v>
          </cell>
          <cell r="AS209">
            <v>0</v>
          </cell>
          <cell r="AT209">
            <v>0</v>
          </cell>
          <cell r="AU209">
            <v>0</v>
          </cell>
        </row>
        <row r="210">
          <cell r="A210" t="str">
            <v>000A1371</v>
          </cell>
          <cell r="B210" t="str">
            <v>CARROT</v>
          </cell>
          <cell r="C210" t="str">
            <v>JEAN LUC</v>
          </cell>
          <cell r="D210" t="str">
            <v>TOULOUSE</v>
          </cell>
          <cell r="E210">
            <v>91</v>
          </cell>
          <cell r="F210" t="str">
            <v>NC NUMERICABLE ILE-DE-FRANCE</v>
          </cell>
          <cell r="G210" t="str">
            <v>VAD CONSEILLERS</v>
          </cell>
          <cell r="H210" t="str">
            <v>GALERA</v>
          </cell>
          <cell r="I210" t="str">
            <v>SUOU500001</v>
          </cell>
          <cell r="J210">
            <v>100</v>
          </cell>
          <cell r="K210">
            <v>38684</v>
          </cell>
          <cell r="L210" t="str">
            <v>CONSEILLER(E) COM.</v>
          </cell>
          <cell r="M210" t="str">
            <v>TSM</v>
          </cell>
          <cell r="N210" t="str">
            <v>D</v>
          </cell>
          <cell r="O210" t="str">
            <v>CDI</v>
          </cell>
          <cell r="P210">
            <v>151.57</v>
          </cell>
          <cell r="Q210">
            <v>1217.8800000000001</v>
          </cell>
          <cell r="R210">
            <v>427.49</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131.15</v>
          </cell>
          <cell r="AO210">
            <v>0</v>
          </cell>
          <cell r="AP210">
            <v>0</v>
          </cell>
          <cell r="AQ210">
            <v>1217.8800000000001</v>
          </cell>
          <cell r="AR210">
            <v>0</v>
          </cell>
          <cell r="AS210">
            <v>0</v>
          </cell>
          <cell r="AT210">
            <v>0</v>
          </cell>
          <cell r="AU210">
            <v>0</v>
          </cell>
        </row>
        <row r="211">
          <cell r="A211" t="str">
            <v>000A1484</v>
          </cell>
          <cell r="B211" t="str">
            <v>BOURCIER</v>
          </cell>
          <cell r="C211" t="str">
            <v>MARC</v>
          </cell>
          <cell r="D211" t="str">
            <v>MONTPELLIER</v>
          </cell>
          <cell r="E211">
            <v>91</v>
          </cell>
          <cell r="F211" t="str">
            <v>NC NUMERICABLE ILE-DE-FRANCE</v>
          </cell>
          <cell r="G211" t="str">
            <v>TRAVAUX</v>
          </cell>
          <cell r="H211" t="str">
            <v>SOULIERE</v>
          </cell>
          <cell r="I211" t="str">
            <v>SUES300001</v>
          </cell>
          <cell r="J211">
            <v>100</v>
          </cell>
          <cell r="K211">
            <v>38749</v>
          </cell>
          <cell r="L211" t="str">
            <v>SUPERVISEUR TRAVAUX</v>
          </cell>
          <cell r="M211" t="str">
            <v>478D</v>
          </cell>
          <cell r="N211">
            <v>0</v>
          </cell>
          <cell r="O211" t="str">
            <v>CDI</v>
          </cell>
          <cell r="P211">
            <v>151.57</v>
          </cell>
          <cell r="Q211">
            <v>2833.34</v>
          </cell>
          <cell r="R211">
            <v>1514.32</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305.12</v>
          </cell>
          <cell r="AO211">
            <v>0</v>
          </cell>
          <cell r="AP211">
            <v>0</v>
          </cell>
          <cell r="AQ211">
            <v>2833.34</v>
          </cell>
          <cell r="AR211">
            <v>0</v>
          </cell>
          <cell r="AS211">
            <v>0</v>
          </cell>
          <cell r="AT211">
            <v>0</v>
          </cell>
          <cell r="AU211">
            <v>0</v>
          </cell>
        </row>
        <row r="212">
          <cell r="A212" t="str">
            <v>000A1717</v>
          </cell>
          <cell r="B212" t="str">
            <v>DEME</v>
          </cell>
          <cell r="C212" t="str">
            <v>MOHAMADOU</v>
          </cell>
          <cell r="D212" t="str">
            <v>SIEGE</v>
          </cell>
          <cell r="E212">
            <v>91</v>
          </cell>
          <cell r="F212" t="str">
            <v>NC NUMERICABLE ILE-DE-FRANCE</v>
          </cell>
          <cell r="G212" t="str">
            <v>VAD CONSEILLERS</v>
          </cell>
          <cell r="H212" t="str">
            <v>ZERFAINE</v>
          </cell>
          <cell r="I212" t="str">
            <v>IDFR500001</v>
          </cell>
          <cell r="J212">
            <v>100</v>
          </cell>
          <cell r="K212">
            <v>38819</v>
          </cell>
          <cell r="L212" t="str">
            <v>CONSEILLER(E) COM.</v>
          </cell>
          <cell r="M212" t="str">
            <v>TSM</v>
          </cell>
          <cell r="N212" t="str">
            <v>D</v>
          </cell>
          <cell r="O212" t="str">
            <v>CDI</v>
          </cell>
          <cell r="P212">
            <v>151.57</v>
          </cell>
          <cell r="Q212">
            <v>0</v>
          </cell>
          <cell r="R212">
            <v>224.11</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771.32</v>
          </cell>
          <cell r="AR212">
            <v>0</v>
          </cell>
          <cell r="AS212">
            <v>0</v>
          </cell>
          <cell r="AT212">
            <v>0</v>
          </cell>
          <cell r="AU212">
            <v>0</v>
          </cell>
        </row>
        <row r="213">
          <cell r="A213" t="str">
            <v>000A1078</v>
          </cell>
          <cell r="B213" t="str">
            <v>DESPREZ</v>
          </cell>
          <cell r="C213" t="str">
            <v>SAIDA</v>
          </cell>
          <cell r="D213" t="str">
            <v>METZ</v>
          </cell>
          <cell r="E213">
            <v>91</v>
          </cell>
          <cell r="F213" t="str">
            <v>NC NUMERICABLE ILE-DE-FRANCE</v>
          </cell>
          <cell r="G213" t="str">
            <v>VAD CONSEILLERS</v>
          </cell>
          <cell r="H213" t="str">
            <v>YAICI</v>
          </cell>
          <cell r="I213" t="str">
            <v>ESTR500001</v>
          </cell>
          <cell r="J213">
            <v>100</v>
          </cell>
          <cell r="K213">
            <v>38638</v>
          </cell>
          <cell r="L213" t="str">
            <v>CONSEILLER(E) COM.</v>
          </cell>
          <cell r="M213" t="str">
            <v>TSM</v>
          </cell>
          <cell r="N213" t="str">
            <v>D</v>
          </cell>
          <cell r="O213" t="str">
            <v>CDI</v>
          </cell>
          <cell r="P213">
            <v>151.57</v>
          </cell>
          <cell r="Q213">
            <v>1217.8800000000001</v>
          </cell>
          <cell r="R213">
            <v>2154.58</v>
          </cell>
          <cell r="S213">
            <v>0</v>
          </cell>
          <cell r="T213">
            <v>4710.87</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623.46</v>
          </cell>
          <cell r="AO213">
            <v>0</v>
          </cell>
          <cell r="AP213">
            <v>0</v>
          </cell>
          <cell r="AQ213">
            <v>1217.8800000000001</v>
          </cell>
          <cell r="AR213">
            <v>0</v>
          </cell>
          <cell r="AS213">
            <v>0</v>
          </cell>
          <cell r="AT213">
            <v>0</v>
          </cell>
          <cell r="AU213">
            <v>0</v>
          </cell>
        </row>
        <row r="214">
          <cell r="A214" t="str">
            <v>000A1613</v>
          </cell>
          <cell r="B214" t="str">
            <v>MAUGERE</v>
          </cell>
          <cell r="C214" t="str">
            <v>NICOLAS</v>
          </cell>
          <cell r="D214" t="str">
            <v>NANTES</v>
          </cell>
          <cell r="E214">
            <v>91</v>
          </cell>
          <cell r="F214" t="str">
            <v>NC NUMERICABLE ILE-DE-FRANCE</v>
          </cell>
          <cell r="G214" t="str">
            <v>VAD CONSEILLERS</v>
          </cell>
          <cell r="H214" t="str">
            <v>JAUD</v>
          </cell>
          <cell r="I214" t="str">
            <v>OUES500001</v>
          </cell>
          <cell r="J214">
            <v>100</v>
          </cell>
          <cell r="K214">
            <v>38768</v>
          </cell>
          <cell r="L214" t="str">
            <v>CONSEILLER(E) COM.</v>
          </cell>
          <cell r="M214" t="str">
            <v>TSM</v>
          </cell>
          <cell r="N214" t="str">
            <v>D</v>
          </cell>
          <cell r="O214" t="str">
            <v>CDI</v>
          </cell>
          <cell r="P214">
            <v>151.57</v>
          </cell>
          <cell r="Q214">
            <v>0</v>
          </cell>
          <cell r="R214">
            <v>1423.7</v>
          </cell>
          <cell r="S214">
            <v>0</v>
          </cell>
          <cell r="T214">
            <v>2227.83</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112.5</v>
          </cell>
          <cell r="AM214">
            <v>0</v>
          </cell>
          <cell r="AN214">
            <v>541.58000000000004</v>
          </cell>
          <cell r="AO214">
            <v>0</v>
          </cell>
          <cell r="AP214">
            <v>0</v>
          </cell>
          <cell r="AQ214">
            <v>1217.8800000000001</v>
          </cell>
          <cell r="AR214">
            <v>112.5</v>
          </cell>
          <cell r="AS214">
            <v>0</v>
          </cell>
          <cell r="AT214">
            <v>0</v>
          </cell>
          <cell r="AU214">
            <v>0</v>
          </cell>
        </row>
        <row r="215">
          <cell r="A215" t="str">
            <v>000BD224</v>
          </cell>
          <cell r="B215" t="str">
            <v>DALU</v>
          </cell>
          <cell r="C215" t="str">
            <v>VALERIE</v>
          </cell>
          <cell r="D215" t="str">
            <v>SIEGE</v>
          </cell>
          <cell r="E215">
            <v>91</v>
          </cell>
          <cell r="F215" t="str">
            <v>NC NUMERICABLE ILE-DE-FRANCE</v>
          </cell>
          <cell r="G215" t="str">
            <v>COMPTABILITE</v>
          </cell>
          <cell r="H215" t="str">
            <v>BARBERY</v>
          </cell>
          <cell r="I215" t="str">
            <v>GENE701001</v>
          </cell>
          <cell r="J215">
            <v>100</v>
          </cell>
          <cell r="K215">
            <v>36801</v>
          </cell>
          <cell r="L215" t="str">
            <v>COMPTABLE.NIV.1</v>
          </cell>
          <cell r="M215" t="str">
            <v>EMPLOYE</v>
          </cell>
          <cell r="N215" t="str">
            <v>C</v>
          </cell>
          <cell r="O215" t="str">
            <v>CDI</v>
          </cell>
          <cell r="P215">
            <v>151.57</v>
          </cell>
          <cell r="Q215">
            <v>1960</v>
          </cell>
          <cell r="R215">
            <v>926.28</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212.58</v>
          </cell>
          <cell r="AO215">
            <v>31.21</v>
          </cell>
          <cell r="AP215">
            <v>0</v>
          </cell>
          <cell r="AQ215">
            <v>1824.33</v>
          </cell>
          <cell r="AR215">
            <v>0</v>
          </cell>
          <cell r="AS215">
            <v>0</v>
          </cell>
          <cell r="AT215">
            <v>0</v>
          </cell>
          <cell r="AU215">
            <v>0</v>
          </cell>
        </row>
        <row r="216">
          <cell r="A216" t="str">
            <v>000A0948</v>
          </cell>
          <cell r="B216" t="str">
            <v>DEFOORT</v>
          </cell>
          <cell r="C216" t="str">
            <v>OLIVIER</v>
          </cell>
          <cell r="D216" t="str">
            <v>VANVES</v>
          </cell>
          <cell r="E216">
            <v>91</v>
          </cell>
          <cell r="F216" t="str">
            <v>NC NUMERICABLE ILE-DE-FRANCE</v>
          </cell>
          <cell r="G216" t="str">
            <v>TECHNIQUE</v>
          </cell>
          <cell r="I216" t="str">
            <v>GENE905001</v>
          </cell>
          <cell r="J216">
            <v>100</v>
          </cell>
          <cell r="K216">
            <v>37473</v>
          </cell>
          <cell r="L216" t="str">
            <v>RESP.TECH.EXP.NAT.</v>
          </cell>
          <cell r="M216" t="str">
            <v>CADRE</v>
          </cell>
          <cell r="N216" t="str">
            <v>F</v>
          </cell>
          <cell r="O216" t="str">
            <v>CDI</v>
          </cell>
          <cell r="P216">
            <v>151.57</v>
          </cell>
          <cell r="Q216">
            <v>6615.58</v>
          </cell>
          <cell r="R216">
            <v>-583.46</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-236.74</v>
          </cell>
          <cell r="AN216">
            <v>712.45</v>
          </cell>
          <cell r="AO216">
            <v>-236.74</v>
          </cell>
          <cell r="AP216">
            <v>0</v>
          </cell>
          <cell r="AQ216">
            <v>6615.58</v>
          </cell>
          <cell r="AR216">
            <v>0</v>
          </cell>
          <cell r="AS216">
            <v>0</v>
          </cell>
          <cell r="AT216">
            <v>0</v>
          </cell>
          <cell r="AU216">
            <v>0</v>
          </cell>
        </row>
        <row r="217">
          <cell r="A217" t="str">
            <v>000A0832</v>
          </cell>
          <cell r="B217" t="str">
            <v>BAZOT</v>
          </cell>
          <cell r="C217" t="str">
            <v>PHILIPPE</v>
          </cell>
          <cell r="D217" t="str">
            <v>EBOUE</v>
          </cell>
          <cell r="E217">
            <v>91</v>
          </cell>
          <cell r="F217" t="str">
            <v>NC NUMERICABLE ILE-DE-FRANCE</v>
          </cell>
          <cell r="G217" t="str">
            <v>MAINTENANCE RESEAU</v>
          </cell>
          <cell r="H217" t="str">
            <v>BEAURAIN</v>
          </cell>
          <cell r="I217" t="str">
            <v>IDFR300001</v>
          </cell>
          <cell r="J217">
            <v>100</v>
          </cell>
          <cell r="K217">
            <v>36794</v>
          </cell>
          <cell r="L217" t="str">
            <v>RESP.TECH.EXPL.</v>
          </cell>
          <cell r="M217" t="str">
            <v>CADRE</v>
          </cell>
          <cell r="N217" t="str">
            <v>E</v>
          </cell>
          <cell r="O217" t="str">
            <v>CDI</v>
          </cell>
          <cell r="P217">
            <v>151.57</v>
          </cell>
          <cell r="Q217">
            <v>3570</v>
          </cell>
          <cell r="R217">
            <v>2266.62</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306.19</v>
          </cell>
          <cell r="AG217">
            <v>35.33</v>
          </cell>
          <cell r="AH217">
            <v>58.88</v>
          </cell>
          <cell r="AI217">
            <v>0</v>
          </cell>
          <cell r="AJ217">
            <v>170.74</v>
          </cell>
          <cell r="AK217">
            <v>219</v>
          </cell>
          <cell r="AL217">
            <v>0</v>
          </cell>
          <cell r="AM217">
            <v>0</v>
          </cell>
          <cell r="AN217">
            <v>500.75</v>
          </cell>
          <cell r="AO217">
            <v>0</v>
          </cell>
          <cell r="AP217">
            <v>0</v>
          </cell>
          <cell r="AQ217">
            <v>3970.4</v>
          </cell>
          <cell r="AR217">
            <v>170.74</v>
          </cell>
          <cell r="AS217">
            <v>219</v>
          </cell>
          <cell r="AT217">
            <v>0</v>
          </cell>
          <cell r="AU217">
            <v>0</v>
          </cell>
        </row>
        <row r="218">
          <cell r="A218" t="str">
            <v>000A1423</v>
          </cell>
          <cell r="B218" t="str">
            <v>CROISSANT</v>
          </cell>
          <cell r="C218" t="str">
            <v>JEAN BAPTISTE</v>
          </cell>
          <cell r="D218" t="str">
            <v>BREST</v>
          </cell>
          <cell r="E218">
            <v>91</v>
          </cell>
          <cell r="F218" t="str">
            <v>NC NUMERICABLE ILE-DE-FRANCE</v>
          </cell>
          <cell r="G218" t="str">
            <v>VAD CONSEILLERS</v>
          </cell>
          <cell r="H218" t="str">
            <v>HOUGET</v>
          </cell>
          <cell r="I218" t="str">
            <v>OUES500001</v>
          </cell>
          <cell r="J218">
            <v>100</v>
          </cell>
          <cell r="K218">
            <v>38747</v>
          </cell>
          <cell r="L218" t="str">
            <v>CONSEILLER(E) COM.</v>
          </cell>
          <cell r="M218" t="str">
            <v>TSM</v>
          </cell>
          <cell r="N218" t="str">
            <v>D</v>
          </cell>
          <cell r="O218" t="str">
            <v>CDI</v>
          </cell>
          <cell r="P218">
            <v>151.57</v>
          </cell>
          <cell r="Q218">
            <v>1299.07</v>
          </cell>
          <cell r="R218">
            <v>1076</v>
          </cell>
          <cell r="S218">
            <v>0</v>
          </cell>
          <cell r="T218">
            <v>1660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309.92</v>
          </cell>
          <cell r="AO218">
            <v>0</v>
          </cell>
          <cell r="AP218">
            <v>0</v>
          </cell>
          <cell r="AQ218">
            <v>1217.8800000000001</v>
          </cell>
          <cell r="AR218">
            <v>0</v>
          </cell>
          <cell r="AS218">
            <v>0</v>
          </cell>
          <cell r="AT218">
            <v>0</v>
          </cell>
          <cell r="AU218">
            <v>0</v>
          </cell>
        </row>
        <row r="219">
          <cell r="A219" t="str">
            <v>000A1648</v>
          </cell>
          <cell r="B219" t="str">
            <v>TARDIEUX</v>
          </cell>
          <cell r="C219" t="str">
            <v>CYRIL</v>
          </cell>
          <cell r="D219" t="str">
            <v>TOULOUSE</v>
          </cell>
          <cell r="E219">
            <v>86</v>
          </cell>
          <cell r="F219" t="str">
            <v>NC NUMERICABLE TOULOUSE</v>
          </cell>
          <cell r="G219" t="str">
            <v>CLIENTELE</v>
          </cell>
          <cell r="I219" t="str">
            <v>SUOU507001</v>
          </cell>
          <cell r="J219">
            <v>100</v>
          </cell>
          <cell r="K219">
            <v>38749</v>
          </cell>
          <cell r="L219" t="str">
            <v>CONSEILLER CLIENT</v>
          </cell>
          <cell r="M219" t="str">
            <v>462E</v>
          </cell>
          <cell r="N219" t="str">
            <v>C</v>
          </cell>
          <cell r="O219" t="str">
            <v>CDI</v>
          </cell>
          <cell r="P219">
            <v>151.57</v>
          </cell>
          <cell r="Q219">
            <v>0</v>
          </cell>
          <cell r="R219">
            <v>943.32</v>
          </cell>
          <cell r="S219">
            <v>0</v>
          </cell>
          <cell r="T219">
            <v>547.20000000000005</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195.27</v>
          </cell>
          <cell r="AO219">
            <v>0</v>
          </cell>
          <cell r="AP219">
            <v>0</v>
          </cell>
          <cell r="AQ219">
            <v>1266</v>
          </cell>
          <cell r="AR219">
            <v>0</v>
          </cell>
          <cell r="AS219">
            <v>0</v>
          </cell>
          <cell r="AT219">
            <v>0</v>
          </cell>
          <cell r="AU219">
            <v>0</v>
          </cell>
        </row>
        <row r="220">
          <cell r="A220" t="str">
            <v>000A1360</v>
          </cell>
          <cell r="B220" t="str">
            <v>BERNAUX</v>
          </cell>
          <cell r="C220" t="str">
            <v>JULIEN</v>
          </cell>
          <cell r="D220" t="str">
            <v>LA MADELEINE</v>
          </cell>
          <cell r="E220">
            <v>91</v>
          </cell>
          <cell r="F220" t="str">
            <v>NC NUMERICABLE ILE-DE-FRANCE</v>
          </cell>
          <cell r="G220" t="str">
            <v>VAD CONSEILLERS</v>
          </cell>
          <cell r="H220" t="str">
            <v>LESSCHAVE</v>
          </cell>
          <cell r="I220" t="str">
            <v>NPCA500001</v>
          </cell>
          <cell r="J220">
            <v>100</v>
          </cell>
          <cell r="K220">
            <v>38677</v>
          </cell>
          <cell r="L220" t="str">
            <v>CONSEILLER(E) COM.</v>
          </cell>
          <cell r="M220" t="str">
            <v>TSM</v>
          </cell>
          <cell r="N220" t="str">
            <v>D</v>
          </cell>
          <cell r="O220" t="str">
            <v>CDI</v>
          </cell>
          <cell r="P220">
            <v>151.57</v>
          </cell>
          <cell r="Q220">
            <v>1217.8800000000001</v>
          </cell>
          <cell r="R220">
            <v>423.27</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131.16</v>
          </cell>
          <cell r="AO220">
            <v>0</v>
          </cell>
          <cell r="AP220">
            <v>0</v>
          </cell>
          <cell r="AQ220">
            <v>1217.8800000000001</v>
          </cell>
          <cell r="AR220">
            <v>0</v>
          </cell>
          <cell r="AS220">
            <v>0</v>
          </cell>
          <cell r="AT220">
            <v>0</v>
          </cell>
          <cell r="AU220">
            <v>0</v>
          </cell>
        </row>
        <row r="221">
          <cell r="A221" t="str">
            <v>000A1289</v>
          </cell>
          <cell r="B221" t="str">
            <v>BENAMAR</v>
          </cell>
          <cell r="C221" t="str">
            <v>TOUATI</v>
          </cell>
          <cell r="D221" t="str">
            <v>VERSAILLES</v>
          </cell>
          <cell r="E221">
            <v>91</v>
          </cell>
          <cell r="F221" t="str">
            <v>NC NUMERICABLE ILE-DE-FRANCE</v>
          </cell>
          <cell r="G221" t="str">
            <v>VAD CONSEILLERS</v>
          </cell>
          <cell r="H221" t="str">
            <v>FERRADJ</v>
          </cell>
          <cell r="I221" t="str">
            <v>IDFR500001</v>
          </cell>
          <cell r="J221">
            <v>100</v>
          </cell>
          <cell r="K221">
            <v>38677</v>
          </cell>
          <cell r="L221" t="str">
            <v>CONSEILLER(E) COM.</v>
          </cell>
          <cell r="M221" t="str">
            <v>TSM</v>
          </cell>
          <cell r="N221" t="str">
            <v>D</v>
          </cell>
          <cell r="O221" t="str">
            <v>CDI</v>
          </cell>
          <cell r="P221">
            <v>151.57</v>
          </cell>
          <cell r="Q221">
            <v>1217.8800000000001</v>
          </cell>
          <cell r="R221">
            <v>722.22</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21.86</v>
          </cell>
          <cell r="AO221">
            <v>0</v>
          </cell>
          <cell r="AP221">
            <v>0</v>
          </cell>
          <cell r="AQ221">
            <v>202.98</v>
          </cell>
          <cell r="AR221">
            <v>0</v>
          </cell>
          <cell r="AS221">
            <v>0</v>
          </cell>
          <cell r="AT221">
            <v>0</v>
          </cell>
          <cell r="AU221">
            <v>0</v>
          </cell>
        </row>
        <row r="222">
          <cell r="A222" t="str">
            <v>000A1411</v>
          </cell>
          <cell r="B222" t="str">
            <v>DESENFANT</v>
          </cell>
          <cell r="C222" t="str">
            <v>NICOLAS</v>
          </cell>
          <cell r="D222" t="str">
            <v>MONTPELLIER</v>
          </cell>
          <cell r="E222">
            <v>91</v>
          </cell>
          <cell r="F222" t="str">
            <v>NC NUMERICABLE ILE-DE-FRANCE</v>
          </cell>
          <cell r="G222" t="str">
            <v>VAD CONSEILLERS</v>
          </cell>
          <cell r="H222" t="str">
            <v>DEY</v>
          </cell>
          <cell r="I222" t="str">
            <v>SUES500001</v>
          </cell>
          <cell r="J222">
            <v>100</v>
          </cell>
          <cell r="K222">
            <v>38705</v>
          </cell>
          <cell r="L222" t="str">
            <v>CONSEILLER(E) COM.</v>
          </cell>
          <cell r="M222" t="str">
            <v>TSM</v>
          </cell>
          <cell r="N222" t="str">
            <v>D</v>
          </cell>
          <cell r="O222" t="str">
            <v>CDI</v>
          </cell>
          <cell r="P222">
            <v>151.57</v>
          </cell>
          <cell r="Q222">
            <v>3004.1</v>
          </cell>
          <cell r="R222">
            <v>600.54999999999995</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131.15</v>
          </cell>
          <cell r="AO222">
            <v>0</v>
          </cell>
          <cell r="AP222">
            <v>0</v>
          </cell>
          <cell r="AQ222">
            <v>1217.8800000000001</v>
          </cell>
          <cell r="AR222">
            <v>0</v>
          </cell>
          <cell r="AS222">
            <v>0</v>
          </cell>
          <cell r="AT222">
            <v>0</v>
          </cell>
          <cell r="AU222">
            <v>0</v>
          </cell>
        </row>
        <row r="223">
          <cell r="A223" t="str">
            <v>000A1366</v>
          </cell>
          <cell r="B223" t="str">
            <v>MABIALA</v>
          </cell>
          <cell r="C223" t="str">
            <v>JOYCE CHARNAY</v>
          </cell>
          <cell r="D223" t="str">
            <v>LYON GARIBALDI</v>
          </cell>
          <cell r="E223">
            <v>91</v>
          </cell>
          <cell r="F223" t="str">
            <v>NC NUMERICABLE ILE-DE-FRANCE</v>
          </cell>
          <cell r="G223" t="str">
            <v>VAD CONSEILLERS</v>
          </cell>
          <cell r="H223" t="str">
            <v>SILIKI</v>
          </cell>
          <cell r="I223" t="str">
            <v>RHON500001</v>
          </cell>
          <cell r="J223">
            <v>100</v>
          </cell>
          <cell r="K223">
            <v>38719</v>
          </cell>
          <cell r="L223" t="str">
            <v>CONSEILLER(E) COM.</v>
          </cell>
          <cell r="M223" t="str">
            <v>TSM</v>
          </cell>
          <cell r="N223" t="str">
            <v>D</v>
          </cell>
          <cell r="O223" t="str">
            <v>CDI</v>
          </cell>
          <cell r="P223">
            <v>151.57</v>
          </cell>
          <cell r="Q223">
            <v>1217.8800000000001</v>
          </cell>
          <cell r="R223">
            <v>1593.47</v>
          </cell>
          <cell r="S223">
            <v>0</v>
          </cell>
          <cell r="T223">
            <v>3140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456.19</v>
          </cell>
          <cell r="AO223">
            <v>0</v>
          </cell>
          <cell r="AP223">
            <v>0</v>
          </cell>
          <cell r="AQ223">
            <v>1096.0899999999999</v>
          </cell>
          <cell r="AR223">
            <v>0</v>
          </cell>
          <cell r="AS223">
            <v>0</v>
          </cell>
          <cell r="AT223">
            <v>0</v>
          </cell>
          <cell r="AU223">
            <v>0</v>
          </cell>
        </row>
        <row r="224">
          <cell r="A224" t="str">
            <v>000A1663</v>
          </cell>
          <cell r="B224" t="str">
            <v>SOUFFIR</v>
          </cell>
          <cell r="C224" t="str">
            <v>WESLEY</v>
          </cell>
          <cell r="D224" t="str">
            <v>NICE</v>
          </cell>
          <cell r="E224">
            <v>91</v>
          </cell>
          <cell r="F224" t="str">
            <v>NC NUMERICABLE ILE-DE-FRANCE</v>
          </cell>
          <cell r="G224" t="str">
            <v>VAD CONSEILLERS</v>
          </cell>
          <cell r="H224" t="str">
            <v>VIVIN</v>
          </cell>
          <cell r="I224" t="str">
            <v>SUES500001</v>
          </cell>
          <cell r="J224">
            <v>100</v>
          </cell>
          <cell r="K224">
            <v>38789</v>
          </cell>
          <cell r="L224" t="str">
            <v>CONSEILLER(E) COM.</v>
          </cell>
          <cell r="M224" t="str">
            <v>TSM</v>
          </cell>
          <cell r="N224" t="str">
            <v>D</v>
          </cell>
          <cell r="O224" t="str">
            <v>CDI</v>
          </cell>
          <cell r="P224">
            <v>151.57</v>
          </cell>
          <cell r="Q224">
            <v>0</v>
          </cell>
          <cell r="R224">
            <v>629.05999999999995</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244.56</v>
          </cell>
          <cell r="AO224">
            <v>0</v>
          </cell>
          <cell r="AP224">
            <v>0</v>
          </cell>
          <cell r="AQ224">
            <v>1695.64</v>
          </cell>
          <cell r="AR224">
            <v>0</v>
          </cell>
          <cell r="AS224">
            <v>0</v>
          </cell>
          <cell r="AT224">
            <v>0</v>
          </cell>
          <cell r="AU224">
            <v>0</v>
          </cell>
        </row>
        <row r="225">
          <cell r="A225" t="str">
            <v>000A1211</v>
          </cell>
          <cell r="B225" t="str">
            <v>MAKAYA</v>
          </cell>
          <cell r="C225" t="str">
            <v>RICHARD</v>
          </cell>
          <cell r="D225" t="str">
            <v>VERSAILLES</v>
          </cell>
          <cell r="E225">
            <v>91</v>
          </cell>
          <cell r="F225" t="str">
            <v>NC NUMERICABLE ILE-DE-FRANCE</v>
          </cell>
          <cell r="G225" t="str">
            <v>VAD CONSEILLERS</v>
          </cell>
          <cell r="H225" t="str">
            <v>ZERFAINE</v>
          </cell>
          <cell r="I225" t="str">
            <v>IDFR500001</v>
          </cell>
          <cell r="J225">
            <v>100</v>
          </cell>
          <cell r="K225">
            <v>38663</v>
          </cell>
          <cell r="L225" t="str">
            <v>CONSEILLER(E) COM.</v>
          </cell>
          <cell r="M225" t="str">
            <v>TSM</v>
          </cell>
          <cell r="N225" t="str">
            <v>D</v>
          </cell>
          <cell r="O225" t="str">
            <v>CDI</v>
          </cell>
          <cell r="P225">
            <v>151.57</v>
          </cell>
          <cell r="Q225">
            <v>1217.8800000000001</v>
          </cell>
          <cell r="R225">
            <v>1389.98</v>
          </cell>
          <cell r="S225">
            <v>0</v>
          </cell>
          <cell r="T225">
            <v>2440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393.92</v>
          </cell>
          <cell r="AO225">
            <v>0</v>
          </cell>
          <cell r="AP225">
            <v>0</v>
          </cell>
          <cell r="AQ225">
            <v>1217.8800000000001</v>
          </cell>
          <cell r="AR225">
            <v>0</v>
          </cell>
          <cell r="AS225">
            <v>0</v>
          </cell>
          <cell r="AT225">
            <v>0</v>
          </cell>
          <cell r="AU225">
            <v>0</v>
          </cell>
        </row>
        <row r="226">
          <cell r="A226" t="str">
            <v>000BE042</v>
          </cell>
          <cell r="B226" t="str">
            <v>EMORINE</v>
          </cell>
          <cell r="C226" t="str">
            <v>FABIEN</v>
          </cell>
          <cell r="D226" t="str">
            <v>LYON CATN</v>
          </cell>
          <cell r="E226">
            <v>61</v>
          </cell>
          <cell r="F226" t="str">
            <v>NC NUMERICABLE RHONES-ALPES</v>
          </cell>
          <cell r="G226" t="str">
            <v>CATN 2EME LIGNE</v>
          </cell>
          <cell r="H226" t="str">
            <v>BAYARD</v>
          </cell>
          <cell r="I226" t="str">
            <v>CLIE411001</v>
          </cell>
          <cell r="J226">
            <v>100</v>
          </cell>
          <cell r="K226">
            <v>38700</v>
          </cell>
          <cell r="L226" t="str">
            <v>CHARGE(E)CLIENTELE</v>
          </cell>
          <cell r="M226" t="str">
            <v>EMPLOYE</v>
          </cell>
          <cell r="N226" t="str">
            <v>C</v>
          </cell>
          <cell r="O226" t="str">
            <v>CDD</v>
          </cell>
          <cell r="P226">
            <v>151.57</v>
          </cell>
          <cell r="Q226">
            <v>1450</v>
          </cell>
          <cell r="R226">
            <v>1046.06</v>
          </cell>
          <cell r="S226">
            <v>0</v>
          </cell>
          <cell r="T226">
            <v>0</v>
          </cell>
          <cell r="U226">
            <v>0</v>
          </cell>
          <cell r="V226">
            <v>0</v>
          </cell>
          <cell r="W226">
            <v>171</v>
          </cell>
          <cell r="X226">
            <v>95</v>
          </cell>
          <cell r="Y226">
            <v>0</v>
          </cell>
          <cell r="Z226">
            <v>192</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205.47</v>
          </cell>
          <cell r="AO226">
            <v>0</v>
          </cell>
          <cell r="AP226">
            <v>0</v>
          </cell>
          <cell r="AQ226">
            <v>1450</v>
          </cell>
          <cell r="AR226">
            <v>287</v>
          </cell>
          <cell r="AS226">
            <v>0</v>
          </cell>
          <cell r="AT226">
            <v>0</v>
          </cell>
          <cell r="AU226">
            <v>0</v>
          </cell>
        </row>
        <row r="227">
          <cell r="A227" t="str">
            <v>000A1686</v>
          </cell>
          <cell r="B227" t="str">
            <v>NGUINZA</v>
          </cell>
          <cell r="C227" t="str">
            <v>JEAN CHRISTOPHE</v>
          </cell>
          <cell r="D227" t="str">
            <v>SAINT ETIENNE</v>
          </cell>
          <cell r="E227">
            <v>91</v>
          </cell>
          <cell r="F227" t="str">
            <v>NC NUMERICABLE ILE-DE-FRANCE</v>
          </cell>
          <cell r="G227" t="str">
            <v>VAD CONSEILLERS</v>
          </cell>
          <cell r="H227" t="str">
            <v>DONT</v>
          </cell>
          <cell r="I227" t="str">
            <v>RHON500001</v>
          </cell>
          <cell r="J227">
            <v>100</v>
          </cell>
          <cell r="K227">
            <v>38796</v>
          </cell>
          <cell r="L227" t="str">
            <v>CONSEILLER(E) COM.</v>
          </cell>
          <cell r="M227" t="str">
            <v>TSM</v>
          </cell>
          <cell r="N227" t="str">
            <v>D</v>
          </cell>
          <cell r="O227" t="str">
            <v>CDI</v>
          </cell>
          <cell r="P227">
            <v>151.57</v>
          </cell>
          <cell r="Q227">
            <v>0</v>
          </cell>
          <cell r="R227">
            <v>463.11</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1705.03</v>
          </cell>
          <cell r="AR227">
            <v>0</v>
          </cell>
          <cell r="AS227">
            <v>0</v>
          </cell>
          <cell r="AT227">
            <v>0</v>
          </cell>
          <cell r="AU227">
            <v>0</v>
          </cell>
        </row>
        <row r="228">
          <cell r="A228" t="str">
            <v>000A1217</v>
          </cell>
          <cell r="B228" t="str">
            <v>MEFLE</v>
          </cell>
          <cell r="C228" t="str">
            <v>CARLOS</v>
          </cell>
          <cell r="D228" t="str">
            <v>VERSAILLES</v>
          </cell>
          <cell r="E228">
            <v>91</v>
          </cell>
          <cell r="F228" t="str">
            <v>NC NUMERICABLE ILE-DE-FRANCE</v>
          </cell>
          <cell r="G228" t="str">
            <v>VAD CONSEILLERS</v>
          </cell>
          <cell r="H228" t="str">
            <v>YILDIZ</v>
          </cell>
          <cell r="I228" t="str">
            <v>IDFR500001</v>
          </cell>
          <cell r="J228">
            <v>100</v>
          </cell>
          <cell r="K228">
            <v>38658</v>
          </cell>
          <cell r="L228" t="str">
            <v>CONSEILLER(E) COM.</v>
          </cell>
          <cell r="M228" t="str">
            <v>TSM</v>
          </cell>
          <cell r="N228" t="str">
            <v>D</v>
          </cell>
          <cell r="O228" t="str">
            <v>CDI</v>
          </cell>
          <cell r="P228">
            <v>151.57</v>
          </cell>
          <cell r="Q228">
            <v>1217.8800000000001</v>
          </cell>
          <cell r="R228">
            <v>1242.02</v>
          </cell>
          <cell r="S228">
            <v>0</v>
          </cell>
          <cell r="T228">
            <v>2000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346.54</v>
          </cell>
          <cell r="AO228">
            <v>0</v>
          </cell>
          <cell r="AP228">
            <v>0</v>
          </cell>
          <cell r="AQ228">
            <v>1217.8800000000001</v>
          </cell>
          <cell r="AR228">
            <v>0</v>
          </cell>
          <cell r="AS228">
            <v>0</v>
          </cell>
          <cell r="AT228">
            <v>0</v>
          </cell>
          <cell r="AU228">
            <v>0</v>
          </cell>
        </row>
        <row r="229">
          <cell r="A229" t="str">
            <v>000A1689</v>
          </cell>
          <cell r="B229" t="str">
            <v>ROUBA</v>
          </cell>
          <cell r="C229" t="str">
            <v>AHMED</v>
          </cell>
          <cell r="D229" t="str">
            <v>MARSEILLE</v>
          </cell>
          <cell r="E229">
            <v>91</v>
          </cell>
          <cell r="F229" t="str">
            <v>NC NUMERICABLE ILE-DE-FRANCE</v>
          </cell>
          <cell r="G229" t="str">
            <v>VAD CONSEILLERS</v>
          </cell>
          <cell r="H229" t="str">
            <v>VIVIN</v>
          </cell>
          <cell r="I229" t="str">
            <v>SUES500001</v>
          </cell>
          <cell r="J229">
            <v>100</v>
          </cell>
          <cell r="K229">
            <v>38803</v>
          </cell>
          <cell r="L229" t="str">
            <v>CONSEILLER(E) COM.</v>
          </cell>
          <cell r="M229" t="str">
            <v>TSM</v>
          </cell>
          <cell r="N229" t="str">
            <v>D</v>
          </cell>
          <cell r="O229" t="str">
            <v>CDI</v>
          </cell>
          <cell r="P229">
            <v>151.57</v>
          </cell>
          <cell r="Q229">
            <v>0</v>
          </cell>
          <cell r="R229">
            <v>413.18</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1420.86</v>
          </cell>
          <cell r="AR229">
            <v>0</v>
          </cell>
          <cell r="AS229">
            <v>0</v>
          </cell>
          <cell r="AT229">
            <v>0</v>
          </cell>
          <cell r="AU229">
            <v>0</v>
          </cell>
        </row>
        <row r="230">
          <cell r="A230" t="str">
            <v>000A1086</v>
          </cell>
          <cell r="B230" t="str">
            <v>WIDLOECHER</v>
          </cell>
          <cell r="C230" t="str">
            <v>SEBASTIEN</v>
          </cell>
          <cell r="D230" t="str">
            <v>RENNES</v>
          </cell>
          <cell r="E230">
            <v>91</v>
          </cell>
          <cell r="F230" t="str">
            <v>NC NUMERICABLE ILE-DE-FRANCE</v>
          </cell>
          <cell r="G230" t="str">
            <v>VAD CONSEILLERS</v>
          </cell>
          <cell r="H230" t="str">
            <v>DIGUE</v>
          </cell>
          <cell r="I230" t="str">
            <v>OUES500001</v>
          </cell>
          <cell r="J230">
            <v>100</v>
          </cell>
          <cell r="K230">
            <v>38635</v>
          </cell>
          <cell r="L230" t="str">
            <v>CONSEILLER(E) COM.</v>
          </cell>
          <cell r="M230" t="str">
            <v>TSM</v>
          </cell>
          <cell r="N230" t="str">
            <v>D</v>
          </cell>
          <cell r="O230" t="str">
            <v>CDI</v>
          </cell>
          <cell r="P230">
            <v>151.57</v>
          </cell>
          <cell r="Q230">
            <v>1217.8800000000001</v>
          </cell>
          <cell r="R230">
            <v>1218.6300000000001</v>
          </cell>
          <cell r="S230">
            <v>0</v>
          </cell>
          <cell r="T230">
            <v>2000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346.53</v>
          </cell>
          <cell r="AO230">
            <v>0</v>
          </cell>
          <cell r="AP230">
            <v>0</v>
          </cell>
          <cell r="AQ230">
            <v>1217.8800000000001</v>
          </cell>
          <cell r="AR230">
            <v>0</v>
          </cell>
          <cell r="AS230">
            <v>0</v>
          </cell>
          <cell r="AT230">
            <v>0</v>
          </cell>
          <cell r="AU230">
            <v>0</v>
          </cell>
        </row>
        <row r="231">
          <cell r="A231" t="str">
            <v>000A1495</v>
          </cell>
          <cell r="B231" t="str">
            <v>OGNIMBA</v>
          </cell>
          <cell r="C231" t="str">
            <v>FRANCK</v>
          </cell>
          <cell r="D231" t="str">
            <v>LYON GARIBALDI</v>
          </cell>
          <cell r="E231">
            <v>91</v>
          </cell>
          <cell r="F231" t="str">
            <v>NC NUMERICABLE ILE-DE-FRANCE</v>
          </cell>
          <cell r="G231" t="str">
            <v>VAD CONSEILLERS</v>
          </cell>
          <cell r="H231" t="str">
            <v>JAUNAY</v>
          </cell>
          <cell r="I231" t="str">
            <v>RHON500001</v>
          </cell>
          <cell r="J231">
            <v>100</v>
          </cell>
          <cell r="K231">
            <v>38754</v>
          </cell>
          <cell r="L231" t="str">
            <v>CONSEILLER(E) COM.</v>
          </cell>
          <cell r="M231" t="str">
            <v>TSM</v>
          </cell>
          <cell r="N231" t="str">
            <v>D</v>
          </cell>
          <cell r="O231" t="str">
            <v>CDI</v>
          </cell>
          <cell r="P231">
            <v>151.57</v>
          </cell>
          <cell r="Q231">
            <v>1217.8800000000001</v>
          </cell>
          <cell r="R231">
            <v>571.14</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374.98</v>
          </cell>
          <cell r="AO231">
            <v>0</v>
          </cell>
          <cell r="AP231">
            <v>0</v>
          </cell>
          <cell r="AQ231">
            <v>1217.8800000000001</v>
          </cell>
          <cell r="AR231">
            <v>0</v>
          </cell>
          <cell r="AS231">
            <v>0</v>
          </cell>
          <cell r="AT231">
            <v>0</v>
          </cell>
          <cell r="AU231">
            <v>0</v>
          </cell>
        </row>
        <row r="232">
          <cell r="A232" t="str">
            <v>000A1412</v>
          </cell>
          <cell r="B232" t="str">
            <v>NESPOUX</v>
          </cell>
          <cell r="C232" t="str">
            <v>PHILIPPE</v>
          </cell>
          <cell r="D232" t="str">
            <v>MONTPELLIER</v>
          </cell>
          <cell r="E232">
            <v>91</v>
          </cell>
          <cell r="F232" t="str">
            <v>NC NUMERICABLE ILE-DE-FRANCE</v>
          </cell>
          <cell r="G232" t="str">
            <v>VAD CONSEILLERS</v>
          </cell>
          <cell r="H232" t="str">
            <v>DEY</v>
          </cell>
          <cell r="I232" t="str">
            <v>SUES500001</v>
          </cell>
          <cell r="J232">
            <v>100</v>
          </cell>
          <cell r="K232">
            <v>38705</v>
          </cell>
          <cell r="L232" t="str">
            <v>CONSEILLER(E) COM.</v>
          </cell>
          <cell r="M232" t="str">
            <v>TSM</v>
          </cell>
          <cell r="N232" t="str">
            <v>D</v>
          </cell>
          <cell r="O232" t="str">
            <v>CDI</v>
          </cell>
          <cell r="P232">
            <v>151.57</v>
          </cell>
          <cell r="Q232">
            <v>3004.1</v>
          </cell>
          <cell r="R232">
            <v>501.28</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109.3</v>
          </cell>
          <cell r="AO232">
            <v>0</v>
          </cell>
          <cell r="AP232">
            <v>0</v>
          </cell>
          <cell r="AQ232">
            <v>1014.9</v>
          </cell>
          <cell r="AR232">
            <v>0</v>
          </cell>
          <cell r="AS232">
            <v>0</v>
          </cell>
          <cell r="AT232">
            <v>0</v>
          </cell>
          <cell r="AU232">
            <v>0</v>
          </cell>
        </row>
        <row r="233">
          <cell r="A233" t="str">
            <v>000A1445</v>
          </cell>
          <cell r="B233" t="str">
            <v>LAGUEREMA TOMTE</v>
          </cell>
          <cell r="C233" t="str">
            <v>BRICE-ARSENE</v>
          </cell>
          <cell r="D233" t="str">
            <v>SAINT ETIENNE</v>
          </cell>
          <cell r="E233">
            <v>91</v>
          </cell>
          <cell r="F233" t="str">
            <v>NC NUMERICABLE ILE-DE-FRANCE</v>
          </cell>
          <cell r="G233" t="str">
            <v>VAD CONSEILLERS</v>
          </cell>
          <cell r="H233" t="str">
            <v>DONT</v>
          </cell>
          <cell r="I233" t="str">
            <v>RHON500001</v>
          </cell>
          <cell r="J233">
            <v>100</v>
          </cell>
          <cell r="K233">
            <v>38740</v>
          </cell>
          <cell r="L233" t="str">
            <v>CONSEILLER(E) COM.</v>
          </cell>
          <cell r="M233" t="str">
            <v>TSM</v>
          </cell>
          <cell r="N233" t="str">
            <v>D</v>
          </cell>
          <cell r="O233" t="str">
            <v>CDI</v>
          </cell>
          <cell r="P233">
            <v>151.57</v>
          </cell>
          <cell r="Q233">
            <v>1583.24</v>
          </cell>
          <cell r="R233">
            <v>2453.79</v>
          </cell>
          <cell r="S233">
            <v>0</v>
          </cell>
          <cell r="T233">
            <v>5500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723.47</v>
          </cell>
          <cell r="AO233">
            <v>0</v>
          </cell>
          <cell r="AP233">
            <v>0</v>
          </cell>
          <cell r="AQ233">
            <v>1217.8800000000001</v>
          </cell>
          <cell r="AR233">
            <v>0</v>
          </cell>
          <cell r="AS233">
            <v>0</v>
          </cell>
          <cell r="AT233">
            <v>0</v>
          </cell>
          <cell r="AU233">
            <v>0</v>
          </cell>
        </row>
        <row r="234">
          <cell r="A234" t="str">
            <v>000A1703</v>
          </cell>
          <cell r="B234" t="str">
            <v>SARGERO</v>
          </cell>
          <cell r="C234" t="str">
            <v>GABRIEL</v>
          </cell>
          <cell r="D234" t="str">
            <v>MARSEILLE</v>
          </cell>
          <cell r="E234">
            <v>91</v>
          </cell>
          <cell r="F234" t="str">
            <v>NC NUMERICABLE ILE-DE-FRANCE</v>
          </cell>
          <cell r="G234" t="str">
            <v>VAD CONSEILLERS</v>
          </cell>
          <cell r="H234" t="str">
            <v>VIVIN</v>
          </cell>
          <cell r="I234" t="str">
            <v>SUES500001</v>
          </cell>
          <cell r="J234">
            <v>100</v>
          </cell>
          <cell r="K234">
            <v>38811</v>
          </cell>
          <cell r="L234" t="str">
            <v>CONSEILLER(E) COM.</v>
          </cell>
          <cell r="M234" t="str">
            <v>TSM</v>
          </cell>
          <cell r="N234" t="str">
            <v>D</v>
          </cell>
          <cell r="O234" t="str">
            <v>CDI</v>
          </cell>
          <cell r="P234">
            <v>151.57</v>
          </cell>
          <cell r="Q234">
            <v>0</v>
          </cell>
          <cell r="R234">
            <v>308.76</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1096.0899999999999</v>
          </cell>
          <cell r="AR234">
            <v>0</v>
          </cell>
          <cell r="AS234">
            <v>0</v>
          </cell>
          <cell r="AT234">
            <v>0</v>
          </cell>
          <cell r="AU234">
            <v>0</v>
          </cell>
        </row>
        <row r="235">
          <cell r="A235" t="str">
            <v>000A1625</v>
          </cell>
          <cell r="B235" t="str">
            <v>PENA-PITRA</v>
          </cell>
          <cell r="C235" t="str">
            <v>WILFRID-KHOZAUD</v>
          </cell>
          <cell r="D235" t="str">
            <v>SIEGE</v>
          </cell>
          <cell r="E235">
            <v>91</v>
          </cell>
          <cell r="F235" t="str">
            <v>NC NUMERICABLE ILE-DE-FRANCE</v>
          </cell>
          <cell r="G235" t="str">
            <v>VAD CONSEILLERS</v>
          </cell>
          <cell r="H235" t="str">
            <v>ZERFAINE</v>
          </cell>
          <cell r="I235" t="str">
            <v>IDFR500001</v>
          </cell>
          <cell r="J235">
            <v>100</v>
          </cell>
          <cell r="K235">
            <v>38789</v>
          </cell>
          <cell r="L235" t="str">
            <v>CONSEILLER(E) COM.</v>
          </cell>
          <cell r="M235" t="str">
            <v>TSM</v>
          </cell>
          <cell r="N235" t="str">
            <v>D</v>
          </cell>
          <cell r="O235" t="str">
            <v>CDI</v>
          </cell>
          <cell r="P235">
            <v>151.57</v>
          </cell>
          <cell r="Q235">
            <v>0</v>
          </cell>
          <cell r="R235">
            <v>503.64</v>
          </cell>
          <cell r="S235">
            <v>0</v>
          </cell>
          <cell r="T235">
            <v>781</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1217.8800000000001</v>
          </cell>
          <cell r="AR235">
            <v>0</v>
          </cell>
          <cell r="AS235">
            <v>0</v>
          </cell>
          <cell r="AT235">
            <v>0</v>
          </cell>
          <cell r="AU235">
            <v>0</v>
          </cell>
        </row>
        <row r="236">
          <cell r="A236" t="str">
            <v>000A1620</v>
          </cell>
          <cell r="B236" t="str">
            <v>SADALAH</v>
          </cell>
          <cell r="C236" t="str">
            <v>RANIA</v>
          </cell>
          <cell r="D236" t="str">
            <v>LYON CATN</v>
          </cell>
          <cell r="E236">
            <v>61</v>
          </cell>
          <cell r="F236" t="str">
            <v>NC NUMERICABLE RHONES-ALPES</v>
          </cell>
          <cell r="H236" t="str">
            <v>BAYARD</v>
          </cell>
          <cell r="I236" t="str">
            <v>CLIE410001</v>
          </cell>
          <cell r="J236">
            <v>100</v>
          </cell>
          <cell r="K236">
            <v>38777</v>
          </cell>
          <cell r="L236" t="str">
            <v>CONSEILLER RECLAMATION</v>
          </cell>
          <cell r="M236" t="str">
            <v>EMPLOYE</v>
          </cell>
          <cell r="N236" t="str">
            <v>C</v>
          </cell>
          <cell r="O236" t="str">
            <v>CDD</v>
          </cell>
          <cell r="P236">
            <v>151.57</v>
          </cell>
          <cell r="Q236">
            <v>0</v>
          </cell>
          <cell r="R236">
            <v>649.30999999999995</v>
          </cell>
          <cell r="S236">
            <v>0</v>
          </cell>
          <cell r="T236">
            <v>0</v>
          </cell>
          <cell r="U236">
            <v>0</v>
          </cell>
          <cell r="V236">
            <v>0</v>
          </cell>
          <cell r="W236">
            <v>171</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281.18</v>
          </cell>
          <cell r="AO236">
            <v>0</v>
          </cell>
          <cell r="AP236">
            <v>0</v>
          </cell>
          <cell r="AQ236">
            <v>1220</v>
          </cell>
          <cell r="AR236">
            <v>0</v>
          </cell>
          <cell r="AS236">
            <v>0</v>
          </cell>
          <cell r="AT236">
            <v>0</v>
          </cell>
          <cell r="AU236">
            <v>0</v>
          </cell>
        </row>
        <row r="237">
          <cell r="A237" t="str">
            <v>000A1013</v>
          </cell>
          <cell r="B237" t="str">
            <v>MERY</v>
          </cell>
          <cell r="C237" t="str">
            <v>ERIC</v>
          </cell>
          <cell r="D237" t="str">
            <v>SIEGE</v>
          </cell>
          <cell r="E237">
            <v>91</v>
          </cell>
          <cell r="F237" t="str">
            <v>NC NUMERICABLE ILE-DE-FRANCE</v>
          </cell>
          <cell r="G237" t="str">
            <v>INFORMATIQUE</v>
          </cell>
          <cell r="H237" t="str">
            <v>BARLOT</v>
          </cell>
          <cell r="I237" t="str">
            <v>GENE620001</v>
          </cell>
          <cell r="J237">
            <v>100</v>
          </cell>
          <cell r="K237">
            <v>38384</v>
          </cell>
          <cell r="L237" t="str">
            <v>CHEF DE PROJET</v>
          </cell>
          <cell r="M237" t="str">
            <v>CADRE</v>
          </cell>
          <cell r="N237" t="str">
            <v>E</v>
          </cell>
          <cell r="O237" t="str">
            <v>CDI</v>
          </cell>
          <cell r="P237">
            <v>151.57</v>
          </cell>
          <cell r="Q237">
            <v>3333.34</v>
          </cell>
          <cell r="R237">
            <v>1525.88</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360.67</v>
          </cell>
          <cell r="AO237">
            <v>22.46</v>
          </cell>
          <cell r="AP237">
            <v>0</v>
          </cell>
          <cell r="AQ237">
            <v>3041.09</v>
          </cell>
          <cell r="AR237">
            <v>0</v>
          </cell>
          <cell r="AS237">
            <v>0</v>
          </cell>
          <cell r="AT237">
            <v>0</v>
          </cell>
          <cell r="AU237">
            <v>0</v>
          </cell>
        </row>
        <row r="238">
          <cell r="A238" t="str">
            <v>000A1604</v>
          </cell>
          <cell r="B238" t="str">
            <v>TAILLART</v>
          </cell>
          <cell r="C238" t="str">
            <v>EDITH</v>
          </cell>
          <cell r="D238" t="str">
            <v>SIEGE</v>
          </cell>
          <cell r="E238">
            <v>91</v>
          </cell>
          <cell r="F238" t="str">
            <v>NC NUMERICABLE ILE-DE-FRANCE</v>
          </cell>
          <cell r="G238" t="str">
            <v>MARKETING</v>
          </cell>
          <cell r="H238" t="str">
            <v>VINEL</v>
          </cell>
          <cell r="I238" t="str">
            <v>GENE546001</v>
          </cell>
          <cell r="J238">
            <v>100</v>
          </cell>
          <cell r="K238">
            <v>38775</v>
          </cell>
          <cell r="L238" t="str">
            <v>RESPONSABLE MARKETING</v>
          </cell>
          <cell r="M238" t="str">
            <v>CADRE</v>
          </cell>
          <cell r="N238" t="str">
            <v>F</v>
          </cell>
          <cell r="O238" t="str">
            <v>CDI</v>
          </cell>
          <cell r="P238">
            <v>151.57</v>
          </cell>
          <cell r="Q238">
            <v>0</v>
          </cell>
          <cell r="R238">
            <v>2900.55</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1148.72</v>
          </cell>
          <cell r="AO238">
            <v>23.61</v>
          </cell>
          <cell r="AP238">
            <v>0</v>
          </cell>
          <cell r="AQ238">
            <v>5000</v>
          </cell>
          <cell r="AR238">
            <v>0</v>
          </cell>
          <cell r="AS238">
            <v>0</v>
          </cell>
          <cell r="AT238">
            <v>0</v>
          </cell>
          <cell r="AU238">
            <v>0</v>
          </cell>
        </row>
        <row r="239">
          <cell r="A239" t="str">
            <v>000A1435</v>
          </cell>
          <cell r="B239" t="str">
            <v>AUDOYE</v>
          </cell>
          <cell r="C239" t="str">
            <v>STEPHAN</v>
          </cell>
          <cell r="D239" t="str">
            <v>NICE</v>
          </cell>
          <cell r="E239">
            <v>91</v>
          </cell>
          <cell r="F239" t="str">
            <v>NC NUMERICABLE ILE-DE-FRANCE</v>
          </cell>
          <cell r="G239" t="str">
            <v>VAD CONSEILLERS</v>
          </cell>
          <cell r="H239" t="str">
            <v>DEPREEUW</v>
          </cell>
          <cell r="I239" t="str">
            <v>SUES500001</v>
          </cell>
          <cell r="J239">
            <v>100</v>
          </cell>
          <cell r="K239">
            <v>38747</v>
          </cell>
          <cell r="L239" t="str">
            <v>CONSEILLER(E) COM.</v>
          </cell>
          <cell r="M239" t="str">
            <v>TSM</v>
          </cell>
          <cell r="N239" t="str">
            <v>D</v>
          </cell>
          <cell r="O239" t="str">
            <v>CDI</v>
          </cell>
          <cell r="P239">
            <v>151.57</v>
          </cell>
          <cell r="Q239">
            <v>1299.07</v>
          </cell>
          <cell r="R239">
            <v>499.98</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131.16</v>
          </cell>
          <cell r="AO239">
            <v>0</v>
          </cell>
          <cell r="AP239">
            <v>0</v>
          </cell>
          <cell r="AQ239">
            <v>1217.8800000000001</v>
          </cell>
          <cell r="AR239">
            <v>0</v>
          </cell>
          <cell r="AS239">
            <v>0</v>
          </cell>
          <cell r="AT239">
            <v>0</v>
          </cell>
          <cell r="AU239">
            <v>0</v>
          </cell>
        </row>
        <row r="240">
          <cell r="A240" t="str">
            <v>000A1328</v>
          </cell>
          <cell r="B240" t="str">
            <v>KINTZ</v>
          </cell>
          <cell r="C240" t="str">
            <v>DIMITRI</v>
          </cell>
          <cell r="D240" t="str">
            <v>LYON CATN</v>
          </cell>
          <cell r="E240">
            <v>61</v>
          </cell>
          <cell r="F240" t="str">
            <v>NC NUMERICABLE RHONES-ALPES</v>
          </cell>
          <cell r="G240" t="str">
            <v>CATN 2EME LIGNE</v>
          </cell>
          <cell r="H240" t="str">
            <v>BAYARD</v>
          </cell>
          <cell r="I240" t="str">
            <v>CLIE411001</v>
          </cell>
          <cell r="J240">
            <v>100</v>
          </cell>
          <cell r="K240">
            <v>38692</v>
          </cell>
          <cell r="L240" t="str">
            <v>CHARGE(E)CLIENTELE</v>
          </cell>
          <cell r="M240" t="str">
            <v>EMPLOYE</v>
          </cell>
          <cell r="N240" t="str">
            <v>C</v>
          </cell>
          <cell r="O240" t="str">
            <v>CDD</v>
          </cell>
          <cell r="P240">
            <v>151.57</v>
          </cell>
          <cell r="Q240">
            <v>1450</v>
          </cell>
          <cell r="R240">
            <v>1044.27</v>
          </cell>
          <cell r="S240">
            <v>0</v>
          </cell>
          <cell r="T240">
            <v>0</v>
          </cell>
          <cell r="U240">
            <v>0</v>
          </cell>
          <cell r="V240">
            <v>0</v>
          </cell>
          <cell r="W240">
            <v>171</v>
          </cell>
          <cell r="X240">
            <v>95</v>
          </cell>
          <cell r="Y240">
            <v>0</v>
          </cell>
          <cell r="Z240">
            <v>192</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205.47</v>
          </cell>
          <cell r="AO240">
            <v>0</v>
          </cell>
          <cell r="AP240">
            <v>0</v>
          </cell>
          <cell r="AQ240">
            <v>1450</v>
          </cell>
          <cell r="AR240">
            <v>287</v>
          </cell>
          <cell r="AS240">
            <v>0</v>
          </cell>
          <cell r="AT240">
            <v>0</v>
          </cell>
          <cell r="AU240">
            <v>0</v>
          </cell>
        </row>
        <row r="241">
          <cell r="A241" t="str">
            <v>000A1734</v>
          </cell>
          <cell r="B241" t="str">
            <v>EVRARD</v>
          </cell>
          <cell r="C241" t="str">
            <v>CHRISTINE</v>
          </cell>
          <cell r="D241" t="str">
            <v>LA MADELEINE</v>
          </cell>
          <cell r="E241">
            <v>91</v>
          </cell>
          <cell r="F241" t="str">
            <v>NC NUMERICABLE ILE-DE-FRANCE</v>
          </cell>
          <cell r="G241" t="str">
            <v>VAD CONSEILLERS</v>
          </cell>
          <cell r="H241" t="str">
            <v>GUIONNET</v>
          </cell>
          <cell r="I241" t="str">
            <v>NPCA500001</v>
          </cell>
          <cell r="J241">
            <v>100</v>
          </cell>
          <cell r="K241">
            <v>38803</v>
          </cell>
          <cell r="L241" t="str">
            <v>CONSEILLER(E) COM.</v>
          </cell>
          <cell r="M241" t="str">
            <v>TSM</v>
          </cell>
          <cell r="N241" t="str">
            <v>D</v>
          </cell>
          <cell r="O241" t="str">
            <v>CDI</v>
          </cell>
          <cell r="P241">
            <v>151.57</v>
          </cell>
          <cell r="Q241">
            <v>0</v>
          </cell>
          <cell r="R241">
            <v>389.78</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1420.86</v>
          </cell>
          <cell r="AR241">
            <v>0</v>
          </cell>
          <cell r="AS241">
            <v>0</v>
          </cell>
          <cell r="AT241">
            <v>0</v>
          </cell>
          <cell r="AU241">
            <v>0</v>
          </cell>
        </row>
        <row r="242">
          <cell r="A242" t="str">
            <v>000A1607</v>
          </cell>
          <cell r="B242" t="str">
            <v>MANGA</v>
          </cell>
          <cell r="C242" t="str">
            <v>ALAIN CHRISTIAN</v>
          </cell>
          <cell r="D242" t="str">
            <v>SAINT ETIENNE</v>
          </cell>
          <cell r="E242">
            <v>91</v>
          </cell>
          <cell r="F242" t="str">
            <v>NC NUMERICABLE ILE-DE-FRANCE</v>
          </cell>
          <cell r="G242" t="str">
            <v>VAD CONSEILLERS</v>
          </cell>
          <cell r="H242" t="str">
            <v>DONT</v>
          </cell>
          <cell r="I242" t="str">
            <v>RHON500001</v>
          </cell>
          <cell r="J242">
            <v>100</v>
          </cell>
          <cell r="K242">
            <v>38782</v>
          </cell>
          <cell r="L242" t="str">
            <v>CONSEILLER(E) COM.</v>
          </cell>
          <cell r="M242" t="str">
            <v>TSM</v>
          </cell>
          <cell r="N242" t="str">
            <v>D</v>
          </cell>
          <cell r="O242" t="str">
            <v>CDI</v>
          </cell>
          <cell r="P242">
            <v>151.57</v>
          </cell>
          <cell r="Q242">
            <v>0</v>
          </cell>
          <cell r="R242">
            <v>817.7</v>
          </cell>
          <cell r="S242">
            <v>0</v>
          </cell>
          <cell r="T242">
            <v>1070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360.06</v>
          </cell>
          <cell r="AO242">
            <v>0</v>
          </cell>
          <cell r="AP242">
            <v>0</v>
          </cell>
          <cell r="AQ242">
            <v>1217.8800000000001</v>
          </cell>
          <cell r="AR242">
            <v>0</v>
          </cell>
          <cell r="AS242">
            <v>0</v>
          </cell>
          <cell r="AT242">
            <v>0</v>
          </cell>
          <cell r="AU242">
            <v>0</v>
          </cell>
        </row>
        <row r="243">
          <cell r="A243" t="str">
            <v>000A0701</v>
          </cell>
          <cell r="B243" t="str">
            <v>CRISTIANI DE RAVARAN</v>
          </cell>
          <cell r="C243" t="str">
            <v>PHILIPPE</v>
          </cell>
          <cell r="D243" t="str">
            <v>SIEGE</v>
          </cell>
          <cell r="E243">
            <v>91</v>
          </cell>
          <cell r="F243" t="str">
            <v>NC NUMERICABLE ILE-DE-FRANCE</v>
          </cell>
          <cell r="G243" t="str">
            <v>VENTE</v>
          </cell>
          <cell r="I243" t="str">
            <v>GENE905001</v>
          </cell>
          <cell r="J243">
            <v>100</v>
          </cell>
          <cell r="K243">
            <v>36100</v>
          </cell>
          <cell r="L243" t="str">
            <v>DIRECTEUR COM.</v>
          </cell>
          <cell r="M243" t="str">
            <v>CADRE</v>
          </cell>
          <cell r="N243" t="str">
            <v>F</v>
          </cell>
          <cell r="O243" t="str">
            <v>CDI</v>
          </cell>
          <cell r="P243">
            <v>151.57</v>
          </cell>
          <cell r="Q243">
            <v>6752.04</v>
          </cell>
          <cell r="R243">
            <v>221.94</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1350.45</v>
          </cell>
          <cell r="AN243">
            <v>727.15</v>
          </cell>
          <cell r="AO243">
            <v>1350.45</v>
          </cell>
          <cell r="AP243">
            <v>0</v>
          </cell>
          <cell r="AQ243">
            <v>6752.04</v>
          </cell>
          <cell r="AR243">
            <v>0</v>
          </cell>
          <cell r="AS243">
            <v>0</v>
          </cell>
          <cell r="AT243">
            <v>0</v>
          </cell>
          <cell r="AU243">
            <v>0</v>
          </cell>
        </row>
        <row r="244">
          <cell r="A244" t="str">
            <v>000A0867</v>
          </cell>
          <cell r="B244" t="str">
            <v>FISCHER</v>
          </cell>
          <cell r="C244" t="str">
            <v>FREDERIC</v>
          </cell>
          <cell r="D244" t="str">
            <v>SIEGE</v>
          </cell>
          <cell r="E244">
            <v>91</v>
          </cell>
          <cell r="F244" t="str">
            <v>NC NUMERICABLE ILE-DE-FRANCE</v>
          </cell>
          <cell r="G244" t="str">
            <v>INFORMATIQUE</v>
          </cell>
          <cell r="H244" t="str">
            <v>BARLOT</v>
          </cell>
          <cell r="I244" t="str">
            <v>GENE620001</v>
          </cell>
          <cell r="J244">
            <v>100</v>
          </cell>
          <cell r="K244">
            <v>36906</v>
          </cell>
          <cell r="L244" t="str">
            <v>CHARGE(E) ETUDES  DVP</v>
          </cell>
          <cell r="M244" t="str">
            <v>CADRE</v>
          </cell>
          <cell r="N244" t="str">
            <v>E</v>
          </cell>
          <cell r="O244" t="str">
            <v>CDI</v>
          </cell>
          <cell r="P244">
            <v>151.57</v>
          </cell>
          <cell r="Q244">
            <v>3971.23</v>
          </cell>
          <cell r="R244">
            <v>1543.26</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431.79</v>
          </cell>
          <cell r="AO244">
            <v>23.61</v>
          </cell>
          <cell r="AP244">
            <v>0</v>
          </cell>
          <cell r="AQ244">
            <v>3054.93</v>
          </cell>
          <cell r="AR244">
            <v>0</v>
          </cell>
          <cell r="AS244">
            <v>0</v>
          </cell>
          <cell r="AT244">
            <v>0</v>
          </cell>
          <cell r="AU244">
            <v>0</v>
          </cell>
        </row>
        <row r="245">
          <cell r="A245" t="str">
            <v>000F0237</v>
          </cell>
          <cell r="B245" t="str">
            <v>VIVIN</v>
          </cell>
          <cell r="C245" t="str">
            <v>ERIC</v>
          </cell>
          <cell r="D245" t="str">
            <v>MARSEILLE</v>
          </cell>
          <cell r="E245">
            <v>91</v>
          </cell>
          <cell r="F245" t="str">
            <v>NC NUMERICABLE ILE-DE-FRANCE</v>
          </cell>
          <cell r="G245" t="str">
            <v>VAD RCR</v>
          </cell>
          <cell r="H245" t="str">
            <v>CHAPELAT</v>
          </cell>
          <cell r="I245" t="str">
            <v>SUES500001</v>
          </cell>
          <cell r="J245">
            <v>100</v>
          </cell>
          <cell r="K245">
            <v>34631</v>
          </cell>
          <cell r="L245" t="str">
            <v>RESPONSABLE COM.</v>
          </cell>
          <cell r="M245" t="str">
            <v>CADRE</v>
          </cell>
          <cell r="N245" t="str">
            <v>E</v>
          </cell>
          <cell r="O245" t="str">
            <v>CDI</v>
          </cell>
          <cell r="P245">
            <v>151.57</v>
          </cell>
          <cell r="Q245">
            <v>5000</v>
          </cell>
          <cell r="R245">
            <v>4069.17</v>
          </cell>
          <cell r="S245">
            <v>0</v>
          </cell>
          <cell r="T245">
            <v>2848.9</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866.85</v>
          </cell>
          <cell r="AO245">
            <v>0</v>
          </cell>
          <cell r="AP245">
            <v>0</v>
          </cell>
          <cell r="AQ245">
            <v>5000</v>
          </cell>
          <cell r="AR245">
            <v>0</v>
          </cell>
          <cell r="AS245">
            <v>0</v>
          </cell>
          <cell r="AT245">
            <v>0</v>
          </cell>
          <cell r="AU245">
            <v>0</v>
          </cell>
        </row>
        <row r="246">
          <cell r="A246" t="str">
            <v>000BA003</v>
          </cell>
          <cell r="B246" t="str">
            <v>ANERE</v>
          </cell>
          <cell r="C246" t="str">
            <v>COLETTE</v>
          </cell>
          <cell r="D246" t="str">
            <v>LYON CATN</v>
          </cell>
          <cell r="E246">
            <v>91</v>
          </cell>
          <cell r="F246" t="str">
            <v>NC NUMERICABLE ILE-DE-FRANCE</v>
          </cell>
          <cell r="G246" t="str">
            <v>QUALITE</v>
          </cell>
          <cell r="I246" t="str">
            <v>GENE905001</v>
          </cell>
          <cell r="J246">
            <v>100</v>
          </cell>
          <cell r="K246">
            <v>34335</v>
          </cell>
          <cell r="L246" t="str">
            <v>RESPONSABLE QUALITE</v>
          </cell>
          <cell r="M246" t="str">
            <v>CADRE</v>
          </cell>
          <cell r="N246" t="str">
            <v>E</v>
          </cell>
          <cell r="O246" t="str">
            <v>CDI</v>
          </cell>
          <cell r="P246">
            <v>151.57</v>
          </cell>
          <cell r="Q246">
            <v>3594</v>
          </cell>
          <cell r="R246">
            <v>-207.17</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-345.3</v>
          </cell>
          <cell r="AN246">
            <v>63.36</v>
          </cell>
          <cell r="AO246">
            <v>-345.3</v>
          </cell>
          <cell r="AP246">
            <v>0</v>
          </cell>
          <cell r="AQ246">
            <v>3594</v>
          </cell>
          <cell r="AR246">
            <v>0</v>
          </cell>
          <cell r="AS246">
            <v>0</v>
          </cell>
          <cell r="AT246">
            <v>0</v>
          </cell>
          <cell r="AU246">
            <v>0</v>
          </cell>
        </row>
        <row r="247">
          <cell r="A247" t="str">
            <v>000B0011</v>
          </cell>
          <cell r="B247" t="str">
            <v>ALBERTINI</v>
          </cell>
          <cell r="C247" t="str">
            <v>CHRISTIAN</v>
          </cell>
          <cell r="D247" t="str">
            <v>BASTIA</v>
          </cell>
          <cell r="E247">
            <v>91</v>
          </cell>
          <cell r="F247" t="str">
            <v>NC NUMERICABLE ILE-DE-FRANCE</v>
          </cell>
          <cell r="G247" t="str">
            <v>VAD RGP</v>
          </cell>
          <cell r="H247" t="str">
            <v>VIVIN</v>
          </cell>
          <cell r="I247" t="str">
            <v>SUES500001</v>
          </cell>
          <cell r="J247">
            <v>100</v>
          </cell>
          <cell r="K247">
            <v>34731</v>
          </cell>
          <cell r="L247" t="str">
            <v>RESPONSABLE COM.</v>
          </cell>
          <cell r="M247" t="str">
            <v>CADRE</v>
          </cell>
          <cell r="N247" t="str">
            <v>E</v>
          </cell>
          <cell r="O247" t="str">
            <v>CDI</v>
          </cell>
          <cell r="P247">
            <v>151.57</v>
          </cell>
          <cell r="Q247">
            <v>3551</v>
          </cell>
          <cell r="R247">
            <v>2517.9699999999998</v>
          </cell>
          <cell r="S247">
            <v>0</v>
          </cell>
          <cell r="T247">
            <v>1200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528.02</v>
          </cell>
          <cell r="AO247">
            <v>0</v>
          </cell>
          <cell r="AP247">
            <v>0</v>
          </cell>
          <cell r="AQ247">
            <v>3551</v>
          </cell>
          <cell r="AR247">
            <v>0</v>
          </cell>
          <cell r="AS247">
            <v>0</v>
          </cell>
          <cell r="AT247">
            <v>0</v>
          </cell>
          <cell r="AU247">
            <v>0</v>
          </cell>
        </row>
        <row r="248">
          <cell r="A248">
            <v>51036</v>
          </cell>
          <cell r="B248" t="str">
            <v>BAGOT</v>
          </cell>
          <cell r="C248" t="str">
            <v>MICHELE</v>
          </cell>
          <cell r="D248" t="str">
            <v>NICE</v>
          </cell>
          <cell r="E248">
            <v>91</v>
          </cell>
          <cell r="F248" t="str">
            <v>NC NUMERICABLE ILE-DE-FRANCE</v>
          </cell>
          <cell r="G248" t="str">
            <v>DISTRIBUTEUR</v>
          </cell>
          <cell r="I248" t="str">
            <v>GENE905001</v>
          </cell>
          <cell r="J248">
            <v>100</v>
          </cell>
          <cell r="K248">
            <v>34851</v>
          </cell>
          <cell r="L248" t="str">
            <v>ATTACHE COMMERCIAL</v>
          </cell>
          <cell r="M248" t="str">
            <v>CADRE</v>
          </cell>
          <cell r="N248" t="str">
            <v>DB</v>
          </cell>
          <cell r="O248" t="str">
            <v>CDI</v>
          </cell>
          <cell r="P248">
            <v>151.57</v>
          </cell>
          <cell r="Q248">
            <v>1950.26</v>
          </cell>
          <cell r="R248">
            <v>312.36</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2833.57</v>
          </cell>
          <cell r="AN248">
            <v>210.02</v>
          </cell>
          <cell r="AO248">
            <v>2833.57</v>
          </cell>
          <cell r="AP248">
            <v>0</v>
          </cell>
          <cell r="AQ248">
            <v>1950.26</v>
          </cell>
          <cell r="AR248">
            <v>0</v>
          </cell>
          <cell r="AS248">
            <v>0</v>
          </cell>
          <cell r="AT248">
            <v>0</v>
          </cell>
          <cell r="AU248">
            <v>0</v>
          </cell>
        </row>
        <row r="249">
          <cell r="A249" t="str">
            <v>000A0928</v>
          </cell>
          <cell r="B249" t="str">
            <v>BARBIER</v>
          </cell>
          <cell r="C249" t="str">
            <v>MAGALIE</v>
          </cell>
          <cell r="D249" t="str">
            <v>SIEGE</v>
          </cell>
          <cell r="E249">
            <v>91</v>
          </cell>
          <cell r="F249" t="str">
            <v>NC NUMERICABLE ILE-DE-FRANCE</v>
          </cell>
          <cell r="G249" t="str">
            <v>MARKETING</v>
          </cell>
          <cell r="H249" t="str">
            <v>VINEL</v>
          </cell>
          <cell r="I249" t="str">
            <v>GENE546001</v>
          </cell>
          <cell r="J249">
            <v>100</v>
          </cell>
          <cell r="K249">
            <v>37305</v>
          </cell>
          <cell r="L249" t="str">
            <v>CHEF DE PRODUIT</v>
          </cell>
          <cell r="M249" t="str">
            <v>CADRE</v>
          </cell>
          <cell r="N249" t="str">
            <v>E</v>
          </cell>
          <cell r="O249" t="str">
            <v>CDI</v>
          </cell>
          <cell r="P249">
            <v>151.57</v>
          </cell>
          <cell r="Q249">
            <v>2900</v>
          </cell>
          <cell r="R249">
            <v>966.73</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314.74</v>
          </cell>
          <cell r="AO249">
            <v>23.61</v>
          </cell>
          <cell r="AP249">
            <v>0</v>
          </cell>
          <cell r="AQ249">
            <v>2922.59</v>
          </cell>
          <cell r="AR249">
            <v>0</v>
          </cell>
          <cell r="AS249">
            <v>0</v>
          </cell>
          <cell r="AT249">
            <v>0</v>
          </cell>
          <cell r="AU249">
            <v>0</v>
          </cell>
        </row>
        <row r="250">
          <cell r="A250" t="str">
            <v>000BF003</v>
          </cell>
          <cell r="B250" t="str">
            <v>SAVEY</v>
          </cell>
          <cell r="C250" t="str">
            <v>ANTONIA</v>
          </cell>
          <cell r="D250" t="str">
            <v>LYON CATN</v>
          </cell>
          <cell r="E250">
            <v>91</v>
          </cell>
          <cell r="F250" t="str">
            <v>NC NUMERICABLE ILE-DE-FRANCE</v>
          </cell>
          <cell r="G250" t="str">
            <v>MARKETING</v>
          </cell>
          <cell r="I250" t="str">
            <v>GENE905001</v>
          </cell>
          <cell r="J250">
            <v>100</v>
          </cell>
          <cell r="K250">
            <v>32952</v>
          </cell>
          <cell r="L250" t="str">
            <v>CHEF PRODUIT JUNIOR</v>
          </cell>
          <cell r="M250" t="str">
            <v>CADRE</v>
          </cell>
          <cell r="N250" t="str">
            <v>DB</v>
          </cell>
          <cell r="O250" t="str">
            <v>CDI</v>
          </cell>
          <cell r="P250">
            <v>151.57</v>
          </cell>
          <cell r="Q250">
            <v>2416.2600000000002</v>
          </cell>
          <cell r="R250">
            <v>361.56</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-246.72</v>
          </cell>
          <cell r="AN250">
            <v>260.20999999999998</v>
          </cell>
          <cell r="AO250">
            <v>-246.72</v>
          </cell>
          <cell r="AP250">
            <v>0</v>
          </cell>
          <cell r="AQ250">
            <v>2416.2600000000002</v>
          </cell>
          <cell r="AR250">
            <v>0</v>
          </cell>
          <cell r="AS250">
            <v>0</v>
          </cell>
          <cell r="AT250">
            <v>0</v>
          </cell>
          <cell r="AU250">
            <v>0</v>
          </cell>
        </row>
        <row r="251">
          <cell r="A251" t="str">
            <v>000F0023</v>
          </cell>
          <cell r="B251" t="str">
            <v>DURAND</v>
          </cell>
          <cell r="C251" t="str">
            <v>JEAN-MICHEL</v>
          </cell>
          <cell r="D251" t="str">
            <v>NANTES</v>
          </cell>
          <cell r="E251">
            <v>91</v>
          </cell>
          <cell r="F251" t="str">
            <v>NC NUMERICABLE ILE-DE-FRANCE</v>
          </cell>
          <cell r="G251" t="str">
            <v>RACCORDEMENT IMMOB.</v>
          </cell>
          <cell r="H251" t="str">
            <v>DUCEPT</v>
          </cell>
          <cell r="I251" t="str">
            <v>OUES302001</v>
          </cell>
          <cell r="J251">
            <v>100</v>
          </cell>
          <cell r="K251">
            <v>32510</v>
          </cell>
          <cell r="L251" t="str">
            <v>RESP. TECH. SUPPORT</v>
          </cell>
          <cell r="M251" t="str">
            <v>CADRE</v>
          </cell>
          <cell r="N251" t="str">
            <v>E</v>
          </cell>
          <cell r="O251" t="str">
            <v>CDI</v>
          </cell>
          <cell r="P251">
            <v>151.57</v>
          </cell>
          <cell r="Q251">
            <v>2550.1</v>
          </cell>
          <cell r="R251">
            <v>1175.58</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422</v>
          </cell>
          <cell r="AL251">
            <v>0</v>
          </cell>
          <cell r="AM251">
            <v>0</v>
          </cell>
          <cell r="AN251">
            <v>333.33</v>
          </cell>
          <cell r="AO251">
            <v>0</v>
          </cell>
          <cell r="AP251">
            <v>0</v>
          </cell>
          <cell r="AQ251">
            <v>1961.7</v>
          </cell>
          <cell r="AR251">
            <v>0</v>
          </cell>
          <cell r="AS251">
            <v>422</v>
          </cell>
          <cell r="AT251">
            <v>0</v>
          </cell>
          <cell r="AU251">
            <v>0</v>
          </cell>
        </row>
        <row r="252">
          <cell r="A252" t="str">
            <v>000A0752</v>
          </cell>
          <cell r="B252" t="str">
            <v>LOPES</v>
          </cell>
          <cell r="C252" t="str">
            <v>MICHEL</v>
          </cell>
          <cell r="D252" t="str">
            <v>VANVES</v>
          </cell>
          <cell r="E252">
            <v>91</v>
          </cell>
          <cell r="F252" t="str">
            <v>NC NUMERICABLE ILE-DE-FRANCE</v>
          </cell>
          <cell r="G252" t="str">
            <v>NOC</v>
          </cell>
          <cell r="H252" t="str">
            <v>TABUTEAU</v>
          </cell>
          <cell r="I252" t="str">
            <v>GENE306001</v>
          </cell>
          <cell r="J252">
            <v>100</v>
          </cell>
          <cell r="K252">
            <v>36526</v>
          </cell>
          <cell r="L252" t="str">
            <v>CHEF GROUPE TECH. SUP.</v>
          </cell>
          <cell r="M252" t="str">
            <v>TSM</v>
          </cell>
          <cell r="N252" t="str">
            <v>D</v>
          </cell>
          <cell r="O252" t="str">
            <v>CDI</v>
          </cell>
          <cell r="P252">
            <v>151.57</v>
          </cell>
          <cell r="Q252">
            <v>1951.67</v>
          </cell>
          <cell r="R252">
            <v>1273.71</v>
          </cell>
          <cell r="S252">
            <v>0</v>
          </cell>
          <cell r="T252">
            <v>0</v>
          </cell>
          <cell r="U252">
            <v>0</v>
          </cell>
          <cell r="V252">
            <v>0</v>
          </cell>
          <cell r="W252">
            <v>0</v>
          </cell>
          <cell r="X252">
            <v>190</v>
          </cell>
          <cell r="Y252">
            <v>0</v>
          </cell>
          <cell r="Z252">
            <v>320</v>
          </cell>
          <cell r="AA252">
            <v>0</v>
          </cell>
          <cell r="AB252">
            <v>0</v>
          </cell>
          <cell r="AC252">
            <v>0</v>
          </cell>
          <cell r="AD252">
            <v>0</v>
          </cell>
          <cell r="AE252">
            <v>0</v>
          </cell>
          <cell r="AF252">
            <v>25.75</v>
          </cell>
          <cell r="AG252">
            <v>0</v>
          </cell>
          <cell r="AH252">
            <v>6.44</v>
          </cell>
          <cell r="AI252">
            <v>0</v>
          </cell>
          <cell r="AJ252">
            <v>0</v>
          </cell>
          <cell r="AK252">
            <v>0</v>
          </cell>
          <cell r="AL252">
            <v>0</v>
          </cell>
          <cell r="AM252">
            <v>0</v>
          </cell>
          <cell r="AN252">
            <v>268.57</v>
          </cell>
          <cell r="AO252">
            <v>0</v>
          </cell>
          <cell r="AP252">
            <v>0</v>
          </cell>
          <cell r="AQ252">
            <v>1983.86</v>
          </cell>
          <cell r="AR252">
            <v>510</v>
          </cell>
          <cell r="AS252">
            <v>0</v>
          </cell>
          <cell r="AT252">
            <v>0</v>
          </cell>
          <cell r="AU252">
            <v>0</v>
          </cell>
        </row>
        <row r="253">
          <cell r="A253" t="str">
            <v>000A0827</v>
          </cell>
          <cell r="B253" t="str">
            <v>OFFRE</v>
          </cell>
          <cell r="C253" t="str">
            <v>VIRGINIE</v>
          </cell>
          <cell r="D253" t="str">
            <v>LA MADELEINE</v>
          </cell>
          <cell r="E253">
            <v>91</v>
          </cell>
          <cell r="F253" t="str">
            <v>NC NUMERICABLE ILE-DE-FRANCE</v>
          </cell>
          <cell r="G253" t="str">
            <v>CARTOGRAPHIE-DICT</v>
          </cell>
          <cell r="H253" t="str">
            <v>MARQUANT</v>
          </cell>
          <cell r="I253" t="str">
            <v>GENE320001</v>
          </cell>
          <cell r="J253">
            <v>100</v>
          </cell>
          <cell r="K253">
            <v>36808</v>
          </cell>
          <cell r="L253" t="str">
            <v>GEST. DONN..NIV.1</v>
          </cell>
          <cell r="M253" t="str">
            <v>EMPLOYE</v>
          </cell>
          <cell r="N253" t="str">
            <v>C</v>
          </cell>
          <cell r="O253" t="str">
            <v>CDI</v>
          </cell>
          <cell r="P253">
            <v>151.57</v>
          </cell>
          <cell r="Q253">
            <v>1615.65</v>
          </cell>
          <cell r="R253">
            <v>798.77</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174</v>
          </cell>
          <cell r="AO253">
            <v>0</v>
          </cell>
          <cell r="AP253">
            <v>0</v>
          </cell>
          <cell r="AQ253">
            <v>1615.65</v>
          </cell>
          <cell r="AR253">
            <v>0</v>
          </cell>
          <cell r="AS253">
            <v>0</v>
          </cell>
          <cell r="AT253">
            <v>0</v>
          </cell>
          <cell r="AU253">
            <v>0</v>
          </cell>
        </row>
        <row r="254">
          <cell r="A254" t="str">
            <v>000A0883</v>
          </cell>
          <cell r="B254" t="str">
            <v>ROUSSEL</v>
          </cell>
          <cell r="C254" t="str">
            <v>JEAN MARIE</v>
          </cell>
          <cell r="D254" t="str">
            <v>LA MADELEINE</v>
          </cell>
          <cell r="E254">
            <v>91</v>
          </cell>
          <cell r="F254" t="str">
            <v>NC NUMERICABLE ILE-DE-FRANCE</v>
          </cell>
          <cell r="G254" t="str">
            <v>TRAVAUX</v>
          </cell>
          <cell r="H254" t="str">
            <v>CHOVEAU</v>
          </cell>
          <cell r="I254" t="str">
            <v>NPCA300001</v>
          </cell>
          <cell r="J254">
            <v>100</v>
          </cell>
          <cell r="K254">
            <v>36951</v>
          </cell>
          <cell r="L254" t="str">
            <v>SUPERVISEUR TRAVAUX</v>
          </cell>
          <cell r="M254" t="str">
            <v>TSM</v>
          </cell>
          <cell r="N254" t="str">
            <v>D</v>
          </cell>
          <cell r="O254" t="str">
            <v>CDI</v>
          </cell>
          <cell r="P254">
            <v>151.57</v>
          </cell>
          <cell r="Q254">
            <v>2598.66</v>
          </cell>
          <cell r="R254">
            <v>909.68</v>
          </cell>
          <cell r="S254">
            <v>0</v>
          </cell>
          <cell r="T254">
            <v>211.52</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223.23</v>
          </cell>
          <cell r="AO254">
            <v>0</v>
          </cell>
          <cell r="AP254">
            <v>0</v>
          </cell>
          <cell r="AQ254">
            <v>1861.34</v>
          </cell>
          <cell r="AR254">
            <v>0</v>
          </cell>
          <cell r="AS254">
            <v>0</v>
          </cell>
          <cell r="AT254">
            <v>0</v>
          </cell>
          <cell r="AU254">
            <v>0</v>
          </cell>
        </row>
        <row r="255">
          <cell r="A255" t="str">
            <v>000BB007</v>
          </cell>
          <cell r="B255" t="str">
            <v>BENANI-MERLE</v>
          </cell>
          <cell r="C255" t="str">
            <v>SOUAD</v>
          </cell>
          <cell r="D255" t="str">
            <v>LYON CATN</v>
          </cell>
          <cell r="E255">
            <v>91</v>
          </cell>
          <cell r="F255" t="str">
            <v>NC NUMERICABLE ILE-DE-FRANCE</v>
          </cell>
          <cell r="G255" t="str">
            <v>FACTURATION</v>
          </cell>
          <cell r="I255" t="str">
            <v>GENE905001</v>
          </cell>
          <cell r="J255">
            <v>100</v>
          </cell>
          <cell r="K255">
            <v>33056</v>
          </cell>
          <cell r="L255" t="str">
            <v>RESPONSABLE CLT</v>
          </cell>
          <cell r="M255" t="str">
            <v>CADRE</v>
          </cell>
          <cell r="N255" t="str">
            <v>E</v>
          </cell>
          <cell r="O255" t="str">
            <v>CDI</v>
          </cell>
          <cell r="P255">
            <v>151.57</v>
          </cell>
          <cell r="Q255">
            <v>3320</v>
          </cell>
          <cell r="R255">
            <v>-72.66</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19.91</v>
          </cell>
          <cell r="AN255">
            <v>358.89</v>
          </cell>
          <cell r="AO255">
            <v>7.34</v>
          </cell>
          <cell r="AP255">
            <v>0</v>
          </cell>
          <cell r="AQ255">
            <v>3332.57</v>
          </cell>
          <cell r="AR255">
            <v>0</v>
          </cell>
          <cell r="AS255">
            <v>0</v>
          </cell>
          <cell r="AT255">
            <v>0</v>
          </cell>
          <cell r="AU255">
            <v>0</v>
          </cell>
        </row>
        <row r="256">
          <cell r="A256" t="str">
            <v>000B0004</v>
          </cell>
          <cell r="B256" t="str">
            <v>PAOLI</v>
          </cell>
          <cell r="C256" t="str">
            <v>ANNONCIADE</v>
          </cell>
          <cell r="D256" t="str">
            <v>BASTIA</v>
          </cell>
          <cell r="E256">
            <v>91</v>
          </cell>
          <cell r="F256" t="str">
            <v>NC NUMERICABLE ILE-DE-FRANCE</v>
          </cell>
          <cell r="G256" t="str">
            <v>BOUTIQUE</v>
          </cell>
          <cell r="H256" t="str">
            <v>ALBERTINI</v>
          </cell>
          <cell r="I256" t="str">
            <v>SUES507001</v>
          </cell>
          <cell r="J256">
            <v>100</v>
          </cell>
          <cell r="K256">
            <v>33224</v>
          </cell>
          <cell r="L256" t="str">
            <v>CONSEILLER TECHNIQUE BOUTIQUE</v>
          </cell>
          <cell r="M256" t="str">
            <v>CADRE</v>
          </cell>
          <cell r="N256" t="str">
            <v>DB</v>
          </cell>
          <cell r="O256" t="str">
            <v>CDI</v>
          </cell>
          <cell r="P256">
            <v>151.57</v>
          </cell>
          <cell r="Q256">
            <v>2320.84</v>
          </cell>
          <cell r="R256">
            <v>1138.3399999999999</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250.57</v>
          </cell>
          <cell r="AO256">
            <v>0</v>
          </cell>
          <cell r="AP256">
            <v>0</v>
          </cell>
          <cell r="AQ256">
            <v>2106.64</v>
          </cell>
          <cell r="AR256">
            <v>0</v>
          </cell>
          <cell r="AS256">
            <v>0</v>
          </cell>
          <cell r="AT256">
            <v>0</v>
          </cell>
          <cell r="AU256">
            <v>0</v>
          </cell>
        </row>
        <row r="257">
          <cell r="A257">
            <v>11036</v>
          </cell>
          <cell r="B257" t="str">
            <v>TUTTOLOMONDO</v>
          </cell>
          <cell r="C257" t="str">
            <v>SALVATORE</v>
          </cell>
          <cell r="D257" t="str">
            <v>LA MADELEINE</v>
          </cell>
          <cell r="E257">
            <v>91</v>
          </cell>
          <cell r="F257" t="str">
            <v>NC NUMERICABLE ILE-DE-FRANCE</v>
          </cell>
          <cell r="G257" t="str">
            <v>DISTRIBUTEUR</v>
          </cell>
          <cell r="H257" t="str">
            <v>PORTE</v>
          </cell>
          <cell r="I257" t="str">
            <v>NPCA506001</v>
          </cell>
          <cell r="J257">
            <v>100</v>
          </cell>
          <cell r="K257">
            <v>33451</v>
          </cell>
          <cell r="L257" t="str">
            <v>RESPONSABLE COM.</v>
          </cell>
          <cell r="M257" t="str">
            <v>CADRE</v>
          </cell>
          <cell r="N257" t="str">
            <v>E</v>
          </cell>
          <cell r="O257" t="str">
            <v>CDI</v>
          </cell>
          <cell r="P257">
            <v>151.57</v>
          </cell>
          <cell r="Q257">
            <v>3300</v>
          </cell>
          <cell r="R257">
            <v>3102.5</v>
          </cell>
          <cell r="S257">
            <v>0</v>
          </cell>
          <cell r="T257">
            <v>3450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745.14</v>
          </cell>
          <cell r="AO257">
            <v>0</v>
          </cell>
          <cell r="AP257">
            <v>0</v>
          </cell>
          <cell r="AQ257">
            <v>3300</v>
          </cell>
          <cell r="AR257">
            <v>0</v>
          </cell>
          <cell r="AS257">
            <v>0</v>
          </cell>
          <cell r="AT257">
            <v>0</v>
          </cell>
          <cell r="AU257">
            <v>0</v>
          </cell>
        </row>
        <row r="258">
          <cell r="A258" t="str">
            <v>000BD226</v>
          </cell>
          <cell r="B258" t="str">
            <v>DELAISSE</v>
          </cell>
          <cell r="C258" t="str">
            <v>NICOLAS</v>
          </cell>
          <cell r="D258" t="str">
            <v>LYON CATN</v>
          </cell>
          <cell r="E258">
            <v>91</v>
          </cell>
          <cell r="F258" t="str">
            <v>NC NUMERICABLE ILE-DE-FRANCE</v>
          </cell>
          <cell r="G258" t="str">
            <v>DIRECTION RESS HUM</v>
          </cell>
          <cell r="H258" t="str">
            <v>BRUNEL M</v>
          </cell>
          <cell r="I258" t="str">
            <v>CLIE420001</v>
          </cell>
          <cell r="J258">
            <v>100</v>
          </cell>
          <cell r="K258">
            <v>36892</v>
          </cell>
          <cell r="L258" t="str">
            <v>WEBMASTER/CHEF PRODUIT JUNIOR</v>
          </cell>
          <cell r="M258" t="str">
            <v>CADRE</v>
          </cell>
          <cell r="N258" t="str">
            <v>DB</v>
          </cell>
          <cell r="O258" t="str">
            <v>CDI</v>
          </cell>
          <cell r="P258">
            <v>151.57</v>
          </cell>
          <cell r="Q258">
            <v>2593.75</v>
          </cell>
          <cell r="R258">
            <v>1374.16</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279.33</v>
          </cell>
          <cell r="AO258">
            <v>0</v>
          </cell>
          <cell r="AP258">
            <v>0</v>
          </cell>
          <cell r="AQ258">
            <v>2593.75</v>
          </cell>
          <cell r="AR258">
            <v>0</v>
          </cell>
          <cell r="AS258">
            <v>0</v>
          </cell>
          <cell r="AT258">
            <v>0</v>
          </cell>
          <cell r="AU258">
            <v>0</v>
          </cell>
        </row>
        <row r="259">
          <cell r="A259" t="str">
            <v>000A1713</v>
          </cell>
          <cell r="B259" t="str">
            <v>LASSISSI</v>
          </cell>
          <cell r="C259" t="str">
            <v>BOB</v>
          </cell>
          <cell r="D259" t="str">
            <v>SIEGE</v>
          </cell>
          <cell r="E259">
            <v>91</v>
          </cell>
          <cell r="F259" t="str">
            <v>NC NUMERICABLE ILE-DE-FRANCE</v>
          </cell>
          <cell r="G259" t="str">
            <v>VAD CONSEILLERS</v>
          </cell>
          <cell r="H259" t="str">
            <v>ZERFAINE</v>
          </cell>
          <cell r="I259" t="str">
            <v>IDFR500001</v>
          </cell>
          <cell r="J259">
            <v>100</v>
          </cell>
          <cell r="K259">
            <v>38825</v>
          </cell>
          <cell r="L259" t="str">
            <v>CONSEILLER(E) COM.</v>
          </cell>
          <cell r="M259" t="str">
            <v>TSM</v>
          </cell>
          <cell r="N259" t="str">
            <v>D</v>
          </cell>
          <cell r="O259" t="str">
            <v>CDI</v>
          </cell>
          <cell r="P259">
            <v>151.57</v>
          </cell>
          <cell r="Q259">
            <v>0</v>
          </cell>
          <cell r="R259">
            <v>173.86</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527.75</v>
          </cell>
          <cell r="AR259">
            <v>0</v>
          </cell>
          <cell r="AS259">
            <v>0</v>
          </cell>
          <cell r="AT259">
            <v>0</v>
          </cell>
          <cell r="AU259">
            <v>0</v>
          </cell>
        </row>
        <row r="260">
          <cell r="A260" t="str">
            <v>000A1193</v>
          </cell>
          <cell r="B260" t="str">
            <v>PARIS</v>
          </cell>
          <cell r="C260" t="str">
            <v>ETIENNE</v>
          </cell>
          <cell r="D260" t="str">
            <v>GRENOBLE</v>
          </cell>
          <cell r="E260">
            <v>91</v>
          </cell>
          <cell r="F260" t="str">
            <v>NC NUMERICABLE ILE-DE-FRANCE</v>
          </cell>
          <cell r="G260" t="str">
            <v>VAD CONSEILLERS</v>
          </cell>
          <cell r="H260" t="str">
            <v>LAGUEREMA</v>
          </cell>
          <cell r="I260" t="str">
            <v>RHON500001</v>
          </cell>
          <cell r="J260">
            <v>100</v>
          </cell>
          <cell r="K260">
            <v>38642</v>
          </cell>
          <cell r="L260" t="str">
            <v>CONSEILLER(E) COM.</v>
          </cell>
          <cell r="M260" t="str">
            <v>TSM</v>
          </cell>
          <cell r="N260" t="str">
            <v>D</v>
          </cell>
          <cell r="O260" t="str">
            <v>CDI</v>
          </cell>
          <cell r="P260">
            <v>151.57</v>
          </cell>
          <cell r="Q260">
            <v>1217.8800000000001</v>
          </cell>
          <cell r="R260">
            <v>92.23</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-34.97</v>
          </cell>
          <cell r="AO260">
            <v>0</v>
          </cell>
          <cell r="AP260">
            <v>0</v>
          </cell>
          <cell r="AQ260">
            <v>-324.77</v>
          </cell>
          <cell r="AR260">
            <v>0</v>
          </cell>
          <cell r="AS260">
            <v>0</v>
          </cell>
          <cell r="AT260">
            <v>0</v>
          </cell>
          <cell r="AU260">
            <v>0</v>
          </cell>
        </row>
        <row r="261">
          <cell r="A261" t="str">
            <v>000A1691</v>
          </cell>
          <cell r="B261" t="str">
            <v>GABORIT</v>
          </cell>
          <cell r="C261" t="str">
            <v>ADEL</v>
          </cell>
          <cell r="D261" t="str">
            <v>MARSEILLE</v>
          </cell>
          <cell r="E261">
            <v>91</v>
          </cell>
          <cell r="F261" t="str">
            <v>NC NUMERICABLE ILE-DE-FRANCE</v>
          </cell>
          <cell r="G261" t="str">
            <v>VAD CONSEILLERS</v>
          </cell>
          <cell r="H261" t="str">
            <v>VIVIN</v>
          </cell>
          <cell r="I261" t="str">
            <v>SUES500001</v>
          </cell>
          <cell r="J261">
            <v>100</v>
          </cell>
          <cell r="K261">
            <v>38804</v>
          </cell>
          <cell r="L261" t="str">
            <v>CONSEILLER(E) COM.</v>
          </cell>
          <cell r="M261" t="str">
            <v>TSM</v>
          </cell>
          <cell r="N261" t="str">
            <v>D</v>
          </cell>
          <cell r="O261" t="str">
            <v>CDI</v>
          </cell>
          <cell r="P261">
            <v>151.57</v>
          </cell>
          <cell r="Q261">
            <v>0</v>
          </cell>
          <cell r="R261">
            <v>403.37</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1380.26</v>
          </cell>
          <cell r="AR261">
            <v>0</v>
          </cell>
          <cell r="AS261">
            <v>0</v>
          </cell>
          <cell r="AT261">
            <v>0</v>
          </cell>
          <cell r="AU261">
            <v>0</v>
          </cell>
        </row>
        <row r="262">
          <cell r="A262" t="str">
            <v>000A1287</v>
          </cell>
          <cell r="B262" t="str">
            <v>ROMERO</v>
          </cell>
          <cell r="C262" t="str">
            <v>JEAN LOUIS</v>
          </cell>
          <cell r="D262" t="str">
            <v>BORDEAUX</v>
          </cell>
          <cell r="E262">
            <v>91</v>
          </cell>
          <cell r="F262" t="str">
            <v>NC NUMERICABLE ILE-DE-FRANCE</v>
          </cell>
          <cell r="G262" t="str">
            <v>VAD CONSEILLERS</v>
          </cell>
          <cell r="H262" t="str">
            <v>FERNANDEZ A</v>
          </cell>
          <cell r="I262" t="str">
            <v>SUOU500001</v>
          </cell>
          <cell r="J262">
            <v>100</v>
          </cell>
          <cell r="K262">
            <v>38672</v>
          </cell>
          <cell r="L262" t="str">
            <v>CONSEILLER(E) COM.</v>
          </cell>
          <cell r="M262" t="str">
            <v>TSM</v>
          </cell>
          <cell r="N262" t="str">
            <v>D</v>
          </cell>
          <cell r="O262" t="str">
            <v>CDI</v>
          </cell>
          <cell r="P262">
            <v>151.57</v>
          </cell>
          <cell r="Q262">
            <v>1217.8800000000001</v>
          </cell>
          <cell r="R262">
            <v>690.13</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131.16</v>
          </cell>
          <cell r="AO262">
            <v>0</v>
          </cell>
          <cell r="AP262">
            <v>0</v>
          </cell>
          <cell r="AQ262">
            <v>1217.8800000000001</v>
          </cell>
          <cell r="AR262">
            <v>0</v>
          </cell>
          <cell r="AS262">
            <v>0</v>
          </cell>
          <cell r="AT262">
            <v>0</v>
          </cell>
          <cell r="AU262">
            <v>0</v>
          </cell>
        </row>
        <row r="263">
          <cell r="A263" t="str">
            <v>000A1197</v>
          </cell>
          <cell r="B263" t="str">
            <v>OGNIMBA</v>
          </cell>
          <cell r="C263" t="str">
            <v>LUBIAN</v>
          </cell>
          <cell r="D263" t="str">
            <v>LYON GARIBALDI</v>
          </cell>
          <cell r="E263">
            <v>91</v>
          </cell>
          <cell r="F263" t="str">
            <v>NC NUMERICABLE ILE-DE-FRANCE</v>
          </cell>
          <cell r="G263" t="str">
            <v>VAD CONSEILLERS</v>
          </cell>
          <cell r="H263" t="str">
            <v>SILIKI</v>
          </cell>
          <cell r="I263" t="str">
            <v>RHON500001</v>
          </cell>
          <cell r="J263">
            <v>100</v>
          </cell>
          <cell r="K263">
            <v>38651</v>
          </cell>
          <cell r="L263" t="str">
            <v>CONSEILLER(E) COM.</v>
          </cell>
          <cell r="M263" t="str">
            <v>TSM</v>
          </cell>
          <cell r="N263" t="str">
            <v>D</v>
          </cell>
          <cell r="O263" t="str">
            <v>CDI</v>
          </cell>
          <cell r="P263">
            <v>151.57</v>
          </cell>
          <cell r="Q263">
            <v>1217.8800000000001</v>
          </cell>
          <cell r="R263">
            <v>703.37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131.15</v>
          </cell>
          <cell r="AO263">
            <v>0</v>
          </cell>
          <cell r="AP263">
            <v>0</v>
          </cell>
          <cell r="AQ263">
            <v>1217.8800000000001</v>
          </cell>
          <cell r="AR263">
            <v>0</v>
          </cell>
          <cell r="AS263">
            <v>0</v>
          </cell>
          <cell r="AT263">
            <v>0</v>
          </cell>
          <cell r="AU263">
            <v>0</v>
          </cell>
        </row>
        <row r="264">
          <cell r="A264" t="str">
            <v>000A1664</v>
          </cell>
          <cell r="B264" t="str">
            <v>MEDJAHDI</v>
          </cell>
          <cell r="C264" t="str">
            <v>ABDELKRIM</v>
          </cell>
          <cell r="D264" t="str">
            <v>SIEGE</v>
          </cell>
          <cell r="E264">
            <v>91</v>
          </cell>
          <cell r="F264" t="str">
            <v>NC NUMERICABLE ILE-DE-FRANCE</v>
          </cell>
          <cell r="G264" t="str">
            <v>VAD CONSEILLERS</v>
          </cell>
          <cell r="H264" t="str">
            <v>ZERFAINE</v>
          </cell>
          <cell r="I264" t="str">
            <v>IDFR500001</v>
          </cell>
          <cell r="J264">
            <v>100</v>
          </cell>
          <cell r="K264">
            <v>38789</v>
          </cell>
          <cell r="L264" t="str">
            <v>CONSEILLER(E) COM.</v>
          </cell>
          <cell r="M264" t="str">
            <v>TSM</v>
          </cell>
          <cell r="N264" t="str">
            <v>D</v>
          </cell>
          <cell r="O264" t="str">
            <v>CDI</v>
          </cell>
          <cell r="P264">
            <v>151.57</v>
          </cell>
          <cell r="Q264">
            <v>0</v>
          </cell>
          <cell r="R264">
            <v>1410.62</v>
          </cell>
          <cell r="S264">
            <v>0</v>
          </cell>
          <cell r="T264">
            <v>1511.5</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372.63</v>
          </cell>
          <cell r="AO264">
            <v>0</v>
          </cell>
          <cell r="AP264">
            <v>0</v>
          </cell>
          <cell r="AQ264">
            <v>1948.61</v>
          </cell>
          <cell r="AR264">
            <v>0</v>
          </cell>
          <cell r="AS264">
            <v>0</v>
          </cell>
          <cell r="AT264">
            <v>0</v>
          </cell>
          <cell r="AU264">
            <v>0</v>
          </cell>
        </row>
        <row r="265">
          <cell r="A265" t="str">
            <v>000A1449</v>
          </cell>
          <cell r="B265" t="str">
            <v>LEBOURGEOIS</v>
          </cell>
          <cell r="C265" t="str">
            <v>KEVIN</v>
          </cell>
          <cell r="D265" t="str">
            <v>ROUEN</v>
          </cell>
          <cell r="E265">
            <v>91</v>
          </cell>
          <cell r="F265" t="str">
            <v>NC NUMERICABLE ILE-DE-FRANCE</v>
          </cell>
          <cell r="G265" t="str">
            <v>VAD CONSEILLERS</v>
          </cell>
          <cell r="H265" t="str">
            <v>ALLAIN G</v>
          </cell>
          <cell r="I265" t="str">
            <v>OUES500001</v>
          </cell>
          <cell r="J265">
            <v>100</v>
          </cell>
          <cell r="K265">
            <v>38754</v>
          </cell>
          <cell r="L265" t="str">
            <v>CONSEILLER(E) COM.</v>
          </cell>
          <cell r="M265" t="str">
            <v>TSM</v>
          </cell>
          <cell r="N265" t="str">
            <v>D</v>
          </cell>
          <cell r="O265" t="str">
            <v>CDI</v>
          </cell>
          <cell r="P265">
            <v>151.57</v>
          </cell>
          <cell r="Q265">
            <v>1217.8800000000001</v>
          </cell>
          <cell r="R265">
            <v>1305.9000000000001</v>
          </cell>
          <cell r="S265">
            <v>0</v>
          </cell>
          <cell r="T265">
            <v>1900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588.34</v>
          </cell>
          <cell r="AO265">
            <v>0</v>
          </cell>
          <cell r="AP265">
            <v>0</v>
          </cell>
          <cell r="AQ265">
            <v>1217.8800000000001</v>
          </cell>
          <cell r="AR265">
            <v>0</v>
          </cell>
          <cell r="AS265">
            <v>0</v>
          </cell>
          <cell r="AT265">
            <v>0</v>
          </cell>
          <cell r="AU265">
            <v>0</v>
          </cell>
        </row>
        <row r="266">
          <cell r="A266" t="str">
            <v>000BE041</v>
          </cell>
          <cell r="B266" t="str">
            <v>EL OTMANI</v>
          </cell>
          <cell r="C266" t="str">
            <v>FARID</v>
          </cell>
          <cell r="D266" t="str">
            <v>LYON CATN</v>
          </cell>
          <cell r="E266">
            <v>61</v>
          </cell>
          <cell r="F266" t="str">
            <v>NC NUMERICABLE RHONES-ALPES</v>
          </cell>
          <cell r="G266" t="str">
            <v>CATN 2EME LIGNE</v>
          </cell>
          <cell r="H266" t="str">
            <v>BAYARD</v>
          </cell>
          <cell r="I266" t="str">
            <v>CLIE411001</v>
          </cell>
          <cell r="J266">
            <v>100</v>
          </cell>
          <cell r="K266">
            <v>38700</v>
          </cell>
          <cell r="L266" t="str">
            <v>CHARGE(E)CLIENTELE</v>
          </cell>
          <cell r="M266" t="str">
            <v>EMPLOYE</v>
          </cell>
          <cell r="N266" t="str">
            <v>C</v>
          </cell>
          <cell r="O266" t="str">
            <v>CDD</v>
          </cell>
          <cell r="P266">
            <v>151.57</v>
          </cell>
          <cell r="Q266">
            <v>1450</v>
          </cell>
          <cell r="R266">
            <v>809.37</v>
          </cell>
          <cell r="S266">
            <v>0</v>
          </cell>
          <cell r="T266">
            <v>0</v>
          </cell>
          <cell r="U266">
            <v>0</v>
          </cell>
          <cell r="V266">
            <v>0</v>
          </cell>
          <cell r="W266">
            <v>145.35</v>
          </cell>
          <cell r="X266">
            <v>95</v>
          </cell>
          <cell r="Y266">
            <v>0</v>
          </cell>
          <cell r="Z266">
            <v>64</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188.93</v>
          </cell>
          <cell r="AO266">
            <v>0</v>
          </cell>
          <cell r="AP266">
            <v>0</v>
          </cell>
          <cell r="AQ266">
            <v>1450</v>
          </cell>
          <cell r="AR266">
            <v>159</v>
          </cell>
          <cell r="AS266">
            <v>0</v>
          </cell>
          <cell r="AT266">
            <v>0</v>
          </cell>
          <cell r="AU266">
            <v>0</v>
          </cell>
        </row>
        <row r="267">
          <cell r="A267" t="str">
            <v>000BV095</v>
          </cell>
          <cell r="B267" t="str">
            <v>VIALLON</v>
          </cell>
          <cell r="C267" t="str">
            <v>OLIVIER</v>
          </cell>
          <cell r="D267" t="str">
            <v>LYON GARIBALDI</v>
          </cell>
          <cell r="E267">
            <v>91</v>
          </cell>
          <cell r="F267" t="str">
            <v>NC NUMERICABLE ILE-DE-FRANCE</v>
          </cell>
          <cell r="G267" t="str">
            <v>COLLECTIF</v>
          </cell>
          <cell r="H267" t="str">
            <v>MORCRETTE</v>
          </cell>
          <cell r="I267" t="str">
            <v>RHON510001</v>
          </cell>
          <cell r="J267">
            <v>100</v>
          </cell>
          <cell r="K267">
            <v>38224</v>
          </cell>
          <cell r="L267" t="str">
            <v>ATTACHE(E) COM.</v>
          </cell>
          <cell r="M267" t="str">
            <v>TSM</v>
          </cell>
          <cell r="N267" t="str">
            <v>D</v>
          </cell>
          <cell r="O267" t="str">
            <v>CDI</v>
          </cell>
          <cell r="P267">
            <v>151.57</v>
          </cell>
          <cell r="Q267">
            <v>1900</v>
          </cell>
          <cell r="R267">
            <v>1603.19</v>
          </cell>
          <cell r="S267">
            <v>0</v>
          </cell>
          <cell r="T267">
            <v>2194.15</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440.91</v>
          </cell>
          <cell r="AO267">
            <v>0</v>
          </cell>
          <cell r="AP267">
            <v>0</v>
          </cell>
          <cell r="AQ267">
            <v>1900</v>
          </cell>
          <cell r="AR267">
            <v>0</v>
          </cell>
          <cell r="AS267">
            <v>0</v>
          </cell>
          <cell r="AT267">
            <v>0</v>
          </cell>
          <cell r="AU267">
            <v>0</v>
          </cell>
        </row>
        <row r="268">
          <cell r="A268" t="str">
            <v>000A1702</v>
          </cell>
          <cell r="B268" t="str">
            <v>JHUGROO</v>
          </cell>
          <cell r="C268" t="str">
            <v>MORSHIMEE</v>
          </cell>
          <cell r="D268" t="str">
            <v>MARSEILLE</v>
          </cell>
          <cell r="E268">
            <v>91</v>
          </cell>
          <cell r="F268" t="str">
            <v>NC NUMERICABLE ILE-DE-FRANCE</v>
          </cell>
          <cell r="G268" t="str">
            <v>VAD CONSEILLERS</v>
          </cell>
          <cell r="H268" t="str">
            <v>VIVIN</v>
          </cell>
          <cell r="I268" t="str">
            <v>SUES500001</v>
          </cell>
          <cell r="J268">
            <v>100</v>
          </cell>
          <cell r="K268">
            <v>38810</v>
          </cell>
          <cell r="L268" t="str">
            <v>CONSEILLER(E) COM.</v>
          </cell>
          <cell r="M268" t="str">
            <v>TSM</v>
          </cell>
          <cell r="N268" t="str">
            <v>D</v>
          </cell>
          <cell r="O268" t="str">
            <v>CDI</v>
          </cell>
          <cell r="P268">
            <v>151.57</v>
          </cell>
          <cell r="Q268">
            <v>0</v>
          </cell>
          <cell r="R268">
            <v>317.08</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1136.69</v>
          </cell>
          <cell r="AR268">
            <v>0</v>
          </cell>
          <cell r="AS268">
            <v>0</v>
          </cell>
          <cell r="AT268">
            <v>0</v>
          </cell>
          <cell r="AU268">
            <v>0</v>
          </cell>
        </row>
        <row r="269">
          <cell r="A269" t="str">
            <v>000A1377</v>
          </cell>
          <cell r="B269" t="str">
            <v>BENTABET</v>
          </cell>
          <cell r="C269" t="str">
            <v>MEHDI</v>
          </cell>
          <cell r="D269" t="str">
            <v>CAEN</v>
          </cell>
          <cell r="E269">
            <v>91</v>
          </cell>
          <cell r="F269" t="str">
            <v>NC NUMERICABLE ILE-DE-FRANCE</v>
          </cell>
          <cell r="G269" t="str">
            <v>VAD CONSEILLERS</v>
          </cell>
          <cell r="H269" t="str">
            <v>ALLAIN G</v>
          </cell>
          <cell r="I269" t="str">
            <v>OUES500001</v>
          </cell>
          <cell r="J269">
            <v>100</v>
          </cell>
          <cell r="K269">
            <v>38705</v>
          </cell>
          <cell r="L269" t="str">
            <v>CONSEILLER(E) COM.</v>
          </cell>
          <cell r="M269" t="str">
            <v>TSM</v>
          </cell>
          <cell r="N269" t="str">
            <v>D</v>
          </cell>
          <cell r="O269" t="str">
            <v>CDI</v>
          </cell>
          <cell r="P269">
            <v>151.57</v>
          </cell>
          <cell r="Q269">
            <v>1217.8800000000001</v>
          </cell>
          <cell r="R269">
            <v>1473.75</v>
          </cell>
          <cell r="S269">
            <v>0</v>
          </cell>
          <cell r="T269">
            <v>2660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417.62</v>
          </cell>
          <cell r="AO269">
            <v>0</v>
          </cell>
          <cell r="AP269">
            <v>0</v>
          </cell>
          <cell r="AQ269">
            <v>1217.8800000000001</v>
          </cell>
          <cell r="AR269">
            <v>0</v>
          </cell>
          <cell r="AS269">
            <v>0</v>
          </cell>
          <cell r="AT269">
            <v>0</v>
          </cell>
          <cell r="AU269">
            <v>0</v>
          </cell>
        </row>
        <row r="270">
          <cell r="A270" t="str">
            <v>000A1610</v>
          </cell>
          <cell r="B270" t="str">
            <v>DURET</v>
          </cell>
          <cell r="C270" t="str">
            <v>MARIE</v>
          </cell>
          <cell r="D270" t="str">
            <v>NANTES</v>
          </cell>
          <cell r="E270">
            <v>91</v>
          </cell>
          <cell r="F270" t="str">
            <v>NC NUMERICABLE ILE-DE-FRANCE</v>
          </cell>
          <cell r="G270" t="str">
            <v>VAD CONSEILLERS</v>
          </cell>
          <cell r="H270" t="str">
            <v>JAUD</v>
          </cell>
          <cell r="I270" t="str">
            <v>OUES500001</v>
          </cell>
          <cell r="J270">
            <v>100</v>
          </cell>
          <cell r="K270">
            <v>38768</v>
          </cell>
          <cell r="L270" t="str">
            <v>CONSEILLER(E) COM.</v>
          </cell>
          <cell r="M270" t="str">
            <v>TSM</v>
          </cell>
          <cell r="N270" t="str">
            <v>D</v>
          </cell>
          <cell r="O270" t="str">
            <v>CDI</v>
          </cell>
          <cell r="P270">
            <v>151.57</v>
          </cell>
          <cell r="Q270">
            <v>0</v>
          </cell>
          <cell r="R270">
            <v>467.35</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112.5</v>
          </cell>
          <cell r="AM270">
            <v>0</v>
          </cell>
          <cell r="AN270">
            <v>244.83</v>
          </cell>
          <cell r="AO270">
            <v>0</v>
          </cell>
          <cell r="AP270">
            <v>0</v>
          </cell>
          <cell r="AQ270">
            <v>690.13</v>
          </cell>
          <cell r="AR270">
            <v>112.5</v>
          </cell>
          <cell r="AS270">
            <v>0</v>
          </cell>
          <cell r="AT270">
            <v>0</v>
          </cell>
          <cell r="AU270">
            <v>0</v>
          </cell>
        </row>
        <row r="271">
          <cell r="A271" t="str">
            <v>000A1660</v>
          </cell>
          <cell r="B271" t="str">
            <v>VUILLAUME</v>
          </cell>
          <cell r="C271" t="str">
            <v>MICHEL</v>
          </cell>
          <cell r="D271" t="str">
            <v>NICE</v>
          </cell>
          <cell r="E271">
            <v>91</v>
          </cell>
          <cell r="F271" t="str">
            <v>NC NUMERICABLE ILE-DE-FRANCE</v>
          </cell>
          <cell r="G271" t="str">
            <v>VAD CONSEILLERS</v>
          </cell>
          <cell r="H271" t="str">
            <v>VIVIN</v>
          </cell>
          <cell r="I271" t="str">
            <v>SUES500001</v>
          </cell>
          <cell r="J271">
            <v>100</v>
          </cell>
          <cell r="K271">
            <v>38789</v>
          </cell>
          <cell r="L271" t="str">
            <v>CONSEILLER(E) COM.</v>
          </cell>
          <cell r="M271" t="str">
            <v>TSM</v>
          </cell>
          <cell r="N271" t="str">
            <v>D</v>
          </cell>
          <cell r="O271" t="str">
            <v>CDI</v>
          </cell>
          <cell r="P271">
            <v>151.57</v>
          </cell>
          <cell r="Q271">
            <v>0</v>
          </cell>
          <cell r="R271">
            <v>-154.16999999999999</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-568.34</v>
          </cell>
          <cell r="AR271">
            <v>0</v>
          </cell>
          <cell r="AS271">
            <v>0</v>
          </cell>
          <cell r="AT271">
            <v>0</v>
          </cell>
          <cell r="AU271">
            <v>0</v>
          </cell>
        </row>
        <row r="272">
          <cell r="A272" t="str">
            <v>000A1486</v>
          </cell>
          <cell r="B272" t="str">
            <v>ESPARCIEUX</v>
          </cell>
          <cell r="C272" t="str">
            <v>BRIGITTE</v>
          </cell>
          <cell r="D272" t="str">
            <v>BORDEAUX</v>
          </cell>
          <cell r="E272">
            <v>91</v>
          </cell>
          <cell r="F272" t="str">
            <v>NC NUMERICABLE ILE-DE-FRANCE</v>
          </cell>
          <cell r="G272" t="str">
            <v>VAD CONSEILLERS</v>
          </cell>
          <cell r="H272" t="str">
            <v>LORCET</v>
          </cell>
          <cell r="I272" t="str">
            <v>SUOU500001</v>
          </cell>
          <cell r="J272">
            <v>100</v>
          </cell>
          <cell r="K272">
            <v>38768</v>
          </cell>
          <cell r="L272" t="str">
            <v>CONSEILLER(E) COM.</v>
          </cell>
          <cell r="M272" t="str">
            <v>TSM</v>
          </cell>
          <cell r="N272" t="str">
            <v>D</v>
          </cell>
          <cell r="O272" t="str">
            <v>CDI</v>
          </cell>
          <cell r="P272">
            <v>151.57</v>
          </cell>
          <cell r="Q272">
            <v>1217.8800000000001</v>
          </cell>
          <cell r="R272">
            <v>507.62</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309.39999999999998</v>
          </cell>
          <cell r="AO272">
            <v>0</v>
          </cell>
          <cell r="AP272">
            <v>0</v>
          </cell>
          <cell r="AQ272">
            <v>1096.0899999999999</v>
          </cell>
          <cell r="AR272">
            <v>0</v>
          </cell>
          <cell r="AS272">
            <v>0</v>
          </cell>
          <cell r="AT272">
            <v>0</v>
          </cell>
          <cell r="AU272">
            <v>0</v>
          </cell>
        </row>
        <row r="273">
          <cell r="A273" t="str">
            <v>000A1323</v>
          </cell>
          <cell r="B273" t="str">
            <v>MINIHADJI</v>
          </cell>
          <cell r="C273" t="str">
            <v>MOURTADHOI</v>
          </cell>
          <cell r="D273" t="str">
            <v>MARSEILLE</v>
          </cell>
          <cell r="E273">
            <v>91</v>
          </cell>
          <cell r="F273" t="str">
            <v>NC NUMERICABLE ILE-DE-FRANCE</v>
          </cell>
          <cell r="G273" t="str">
            <v>VAD CONSEILLERS</v>
          </cell>
          <cell r="H273" t="str">
            <v>BELKHIR</v>
          </cell>
          <cell r="I273" t="str">
            <v>SUES500001</v>
          </cell>
          <cell r="J273">
            <v>100</v>
          </cell>
          <cell r="K273">
            <v>38691</v>
          </cell>
          <cell r="L273" t="str">
            <v>CONSEILLER(E) COM.</v>
          </cell>
          <cell r="M273" t="str">
            <v>TSM</v>
          </cell>
          <cell r="N273" t="str">
            <v>D</v>
          </cell>
          <cell r="O273" t="str">
            <v>CDI</v>
          </cell>
          <cell r="P273">
            <v>151.57</v>
          </cell>
          <cell r="Q273">
            <v>1217.8800000000001</v>
          </cell>
          <cell r="R273">
            <v>634.75</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131.16</v>
          </cell>
          <cell r="AO273">
            <v>0</v>
          </cell>
          <cell r="AP273">
            <v>0</v>
          </cell>
          <cell r="AQ273">
            <v>1217.8800000000001</v>
          </cell>
          <cell r="AR273">
            <v>0</v>
          </cell>
          <cell r="AS273">
            <v>0</v>
          </cell>
          <cell r="AT273">
            <v>0</v>
          </cell>
          <cell r="AU273">
            <v>0</v>
          </cell>
        </row>
        <row r="274">
          <cell r="A274" t="str">
            <v>000A1178</v>
          </cell>
          <cell r="B274" t="str">
            <v>GUILLAU</v>
          </cell>
          <cell r="C274" t="str">
            <v>TONY</v>
          </cell>
          <cell r="D274" t="str">
            <v>ANGERS</v>
          </cell>
          <cell r="E274">
            <v>91</v>
          </cell>
          <cell r="F274" t="str">
            <v>NC NUMERICABLE ILE-DE-FRANCE</v>
          </cell>
          <cell r="G274" t="str">
            <v>VAD CONSEILLERS</v>
          </cell>
          <cell r="H274" t="str">
            <v>AIT-OUARET</v>
          </cell>
          <cell r="I274" t="str">
            <v>OUES500001</v>
          </cell>
          <cell r="J274">
            <v>100</v>
          </cell>
          <cell r="K274">
            <v>38642</v>
          </cell>
          <cell r="L274" t="str">
            <v>CONSEILLER(E) COM.</v>
          </cell>
          <cell r="M274" t="str">
            <v>TSM</v>
          </cell>
          <cell r="N274" t="str">
            <v>D</v>
          </cell>
          <cell r="O274" t="str">
            <v>CDI</v>
          </cell>
          <cell r="P274">
            <v>151.57</v>
          </cell>
          <cell r="Q274">
            <v>1217.8800000000001</v>
          </cell>
          <cell r="R274">
            <v>1282.45</v>
          </cell>
          <cell r="S274">
            <v>0</v>
          </cell>
          <cell r="T274">
            <v>1840</v>
          </cell>
          <cell r="U274">
            <v>0</v>
          </cell>
          <cell r="V274">
            <v>0</v>
          </cell>
          <cell r="W274">
            <v>0</v>
          </cell>
          <cell r="X274">
            <v>0</v>
          </cell>
          <cell r="Y274">
            <v>0</v>
          </cell>
          <cell r="Z274">
            <v>0</v>
          </cell>
          <cell r="AA274">
            <v>0</v>
          </cell>
          <cell r="AB274">
            <v>300</v>
          </cell>
          <cell r="AC274">
            <v>0</v>
          </cell>
          <cell r="AD274">
            <v>0</v>
          </cell>
          <cell r="AE274">
            <v>0</v>
          </cell>
          <cell r="AF274">
            <v>0</v>
          </cell>
          <cell r="AG274">
            <v>0</v>
          </cell>
          <cell r="AH274">
            <v>0</v>
          </cell>
          <cell r="AI274">
            <v>0</v>
          </cell>
          <cell r="AJ274">
            <v>0</v>
          </cell>
          <cell r="AK274">
            <v>0</v>
          </cell>
          <cell r="AL274">
            <v>0</v>
          </cell>
          <cell r="AM274">
            <v>0</v>
          </cell>
          <cell r="AN274">
            <v>361.63</v>
          </cell>
          <cell r="AO274">
            <v>0</v>
          </cell>
          <cell r="AP274">
            <v>0</v>
          </cell>
          <cell r="AQ274">
            <v>1217.8800000000001</v>
          </cell>
          <cell r="AR274">
            <v>0</v>
          </cell>
          <cell r="AS274">
            <v>0</v>
          </cell>
          <cell r="AT274">
            <v>0</v>
          </cell>
          <cell r="AU274">
            <v>0</v>
          </cell>
        </row>
        <row r="275">
          <cell r="A275">
            <v>8254</v>
          </cell>
          <cell r="B275" t="str">
            <v>MARQUANT</v>
          </cell>
          <cell r="C275" t="str">
            <v>JEAN-FRANCOIS</v>
          </cell>
          <cell r="D275" t="str">
            <v>LA MADELEINE</v>
          </cell>
          <cell r="E275">
            <v>91</v>
          </cell>
          <cell r="F275" t="str">
            <v>NC NUMERICABLE ILE-DE-FRANCE</v>
          </cell>
          <cell r="G275" t="str">
            <v>CARTOGRAPHIE-DICT</v>
          </cell>
          <cell r="H275" t="str">
            <v>PERRAIN</v>
          </cell>
          <cell r="I275" t="str">
            <v>GENE320001</v>
          </cell>
          <cell r="J275">
            <v>100</v>
          </cell>
          <cell r="K275">
            <v>33451</v>
          </cell>
          <cell r="L275" t="str">
            <v>RESP. TECH. SUPPORT</v>
          </cell>
          <cell r="M275" t="str">
            <v>CADRE</v>
          </cell>
          <cell r="N275" t="str">
            <v>E</v>
          </cell>
          <cell r="O275" t="str">
            <v>CDI</v>
          </cell>
          <cell r="P275">
            <v>151.57</v>
          </cell>
          <cell r="Q275">
            <v>3289</v>
          </cell>
          <cell r="R275">
            <v>1666.86</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354.41</v>
          </cell>
          <cell r="AO275">
            <v>0</v>
          </cell>
          <cell r="AP275">
            <v>0</v>
          </cell>
          <cell r="AQ275">
            <v>3213.11</v>
          </cell>
          <cell r="AR275">
            <v>0</v>
          </cell>
          <cell r="AS275">
            <v>0</v>
          </cell>
          <cell r="AT275">
            <v>0</v>
          </cell>
          <cell r="AU275">
            <v>0</v>
          </cell>
        </row>
        <row r="276">
          <cell r="A276" t="str">
            <v>000A0711</v>
          </cell>
          <cell r="B276" t="str">
            <v>SIDOLLE</v>
          </cell>
          <cell r="C276" t="str">
            <v>ALAN</v>
          </cell>
          <cell r="D276" t="str">
            <v>SIEGE</v>
          </cell>
          <cell r="E276">
            <v>91</v>
          </cell>
          <cell r="F276" t="str">
            <v>NC NUMERICABLE ILE-DE-FRANCE</v>
          </cell>
          <cell r="G276" t="str">
            <v>INFORMATIQUE</v>
          </cell>
          <cell r="H276" t="str">
            <v>BARLOT</v>
          </cell>
          <cell r="I276" t="str">
            <v>GENE620001</v>
          </cell>
          <cell r="J276">
            <v>100</v>
          </cell>
          <cell r="K276">
            <v>36199</v>
          </cell>
          <cell r="L276" t="str">
            <v>CHARGE(E) ETUDES  DVP</v>
          </cell>
          <cell r="M276" t="str">
            <v>CADRE</v>
          </cell>
          <cell r="N276" t="str">
            <v>E</v>
          </cell>
          <cell r="O276" t="str">
            <v>CDI</v>
          </cell>
          <cell r="P276">
            <v>151.57</v>
          </cell>
          <cell r="Q276">
            <v>3860</v>
          </cell>
          <cell r="R276">
            <v>1926.28</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415.68</v>
          </cell>
          <cell r="AO276">
            <v>38.68</v>
          </cell>
          <cell r="AP276">
            <v>0</v>
          </cell>
          <cell r="AQ276">
            <v>3860</v>
          </cell>
          <cell r="AR276">
            <v>0</v>
          </cell>
          <cell r="AS276">
            <v>0</v>
          </cell>
          <cell r="AT276">
            <v>0</v>
          </cell>
          <cell r="AU276">
            <v>0</v>
          </cell>
        </row>
        <row r="277">
          <cell r="A277" t="str">
            <v>000N0021</v>
          </cell>
          <cell r="B277" t="str">
            <v>NEGRO</v>
          </cell>
          <cell r="C277" t="str">
            <v>NICOLE</v>
          </cell>
          <cell r="D277" t="str">
            <v>NICE</v>
          </cell>
          <cell r="E277">
            <v>91</v>
          </cell>
          <cell r="F277" t="str">
            <v>NC NUMERICABLE ILE-DE-FRANCE</v>
          </cell>
          <cell r="G277" t="str">
            <v>BOUTIQUE</v>
          </cell>
          <cell r="H277" t="str">
            <v>VIVIN</v>
          </cell>
          <cell r="I277" t="str">
            <v>SUES507001</v>
          </cell>
          <cell r="J277">
            <v>100</v>
          </cell>
          <cell r="K277">
            <v>32595</v>
          </cell>
          <cell r="L277" t="str">
            <v>RESPONSABLE BOUTIQUE</v>
          </cell>
          <cell r="M277" t="str">
            <v>CADRE</v>
          </cell>
          <cell r="N277" t="str">
            <v>DB</v>
          </cell>
          <cell r="O277" t="str">
            <v>CDI</v>
          </cell>
          <cell r="P277">
            <v>151.57</v>
          </cell>
          <cell r="Q277">
            <v>2545.52</v>
          </cell>
          <cell r="R277">
            <v>1467.04</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136.66</v>
          </cell>
          <cell r="AN277">
            <v>289.01</v>
          </cell>
          <cell r="AO277">
            <v>0</v>
          </cell>
          <cell r="AP277">
            <v>0</v>
          </cell>
          <cell r="AQ277">
            <v>2564.71</v>
          </cell>
          <cell r="AR277">
            <v>0</v>
          </cell>
          <cell r="AS277">
            <v>0</v>
          </cell>
          <cell r="AT277">
            <v>0</v>
          </cell>
          <cell r="AU277">
            <v>0</v>
          </cell>
        </row>
        <row r="278">
          <cell r="A278" t="str">
            <v>000A0893</v>
          </cell>
          <cell r="B278" t="str">
            <v>GRIGNON</v>
          </cell>
          <cell r="C278" t="str">
            <v>FRANCK</v>
          </cell>
          <cell r="D278" t="str">
            <v>NICE</v>
          </cell>
          <cell r="E278">
            <v>91</v>
          </cell>
          <cell r="F278" t="str">
            <v>NC NUMERICABLE ILE-DE-FRANCE</v>
          </cell>
          <cell r="G278" t="str">
            <v>VAD RCR</v>
          </cell>
          <cell r="I278" t="str">
            <v>GENE905001</v>
          </cell>
          <cell r="J278">
            <v>100</v>
          </cell>
          <cell r="K278">
            <v>37046</v>
          </cell>
          <cell r="L278" t="str">
            <v>RESPONSABLE COM.</v>
          </cell>
          <cell r="M278" t="str">
            <v>CADRE</v>
          </cell>
          <cell r="N278" t="str">
            <v>E</v>
          </cell>
          <cell r="O278" t="str">
            <v>CDI</v>
          </cell>
          <cell r="P278">
            <v>151.57</v>
          </cell>
          <cell r="Q278">
            <v>3899</v>
          </cell>
          <cell r="R278">
            <v>3177.64</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2291.1999999999998</v>
          </cell>
          <cell r="AN278">
            <v>647.04</v>
          </cell>
          <cell r="AO278">
            <v>0</v>
          </cell>
          <cell r="AP278">
            <v>0</v>
          </cell>
          <cell r="AQ278">
            <v>6190.2</v>
          </cell>
          <cell r="AR278">
            <v>0</v>
          </cell>
          <cell r="AS278">
            <v>0</v>
          </cell>
          <cell r="AT278">
            <v>0</v>
          </cell>
          <cell r="AU278">
            <v>0</v>
          </cell>
        </row>
        <row r="279">
          <cell r="A279" t="str">
            <v>000A0792</v>
          </cell>
          <cell r="B279" t="str">
            <v>MAURETTE</v>
          </cell>
          <cell r="C279" t="str">
            <v>LIONEL</v>
          </cell>
          <cell r="D279" t="str">
            <v>VILLEURBANNE</v>
          </cell>
          <cell r="E279">
            <v>91</v>
          </cell>
          <cell r="F279" t="str">
            <v>NC NUMERICABLE ILE-DE-FRANCE</v>
          </cell>
          <cell r="G279" t="str">
            <v>INFORMATIQUE</v>
          </cell>
          <cell r="H279" t="str">
            <v>CANAS</v>
          </cell>
          <cell r="I279" t="str">
            <v>GENE620001</v>
          </cell>
          <cell r="J279">
            <v>100</v>
          </cell>
          <cell r="K279">
            <v>36710</v>
          </cell>
          <cell r="L279" t="str">
            <v>SUPPORT EXP. PROD.</v>
          </cell>
          <cell r="M279" t="str">
            <v>TSM</v>
          </cell>
          <cell r="N279" t="str">
            <v>D</v>
          </cell>
          <cell r="O279" t="str">
            <v>CDI</v>
          </cell>
          <cell r="P279">
            <v>151.57</v>
          </cell>
          <cell r="Q279">
            <v>2080.35</v>
          </cell>
          <cell r="R279">
            <v>895.77</v>
          </cell>
          <cell r="S279">
            <v>0</v>
          </cell>
          <cell r="T279">
            <v>0</v>
          </cell>
          <cell r="U279">
            <v>0</v>
          </cell>
          <cell r="V279">
            <v>0</v>
          </cell>
          <cell r="W279">
            <v>0</v>
          </cell>
          <cell r="X279">
            <v>95</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245.02</v>
          </cell>
          <cell r="AO279">
            <v>0</v>
          </cell>
          <cell r="AP279">
            <v>0</v>
          </cell>
          <cell r="AQ279">
            <v>1600.34</v>
          </cell>
          <cell r="AR279">
            <v>95</v>
          </cell>
          <cell r="AS279">
            <v>0</v>
          </cell>
          <cell r="AT279">
            <v>0</v>
          </cell>
          <cell r="AU279">
            <v>0</v>
          </cell>
        </row>
        <row r="280">
          <cell r="A280" t="str">
            <v>000A0898</v>
          </cell>
          <cell r="B280" t="str">
            <v>BARBIER</v>
          </cell>
          <cell r="C280" t="str">
            <v>ANNETTE</v>
          </cell>
          <cell r="D280" t="str">
            <v>SIEGE</v>
          </cell>
          <cell r="E280">
            <v>91</v>
          </cell>
          <cell r="F280" t="str">
            <v>NC NUMERICABLE ILE-DE-FRANCE</v>
          </cell>
          <cell r="G280" t="str">
            <v>JURIDIQUE</v>
          </cell>
          <cell r="H280" t="str">
            <v>BENETTI</v>
          </cell>
          <cell r="I280" t="str">
            <v>GENE548001</v>
          </cell>
          <cell r="J280">
            <v>100</v>
          </cell>
          <cell r="K280">
            <v>37081</v>
          </cell>
          <cell r="L280" t="str">
            <v>JURISTE</v>
          </cell>
          <cell r="M280" t="str">
            <v>CADRE</v>
          </cell>
          <cell r="N280" t="str">
            <v>E</v>
          </cell>
          <cell r="O280" t="str">
            <v>CDI</v>
          </cell>
          <cell r="P280">
            <v>151.57</v>
          </cell>
          <cell r="Q280">
            <v>4784</v>
          </cell>
          <cell r="R280">
            <v>2375.54</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515.21</v>
          </cell>
          <cell r="AO280">
            <v>23.61</v>
          </cell>
          <cell r="AP280">
            <v>0</v>
          </cell>
          <cell r="AQ280">
            <v>4784</v>
          </cell>
          <cell r="AR280">
            <v>0</v>
          </cell>
          <cell r="AS280">
            <v>0</v>
          </cell>
          <cell r="AT280">
            <v>0</v>
          </cell>
          <cell r="AU280">
            <v>0</v>
          </cell>
        </row>
        <row r="281">
          <cell r="A281" t="str">
            <v>000A0905</v>
          </cell>
          <cell r="B281" t="str">
            <v>KIEFFER</v>
          </cell>
          <cell r="C281" t="str">
            <v>MARIE FRANCINE</v>
          </cell>
          <cell r="D281" t="str">
            <v>SIEGE</v>
          </cell>
          <cell r="E281">
            <v>91</v>
          </cell>
          <cell r="F281" t="str">
            <v>NC NUMERICABLE ILE-DE-FRANCE</v>
          </cell>
          <cell r="G281" t="str">
            <v>DIRECT.FINANC.STRUCT</v>
          </cell>
          <cell r="H281" t="str">
            <v>DENOYER</v>
          </cell>
          <cell r="I281" t="str">
            <v>GENE700001</v>
          </cell>
          <cell r="J281">
            <v>100</v>
          </cell>
          <cell r="K281">
            <v>37104</v>
          </cell>
          <cell r="L281" t="str">
            <v>ASSISTANT(E) NIV. 2</v>
          </cell>
          <cell r="M281" t="str">
            <v>TSM</v>
          </cell>
          <cell r="N281" t="str">
            <v>D</v>
          </cell>
          <cell r="O281" t="str">
            <v>CDI</v>
          </cell>
          <cell r="P281">
            <v>151.57</v>
          </cell>
          <cell r="Q281">
            <v>2420.2199999999998</v>
          </cell>
          <cell r="R281">
            <v>1058.7</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261.76</v>
          </cell>
          <cell r="AO281">
            <v>31.21</v>
          </cell>
          <cell r="AP281">
            <v>0</v>
          </cell>
          <cell r="AQ281">
            <v>2085.16</v>
          </cell>
          <cell r="AR281">
            <v>0</v>
          </cell>
          <cell r="AS281">
            <v>0</v>
          </cell>
          <cell r="AT281">
            <v>0</v>
          </cell>
          <cell r="AU281">
            <v>0</v>
          </cell>
        </row>
        <row r="282">
          <cell r="A282" t="str">
            <v>000A0913</v>
          </cell>
          <cell r="B282" t="str">
            <v>CRESSAN</v>
          </cell>
          <cell r="C282" t="str">
            <v>JEAN JACQUES</v>
          </cell>
          <cell r="D282" t="str">
            <v>SIEGE</v>
          </cell>
          <cell r="E282">
            <v>91</v>
          </cell>
          <cell r="F282" t="str">
            <v>NC NUMERICABLE ILE-DE-FRANCE</v>
          </cell>
          <cell r="G282" t="str">
            <v>COMPTABILITE</v>
          </cell>
          <cell r="H282" t="str">
            <v>BARBERY</v>
          </cell>
          <cell r="I282" t="str">
            <v>GENE701001</v>
          </cell>
          <cell r="J282">
            <v>100</v>
          </cell>
          <cell r="K282">
            <v>37214</v>
          </cell>
          <cell r="L282" t="str">
            <v>RESP. GEST. NIV. 1</v>
          </cell>
          <cell r="M282" t="str">
            <v>CADRE</v>
          </cell>
          <cell r="N282" t="str">
            <v>E</v>
          </cell>
          <cell r="O282" t="str">
            <v>CDI</v>
          </cell>
          <cell r="P282">
            <v>151.57</v>
          </cell>
          <cell r="Q282">
            <v>3970</v>
          </cell>
          <cell r="R282">
            <v>1973.04</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427.54</v>
          </cell>
          <cell r="AO282">
            <v>0</v>
          </cell>
          <cell r="AP282">
            <v>0</v>
          </cell>
          <cell r="AQ282">
            <v>3970</v>
          </cell>
          <cell r="AR282">
            <v>0</v>
          </cell>
          <cell r="AS282">
            <v>0</v>
          </cell>
          <cell r="AT282">
            <v>0</v>
          </cell>
          <cell r="AU282">
            <v>0</v>
          </cell>
        </row>
        <row r="283">
          <cell r="A283" t="str">
            <v>000BG049</v>
          </cell>
          <cell r="B283" t="str">
            <v>GRANGERODET</v>
          </cell>
          <cell r="C283" t="str">
            <v>JOSIANE</v>
          </cell>
          <cell r="D283" t="str">
            <v>TOULOUSE</v>
          </cell>
          <cell r="E283">
            <v>91</v>
          </cell>
          <cell r="F283" t="str">
            <v>NC NUMERICABLE ILE-DE-FRANCE</v>
          </cell>
          <cell r="G283" t="str">
            <v>ADV</v>
          </cell>
          <cell r="I283" t="str">
            <v>GENE905001</v>
          </cell>
          <cell r="J283">
            <v>100</v>
          </cell>
          <cell r="K283">
            <v>32580</v>
          </cell>
          <cell r="L283" t="str">
            <v>ANIMATEUR COM.</v>
          </cell>
          <cell r="M283" t="str">
            <v>CADRE</v>
          </cell>
          <cell r="N283" t="str">
            <v>DB</v>
          </cell>
          <cell r="O283" t="str">
            <v>CDI</v>
          </cell>
          <cell r="P283">
            <v>151.57</v>
          </cell>
          <cell r="Q283">
            <v>2191.3200000000002</v>
          </cell>
          <cell r="R283">
            <v>576.66999999999996</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216.2</v>
          </cell>
          <cell r="AO283">
            <v>0</v>
          </cell>
          <cell r="AP283">
            <v>0</v>
          </cell>
          <cell r="AQ283">
            <v>2007.53</v>
          </cell>
          <cell r="AR283">
            <v>0</v>
          </cell>
          <cell r="AS283">
            <v>0</v>
          </cell>
          <cell r="AT283">
            <v>0</v>
          </cell>
          <cell r="AU283">
            <v>0</v>
          </cell>
        </row>
        <row r="284">
          <cell r="A284">
            <v>13937</v>
          </cell>
          <cell r="B284" t="str">
            <v>BELLA</v>
          </cell>
          <cell r="C284" t="str">
            <v>MALIKA</v>
          </cell>
          <cell r="D284" t="str">
            <v>SIEGE</v>
          </cell>
          <cell r="E284">
            <v>91</v>
          </cell>
          <cell r="F284" t="str">
            <v>NC NUMERICABLE ILE-DE-FRANCE</v>
          </cell>
          <cell r="G284" t="str">
            <v>DISTRIBUTEUR</v>
          </cell>
          <cell r="H284" t="str">
            <v>PORTE</v>
          </cell>
          <cell r="I284" t="str">
            <v>GENE549001</v>
          </cell>
          <cell r="J284">
            <v>100</v>
          </cell>
          <cell r="K284">
            <v>33672</v>
          </cell>
          <cell r="L284" t="str">
            <v>ASS. DIRECT.</v>
          </cell>
          <cell r="M284" t="str">
            <v>TSM</v>
          </cell>
          <cell r="N284" t="str">
            <v>D</v>
          </cell>
          <cell r="O284" t="str">
            <v>CDI</v>
          </cell>
          <cell r="P284">
            <v>151.57</v>
          </cell>
          <cell r="Q284">
            <v>2543.4499999999998</v>
          </cell>
          <cell r="R284">
            <v>945.61</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274.77999999999997</v>
          </cell>
          <cell r="AO284">
            <v>0</v>
          </cell>
          <cell r="AP284">
            <v>0</v>
          </cell>
          <cell r="AQ284">
            <v>1839.22</v>
          </cell>
          <cell r="AR284">
            <v>0</v>
          </cell>
          <cell r="AS284">
            <v>0</v>
          </cell>
          <cell r="AT284">
            <v>0</v>
          </cell>
          <cell r="AU284">
            <v>0</v>
          </cell>
        </row>
        <row r="285">
          <cell r="A285" t="str">
            <v>000A0663</v>
          </cell>
          <cell r="B285" t="str">
            <v>GUEDE</v>
          </cell>
          <cell r="C285" t="str">
            <v>FRANCK</v>
          </cell>
          <cell r="D285" t="str">
            <v>EBOUE</v>
          </cell>
          <cell r="E285">
            <v>91</v>
          </cell>
          <cell r="F285" t="str">
            <v>NC NUMERICABLE ILE-DE-FRANCE</v>
          </cell>
          <cell r="G285" t="str">
            <v>RACCORDEMENT IMMOB STC.</v>
          </cell>
          <cell r="H285" t="str">
            <v>MOINET</v>
          </cell>
          <cell r="I285" t="str">
            <v>IDFR302001</v>
          </cell>
          <cell r="J285">
            <v>100</v>
          </cell>
          <cell r="K285">
            <v>34633</v>
          </cell>
          <cell r="L285" t="str">
            <v>LOGISTICIEN REGIONAL</v>
          </cell>
          <cell r="M285" t="str">
            <v>478D</v>
          </cell>
          <cell r="N285" t="str">
            <v>D</v>
          </cell>
          <cell r="O285" t="str">
            <v>CDI</v>
          </cell>
          <cell r="P285">
            <v>151.57</v>
          </cell>
          <cell r="Q285">
            <v>1880.98</v>
          </cell>
          <cell r="R285">
            <v>1107.4000000000001</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215.72</v>
          </cell>
          <cell r="AO285">
            <v>0</v>
          </cell>
          <cell r="AP285">
            <v>0</v>
          </cell>
          <cell r="AQ285">
            <v>1908.66</v>
          </cell>
          <cell r="AR285">
            <v>0</v>
          </cell>
          <cell r="AS285">
            <v>0</v>
          </cell>
          <cell r="AT285">
            <v>0</v>
          </cell>
          <cell r="AU285">
            <v>0</v>
          </cell>
        </row>
        <row r="286">
          <cell r="A286">
            <v>7518</v>
          </cell>
          <cell r="B286" t="str">
            <v>JAQUEMIN</v>
          </cell>
          <cell r="C286" t="str">
            <v>JEAN-PIERRE</v>
          </cell>
          <cell r="D286" t="str">
            <v>SIEGE</v>
          </cell>
          <cell r="E286">
            <v>91</v>
          </cell>
          <cell r="F286" t="str">
            <v>NC NUMERICABLE ILE-DE-FRANCE</v>
          </cell>
          <cell r="G286" t="str">
            <v>PLATEFORME LOGISTIQU</v>
          </cell>
          <cell r="H286" t="str">
            <v>PERRAIN</v>
          </cell>
          <cell r="I286" t="str">
            <v>GENE320001</v>
          </cell>
          <cell r="J286">
            <v>100</v>
          </cell>
          <cell r="K286">
            <v>33451</v>
          </cell>
          <cell r="L286" t="str">
            <v>RESP. TECH. SUPPORT</v>
          </cell>
          <cell r="M286" t="str">
            <v>CADRE</v>
          </cell>
          <cell r="N286" t="str">
            <v>E</v>
          </cell>
          <cell r="O286" t="str">
            <v>CDI</v>
          </cell>
          <cell r="P286">
            <v>151.57</v>
          </cell>
          <cell r="Q286">
            <v>4745</v>
          </cell>
          <cell r="R286">
            <v>2512.9</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532.95000000000005</v>
          </cell>
          <cell r="AO286">
            <v>0</v>
          </cell>
          <cell r="AP286">
            <v>0</v>
          </cell>
          <cell r="AQ286">
            <v>4745</v>
          </cell>
          <cell r="AR286">
            <v>0</v>
          </cell>
          <cell r="AS286">
            <v>0</v>
          </cell>
          <cell r="AT286">
            <v>0</v>
          </cell>
          <cell r="AU286">
            <v>0</v>
          </cell>
        </row>
        <row r="287">
          <cell r="A287" t="str">
            <v>000BB210</v>
          </cell>
          <cell r="B287" t="str">
            <v>BRUNEL</v>
          </cell>
          <cell r="C287" t="str">
            <v>MURIEL</v>
          </cell>
          <cell r="D287" t="str">
            <v>LYON CATN</v>
          </cell>
          <cell r="E287">
            <v>91</v>
          </cell>
          <cell r="F287" t="str">
            <v>NC NUMERICABLE ILE-DE-FRANCE</v>
          </cell>
          <cell r="G287" t="str">
            <v>CATN RESP.PLATEAU</v>
          </cell>
          <cell r="H287" t="str">
            <v>CARET</v>
          </cell>
          <cell r="I287" t="str">
            <v>CLIE411001</v>
          </cell>
          <cell r="J287">
            <v>100</v>
          </cell>
          <cell r="K287">
            <v>35002</v>
          </cell>
          <cell r="L287" t="str">
            <v>RESPONSABLE CLT</v>
          </cell>
          <cell r="M287" t="str">
            <v>CADRE</v>
          </cell>
          <cell r="N287" t="str">
            <v>E</v>
          </cell>
          <cell r="O287" t="str">
            <v>CDI</v>
          </cell>
          <cell r="P287">
            <v>151.57</v>
          </cell>
          <cell r="Q287">
            <v>2866.66</v>
          </cell>
          <cell r="R287">
            <v>4536.87</v>
          </cell>
          <cell r="S287">
            <v>0</v>
          </cell>
          <cell r="T287">
            <v>0</v>
          </cell>
          <cell r="U287">
            <v>0</v>
          </cell>
          <cell r="V287">
            <v>0</v>
          </cell>
          <cell r="W287">
            <v>764.44</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994.12</v>
          </cell>
          <cell r="AO287">
            <v>0</v>
          </cell>
          <cell r="AP287">
            <v>0</v>
          </cell>
          <cell r="AQ287">
            <v>8466.73</v>
          </cell>
          <cell r="AR287">
            <v>0</v>
          </cell>
          <cell r="AS287">
            <v>0</v>
          </cell>
          <cell r="AT287">
            <v>0</v>
          </cell>
          <cell r="AU287">
            <v>0</v>
          </cell>
        </row>
        <row r="288">
          <cell r="A288" t="str">
            <v>000A0975</v>
          </cell>
          <cell r="B288" t="str">
            <v>MESTRE</v>
          </cell>
          <cell r="C288" t="str">
            <v>FANNY</v>
          </cell>
          <cell r="D288" t="str">
            <v>NANTES</v>
          </cell>
          <cell r="E288">
            <v>91</v>
          </cell>
          <cell r="F288" t="str">
            <v>NC NUMERICABLE ILE-DE-FRANCE</v>
          </cell>
          <cell r="G288" t="str">
            <v>VENTE</v>
          </cell>
          <cell r="I288" t="str">
            <v>GENE905001</v>
          </cell>
          <cell r="J288">
            <v>100</v>
          </cell>
          <cell r="K288">
            <v>37704</v>
          </cell>
          <cell r="L288" t="str">
            <v>CHEF PRODUIT JUNIOR</v>
          </cell>
          <cell r="M288" t="str">
            <v>CADRE</v>
          </cell>
          <cell r="N288" t="str">
            <v>DB</v>
          </cell>
          <cell r="O288" t="str">
            <v>CDI</v>
          </cell>
          <cell r="P288">
            <v>151.57</v>
          </cell>
          <cell r="Q288">
            <v>2925</v>
          </cell>
          <cell r="R288">
            <v>1334.39</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150.33000000000001</v>
          </cell>
          <cell r="AN288">
            <v>302.35000000000002</v>
          </cell>
          <cell r="AO288">
            <v>150.33000000000001</v>
          </cell>
          <cell r="AP288">
            <v>0</v>
          </cell>
          <cell r="AQ288">
            <v>2925</v>
          </cell>
          <cell r="AR288">
            <v>0</v>
          </cell>
          <cell r="AS288">
            <v>0</v>
          </cell>
          <cell r="AT288">
            <v>0</v>
          </cell>
          <cell r="AU288">
            <v>0</v>
          </cell>
        </row>
        <row r="289">
          <cell r="A289" t="str">
            <v>000A0979</v>
          </cell>
          <cell r="B289" t="str">
            <v>CHARCOSSET</v>
          </cell>
          <cell r="C289" t="str">
            <v>JEAN FRANCOIS</v>
          </cell>
          <cell r="D289" t="str">
            <v>VERSAILLES</v>
          </cell>
          <cell r="E289">
            <v>91</v>
          </cell>
          <cell r="F289" t="str">
            <v>NC NUMERICABLE ILE-DE-FRANCE</v>
          </cell>
          <cell r="G289" t="str">
            <v>RACCORDEMENT IMMOB STC.</v>
          </cell>
          <cell r="I289" t="str">
            <v>GENE905001</v>
          </cell>
          <cell r="J289">
            <v>100</v>
          </cell>
          <cell r="K289">
            <v>37742</v>
          </cell>
          <cell r="L289" t="str">
            <v>RESP.TECH.CLIENTELE</v>
          </cell>
          <cell r="M289" t="str">
            <v>CADRE</v>
          </cell>
          <cell r="N289" t="str">
            <v>E</v>
          </cell>
          <cell r="O289" t="str">
            <v>CDI</v>
          </cell>
          <cell r="P289">
            <v>151.57</v>
          </cell>
          <cell r="Q289">
            <v>3233.33</v>
          </cell>
          <cell r="R289">
            <v>880.78</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33.299999999999997</v>
          </cell>
          <cell r="AN289">
            <v>305.75</v>
          </cell>
          <cell r="AO289">
            <v>26514.04</v>
          </cell>
          <cell r="AP289">
            <v>0</v>
          </cell>
          <cell r="AQ289">
            <v>1077.77</v>
          </cell>
          <cell r="AR289">
            <v>0</v>
          </cell>
          <cell r="AS289">
            <v>0</v>
          </cell>
          <cell r="AT289">
            <v>0</v>
          </cell>
          <cell r="AU289">
            <v>0</v>
          </cell>
        </row>
        <row r="290">
          <cell r="A290" t="str">
            <v>000N0034</v>
          </cell>
          <cell r="B290" t="str">
            <v>ALCANTARA</v>
          </cell>
          <cell r="C290" t="str">
            <v>DAVID</v>
          </cell>
          <cell r="D290" t="str">
            <v>NICE</v>
          </cell>
          <cell r="E290">
            <v>91</v>
          </cell>
          <cell r="F290" t="str">
            <v>NC NUMERICABLE ILE-DE-FRANCE</v>
          </cell>
          <cell r="G290" t="str">
            <v>DISTRIBUTEUR</v>
          </cell>
          <cell r="H290" t="str">
            <v>DELANNOY</v>
          </cell>
          <cell r="I290" t="str">
            <v>SUES506001</v>
          </cell>
          <cell r="J290">
            <v>100</v>
          </cell>
          <cell r="K290">
            <v>33015</v>
          </cell>
          <cell r="L290" t="str">
            <v>ATTACHE COMMERCIAL</v>
          </cell>
          <cell r="M290" t="str">
            <v>CADRE</v>
          </cell>
          <cell r="N290" t="str">
            <v>DB</v>
          </cell>
          <cell r="O290" t="str">
            <v>CDI</v>
          </cell>
          <cell r="P290">
            <v>151.57</v>
          </cell>
          <cell r="Q290">
            <v>1850</v>
          </cell>
          <cell r="R290">
            <v>1852.68</v>
          </cell>
          <cell r="S290">
            <v>0</v>
          </cell>
          <cell r="T290">
            <v>1433.02</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369.16</v>
          </cell>
          <cell r="AO290">
            <v>0</v>
          </cell>
          <cell r="AP290">
            <v>0</v>
          </cell>
          <cell r="AQ290">
            <v>1850</v>
          </cell>
          <cell r="AR290">
            <v>0</v>
          </cell>
          <cell r="AS290">
            <v>0</v>
          </cell>
          <cell r="AT290">
            <v>0</v>
          </cell>
          <cell r="AU290">
            <v>0</v>
          </cell>
        </row>
        <row r="291">
          <cell r="A291" t="str">
            <v>000A1471</v>
          </cell>
          <cell r="B291" t="str">
            <v>CHODOROWSKI</v>
          </cell>
          <cell r="C291" t="str">
            <v>PHILIPPE</v>
          </cell>
          <cell r="D291" t="str">
            <v>METZ</v>
          </cell>
          <cell r="E291">
            <v>91</v>
          </cell>
          <cell r="F291" t="str">
            <v>NC NUMERICABLE ILE-DE-FRANCE</v>
          </cell>
          <cell r="G291" t="str">
            <v>VAD CONSEILLERS</v>
          </cell>
          <cell r="H291" t="str">
            <v>LORCET</v>
          </cell>
          <cell r="I291" t="str">
            <v>ESTR500001</v>
          </cell>
          <cell r="J291">
            <v>100</v>
          </cell>
          <cell r="K291">
            <v>38762</v>
          </cell>
          <cell r="L291" t="str">
            <v>CONSEILLER(E) COM.</v>
          </cell>
          <cell r="M291" t="str">
            <v>TSM</v>
          </cell>
          <cell r="N291" t="str">
            <v>D</v>
          </cell>
          <cell r="O291" t="str">
            <v>CDI</v>
          </cell>
          <cell r="P291">
            <v>151.57</v>
          </cell>
          <cell r="Q291">
            <v>1217.8800000000001</v>
          </cell>
          <cell r="R291">
            <v>143.71</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235.39</v>
          </cell>
          <cell r="AO291">
            <v>0</v>
          </cell>
          <cell r="AP291">
            <v>0</v>
          </cell>
          <cell r="AQ291">
            <v>26.67</v>
          </cell>
          <cell r="AR291">
            <v>0</v>
          </cell>
          <cell r="AS291">
            <v>0</v>
          </cell>
          <cell r="AT291">
            <v>0</v>
          </cell>
          <cell r="AU291">
            <v>0</v>
          </cell>
        </row>
        <row r="292">
          <cell r="A292" t="str">
            <v>000A1595</v>
          </cell>
          <cell r="B292" t="str">
            <v>GLENAT</v>
          </cell>
          <cell r="C292" t="str">
            <v>MARC-OLIVIER</v>
          </cell>
          <cell r="D292" t="str">
            <v>LYON GARIBALDI</v>
          </cell>
          <cell r="E292">
            <v>91</v>
          </cell>
          <cell r="F292" t="str">
            <v>NC NUMERICABLE ILE-DE-FRANCE</v>
          </cell>
          <cell r="G292" t="str">
            <v>VAD CONSEILLERS</v>
          </cell>
          <cell r="H292" t="str">
            <v>DONT</v>
          </cell>
          <cell r="I292" t="str">
            <v>RHON500001</v>
          </cell>
          <cell r="J292">
            <v>100</v>
          </cell>
          <cell r="K292">
            <v>38754</v>
          </cell>
          <cell r="L292" t="str">
            <v>CONSEILLER(E) COM.</v>
          </cell>
          <cell r="M292" t="str">
            <v>TSM</v>
          </cell>
          <cell r="N292" t="str">
            <v>D</v>
          </cell>
          <cell r="O292" t="str">
            <v>CDI</v>
          </cell>
          <cell r="P292">
            <v>151.57</v>
          </cell>
          <cell r="Q292">
            <v>0</v>
          </cell>
          <cell r="R292">
            <v>1317.16</v>
          </cell>
          <cell r="S292">
            <v>0</v>
          </cell>
          <cell r="T292">
            <v>2240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372.39</v>
          </cell>
          <cell r="AO292">
            <v>0</v>
          </cell>
          <cell r="AP292">
            <v>0</v>
          </cell>
          <cell r="AQ292">
            <v>1217.8800000000001</v>
          </cell>
          <cell r="AR292">
            <v>0</v>
          </cell>
          <cell r="AS292">
            <v>0</v>
          </cell>
          <cell r="AT292">
            <v>0</v>
          </cell>
          <cell r="AU292">
            <v>0</v>
          </cell>
        </row>
        <row r="293">
          <cell r="A293" t="str">
            <v>000BM271</v>
          </cell>
          <cell r="B293" t="str">
            <v>MOUISSI</v>
          </cell>
          <cell r="C293" t="str">
            <v>NABIL</v>
          </cell>
          <cell r="D293" t="str">
            <v>LYON CATN</v>
          </cell>
          <cell r="E293">
            <v>61</v>
          </cell>
          <cell r="F293" t="str">
            <v>NC NUMERICABLE RHONES-ALPES</v>
          </cell>
          <cell r="G293" t="str">
            <v>CATN 2EME LIGNE</v>
          </cell>
          <cell r="H293" t="str">
            <v>BAYARD</v>
          </cell>
          <cell r="I293" t="str">
            <v>CLIE411001</v>
          </cell>
          <cell r="J293">
            <v>100</v>
          </cell>
          <cell r="K293">
            <v>38700</v>
          </cell>
          <cell r="L293" t="str">
            <v>CHARGE(E)CLIENTELE</v>
          </cell>
          <cell r="M293" t="str">
            <v>EMPLOYE</v>
          </cell>
          <cell r="N293" t="str">
            <v>C</v>
          </cell>
          <cell r="O293" t="str">
            <v>CDD</v>
          </cell>
          <cell r="P293">
            <v>151.57</v>
          </cell>
          <cell r="Q293">
            <v>1450</v>
          </cell>
          <cell r="R293">
            <v>1043.68</v>
          </cell>
          <cell r="S293">
            <v>0</v>
          </cell>
          <cell r="T293">
            <v>0</v>
          </cell>
          <cell r="U293">
            <v>0</v>
          </cell>
          <cell r="V293">
            <v>0</v>
          </cell>
          <cell r="W293">
            <v>171</v>
          </cell>
          <cell r="X293">
            <v>95</v>
          </cell>
          <cell r="Y293">
            <v>0</v>
          </cell>
          <cell r="Z293">
            <v>192</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205.48</v>
          </cell>
          <cell r="AO293">
            <v>0</v>
          </cell>
          <cell r="AP293">
            <v>0</v>
          </cell>
          <cell r="AQ293">
            <v>1450</v>
          </cell>
          <cell r="AR293">
            <v>287</v>
          </cell>
          <cell r="AS293">
            <v>0</v>
          </cell>
          <cell r="AT293">
            <v>0</v>
          </cell>
          <cell r="AU293">
            <v>0</v>
          </cell>
        </row>
        <row r="294">
          <cell r="A294" t="str">
            <v>000A1409</v>
          </cell>
          <cell r="B294" t="str">
            <v>GAMBINI</v>
          </cell>
          <cell r="C294" t="str">
            <v>STEPHANIE</v>
          </cell>
          <cell r="D294" t="str">
            <v>NICE</v>
          </cell>
          <cell r="E294">
            <v>91</v>
          </cell>
          <cell r="F294" t="str">
            <v>NC NUMERICABLE ILE-DE-FRANCE</v>
          </cell>
          <cell r="G294" t="str">
            <v>VAD CONSEILLERS</v>
          </cell>
          <cell r="H294" t="str">
            <v>DEPREEUW</v>
          </cell>
          <cell r="I294" t="str">
            <v>SUES500001</v>
          </cell>
          <cell r="J294">
            <v>100</v>
          </cell>
          <cell r="K294">
            <v>38733</v>
          </cell>
          <cell r="L294" t="str">
            <v>CONSEILLER(E) COM.</v>
          </cell>
          <cell r="M294" t="str">
            <v>TSM</v>
          </cell>
          <cell r="N294" t="str">
            <v>D</v>
          </cell>
          <cell r="O294" t="str">
            <v>CDI</v>
          </cell>
          <cell r="P294">
            <v>151.57</v>
          </cell>
          <cell r="Q294">
            <v>1867.42</v>
          </cell>
          <cell r="R294">
            <v>431.03</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131.15</v>
          </cell>
          <cell r="AO294">
            <v>0</v>
          </cell>
          <cell r="AP294">
            <v>0</v>
          </cell>
          <cell r="AQ294">
            <v>1217.8800000000001</v>
          </cell>
          <cell r="AR294">
            <v>0</v>
          </cell>
          <cell r="AS294">
            <v>0</v>
          </cell>
          <cell r="AT294">
            <v>0</v>
          </cell>
          <cell r="AU294">
            <v>0</v>
          </cell>
        </row>
        <row r="295">
          <cell r="A295" t="str">
            <v>000A1659</v>
          </cell>
          <cell r="B295" t="str">
            <v>KANKOSA</v>
          </cell>
          <cell r="C295" t="str">
            <v>GORAN</v>
          </cell>
          <cell r="D295" t="str">
            <v>NICE</v>
          </cell>
          <cell r="E295">
            <v>91</v>
          </cell>
          <cell r="F295" t="str">
            <v>NC NUMERICABLE ILE-DE-FRANCE</v>
          </cell>
          <cell r="G295" t="str">
            <v>VAD CONSEILLERS</v>
          </cell>
          <cell r="H295" t="str">
            <v>VIVIN</v>
          </cell>
          <cell r="I295" t="str">
            <v>SUES500001</v>
          </cell>
          <cell r="J295">
            <v>100</v>
          </cell>
          <cell r="K295">
            <v>38789</v>
          </cell>
          <cell r="L295" t="str">
            <v>CONSEILLER(E) COM.</v>
          </cell>
          <cell r="M295" t="str">
            <v>TSM</v>
          </cell>
          <cell r="N295" t="str">
            <v>D</v>
          </cell>
          <cell r="O295" t="str">
            <v>CDI</v>
          </cell>
          <cell r="P295">
            <v>151.57</v>
          </cell>
          <cell r="Q295">
            <v>0</v>
          </cell>
          <cell r="R295">
            <v>-188.91</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-649.54</v>
          </cell>
          <cell r="AR295">
            <v>0</v>
          </cell>
          <cell r="AS295">
            <v>0</v>
          </cell>
          <cell r="AT295">
            <v>0</v>
          </cell>
          <cell r="AU295">
            <v>0</v>
          </cell>
        </row>
        <row r="296">
          <cell r="A296" t="str">
            <v>000A1061</v>
          </cell>
          <cell r="B296" t="str">
            <v>FERRADJ</v>
          </cell>
          <cell r="C296" t="str">
            <v>MOHAMMED</v>
          </cell>
          <cell r="D296" t="str">
            <v>VERSAILLES</v>
          </cell>
          <cell r="E296">
            <v>91</v>
          </cell>
          <cell r="F296" t="str">
            <v>NC NUMERICABLE ILE-DE-FRANCE</v>
          </cell>
          <cell r="G296" t="str">
            <v>VAD ANIMATEURS</v>
          </cell>
          <cell r="H296" t="str">
            <v>ZERFAINE</v>
          </cell>
          <cell r="I296" t="str">
            <v>IDFR500001</v>
          </cell>
          <cell r="J296">
            <v>100</v>
          </cell>
          <cell r="K296">
            <v>38635</v>
          </cell>
          <cell r="L296" t="str">
            <v>ANIMATEUR COM.</v>
          </cell>
          <cell r="M296" t="str">
            <v>CADRE</v>
          </cell>
          <cell r="N296" t="str">
            <v>DB</v>
          </cell>
          <cell r="O296" t="str">
            <v>CDI</v>
          </cell>
          <cell r="P296">
            <v>151.57</v>
          </cell>
          <cell r="Q296">
            <v>1800</v>
          </cell>
          <cell r="R296">
            <v>1706.86</v>
          </cell>
          <cell r="S296">
            <v>0</v>
          </cell>
          <cell r="T296">
            <v>2700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484.61</v>
          </cell>
          <cell r="AO296">
            <v>0</v>
          </cell>
          <cell r="AP296">
            <v>0</v>
          </cell>
          <cell r="AQ296">
            <v>1800</v>
          </cell>
          <cell r="AR296">
            <v>0</v>
          </cell>
          <cell r="AS296">
            <v>0</v>
          </cell>
          <cell r="AT296">
            <v>0</v>
          </cell>
          <cell r="AU296">
            <v>0</v>
          </cell>
        </row>
        <row r="297">
          <cell r="A297" t="str">
            <v>000A1658</v>
          </cell>
          <cell r="B297" t="str">
            <v>CASSAGNE</v>
          </cell>
          <cell r="C297" t="str">
            <v>JEAN-PHILIPPE</v>
          </cell>
          <cell r="D297" t="str">
            <v>NICE</v>
          </cell>
          <cell r="E297">
            <v>91</v>
          </cell>
          <cell r="F297" t="str">
            <v>NC NUMERICABLE ILE-DE-FRANCE</v>
          </cell>
          <cell r="G297" t="str">
            <v>VAD CONSEILLERS</v>
          </cell>
          <cell r="H297" t="str">
            <v>VIVIN</v>
          </cell>
          <cell r="I297" t="str">
            <v>SUES500001</v>
          </cell>
          <cell r="J297">
            <v>100</v>
          </cell>
          <cell r="K297">
            <v>38789</v>
          </cell>
          <cell r="L297" t="str">
            <v>CONSEILLER(E) COM.</v>
          </cell>
          <cell r="M297" t="str">
            <v>TSM</v>
          </cell>
          <cell r="N297" t="str">
            <v>D</v>
          </cell>
          <cell r="O297" t="str">
            <v>CDI</v>
          </cell>
          <cell r="P297">
            <v>151.57</v>
          </cell>
          <cell r="Q297">
            <v>0</v>
          </cell>
          <cell r="R297">
            <v>-76.73</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-365.36</v>
          </cell>
          <cell r="AR297">
            <v>0</v>
          </cell>
          <cell r="AS297">
            <v>0</v>
          </cell>
          <cell r="AT297">
            <v>0</v>
          </cell>
          <cell r="AU297">
            <v>0</v>
          </cell>
        </row>
        <row r="298">
          <cell r="A298" t="str">
            <v>000A1054</v>
          </cell>
          <cell r="B298" t="str">
            <v>FIGAS</v>
          </cell>
          <cell r="C298" t="str">
            <v>ARTUR</v>
          </cell>
          <cell r="D298" t="str">
            <v>LA MADELEINE</v>
          </cell>
          <cell r="E298">
            <v>91</v>
          </cell>
          <cell r="F298" t="str">
            <v>NC NUMERICABLE ILE-DE-FRANCE</v>
          </cell>
          <cell r="G298" t="str">
            <v>VAD CONSEILLERS</v>
          </cell>
          <cell r="H298" t="str">
            <v>GUILLEMAN</v>
          </cell>
          <cell r="I298" t="str">
            <v>NPCA500001</v>
          </cell>
          <cell r="J298">
            <v>100</v>
          </cell>
          <cell r="K298">
            <v>38628</v>
          </cell>
          <cell r="L298" t="str">
            <v>CONSEILLER(E) COM.</v>
          </cell>
          <cell r="M298" t="str">
            <v>TSM</v>
          </cell>
          <cell r="N298" t="str">
            <v>D</v>
          </cell>
          <cell r="O298" t="str">
            <v>CDI</v>
          </cell>
          <cell r="P298">
            <v>151.57</v>
          </cell>
          <cell r="Q298">
            <v>1217.8800000000001</v>
          </cell>
          <cell r="R298">
            <v>1149.5999999999999</v>
          </cell>
          <cell r="S298">
            <v>0</v>
          </cell>
          <cell r="T298">
            <v>1716</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315.95</v>
          </cell>
          <cell r="AO298">
            <v>0</v>
          </cell>
          <cell r="AP298">
            <v>0</v>
          </cell>
          <cell r="AQ298">
            <v>1217.8800000000001</v>
          </cell>
          <cell r="AR298">
            <v>0</v>
          </cell>
          <cell r="AS298">
            <v>0</v>
          </cell>
          <cell r="AT298">
            <v>0</v>
          </cell>
          <cell r="AU298">
            <v>0</v>
          </cell>
        </row>
        <row r="299">
          <cell r="A299" t="str">
            <v>000A1247</v>
          </cell>
          <cell r="B299" t="str">
            <v>AWADALLAH</v>
          </cell>
          <cell r="C299" t="str">
            <v>KARIM</v>
          </cell>
          <cell r="D299" t="str">
            <v>METZ</v>
          </cell>
          <cell r="E299">
            <v>91</v>
          </cell>
          <cell r="F299" t="str">
            <v>NC NUMERICABLE ILE-DE-FRANCE</v>
          </cell>
          <cell r="G299" t="str">
            <v>VAD CONSEILLERS</v>
          </cell>
          <cell r="H299" t="str">
            <v>YAICI</v>
          </cell>
          <cell r="I299" t="str">
            <v>ESTR500001</v>
          </cell>
          <cell r="J299">
            <v>100</v>
          </cell>
          <cell r="K299">
            <v>38665</v>
          </cell>
          <cell r="L299" t="str">
            <v>CONSEILLER(E) COM.</v>
          </cell>
          <cell r="M299" t="str">
            <v>TSM</v>
          </cell>
          <cell r="N299" t="str">
            <v>D</v>
          </cell>
          <cell r="O299" t="str">
            <v>CDI</v>
          </cell>
          <cell r="P299">
            <v>151.57</v>
          </cell>
          <cell r="Q299">
            <v>1217.8800000000001</v>
          </cell>
          <cell r="R299">
            <v>2252.19</v>
          </cell>
          <cell r="S299">
            <v>0</v>
          </cell>
          <cell r="T299">
            <v>4960.87</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665.41</v>
          </cell>
          <cell r="AO299">
            <v>0</v>
          </cell>
          <cell r="AP299">
            <v>0</v>
          </cell>
          <cell r="AQ299">
            <v>1217.8800000000001</v>
          </cell>
          <cell r="AR299">
            <v>0</v>
          </cell>
          <cell r="AS299">
            <v>0</v>
          </cell>
          <cell r="AT299">
            <v>0</v>
          </cell>
          <cell r="AU299">
            <v>0</v>
          </cell>
        </row>
        <row r="300">
          <cell r="A300" t="str">
            <v>000A1208</v>
          </cell>
          <cell r="B300" t="str">
            <v>DIATTA</v>
          </cell>
          <cell r="C300" t="str">
            <v>MARIAMA</v>
          </cell>
          <cell r="D300" t="str">
            <v>VERSAILLES</v>
          </cell>
          <cell r="E300">
            <v>91</v>
          </cell>
          <cell r="F300" t="str">
            <v>NC NUMERICABLE ILE-DE-FRANCE</v>
          </cell>
          <cell r="G300" t="str">
            <v>VAD CONSEILLERS</v>
          </cell>
          <cell r="H300" t="str">
            <v>SELLAMI</v>
          </cell>
          <cell r="I300" t="str">
            <v>IDFR500001</v>
          </cell>
          <cell r="J300">
            <v>100</v>
          </cell>
          <cell r="K300">
            <v>38663</v>
          </cell>
          <cell r="L300" t="str">
            <v>CONSEILLER(E) COM.</v>
          </cell>
          <cell r="M300" t="str">
            <v>TSM</v>
          </cell>
          <cell r="N300" t="str">
            <v>D</v>
          </cell>
          <cell r="O300" t="str">
            <v>CDI</v>
          </cell>
          <cell r="P300">
            <v>151.57</v>
          </cell>
          <cell r="Q300">
            <v>1217.8800000000001</v>
          </cell>
          <cell r="R300">
            <v>1335.48</v>
          </cell>
          <cell r="S300">
            <v>0</v>
          </cell>
          <cell r="T300">
            <v>2260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374.55</v>
          </cell>
          <cell r="AO300">
            <v>0</v>
          </cell>
          <cell r="AP300">
            <v>0</v>
          </cell>
          <cell r="AQ300">
            <v>1217.8800000000001</v>
          </cell>
          <cell r="AR300">
            <v>0</v>
          </cell>
          <cell r="AS300">
            <v>0</v>
          </cell>
          <cell r="AT300">
            <v>0</v>
          </cell>
          <cell r="AU300">
            <v>0</v>
          </cell>
        </row>
        <row r="301">
          <cell r="A301" t="str">
            <v>000A1550</v>
          </cell>
          <cell r="B301" t="str">
            <v>BAYARD</v>
          </cell>
          <cell r="C301" t="str">
            <v>OLIVIER</v>
          </cell>
          <cell r="D301" t="str">
            <v>LYON CATN</v>
          </cell>
          <cell r="E301">
            <v>61</v>
          </cell>
          <cell r="F301" t="str">
            <v>NC NUMERICABLE RHONES-ALPES</v>
          </cell>
          <cell r="G301" t="str">
            <v>CLIENTELE</v>
          </cell>
          <cell r="H301" t="str">
            <v>LEFEVRE</v>
          </cell>
          <cell r="I301" t="str">
            <v>CLIE420001</v>
          </cell>
          <cell r="J301">
            <v>100</v>
          </cell>
          <cell r="K301">
            <v>38726</v>
          </cell>
          <cell r="L301" t="str">
            <v>CHARGE DE PLANIFICATION</v>
          </cell>
          <cell r="M301" t="str">
            <v>EMPLOYE</v>
          </cell>
          <cell r="N301" t="str">
            <v>D</v>
          </cell>
          <cell r="O301" t="str">
            <v>CDD</v>
          </cell>
          <cell r="P301">
            <v>151.57</v>
          </cell>
          <cell r="Q301">
            <v>2100</v>
          </cell>
          <cell r="R301">
            <v>1162.3399999999999</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226.16</v>
          </cell>
          <cell r="AO301">
            <v>0</v>
          </cell>
          <cell r="AP301">
            <v>0</v>
          </cell>
          <cell r="AQ301">
            <v>2100</v>
          </cell>
          <cell r="AR301">
            <v>0</v>
          </cell>
          <cell r="AS301">
            <v>0</v>
          </cell>
          <cell r="AT301">
            <v>0</v>
          </cell>
          <cell r="AU301">
            <v>0</v>
          </cell>
        </row>
        <row r="302">
          <cell r="A302" t="str">
            <v>000A1672</v>
          </cell>
          <cell r="B302" t="str">
            <v>ABARKAN</v>
          </cell>
          <cell r="C302" t="str">
            <v>YACIM</v>
          </cell>
          <cell r="D302" t="str">
            <v>BORDEAUX</v>
          </cell>
          <cell r="E302">
            <v>91</v>
          </cell>
          <cell r="F302" t="str">
            <v>NC NUMERICABLE ILE-DE-FRANCE</v>
          </cell>
          <cell r="G302" t="str">
            <v>VAD CONSEILLERS</v>
          </cell>
          <cell r="H302" t="str">
            <v>GALERA</v>
          </cell>
          <cell r="I302" t="str">
            <v>SUOU500001</v>
          </cell>
          <cell r="J302">
            <v>100</v>
          </cell>
          <cell r="K302">
            <v>38810</v>
          </cell>
          <cell r="L302" t="str">
            <v>CONSEILLER(E) COM.</v>
          </cell>
          <cell r="M302" t="str">
            <v>TSM</v>
          </cell>
          <cell r="N302" t="str">
            <v>D</v>
          </cell>
          <cell r="O302" t="str">
            <v>CDI</v>
          </cell>
          <cell r="P302">
            <v>151.57</v>
          </cell>
          <cell r="Q302">
            <v>0</v>
          </cell>
          <cell r="R302">
            <v>317.08</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1136.69</v>
          </cell>
          <cell r="AR302">
            <v>0</v>
          </cell>
          <cell r="AS302">
            <v>0</v>
          </cell>
          <cell r="AT302">
            <v>0</v>
          </cell>
          <cell r="AU302">
            <v>0</v>
          </cell>
        </row>
        <row r="303">
          <cell r="A303" t="str">
            <v>000A1426</v>
          </cell>
          <cell r="B303" t="str">
            <v>DIALLO</v>
          </cell>
          <cell r="C303" t="str">
            <v>MOHAMED</v>
          </cell>
          <cell r="D303" t="str">
            <v>SIEGE</v>
          </cell>
          <cell r="E303">
            <v>91</v>
          </cell>
          <cell r="F303" t="str">
            <v>NC NUMERICABLE ILE-DE-FRANCE</v>
          </cell>
          <cell r="G303" t="str">
            <v>VAD CONSEILLERS</v>
          </cell>
          <cell r="H303" t="str">
            <v>ZERFAINE</v>
          </cell>
          <cell r="I303" t="str">
            <v>IDFR500001</v>
          </cell>
          <cell r="J303">
            <v>100</v>
          </cell>
          <cell r="K303">
            <v>38736</v>
          </cell>
          <cell r="L303" t="str">
            <v>CONSEILLER(E) COM.</v>
          </cell>
          <cell r="M303" t="str">
            <v>TSM</v>
          </cell>
          <cell r="N303" t="str">
            <v>D</v>
          </cell>
          <cell r="O303" t="str">
            <v>CDI</v>
          </cell>
          <cell r="P303">
            <v>151.57</v>
          </cell>
          <cell r="Q303">
            <v>1745.63</v>
          </cell>
          <cell r="R303">
            <v>1671.65</v>
          </cell>
          <cell r="S303">
            <v>0</v>
          </cell>
          <cell r="T303">
            <v>3420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481.98</v>
          </cell>
          <cell r="AO303">
            <v>0</v>
          </cell>
          <cell r="AP303">
            <v>0</v>
          </cell>
          <cell r="AQ303">
            <v>1055.5</v>
          </cell>
          <cell r="AR303">
            <v>0</v>
          </cell>
          <cell r="AS303">
            <v>0</v>
          </cell>
          <cell r="AT303">
            <v>0</v>
          </cell>
          <cell r="AU303">
            <v>0</v>
          </cell>
        </row>
        <row r="304">
          <cell r="A304" t="str">
            <v>000A1729</v>
          </cell>
          <cell r="B304" t="str">
            <v>ZERROUKI</v>
          </cell>
          <cell r="C304" t="str">
            <v>YOUCEF</v>
          </cell>
          <cell r="D304" t="str">
            <v>TOURS</v>
          </cell>
          <cell r="E304">
            <v>91</v>
          </cell>
          <cell r="F304" t="str">
            <v>NC NUMERICABLE ILE-DE-FRANCE</v>
          </cell>
          <cell r="G304" t="str">
            <v>VAD CONSEILLERS</v>
          </cell>
          <cell r="H304" t="str">
            <v>JAUD</v>
          </cell>
          <cell r="I304" t="str">
            <v>OUES500001</v>
          </cell>
          <cell r="J304">
            <v>100</v>
          </cell>
          <cell r="K304">
            <v>38810</v>
          </cell>
          <cell r="L304" t="str">
            <v>CONSEILLER(E) COM.</v>
          </cell>
          <cell r="M304" t="str">
            <v>TSM</v>
          </cell>
          <cell r="N304" t="str">
            <v>D</v>
          </cell>
          <cell r="O304" t="str">
            <v>CDI</v>
          </cell>
          <cell r="P304">
            <v>151.57</v>
          </cell>
          <cell r="Q304">
            <v>0</v>
          </cell>
          <cell r="R304">
            <v>321.76</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1136.69</v>
          </cell>
          <cell r="AR304">
            <v>0</v>
          </cell>
          <cell r="AS304">
            <v>0</v>
          </cell>
          <cell r="AT304">
            <v>0</v>
          </cell>
          <cell r="AU304">
            <v>0</v>
          </cell>
        </row>
        <row r="305">
          <cell r="A305" t="str">
            <v>000A1728</v>
          </cell>
          <cell r="B305" t="str">
            <v>FOUDA</v>
          </cell>
          <cell r="C305" t="str">
            <v>JUVENAL</v>
          </cell>
          <cell r="D305" t="str">
            <v>LYON GARIBALDI</v>
          </cell>
          <cell r="E305">
            <v>91</v>
          </cell>
          <cell r="F305" t="str">
            <v>NC NUMERICABLE ILE-DE-FRANCE</v>
          </cell>
          <cell r="G305" t="str">
            <v>VAD CONSEILLERS</v>
          </cell>
          <cell r="H305" t="str">
            <v>DONT</v>
          </cell>
          <cell r="I305" t="str">
            <v>RHON500001</v>
          </cell>
          <cell r="J305">
            <v>100</v>
          </cell>
          <cell r="K305">
            <v>38803</v>
          </cell>
          <cell r="L305" t="str">
            <v>CONSEILLER(E) COM.</v>
          </cell>
          <cell r="M305" t="str">
            <v>TSM</v>
          </cell>
          <cell r="N305" t="str">
            <v>D</v>
          </cell>
          <cell r="O305" t="str">
            <v>CDI</v>
          </cell>
          <cell r="P305">
            <v>151.57</v>
          </cell>
          <cell r="Q305">
            <v>0</v>
          </cell>
          <cell r="R305">
            <v>413.18</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1420.86</v>
          </cell>
          <cell r="AR305">
            <v>0</v>
          </cell>
          <cell r="AS305">
            <v>0</v>
          </cell>
          <cell r="AT305">
            <v>0</v>
          </cell>
          <cell r="AU305">
            <v>0</v>
          </cell>
        </row>
        <row r="306">
          <cell r="A306" t="str">
            <v>000A1720</v>
          </cell>
          <cell r="B306" t="str">
            <v>LARBAOUI</v>
          </cell>
          <cell r="C306" t="str">
            <v>MOHAMED</v>
          </cell>
          <cell r="D306" t="str">
            <v>NICE</v>
          </cell>
          <cell r="E306">
            <v>91</v>
          </cell>
          <cell r="F306" t="str">
            <v>NC NUMERICABLE ILE-DE-FRANCE</v>
          </cell>
          <cell r="G306" t="str">
            <v>VAD CONSEILLERS</v>
          </cell>
          <cell r="H306" t="str">
            <v>VIVIN</v>
          </cell>
          <cell r="I306" t="str">
            <v>SUES500001</v>
          </cell>
          <cell r="J306">
            <v>100</v>
          </cell>
          <cell r="K306">
            <v>38819</v>
          </cell>
          <cell r="L306" t="str">
            <v>CONSEILLER(E) COM.</v>
          </cell>
          <cell r="M306" t="str">
            <v>TSM</v>
          </cell>
          <cell r="N306" t="str">
            <v>D</v>
          </cell>
          <cell r="O306" t="str">
            <v>CDI</v>
          </cell>
          <cell r="P306">
            <v>151.57</v>
          </cell>
          <cell r="Q306">
            <v>0</v>
          </cell>
          <cell r="R306">
            <v>224.11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771.32</v>
          </cell>
          <cell r="AR306">
            <v>0</v>
          </cell>
          <cell r="AS306">
            <v>0</v>
          </cell>
          <cell r="AT306">
            <v>0</v>
          </cell>
          <cell r="AU306">
            <v>0</v>
          </cell>
        </row>
        <row r="307">
          <cell r="A307" t="str">
            <v>000A1374</v>
          </cell>
          <cell r="B307" t="str">
            <v>FAVIER</v>
          </cell>
          <cell r="C307" t="str">
            <v>THIERRY</v>
          </cell>
          <cell r="D307" t="str">
            <v>LYON GARIBALDI</v>
          </cell>
          <cell r="E307">
            <v>91</v>
          </cell>
          <cell r="F307" t="str">
            <v>NC NUMERICABLE ILE-DE-FRANCE</v>
          </cell>
          <cell r="G307" t="str">
            <v>VAD CONSEILLERS</v>
          </cell>
          <cell r="H307" t="str">
            <v>SILIKI</v>
          </cell>
          <cell r="I307" t="str">
            <v>RHON500001</v>
          </cell>
          <cell r="J307">
            <v>100</v>
          </cell>
          <cell r="K307">
            <v>38719</v>
          </cell>
          <cell r="L307" t="str">
            <v>CONSEILLER(E) COM.</v>
          </cell>
          <cell r="M307" t="str">
            <v>TSM</v>
          </cell>
          <cell r="N307" t="str">
            <v>D</v>
          </cell>
          <cell r="O307" t="str">
            <v>CDI</v>
          </cell>
          <cell r="P307">
            <v>151.57</v>
          </cell>
          <cell r="Q307">
            <v>1217.8800000000001</v>
          </cell>
          <cell r="R307">
            <v>490.62</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122.41</v>
          </cell>
          <cell r="AO307">
            <v>0</v>
          </cell>
          <cell r="AP307">
            <v>0</v>
          </cell>
          <cell r="AQ307">
            <v>1136.69</v>
          </cell>
          <cell r="AR307">
            <v>0</v>
          </cell>
          <cell r="AS307">
            <v>0</v>
          </cell>
          <cell r="AT307">
            <v>0</v>
          </cell>
          <cell r="AU307">
            <v>0</v>
          </cell>
        </row>
        <row r="308">
          <cell r="A308" t="str">
            <v>000A1674</v>
          </cell>
          <cell r="B308" t="str">
            <v>GONCALVES</v>
          </cell>
          <cell r="C308" t="str">
            <v>CARLOS</v>
          </cell>
          <cell r="D308" t="str">
            <v>BORDEAUX</v>
          </cell>
          <cell r="E308">
            <v>91</v>
          </cell>
          <cell r="F308" t="str">
            <v>NC NUMERICABLE ILE-DE-FRANCE</v>
          </cell>
          <cell r="G308" t="str">
            <v>VAD CONSEILLERS</v>
          </cell>
          <cell r="H308" t="str">
            <v>GALERA</v>
          </cell>
          <cell r="I308" t="str">
            <v>SUOU500001</v>
          </cell>
          <cell r="J308">
            <v>100</v>
          </cell>
          <cell r="K308">
            <v>38811</v>
          </cell>
          <cell r="L308" t="str">
            <v>CONSEILLER(E) COM.</v>
          </cell>
          <cell r="M308" t="str">
            <v>TSM</v>
          </cell>
          <cell r="N308" t="str">
            <v>D</v>
          </cell>
          <cell r="O308" t="str">
            <v>CDI</v>
          </cell>
          <cell r="P308">
            <v>151.57</v>
          </cell>
          <cell r="Q308">
            <v>0</v>
          </cell>
          <cell r="R308">
            <v>308.76</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1096.0899999999999</v>
          </cell>
          <cell r="AR308">
            <v>0</v>
          </cell>
          <cell r="AS308">
            <v>0</v>
          </cell>
          <cell r="AT308">
            <v>0</v>
          </cell>
          <cell r="AU308">
            <v>0</v>
          </cell>
        </row>
        <row r="309">
          <cell r="A309" t="str">
            <v>000A1350</v>
          </cell>
          <cell r="B309" t="str">
            <v>GARCIA</v>
          </cell>
          <cell r="C309" t="str">
            <v>CELINE</v>
          </cell>
          <cell r="D309" t="str">
            <v>MARSEILLE</v>
          </cell>
          <cell r="E309">
            <v>91</v>
          </cell>
          <cell r="F309" t="str">
            <v>NC NUMERICABLE ILE-DE-FRANCE</v>
          </cell>
          <cell r="G309" t="str">
            <v>VAD CONSEILLERS</v>
          </cell>
          <cell r="H309" t="str">
            <v>ZAMORA</v>
          </cell>
          <cell r="I309" t="str">
            <v>SUES500001</v>
          </cell>
          <cell r="J309">
            <v>100</v>
          </cell>
          <cell r="K309">
            <v>38698</v>
          </cell>
          <cell r="L309" t="str">
            <v>CONSEILLER(E) COM.</v>
          </cell>
          <cell r="M309" t="str">
            <v>TSM</v>
          </cell>
          <cell r="N309" t="str">
            <v>D</v>
          </cell>
          <cell r="O309" t="str">
            <v>CDI</v>
          </cell>
          <cell r="P309">
            <v>151.57</v>
          </cell>
          <cell r="Q309">
            <v>1217.8800000000001</v>
          </cell>
          <cell r="R309">
            <v>-1.54</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12.49</v>
          </cell>
          <cell r="AO309">
            <v>0</v>
          </cell>
          <cell r="AP309">
            <v>0</v>
          </cell>
          <cell r="AQ309">
            <v>81.2</v>
          </cell>
          <cell r="AR309">
            <v>0</v>
          </cell>
          <cell r="AS309">
            <v>0</v>
          </cell>
          <cell r="AT309">
            <v>0</v>
          </cell>
          <cell r="AU309">
            <v>0</v>
          </cell>
        </row>
        <row r="310">
          <cell r="A310" t="str">
            <v>000A1563</v>
          </cell>
          <cell r="B310" t="str">
            <v>TARCHOUNE</v>
          </cell>
          <cell r="C310" t="str">
            <v>NORA</v>
          </cell>
          <cell r="D310" t="str">
            <v>SIEGE</v>
          </cell>
          <cell r="E310">
            <v>91</v>
          </cell>
          <cell r="F310" t="str">
            <v>NC NUMERICABLE ILE-DE-FRANCE</v>
          </cell>
          <cell r="G310" t="str">
            <v>DIRECTION RESS HUM</v>
          </cell>
          <cell r="H310" t="str">
            <v>DELCOURT</v>
          </cell>
          <cell r="I310" t="str">
            <v>GENE703001</v>
          </cell>
          <cell r="J310">
            <v>100</v>
          </cell>
          <cell r="K310">
            <v>38698</v>
          </cell>
          <cell r="L310" t="str">
            <v>ASSISTANT(E) NIV. 1</v>
          </cell>
          <cell r="M310" t="str">
            <v>EMPLOYE</v>
          </cell>
          <cell r="N310" t="str">
            <v>C</v>
          </cell>
          <cell r="O310" t="str">
            <v>CONTRAT APPRENTISSAGE</v>
          </cell>
          <cell r="P310">
            <v>151.57</v>
          </cell>
          <cell r="Q310">
            <v>-508.38</v>
          </cell>
          <cell r="R310">
            <v>117.39</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82.12</v>
          </cell>
          <cell r="AO310">
            <v>23.61</v>
          </cell>
          <cell r="AP310">
            <v>0</v>
          </cell>
          <cell r="AQ310">
            <v>762.58</v>
          </cell>
          <cell r="AR310">
            <v>0</v>
          </cell>
          <cell r="AS310">
            <v>0</v>
          </cell>
          <cell r="AT310">
            <v>0</v>
          </cell>
          <cell r="AU310">
            <v>0</v>
          </cell>
        </row>
        <row r="311">
          <cell r="A311" t="str">
            <v>000A0801</v>
          </cell>
          <cell r="B311" t="str">
            <v>AMADOS</v>
          </cell>
          <cell r="C311" t="str">
            <v>EDWIGE AWOUSSI</v>
          </cell>
          <cell r="D311" t="str">
            <v>SIEGE</v>
          </cell>
          <cell r="E311">
            <v>91</v>
          </cell>
          <cell r="F311" t="str">
            <v>NC NUMERICABLE ILE-DE-FRANCE</v>
          </cell>
          <cell r="G311" t="str">
            <v>INFORMATIQUE</v>
          </cell>
          <cell r="I311" t="str">
            <v>GENE905001</v>
          </cell>
          <cell r="J311">
            <v>100</v>
          </cell>
          <cell r="K311">
            <v>36731</v>
          </cell>
          <cell r="L311" t="str">
            <v>SUPPORT EXP. PROD.</v>
          </cell>
          <cell r="M311" t="str">
            <v>TSM</v>
          </cell>
          <cell r="N311" t="str">
            <v>D</v>
          </cell>
          <cell r="O311" t="str">
            <v>CDI</v>
          </cell>
          <cell r="P311">
            <v>151.57</v>
          </cell>
          <cell r="Q311">
            <v>1984.4</v>
          </cell>
          <cell r="R311">
            <v>253.29</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-189.17</v>
          </cell>
          <cell r="AN311">
            <v>213.7</v>
          </cell>
          <cell r="AO311">
            <v>-189.17</v>
          </cell>
          <cell r="AP311">
            <v>0</v>
          </cell>
          <cell r="AQ311">
            <v>1984.4</v>
          </cell>
          <cell r="AR311">
            <v>0</v>
          </cell>
          <cell r="AS311">
            <v>0</v>
          </cell>
          <cell r="AT311">
            <v>0</v>
          </cell>
          <cell r="AU311">
            <v>0</v>
          </cell>
        </row>
        <row r="312">
          <cell r="A312" t="str">
            <v>000A0753</v>
          </cell>
          <cell r="B312" t="str">
            <v>DELBART</v>
          </cell>
          <cell r="C312" t="str">
            <v>SEVERINE</v>
          </cell>
          <cell r="D312" t="str">
            <v>NANTES</v>
          </cell>
          <cell r="E312">
            <v>91</v>
          </cell>
          <cell r="F312" t="str">
            <v>NC NUMERICABLE ILE-DE-FRANCE</v>
          </cell>
          <cell r="G312" t="str">
            <v>PLATEFORME LOGISTIQU</v>
          </cell>
          <cell r="H312" t="str">
            <v>JAQUEMIN</v>
          </cell>
          <cell r="I312" t="str">
            <v>GENE320001</v>
          </cell>
          <cell r="J312">
            <v>100</v>
          </cell>
          <cell r="K312">
            <v>36526</v>
          </cell>
          <cell r="L312" t="str">
            <v>GEST. DONN..NIV.1</v>
          </cell>
          <cell r="M312" t="str">
            <v>EMPLOYE</v>
          </cell>
          <cell r="N312" t="str">
            <v>C</v>
          </cell>
          <cell r="O312" t="str">
            <v>CDI</v>
          </cell>
          <cell r="P312">
            <v>151.57</v>
          </cell>
          <cell r="Q312">
            <v>1811.6</v>
          </cell>
          <cell r="R312">
            <v>533.67999999999995</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197.08</v>
          </cell>
          <cell r="AO312">
            <v>0</v>
          </cell>
          <cell r="AP312">
            <v>0</v>
          </cell>
          <cell r="AQ312">
            <v>1739.86</v>
          </cell>
          <cell r="AR312">
            <v>0</v>
          </cell>
          <cell r="AS312">
            <v>0</v>
          </cell>
          <cell r="AT312">
            <v>0</v>
          </cell>
          <cell r="AU312">
            <v>0</v>
          </cell>
        </row>
        <row r="313">
          <cell r="A313">
            <v>30063</v>
          </cell>
          <cell r="B313" t="str">
            <v>MATABA</v>
          </cell>
          <cell r="C313" t="str">
            <v>BOUKAR</v>
          </cell>
          <cell r="D313" t="str">
            <v>REIMS</v>
          </cell>
          <cell r="E313">
            <v>91</v>
          </cell>
          <cell r="F313" t="str">
            <v>NC NUMERICABLE ILE-DE-FRANCE</v>
          </cell>
          <cell r="G313" t="str">
            <v>COLLECTIF</v>
          </cell>
          <cell r="H313" t="str">
            <v>PERRET-GENTIL</v>
          </cell>
          <cell r="I313" t="str">
            <v>NPCA510001</v>
          </cell>
          <cell r="J313">
            <v>100</v>
          </cell>
          <cell r="K313">
            <v>34549</v>
          </cell>
          <cell r="L313" t="str">
            <v>ATTACHE COMMERCIAL</v>
          </cell>
          <cell r="M313" t="str">
            <v>CADRE</v>
          </cell>
          <cell r="N313" t="str">
            <v>DB</v>
          </cell>
          <cell r="O313" t="str">
            <v>CDI</v>
          </cell>
          <cell r="P313">
            <v>151.57</v>
          </cell>
          <cell r="Q313">
            <v>2100.39</v>
          </cell>
          <cell r="R313">
            <v>2047.51</v>
          </cell>
          <cell r="S313">
            <v>0</v>
          </cell>
          <cell r="T313">
            <v>1500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414.91</v>
          </cell>
          <cell r="AO313">
            <v>0</v>
          </cell>
          <cell r="AP313">
            <v>0</v>
          </cell>
          <cell r="AQ313">
            <v>2100.39</v>
          </cell>
          <cell r="AR313">
            <v>0</v>
          </cell>
          <cell r="AS313">
            <v>0</v>
          </cell>
          <cell r="AT313">
            <v>0</v>
          </cell>
          <cell r="AU313">
            <v>0</v>
          </cell>
        </row>
        <row r="314">
          <cell r="A314" t="str">
            <v>000A0299</v>
          </cell>
          <cell r="B314" t="str">
            <v>POULLOT</v>
          </cell>
          <cell r="C314" t="str">
            <v>ALAIN</v>
          </cell>
          <cell r="D314" t="str">
            <v>SIEGE</v>
          </cell>
          <cell r="E314">
            <v>91</v>
          </cell>
          <cell r="F314" t="str">
            <v>NC NUMERICABLE ILE-DE-FRANCE</v>
          </cell>
          <cell r="G314" t="str">
            <v>PROGRAM MANAGMENT</v>
          </cell>
          <cell r="I314" t="str">
            <v>GENE905001</v>
          </cell>
          <cell r="J314">
            <v>100</v>
          </cell>
          <cell r="K314">
            <v>32782</v>
          </cell>
          <cell r="L314" t="str">
            <v>RESP.SUPP.NATIONAL</v>
          </cell>
          <cell r="M314" t="str">
            <v>CADRE</v>
          </cell>
          <cell r="N314" t="str">
            <v>F</v>
          </cell>
          <cell r="O314" t="str">
            <v>CDI</v>
          </cell>
          <cell r="P314">
            <v>151.57</v>
          </cell>
          <cell r="Q314">
            <v>6738</v>
          </cell>
          <cell r="R314">
            <v>1682.79</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530.28</v>
          </cell>
          <cell r="AN314">
            <v>725.64</v>
          </cell>
          <cell r="AO314">
            <v>530.28</v>
          </cell>
          <cell r="AP314">
            <v>0</v>
          </cell>
          <cell r="AQ314">
            <v>6738</v>
          </cell>
          <cell r="AR314">
            <v>0</v>
          </cell>
          <cell r="AS314">
            <v>0</v>
          </cell>
          <cell r="AT314">
            <v>0</v>
          </cell>
          <cell r="AU314">
            <v>0</v>
          </cell>
        </row>
        <row r="315">
          <cell r="A315" t="str">
            <v>000A0272</v>
          </cell>
          <cell r="B315" t="str">
            <v>RANSON</v>
          </cell>
          <cell r="C315" t="str">
            <v>PAUL</v>
          </cell>
          <cell r="D315" t="str">
            <v>NICE</v>
          </cell>
          <cell r="E315">
            <v>91</v>
          </cell>
          <cell r="F315" t="str">
            <v>NC NUMERICABLE ILE-DE-FRANCE</v>
          </cell>
          <cell r="G315" t="str">
            <v>TRAVAUX</v>
          </cell>
          <cell r="H315" t="str">
            <v>SOULIERE</v>
          </cell>
          <cell r="I315" t="str">
            <v>SUES300001</v>
          </cell>
          <cell r="J315">
            <v>100</v>
          </cell>
          <cell r="K315">
            <v>32660</v>
          </cell>
          <cell r="L315" t="str">
            <v>RESP.TECH.EXPL.</v>
          </cell>
          <cell r="M315" t="str">
            <v>CADRE</v>
          </cell>
          <cell r="N315" t="str">
            <v>E</v>
          </cell>
          <cell r="O315" t="str">
            <v>CDI</v>
          </cell>
          <cell r="P315">
            <v>151.57</v>
          </cell>
          <cell r="Q315">
            <v>3109</v>
          </cell>
          <cell r="R315">
            <v>1622.68</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334.79</v>
          </cell>
          <cell r="AO315">
            <v>0</v>
          </cell>
          <cell r="AP315">
            <v>0</v>
          </cell>
          <cell r="AQ315">
            <v>3109</v>
          </cell>
          <cell r="AR315">
            <v>0</v>
          </cell>
          <cell r="AS315">
            <v>0</v>
          </cell>
          <cell r="AT315">
            <v>0</v>
          </cell>
          <cell r="AU315">
            <v>0</v>
          </cell>
        </row>
        <row r="316">
          <cell r="A316">
            <v>6</v>
          </cell>
          <cell r="B316" t="str">
            <v>TABUTEAU</v>
          </cell>
          <cell r="C316" t="str">
            <v>FRANCKY</v>
          </cell>
          <cell r="D316" t="str">
            <v>VANVES</v>
          </cell>
          <cell r="E316">
            <v>91</v>
          </cell>
          <cell r="F316" t="str">
            <v>NC NUMERICABLE ILE-DE-FRANCE</v>
          </cell>
          <cell r="G316" t="str">
            <v>NOC</v>
          </cell>
          <cell r="H316" t="str">
            <v>MASON</v>
          </cell>
          <cell r="I316" t="str">
            <v>GENE306001</v>
          </cell>
          <cell r="J316">
            <v>100</v>
          </cell>
          <cell r="K316">
            <v>32307</v>
          </cell>
          <cell r="L316" t="str">
            <v>RESP. TECH. SUPPORT</v>
          </cell>
          <cell r="M316" t="str">
            <v>CADRE</v>
          </cell>
          <cell r="N316" t="str">
            <v>E</v>
          </cell>
          <cell r="O316" t="str">
            <v>CDI</v>
          </cell>
          <cell r="P316">
            <v>151.57</v>
          </cell>
          <cell r="Q316">
            <v>3551</v>
          </cell>
          <cell r="R316">
            <v>2082.8000000000002</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219</v>
          </cell>
          <cell r="AL316">
            <v>0</v>
          </cell>
          <cell r="AM316">
            <v>0</v>
          </cell>
          <cell r="AN316">
            <v>427.46</v>
          </cell>
          <cell r="AO316">
            <v>0</v>
          </cell>
          <cell r="AP316">
            <v>0</v>
          </cell>
          <cell r="AQ316">
            <v>3551</v>
          </cell>
          <cell r="AR316">
            <v>0</v>
          </cell>
          <cell r="AS316">
            <v>219</v>
          </cell>
          <cell r="AT316">
            <v>0</v>
          </cell>
          <cell r="AU316">
            <v>0</v>
          </cell>
        </row>
        <row r="317">
          <cell r="A317" t="str">
            <v>000A1457</v>
          </cell>
          <cell r="B317" t="str">
            <v>SAEZ</v>
          </cell>
          <cell r="C317" t="str">
            <v>CHRISTOPHE</v>
          </cell>
          <cell r="D317" t="str">
            <v>MONTPELLIER</v>
          </cell>
          <cell r="E317">
            <v>91</v>
          </cell>
          <cell r="F317" t="str">
            <v>NC NUMERICABLE ILE-DE-FRANCE</v>
          </cell>
          <cell r="G317" t="str">
            <v>VAD CONSEILLERS</v>
          </cell>
          <cell r="H317" t="str">
            <v>VIVIN</v>
          </cell>
          <cell r="I317" t="str">
            <v>SUES500001</v>
          </cell>
          <cell r="J317">
            <v>100</v>
          </cell>
          <cell r="K317">
            <v>38754</v>
          </cell>
          <cell r="L317" t="str">
            <v>CONSEILLER(E) COM.</v>
          </cell>
          <cell r="M317" t="str">
            <v>TSM</v>
          </cell>
          <cell r="N317" t="str">
            <v>D</v>
          </cell>
          <cell r="O317" t="str">
            <v>CDI</v>
          </cell>
          <cell r="P317">
            <v>151.57</v>
          </cell>
          <cell r="Q317">
            <v>1217.8800000000001</v>
          </cell>
          <cell r="R317">
            <v>633.17999999999995</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487.38</v>
          </cell>
          <cell r="AO317">
            <v>0</v>
          </cell>
          <cell r="AP317">
            <v>0</v>
          </cell>
          <cell r="AQ317">
            <v>1217.8800000000001</v>
          </cell>
          <cell r="AR317">
            <v>0</v>
          </cell>
          <cell r="AS317">
            <v>0</v>
          </cell>
          <cell r="AT317">
            <v>0</v>
          </cell>
          <cell r="AU317">
            <v>0</v>
          </cell>
        </row>
        <row r="318">
          <cell r="A318" t="str">
            <v>000A1104</v>
          </cell>
          <cell r="B318" t="str">
            <v>LE GARFF</v>
          </cell>
          <cell r="C318" t="str">
            <v>GWEN</v>
          </cell>
          <cell r="D318" t="str">
            <v>RENNES</v>
          </cell>
          <cell r="E318">
            <v>91</v>
          </cell>
          <cell r="F318" t="str">
            <v>NC NUMERICABLE ILE-DE-FRANCE</v>
          </cell>
          <cell r="G318" t="str">
            <v>VAD CONSEILLERS</v>
          </cell>
          <cell r="H318" t="str">
            <v>DIGUE</v>
          </cell>
          <cell r="I318" t="str">
            <v>NPCA500001</v>
          </cell>
          <cell r="J318">
            <v>100</v>
          </cell>
          <cell r="K318">
            <v>38635</v>
          </cell>
          <cell r="L318" t="str">
            <v>CONSEILLER(E) COM.</v>
          </cell>
          <cell r="M318" t="str">
            <v>TSM</v>
          </cell>
          <cell r="N318" t="str">
            <v>D</v>
          </cell>
          <cell r="O318" t="str">
            <v>CDI</v>
          </cell>
          <cell r="P318">
            <v>151.57</v>
          </cell>
          <cell r="Q318">
            <v>1217.8800000000001</v>
          </cell>
          <cell r="R318">
            <v>1087.0899999999999</v>
          </cell>
          <cell r="S318">
            <v>0</v>
          </cell>
          <cell r="T318">
            <v>1600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303.47000000000003</v>
          </cell>
          <cell r="AO318">
            <v>0</v>
          </cell>
          <cell r="AP318">
            <v>0</v>
          </cell>
          <cell r="AQ318">
            <v>1217.8800000000001</v>
          </cell>
          <cell r="AR318">
            <v>0</v>
          </cell>
          <cell r="AS318">
            <v>0</v>
          </cell>
          <cell r="AT318">
            <v>0</v>
          </cell>
          <cell r="AU318">
            <v>0</v>
          </cell>
        </row>
        <row r="319">
          <cell r="A319" t="str">
            <v>000A1159</v>
          </cell>
          <cell r="B319" t="str">
            <v>CREPPY</v>
          </cell>
          <cell r="C319" t="str">
            <v>ARTHUR</v>
          </cell>
          <cell r="D319" t="str">
            <v>BORDEAUX</v>
          </cell>
          <cell r="E319">
            <v>91</v>
          </cell>
          <cell r="F319" t="str">
            <v>NC NUMERICABLE ILE-DE-FRANCE</v>
          </cell>
          <cell r="G319" t="str">
            <v>VAD CONSEILLERS</v>
          </cell>
          <cell r="H319" t="str">
            <v>FLAICHER</v>
          </cell>
          <cell r="I319" t="str">
            <v>SUOU500001</v>
          </cell>
          <cell r="J319">
            <v>100</v>
          </cell>
          <cell r="K319">
            <v>38649</v>
          </cell>
          <cell r="L319" t="str">
            <v>CONSEILLER(E) COM.</v>
          </cell>
          <cell r="M319" t="str">
            <v>TSM</v>
          </cell>
          <cell r="N319" t="str">
            <v>D</v>
          </cell>
          <cell r="O319" t="str">
            <v>CDI</v>
          </cell>
          <cell r="P319">
            <v>151.57</v>
          </cell>
          <cell r="Q319">
            <v>1217.8800000000001</v>
          </cell>
          <cell r="R319">
            <v>641.35</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131.15</v>
          </cell>
          <cell r="AO319">
            <v>0</v>
          </cell>
          <cell r="AP319">
            <v>0</v>
          </cell>
          <cell r="AQ319">
            <v>1217.8800000000001</v>
          </cell>
          <cell r="AR319">
            <v>0</v>
          </cell>
          <cell r="AS319">
            <v>0</v>
          </cell>
          <cell r="AT319">
            <v>0</v>
          </cell>
          <cell r="AU319">
            <v>0</v>
          </cell>
        </row>
        <row r="320">
          <cell r="A320" t="str">
            <v>000A1459</v>
          </cell>
          <cell r="B320" t="str">
            <v>LEMOINE</v>
          </cell>
          <cell r="C320" t="str">
            <v>AGNES</v>
          </cell>
          <cell r="D320" t="str">
            <v>LYON CATN</v>
          </cell>
          <cell r="E320">
            <v>61</v>
          </cell>
          <cell r="F320" t="str">
            <v>NC NUMERICABLE RHONES-ALPES</v>
          </cell>
          <cell r="G320" t="str">
            <v>CATN 2EME LIGNE</v>
          </cell>
          <cell r="H320" t="str">
            <v>RAYMOND</v>
          </cell>
          <cell r="I320" t="str">
            <v>CLIE411001</v>
          </cell>
          <cell r="J320">
            <v>100</v>
          </cell>
          <cell r="K320">
            <v>38749</v>
          </cell>
          <cell r="L320" t="str">
            <v>GESTION RACCORDEMENT</v>
          </cell>
          <cell r="M320" t="str">
            <v>633B</v>
          </cell>
          <cell r="N320" t="str">
            <v>C</v>
          </cell>
          <cell r="O320" t="str">
            <v>CDD</v>
          </cell>
          <cell r="P320">
            <v>151.57</v>
          </cell>
          <cell r="Q320">
            <v>1800</v>
          </cell>
          <cell r="R320">
            <v>927.31</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187.38</v>
          </cell>
          <cell r="AO320">
            <v>0</v>
          </cell>
          <cell r="AP320">
            <v>0</v>
          </cell>
          <cell r="AQ320">
            <v>1740</v>
          </cell>
          <cell r="AR320">
            <v>0</v>
          </cell>
          <cell r="AS320">
            <v>0</v>
          </cell>
          <cell r="AT320">
            <v>0</v>
          </cell>
          <cell r="AU320">
            <v>0</v>
          </cell>
        </row>
        <row r="321">
          <cell r="A321" t="str">
            <v>000A1232</v>
          </cell>
          <cell r="B321" t="str">
            <v>LAGUEREMA</v>
          </cell>
          <cell r="C321" t="str">
            <v>RODRIGUE</v>
          </cell>
          <cell r="D321" t="str">
            <v>LYON GARIBALDI</v>
          </cell>
          <cell r="E321">
            <v>91</v>
          </cell>
          <cell r="F321" t="str">
            <v>NC NUMERICABLE ILE-DE-FRANCE</v>
          </cell>
          <cell r="G321" t="str">
            <v>VAD ANIMATEURS</v>
          </cell>
          <cell r="H321" t="str">
            <v>SILVESTRE</v>
          </cell>
          <cell r="I321" t="str">
            <v>RHON500001</v>
          </cell>
          <cell r="J321">
            <v>100</v>
          </cell>
          <cell r="K321">
            <v>38651</v>
          </cell>
          <cell r="L321" t="str">
            <v>ANIMATEUR COM.</v>
          </cell>
          <cell r="M321" t="str">
            <v>CADRE</v>
          </cell>
          <cell r="N321" t="str">
            <v>DB</v>
          </cell>
          <cell r="O321" t="str">
            <v>CDI</v>
          </cell>
          <cell r="P321">
            <v>151.57</v>
          </cell>
          <cell r="Q321">
            <v>1800</v>
          </cell>
          <cell r="R321">
            <v>1453.42</v>
          </cell>
          <cell r="S321">
            <v>0</v>
          </cell>
          <cell r="T321">
            <v>900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290.77</v>
          </cell>
          <cell r="AO321">
            <v>0</v>
          </cell>
          <cell r="AP321">
            <v>0</v>
          </cell>
          <cell r="AQ321">
            <v>1800</v>
          </cell>
          <cell r="AR321">
            <v>0</v>
          </cell>
          <cell r="AS321">
            <v>0</v>
          </cell>
          <cell r="AT321">
            <v>0</v>
          </cell>
          <cell r="AU321">
            <v>0</v>
          </cell>
        </row>
        <row r="322">
          <cell r="A322" t="str">
            <v>000A1724</v>
          </cell>
          <cell r="B322" t="str">
            <v>AMMOURA</v>
          </cell>
          <cell r="C322" t="str">
            <v>JOHANNA</v>
          </cell>
          <cell r="D322" t="str">
            <v>NANTES</v>
          </cell>
          <cell r="E322">
            <v>91</v>
          </cell>
          <cell r="F322" t="str">
            <v>NC NUMERICABLE ILE-DE-FRANCE</v>
          </cell>
          <cell r="G322" t="str">
            <v>VAD CONSEILLERS</v>
          </cell>
          <cell r="H322" t="str">
            <v>JAUD</v>
          </cell>
          <cell r="I322" t="str">
            <v>OUES500001</v>
          </cell>
          <cell r="J322">
            <v>100</v>
          </cell>
          <cell r="K322">
            <v>38810</v>
          </cell>
          <cell r="L322" t="str">
            <v>CONSEILLER(E) COM.</v>
          </cell>
          <cell r="M322" t="str">
            <v>TSM</v>
          </cell>
          <cell r="N322" t="str">
            <v>D</v>
          </cell>
          <cell r="O322" t="str">
            <v>CDI</v>
          </cell>
          <cell r="P322">
            <v>151.57</v>
          </cell>
          <cell r="Q322">
            <v>0</v>
          </cell>
          <cell r="R322">
            <v>321.76</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1136.69</v>
          </cell>
          <cell r="AR322">
            <v>0</v>
          </cell>
          <cell r="AS322">
            <v>0</v>
          </cell>
          <cell r="AT322">
            <v>0</v>
          </cell>
          <cell r="AU322">
            <v>0</v>
          </cell>
        </row>
        <row r="323">
          <cell r="A323" t="str">
            <v>000A1645</v>
          </cell>
          <cell r="B323" t="str">
            <v>BAYART</v>
          </cell>
          <cell r="C323" t="str">
            <v>BENJAMIN</v>
          </cell>
          <cell r="D323" t="str">
            <v>SIEGE</v>
          </cell>
          <cell r="E323">
            <v>91</v>
          </cell>
          <cell r="F323" t="str">
            <v>NC NUMERICABLE ILE-DE-FRANCE</v>
          </cell>
          <cell r="G323" t="str">
            <v>PORTAIL</v>
          </cell>
          <cell r="I323" t="str">
            <v>GENE620001</v>
          </cell>
          <cell r="J323">
            <v>100</v>
          </cell>
          <cell r="K323">
            <v>38772</v>
          </cell>
          <cell r="L323" t="str">
            <v>CHEF DE PROJET</v>
          </cell>
          <cell r="M323" t="str">
            <v>CADRE</v>
          </cell>
          <cell r="N323" t="str">
            <v>E</v>
          </cell>
          <cell r="O323" t="str">
            <v>CDI</v>
          </cell>
          <cell r="P323">
            <v>151.57</v>
          </cell>
          <cell r="Q323">
            <v>0</v>
          </cell>
          <cell r="R323">
            <v>2206.5500000000002</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1020.08</v>
          </cell>
          <cell r="AO323">
            <v>23.61</v>
          </cell>
          <cell r="AP323">
            <v>0</v>
          </cell>
          <cell r="AQ323">
            <v>3819.44</v>
          </cell>
          <cell r="AR323">
            <v>0</v>
          </cell>
          <cell r="AS323">
            <v>0</v>
          </cell>
          <cell r="AT323">
            <v>0</v>
          </cell>
          <cell r="AU323">
            <v>0</v>
          </cell>
        </row>
        <row r="324">
          <cell r="A324" t="str">
            <v>000A1373</v>
          </cell>
          <cell r="B324" t="str">
            <v>JEAN</v>
          </cell>
          <cell r="C324" t="str">
            <v>MICKAEL</v>
          </cell>
          <cell r="D324" t="str">
            <v>TOULOUSE</v>
          </cell>
          <cell r="E324">
            <v>91</v>
          </cell>
          <cell r="F324" t="str">
            <v>NC NUMERICABLE ILE-DE-FRANCE</v>
          </cell>
          <cell r="G324" t="str">
            <v>VAD CONSEILLERS</v>
          </cell>
          <cell r="H324" t="str">
            <v>GALERA</v>
          </cell>
          <cell r="I324" t="str">
            <v>SUOU500001</v>
          </cell>
          <cell r="J324">
            <v>100</v>
          </cell>
          <cell r="K324">
            <v>38726</v>
          </cell>
          <cell r="L324" t="str">
            <v>CONSEILLER(E) COM.</v>
          </cell>
          <cell r="M324" t="str">
            <v>TSM</v>
          </cell>
          <cell r="N324" t="str">
            <v>D</v>
          </cell>
          <cell r="O324" t="str">
            <v>CDI</v>
          </cell>
          <cell r="P324">
            <v>151.57</v>
          </cell>
          <cell r="Q324">
            <v>1217.8800000000001</v>
          </cell>
          <cell r="R324">
            <v>429.77</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131.16</v>
          </cell>
          <cell r="AO324">
            <v>0</v>
          </cell>
          <cell r="AP324">
            <v>0</v>
          </cell>
          <cell r="AQ324">
            <v>1217.8800000000001</v>
          </cell>
          <cell r="AR324">
            <v>0</v>
          </cell>
          <cell r="AS324">
            <v>0</v>
          </cell>
          <cell r="AT324">
            <v>0</v>
          </cell>
          <cell r="AU324">
            <v>0</v>
          </cell>
        </row>
        <row r="325">
          <cell r="A325" t="str">
            <v>000A1570</v>
          </cell>
          <cell r="B325" t="str">
            <v>CHAVANA</v>
          </cell>
          <cell r="C325" t="str">
            <v>BORIS</v>
          </cell>
          <cell r="D325" t="str">
            <v>TOULOUSE</v>
          </cell>
          <cell r="E325">
            <v>91</v>
          </cell>
          <cell r="F325" t="str">
            <v>NC NUMERICABLE ILE-DE-FRANCE</v>
          </cell>
          <cell r="G325" t="str">
            <v>VAD CONSEILLERS</v>
          </cell>
          <cell r="H325" t="str">
            <v>GALERA</v>
          </cell>
          <cell r="I325" t="str">
            <v>SUOU500001</v>
          </cell>
          <cell r="J325">
            <v>100</v>
          </cell>
          <cell r="K325">
            <v>38768</v>
          </cell>
          <cell r="L325" t="str">
            <v>CONSEILLER(E) COM.</v>
          </cell>
          <cell r="M325" t="str">
            <v>TSM</v>
          </cell>
          <cell r="N325" t="str">
            <v>D</v>
          </cell>
          <cell r="O325" t="str">
            <v>CDI</v>
          </cell>
          <cell r="P325">
            <v>151.57</v>
          </cell>
          <cell r="Q325">
            <v>0</v>
          </cell>
          <cell r="R325">
            <v>542.17999999999995</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322.52</v>
          </cell>
          <cell r="AO325">
            <v>0</v>
          </cell>
          <cell r="AP325">
            <v>0</v>
          </cell>
          <cell r="AQ325">
            <v>1217.8800000000001</v>
          </cell>
          <cell r="AR325">
            <v>0</v>
          </cell>
          <cell r="AS325">
            <v>0</v>
          </cell>
          <cell r="AT325">
            <v>0</v>
          </cell>
          <cell r="AU325">
            <v>0</v>
          </cell>
        </row>
        <row r="326">
          <cell r="A326" t="str">
            <v>000A1330</v>
          </cell>
          <cell r="B326" t="str">
            <v>MONIEZ</v>
          </cell>
          <cell r="C326" t="str">
            <v>CELINE</v>
          </cell>
          <cell r="D326" t="str">
            <v>SIEGE</v>
          </cell>
          <cell r="E326">
            <v>91</v>
          </cell>
          <cell r="F326" t="str">
            <v>NC NUMERICABLE ILE-DE-FRANCE</v>
          </cell>
          <cell r="G326" t="str">
            <v>MARKETING</v>
          </cell>
          <cell r="H326" t="str">
            <v>VINEL</v>
          </cell>
          <cell r="I326" t="str">
            <v>GENE546001</v>
          </cell>
          <cell r="J326">
            <v>100</v>
          </cell>
          <cell r="K326">
            <v>38684</v>
          </cell>
          <cell r="L326" t="str">
            <v>CHEF DE PRODUIT</v>
          </cell>
          <cell r="M326" t="str">
            <v>CADRE</v>
          </cell>
          <cell r="N326" t="str">
            <v>E</v>
          </cell>
          <cell r="O326" t="str">
            <v>CDI</v>
          </cell>
          <cell r="P326">
            <v>151.57</v>
          </cell>
          <cell r="Q326">
            <v>2900</v>
          </cell>
          <cell r="R326">
            <v>1456.72</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312.31</v>
          </cell>
          <cell r="AO326">
            <v>38.68</v>
          </cell>
          <cell r="AP326">
            <v>0</v>
          </cell>
          <cell r="AQ326">
            <v>2900</v>
          </cell>
          <cell r="AR326">
            <v>0</v>
          </cell>
          <cell r="AS326">
            <v>0</v>
          </cell>
          <cell r="AT326">
            <v>0</v>
          </cell>
          <cell r="AU326">
            <v>0</v>
          </cell>
        </row>
        <row r="327">
          <cell r="A327" t="str">
            <v>000A1455</v>
          </cell>
          <cell r="B327" t="str">
            <v>ESPOSITO</v>
          </cell>
          <cell r="C327" t="str">
            <v>MICHEL</v>
          </cell>
          <cell r="D327" t="str">
            <v>MARSEILLE</v>
          </cell>
          <cell r="E327">
            <v>91</v>
          </cell>
          <cell r="F327" t="str">
            <v>NC NUMERICABLE ILE-DE-FRANCE</v>
          </cell>
          <cell r="G327" t="str">
            <v>VAD CONSEILLERS</v>
          </cell>
          <cell r="H327" t="str">
            <v>VIVIN</v>
          </cell>
          <cell r="I327" t="str">
            <v>SUES500001</v>
          </cell>
          <cell r="J327">
            <v>100</v>
          </cell>
          <cell r="K327">
            <v>38754</v>
          </cell>
          <cell r="L327" t="str">
            <v>CONSEILLER(E) COM.</v>
          </cell>
          <cell r="M327" t="str">
            <v>TSM</v>
          </cell>
          <cell r="N327" t="str">
            <v>D</v>
          </cell>
          <cell r="O327" t="str">
            <v>CDI</v>
          </cell>
          <cell r="P327">
            <v>151.57</v>
          </cell>
          <cell r="Q327">
            <v>1217.8800000000001</v>
          </cell>
          <cell r="R327">
            <v>622.78</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468.53</v>
          </cell>
          <cell r="AO327">
            <v>0</v>
          </cell>
          <cell r="AP327">
            <v>0</v>
          </cell>
          <cell r="AQ327">
            <v>1217.8800000000001</v>
          </cell>
          <cell r="AR327">
            <v>0</v>
          </cell>
          <cell r="AS327">
            <v>0</v>
          </cell>
          <cell r="AT327">
            <v>0</v>
          </cell>
          <cell r="AU327">
            <v>0</v>
          </cell>
        </row>
        <row r="328">
          <cell r="A328" t="str">
            <v>000A0995</v>
          </cell>
          <cell r="B328" t="str">
            <v>EGAL</v>
          </cell>
          <cell r="C328" t="str">
            <v>VINCENT</v>
          </cell>
          <cell r="D328" t="str">
            <v>VANVES</v>
          </cell>
          <cell r="E328">
            <v>91</v>
          </cell>
          <cell r="F328" t="str">
            <v>NC NUMERICABLE ILE-DE-FRANCE</v>
          </cell>
          <cell r="G328" t="str">
            <v>NMC ADMIN</v>
          </cell>
          <cell r="H328" t="str">
            <v>DELEBARRE JL</v>
          </cell>
          <cell r="I328" t="str">
            <v>GENE306001</v>
          </cell>
          <cell r="J328">
            <v>100</v>
          </cell>
          <cell r="K328">
            <v>38001</v>
          </cell>
          <cell r="L328" t="str">
            <v>CHEF PRJT BACKBONE</v>
          </cell>
          <cell r="M328" t="str">
            <v>CADRE</v>
          </cell>
          <cell r="N328" t="str">
            <v>E</v>
          </cell>
          <cell r="O328" t="str">
            <v>CDI</v>
          </cell>
          <cell r="P328">
            <v>151.57</v>
          </cell>
          <cell r="Q328">
            <v>4500</v>
          </cell>
          <cell r="R328">
            <v>1940.47</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489.3</v>
          </cell>
          <cell r="AO328">
            <v>23.61</v>
          </cell>
          <cell r="AP328">
            <v>0</v>
          </cell>
          <cell r="AQ328">
            <v>3877.02</v>
          </cell>
          <cell r="AR328">
            <v>0</v>
          </cell>
          <cell r="AS328">
            <v>0</v>
          </cell>
          <cell r="AT328">
            <v>0</v>
          </cell>
          <cell r="AU328">
            <v>0</v>
          </cell>
        </row>
        <row r="329">
          <cell r="A329" t="str">
            <v>000A1583</v>
          </cell>
          <cell r="B329" t="str">
            <v>WOUCTERS</v>
          </cell>
          <cell r="C329" t="str">
            <v>PIERRE</v>
          </cell>
          <cell r="D329" t="str">
            <v>NICE</v>
          </cell>
          <cell r="E329">
            <v>91</v>
          </cell>
          <cell r="F329" t="str">
            <v>NC NUMERICABLE ILE-DE-FRANCE</v>
          </cell>
          <cell r="G329" t="str">
            <v>VAD CONSEILLERS</v>
          </cell>
          <cell r="H329" t="str">
            <v>VIVIN</v>
          </cell>
          <cell r="I329" t="str">
            <v>SUES500001</v>
          </cell>
          <cell r="J329">
            <v>100</v>
          </cell>
          <cell r="K329">
            <v>38775</v>
          </cell>
          <cell r="L329" t="str">
            <v>CONSEILLER(E) COM.</v>
          </cell>
          <cell r="M329" t="str">
            <v>TSM</v>
          </cell>
          <cell r="N329" t="str">
            <v>D</v>
          </cell>
          <cell r="O329" t="str">
            <v>CDI</v>
          </cell>
          <cell r="P329">
            <v>151.57</v>
          </cell>
          <cell r="Q329">
            <v>0</v>
          </cell>
          <cell r="R329">
            <v>518.6</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279.8</v>
          </cell>
          <cell r="AO329">
            <v>0</v>
          </cell>
          <cell r="AP329">
            <v>0</v>
          </cell>
          <cell r="AQ329">
            <v>1217.8800000000001</v>
          </cell>
          <cell r="AR329">
            <v>0</v>
          </cell>
          <cell r="AS329">
            <v>0</v>
          </cell>
          <cell r="AT329">
            <v>0</v>
          </cell>
          <cell r="AU329">
            <v>0</v>
          </cell>
        </row>
        <row r="330">
          <cell r="A330" t="str">
            <v>000A1351</v>
          </cell>
          <cell r="B330" t="str">
            <v>CHARLERY</v>
          </cell>
          <cell r="C330" t="str">
            <v>FREDERICK</v>
          </cell>
          <cell r="D330" t="str">
            <v>MARSEILLE</v>
          </cell>
          <cell r="E330">
            <v>91</v>
          </cell>
          <cell r="F330" t="str">
            <v>NC NUMERICABLE ILE-DE-FRANCE</v>
          </cell>
          <cell r="G330" t="str">
            <v>VAD CONSEILLERS</v>
          </cell>
          <cell r="H330" t="str">
            <v>HAIOUN</v>
          </cell>
          <cell r="I330" t="str">
            <v>SUES500001</v>
          </cell>
          <cell r="J330">
            <v>100</v>
          </cell>
          <cell r="K330">
            <v>38698</v>
          </cell>
          <cell r="L330" t="str">
            <v>CONSEILLER(E) COM.</v>
          </cell>
          <cell r="M330" t="str">
            <v>TSM</v>
          </cell>
          <cell r="N330" t="str">
            <v>D</v>
          </cell>
          <cell r="O330" t="str">
            <v>CDI</v>
          </cell>
          <cell r="P330">
            <v>151.57</v>
          </cell>
          <cell r="Q330">
            <v>1217.8800000000001</v>
          </cell>
          <cell r="R330">
            <v>628.52</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131.16</v>
          </cell>
          <cell r="AO330">
            <v>0</v>
          </cell>
          <cell r="AP330">
            <v>0</v>
          </cell>
          <cell r="AQ330">
            <v>1217.8800000000001</v>
          </cell>
          <cell r="AR330">
            <v>0</v>
          </cell>
          <cell r="AS330">
            <v>0</v>
          </cell>
          <cell r="AT330">
            <v>0</v>
          </cell>
          <cell r="AU330">
            <v>0</v>
          </cell>
        </row>
        <row r="331">
          <cell r="A331" t="str">
            <v>000A1726</v>
          </cell>
          <cell r="B331" t="str">
            <v>MELLER</v>
          </cell>
          <cell r="C331" t="str">
            <v>MARIE CHRISTELLE</v>
          </cell>
          <cell r="D331" t="str">
            <v>BAB</v>
          </cell>
          <cell r="E331">
            <v>91</v>
          </cell>
          <cell r="F331" t="str">
            <v>NC NUMERICABLE ILE-DE-FRANCE</v>
          </cell>
          <cell r="G331" t="str">
            <v>VAD CONSEILLERS</v>
          </cell>
          <cell r="H331" t="str">
            <v>GALERA</v>
          </cell>
          <cell r="I331" t="str">
            <v>SUOU500001</v>
          </cell>
          <cell r="J331">
            <v>100</v>
          </cell>
          <cell r="K331">
            <v>38831</v>
          </cell>
          <cell r="L331" t="str">
            <v>CONSEILLER(E) COM.</v>
          </cell>
          <cell r="M331" t="str">
            <v>TSM</v>
          </cell>
          <cell r="N331" t="str">
            <v>D</v>
          </cell>
          <cell r="O331" t="str">
            <v>CDI</v>
          </cell>
          <cell r="P331">
            <v>151.57</v>
          </cell>
          <cell r="Q331">
            <v>0</v>
          </cell>
          <cell r="R331">
            <v>123.34</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284.17</v>
          </cell>
          <cell r="AR331">
            <v>0</v>
          </cell>
          <cell r="AS331">
            <v>0</v>
          </cell>
          <cell r="AT331">
            <v>0</v>
          </cell>
          <cell r="AU331">
            <v>0</v>
          </cell>
        </row>
        <row r="332">
          <cell r="A332" t="str">
            <v>000A1113</v>
          </cell>
          <cell r="B332" t="str">
            <v>PIERALLI</v>
          </cell>
          <cell r="C332" t="str">
            <v>JEREMY</v>
          </cell>
          <cell r="D332" t="str">
            <v>BASTIA</v>
          </cell>
          <cell r="E332">
            <v>91</v>
          </cell>
          <cell r="F332" t="str">
            <v>NC NUMERICABLE ILE-DE-FRANCE</v>
          </cell>
          <cell r="G332" t="str">
            <v>VAD CONSEILLERS</v>
          </cell>
          <cell r="H332" t="str">
            <v>ALBERTINI</v>
          </cell>
          <cell r="I332" t="str">
            <v>SUES500001</v>
          </cell>
          <cell r="J332">
            <v>100</v>
          </cell>
          <cell r="K332">
            <v>38642</v>
          </cell>
          <cell r="L332" t="str">
            <v>CONSEILLER(E) COM.</v>
          </cell>
          <cell r="M332" t="str">
            <v>TSM</v>
          </cell>
          <cell r="N332" t="str">
            <v>D</v>
          </cell>
          <cell r="O332" t="str">
            <v>CDI</v>
          </cell>
          <cell r="P332">
            <v>151.57</v>
          </cell>
          <cell r="Q332">
            <v>1217.8800000000001</v>
          </cell>
          <cell r="R332">
            <v>555.26</v>
          </cell>
          <cell r="S332">
            <v>0</v>
          </cell>
          <cell r="T332">
            <v>150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147.30000000000001</v>
          </cell>
          <cell r="AO332">
            <v>0</v>
          </cell>
          <cell r="AP332">
            <v>0</v>
          </cell>
          <cell r="AQ332">
            <v>1217.8800000000001</v>
          </cell>
          <cell r="AR332">
            <v>0</v>
          </cell>
          <cell r="AS332">
            <v>0</v>
          </cell>
          <cell r="AT332">
            <v>0</v>
          </cell>
          <cell r="AU332">
            <v>0</v>
          </cell>
        </row>
        <row r="333">
          <cell r="A333" t="str">
            <v>000A1666</v>
          </cell>
          <cell r="B333" t="str">
            <v>FIRAOUI</v>
          </cell>
          <cell r="C333" t="str">
            <v>REDOUANE</v>
          </cell>
          <cell r="D333" t="str">
            <v>SIEGE</v>
          </cell>
          <cell r="E333">
            <v>91</v>
          </cell>
          <cell r="F333" t="str">
            <v>NC NUMERICABLE ILE-DE-FRANCE</v>
          </cell>
          <cell r="G333" t="str">
            <v>VAD CONSEILLERS</v>
          </cell>
          <cell r="H333" t="str">
            <v>ZERFAINE</v>
          </cell>
          <cell r="I333" t="str">
            <v>IDFR500001</v>
          </cell>
          <cell r="J333">
            <v>100</v>
          </cell>
          <cell r="K333">
            <v>38790</v>
          </cell>
          <cell r="L333" t="str">
            <v>CONSEILLER(E) COM.</v>
          </cell>
          <cell r="M333" t="str">
            <v>TSM</v>
          </cell>
          <cell r="N333" t="str">
            <v>D</v>
          </cell>
          <cell r="O333" t="str">
            <v>CDI</v>
          </cell>
          <cell r="P333">
            <v>151.57</v>
          </cell>
          <cell r="Q333">
            <v>0</v>
          </cell>
          <cell r="R333">
            <v>53.8</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121.79</v>
          </cell>
          <cell r="AR333">
            <v>0</v>
          </cell>
          <cell r="AS333">
            <v>0</v>
          </cell>
          <cell r="AT333">
            <v>0</v>
          </cell>
          <cell r="AU333">
            <v>0</v>
          </cell>
        </row>
        <row r="334">
          <cell r="A334" t="str">
            <v>000A1727</v>
          </cell>
          <cell r="B334" t="str">
            <v>TARIS</v>
          </cell>
          <cell r="C334" t="str">
            <v>AUDREY</v>
          </cell>
          <cell r="D334" t="str">
            <v>BAB</v>
          </cell>
          <cell r="E334">
            <v>91</v>
          </cell>
          <cell r="F334" t="str">
            <v>NC NUMERICABLE ILE-DE-FRANCE</v>
          </cell>
          <cell r="G334" t="str">
            <v>VAD CONSEILLERS</v>
          </cell>
          <cell r="H334" t="str">
            <v>GALERA</v>
          </cell>
          <cell r="I334" t="str">
            <v>SUOU500001</v>
          </cell>
          <cell r="J334">
            <v>100</v>
          </cell>
          <cell r="K334">
            <v>38831</v>
          </cell>
          <cell r="L334" t="str">
            <v>CONSEILLER(E) COM.</v>
          </cell>
          <cell r="M334" t="str">
            <v>TSM</v>
          </cell>
          <cell r="N334" t="str">
            <v>D</v>
          </cell>
          <cell r="O334" t="str">
            <v>CDI</v>
          </cell>
          <cell r="P334">
            <v>151.57</v>
          </cell>
          <cell r="Q334">
            <v>0</v>
          </cell>
          <cell r="R334">
            <v>123.34</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284.17</v>
          </cell>
          <cell r="AR334">
            <v>0</v>
          </cell>
          <cell r="AS334">
            <v>0</v>
          </cell>
          <cell r="AT334">
            <v>0</v>
          </cell>
          <cell r="AU334">
            <v>0</v>
          </cell>
        </row>
        <row r="335">
          <cell r="A335" t="str">
            <v>000A1315</v>
          </cell>
          <cell r="B335" t="str">
            <v>SOETAERT</v>
          </cell>
          <cell r="C335" t="str">
            <v>THIERRY</v>
          </cell>
          <cell r="D335" t="str">
            <v>SIEGE</v>
          </cell>
          <cell r="E335">
            <v>91</v>
          </cell>
          <cell r="F335" t="str">
            <v>NC NUMERICABLE ILE-DE-FRANCE</v>
          </cell>
          <cell r="G335" t="str">
            <v>VAD CONSEILLERS</v>
          </cell>
          <cell r="H335" t="str">
            <v>ZERFAINE</v>
          </cell>
          <cell r="I335" t="str">
            <v>IDFR500001</v>
          </cell>
          <cell r="J335">
            <v>100</v>
          </cell>
          <cell r="K335">
            <v>38748</v>
          </cell>
          <cell r="L335" t="str">
            <v>CONSEILLER(E) COM.</v>
          </cell>
          <cell r="M335" t="str">
            <v>TSM</v>
          </cell>
          <cell r="N335" t="str">
            <v>D</v>
          </cell>
          <cell r="O335" t="str">
            <v>CDI</v>
          </cell>
          <cell r="P335">
            <v>151.57</v>
          </cell>
          <cell r="Q335">
            <v>1258.48</v>
          </cell>
          <cell r="R335">
            <v>1201.43</v>
          </cell>
          <cell r="S335">
            <v>0</v>
          </cell>
          <cell r="T335">
            <v>1900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335.77</v>
          </cell>
          <cell r="AO335">
            <v>0</v>
          </cell>
          <cell r="AP335">
            <v>0</v>
          </cell>
          <cell r="AQ335">
            <v>1217.8800000000001</v>
          </cell>
          <cell r="AR335">
            <v>0</v>
          </cell>
          <cell r="AS335">
            <v>0</v>
          </cell>
          <cell r="AT335">
            <v>0</v>
          </cell>
          <cell r="AU335">
            <v>0</v>
          </cell>
        </row>
        <row r="336">
          <cell r="A336" t="str">
            <v>000A1284</v>
          </cell>
          <cell r="B336" t="str">
            <v>FLAICHER</v>
          </cell>
          <cell r="C336" t="str">
            <v>FRANCOIS</v>
          </cell>
          <cell r="D336" t="str">
            <v>BORDEAUX</v>
          </cell>
          <cell r="E336">
            <v>91</v>
          </cell>
          <cell r="F336" t="str">
            <v>NC NUMERICABLE ILE-DE-FRANCE</v>
          </cell>
          <cell r="G336" t="str">
            <v>VAD ANIMATEURS</v>
          </cell>
          <cell r="H336" t="str">
            <v>COMINARDI</v>
          </cell>
          <cell r="I336" t="str">
            <v>SUOU500001</v>
          </cell>
          <cell r="J336">
            <v>100</v>
          </cell>
          <cell r="K336">
            <v>38677</v>
          </cell>
          <cell r="L336" t="str">
            <v>ANIMATEUR COM.</v>
          </cell>
          <cell r="M336" t="str">
            <v>CADRE</v>
          </cell>
          <cell r="N336" t="str">
            <v>DB</v>
          </cell>
          <cell r="O336" t="str">
            <v>CDI</v>
          </cell>
          <cell r="P336">
            <v>151.57</v>
          </cell>
          <cell r="Q336">
            <v>2634.37</v>
          </cell>
          <cell r="R336">
            <v>825.7</v>
          </cell>
          <cell r="S336">
            <v>0</v>
          </cell>
          <cell r="T336">
            <v>500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247.7</v>
          </cell>
          <cell r="AO336">
            <v>0</v>
          </cell>
          <cell r="AP336">
            <v>0</v>
          </cell>
          <cell r="AQ336">
            <v>1800</v>
          </cell>
          <cell r="AR336">
            <v>0</v>
          </cell>
          <cell r="AS336">
            <v>0</v>
          </cell>
          <cell r="AT336">
            <v>0</v>
          </cell>
          <cell r="AU336">
            <v>0</v>
          </cell>
        </row>
        <row r="337">
          <cell r="A337" t="str">
            <v>000A1712</v>
          </cell>
          <cell r="B337" t="str">
            <v>BRAMLI</v>
          </cell>
          <cell r="C337" t="str">
            <v>YANN</v>
          </cell>
          <cell r="D337" t="str">
            <v>SIEGE</v>
          </cell>
          <cell r="E337">
            <v>91</v>
          </cell>
          <cell r="F337" t="str">
            <v>NC NUMERICABLE ILE-DE-FRANCE</v>
          </cell>
          <cell r="G337" t="str">
            <v>VAD CONSEILLERS</v>
          </cell>
          <cell r="H337" t="str">
            <v>ZERFAINE</v>
          </cell>
          <cell r="I337" t="str">
            <v>IDFR500001</v>
          </cell>
          <cell r="J337">
            <v>100</v>
          </cell>
          <cell r="K337">
            <v>38825</v>
          </cell>
          <cell r="L337" t="str">
            <v>CONSEILLER(E) COM.</v>
          </cell>
          <cell r="M337" t="str">
            <v>TSM</v>
          </cell>
          <cell r="N337" t="str">
            <v>D</v>
          </cell>
          <cell r="O337" t="str">
            <v>CDI</v>
          </cell>
          <cell r="P337">
            <v>151.57</v>
          </cell>
          <cell r="Q337">
            <v>0</v>
          </cell>
          <cell r="R337">
            <v>173.86</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527.75</v>
          </cell>
          <cell r="AR337">
            <v>0</v>
          </cell>
          <cell r="AS337">
            <v>0</v>
          </cell>
          <cell r="AT337">
            <v>0</v>
          </cell>
          <cell r="AU337">
            <v>0</v>
          </cell>
        </row>
        <row r="338">
          <cell r="A338" t="str">
            <v>000A1372</v>
          </cell>
          <cell r="B338" t="str">
            <v>BESNARD</v>
          </cell>
          <cell r="C338" t="str">
            <v>BORIS</v>
          </cell>
          <cell r="D338" t="str">
            <v>RENNES</v>
          </cell>
          <cell r="E338">
            <v>91</v>
          </cell>
          <cell r="F338" t="str">
            <v>NC NUMERICABLE ILE-DE-FRANCE</v>
          </cell>
          <cell r="G338" t="str">
            <v>VAD CONSEILLERS</v>
          </cell>
          <cell r="H338" t="str">
            <v>DIGUE</v>
          </cell>
          <cell r="I338" t="str">
            <v>OUES500001</v>
          </cell>
          <cell r="J338">
            <v>100</v>
          </cell>
          <cell r="K338">
            <v>38684</v>
          </cell>
          <cell r="L338" t="str">
            <v>CONSEILLER(E) COM.</v>
          </cell>
          <cell r="M338" t="str">
            <v>TSM</v>
          </cell>
          <cell r="N338" t="str">
            <v>D</v>
          </cell>
          <cell r="O338" t="str">
            <v>CDI</v>
          </cell>
          <cell r="P338">
            <v>151.57</v>
          </cell>
          <cell r="Q338">
            <v>1217.8800000000001</v>
          </cell>
          <cell r="R338">
            <v>1142.1400000000001</v>
          </cell>
          <cell r="S338">
            <v>0</v>
          </cell>
          <cell r="T338">
            <v>1700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314.23</v>
          </cell>
          <cell r="AO338">
            <v>0</v>
          </cell>
          <cell r="AP338">
            <v>0</v>
          </cell>
          <cell r="AQ338">
            <v>1217.8800000000001</v>
          </cell>
          <cell r="AR338">
            <v>0</v>
          </cell>
          <cell r="AS338">
            <v>0</v>
          </cell>
          <cell r="AT338">
            <v>0</v>
          </cell>
          <cell r="AU338">
            <v>0</v>
          </cell>
        </row>
        <row r="339">
          <cell r="A339" t="str">
            <v>000A1559</v>
          </cell>
          <cell r="B339" t="str">
            <v>FOUCHER</v>
          </cell>
          <cell r="C339" t="str">
            <v>ARNOLD</v>
          </cell>
          <cell r="D339" t="str">
            <v>LYON GARIBALDI</v>
          </cell>
          <cell r="E339">
            <v>66</v>
          </cell>
          <cell r="F339" t="str">
            <v>NC NUMERICABLE LYON</v>
          </cell>
          <cell r="G339" t="str">
            <v>RACCORDEMENT IMMOB.</v>
          </cell>
          <cell r="H339" t="str">
            <v>FONTAINE T</v>
          </cell>
          <cell r="I339" t="str">
            <v>RHON302001</v>
          </cell>
          <cell r="J339">
            <v>100</v>
          </cell>
          <cell r="K339">
            <v>38720</v>
          </cell>
          <cell r="L339" t="str">
            <v>GEST.DONN.NIV.2</v>
          </cell>
          <cell r="M339" t="str">
            <v>TSM</v>
          </cell>
          <cell r="N339" t="str">
            <v>D</v>
          </cell>
          <cell r="O339" t="str">
            <v>CDD</v>
          </cell>
          <cell r="P339">
            <v>151.57</v>
          </cell>
          <cell r="Q339">
            <v>1666.67</v>
          </cell>
          <cell r="R339">
            <v>832.02</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179.48</v>
          </cell>
          <cell r="AO339">
            <v>0</v>
          </cell>
          <cell r="AP339">
            <v>0</v>
          </cell>
          <cell r="AQ339">
            <v>1666.67</v>
          </cell>
          <cell r="AR339">
            <v>0</v>
          </cell>
          <cell r="AS339">
            <v>0</v>
          </cell>
          <cell r="AT339">
            <v>0</v>
          </cell>
          <cell r="AU339">
            <v>0</v>
          </cell>
        </row>
        <row r="340">
          <cell r="A340" t="str">
            <v>000A1338</v>
          </cell>
          <cell r="B340" t="str">
            <v>LAFORET</v>
          </cell>
          <cell r="C340" t="str">
            <v>SEBASTIEN</v>
          </cell>
          <cell r="D340" t="str">
            <v>NANCY</v>
          </cell>
          <cell r="E340">
            <v>91</v>
          </cell>
          <cell r="F340" t="str">
            <v>NC NUMERICABLE ILE-DE-FRANCE</v>
          </cell>
          <cell r="G340" t="str">
            <v>VAD ANIMATEURS</v>
          </cell>
          <cell r="H340" t="str">
            <v>BAUER V</v>
          </cell>
          <cell r="I340" t="str">
            <v>ESTR500001</v>
          </cell>
          <cell r="J340">
            <v>100</v>
          </cell>
          <cell r="K340">
            <v>38693</v>
          </cell>
          <cell r="L340" t="str">
            <v>ANIMATEUR COM.</v>
          </cell>
          <cell r="M340" t="str">
            <v>CADRE</v>
          </cell>
          <cell r="N340" t="str">
            <v>DB</v>
          </cell>
          <cell r="O340" t="str">
            <v>CDI</v>
          </cell>
          <cell r="P340">
            <v>151.57</v>
          </cell>
          <cell r="Q340">
            <v>1800</v>
          </cell>
          <cell r="R340">
            <v>1656.11</v>
          </cell>
          <cell r="S340">
            <v>0</v>
          </cell>
          <cell r="T340">
            <v>1350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339.23</v>
          </cell>
          <cell r="AO340">
            <v>0</v>
          </cell>
          <cell r="AP340">
            <v>0</v>
          </cell>
          <cell r="AQ340">
            <v>1800</v>
          </cell>
          <cell r="AR340">
            <v>0</v>
          </cell>
          <cell r="AS340">
            <v>0</v>
          </cell>
          <cell r="AT340">
            <v>0</v>
          </cell>
          <cell r="AU340">
            <v>0</v>
          </cell>
        </row>
        <row r="341">
          <cell r="A341" t="str">
            <v>000A1195</v>
          </cell>
          <cell r="B341" t="str">
            <v>BERTRAND</v>
          </cell>
          <cell r="C341" t="str">
            <v>EDOUARD</v>
          </cell>
          <cell r="D341" t="str">
            <v>LYON GARIBALDI</v>
          </cell>
          <cell r="E341">
            <v>91</v>
          </cell>
          <cell r="F341" t="str">
            <v>NC NUMERICABLE ILE-DE-FRANCE</v>
          </cell>
          <cell r="G341" t="str">
            <v>VAD CONSEILLERS</v>
          </cell>
          <cell r="H341" t="str">
            <v>JAUNAY</v>
          </cell>
          <cell r="I341" t="str">
            <v>RHON500001</v>
          </cell>
          <cell r="J341">
            <v>100</v>
          </cell>
          <cell r="K341">
            <v>38651</v>
          </cell>
          <cell r="L341" t="str">
            <v>CONSEILLER(E) COM.</v>
          </cell>
          <cell r="M341" t="str">
            <v>TSM</v>
          </cell>
          <cell r="N341" t="str">
            <v>D</v>
          </cell>
          <cell r="O341" t="str">
            <v>CDI</v>
          </cell>
          <cell r="P341">
            <v>151.57</v>
          </cell>
          <cell r="Q341">
            <v>1217.8800000000001</v>
          </cell>
          <cell r="R341">
            <v>1439.03</v>
          </cell>
          <cell r="S341">
            <v>0</v>
          </cell>
          <cell r="T341">
            <v>2580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409</v>
          </cell>
          <cell r="AO341">
            <v>0</v>
          </cell>
          <cell r="AP341">
            <v>0</v>
          </cell>
          <cell r="AQ341">
            <v>1217.8800000000001</v>
          </cell>
          <cell r="AR341">
            <v>0</v>
          </cell>
          <cell r="AS341">
            <v>0</v>
          </cell>
          <cell r="AT341">
            <v>0</v>
          </cell>
          <cell r="AU341">
            <v>0</v>
          </cell>
        </row>
        <row r="342">
          <cell r="A342" t="str">
            <v>000A1392</v>
          </cell>
          <cell r="B342" t="str">
            <v>DEMEDEIROS</v>
          </cell>
          <cell r="C342" t="str">
            <v>IGNACIO</v>
          </cell>
          <cell r="D342" t="str">
            <v>SIEGE</v>
          </cell>
          <cell r="E342">
            <v>91</v>
          </cell>
          <cell r="F342" t="str">
            <v>NC NUMERICABLE ILE-DE-FRANCE</v>
          </cell>
          <cell r="G342" t="str">
            <v>VAD CONSEILLERS</v>
          </cell>
          <cell r="H342" t="str">
            <v>ZERFAINE</v>
          </cell>
          <cell r="I342" t="str">
            <v>IDFR500001</v>
          </cell>
          <cell r="J342">
            <v>100</v>
          </cell>
          <cell r="K342">
            <v>38721</v>
          </cell>
          <cell r="L342" t="str">
            <v>CONSEILLER(E) COM.</v>
          </cell>
          <cell r="M342" t="str">
            <v>TSM</v>
          </cell>
          <cell r="N342" t="str">
            <v>D</v>
          </cell>
          <cell r="O342" t="str">
            <v>CDI</v>
          </cell>
          <cell r="P342">
            <v>151.57</v>
          </cell>
          <cell r="Q342">
            <v>1217.8800000000001</v>
          </cell>
          <cell r="R342">
            <v>1339.61</v>
          </cell>
          <cell r="S342">
            <v>0</v>
          </cell>
          <cell r="T342">
            <v>2280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376.69</v>
          </cell>
          <cell r="AO342">
            <v>0</v>
          </cell>
          <cell r="AP342">
            <v>0</v>
          </cell>
          <cell r="AQ342">
            <v>1217.8800000000001</v>
          </cell>
          <cell r="AR342">
            <v>0</v>
          </cell>
          <cell r="AS342">
            <v>0</v>
          </cell>
          <cell r="AT342">
            <v>0</v>
          </cell>
          <cell r="AU342">
            <v>0</v>
          </cell>
        </row>
        <row r="343">
          <cell r="A343" t="str">
            <v>000A1310</v>
          </cell>
          <cell r="B343" t="str">
            <v>DOMINGUEZ</v>
          </cell>
          <cell r="C343" t="str">
            <v>LAURE</v>
          </cell>
          <cell r="D343" t="str">
            <v>MARSEILLE</v>
          </cell>
          <cell r="E343">
            <v>91</v>
          </cell>
          <cell r="F343" t="str">
            <v>NC NUMERICABLE ILE-DE-FRANCE</v>
          </cell>
          <cell r="G343" t="str">
            <v>VAD CONSEILLERS</v>
          </cell>
          <cell r="H343" t="str">
            <v>BELKHIR</v>
          </cell>
          <cell r="I343" t="str">
            <v>SUES500001</v>
          </cell>
          <cell r="J343">
            <v>100</v>
          </cell>
          <cell r="K343">
            <v>38691</v>
          </cell>
          <cell r="L343" t="str">
            <v>CONSEILLER(E) COM.</v>
          </cell>
          <cell r="M343" t="str">
            <v>TSM</v>
          </cell>
          <cell r="N343" t="str">
            <v>D</v>
          </cell>
          <cell r="O343" t="str">
            <v>CDI</v>
          </cell>
          <cell r="P343">
            <v>151.57</v>
          </cell>
          <cell r="Q343">
            <v>1217.8800000000001</v>
          </cell>
          <cell r="R343">
            <v>572.41999999999996</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131.15</v>
          </cell>
          <cell r="AO343">
            <v>0</v>
          </cell>
          <cell r="AP343">
            <v>0</v>
          </cell>
          <cell r="AQ343">
            <v>1217.8800000000001</v>
          </cell>
          <cell r="AR343">
            <v>0</v>
          </cell>
          <cell r="AS343">
            <v>0</v>
          </cell>
          <cell r="AT343">
            <v>0</v>
          </cell>
          <cell r="AU343">
            <v>0</v>
          </cell>
        </row>
        <row r="344">
          <cell r="A344">
            <v>9697</v>
          </cell>
          <cell r="B344" t="str">
            <v>STIEVENART</v>
          </cell>
          <cell r="C344" t="str">
            <v>PHILIPPE</v>
          </cell>
          <cell r="D344" t="str">
            <v>LA MADELEINE</v>
          </cell>
          <cell r="E344">
            <v>91</v>
          </cell>
          <cell r="F344" t="str">
            <v>NC NUMERICABLE ILE-DE-FRANCE</v>
          </cell>
          <cell r="G344" t="str">
            <v>MAINTENANCE RESEAU</v>
          </cell>
          <cell r="H344" t="str">
            <v>LOTT</v>
          </cell>
          <cell r="I344" t="str">
            <v>NPCA300001</v>
          </cell>
          <cell r="J344">
            <v>100</v>
          </cell>
          <cell r="K344">
            <v>33451</v>
          </cell>
          <cell r="L344" t="str">
            <v>RESP.TECH.EXPL.</v>
          </cell>
          <cell r="M344" t="str">
            <v>CADRE</v>
          </cell>
          <cell r="N344" t="str">
            <v>E</v>
          </cell>
          <cell r="O344" t="str">
            <v>CDI FRONTALIER</v>
          </cell>
          <cell r="P344">
            <v>151.57</v>
          </cell>
          <cell r="Q344">
            <v>3993</v>
          </cell>
          <cell r="R344">
            <v>1845.24</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454.22</v>
          </cell>
          <cell r="AO344">
            <v>0</v>
          </cell>
          <cell r="AP344">
            <v>0</v>
          </cell>
          <cell r="AQ344">
            <v>3440.21</v>
          </cell>
          <cell r="AR344">
            <v>0</v>
          </cell>
          <cell r="AS344">
            <v>0</v>
          </cell>
          <cell r="AT344">
            <v>0</v>
          </cell>
          <cell r="AU344">
            <v>0</v>
          </cell>
        </row>
        <row r="345">
          <cell r="A345" t="str">
            <v>000A0795</v>
          </cell>
          <cell r="B345" t="str">
            <v>BENOIST JEAN PIERRE</v>
          </cell>
          <cell r="C345" t="str">
            <v>CORINE</v>
          </cell>
          <cell r="D345" t="str">
            <v>SIEGE</v>
          </cell>
          <cell r="E345">
            <v>91</v>
          </cell>
          <cell r="F345" t="str">
            <v>NC NUMERICABLE ILE-DE-FRANCE</v>
          </cell>
          <cell r="G345" t="str">
            <v>COMPTABILITE</v>
          </cell>
          <cell r="H345" t="str">
            <v>SANCHEZ</v>
          </cell>
          <cell r="I345" t="str">
            <v>GENE701001</v>
          </cell>
          <cell r="J345">
            <v>100</v>
          </cell>
          <cell r="K345">
            <v>36710</v>
          </cell>
          <cell r="L345" t="str">
            <v>COMPTABLE.NIV.1</v>
          </cell>
          <cell r="M345" t="str">
            <v>EMPLOYE</v>
          </cell>
          <cell r="N345" t="str">
            <v>C</v>
          </cell>
          <cell r="O345" t="str">
            <v>CDI</v>
          </cell>
          <cell r="P345">
            <v>151.57</v>
          </cell>
          <cell r="Q345">
            <v>1656.81</v>
          </cell>
          <cell r="R345">
            <v>715.75</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178.44</v>
          </cell>
          <cell r="AO345">
            <v>31.21</v>
          </cell>
          <cell r="AP345">
            <v>0</v>
          </cell>
          <cell r="AQ345">
            <v>1656.81</v>
          </cell>
          <cell r="AR345">
            <v>0</v>
          </cell>
          <cell r="AS345">
            <v>0</v>
          </cell>
          <cell r="AT345">
            <v>0</v>
          </cell>
          <cell r="AU345">
            <v>0</v>
          </cell>
        </row>
        <row r="346">
          <cell r="A346" t="str">
            <v>000A0652</v>
          </cell>
          <cell r="B346" t="str">
            <v>ROLLE</v>
          </cell>
          <cell r="C346" t="str">
            <v>LAURENCE</v>
          </cell>
          <cell r="D346" t="str">
            <v>VILLEURBANNE</v>
          </cell>
          <cell r="E346">
            <v>91</v>
          </cell>
          <cell r="F346" t="str">
            <v>NC NUMERICABLE ILE-DE-FRANCE</v>
          </cell>
          <cell r="G346" t="str">
            <v>INFORMATIQUE</v>
          </cell>
          <cell r="H346" t="str">
            <v>CANAS</v>
          </cell>
          <cell r="I346" t="str">
            <v>GENE620001</v>
          </cell>
          <cell r="J346">
            <v>100</v>
          </cell>
          <cell r="K346">
            <v>34430</v>
          </cell>
          <cell r="L346" t="str">
            <v>SUPPORT EXP. PROD.</v>
          </cell>
          <cell r="M346" t="str">
            <v>TSM</v>
          </cell>
          <cell r="N346" t="str">
            <v>D</v>
          </cell>
          <cell r="O346" t="str">
            <v>CDI</v>
          </cell>
          <cell r="P346">
            <v>151.57</v>
          </cell>
          <cell r="Q346">
            <v>2598.65</v>
          </cell>
          <cell r="R346">
            <v>1344.79</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274.32</v>
          </cell>
          <cell r="AG346">
            <v>0</v>
          </cell>
          <cell r="AH346">
            <v>68.58</v>
          </cell>
          <cell r="AI346">
            <v>0</v>
          </cell>
          <cell r="AJ346">
            <v>0</v>
          </cell>
          <cell r="AK346">
            <v>0</v>
          </cell>
          <cell r="AL346">
            <v>0</v>
          </cell>
          <cell r="AM346">
            <v>0</v>
          </cell>
          <cell r="AN346">
            <v>321.41000000000003</v>
          </cell>
          <cell r="AO346">
            <v>0</v>
          </cell>
          <cell r="AP346">
            <v>0</v>
          </cell>
          <cell r="AQ346">
            <v>2581.79</v>
          </cell>
          <cell r="AR346">
            <v>0</v>
          </cell>
          <cell r="AS346">
            <v>0</v>
          </cell>
          <cell r="AT346">
            <v>0</v>
          </cell>
          <cell r="AU346">
            <v>0</v>
          </cell>
        </row>
        <row r="347">
          <cell r="A347" t="str">
            <v>000F0106</v>
          </cell>
          <cell r="B347" t="str">
            <v>GANDON</v>
          </cell>
          <cell r="C347" t="str">
            <v>DOMINIQUE</v>
          </cell>
          <cell r="D347" t="str">
            <v>VILLEURBANNE</v>
          </cell>
          <cell r="E347">
            <v>91</v>
          </cell>
          <cell r="F347" t="str">
            <v>NC NUMERICABLE ILE-DE-FRANCE</v>
          </cell>
          <cell r="G347" t="str">
            <v>INFORMATIQUE</v>
          </cell>
          <cell r="H347" t="str">
            <v>CANAS</v>
          </cell>
          <cell r="I347" t="str">
            <v>GENE620001</v>
          </cell>
          <cell r="J347">
            <v>100</v>
          </cell>
          <cell r="K347">
            <v>34366</v>
          </cell>
          <cell r="L347" t="str">
            <v>CHARGE(E) EXP. INFO.</v>
          </cell>
          <cell r="M347" t="str">
            <v>CADRE</v>
          </cell>
          <cell r="N347" t="str">
            <v>E</v>
          </cell>
          <cell r="O347" t="str">
            <v>CDI</v>
          </cell>
          <cell r="P347">
            <v>151.57</v>
          </cell>
          <cell r="Q347">
            <v>3083</v>
          </cell>
          <cell r="R347">
            <v>1560.41</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334.03</v>
          </cell>
          <cell r="AO347">
            <v>0</v>
          </cell>
          <cell r="AP347">
            <v>0</v>
          </cell>
          <cell r="AQ347">
            <v>2940.73</v>
          </cell>
          <cell r="AR347">
            <v>0</v>
          </cell>
          <cell r="AS347">
            <v>0</v>
          </cell>
          <cell r="AT347">
            <v>0</v>
          </cell>
          <cell r="AU347">
            <v>0</v>
          </cell>
        </row>
        <row r="348">
          <cell r="A348" t="str">
            <v>000BY009</v>
          </cell>
          <cell r="B348" t="str">
            <v>YILDIZ</v>
          </cell>
          <cell r="C348" t="str">
            <v>KOKSAL</v>
          </cell>
          <cell r="D348" t="str">
            <v>VERSAILLES</v>
          </cell>
          <cell r="E348">
            <v>91</v>
          </cell>
          <cell r="F348" t="str">
            <v>NC NUMERICABLE ILE-DE-FRANCE</v>
          </cell>
          <cell r="G348" t="str">
            <v>VAD ANIMATEURS</v>
          </cell>
          <cell r="H348" t="str">
            <v>ZERFAINE</v>
          </cell>
          <cell r="I348" t="str">
            <v>IDFR500001</v>
          </cell>
          <cell r="J348">
            <v>100</v>
          </cell>
          <cell r="K348">
            <v>37670</v>
          </cell>
          <cell r="L348" t="str">
            <v>ANIMATEUR COM.</v>
          </cell>
          <cell r="M348" t="str">
            <v>CADRE</v>
          </cell>
          <cell r="N348" t="str">
            <v>DB</v>
          </cell>
          <cell r="O348" t="str">
            <v>CDI</v>
          </cell>
          <cell r="P348">
            <v>151.57</v>
          </cell>
          <cell r="Q348">
            <v>1800</v>
          </cell>
          <cell r="R348">
            <v>1486.79</v>
          </cell>
          <cell r="S348">
            <v>0</v>
          </cell>
          <cell r="T348">
            <v>1350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339.24</v>
          </cell>
          <cell r="AO348">
            <v>0</v>
          </cell>
          <cell r="AP348">
            <v>0</v>
          </cell>
          <cell r="AQ348">
            <v>1800</v>
          </cell>
          <cell r="AR348">
            <v>0</v>
          </cell>
          <cell r="AS348">
            <v>160.72</v>
          </cell>
          <cell r="AT348">
            <v>0</v>
          </cell>
          <cell r="AU348">
            <v>0</v>
          </cell>
        </row>
        <row r="349">
          <cell r="A349" t="str">
            <v>000A0817</v>
          </cell>
          <cell r="B349" t="str">
            <v>BOURGES</v>
          </cell>
          <cell r="C349" t="str">
            <v>JEAN CHRISTOPHE</v>
          </cell>
          <cell r="D349" t="str">
            <v>VANVES</v>
          </cell>
          <cell r="E349">
            <v>91</v>
          </cell>
          <cell r="F349" t="str">
            <v>NC NUMERICABLE ILE-DE-FRANCE</v>
          </cell>
          <cell r="G349" t="str">
            <v>NOC</v>
          </cell>
          <cell r="I349" t="str">
            <v>GENE905001</v>
          </cell>
          <cell r="J349">
            <v>100</v>
          </cell>
          <cell r="K349">
            <v>36787</v>
          </cell>
          <cell r="L349" t="str">
            <v>TECH.SUPP.NIV.2</v>
          </cell>
          <cell r="M349" t="str">
            <v>TSM</v>
          </cell>
          <cell r="N349" t="str">
            <v>D</v>
          </cell>
          <cell r="O349" t="str">
            <v>CDI</v>
          </cell>
          <cell r="P349">
            <v>151.57</v>
          </cell>
          <cell r="Q349">
            <v>1981.67</v>
          </cell>
          <cell r="R349">
            <v>-653.20000000000005</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-205.28</v>
          </cell>
          <cell r="AN349">
            <v>213.41</v>
          </cell>
          <cell r="AO349">
            <v>-181.67</v>
          </cell>
          <cell r="AP349">
            <v>0</v>
          </cell>
          <cell r="AQ349">
            <v>1981.67</v>
          </cell>
          <cell r="AR349">
            <v>0</v>
          </cell>
          <cell r="AS349">
            <v>0</v>
          </cell>
          <cell r="AT349">
            <v>0</v>
          </cell>
          <cell r="AU349">
            <v>0</v>
          </cell>
        </row>
        <row r="350">
          <cell r="A350" t="str">
            <v>000A0930</v>
          </cell>
          <cell r="B350" t="str">
            <v>MAZERES</v>
          </cell>
          <cell r="C350" t="str">
            <v>MARILYS</v>
          </cell>
          <cell r="D350" t="str">
            <v>SIEGE</v>
          </cell>
          <cell r="E350">
            <v>91</v>
          </cell>
          <cell r="F350" t="str">
            <v>NC NUMERICABLE ILE-DE-FRANCE</v>
          </cell>
          <cell r="G350" t="str">
            <v>MARKETING</v>
          </cell>
          <cell r="H350" t="str">
            <v>ABI ABDALLAH</v>
          </cell>
          <cell r="I350" t="str">
            <v>GENE546001</v>
          </cell>
          <cell r="J350">
            <v>100</v>
          </cell>
          <cell r="K350">
            <v>37326</v>
          </cell>
          <cell r="L350" t="str">
            <v>CHEF PRODUIT JUNIOR</v>
          </cell>
          <cell r="M350" t="str">
            <v>CADRE</v>
          </cell>
          <cell r="N350" t="str">
            <v>DB</v>
          </cell>
          <cell r="O350" t="str">
            <v>CDI</v>
          </cell>
          <cell r="P350">
            <v>151.57</v>
          </cell>
          <cell r="Q350">
            <v>2400</v>
          </cell>
          <cell r="R350">
            <v>681.62</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248.09</v>
          </cell>
          <cell r="AO350">
            <v>0</v>
          </cell>
          <cell r="AP350">
            <v>0</v>
          </cell>
          <cell r="AQ350">
            <v>1292.48</v>
          </cell>
          <cell r="AR350">
            <v>0</v>
          </cell>
          <cell r="AS350">
            <v>0</v>
          </cell>
          <cell r="AT350">
            <v>0</v>
          </cell>
          <cell r="AU350">
            <v>0</v>
          </cell>
        </row>
        <row r="351">
          <cell r="A351" t="str">
            <v>000A0851</v>
          </cell>
          <cell r="B351" t="str">
            <v>NOEL</v>
          </cell>
          <cell r="C351" t="str">
            <v>VALERIE</v>
          </cell>
          <cell r="D351" t="str">
            <v>EBOUE</v>
          </cell>
          <cell r="E351">
            <v>91</v>
          </cell>
          <cell r="F351" t="str">
            <v>NC NUMERICABLE ILE-DE-FRANCE</v>
          </cell>
          <cell r="G351" t="str">
            <v>RACCORDEMENT IMMOB STC.</v>
          </cell>
          <cell r="H351" t="str">
            <v>MOINET</v>
          </cell>
          <cell r="I351" t="str">
            <v>IDFR302001</v>
          </cell>
          <cell r="J351">
            <v>100</v>
          </cell>
          <cell r="K351">
            <v>36871</v>
          </cell>
          <cell r="L351" t="str">
            <v>SUP. TECH. CLIENT</v>
          </cell>
          <cell r="M351" t="str">
            <v>TSM</v>
          </cell>
          <cell r="N351" t="str">
            <v>D</v>
          </cell>
          <cell r="O351" t="str">
            <v>CDI</v>
          </cell>
          <cell r="P351">
            <v>151.57</v>
          </cell>
          <cell r="Q351">
            <v>1871.84</v>
          </cell>
          <cell r="R351">
            <v>937.18</v>
          </cell>
          <cell r="S351">
            <v>0</v>
          </cell>
          <cell r="T351">
            <v>0</v>
          </cell>
          <cell r="U351">
            <v>0</v>
          </cell>
          <cell r="V351">
            <v>0</v>
          </cell>
          <cell r="W351">
            <v>247.5</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228.88</v>
          </cell>
          <cell r="AO351">
            <v>21.82</v>
          </cell>
          <cell r="AP351">
            <v>0</v>
          </cell>
          <cell r="AQ351">
            <v>1785.46</v>
          </cell>
          <cell r="AR351">
            <v>0</v>
          </cell>
          <cell r="AS351">
            <v>0</v>
          </cell>
          <cell r="AT351">
            <v>0</v>
          </cell>
          <cell r="AU351">
            <v>0</v>
          </cell>
        </row>
        <row r="352">
          <cell r="A352" t="str">
            <v>000A0849</v>
          </cell>
          <cell r="B352" t="str">
            <v>BLONDEAU</v>
          </cell>
          <cell r="C352" t="str">
            <v>THIERRY</v>
          </cell>
          <cell r="D352" t="str">
            <v>VANVES</v>
          </cell>
          <cell r="E352">
            <v>91</v>
          </cell>
          <cell r="F352" t="str">
            <v>NC NUMERICABLE ILE-DE-FRANCE</v>
          </cell>
          <cell r="G352" t="str">
            <v>NMC ADMIN</v>
          </cell>
          <cell r="H352" t="str">
            <v>MASON</v>
          </cell>
          <cell r="I352" t="str">
            <v>GENE306001</v>
          </cell>
          <cell r="J352">
            <v>100</v>
          </cell>
          <cell r="K352">
            <v>36829</v>
          </cell>
          <cell r="L352" t="str">
            <v>RESP. TECH.TRAV.</v>
          </cell>
          <cell r="M352" t="str">
            <v>CADRE</v>
          </cell>
          <cell r="N352" t="str">
            <v>E</v>
          </cell>
          <cell r="O352" t="str">
            <v>CDI</v>
          </cell>
          <cell r="P352">
            <v>151.57</v>
          </cell>
          <cell r="Q352">
            <v>5892</v>
          </cell>
          <cell r="R352">
            <v>2857.33</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125</v>
          </cell>
          <cell r="AL352">
            <v>0</v>
          </cell>
          <cell r="AM352">
            <v>0</v>
          </cell>
          <cell r="AN352">
            <v>697.52</v>
          </cell>
          <cell r="AO352">
            <v>0</v>
          </cell>
          <cell r="AP352">
            <v>0</v>
          </cell>
          <cell r="AQ352">
            <v>5563.27</v>
          </cell>
          <cell r="AR352">
            <v>0</v>
          </cell>
          <cell r="AS352">
            <v>125</v>
          </cell>
          <cell r="AT352">
            <v>0</v>
          </cell>
          <cell r="AU352">
            <v>0</v>
          </cell>
        </row>
        <row r="353">
          <cell r="A353" t="str">
            <v>000A0982</v>
          </cell>
          <cell r="B353" t="str">
            <v>BALLON-ROSPIGLIOSI</v>
          </cell>
          <cell r="C353" t="str">
            <v>MARCO</v>
          </cell>
          <cell r="D353" t="str">
            <v>SIEGE</v>
          </cell>
          <cell r="E353">
            <v>91</v>
          </cell>
          <cell r="F353" t="str">
            <v>NC NUMERICABLE ILE-DE-FRANCE</v>
          </cell>
          <cell r="G353" t="str">
            <v>BACK OFFICE</v>
          </cell>
          <cell r="I353" t="str">
            <v>GENE905001</v>
          </cell>
          <cell r="J353">
            <v>100</v>
          </cell>
          <cell r="K353">
            <v>37767</v>
          </cell>
          <cell r="L353" t="str">
            <v>CONSEILLER(E) CLT</v>
          </cell>
          <cell r="M353" t="str">
            <v>EMPLOYE</v>
          </cell>
          <cell r="N353" t="str">
            <v>C</v>
          </cell>
          <cell r="O353" t="str">
            <v>CDI</v>
          </cell>
          <cell r="P353">
            <v>151.57</v>
          </cell>
          <cell r="Q353">
            <v>1332.79</v>
          </cell>
          <cell r="R353">
            <v>186.11</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397.91</v>
          </cell>
          <cell r="AN353">
            <v>143.53</v>
          </cell>
          <cell r="AO353">
            <v>421.52</v>
          </cell>
          <cell r="AP353">
            <v>0</v>
          </cell>
          <cell r="AQ353">
            <v>1332.79</v>
          </cell>
          <cell r="AR353">
            <v>0</v>
          </cell>
          <cell r="AS353">
            <v>0</v>
          </cell>
          <cell r="AT353">
            <v>0</v>
          </cell>
          <cell r="AU353">
            <v>0</v>
          </cell>
        </row>
        <row r="354">
          <cell r="A354" t="str">
            <v>000A1416</v>
          </cell>
          <cell r="B354" t="str">
            <v>BOUCHELAGHEM</v>
          </cell>
          <cell r="C354" t="str">
            <v>YACINE</v>
          </cell>
          <cell r="D354" t="str">
            <v>MARSEILLE</v>
          </cell>
          <cell r="E354">
            <v>91</v>
          </cell>
          <cell r="F354" t="str">
            <v>NC NUMERICABLE ILE-DE-FRANCE</v>
          </cell>
          <cell r="G354" t="str">
            <v>VAD CONSEILLERS</v>
          </cell>
          <cell r="H354" t="str">
            <v>HAIOUN</v>
          </cell>
          <cell r="I354" t="str">
            <v>SUES500001</v>
          </cell>
          <cell r="J354">
            <v>100</v>
          </cell>
          <cell r="K354">
            <v>38747</v>
          </cell>
          <cell r="L354" t="str">
            <v>CONSEILLER(E) COM.</v>
          </cell>
          <cell r="M354" t="str">
            <v>TSM</v>
          </cell>
          <cell r="N354" t="str">
            <v>D</v>
          </cell>
          <cell r="O354" t="str">
            <v>CDI</v>
          </cell>
          <cell r="P354">
            <v>151.57</v>
          </cell>
          <cell r="Q354">
            <v>1299.07</v>
          </cell>
          <cell r="R354">
            <v>386.6</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77.510000000000005</v>
          </cell>
          <cell r="AO354">
            <v>0</v>
          </cell>
          <cell r="AP354">
            <v>0</v>
          </cell>
          <cell r="AQ354">
            <v>719.66</v>
          </cell>
          <cell r="AR354">
            <v>0</v>
          </cell>
          <cell r="AS354">
            <v>0</v>
          </cell>
          <cell r="AT354">
            <v>0</v>
          </cell>
          <cell r="AU354">
            <v>0</v>
          </cell>
        </row>
        <row r="355">
          <cell r="A355" t="str">
            <v>000A1317</v>
          </cell>
          <cell r="B355" t="str">
            <v>VERMOT DE BOISROLIN</v>
          </cell>
          <cell r="C355" t="str">
            <v>PASCAL</v>
          </cell>
          <cell r="D355" t="str">
            <v>VERSAILLES</v>
          </cell>
          <cell r="E355">
            <v>91</v>
          </cell>
          <cell r="F355" t="str">
            <v>NC NUMERICABLE ILE-DE-FRANCE</v>
          </cell>
          <cell r="G355" t="str">
            <v>VAD CONSEILLERS</v>
          </cell>
          <cell r="H355" t="str">
            <v>FERRADJ</v>
          </cell>
          <cell r="I355" t="str">
            <v>IDFR500001</v>
          </cell>
          <cell r="J355">
            <v>100</v>
          </cell>
          <cell r="K355">
            <v>38677</v>
          </cell>
          <cell r="L355" t="str">
            <v>CONSEILLER(E) COM.</v>
          </cell>
          <cell r="M355" t="str">
            <v>TSM</v>
          </cell>
          <cell r="N355" t="str">
            <v>D</v>
          </cell>
          <cell r="O355" t="str">
            <v>CDI</v>
          </cell>
          <cell r="P355">
            <v>151.57</v>
          </cell>
          <cell r="Q355">
            <v>1217.8800000000001</v>
          </cell>
          <cell r="R355">
            <v>1305.21</v>
          </cell>
          <cell r="S355">
            <v>0</v>
          </cell>
          <cell r="T355">
            <v>2200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368.07</v>
          </cell>
          <cell r="AO355">
            <v>0</v>
          </cell>
          <cell r="AP355">
            <v>0</v>
          </cell>
          <cell r="AQ355">
            <v>1217.8800000000001</v>
          </cell>
          <cell r="AR355">
            <v>0</v>
          </cell>
          <cell r="AS355">
            <v>0</v>
          </cell>
          <cell r="AT355">
            <v>0</v>
          </cell>
          <cell r="AU355">
            <v>0</v>
          </cell>
        </row>
        <row r="356">
          <cell r="A356" t="str">
            <v>000A1038</v>
          </cell>
          <cell r="B356" t="str">
            <v>MORIZUR</v>
          </cell>
          <cell r="C356" t="str">
            <v>OLIVIER</v>
          </cell>
          <cell r="D356" t="str">
            <v>BORDEAUX</v>
          </cell>
          <cell r="E356">
            <v>91</v>
          </cell>
          <cell r="F356" t="str">
            <v>NC NUMERICABLE ILE-DE-FRANCE</v>
          </cell>
          <cell r="G356" t="str">
            <v>VAD CONSEILLERS</v>
          </cell>
          <cell r="H356" t="str">
            <v>FLAICHER</v>
          </cell>
          <cell r="I356" t="str">
            <v>SUOU500001</v>
          </cell>
          <cell r="J356">
            <v>100</v>
          </cell>
          <cell r="K356">
            <v>38628</v>
          </cell>
          <cell r="L356" t="str">
            <v>CONSEILLER(E) COM.</v>
          </cell>
          <cell r="M356" t="str">
            <v>TSM</v>
          </cell>
          <cell r="N356" t="str">
            <v>D</v>
          </cell>
          <cell r="O356" t="str">
            <v>CDI</v>
          </cell>
          <cell r="P356">
            <v>151.57</v>
          </cell>
          <cell r="Q356">
            <v>1217.8800000000001</v>
          </cell>
          <cell r="R356">
            <v>587.6</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131.16</v>
          </cell>
          <cell r="AO356">
            <v>0</v>
          </cell>
          <cell r="AP356">
            <v>0</v>
          </cell>
          <cell r="AQ356">
            <v>1217.8800000000001</v>
          </cell>
          <cell r="AR356">
            <v>0</v>
          </cell>
          <cell r="AS356">
            <v>0</v>
          </cell>
          <cell r="AT356">
            <v>0</v>
          </cell>
          <cell r="AU356">
            <v>0</v>
          </cell>
        </row>
        <row r="357">
          <cell r="A357" t="str">
            <v>000A1750</v>
          </cell>
          <cell r="B357" t="str">
            <v>BERNAROYAT</v>
          </cell>
          <cell r="C357" t="str">
            <v>PHILIPPE</v>
          </cell>
          <cell r="D357" t="str">
            <v>SIEGE</v>
          </cell>
          <cell r="E357">
            <v>91</v>
          </cell>
          <cell r="F357" t="str">
            <v>NC NUMERICABLE ILE-DE-FRANCE</v>
          </cell>
          <cell r="G357" t="str">
            <v>INFORMATIQUE</v>
          </cell>
          <cell r="I357" t="str">
            <v>GENE620001</v>
          </cell>
          <cell r="J357">
            <v>100</v>
          </cell>
          <cell r="K357">
            <v>38831</v>
          </cell>
          <cell r="L357" t="str">
            <v>RESP DES ETUDES INFORMATIQUE</v>
          </cell>
          <cell r="M357" t="str">
            <v>CADRE</v>
          </cell>
          <cell r="N357" t="str">
            <v>F</v>
          </cell>
          <cell r="O357" t="str">
            <v>CDI</v>
          </cell>
          <cell r="P357">
            <v>151.57</v>
          </cell>
          <cell r="Q357">
            <v>0</v>
          </cell>
          <cell r="R357">
            <v>649.87</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1458.34</v>
          </cell>
          <cell r="AR357">
            <v>0</v>
          </cell>
          <cell r="AS357">
            <v>0</v>
          </cell>
          <cell r="AT357">
            <v>0</v>
          </cell>
          <cell r="AU357">
            <v>0</v>
          </cell>
        </row>
        <row r="358">
          <cell r="A358" t="str">
            <v>000A1709</v>
          </cell>
          <cell r="B358" t="str">
            <v>MOUMOU</v>
          </cell>
          <cell r="C358" t="str">
            <v>HAMID</v>
          </cell>
          <cell r="D358" t="str">
            <v>ANGOULEME</v>
          </cell>
          <cell r="E358">
            <v>91</v>
          </cell>
          <cell r="F358" t="str">
            <v>NC NUMERICABLE ILE-DE-FRANCE</v>
          </cell>
          <cell r="G358" t="str">
            <v>VAD CONSEILLERS</v>
          </cell>
          <cell r="H358" t="str">
            <v>COMINARDI</v>
          </cell>
          <cell r="I358" t="str">
            <v>SUOU500001</v>
          </cell>
          <cell r="J358">
            <v>100</v>
          </cell>
          <cell r="K358">
            <v>38831</v>
          </cell>
          <cell r="L358" t="str">
            <v>CONSEILLER(E) COM.</v>
          </cell>
          <cell r="M358" t="str">
            <v>TSM</v>
          </cell>
          <cell r="N358" t="str">
            <v>D</v>
          </cell>
          <cell r="O358" t="str">
            <v>CDI</v>
          </cell>
          <cell r="P358">
            <v>151.57</v>
          </cell>
          <cell r="Q358">
            <v>0</v>
          </cell>
          <cell r="R358">
            <v>123.34</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284.17</v>
          </cell>
          <cell r="AR358">
            <v>0</v>
          </cell>
          <cell r="AS358">
            <v>0</v>
          </cell>
          <cell r="AT358">
            <v>0</v>
          </cell>
          <cell r="AU358">
            <v>0</v>
          </cell>
        </row>
        <row r="359">
          <cell r="A359" t="str">
            <v>000A1482</v>
          </cell>
          <cell r="B359" t="str">
            <v>MARTINEZ</v>
          </cell>
          <cell r="C359" t="str">
            <v>BENOIT</v>
          </cell>
          <cell r="D359" t="str">
            <v>MARSEILLE</v>
          </cell>
          <cell r="E359">
            <v>91</v>
          </cell>
          <cell r="F359" t="str">
            <v>NC NUMERICABLE ILE-DE-FRANCE</v>
          </cell>
          <cell r="G359" t="str">
            <v>COLLECTIF</v>
          </cell>
          <cell r="H359" t="str">
            <v>CHAPELAT</v>
          </cell>
          <cell r="I359" t="str">
            <v>SUES510001</v>
          </cell>
          <cell r="J359">
            <v>100</v>
          </cell>
          <cell r="K359">
            <v>38754</v>
          </cell>
          <cell r="L359" t="str">
            <v>RESPONSABLE COMM.</v>
          </cell>
          <cell r="M359" t="str">
            <v>CADRE</v>
          </cell>
          <cell r="N359" t="str">
            <v>F</v>
          </cell>
          <cell r="O359" t="str">
            <v>CDI</v>
          </cell>
          <cell r="P359">
            <v>151.57</v>
          </cell>
          <cell r="Q359">
            <v>3000</v>
          </cell>
          <cell r="R359">
            <v>3138.55</v>
          </cell>
          <cell r="S359">
            <v>0</v>
          </cell>
          <cell r="T359">
            <v>2500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1184.6199999999999</v>
          </cell>
          <cell r="AO359">
            <v>0</v>
          </cell>
          <cell r="AP359">
            <v>0</v>
          </cell>
          <cell r="AQ359">
            <v>3000</v>
          </cell>
          <cell r="AR359">
            <v>0</v>
          </cell>
          <cell r="AS359">
            <v>0</v>
          </cell>
          <cell r="AT359">
            <v>0</v>
          </cell>
          <cell r="AU359">
            <v>0</v>
          </cell>
        </row>
        <row r="360">
          <cell r="A360" t="str">
            <v>000A1690</v>
          </cell>
          <cell r="B360" t="str">
            <v>CICCIA</v>
          </cell>
          <cell r="C360" t="str">
            <v>ANTOINE</v>
          </cell>
          <cell r="D360" t="str">
            <v>MARSEILLE</v>
          </cell>
          <cell r="E360">
            <v>91</v>
          </cell>
          <cell r="F360" t="str">
            <v>NC NUMERICABLE ILE-DE-FRANCE</v>
          </cell>
          <cell r="G360" t="str">
            <v>VAD CONSEILLERS</v>
          </cell>
          <cell r="H360" t="str">
            <v>VIVIN</v>
          </cell>
          <cell r="I360" t="str">
            <v>SUES500001</v>
          </cell>
          <cell r="J360">
            <v>100</v>
          </cell>
          <cell r="K360">
            <v>38803</v>
          </cell>
          <cell r="L360" t="str">
            <v>CONSEILLER(E) COM.</v>
          </cell>
          <cell r="M360" t="str">
            <v>TSM</v>
          </cell>
          <cell r="N360" t="str">
            <v>D</v>
          </cell>
          <cell r="O360" t="str">
            <v>CDI</v>
          </cell>
          <cell r="P360">
            <v>151.57</v>
          </cell>
          <cell r="Q360">
            <v>0</v>
          </cell>
          <cell r="R360">
            <v>413.18</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1420.86</v>
          </cell>
          <cell r="AR360">
            <v>0</v>
          </cell>
          <cell r="AS360">
            <v>0</v>
          </cell>
          <cell r="AT360">
            <v>0</v>
          </cell>
          <cell r="AU360">
            <v>0</v>
          </cell>
        </row>
        <row r="361">
          <cell r="A361" t="str">
            <v>000A1739</v>
          </cell>
          <cell r="B361" t="str">
            <v>HAMADOU</v>
          </cell>
          <cell r="C361" t="str">
            <v>KARIM</v>
          </cell>
          <cell r="D361" t="str">
            <v>LYON CATN</v>
          </cell>
          <cell r="E361">
            <v>91</v>
          </cell>
          <cell r="F361" t="str">
            <v>NC NUMERICABLE ILE-DE-FRANCE</v>
          </cell>
          <cell r="H361" t="str">
            <v>MALEYSSON</v>
          </cell>
          <cell r="I361" t="str">
            <v>CLIE411001</v>
          </cell>
          <cell r="J361">
            <v>100</v>
          </cell>
          <cell r="K361">
            <v>38796</v>
          </cell>
          <cell r="L361" t="str">
            <v>SUPERVISEUR CLT NIV 2</v>
          </cell>
          <cell r="M361" t="str">
            <v>CADRE</v>
          </cell>
          <cell r="N361" t="str">
            <v>DB</v>
          </cell>
          <cell r="O361" t="str">
            <v>CDI</v>
          </cell>
          <cell r="P361">
            <v>151.57</v>
          </cell>
          <cell r="Q361">
            <v>0</v>
          </cell>
          <cell r="R361">
            <v>1354.41</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2833.34</v>
          </cell>
          <cell r="AR361">
            <v>0</v>
          </cell>
          <cell r="AS361">
            <v>0</v>
          </cell>
          <cell r="AT361">
            <v>0</v>
          </cell>
          <cell r="AU361">
            <v>0</v>
          </cell>
        </row>
        <row r="362">
          <cell r="A362" t="str">
            <v>000A1057</v>
          </cell>
          <cell r="B362" t="str">
            <v>TARDY</v>
          </cell>
          <cell r="C362" t="str">
            <v>SERGE</v>
          </cell>
          <cell r="D362" t="str">
            <v>GRENOBLE</v>
          </cell>
          <cell r="E362">
            <v>91</v>
          </cell>
          <cell r="F362" t="str">
            <v>NC NUMERICABLE ILE-DE-FRANCE</v>
          </cell>
          <cell r="G362" t="str">
            <v>VAD CONSEILLERS</v>
          </cell>
          <cell r="H362" t="str">
            <v>LAGUEREMA</v>
          </cell>
          <cell r="I362" t="str">
            <v>RHON500001</v>
          </cell>
          <cell r="J362">
            <v>100</v>
          </cell>
          <cell r="K362">
            <v>38635</v>
          </cell>
          <cell r="L362" t="str">
            <v>CONSEILLER(E) COM.</v>
          </cell>
          <cell r="M362" t="str">
            <v>TSM</v>
          </cell>
          <cell r="N362" t="str">
            <v>D</v>
          </cell>
          <cell r="O362" t="str">
            <v>CDI</v>
          </cell>
          <cell r="P362">
            <v>151.57</v>
          </cell>
          <cell r="Q362">
            <v>1217.8800000000001</v>
          </cell>
          <cell r="R362">
            <v>709.33</v>
          </cell>
          <cell r="S362">
            <v>0</v>
          </cell>
          <cell r="T362">
            <v>950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233.47</v>
          </cell>
          <cell r="AO362">
            <v>0</v>
          </cell>
          <cell r="AP362">
            <v>0</v>
          </cell>
          <cell r="AQ362">
            <v>1217.8800000000001</v>
          </cell>
          <cell r="AR362">
            <v>0</v>
          </cell>
          <cell r="AS362">
            <v>0</v>
          </cell>
          <cell r="AT362">
            <v>0</v>
          </cell>
          <cell r="AU362">
            <v>0</v>
          </cell>
        </row>
        <row r="363">
          <cell r="A363" t="str">
            <v>000A1180</v>
          </cell>
          <cell r="B363" t="str">
            <v>BEKKARI</v>
          </cell>
          <cell r="C363" t="str">
            <v>NICOLAS</v>
          </cell>
          <cell r="D363" t="str">
            <v>NICE</v>
          </cell>
          <cell r="E363">
            <v>91</v>
          </cell>
          <cell r="F363" t="str">
            <v>NC NUMERICABLE ILE-DE-FRANCE</v>
          </cell>
          <cell r="G363" t="str">
            <v>VAD CONSEILLERS</v>
          </cell>
          <cell r="H363" t="str">
            <v>ZAMORA</v>
          </cell>
          <cell r="I363" t="str">
            <v>SUES500001</v>
          </cell>
          <cell r="J363">
            <v>100</v>
          </cell>
          <cell r="K363">
            <v>38649</v>
          </cell>
          <cell r="L363" t="str">
            <v>ANIMATEUR COM.</v>
          </cell>
          <cell r="M363" t="str">
            <v>CADRE</v>
          </cell>
          <cell r="N363" t="str">
            <v>DB</v>
          </cell>
          <cell r="O363" t="str">
            <v>CDI</v>
          </cell>
          <cell r="P363">
            <v>151.57</v>
          </cell>
          <cell r="Q363">
            <v>1800</v>
          </cell>
          <cell r="R363">
            <v>1076.23</v>
          </cell>
          <cell r="S363">
            <v>0</v>
          </cell>
          <cell r="T363">
            <v>1150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317.7</v>
          </cell>
          <cell r="AO363">
            <v>0</v>
          </cell>
          <cell r="AP363">
            <v>0</v>
          </cell>
          <cell r="AQ363">
            <v>1800</v>
          </cell>
          <cell r="AR363">
            <v>0</v>
          </cell>
          <cell r="AS363">
            <v>0</v>
          </cell>
          <cell r="AT363">
            <v>0</v>
          </cell>
          <cell r="AU363">
            <v>0</v>
          </cell>
        </row>
        <row r="364">
          <cell r="A364" t="str">
            <v>000A1241</v>
          </cell>
          <cell r="B364" t="str">
            <v>ERRAZAOUI</v>
          </cell>
          <cell r="C364" t="str">
            <v>MOUNIA</v>
          </cell>
          <cell r="D364" t="str">
            <v>MARSEILLE</v>
          </cell>
          <cell r="E364">
            <v>91</v>
          </cell>
          <cell r="F364" t="str">
            <v>NC NUMERICABLE ILE-DE-FRANCE</v>
          </cell>
          <cell r="G364" t="str">
            <v>VAD CONSEILLERS</v>
          </cell>
          <cell r="H364" t="str">
            <v>BELKHIR</v>
          </cell>
          <cell r="I364" t="str">
            <v>SUES500001</v>
          </cell>
          <cell r="J364">
            <v>100</v>
          </cell>
          <cell r="K364">
            <v>38670</v>
          </cell>
          <cell r="L364" t="str">
            <v>CONSEILLER(E) COM.</v>
          </cell>
          <cell r="M364" t="str">
            <v>TSM</v>
          </cell>
          <cell r="N364" t="str">
            <v>D</v>
          </cell>
          <cell r="O364" t="str">
            <v>CDI</v>
          </cell>
          <cell r="P364">
            <v>151.57</v>
          </cell>
          <cell r="Q364">
            <v>1217.8800000000001</v>
          </cell>
          <cell r="R364">
            <v>685.2</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131.16</v>
          </cell>
          <cell r="AO364">
            <v>0</v>
          </cell>
          <cell r="AP364">
            <v>0</v>
          </cell>
          <cell r="AQ364">
            <v>1217.8800000000001</v>
          </cell>
          <cell r="AR364">
            <v>0</v>
          </cell>
          <cell r="AS364">
            <v>0</v>
          </cell>
          <cell r="AT364">
            <v>0</v>
          </cell>
          <cell r="AU364">
            <v>0</v>
          </cell>
        </row>
        <row r="365">
          <cell r="A365" t="str">
            <v>000A1162</v>
          </cell>
          <cell r="B365" t="str">
            <v>LEROY</v>
          </cell>
          <cell r="C365" t="str">
            <v>PASCAL</v>
          </cell>
          <cell r="D365" t="str">
            <v>LA MADELEINE</v>
          </cell>
          <cell r="E365">
            <v>91</v>
          </cell>
          <cell r="F365" t="str">
            <v>NC NUMERICABLE ILE-DE-FRANCE</v>
          </cell>
          <cell r="G365" t="str">
            <v>VAD CONSEILLERS</v>
          </cell>
          <cell r="H365" t="str">
            <v>GUILLEMAN</v>
          </cell>
          <cell r="I365" t="str">
            <v>NPCA500001</v>
          </cell>
          <cell r="J365">
            <v>100</v>
          </cell>
          <cell r="K365">
            <v>38649</v>
          </cell>
          <cell r="L365" t="str">
            <v>CONSEILLER(E) COM.</v>
          </cell>
          <cell r="M365" t="str">
            <v>TSM</v>
          </cell>
          <cell r="N365" t="str">
            <v>D</v>
          </cell>
          <cell r="O365" t="str">
            <v>CDI</v>
          </cell>
          <cell r="P365">
            <v>151.57</v>
          </cell>
          <cell r="Q365">
            <v>1217.8800000000001</v>
          </cell>
          <cell r="R365">
            <v>1391.81</v>
          </cell>
          <cell r="S365">
            <v>0</v>
          </cell>
          <cell r="T365">
            <v>2460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396.07</v>
          </cell>
          <cell r="AO365">
            <v>0</v>
          </cell>
          <cell r="AP365">
            <v>0</v>
          </cell>
          <cell r="AQ365">
            <v>1217.8800000000001</v>
          </cell>
          <cell r="AR365">
            <v>0</v>
          </cell>
          <cell r="AS365">
            <v>0</v>
          </cell>
          <cell r="AT365">
            <v>0</v>
          </cell>
          <cell r="AU365">
            <v>0</v>
          </cell>
        </row>
        <row r="366">
          <cell r="A366" t="str">
            <v>000A1270</v>
          </cell>
          <cell r="B366" t="str">
            <v>RAYNAL</v>
          </cell>
          <cell r="C366" t="str">
            <v>LAURENT</v>
          </cell>
          <cell r="D366" t="str">
            <v>NICE</v>
          </cell>
          <cell r="E366">
            <v>91</v>
          </cell>
          <cell r="F366" t="str">
            <v>NC NUMERICABLE ILE-DE-FRANCE</v>
          </cell>
          <cell r="G366" t="str">
            <v>VAD CONSEILLERS</v>
          </cell>
          <cell r="H366" t="str">
            <v>DEPREEUW</v>
          </cell>
          <cell r="I366" t="str">
            <v>SUES500001</v>
          </cell>
          <cell r="J366">
            <v>100</v>
          </cell>
          <cell r="K366">
            <v>38684</v>
          </cell>
          <cell r="L366" t="str">
            <v>CONSEILLER(E) COM.</v>
          </cell>
          <cell r="M366" t="str">
            <v>TSM</v>
          </cell>
          <cell r="N366" t="str">
            <v>D</v>
          </cell>
          <cell r="O366" t="str">
            <v>CDI</v>
          </cell>
          <cell r="P366">
            <v>151.57</v>
          </cell>
          <cell r="Q366">
            <v>1217.8800000000001</v>
          </cell>
          <cell r="R366">
            <v>597.72</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131.15</v>
          </cell>
          <cell r="AO366">
            <v>0</v>
          </cell>
          <cell r="AP366">
            <v>0</v>
          </cell>
          <cell r="AQ366">
            <v>1217.8800000000001</v>
          </cell>
          <cell r="AR366">
            <v>0</v>
          </cell>
          <cell r="AS366">
            <v>0</v>
          </cell>
          <cell r="AT366">
            <v>0</v>
          </cell>
          <cell r="AU366">
            <v>0</v>
          </cell>
        </row>
        <row r="367">
          <cell r="A367" t="str">
            <v>000A1229</v>
          </cell>
          <cell r="B367" t="str">
            <v>SILIKI</v>
          </cell>
          <cell r="C367" t="str">
            <v>PATIENCE PATRICIA</v>
          </cell>
          <cell r="D367" t="str">
            <v>LYON GARIBALDI</v>
          </cell>
          <cell r="E367">
            <v>91</v>
          </cell>
          <cell r="F367" t="str">
            <v>NC NUMERICABLE ILE-DE-FRANCE</v>
          </cell>
          <cell r="G367" t="str">
            <v>VAD ANIMATEURS</v>
          </cell>
          <cell r="H367" t="str">
            <v>SILVESTRE</v>
          </cell>
          <cell r="I367" t="str">
            <v>RHON500001</v>
          </cell>
          <cell r="J367">
            <v>100</v>
          </cell>
          <cell r="K367">
            <v>38651</v>
          </cell>
          <cell r="L367" t="str">
            <v>ANIMATEUR COM.</v>
          </cell>
          <cell r="M367" t="str">
            <v>CADRE</v>
          </cell>
          <cell r="N367" t="str">
            <v>DB</v>
          </cell>
          <cell r="O367" t="str">
            <v>CDI</v>
          </cell>
          <cell r="P367">
            <v>151.57</v>
          </cell>
          <cell r="Q367">
            <v>1800</v>
          </cell>
          <cell r="R367">
            <v>1453.16</v>
          </cell>
          <cell r="S367">
            <v>0</v>
          </cell>
          <cell r="T367">
            <v>700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269.23</v>
          </cell>
          <cell r="AO367">
            <v>0</v>
          </cell>
          <cell r="AP367">
            <v>0</v>
          </cell>
          <cell r="AQ367">
            <v>1800</v>
          </cell>
          <cell r="AR367">
            <v>0</v>
          </cell>
          <cell r="AS367">
            <v>0</v>
          </cell>
          <cell r="AT367">
            <v>0</v>
          </cell>
          <cell r="AU367">
            <v>0</v>
          </cell>
        </row>
        <row r="368">
          <cell r="A368" t="str">
            <v>000A1725</v>
          </cell>
          <cell r="B368" t="str">
            <v>LAFFONTAN</v>
          </cell>
          <cell r="C368" t="str">
            <v>THERESE</v>
          </cell>
          <cell r="D368" t="str">
            <v>BAB</v>
          </cell>
          <cell r="E368">
            <v>91</v>
          </cell>
          <cell r="F368" t="str">
            <v>NC NUMERICABLE ILE-DE-FRANCE</v>
          </cell>
          <cell r="G368" t="str">
            <v>VAD CONSEILLERS</v>
          </cell>
          <cell r="H368" t="str">
            <v>GALERA</v>
          </cell>
          <cell r="I368" t="str">
            <v>SUOU500001</v>
          </cell>
          <cell r="J368">
            <v>100</v>
          </cell>
          <cell r="K368">
            <v>38831</v>
          </cell>
          <cell r="L368" t="str">
            <v>CONSEILLER(E) COM.</v>
          </cell>
          <cell r="M368" t="str">
            <v>TSM</v>
          </cell>
          <cell r="N368" t="str">
            <v>D</v>
          </cell>
          <cell r="O368" t="str">
            <v>CDI</v>
          </cell>
          <cell r="P368">
            <v>151.57</v>
          </cell>
          <cell r="Q368">
            <v>0</v>
          </cell>
          <cell r="R368">
            <v>123.34</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284.17</v>
          </cell>
          <cell r="AR368">
            <v>0</v>
          </cell>
          <cell r="AS368">
            <v>0</v>
          </cell>
          <cell r="AT368">
            <v>0</v>
          </cell>
          <cell r="AU368">
            <v>0</v>
          </cell>
        </row>
        <row r="369">
          <cell r="A369" t="str">
            <v>000A1590</v>
          </cell>
          <cell r="B369" t="str">
            <v>KRARROUBI-CHERIFA</v>
          </cell>
          <cell r="C369" t="str">
            <v>CHRISTOPHE</v>
          </cell>
          <cell r="D369" t="str">
            <v>MARSEILLE</v>
          </cell>
          <cell r="E369">
            <v>91</v>
          </cell>
          <cell r="F369" t="str">
            <v>NC NUMERICABLE ILE-DE-FRANCE</v>
          </cell>
          <cell r="G369" t="str">
            <v>VAD CONSEILLERS</v>
          </cell>
          <cell r="H369" t="str">
            <v>VIVIN</v>
          </cell>
          <cell r="I369" t="str">
            <v>SUES500001</v>
          </cell>
          <cell r="J369">
            <v>100</v>
          </cell>
          <cell r="K369">
            <v>38775</v>
          </cell>
          <cell r="L369" t="str">
            <v>CONSEILLER(E) COM.</v>
          </cell>
          <cell r="M369" t="str">
            <v>TSM</v>
          </cell>
          <cell r="N369" t="str">
            <v>D</v>
          </cell>
          <cell r="O369" t="str">
            <v>CDI</v>
          </cell>
          <cell r="P369">
            <v>151.57</v>
          </cell>
          <cell r="Q369">
            <v>0</v>
          </cell>
          <cell r="R369">
            <v>518.6</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279.8</v>
          </cell>
          <cell r="AO369">
            <v>0</v>
          </cell>
          <cell r="AP369">
            <v>0</v>
          </cell>
          <cell r="AQ369">
            <v>1217.8800000000001</v>
          </cell>
          <cell r="AR369">
            <v>0</v>
          </cell>
          <cell r="AS369">
            <v>0</v>
          </cell>
          <cell r="AT369">
            <v>0</v>
          </cell>
          <cell r="AU369">
            <v>0</v>
          </cell>
        </row>
        <row r="370">
          <cell r="A370" t="str">
            <v>000A1107</v>
          </cell>
          <cell r="B370" t="str">
            <v>ROUSSEAU</v>
          </cell>
          <cell r="C370" t="str">
            <v>GREGORY</v>
          </cell>
          <cell r="D370" t="str">
            <v>DUNKERQUE</v>
          </cell>
          <cell r="E370">
            <v>91</v>
          </cell>
          <cell r="F370" t="str">
            <v>NC NUMERICABLE ILE-DE-FRANCE</v>
          </cell>
          <cell r="G370" t="str">
            <v>VAD CONSEILLERS</v>
          </cell>
          <cell r="H370" t="str">
            <v>FERNANDEZ M</v>
          </cell>
          <cell r="I370" t="str">
            <v>NPCA500001</v>
          </cell>
          <cell r="J370">
            <v>100</v>
          </cell>
          <cell r="K370">
            <v>38628</v>
          </cell>
          <cell r="L370" t="str">
            <v>CONSEILLER(E) COM.</v>
          </cell>
          <cell r="M370" t="str">
            <v>TSM</v>
          </cell>
          <cell r="N370" t="str">
            <v>D</v>
          </cell>
          <cell r="O370" t="str">
            <v>CDI</v>
          </cell>
          <cell r="P370">
            <v>151.57</v>
          </cell>
          <cell r="Q370">
            <v>1217.8800000000001</v>
          </cell>
          <cell r="R370">
            <v>1179.17</v>
          </cell>
          <cell r="S370">
            <v>0</v>
          </cell>
          <cell r="T370">
            <v>2102</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335.68</v>
          </cell>
          <cell r="AO370">
            <v>0</v>
          </cell>
          <cell r="AP370">
            <v>0</v>
          </cell>
          <cell r="AQ370">
            <v>1014.9</v>
          </cell>
          <cell r="AR370">
            <v>0</v>
          </cell>
          <cell r="AS370">
            <v>0</v>
          </cell>
          <cell r="AT370">
            <v>0</v>
          </cell>
          <cell r="AU370">
            <v>0</v>
          </cell>
        </row>
        <row r="371">
          <cell r="A371" t="str">
            <v>000A1058</v>
          </cell>
          <cell r="B371" t="str">
            <v>NAYO</v>
          </cell>
          <cell r="C371" t="str">
            <v>KOSSI</v>
          </cell>
          <cell r="D371" t="str">
            <v>LA MADELEINE</v>
          </cell>
          <cell r="E371">
            <v>91</v>
          </cell>
          <cell r="F371" t="str">
            <v>NC NUMERICABLE ILE-DE-FRANCE</v>
          </cell>
          <cell r="G371" t="str">
            <v>VAD CONSEILLERS</v>
          </cell>
          <cell r="H371" t="str">
            <v>DESCATOIRE</v>
          </cell>
          <cell r="I371" t="str">
            <v>NPCA500001</v>
          </cell>
          <cell r="J371">
            <v>100</v>
          </cell>
          <cell r="K371">
            <v>38628</v>
          </cell>
          <cell r="L371" t="str">
            <v>CONSEILLER(E) COM.</v>
          </cell>
          <cell r="M371" t="str">
            <v>TSM</v>
          </cell>
          <cell r="N371" t="str">
            <v>D</v>
          </cell>
          <cell r="O371" t="str">
            <v>CDI</v>
          </cell>
          <cell r="P371">
            <v>151.57</v>
          </cell>
          <cell r="Q371">
            <v>1217.8800000000001</v>
          </cell>
          <cell r="R371">
            <v>1163.47</v>
          </cell>
          <cell r="S371">
            <v>0</v>
          </cell>
          <cell r="T371">
            <v>1800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324.99</v>
          </cell>
          <cell r="AO371">
            <v>0</v>
          </cell>
          <cell r="AP371">
            <v>0</v>
          </cell>
          <cell r="AQ371">
            <v>1217.8800000000001</v>
          </cell>
          <cell r="AR371">
            <v>0</v>
          </cell>
          <cell r="AS371">
            <v>0</v>
          </cell>
          <cell r="AT371">
            <v>0</v>
          </cell>
          <cell r="AU371">
            <v>0</v>
          </cell>
        </row>
        <row r="372">
          <cell r="A372" t="str">
            <v>000A1685</v>
          </cell>
          <cell r="B372" t="str">
            <v>KOUANDE</v>
          </cell>
          <cell r="C372" t="str">
            <v>YAPO FAUSTIN</v>
          </cell>
          <cell r="D372" t="str">
            <v>LYON GARIBALDI</v>
          </cell>
          <cell r="E372">
            <v>91</v>
          </cell>
          <cell r="F372" t="str">
            <v>NC NUMERICABLE ILE-DE-FRANCE</v>
          </cell>
          <cell r="G372" t="str">
            <v>VAD CONSEILLERS</v>
          </cell>
          <cell r="H372" t="str">
            <v>DONT</v>
          </cell>
          <cell r="I372" t="str">
            <v>RHON500001</v>
          </cell>
          <cell r="J372">
            <v>100</v>
          </cell>
          <cell r="K372">
            <v>38796</v>
          </cell>
          <cell r="L372" t="str">
            <v>CONSEILLER(E) COM.</v>
          </cell>
          <cell r="M372" t="str">
            <v>TSM</v>
          </cell>
          <cell r="N372" t="str">
            <v>D</v>
          </cell>
          <cell r="O372" t="str">
            <v>CDI</v>
          </cell>
          <cell r="P372">
            <v>151.57</v>
          </cell>
          <cell r="Q372">
            <v>0</v>
          </cell>
          <cell r="R372">
            <v>463.11</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1705.03</v>
          </cell>
          <cell r="AR372">
            <v>0</v>
          </cell>
          <cell r="AS372">
            <v>0</v>
          </cell>
          <cell r="AT372">
            <v>0</v>
          </cell>
          <cell r="AU372">
            <v>0</v>
          </cell>
        </row>
        <row r="373">
          <cell r="A373" t="str">
            <v>000A1033</v>
          </cell>
          <cell r="B373" t="str">
            <v>RIBADEAU-DUMAS</v>
          </cell>
          <cell r="C373" t="str">
            <v>CORALIE</v>
          </cell>
          <cell r="D373" t="str">
            <v>SIEGE</v>
          </cell>
          <cell r="E373">
            <v>91</v>
          </cell>
          <cell r="F373" t="str">
            <v>NC NUMERICABLE ILE-DE-FRANCE</v>
          </cell>
          <cell r="G373" t="str">
            <v>DIRECTION RESS HUM</v>
          </cell>
          <cell r="H373" t="str">
            <v>LUCIANI</v>
          </cell>
          <cell r="I373" t="str">
            <v>GENE703001</v>
          </cell>
          <cell r="J373">
            <v>100</v>
          </cell>
          <cell r="K373">
            <v>38601</v>
          </cell>
          <cell r="L373" t="str">
            <v>ASS.  RES. HUMAINES NIV.2</v>
          </cell>
          <cell r="M373" t="str">
            <v>TSM</v>
          </cell>
          <cell r="N373" t="str">
            <v>D</v>
          </cell>
          <cell r="O373" t="str">
            <v>CDD</v>
          </cell>
          <cell r="P373">
            <v>151.57</v>
          </cell>
          <cell r="Q373">
            <v>2450</v>
          </cell>
          <cell r="R373">
            <v>1258.9000000000001</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263.85000000000002</v>
          </cell>
          <cell r="AO373">
            <v>23.61</v>
          </cell>
          <cell r="AP373">
            <v>0</v>
          </cell>
          <cell r="AQ373">
            <v>2450</v>
          </cell>
          <cell r="AR373">
            <v>0</v>
          </cell>
          <cell r="AS373">
            <v>0</v>
          </cell>
          <cell r="AT373">
            <v>0</v>
          </cell>
          <cell r="AU373">
            <v>0</v>
          </cell>
        </row>
        <row r="374">
          <cell r="A374" t="str">
            <v>000N0007</v>
          </cell>
          <cell r="B374" t="str">
            <v>SPAGNOLINI</v>
          </cell>
          <cell r="C374" t="str">
            <v>DANIEL</v>
          </cell>
          <cell r="D374" t="str">
            <v>NICE</v>
          </cell>
          <cell r="E374">
            <v>91</v>
          </cell>
          <cell r="F374" t="str">
            <v>NC NUMERICABLE ILE-DE-FRANCE</v>
          </cell>
          <cell r="G374" t="str">
            <v>MAINTENANCE RESEAU</v>
          </cell>
          <cell r="I374" t="str">
            <v>GENE905001</v>
          </cell>
          <cell r="J374">
            <v>100</v>
          </cell>
          <cell r="K374">
            <v>32167</v>
          </cell>
          <cell r="L374" t="str">
            <v>RESP.TECH.EXPL.</v>
          </cell>
          <cell r="M374" t="str">
            <v>CADRE</v>
          </cell>
          <cell r="N374" t="str">
            <v>E</v>
          </cell>
          <cell r="O374" t="str">
            <v>CDI</v>
          </cell>
          <cell r="P374">
            <v>151.57</v>
          </cell>
          <cell r="Q374">
            <v>3380</v>
          </cell>
          <cell r="R374">
            <v>1272.51</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150.86000000000001</v>
          </cell>
          <cell r="AN374">
            <v>382.58</v>
          </cell>
          <cell r="AO374">
            <v>150.86000000000001</v>
          </cell>
          <cell r="AP374">
            <v>0</v>
          </cell>
          <cell r="AQ374">
            <v>3380</v>
          </cell>
          <cell r="AR374">
            <v>0</v>
          </cell>
          <cell r="AS374">
            <v>0</v>
          </cell>
          <cell r="AT374">
            <v>0</v>
          </cell>
          <cell r="AU374">
            <v>0</v>
          </cell>
        </row>
        <row r="375">
          <cell r="A375" t="str">
            <v>000F0267</v>
          </cell>
          <cell r="B375" t="str">
            <v>TALBI</v>
          </cell>
          <cell r="C375" t="str">
            <v>SERGE</v>
          </cell>
          <cell r="D375" t="str">
            <v>TOULOUSE</v>
          </cell>
          <cell r="E375">
            <v>91</v>
          </cell>
          <cell r="F375" t="str">
            <v>NC NUMERICABLE ILE-DE-FRANCE</v>
          </cell>
          <cell r="G375" t="str">
            <v>VAD RCR</v>
          </cell>
          <cell r="H375" t="str">
            <v>LORCET</v>
          </cell>
          <cell r="I375" t="str">
            <v>GENE549001</v>
          </cell>
          <cell r="J375">
            <v>100</v>
          </cell>
          <cell r="K375">
            <v>34816</v>
          </cell>
          <cell r="L375" t="str">
            <v>RESPONSABLE COM.</v>
          </cell>
          <cell r="M375" t="str">
            <v>CADRE</v>
          </cell>
          <cell r="N375" t="str">
            <v>E</v>
          </cell>
          <cell r="O375" t="str">
            <v>CDI</v>
          </cell>
          <cell r="P375">
            <v>151.57</v>
          </cell>
          <cell r="Q375">
            <v>3541.66</v>
          </cell>
          <cell r="R375">
            <v>4363.8900000000003</v>
          </cell>
          <cell r="S375">
            <v>0</v>
          </cell>
          <cell r="T375">
            <v>3440.1</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931.94</v>
          </cell>
          <cell r="AO375">
            <v>0</v>
          </cell>
          <cell r="AP375">
            <v>0</v>
          </cell>
          <cell r="AQ375">
            <v>5041.67</v>
          </cell>
          <cell r="AR375">
            <v>0</v>
          </cell>
          <cell r="AS375">
            <v>0</v>
          </cell>
          <cell r="AT375">
            <v>0</v>
          </cell>
          <cell r="AU375">
            <v>0</v>
          </cell>
        </row>
        <row r="376">
          <cell r="A376" t="str">
            <v>000BL001</v>
          </cell>
          <cell r="B376" t="str">
            <v>LAFORET</v>
          </cell>
          <cell r="C376" t="str">
            <v>GEORGES</v>
          </cell>
          <cell r="D376" t="str">
            <v>VILLEURBANNE</v>
          </cell>
          <cell r="E376">
            <v>91</v>
          </cell>
          <cell r="F376" t="str">
            <v>NC NUMERICABLE ILE-DE-FRANCE</v>
          </cell>
          <cell r="G376" t="str">
            <v>INFORMATIQUE</v>
          </cell>
          <cell r="H376" t="str">
            <v>CANAS</v>
          </cell>
          <cell r="I376" t="str">
            <v>GENE620001</v>
          </cell>
          <cell r="J376">
            <v>100</v>
          </cell>
          <cell r="K376">
            <v>34366</v>
          </cell>
          <cell r="L376" t="str">
            <v>SUPPORT EXP. PROD.</v>
          </cell>
          <cell r="M376" t="str">
            <v>TSM</v>
          </cell>
          <cell r="N376" t="str">
            <v>D</v>
          </cell>
          <cell r="O376" t="str">
            <v>CDI</v>
          </cell>
          <cell r="P376">
            <v>151.57</v>
          </cell>
          <cell r="Q376">
            <v>2093.48</v>
          </cell>
          <cell r="R376">
            <v>1356.37</v>
          </cell>
          <cell r="S376">
            <v>0</v>
          </cell>
          <cell r="T376">
            <v>0</v>
          </cell>
          <cell r="U376">
            <v>0</v>
          </cell>
          <cell r="V376">
            <v>0</v>
          </cell>
          <cell r="W376">
            <v>0</v>
          </cell>
          <cell r="X376">
            <v>95</v>
          </cell>
          <cell r="Y376">
            <v>0</v>
          </cell>
          <cell r="Z376">
            <v>0</v>
          </cell>
          <cell r="AA376">
            <v>0</v>
          </cell>
          <cell r="AB376">
            <v>0</v>
          </cell>
          <cell r="AC376">
            <v>0</v>
          </cell>
          <cell r="AD376">
            <v>0</v>
          </cell>
          <cell r="AE376">
            <v>0</v>
          </cell>
          <cell r="AF376">
            <v>165.74</v>
          </cell>
          <cell r="AG376">
            <v>34.53</v>
          </cell>
          <cell r="AH376">
            <v>24.17</v>
          </cell>
          <cell r="AI376">
            <v>0</v>
          </cell>
          <cell r="AJ376">
            <v>17.260000000000002</v>
          </cell>
          <cell r="AK376">
            <v>0</v>
          </cell>
          <cell r="AL376">
            <v>0</v>
          </cell>
          <cell r="AM376">
            <v>0</v>
          </cell>
          <cell r="AN376">
            <v>261.7</v>
          </cell>
          <cell r="AO376">
            <v>0</v>
          </cell>
          <cell r="AP376">
            <v>0</v>
          </cell>
          <cell r="AQ376">
            <v>2317.92</v>
          </cell>
          <cell r="AR376">
            <v>112.26</v>
          </cell>
          <cell r="AS376">
            <v>0</v>
          </cell>
          <cell r="AT376">
            <v>0</v>
          </cell>
          <cell r="AU376">
            <v>0</v>
          </cell>
        </row>
        <row r="377">
          <cell r="A377" t="str">
            <v>BJ055</v>
          </cell>
          <cell r="B377" t="str">
            <v>JUAN</v>
          </cell>
          <cell r="C377" t="str">
            <v>REGIS</v>
          </cell>
          <cell r="D377" t="str">
            <v>TOULOUSE</v>
          </cell>
          <cell r="E377">
            <v>91</v>
          </cell>
          <cell r="F377" t="str">
            <v>NC NUMERICABLE ILE-DE-FRANCE</v>
          </cell>
          <cell r="G377" t="str">
            <v>DISTRIBUTEUR</v>
          </cell>
          <cell r="H377" t="str">
            <v>TUTTOLOMONDO</v>
          </cell>
          <cell r="I377" t="str">
            <v>SUOU506001</v>
          </cell>
          <cell r="J377">
            <v>100</v>
          </cell>
          <cell r="K377">
            <v>36689</v>
          </cell>
          <cell r="L377" t="str">
            <v>ATTACHE COMMERCIAL</v>
          </cell>
          <cell r="M377" t="str">
            <v>CADRE</v>
          </cell>
          <cell r="N377" t="str">
            <v>DB</v>
          </cell>
          <cell r="O377" t="str">
            <v>CDI</v>
          </cell>
          <cell r="P377">
            <v>151.57</v>
          </cell>
          <cell r="Q377">
            <v>1979</v>
          </cell>
          <cell r="R377">
            <v>1933.75</v>
          </cell>
          <cell r="S377">
            <v>0</v>
          </cell>
          <cell r="T377">
            <v>1884.27</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461.82</v>
          </cell>
          <cell r="AO377">
            <v>0</v>
          </cell>
          <cell r="AP377">
            <v>0</v>
          </cell>
          <cell r="AQ377">
            <v>1796.35</v>
          </cell>
          <cell r="AR377">
            <v>0</v>
          </cell>
          <cell r="AS377">
            <v>0</v>
          </cell>
          <cell r="AT377">
            <v>0</v>
          </cell>
          <cell r="AU377">
            <v>0</v>
          </cell>
        </row>
        <row r="378">
          <cell r="A378" t="str">
            <v>000BF092</v>
          </cell>
          <cell r="B378" t="str">
            <v>FAURE PRAT</v>
          </cell>
          <cell r="C378" t="str">
            <v>MARIANNE</v>
          </cell>
          <cell r="D378" t="str">
            <v>SIEGE</v>
          </cell>
          <cell r="E378">
            <v>91</v>
          </cell>
          <cell r="F378" t="str">
            <v>NC NUMERICABLE ILE-DE-FRANCE</v>
          </cell>
          <cell r="G378" t="str">
            <v>BACK OFFICE</v>
          </cell>
          <cell r="I378" t="str">
            <v>GENE905001</v>
          </cell>
          <cell r="J378">
            <v>100</v>
          </cell>
          <cell r="K378">
            <v>36192</v>
          </cell>
          <cell r="L378" t="str">
            <v>ANIMATEUR COM.</v>
          </cell>
          <cell r="M378" t="str">
            <v>CADRE</v>
          </cell>
          <cell r="N378" t="str">
            <v>DB</v>
          </cell>
          <cell r="O378" t="str">
            <v>CDI</v>
          </cell>
          <cell r="P378">
            <v>151.57</v>
          </cell>
          <cell r="Q378">
            <v>2211</v>
          </cell>
          <cell r="R378">
            <v>379.35</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323.73</v>
          </cell>
          <cell r="AN378">
            <v>238.1</v>
          </cell>
          <cell r="AO378">
            <v>323.73</v>
          </cell>
          <cell r="AP378">
            <v>0</v>
          </cell>
          <cell r="AQ378">
            <v>2211</v>
          </cell>
          <cell r="AR378">
            <v>0</v>
          </cell>
          <cell r="AS378">
            <v>0</v>
          </cell>
          <cell r="AT378">
            <v>0</v>
          </cell>
          <cell r="AU378">
            <v>0</v>
          </cell>
        </row>
        <row r="379">
          <cell r="A379" t="str">
            <v>000A0826</v>
          </cell>
          <cell r="B379" t="str">
            <v>LAMBERT</v>
          </cell>
          <cell r="C379" t="str">
            <v>ERIC</v>
          </cell>
          <cell r="D379" t="str">
            <v>SIEGE</v>
          </cell>
          <cell r="E379">
            <v>91</v>
          </cell>
          <cell r="F379" t="str">
            <v>NC NUMERICABLE ILE-DE-FRANCE</v>
          </cell>
          <cell r="G379" t="str">
            <v>MAINTENANCE RESEAU</v>
          </cell>
          <cell r="H379" t="str">
            <v>PERRAIN</v>
          </cell>
          <cell r="I379" t="str">
            <v>GENE320001</v>
          </cell>
          <cell r="J379">
            <v>100</v>
          </cell>
          <cell r="K379">
            <v>36808</v>
          </cell>
          <cell r="L379" t="str">
            <v>RESP.TECH.EXP.NAT.</v>
          </cell>
          <cell r="M379" t="str">
            <v>CADRE</v>
          </cell>
          <cell r="N379" t="str">
            <v>F</v>
          </cell>
          <cell r="O379" t="str">
            <v>CDI</v>
          </cell>
          <cell r="P379">
            <v>151.57</v>
          </cell>
          <cell r="Q379">
            <v>5425</v>
          </cell>
          <cell r="R379">
            <v>2822.09</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611.46</v>
          </cell>
          <cell r="AO379">
            <v>0</v>
          </cell>
          <cell r="AP379">
            <v>0</v>
          </cell>
          <cell r="AQ379">
            <v>5425</v>
          </cell>
          <cell r="AR379">
            <v>0</v>
          </cell>
          <cell r="AS379">
            <v>0</v>
          </cell>
          <cell r="AT379">
            <v>0</v>
          </cell>
          <cell r="AU379">
            <v>0</v>
          </cell>
        </row>
        <row r="380">
          <cell r="A380">
            <v>249</v>
          </cell>
          <cell r="B380" t="str">
            <v>AMBERT</v>
          </cell>
          <cell r="C380" t="str">
            <v>JACQUES</v>
          </cell>
          <cell r="D380" t="str">
            <v>VANVES</v>
          </cell>
          <cell r="E380">
            <v>91</v>
          </cell>
          <cell r="F380" t="str">
            <v>NC NUMERICABLE ILE-DE-FRANCE</v>
          </cell>
          <cell r="G380" t="str">
            <v>INGENIERIE RESEAUX</v>
          </cell>
          <cell r="H380" t="str">
            <v>TRUYENS</v>
          </cell>
          <cell r="I380" t="str">
            <v>GENE306001</v>
          </cell>
          <cell r="J380">
            <v>100</v>
          </cell>
          <cell r="K380">
            <v>33056</v>
          </cell>
          <cell r="L380" t="str">
            <v>RESP. TECH. SUPPORT</v>
          </cell>
          <cell r="M380" t="str">
            <v>CADRE</v>
          </cell>
          <cell r="N380" t="str">
            <v>E</v>
          </cell>
          <cell r="O380" t="str">
            <v>CDI</v>
          </cell>
          <cell r="P380">
            <v>151.57</v>
          </cell>
          <cell r="Q380">
            <v>4028</v>
          </cell>
          <cell r="R380">
            <v>2112.5300000000002</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219</v>
          </cell>
          <cell r="AL380">
            <v>0</v>
          </cell>
          <cell r="AM380">
            <v>0</v>
          </cell>
          <cell r="AN380">
            <v>479.17</v>
          </cell>
          <cell r="AO380">
            <v>0</v>
          </cell>
          <cell r="AP380">
            <v>0</v>
          </cell>
          <cell r="AQ380">
            <v>3842.12</v>
          </cell>
          <cell r="AR380">
            <v>0</v>
          </cell>
          <cell r="AS380">
            <v>219</v>
          </cell>
          <cell r="AT380">
            <v>0</v>
          </cell>
          <cell r="AU380">
            <v>0</v>
          </cell>
        </row>
        <row r="381">
          <cell r="A381" t="str">
            <v>000F0097</v>
          </cell>
          <cell r="B381" t="str">
            <v>PERON</v>
          </cell>
          <cell r="C381" t="str">
            <v>OLIVIER</v>
          </cell>
          <cell r="D381" t="str">
            <v>NANTES</v>
          </cell>
          <cell r="E381">
            <v>91</v>
          </cell>
          <cell r="F381" t="str">
            <v>NC NUMERICABLE ILE-DE-FRANCE</v>
          </cell>
          <cell r="G381" t="str">
            <v>TRAVAUX</v>
          </cell>
          <cell r="H381" t="str">
            <v>DUPEBE</v>
          </cell>
          <cell r="I381" t="str">
            <v>SUOU300001</v>
          </cell>
          <cell r="J381">
            <v>100</v>
          </cell>
          <cell r="K381">
            <v>33308</v>
          </cell>
          <cell r="L381" t="str">
            <v>CHEF GROUPE TRAVAUX</v>
          </cell>
          <cell r="M381" t="str">
            <v>CADRE</v>
          </cell>
          <cell r="N381" t="str">
            <v>DB</v>
          </cell>
          <cell r="O381" t="str">
            <v>CDI</v>
          </cell>
          <cell r="P381">
            <v>151.57</v>
          </cell>
          <cell r="Q381">
            <v>2584.39</v>
          </cell>
          <cell r="R381">
            <v>1345.48</v>
          </cell>
          <cell r="S381">
            <v>0</v>
          </cell>
          <cell r="T381">
            <v>78.209999999999994</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287.06</v>
          </cell>
          <cell r="AO381">
            <v>0</v>
          </cell>
          <cell r="AP381">
            <v>0</v>
          </cell>
          <cell r="AQ381">
            <v>2465.13</v>
          </cell>
          <cell r="AR381">
            <v>0</v>
          </cell>
          <cell r="AS381">
            <v>0</v>
          </cell>
          <cell r="AT381">
            <v>0</v>
          </cell>
          <cell r="AU381">
            <v>0</v>
          </cell>
        </row>
        <row r="382">
          <cell r="A382" t="str">
            <v>000A0705</v>
          </cell>
          <cell r="B382" t="str">
            <v>HIMICHE</v>
          </cell>
          <cell r="C382" t="str">
            <v>ABDEL KRIM</v>
          </cell>
          <cell r="D382" t="str">
            <v>VANVES</v>
          </cell>
          <cell r="E382">
            <v>91</v>
          </cell>
          <cell r="F382" t="str">
            <v>NC NUMERICABLE ILE-DE-FRANCE</v>
          </cell>
          <cell r="G382" t="str">
            <v>SUPPORT ET EXPERTISE</v>
          </cell>
          <cell r="H382" t="str">
            <v>ROIRON</v>
          </cell>
          <cell r="I382" t="str">
            <v>GENE306001</v>
          </cell>
          <cell r="J382">
            <v>100</v>
          </cell>
          <cell r="K382">
            <v>36130</v>
          </cell>
          <cell r="L382" t="str">
            <v>CHEF GROUPE TECH. SUP.</v>
          </cell>
          <cell r="M382" t="str">
            <v>CADRE</v>
          </cell>
          <cell r="N382" t="str">
            <v>DB</v>
          </cell>
          <cell r="O382" t="str">
            <v>CDI</v>
          </cell>
          <cell r="P382">
            <v>151.57</v>
          </cell>
          <cell r="Q382">
            <v>2391.9</v>
          </cell>
          <cell r="R382">
            <v>1558.6</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362.96</v>
          </cell>
          <cell r="AG382">
            <v>78.91</v>
          </cell>
          <cell r="AH382">
            <v>51.29</v>
          </cell>
          <cell r="AI382">
            <v>0</v>
          </cell>
          <cell r="AJ382">
            <v>481.29</v>
          </cell>
          <cell r="AK382">
            <v>388</v>
          </cell>
          <cell r="AL382">
            <v>0</v>
          </cell>
          <cell r="AM382">
            <v>0</v>
          </cell>
          <cell r="AN382">
            <v>404.29</v>
          </cell>
          <cell r="AO382">
            <v>38.68</v>
          </cell>
          <cell r="AP382">
            <v>0</v>
          </cell>
          <cell r="AQ382">
            <v>2885.06</v>
          </cell>
          <cell r="AR382">
            <v>481.29</v>
          </cell>
          <cell r="AS382">
            <v>388</v>
          </cell>
          <cell r="AT382">
            <v>0</v>
          </cell>
          <cell r="AU382">
            <v>0</v>
          </cell>
        </row>
        <row r="383">
          <cell r="A383">
            <v>1315</v>
          </cell>
          <cell r="B383" t="str">
            <v>GOULAMOUGAIDING</v>
          </cell>
          <cell r="C383" t="str">
            <v>NAZIR</v>
          </cell>
          <cell r="D383" t="str">
            <v>VERSAILLES</v>
          </cell>
          <cell r="E383">
            <v>91</v>
          </cell>
          <cell r="F383" t="str">
            <v>NC NUMERICABLE ILE-DE-FRANCE</v>
          </cell>
          <cell r="G383" t="str">
            <v>VAD CONSEILLERS</v>
          </cell>
          <cell r="H383" t="str">
            <v>SELLAMI</v>
          </cell>
          <cell r="I383" t="str">
            <v>IDFR500001</v>
          </cell>
          <cell r="J383">
            <v>100</v>
          </cell>
          <cell r="K383">
            <v>38670</v>
          </cell>
          <cell r="L383" t="str">
            <v>CONSEILLER(E) COM.</v>
          </cell>
          <cell r="M383" t="str">
            <v>TSM</v>
          </cell>
          <cell r="N383" t="str">
            <v>D</v>
          </cell>
          <cell r="O383" t="str">
            <v>CDI</v>
          </cell>
          <cell r="P383">
            <v>151.57</v>
          </cell>
          <cell r="Q383">
            <v>1217.8800000000001</v>
          </cell>
          <cell r="R383">
            <v>1604.25</v>
          </cell>
          <cell r="S383">
            <v>0</v>
          </cell>
          <cell r="T383">
            <v>3000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454.24</v>
          </cell>
          <cell r="AO383">
            <v>0</v>
          </cell>
          <cell r="AP383">
            <v>0</v>
          </cell>
          <cell r="AQ383">
            <v>1217.8800000000001</v>
          </cell>
          <cell r="AR383">
            <v>0</v>
          </cell>
          <cell r="AS383">
            <v>0</v>
          </cell>
          <cell r="AT383">
            <v>0</v>
          </cell>
          <cell r="AU383">
            <v>0</v>
          </cell>
        </row>
        <row r="384">
          <cell r="A384" t="str">
            <v>000A1390</v>
          </cell>
          <cell r="B384" t="str">
            <v>MONCHICOURT</v>
          </cell>
          <cell r="C384" t="str">
            <v>MATTHIAS</v>
          </cell>
          <cell r="D384" t="str">
            <v>CAEN</v>
          </cell>
          <cell r="E384">
            <v>91</v>
          </cell>
          <cell r="F384" t="str">
            <v>NC NUMERICABLE ILE-DE-FRANCE</v>
          </cell>
          <cell r="G384" t="str">
            <v>VAD CONSEILLERS</v>
          </cell>
          <cell r="H384" t="str">
            <v>ALLAIN G</v>
          </cell>
          <cell r="I384" t="str">
            <v>OUES500001</v>
          </cell>
          <cell r="J384">
            <v>100</v>
          </cell>
          <cell r="K384">
            <v>38726</v>
          </cell>
          <cell r="L384" t="str">
            <v>CONSEILLER(E) COM.</v>
          </cell>
          <cell r="M384" t="str">
            <v>TSM</v>
          </cell>
          <cell r="N384" t="str">
            <v>D</v>
          </cell>
          <cell r="O384" t="str">
            <v>CDI</v>
          </cell>
          <cell r="P384">
            <v>151.57</v>
          </cell>
          <cell r="Q384">
            <v>1217.8800000000001</v>
          </cell>
          <cell r="R384">
            <v>1415.92</v>
          </cell>
          <cell r="S384">
            <v>0</v>
          </cell>
          <cell r="T384">
            <v>2500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400.38</v>
          </cell>
          <cell r="AO384">
            <v>0</v>
          </cell>
          <cell r="AP384">
            <v>0</v>
          </cell>
          <cell r="AQ384">
            <v>1217.8800000000001</v>
          </cell>
          <cell r="AR384">
            <v>0</v>
          </cell>
          <cell r="AS384">
            <v>0</v>
          </cell>
          <cell r="AT384">
            <v>0</v>
          </cell>
          <cell r="AU384">
            <v>0</v>
          </cell>
        </row>
        <row r="385">
          <cell r="A385" t="str">
            <v>000A1586</v>
          </cell>
          <cell r="B385" t="str">
            <v>GUERRERO</v>
          </cell>
          <cell r="C385" t="str">
            <v>REMI</v>
          </cell>
          <cell r="D385" t="str">
            <v>LA MADELEINE</v>
          </cell>
          <cell r="E385">
            <v>91</v>
          </cell>
          <cell r="F385" t="str">
            <v>NC NUMERICABLE ILE-DE-FRANCE</v>
          </cell>
          <cell r="G385" t="str">
            <v>VAD CONSEILLERS</v>
          </cell>
          <cell r="H385" t="str">
            <v>GUIONNET</v>
          </cell>
          <cell r="I385" t="str">
            <v>NPCA500001</v>
          </cell>
          <cell r="J385">
            <v>100</v>
          </cell>
          <cell r="K385">
            <v>38768</v>
          </cell>
          <cell r="L385" t="str">
            <v>CONSEILLER(E) COM.</v>
          </cell>
          <cell r="M385" t="str">
            <v>TSM</v>
          </cell>
          <cell r="N385" t="str">
            <v>D</v>
          </cell>
          <cell r="O385" t="str">
            <v>CDI</v>
          </cell>
          <cell r="P385">
            <v>151.57</v>
          </cell>
          <cell r="Q385">
            <v>0</v>
          </cell>
          <cell r="R385">
            <v>989.55</v>
          </cell>
          <cell r="S385">
            <v>0</v>
          </cell>
          <cell r="T385">
            <v>1300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441.66</v>
          </cell>
          <cell r="AO385">
            <v>0</v>
          </cell>
          <cell r="AP385">
            <v>0</v>
          </cell>
          <cell r="AQ385">
            <v>1217.8800000000001</v>
          </cell>
          <cell r="AR385">
            <v>0</v>
          </cell>
          <cell r="AS385">
            <v>0</v>
          </cell>
          <cell r="AT385">
            <v>0</v>
          </cell>
          <cell r="AU385">
            <v>0</v>
          </cell>
        </row>
        <row r="386">
          <cell r="A386" t="str">
            <v>000A1418</v>
          </cell>
          <cell r="B386" t="str">
            <v>ZARROUG</v>
          </cell>
          <cell r="C386" t="str">
            <v>DALEIL</v>
          </cell>
          <cell r="D386" t="str">
            <v>SAINT ETIENNE</v>
          </cell>
          <cell r="E386">
            <v>91</v>
          </cell>
          <cell r="F386" t="str">
            <v>NC NUMERICABLE ILE-DE-FRANCE</v>
          </cell>
          <cell r="G386" t="str">
            <v>VAD CONSEILLERS</v>
          </cell>
          <cell r="H386" t="str">
            <v>KUDONOO</v>
          </cell>
          <cell r="I386" t="str">
            <v>RHON500001</v>
          </cell>
          <cell r="J386">
            <v>100</v>
          </cell>
          <cell r="K386">
            <v>38740</v>
          </cell>
          <cell r="L386" t="str">
            <v>CONSEILLER(E) COM.</v>
          </cell>
          <cell r="M386" t="str">
            <v>TSM</v>
          </cell>
          <cell r="N386" t="str">
            <v>D</v>
          </cell>
          <cell r="O386" t="str">
            <v>CDI</v>
          </cell>
          <cell r="P386">
            <v>151.57</v>
          </cell>
          <cell r="Q386">
            <v>1583.24</v>
          </cell>
          <cell r="R386">
            <v>2226.88</v>
          </cell>
          <cell r="S386">
            <v>0</v>
          </cell>
          <cell r="T386">
            <v>4850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653.47</v>
          </cell>
          <cell r="AO386">
            <v>0</v>
          </cell>
          <cell r="AP386">
            <v>0</v>
          </cell>
          <cell r="AQ386">
            <v>1217.8800000000001</v>
          </cell>
          <cell r="AR386">
            <v>0</v>
          </cell>
          <cell r="AS386">
            <v>0</v>
          </cell>
          <cell r="AT386">
            <v>0</v>
          </cell>
          <cell r="AU386">
            <v>0</v>
          </cell>
        </row>
        <row r="387">
          <cell r="A387" t="str">
            <v>000A1425</v>
          </cell>
          <cell r="B387" t="str">
            <v>ROYER</v>
          </cell>
          <cell r="C387" t="str">
            <v>JULIE</v>
          </cell>
          <cell r="D387" t="str">
            <v>BREST</v>
          </cell>
          <cell r="E387">
            <v>91</v>
          </cell>
          <cell r="F387" t="str">
            <v>NC NUMERICABLE ILE-DE-FRANCE</v>
          </cell>
          <cell r="G387" t="str">
            <v>VAD CONSEILLERS</v>
          </cell>
          <cell r="H387" t="str">
            <v>HOUGET</v>
          </cell>
          <cell r="I387" t="str">
            <v>OUES500001</v>
          </cell>
          <cell r="J387">
            <v>100</v>
          </cell>
          <cell r="K387">
            <v>38747</v>
          </cell>
          <cell r="L387" t="str">
            <v>CONSEILLER(E) COM.</v>
          </cell>
          <cell r="M387" t="str">
            <v>TSM</v>
          </cell>
          <cell r="N387" t="str">
            <v>D</v>
          </cell>
          <cell r="O387" t="str">
            <v>CDI</v>
          </cell>
          <cell r="P387">
            <v>151.57</v>
          </cell>
          <cell r="Q387">
            <v>1299.07</v>
          </cell>
          <cell r="R387">
            <v>433.41</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131.16</v>
          </cell>
          <cell r="AO387">
            <v>0</v>
          </cell>
          <cell r="AP387">
            <v>0</v>
          </cell>
          <cell r="AQ387">
            <v>1217.8800000000001</v>
          </cell>
          <cell r="AR387">
            <v>0</v>
          </cell>
          <cell r="AS387">
            <v>0</v>
          </cell>
          <cell r="AT387">
            <v>0</v>
          </cell>
          <cell r="AU387">
            <v>0</v>
          </cell>
        </row>
        <row r="388">
          <cell r="A388" t="str">
            <v>000A1349</v>
          </cell>
          <cell r="B388" t="str">
            <v>DIAKITE</v>
          </cell>
          <cell r="C388" t="str">
            <v>IBRAHIM</v>
          </cell>
          <cell r="D388" t="str">
            <v>VERSAILLES</v>
          </cell>
          <cell r="E388">
            <v>91</v>
          </cell>
          <cell r="F388" t="str">
            <v>NC NUMERICABLE ILE-DE-FRANCE</v>
          </cell>
          <cell r="G388" t="str">
            <v>VAD CONSEILLERS</v>
          </cell>
          <cell r="H388" t="str">
            <v>FERRADJ</v>
          </cell>
          <cell r="I388" t="str">
            <v>IDFR500001</v>
          </cell>
          <cell r="J388">
            <v>100</v>
          </cell>
          <cell r="K388">
            <v>38677</v>
          </cell>
          <cell r="L388" t="str">
            <v>CONSEILLER(E) COM.</v>
          </cell>
          <cell r="M388" t="str">
            <v>TSM</v>
          </cell>
          <cell r="N388" t="str">
            <v>D</v>
          </cell>
          <cell r="O388" t="str">
            <v>CDI</v>
          </cell>
          <cell r="P388">
            <v>151.57</v>
          </cell>
          <cell r="Q388">
            <v>1217.8800000000001</v>
          </cell>
          <cell r="R388">
            <v>1400.6</v>
          </cell>
          <cell r="S388">
            <v>0</v>
          </cell>
          <cell r="T388">
            <v>2480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398.24</v>
          </cell>
          <cell r="AO388">
            <v>0</v>
          </cell>
          <cell r="AP388">
            <v>0</v>
          </cell>
          <cell r="AQ388">
            <v>1217.8800000000001</v>
          </cell>
          <cell r="AR388">
            <v>0</v>
          </cell>
          <cell r="AS388">
            <v>0</v>
          </cell>
          <cell r="AT388">
            <v>0</v>
          </cell>
          <cell r="AU388">
            <v>0</v>
          </cell>
        </row>
        <row r="389">
          <cell r="A389" t="str">
            <v>000A1346</v>
          </cell>
          <cell r="B389" t="str">
            <v>BARELIER</v>
          </cell>
          <cell r="C389" t="str">
            <v>SEBASTIEN</v>
          </cell>
          <cell r="D389" t="str">
            <v>MARSEILLE</v>
          </cell>
          <cell r="E389">
            <v>91</v>
          </cell>
          <cell r="F389" t="str">
            <v>NC NUMERICABLE ILE-DE-FRANCE</v>
          </cell>
          <cell r="G389" t="str">
            <v>VAD CONSEILLERS</v>
          </cell>
          <cell r="H389" t="str">
            <v>VIVIN</v>
          </cell>
          <cell r="I389" t="str">
            <v>SUES500001</v>
          </cell>
          <cell r="J389">
            <v>100</v>
          </cell>
          <cell r="K389">
            <v>38796</v>
          </cell>
          <cell r="L389" t="str">
            <v>CONSEILLER(E) COM.</v>
          </cell>
          <cell r="M389" t="str">
            <v>TSM</v>
          </cell>
          <cell r="N389" t="str">
            <v>D</v>
          </cell>
          <cell r="O389" t="str">
            <v>CDI</v>
          </cell>
          <cell r="P389">
            <v>151.57</v>
          </cell>
          <cell r="Q389">
            <v>1217.8800000000001</v>
          </cell>
          <cell r="R389">
            <v>457.75</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1217.8800000000001</v>
          </cell>
          <cell r="AR389">
            <v>0</v>
          </cell>
          <cell r="AS389">
            <v>0</v>
          </cell>
          <cell r="AT389">
            <v>0</v>
          </cell>
          <cell r="AU389">
            <v>0</v>
          </cell>
        </row>
        <row r="390">
          <cell r="A390" t="str">
            <v>000A1375</v>
          </cell>
          <cell r="B390" t="str">
            <v>TURCHINO</v>
          </cell>
          <cell r="C390" t="str">
            <v>GREGORY</v>
          </cell>
          <cell r="D390" t="str">
            <v>LYON GARIBALDI</v>
          </cell>
          <cell r="E390">
            <v>91</v>
          </cell>
          <cell r="F390" t="str">
            <v>NC NUMERICABLE ILE-DE-FRANCE</v>
          </cell>
          <cell r="G390" t="str">
            <v>VAD CONSEILLERS</v>
          </cell>
          <cell r="H390" t="str">
            <v>SILIKI</v>
          </cell>
          <cell r="I390" t="str">
            <v>RHON500001</v>
          </cell>
          <cell r="J390">
            <v>100</v>
          </cell>
          <cell r="K390">
            <v>38719</v>
          </cell>
          <cell r="L390" t="str">
            <v>CONSEILLER(E) COM.</v>
          </cell>
          <cell r="M390" t="str">
            <v>TSM</v>
          </cell>
          <cell r="N390" t="str">
            <v>D</v>
          </cell>
          <cell r="O390" t="str">
            <v>CDI</v>
          </cell>
          <cell r="P390">
            <v>151.57</v>
          </cell>
          <cell r="Q390">
            <v>1217.8800000000001</v>
          </cell>
          <cell r="R390">
            <v>497.71</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122.41</v>
          </cell>
          <cell r="AO390">
            <v>0</v>
          </cell>
          <cell r="AP390">
            <v>0</v>
          </cell>
          <cell r="AQ390">
            <v>1136.69</v>
          </cell>
          <cell r="AR390">
            <v>0</v>
          </cell>
          <cell r="AS390">
            <v>0</v>
          </cell>
          <cell r="AT390">
            <v>0</v>
          </cell>
          <cell r="AU390">
            <v>0</v>
          </cell>
        </row>
        <row r="391">
          <cell r="A391" t="str">
            <v>000A1331</v>
          </cell>
          <cell r="B391" t="str">
            <v>TUGLER</v>
          </cell>
          <cell r="C391" t="str">
            <v>HERVE</v>
          </cell>
          <cell r="D391" t="str">
            <v>MARSEILLE</v>
          </cell>
          <cell r="E391">
            <v>91</v>
          </cell>
          <cell r="F391" t="str">
            <v>NC NUMERICABLE ILE-DE-FRANCE</v>
          </cell>
          <cell r="G391" t="str">
            <v>RACCORDEMENT IMMOB.</v>
          </cell>
          <cell r="H391" t="str">
            <v>CHAPELAT</v>
          </cell>
          <cell r="I391" t="str">
            <v>SUES302001</v>
          </cell>
          <cell r="J391">
            <v>100</v>
          </cell>
          <cell r="K391">
            <v>38686</v>
          </cell>
          <cell r="L391" t="str">
            <v>RESP.TECH.CLIENTELE</v>
          </cell>
          <cell r="M391" t="str">
            <v>CADRE</v>
          </cell>
          <cell r="N391" t="str">
            <v>E</v>
          </cell>
          <cell r="O391" t="str">
            <v>CDI</v>
          </cell>
          <cell r="P391">
            <v>151.57</v>
          </cell>
          <cell r="Q391">
            <v>4666.66</v>
          </cell>
          <cell r="R391">
            <v>2026.78</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418.8</v>
          </cell>
          <cell r="AO391">
            <v>0</v>
          </cell>
          <cell r="AP391">
            <v>0</v>
          </cell>
          <cell r="AQ391">
            <v>3888.88</v>
          </cell>
          <cell r="AR391">
            <v>0</v>
          </cell>
          <cell r="AS391">
            <v>0</v>
          </cell>
          <cell r="AT391">
            <v>0</v>
          </cell>
          <cell r="AU391">
            <v>0</v>
          </cell>
        </row>
        <row r="392">
          <cell r="A392" t="str">
            <v>000A1312</v>
          </cell>
          <cell r="B392" t="str">
            <v>MANSOURI</v>
          </cell>
          <cell r="C392" t="str">
            <v>SAMIR</v>
          </cell>
          <cell r="D392" t="str">
            <v>AVIGNON</v>
          </cell>
          <cell r="E392">
            <v>91</v>
          </cell>
          <cell r="F392" t="str">
            <v>NC NUMERICABLE ILE-DE-FRANCE</v>
          </cell>
          <cell r="G392" t="str">
            <v>VAD CONSEILLERS</v>
          </cell>
          <cell r="H392" t="str">
            <v>RIOS</v>
          </cell>
          <cell r="I392" t="str">
            <v>SUES500001</v>
          </cell>
          <cell r="J392">
            <v>100</v>
          </cell>
          <cell r="K392">
            <v>38692</v>
          </cell>
          <cell r="L392" t="str">
            <v>CONSEILLER(E) COM.</v>
          </cell>
          <cell r="M392" t="str">
            <v>TSM</v>
          </cell>
          <cell r="N392" t="str">
            <v>D</v>
          </cell>
          <cell r="O392" t="str">
            <v>CDI</v>
          </cell>
          <cell r="P392">
            <v>151.57</v>
          </cell>
          <cell r="Q392">
            <v>1217.8800000000001</v>
          </cell>
          <cell r="R392">
            <v>661.01</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131.16</v>
          </cell>
          <cell r="AO392">
            <v>0</v>
          </cell>
          <cell r="AP392">
            <v>0</v>
          </cell>
          <cell r="AQ392">
            <v>1217.8800000000001</v>
          </cell>
          <cell r="AR392">
            <v>0</v>
          </cell>
          <cell r="AS392">
            <v>0</v>
          </cell>
          <cell r="AT392">
            <v>0</v>
          </cell>
          <cell r="AU392">
            <v>0</v>
          </cell>
        </row>
        <row r="393">
          <cell r="A393" t="str">
            <v>000A1316</v>
          </cell>
          <cell r="B393" t="str">
            <v>VERNEL</v>
          </cell>
          <cell r="C393" t="str">
            <v>CYRIL</v>
          </cell>
          <cell r="D393" t="str">
            <v>VERSAILLES</v>
          </cell>
          <cell r="E393">
            <v>91</v>
          </cell>
          <cell r="F393" t="str">
            <v>NC NUMERICABLE ILE-DE-FRANCE</v>
          </cell>
          <cell r="G393" t="str">
            <v>VAD CONSEILLERS</v>
          </cell>
          <cell r="H393" t="str">
            <v>ZERFAINE</v>
          </cell>
          <cell r="I393" t="str">
            <v>IDFR500001</v>
          </cell>
          <cell r="J393">
            <v>100</v>
          </cell>
          <cell r="K393">
            <v>38691</v>
          </cell>
          <cell r="L393" t="str">
            <v>CONSEILLER(E) COM.</v>
          </cell>
          <cell r="M393" t="str">
            <v>TSM</v>
          </cell>
          <cell r="N393" t="str">
            <v>D</v>
          </cell>
          <cell r="O393" t="str">
            <v>CDI</v>
          </cell>
          <cell r="P393">
            <v>151.57</v>
          </cell>
          <cell r="Q393">
            <v>1217.8800000000001</v>
          </cell>
          <cell r="R393">
            <v>1331.02</v>
          </cell>
          <cell r="S393">
            <v>0</v>
          </cell>
          <cell r="T393">
            <v>2260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374.54</v>
          </cell>
          <cell r="AO393">
            <v>0</v>
          </cell>
          <cell r="AP393">
            <v>0</v>
          </cell>
          <cell r="AQ393">
            <v>1217.8800000000001</v>
          </cell>
          <cell r="AR393">
            <v>0</v>
          </cell>
          <cell r="AS393">
            <v>0</v>
          </cell>
          <cell r="AT393">
            <v>0</v>
          </cell>
          <cell r="AU393">
            <v>0</v>
          </cell>
        </row>
        <row r="394">
          <cell r="A394" t="str">
            <v>000A1549</v>
          </cell>
          <cell r="B394" t="str">
            <v>MALEYSSON</v>
          </cell>
          <cell r="C394" t="str">
            <v>CHRISTIAN</v>
          </cell>
          <cell r="D394" t="str">
            <v>LYON CATN</v>
          </cell>
          <cell r="E394">
            <v>61</v>
          </cell>
          <cell r="F394" t="str">
            <v>NC NUMERICABLE RHONES-ALPES</v>
          </cell>
          <cell r="G394" t="str">
            <v>CLIENTELE</v>
          </cell>
          <cell r="H394" t="str">
            <v>CARET</v>
          </cell>
          <cell r="I394" t="str">
            <v>CLIE420001</v>
          </cell>
          <cell r="J394">
            <v>100</v>
          </cell>
          <cell r="K394">
            <v>38721</v>
          </cell>
          <cell r="L394" t="str">
            <v>RESP.TECH.CLIENTELE</v>
          </cell>
          <cell r="M394" t="str">
            <v>CADRE</v>
          </cell>
          <cell r="N394" t="str">
            <v>E</v>
          </cell>
          <cell r="O394" t="str">
            <v>CDI</v>
          </cell>
          <cell r="P394">
            <v>151.57</v>
          </cell>
          <cell r="Q394">
            <v>3750</v>
          </cell>
          <cell r="R394">
            <v>1918.62</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403.84</v>
          </cell>
          <cell r="AO394">
            <v>0</v>
          </cell>
          <cell r="AP394">
            <v>0</v>
          </cell>
          <cell r="AQ394">
            <v>3750</v>
          </cell>
          <cell r="AR394">
            <v>0</v>
          </cell>
          <cell r="AS394">
            <v>0</v>
          </cell>
          <cell r="AT394">
            <v>0</v>
          </cell>
          <cell r="AU394">
            <v>0</v>
          </cell>
        </row>
        <row r="395">
          <cell r="A395" t="str">
            <v>000A1077</v>
          </cell>
          <cell r="B395" t="str">
            <v>ROUABHIA</v>
          </cell>
          <cell r="C395" t="str">
            <v>SAMIR</v>
          </cell>
          <cell r="D395" t="str">
            <v>AVIGNON</v>
          </cell>
          <cell r="E395">
            <v>91</v>
          </cell>
          <cell r="F395" t="str">
            <v>NC NUMERICABLE ILE-DE-FRANCE</v>
          </cell>
          <cell r="G395" t="str">
            <v>VAD CONSEILLERS</v>
          </cell>
          <cell r="H395" t="str">
            <v>VIVIN</v>
          </cell>
          <cell r="I395" t="str">
            <v>SUES500001</v>
          </cell>
          <cell r="J395">
            <v>100</v>
          </cell>
          <cell r="K395">
            <v>38629</v>
          </cell>
          <cell r="L395" t="str">
            <v>CONSEILLER(E) COM.</v>
          </cell>
          <cell r="M395" t="str">
            <v>TSM</v>
          </cell>
          <cell r="N395" t="str">
            <v>D</v>
          </cell>
          <cell r="O395" t="str">
            <v>CDI</v>
          </cell>
          <cell r="P395">
            <v>151.57</v>
          </cell>
          <cell r="Q395">
            <v>1217.8800000000001</v>
          </cell>
          <cell r="R395">
            <v>858.85</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131.16</v>
          </cell>
          <cell r="AO395">
            <v>0</v>
          </cell>
          <cell r="AP395">
            <v>0</v>
          </cell>
          <cell r="AQ395">
            <v>1217.8800000000001</v>
          </cell>
          <cell r="AR395">
            <v>0</v>
          </cell>
          <cell r="AS395">
            <v>0</v>
          </cell>
          <cell r="AT395">
            <v>0</v>
          </cell>
          <cell r="AU395">
            <v>0</v>
          </cell>
        </row>
        <row r="396">
          <cell r="A396" t="str">
            <v>000A1354</v>
          </cell>
          <cell r="B396" t="str">
            <v>REBELO</v>
          </cell>
          <cell r="C396" t="str">
            <v>PASCAL</v>
          </cell>
          <cell r="D396" t="str">
            <v>SIEGE</v>
          </cell>
          <cell r="E396">
            <v>91</v>
          </cell>
          <cell r="F396" t="str">
            <v>NC NUMERICABLE ILE-DE-FRANCE</v>
          </cell>
          <cell r="G396" t="str">
            <v>RACCORDEMENT IMMOB.</v>
          </cell>
          <cell r="H396" t="str">
            <v>MOINET</v>
          </cell>
          <cell r="I396" t="str">
            <v>IDFR302001</v>
          </cell>
          <cell r="J396">
            <v>100</v>
          </cell>
          <cell r="K396">
            <v>38705</v>
          </cell>
          <cell r="L396" t="str">
            <v>SUPERV. RACC-SAV</v>
          </cell>
          <cell r="M396" t="str">
            <v>TSM</v>
          </cell>
          <cell r="N396" t="str">
            <v>D</v>
          </cell>
          <cell r="O396" t="str">
            <v>CDI</v>
          </cell>
          <cell r="P396">
            <v>151.57</v>
          </cell>
          <cell r="Q396">
            <v>1700</v>
          </cell>
          <cell r="R396">
            <v>1042.1199999999999</v>
          </cell>
          <cell r="S396">
            <v>0</v>
          </cell>
          <cell r="T396">
            <v>0</v>
          </cell>
          <cell r="U396">
            <v>0</v>
          </cell>
          <cell r="V396">
            <v>0</v>
          </cell>
          <cell r="W396">
            <v>226</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223.57</v>
          </cell>
          <cell r="AO396">
            <v>0</v>
          </cell>
          <cell r="AP396">
            <v>0</v>
          </cell>
          <cell r="AQ396">
            <v>1850</v>
          </cell>
          <cell r="AR396">
            <v>0</v>
          </cell>
          <cell r="AS396">
            <v>0</v>
          </cell>
          <cell r="AT396">
            <v>0</v>
          </cell>
          <cell r="AU396">
            <v>0</v>
          </cell>
        </row>
        <row r="397">
          <cell r="A397" t="str">
            <v>000A1605</v>
          </cell>
          <cell r="B397" t="str">
            <v>FARSCHON</v>
          </cell>
          <cell r="C397" t="str">
            <v>NICOLAS</v>
          </cell>
          <cell r="D397" t="str">
            <v>VALENCE</v>
          </cell>
          <cell r="E397">
            <v>91</v>
          </cell>
          <cell r="F397" t="str">
            <v>NC NUMERICABLE ILE-DE-FRANCE</v>
          </cell>
          <cell r="G397" t="str">
            <v>VAD CONSEILLERS</v>
          </cell>
          <cell r="H397" t="str">
            <v>DONT</v>
          </cell>
          <cell r="I397" t="str">
            <v>RHON500001</v>
          </cell>
          <cell r="J397">
            <v>100</v>
          </cell>
          <cell r="K397">
            <v>38768</v>
          </cell>
          <cell r="L397" t="str">
            <v>CONSEILLER(E) COM.</v>
          </cell>
          <cell r="M397" t="str">
            <v>TSM</v>
          </cell>
          <cell r="N397" t="str">
            <v>D</v>
          </cell>
          <cell r="O397" t="str">
            <v>CDI</v>
          </cell>
          <cell r="P397">
            <v>151.57</v>
          </cell>
          <cell r="Q397">
            <v>0</v>
          </cell>
          <cell r="R397">
            <v>137.01</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254.03</v>
          </cell>
          <cell r="AO397">
            <v>0</v>
          </cell>
          <cell r="AP397">
            <v>0</v>
          </cell>
          <cell r="AQ397">
            <v>56.2</v>
          </cell>
          <cell r="AR397">
            <v>0</v>
          </cell>
          <cell r="AS397">
            <v>0</v>
          </cell>
          <cell r="AT397">
            <v>0</v>
          </cell>
          <cell r="AU397">
            <v>0</v>
          </cell>
        </row>
        <row r="398">
          <cell r="A398" t="str">
            <v>000F0090</v>
          </cell>
          <cell r="B398" t="str">
            <v>GAUVRIT</v>
          </cell>
          <cell r="C398" t="str">
            <v>LIONEL</v>
          </cell>
          <cell r="D398" t="str">
            <v>BORDEAUX</v>
          </cell>
          <cell r="E398">
            <v>91</v>
          </cell>
          <cell r="F398" t="str">
            <v>NC NUMERICABLE ILE-DE-FRANCE</v>
          </cell>
          <cell r="G398" t="str">
            <v>PLATEFORME LOGISTIQU</v>
          </cell>
          <cell r="H398" t="str">
            <v>RICHARD C</v>
          </cell>
          <cell r="I398" t="str">
            <v>SUOU302001</v>
          </cell>
          <cell r="J398">
            <v>100</v>
          </cell>
          <cell r="K398">
            <v>33504</v>
          </cell>
          <cell r="L398" t="str">
            <v>GEST.DONN.NIV.2</v>
          </cell>
          <cell r="M398" t="str">
            <v>TSM</v>
          </cell>
          <cell r="N398" t="str">
            <v>D</v>
          </cell>
          <cell r="O398" t="str">
            <v>CDI</v>
          </cell>
          <cell r="P398">
            <v>151.57</v>
          </cell>
          <cell r="Q398">
            <v>1976.85</v>
          </cell>
          <cell r="R398">
            <v>1083.97</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212.88</v>
          </cell>
          <cell r="AO398">
            <v>0</v>
          </cell>
          <cell r="AP398">
            <v>0</v>
          </cell>
          <cell r="AQ398">
            <v>1976.85</v>
          </cell>
          <cell r="AR398">
            <v>0</v>
          </cell>
          <cell r="AS398">
            <v>0</v>
          </cell>
          <cell r="AT398">
            <v>0</v>
          </cell>
          <cell r="AU398">
            <v>0</v>
          </cell>
        </row>
        <row r="399">
          <cell r="A399" t="str">
            <v>000BY007</v>
          </cell>
          <cell r="B399" t="str">
            <v>YAHIAOUI</v>
          </cell>
          <cell r="C399" t="str">
            <v>MOUSSA</v>
          </cell>
          <cell r="D399" t="str">
            <v>LYON GARIBALDI</v>
          </cell>
          <cell r="E399">
            <v>91</v>
          </cell>
          <cell r="F399" t="str">
            <v>NC NUMERICABLE ILE-DE-FRANCE</v>
          </cell>
          <cell r="G399" t="str">
            <v>DISTRIBUTEUR</v>
          </cell>
          <cell r="H399" t="str">
            <v>DELANNOY</v>
          </cell>
          <cell r="I399" t="str">
            <v>RHON506001</v>
          </cell>
          <cell r="J399">
            <v>100</v>
          </cell>
          <cell r="K399">
            <v>36951</v>
          </cell>
          <cell r="L399" t="str">
            <v>ATTACHE COMMERCIAL</v>
          </cell>
          <cell r="M399" t="str">
            <v>CADRE</v>
          </cell>
          <cell r="N399" t="str">
            <v>DB</v>
          </cell>
          <cell r="O399" t="str">
            <v>CDI</v>
          </cell>
          <cell r="P399">
            <v>151.57</v>
          </cell>
          <cell r="Q399">
            <v>2090</v>
          </cell>
          <cell r="R399">
            <v>2393.04</v>
          </cell>
          <cell r="S399">
            <v>0</v>
          </cell>
          <cell r="T399">
            <v>2280.64</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501.36</v>
          </cell>
          <cell r="AO399">
            <v>0</v>
          </cell>
          <cell r="AP399">
            <v>0</v>
          </cell>
          <cell r="AQ399">
            <v>2090</v>
          </cell>
          <cell r="AR399">
            <v>0</v>
          </cell>
          <cell r="AS399">
            <v>0</v>
          </cell>
          <cell r="AT399">
            <v>0</v>
          </cell>
          <cell r="AU399">
            <v>0</v>
          </cell>
        </row>
        <row r="400">
          <cell r="A400" t="str">
            <v>000A1700</v>
          </cell>
          <cell r="B400" t="str">
            <v>TRAN</v>
          </cell>
          <cell r="C400" t="str">
            <v>CHRISTINE</v>
          </cell>
          <cell r="D400" t="str">
            <v>LYON GARIBALDI</v>
          </cell>
          <cell r="E400">
            <v>91</v>
          </cell>
          <cell r="F400" t="str">
            <v>NC NUMERICABLE ILE-DE-FRANCE</v>
          </cell>
          <cell r="G400" t="str">
            <v>VAD CONSEILLERS</v>
          </cell>
          <cell r="H400" t="str">
            <v>DONT</v>
          </cell>
          <cell r="I400" t="str">
            <v>SUES500001</v>
          </cell>
          <cell r="J400">
            <v>100</v>
          </cell>
          <cell r="K400">
            <v>38817</v>
          </cell>
          <cell r="L400" t="str">
            <v>CONSEILLER(E) COM.</v>
          </cell>
          <cell r="M400" t="str">
            <v>TSM</v>
          </cell>
          <cell r="N400" t="str">
            <v>D</v>
          </cell>
          <cell r="O400" t="str">
            <v>CDI</v>
          </cell>
          <cell r="P400">
            <v>151.57</v>
          </cell>
          <cell r="Q400">
            <v>0</v>
          </cell>
          <cell r="R400">
            <v>240.15</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852.52</v>
          </cell>
          <cell r="AR400">
            <v>0</v>
          </cell>
          <cell r="AS400">
            <v>0</v>
          </cell>
          <cell r="AT400">
            <v>0</v>
          </cell>
          <cell r="AU400">
            <v>0</v>
          </cell>
        </row>
        <row r="401">
          <cell r="A401" t="str">
            <v>000A1594</v>
          </cell>
          <cell r="B401" t="str">
            <v>ESQUERDO</v>
          </cell>
          <cell r="C401" t="str">
            <v>EMILIE</v>
          </cell>
          <cell r="D401" t="str">
            <v>MARSEILLE</v>
          </cell>
          <cell r="E401">
            <v>91</v>
          </cell>
          <cell r="F401" t="str">
            <v>NC NUMERICABLE ILE-DE-FRANCE</v>
          </cell>
          <cell r="G401" t="str">
            <v>VAD CONSEILLERS</v>
          </cell>
          <cell r="H401" t="str">
            <v>VIVIN</v>
          </cell>
          <cell r="I401" t="str">
            <v>SUES500001</v>
          </cell>
          <cell r="J401">
            <v>100</v>
          </cell>
          <cell r="K401">
            <v>38775</v>
          </cell>
          <cell r="L401" t="str">
            <v>CONSEILLER(E) COM.</v>
          </cell>
          <cell r="M401" t="str">
            <v>TSM</v>
          </cell>
          <cell r="N401" t="str">
            <v>D</v>
          </cell>
          <cell r="O401" t="str">
            <v>CDI</v>
          </cell>
          <cell r="P401">
            <v>151.57</v>
          </cell>
          <cell r="Q401">
            <v>0</v>
          </cell>
          <cell r="R401">
            <v>518.6</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279.8</v>
          </cell>
          <cell r="AO401">
            <v>0</v>
          </cell>
          <cell r="AP401">
            <v>0</v>
          </cell>
          <cell r="AQ401">
            <v>1217.8800000000001</v>
          </cell>
          <cell r="AR401">
            <v>0</v>
          </cell>
          <cell r="AS401">
            <v>0</v>
          </cell>
          <cell r="AT401">
            <v>0</v>
          </cell>
          <cell r="AU401">
            <v>0</v>
          </cell>
        </row>
        <row r="402">
          <cell r="A402" t="str">
            <v>000A1153</v>
          </cell>
          <cell r="B402" t="str">
            <v>THIEFFRY</v>
          </cell>
          <cell r="C402" t="str">
            <v>HUGHES</v>
          </cell>
          <cell r="D402" t="str">
            <v>LA MADELEINE</v>
          </cell>
          <cell r="E402">
            <v>91</v>
          </cell>
          <cell r="F402" t="str">
            <v>NC NUMERICABLE ILE-DE-FRANCE</v>
          </cell>
          <cell r="G402" t="str">
            <v>VAD CONSEILLERS</v>
          </cell>
          <cell r="H402" t="str">
            <v>GUILLEMAN</v>
          </cell>
          <cell r="I402" t="str">
            <v>NPCA500001</v>
          </cell>
          <cell r="J402">
            <v>100</v>
          </cell>
          <cell r="K402">
            <v>38649</v>
          </cell>
          <cell r="L402" t="str">
            <v>CONSEILLER(E) COM.</v>
          </cell>
          <cell r="M402" t="str">
            <v>TSM</v>
          </cell>
          <cell r="N402" t="str">
            <v>D</v>
          </cell>
          <cell r="O402" t="str">
            <v>CDI</v>
          </cell>
          <cell r="P402">
            <v>151.57</v>
          </cell>
          <cell r="Q402">
            <v>1217.8800000000001</v>
          </cell>
          <cell r="R402">
            <v>1349.3</v>
          </cell>
          <cell r="S402">
            <v>0</v>
          </cell>
          <cell r="T402">
            <v>2320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381</v>
          </cell>
          <cell r="AO402">
            <v>0</v>
          </cell>
          <cell r="AP402">
            <v>0</v>
          </cell>
          <cell r="AQ402">
            <v>1217.8800000000001</v>
          </cell>
          <cell r="AR402">
            <v>0</v>
          </cell>
          <cell r="AS402">
            <v>0</v>
          </cell>
          <cell r="AT402">
            <v>0</v>
          </cell>
          <cell r="AU402">
            <v>0</v>
          </cell>
        </row>
        <row r="403">
          <cell r="A403" t="str">
            <v>000A1494</v>
          </cell>
          <cell r="B403" t="str">
            <v>ROETING</v>
          </cell>
          <cell r="C403" t="str">
            <v>OLIVIER</v>
          </cell>
          <cell r="D403" t="str">
            <v>LYON GARIBALDI</v>
          </cell>
          <cell r="E403">
            <v>91</v>
          </cell>
          <cell r="F403" t="str">
            <v>NC NUMERICABLE ILE-DE-FRANCE</v>
          </cell>
          <cell r="G403" t="str">
            <v>VAD CONSEILLERS</v>
          </cell>
          <cell r="H403" t="str">
            <v>JAUNAY</v>
          </cell>
          <cell r="I403" t="str">
            <v>RHON500001</v>
          </cell>
          <cell r="J403">
            <v>100</v>
          </cell>
          <cell r="K403">
            <v>38754</v>
          </cell>
          <cell r="L403" t="str">
            <v>CONSEILLER(E) COM.</v>
          </cell>
          <cell r="M403" t="str">
            <v>TSM</v>
          </cell>
          <cell r="N403" t="str">
            <v>D</v>
          </cell>
          <cell r="O403" t="str">
            <v>CDI</v>
          </cell>
          <cell r="P403">
            <v>151.57</v>
          </cell>
          <cell r="Q403">
            <v>1217.8800000000001</v>
          </cell>
          <cell r="R403">
            <v>367.8</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319.79000000000002</v>
          </cell>
          <cell r="AO403">
            <v>0</v>
          </cell>
          <cell r="AP403">
            <v>0</v>
          </cell>
          <cell r="AQ403">
            <v>396.57</v>
          </cell>
          <cell r="AR403">
            <v>0</v>
          </cell>
          <cell r="AS403">
            <v>0</v>
          </cell>
          <cell r="AT403">
            <v>0</v>
          </cell>
          <cell r="AU403">
            <v>0</v>
          </cell>
        </row>
        <row r="404">
          <cell r="A404" t="str">
            <v>000BT094</v>
          </cell>
          <cell r="B404" t="str">
            <v>THAMI ALAMI</v>
          </cell>
          <cell r="C404" t="str">
            <v>IMANE</v>
          </cell>
          <cell r="D404" t="str">
            <v>LYON CATN</v>
          </cell>
          <cell r="E404">
            <v>61</v>
          </cell>
          <cell r="F404" t="str">
            <v>NC NUMERICABLE RHONES-ALPES</v>
          </cell>
          <cell r="G404" t="str">
            <v>CATN 2EME LIGNE</v>
          </cell>
          <cell r="H404" t="str">
            <v>BAYARD</v>
          </cell>
          <cell r="I404" t="str">
            <v>CLIE411001</v>
          </cell>
          <cell r="J404">
            <v>100</v>
          </cell>
          <cell r="K404">
            <v>38700</v>
          </cell>
          <cell r="L404" t="str">
            <v>CHARGE(E)CLIENTELE</v>
          </cell>
          <cell r="M404" t="str">
            <v>EMPLOYE</v>
          </cell>
          <cell r="N404" t="str">
            <v>C</v>
          </cell>
          <cell r="O404" t="str">
            <v>CDD</v>
          </cell>
          <cell r="P404">
            <v>151.57</v>
          </cell>
          <cell r="Q404">
            <v>1450</v>
          </cell>
          <cell r="R404">
            <v>1043.03</v>
          </cell>
          <cell r="S404">
            <v>0</v>
          </cell>
          <cell r="T404">
            <v>0</v>
          </cell>
          <cell r="U404">
            <v>0</v>
          </cell>
          <cell r="V404">
            <v>0</v>
          </cell>
          <cell r="W404">
            <v>171</v>
          </cell>
          <cell r="X404">
            <v>95</v>
          </cell>
          <cell r="Y404">
            <v>0</v>
          </cell>
          <cell r="Z404">
            <v>192</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205.47</v>
          </cell>
          <cell r="AO404">
            <v>0</v>
          </cell>
          <cell r="AP404">
            <v>0</v>
          </cell>
          <cell r="AQ404">
            <v>1450</v>
          </cell>
          <cell r="AR404">
            <v>287</v>
          </cell>
          <cell r="AS404">
            <v>0</v>
          </cell>
          <cell r="AT404">
            <v>0</v>
          </cell>
          <cell r="AU404">
            <v>0</v>
          </cell>
        </row>
        <row r="405">
          <cell r="A405" t="str">
            <v>000A1199</v>
          </cell>
          <cell r="B405" t="str">
            <v>RAKOTONAVAGONA</v>
          </cell>
          <cell r="C405" t="str">
            <v>NJAKARIVONY</v>
          </cell>
          <cell r="D405" t="str">
            <v>BORDEAUX</v>
          </cell>
          <cell r="E405">
            <v>91</v>
          </cell>
          <cell r="F405" t="str">
            <v>NC NUMERICABLE ILE-DE-FRANCE</v>
          </cell>
          <cell r="G405" t="str">
            <v>VAD CONSEILLERS</v>
          </cell>
          <cell r="H405" t="str">
            <v>FERNANDEZ A</v>
          </cell>
          <cell r="I405" t="str">
            <v>SUOU500001</v>
          </cell>
          <cell r="J405">
            <v>100</v>
          </cell>
          <cell r="K405">
            <v>38663</v>
          </cell>
          <cell r="L405" t="str">
            <v>CONSEILLER(E) COM.</v>
          </cell>
          <cell r="M405" t="str">
            <v>TSM</v>
          </cell>
          <cell r="N405" t="str">
            <v>D</v>
          </cell>
          <cell r="O405" t="str">
            <v>CDI</v>
          </cell>
          <cell r="P405">
            <v>151.57</v>
          </cell>
          <cell r="Q405">
            <v>1217.8800000000001</v>
          </cell>
          <cell r="R405">
            <v>674.33</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131.16</v>
          </cell>
          <cell r="AO405">
            <v>0</v>
          </cell>
          <cell r="AP405">
            <v>0</v>
          </cell>
          <cell r="AQ405">
            <v>1217.8800000000001</v>
          </cell>
          <cell r="AR405">
            <v>0</v>
          </cell>
          <cell r="AS405">
            <v>0</v>
          </cell>
          <cell r="AT405">
            <v>0</v>
          </cell>
          <cell r="AU405">
            <v>0</v>
          </cell>
        </row>
        <row r="406">
          <cell r="A406" t="str">
            <v>000A1250</v>
          </cell>
          <cell r="B406" t="str">
            <v>BATTAIS</v>
          </cell>
          <cell r="C406" t="str">
            <v>ETIENNE</v>
          </cell>
          <cell r="D406" t="str">
            <v>SIEGE</v>
          </cell>
          <cell r="E406">
            <v>91</v>
          </cell>
          <cell r="F406" t="str">
            <v>NC NUMERICABLE ILE-DE-FRANCE</v>
          </cell>
          <cell r="G406" t="str">
            <v>CONTROLE GESTION</v>
          </cell>
          <cell r="H406" t="str">
            <v>LE PESQ</v>
          </cell>
          <cell r="I406" t="str">
            <v>GENE701001</v>
          </cell>
          <cell r="J406">
            <v>100</v>
          </cell>
          <cell r="K406">
            <v>38649</v>
          </cell>
          <cell r="L406" t="str">
            <v>ASSISTANT(E) NIV. 1</v>
          </cell>
          <cell r="M406" t="str">
            <v>EMPLOYE</v>
          </cell>
          <cell r="N406" t="str">
            <v>C</v>
          </cell>
          <cell r="O406" t="str">
            <v>CONTRAT APPRENTISSAGE</v>
          </cell>
          <cell r="P406">
            <v>151.57</v>
          </cell>
          <cell r="Q406">
            <v>0</v>
          </cell>
          <cell r="R406">
            <v>119.9</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92.72</v>
          </cell>
          <cell r="AO406">
            <v>232.08</v>
          </cell>
          <cell r="AP406">
            <v>0</v>
          </cell>
          <cell r="AQ406">
            <v>861</v>
          </cell>
          <cell r="AR406">
            <v>0</v>
          </cell>
          <cell r="AS406">
            <v>0</v>
          </cell>
          <cell r="AT406">
            <v>0</v>
          </cell>
          <cell r="AU406">
            <v>0</v>
          </cell>
        </row>
        <row r="407">
          <cell r="A407" t="str">
            <v>000A1631</v>
          </cell>
          <cell r="B407" t="str">
            <v>BOURDON</v>
          </cell>
          <cell r="C407" t="str">
            <v>GUILLAUME</v>
          </cell>
          <cell r="D407" t="str">
            <v>CAEN</v>
          </cell>
          <cell r="E407">
            <v>91</v>
          </cell>
          <cell r="F407" t="str">
            <v>NC NUMERICABLE ILE-DE-FRANCE</v>
          </cell>
          <cell r="G407" t="str">
            <v>VAD CONSEILLERS</v>
          </cell>
          <cell r="H407" t="str">
            <v>GUIONNET</v>
          </cell>
          <cell r="I407" t="str">
            <v>NPCA500001</v>
          </cell>
          <cell r="J407">
            <v>100</v>
          </cell>
          <cell r="K407">
            <v>38782</v>
          </cell>
          <cell r="L407" t="str">
            <v>CONSEILLER(E) COM.</v>
          </cell>
          <cell r="M407" t="str">
            <v>TSM</v>
          </cell>
          <cell r="N407" t="str">
            <v>D</v>
          </cell>
          <cell r="O407" t="str">
            <v>CDI</v>
          </cell>
          <cell r="P407">
            <v>151.57</v>
          </cell>
          <cell r="Q407">
            <v>0</v>
          </cell>
          <cell r="R407">
            <v>961.49</v>
          </cell>
          <cell r="S407">
            <v>0</v>
          </cell>
          <cell r="T407">
            <v>1186</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112.5</v>
          </cell>
          <cell r="AM407">
            <v>0</v>
          </cell>
          <cell r="AN407">
            <v>372.55</v>
          </cell>
          <cell r="AO407">
            <v>0</v>
          </cell>
          <cell r="AP407">
            <v>0</v>
          </cell>
          <cell r="AQ407">
            <v>1217.8800000000001</v>
          </cell>
          <cell r="AR407">
            <v>112.5</v>
          </cell>
          <cell r="AS407">
            <v>0</v>
          </cell>
          <cell r="AT407">
            <v>0</v>
          </cell>
          <cell r="AU407">
            <v>0</v>
          </cell>
        </row>
        <row r="408">
          <cell r="A408" t="str">
            <v>000A1081</v>
          </cell>
          <cell r="B408" t="str">
            <v>ROMETTE</v>
          </cell>
          <cell r="C408" t="str">
            <v>NICOLAS</v>
          </cell>
          <cell r="D408" t="str">
            <v>METZ</v>
          </cell>
          <cell r="E408">
            <v>91</v>
          </cell>
          <cell r="F408" t="str">
            <v>NC NUMERICABLE ILE-DE-FRANCE</v>
          </cell>
          <cell r="G408" t="str">
            <v>VAD CONSEILLERS</v>
          </cell>
          <cell r="H408" t="str">
            <v>YAICI</v>
          </cell>
          <cell r="I408" t="str">
            <v>ESTR500001</v>
          </cell>
          <cell r="J408">
            <v>100</v>
          </cell>
          <cell r="K408">
            <v>38638</v>
          </cell>
          <cell r="L408" t="str">
            <v>CONSEILLER(E) COM.</v>
          </cell>
          <cell r="M408" t="str">
            <v>TSM</v>
          </cell>
          <cell r="N408" t="str">
            <v>D</v>
          </cell>
          <cell r="O408" t="str">
            <v>CDI</v>
          </cell>
          <cell r="P408">
            <v>151.57</v>
          </cell>
          <cell r="Q408">
            <v>1217.8800000000001</v>
          </cell>
          <cell r="R408">
            <v>-20.66</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31.22</v>
          </cell>
          <cell r="AO408">
            <v>0</v>
          </cell>
          <cell r="AP408">
            <v>0</v>
          </cell>
          <cell r="AQ408">
            <v>-227.97</v>
          </cell>
          <cell r="AR408">
            <v>0</v>
          </cell>
          <cell r="AS408">
            <v>0</v>
          </cell>
          <cell r="AT408">
            <v>0</v>
          </cell>
          <cell r="AU408">
            <v>0</v>
          </cell>
        </row>
        <row r="409">
          <cell r="A409" t="str">
            <v>000A1365</v>
          </cell>
          <cell r="B409" t="str">
            <v>KAENGONZA KOUALE</v>
          </cell>
          <cell r="C409" t="str">
            <v>JEAN EDMOND</v>
          </cell>
          <cell r="D409" t="str">
            <v>LYON GARIBALDI</v>
          </cell>
          <cell r="E409">
            <v>91</v>
          </cell>
          <cell r="F409" t="str">
            <v>NC NUMERICABLE ILE-DE-FRANCE</v>
          </cell>
          <cell r="G409" t="str">
            <v>VAD CONSEILLERS</v>
          </cell>
          <cell r="H409" t="str">
            <v>KUDONOO</v>
          </cell>
          <cell r="I409" t="str">
            <v>RHON500001</v>
          </cell>
          <cell r="J409">
            <v>100</v>
          </cell>
          <cell r="K409">
            <v>38719</v>
          </cell>
          <cell r="L409" t="str">
            <v>CONSEILLER(E) COM.</v>
          </cell>
          <cell r="M409" t="str">
            <v>TSM</v>
          </cell>
          <cell r="N409" t="str">
            <v>D</v>
          </cell>
          <cell r="O409" t="str">
            <v>CDI</v>
          </cell>
          <cell r="P409">
            <v>151.57</v>
          </cell>
          <cell r="Q409">
            <v>1217.8800000000001</v>
          </cell>
          <cell r="R409">
            <v>1856.58</v>
          </cell>
          <cell r="S409">
            <v>0</v>
          </cell>
          <cell r="T409">
            <v>3760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536.07000000000005</v>
          </cell>
          <cell r="AO409">
            <v>0</v>
          </cell>
          <cell r="AP409">
            <v>0</v>
          </cell>
          <cell r="AQ409">
            <v>1217.8800000000001</v>
          </cell>
          <cell r="AR409">
            <v>0</v>
          </cell>
          <cell r="AS409">
            <v>0</v>
          </cell>
          <cell r="AT409">
            <v>0</v>
          </cell>
          <cell r="AU409">
            <v>0</v>
          </cell>
        </row>
        <row r="410">
          <cell r="A410" t="str">
            <v>000A1451</v>
          </cell>
          <cell r="B410" t="str">
            <v>SALAH</v>
          </cell>
          <cell r="C410" t="str">
            <v>RIAD</v>
          </cell>
          <cell r="D410" t="str">
            <v>MARSEILLE</v>
          </cell>
          <cell r="E410">
            <v>91</v>
          </cell>
          <cell r="F410" t="str">
            <v>NC NUMERICABLE ILE-DE-FRANCE</v>
          </cell>
          <cell r="G410" t="str">
            <v>VAD CONSEILLERS</v>
          </cell>
          <cell r="H410" t="str">
            <v>VIVIN</v>
          </cell>
          <cell r="I410" t="str">
            <v>SUES500001</v>
          </cell>
          <cell r="J410">
            <v>100</v>
          </cell>
          <cell r="K410">
            <v>38754</v>
          </cell>
          <cell r="L410" t="str">
            <v>CONSEILLER(E) COM.</v>
          </cell>
          <cell r="M410" t="str">
            <v>TSM</v>
          </cell>
          <cell r="N410" t="str">
            <v>D</v>
          </cell>
          <cell r="O410" t="str">
            <v>CDI</v>
          </cell>
          <cell r="P410">
            <v>151.57</v>
          </cell>
          <cell r="Q410">
            <v>1217.8800000000001</v>
          </cell>
          <cell r="R410">
            <v>615.35</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455.07</v>
          </cell>
          <cell r="AO410">
            <v>0</v>
          </cell>
          <cell r="AP410">
            <v>0</v>
          </cell>
          <cell r="AQ410">
            <v>1217.8800000000001</v>
          </cell>
          <cell r="AR410">
            <v>0</v>
          </cell>
          <cell r="AS410">
            <v>0</v>
          </cell>
          <cell r="AT410">
            <v>0</v>
          </cell>
          <cell r="AU410">
            <v>0</v>
          </cell>
        </row>
        <row r="411">
          <cell r="A411" t="str">
            <v>000A1326</v>
          </cell>
          <cell r="B411" t="str">
            <v>HOUGET</v>
          </cell>
          <cell r="C411" t="str">
            <v>DAVID</v>
          </cell>
          <cell r="D411" t="str">
            <v>NANTES</v>
          </cell>
          <cell r="E411">
            <v>91</v>
          </cell>
          <cell r="F411" t="str">
            <v>NC NUMERICABLE ILE-DE-FRANCE</v>
          </cell>
          <cell r="G411" t="str">
            <v>VAD ANIMATEURS</v>
          </cell>
          <cell r="H411" t="str">
            <v>JAUD</v>
          </cell>
          <cell r="I411" t="str">
            <v>OUES500001</v>
          </cell>
          <cell r="J411">
            <v>100</v>
          </cell>
          <cell r="K411">
            <v>38685</v>
          </cell>
          <cell r="L411" t="str">
            <v>ANIMATEUR COM.</v>
          </cell>
          <cell r="M411" t="str">
            <v>CADRE</v>
          </cell>
          <cell r="N411" t="str">
            <v>DB</v>
          </cell>
          <cell r="O411" t="str">
            <v>CDI</v>
          </cell>
          <cell r="P411">
            <v>151.57</v>
          </cell>
          <cell r="Q411">
            <v>1800</v>
          </cell>
          <cell r="R411">
            <v>1627.17</v>
          </cell>
          <cell r="S411">
            <v>0</v>
          </cell>
          <cell r="T411">
            <v>1000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300</v>
          </cell>
          <cell r="AM411">
            <v>0</v>
          </cell>
          <cell r="AN411">
            <v>301.54000000000002</v>
          </cell>
          <cell r="AO411">
            <v>0</v>
          </cell>
          <cell r="AP411">
            <v>0</v>
          </cell>
          <cell r="AQ411">
            <v>1800</v>
          </cell>
          <cell r="AR411">
            <v>300</v>
          </cell>
          <cell r="AS411">
            <v>0</v>
          </cell>
          <cell r="AT411">
            <v>0</v>
          </cell>
          <cell r="AU411">
            <v>0</v>
          </cell>
        </row>
        <row r="412">
          <cell r="A412" t="str">
            <v>000A1324</v>
          </cell>
          <cell r="B412" t="str">
            <v>DIGUE</v>
          </cell>
          <cell r="C412" t="str">
            <v>JONATHAN</v>
          </cell>
          <cell r="D412" t="str">
            <v>NANTES</v>
          </cell>
          <cell r="E412">
            <v>91</v>
          </cell>
          <cell r="F412" t="str">
            <v>NC NUMERICABLE ILE-DE-FRANCE</v>
          </cell>
          <cell r="G412" t="str">
            <v>VAD ANIMATEURS</v>
          </cell>
          <cell r="H412" t="str">
            <v>JAUD</v>
          </cell>
          <cell r="I412" t="str">
            <v>OUES500001</v>
          </cell>
          <cell r="J412">
            <v>100</v>
          </cell>
          <cell r="K412">
            <v>38685</v>
          </cell>
          <cell r="L412" t="str">
            <v>ANIMATEUR COM.</v>
          </cell>
          <cell r="M412" t="str">
            <v>CADRE</v>
          </cell>
          <cell r="N412" t="str">
            <v>DB</v>
          </cell>
          <cell r="O412" t="str">
            <v>CDI</v>
          </cell>
          <cell r="P412">
            <v>151.57</v>
          </cell>
          <cell r="Q412">
            <v>1800</v>
          </cell>
          <cell r="R412">
            <v>1375.8</v>
          </cell>
          <cell r="S412">
            <v>0</v>
          </cell>
          <cell r="T412">
            <v>650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263.85000000000002</v>
          </cell>
          <cell r="AO412">
            <v>0</v>
          </cell>
          <cell r="AP412">
            <v>0</v>
          </cell>
          <cell r="AQ412">
            <v>1800</v>
          </cell>
          <cell r="AR412">
            <v>0</v>
          </cell>
          <cell r="AS412">
            <v>0</v>
          </cell>
          <cell r="AT412">
            <v>0</v>
          </cell>
          <cell r="AU412">
            <v>0</v>
          </cell>
        </row>
        <row r="413">
          <cell r="A413" t="str">
            <v>000A1249</v>
          </cell>
          <cell r="B413" t="str">
            <v>RIOS</v>
          </cell>
          <cell r="C413" t="str">
            <v>PHILIPPE</v>
          </cell>
          <cell r="D413" t="str">
            <v>AVIGNON</v>
          </cell>
          <cell r="E413">
            <v>91</v>
          </cell>
          <cell r="F413" t="str">
            <v>NC NUMERICABLE ILE-DE-FRANCE</v>
          </cell>
          <cell r="G413" t="str">
            <v>VAD ANIMATEURS</v>
          </cell>
          <cell r="H413" t="str">
            <v>VIVIN</v>
          </cell>
          <cell r="I413" t="str">
            <v>SUES500001</v>
          </cell>
          <cell r="J413">
            <v>100</v>
          </cell>
          <cell r="K413">
            <v>38674</v>
          </cell>
          <cell r="L413" t="str">
            <v>ANIMATEUR COM.</v>
          </cell>
          <cell r="M413" t="str">
            <v>CADRE</v>
          </cell>
          <cell r="N413" t="str">
            <v>DB</v>
          </cell>
          <cell r="O413" t="str">
            <v>CDI</v>
          </cell>
          <cell r="P413">
            <v>151.57</v>
          </cell>
          <cell r="Q413">
            <v>1800</v>
          </cell>
          <cell r="R413">
            <v>1748.63</v>
          </cell>
          <cell r="S413">
            <v>0</v>
          </cell>
          <cell r="T413">
            <v>1500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355.38</v>
          </cell>
          <cell r="AO413">
            <v>0</v>
          </cell>
          <cell r="AP413">
            <v>0</v>
          </cell>
          <cell r="AQ413">
            <v>1800</v>
          </cell>
          <cell r="AR413">
            <v>0</v>
          </cell>
          <cell r="AS413">
            <v>0</v>
          </cell>
          <cell r="AT413">
            <v>0</v>
          </cell>
          <cell r="AU413">
            <v>0</v>
          </cell>
        </row>
        <row r="414">
          <cell r="A414" t="str">
            <v>000A1485</v>
          </cell>
          <cell r="B414" t="str">
            <v>PLANSON</v>
          </cell>
          <cell r="C414" t="str">
            <v>PASCAL</v>
          </cell>
          <cell r="D414" t="str">
            <v>TOULOUSE</v>
          </cell>
          <cell r="E414">
            <v>91</v>
          </cell>
          <cell r="F414" t="str">
            <v>NC NUMERICABLE ILE-DE-FRANCE</v>
          </cell>
          <cell r="G414" t="str">
            <v>VAD CONSEILLERS</v>
          </cell>
          <cell r="H414" t="str">
            <v>LORCET</v>
          </cell>
          <cell r="I414" t="str">
            <v>SUOU500001</v>
          </cell>
          <cell r="J414">
            <v>100</v>
          </cell>
          <cell r="K414">
            <v>38768</v>
          </cell>
          <cell r="L414" t="str">
            <v>CONSEILLER(E) COM.</v>
          </cell>
          <cell r="M414" t="str">
            <v>TSM</v>
          </cell>
          <cell r="N414" t="str">
            <v>D</v>
          </cell>
          <cell r="O414" t="str">
            <v>CDI</v>
          </cell>
          <cell r="P414">
            <v>151.57</v>
          </cell>
          <cell r="Q414">
            <v>1217.8800000000001</v>
          </cell>
          <cell r="R414">
            <v>108.33</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270.25</v>
          </cell>
          <cell r="AO414">
            <v>0</v>
          </cell>
          <cell r="AP414">
            <v>0</v>
          </cell>
          <cell r="AQ414">
            <v>-24.99</v>
          </cell>
          <cell r="AR414">
            <v>0</v>
          </cell>
          <cell r="AS414">
            <v>0</v>
          </cell>
          <cell r="AT414">
            <v>0</v>
          </cell>
          <cell r="AU414">
            <v>0</v>
          </cell>
        </row>
        <row r="415">
          <cell r="A415" t="str">
            <v>000A1462</v>
          </cell>
          <cell r="B415" t="str">
            <v>DUNOYER</v>
          </cell>
          <cell r="C415" t="str">
            <v>PEGGY</v>
          </cell>
          <cell r="D415" t="str">
            <v>SIEGE</v>
          </cell>
          <cell r="E415">
            <v>91</v>
          </cell>
          <cell r="F415" t="str">
            <v>NC NUMERICABLE ILE-DE-FRANCE</v>
          </cell>
          <cell r="G415" t="str">
            <v>DIRECTION RESS HUM</v>
          </cell>
          <cell r="H415" t="str">
            <v>DUPERIER BENEDICTE</v>
          </cell>
          <cell r="I415" t="str">
            <v>GENE703001</v>
          </cell>
          <cell r="J415">
            <v>100</v>
          </cell>
          <cell r="K415">
            <v>38749</v>
          </cell>
          <cell r="L415" t="str">
            <v>ASS.  RES. HUMAINES NIV.1</v>
          </cell>
          <cell r="M415" t="str">
            <v>EMPLOYE</v>
          </cell>
          <cell r="N415" t="str">
            <v>C</v>
          </cell>
          <cell r="O415" t="str">
            <v>CDD</v>
          </cell>
          <cell r="P415">
            <v>151.57</v>
          </cell>
          <cell r="Q415">
            <v>1900</v>
          </cell>
          <cell r="R415">
            <v>1080.95</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225.08</v>
          </cell>
          <cell r="AO415">
            <v>31.21</v>
          </cell>
          <cell r="AP415">
            <v>0</v>
          </cell>
          <cell r="AQ415">
            <v>2090</v>
          </cell>
          <cell r="AR415">
            <v>0</v>
          </cell>
          <cell r="AS415">
            <v>0</v>
          </cell>
          <cell r="AT415">
            <v>0</v>
          </cell>
          <cell r="AU415">
            <v>0</v>
          </cell>
        </row>
        <row r="416">
          <cell r="A416" t="str">
            <v>000A1236</v>
          </cell>
          <cell r="B416" t="str">
            <v>YATIBINGUI SOKAMBI BAKO</v>
          </cell>
          <cell r="C416" t="str">
            <v>BARTHELEMY FLORENT</v>
          </cell>
          <cell r="D416" t="str">
            <v>VALENCE</v>
          </cell>
          <cell r="E416">
            <v>91</v>
          </cell>
          <cell r="F416" t="str">
            <v>NC NUMERICABLE ILE-DE-FRANCE</v>
          </cell>
          <cell r="G416" t="str">
            <v>VAD CONSEILLERS</v>
          </cell>
          <cell r="H416" t="str">
            <v>LAGUEREMA</v>
          </cell>
          <cell r="I416" t="str">
            <v>RHON500001</v>
          </cell>
          <cell r="J416">
            <v>100</v>
          </cell>
          <cell r="K416">
            <v>38670</v>
          </cell>
          <cell r="L416" t="str">
            <v>CONSEILLER(E) COM.</v>
          </cell>
          <cell r="M416" t="str">
            <v>TSM</v>
          </cell>
          <cell r="N416" t="str">
            <v>D</v>
          </cell>
          <cell r="O416" t="str">
            <v>CDI</v>
          </cell>
          <cell r="P416">
            <v>151.57</v>
          </cell>
          <cell r="Q416">
            <v>1217.8800000000001</v>
          </cell>
          <cell r="R416">
            <v>667.14</v>
          </cell>
          <cell r="S416">
            <v>0</v>
          </cell>
          <cell r="T416">
            <v>1520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-287.83999999999997</v>
          </cell>
          <cell r="AO416">
            <v>0</v>
          </cell>
          <cell r="AP416">
            <v>0</v>
          </cell>
          <cell r="AQ416">
            <v>824.47</v>
          </cell>
          <cell r="AR416">
            <v>0</v>
          </cell>
          <cell r="AS416">
            <v>0</v>
          </cell>
          <cell r="AT416">
            <v>0</v>
          </cell>
          <cell r="AU416">
            <v>0</v>
          </cell>
        </row>
        <row r="417">
          <cell r="A417" t="str">
            <v>000A1387</v>
          </cell>
          <cell r="B417" t="str">
            <v>JAFFRES</v>
          </cell>
          <cell r="C417" t="str">
            <v>STEEVE</v>
          </cell>
          <cell r="D417" t="str">
            <v>RENNES</v>
          </cell>
          <cell r="E417">
            <v>91</v>
          </cell>
          <cell r="F417" t="str">
            <v>NC NUMERICABLE ILE-DE-FRANCE</v>
          </cell>
          <cell r="G417" t="str">
            <v>VAD CONSEILLERS</v>
          </cell>
          <cell r="H417" t="str">
            <v>DIGUE</v>
          </cell>
          <cell r="I417" t="str">
            <v>OUES500001</v>
          </cell>
          <cell r="J417">
            <v>100</v>
          </cell>
          <cell r="K417">
            <v>38726</v>
          </cell>
          <cell r="L417" t="str">
            <v>CONSEILLER(E) COM.</v>
          </cell>
          <cell r="M417" t="str">
            <v>TSM</v>
          </cell>
          <cell r="N417" t="str">
            <v>D</v>
          </cell>
          <cell r="O417" t="str">
            <v>CDI</v>
          </cell>
          <cell r="P417">
            <v>151.57</v>
          </cell>
          <cell r="Q417">
            <v>1217.8800000000001</v>
          </cell>
          <cell r="R417">
            <v>721.08</v>
          </cell>
          <cell r="S417">
            <v>0</v>
          </cell>
          <cell r="T417">
            <v>700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123.48</v>
          </cell>
          <cell r="AO417">
            <v>0</v>
          </cell>
          <cell r="AP417">
            <v>0</v>
          </cell>
          <cell r="AQ417">
            <v>446.56</v>
          </cell>
          <cell r="AR417">
            <v>0</v>
          </cell>
          <cell r="AS417">
            <v>0</v>
          </cell>
          <cell r="AT417">
            <v>0</v>
          </cell>
          <cell r="AU417">
            <v>0</v>
          </cell>
        </row>
        <row r="418">
          <cell r="A418" t="str">
            <v>000A0824</v>
          </cell>
          <cell r="B418" t="str">
            <v>MARTIN</v>
          </cell>
          <cell r="C418" t="str">
            <v>CHRISTELLE</v>
          </cell>
          <cell r="D418" t="str">
            <v>SIEGE</v>
          </cell>
          <cell r="E418">
            <v>91</v>
          </cell>
          <cell r="F418" t="str">
            <v>NC NUMERICABLE ILE-DE-FRANCE</v>
          </cell>
          <cell r="G418" t="str">
            <v>DIRECTION DES OPERAT</v>
          </cell>
          <cell r="H418" t="str">
            <v>DE BAILLENX</v>
          </cell>
          <cell r="I418" t="str">
            <v>GENE548001</v>
          </cell>
          <cell r="J418">
            <v>100</v>
          </cell>
          <cell r="K418">
            <v>36773</v>
          </cell>
          <cell r="L418" t="str">
            <v>ASS. DIRECT.</v>
          </cell>
          <cell r="M418" t="str">
            <v>TSM</v>
          </cell>
          <cell r="N418" t="str">
            <v>D</v>
          </cell>
          <cell r="O418" t="str">
            <v>CDI</v>
          </cell>
          <cell r="P418">
            <v>151.57</v>
          </cell>
          <cell r="Q418">
            <v>2223.9899999999998</v>
          </cell>
          <cell r="R418">
            <v>829.94</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239.51</v>
          </cell>
          <cell r="AO418">
            <v>31.21</v>
          </cell>
          <cell r="AP418">
            <v>0</v>
          </cell>
          <cell r="AQ418">
            <v>1608.21</v>
          </cell>
          <cell r="AR418">
            <v>0</v>
          </cell>
          <cell r="AS418">
            <v>0</v>
          </cell>
          <cell r="AT418">
            <v>0</v>
          </cell>
          <cell r="AU418">
            <v>0</v>
          </cell>
        </row>
        <row r="419">
          <cell r="A419" t="str">
            <v>000A957</v>
          </cell>
          <cell r="B419" t="str">
            <v>QUELHA</v>
          </cell>
          <cell r="C419" t="str">
            <v>GEORGE</v>
          </cell>
          <cell r="D419" t="str">
            <v>EBOUE</v>
          </cell>
          <cell r="E419">
            <v>91</v>
          </cell>
          <cell r="F419" t="str">
            <v>NC NUMERICABLE ILE-DE-FRANCE</v>
          </cell>
          <cell r="G419" t="str">
            <v>MAINTENANCE RESEAU</v>
          </cell>
          <cell r="H419" t="str">
            <v>BAZOT</v>
          </cell>
          <cell r="I419" t="str">
            <v>IDFR300001</v>
          </cell>
          <cell r="J419">
            <v>100</v>
          </cell>
          <cell r="K419">
            <v>37557</v>
          </cell>
          <cell r="L419" t="str">
            <v>TECH.SUPP.NIV.2</v>
          </cell>
          <cell r="M419" t="str">
            <v>TSM</v>
          </cell>
          <cell r="N419" t="str">
            <v>D</v>
          </cell>
          <cell r="O419" t="str">
            <v>CDI</v>
          </cell>
          <cell r="P419">
            <v>151.57</v>
          </cell>
          <cell r="Q419">
            <v>2110</v>
          </cell>
          <cell r="R419">
            <v>1217.6199999999999</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48.72</v>
          </cell>
          <cell r="AG419">
            <v>0</v>
          </cell>
          <cell r="AH419">
            <v>12.18</v>
          </cell>
          <cell r="AI419">
            <v>0</v>
          </cell>
          <cell r="AJ419">
            <v>73.08</v>
          </cell>
          <cell r="AK419">
            <v>100</v>
          </cell>
          <cell r="AL419">
            <v>0</v>
          </cell>
          <cell r="AM419">
            <v>0</v>
          </cell>
          <cell r="AN419">
            <v>288.12</v>
          </cell>
          <cell r="AO419">
            <v>0</v>
          </cell>
          <cell r="AP419">
            <v>0</v>
          </cell>
          <cell r="AQ419">
            <v>2502.2800000000002</v>
          </cell>
          <cell r="AR419">
            <v>73.08</v>
          </cell>
          <cell r="AS419">
            <v>100</v>
          </cell>
          <cell r="AT419">
            <v>0</v>
          </cell>
          <cell r="AU419">
            <v>0</v>
          </cell>
        </row>
        <row r="420">
          <cell r="A420" t="str">
            <v>000BZ015</v>
          </cell>
          <cell r="B420" t="str">
            <v>ZAYANI</v>
          </cell>
          <cell r="C420" t="str">
            <v>SANDRA</v>
          </cell>
          <cell r="D420" t="str">
            <v>VALENCE</v>
          </cell>
          <cell r="E420">
            <v>61</v>
          </cell>
          <cell r="F420" t="str">
            <v>NC NUMERICABLE RHONES-ALPES</v>
          </cell>
          <cell r="G420" t="str">
            <v>RACCORDEMENT IMMOB.</v>
          </cell>
          <cell r="H420" t="str">
            <v>FONTAINE T</v>
          </cell>
          <cell r="I420" t="str">
            <v>RHON302001</v>
          </cell>
          <cell r="J420">
            <v>100</v>
          </cell>
          <cell r="K420">
            <v>36787</v>
          </cell>
          <cell r="L420" t="str">
            <v>SUPERV. RACC-SAV</v>
          </cell>
          <cell r="M420" t="str">
            <v>TSM</v>
          </cell>
          <cell r="N420" t="str">
            <v>D</v>
          </cell>
          <cell r="O420" t="str">
            <v>CDI</v>
          </cell>
          <cell r="P420">
            <v>151.57</v>
          </cell>
          <cell r="Q420">
            <v>1912.92</v>
          </cell>
          <cell r="R420">
            <v>1150.52</v>
          </cell>
          <cell r="S420">
            <v>0</v>
          </cell>
          <cell r="T420">
            <v>0</v>
          </cell>
          <cell r="U420">
            <v>0</v>
          </cell>
          <cell r="V420">
            <v>0</v>
          </cell>
          <cell r="W420">
            <v>262</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234.23</v>
          </cell>
          <cell r="AO420">
            <v>0</v>
          </cell>
          <cell r="AP420">
            <v>0</v>
          </cell>
          <cell r="AQ420">
            <v>1912.92</v>
          </cell>
          <cell r="AR420">
            <v>0</v>
          </cell>
          <cell r="AS420">
            <v>0</v>
          </cell>
          <cell r="AT420">
            <v>0</v>
          </cell>
          <cell r="AU420">
            <v>0</v>
          </cell>
        </row>
        <row r="421">
          <cell r="A421" t="str">
            <v>000A0820</v>
          </cell>
          <cell r="B421" t="str">
            <v>MALIKIAN</v>
          </cell>
          <cell r="C421" t="str">
            <v>RAPHAEL</v>
          </cell>
          <cell r="D421" t="str">
            <v>SIEGE</v>
          </cell>
          <cell r="E421">
            <v>91</v>
          </cell>
          <cell r="F421" t="str">
            <v>NC NUMERICABLE ILE-DE-FRANCE</v>
          </cell>
          <cell r="G421" t="str">
            <v>PLATEFORME LOGISTIQU</v>
          </cell>
          <cell r="H421" t="str">
            <v>TABUTEAU</v>
          </cell>
          <cell r="I421" t="str">
            <v>GENE306001</v>
          </cell>
          <cell r="J421">
            <v>100</v>
          </cell>
          <cell r="K421">
            <v>36782</v>
          </cell>
          <cell r="L421" t="str">
            <v>TECH.SUPP.NIV.2</v>
          </cell>
          <cell r="M421" t="str">
            <v>TSM</v>
          </cell>
          <cell r="N421" t="str">
            <v>D</v>
          </cell>
          <cell r="O421" t="str">
            <v>CDI</v>
          </cell>
          <cell r="P421">
            <v>151.57</v>
          </cell>
          <cell r="Q421">
            <v>1822</v>
          </cell>
          <cell r="R421">
            <v>1137.93</v>
          </cell>
          <cell r="S421">
            <v>0</v>
          </cell>
          <cell r="T421">
            <v>0</v>
          </cell>
          <cell r="U421">
            <v>0</v>
          </cell>
          <cell r="V421">
            <v>0</v>
          </cell>
          <cell r="W421">
            <v>0</v>
          </cell>
          <cell r="X421">
            <v>95</v>
          </cell>
          <cell r="Y421">
            <v>0</v>
          </cell>
          <cell r="Z421">
            <v>128</v>
          </cell>
          <cell r="AA421">
            <v>0</v>
          </cell>
          <cell r="AB421">
            <v>0</v>
          </cell>
          <cell r="AC421">
            <v>0</v>
          </cell>
          <cell r="AD421">
            <v>0</v>
          </cell>
          <cell r="AE421">
            <v>0</v>
          </cell>
          <cell r="AF421">
            <v>12.02</v>
          </cell>
          <cell r="AG421">
            <v>0</v>
          </cell>
          <cell r="AH421">
            <v>3.01</v>
          </cell>
          <cell r="AI421">
            <v>0</v>
          </cell>
          <cell r="AJ421">
            <v>0</v>
          </cell>
          <cell r="AK421">
            <v>0</v>
          </cell>
          <cell r="AL421">
            <v>0</v>
          </cell>
          <cell r="AM421">
            <v>0</v>
          </cell>
          <cell r="AN421">
            <v>221.86</v>
          </cell>
          <cell r="AO421">
            <v>0</v>
          </cell>
          <cell r="AP421">
            <v>0</v>
          </cell>
          <cell r="AQ421">
            <v>1837.03</v>
          </cell>
          <cell r="AR421">
            <v>223</v>
          </cell>
          <cell r="AS421">
            <v>0</v>
          </cell>
          <cell r="AT421">
            <v>0</v>
          </cell>
          <cell r="AU421">
            <v>0</v>
          </cell>
        </row>
        <row r="422">
          <cell r="A422" t="str">
            <v>000N0254</v>
          </cell>
          <cell r="B422" t="str">
            <v>RANDO</v>
          </cell>
          <cell r="C422" t="str">
            <v>FREDERIC</v>
          </cell>
          <cell r="D422" t="str">
            <v>NICE</v>
          </cell>
          <cell r="E422">
            <v>91</v>
          </cell>
          <cell r="F422" t="str">
            <v>NC NUMERICABLE ILE-DE-FRANCE</v>
          </cell>
          <cell r="G422" t="str">
            <v>MAINTENANCE RESEAU</v>
          </cell>
          <cell r="H422" t="str">
            <v>BLONDEAU</v>
          </cell>
          <cell r="I422" t="str">
            <v>GENE306001</v>
          </cell>
          <cell r="J422">
            <v>100</v>
          </cell>
          <cell r="K422">
            <v>35886</v>
          </cell>
          <cell r="L422" t="str">
            <v>RESP. TECH. SUPPORT</v>
          </cell>
          <cell r="M422" t="str">
            <v>CADRE</v>
          </cell>
          <cell r="N422" t="str">
            <v>E</v>
          </cell>
          <cell r="O422" t="str">
            <v>CDI</v>
          </cell>
          <cell r="P422">
            <v>151.57</v>
          </cell>
          <cell r="Q422">
            <v>2750</v>
          </cell>
          <cell r="R422">
            <v>1864.5</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72.569999999999993</v>
          </cell>
          <cell r="AG422">
            <v>0</v>
          </cell>
          <cell r="AH422">
            <v>18.14</v>
          </cell>
          <cell r="AI422">
            <v>0</v>
          </cell>
          <cell r="AJ422">
            <v>18.14</v>
          </cell>
          <cell r="AK422">
            <v>657</v>
          </cell>
          <cell r="AL422">
            <v>0</v>
          </cell>
          <cell r="AM422">
            <v>0</v>
          </cell>
          <cell r="AN422">
            <v>381.78</v>
          </cell>
          <cell r="AO422">
            <v>0</v>
          </cell>
          <cell r="AP422">
            <v>0</v>
          </cell>
          <cell r="AQ422">
            <v>2713.81</v>
          </cell>
          <cell r="AR422">
            <v>18.14</v>
          </cell>
          <cell r="AS422">
            <v>657</v>
          </cell>
          <cell r="AT422">
            <v>0</v>
          </cell>
          <cell r="AU422">
            <v>0</v>
          </cell>
        </row>
        <row r="423">
          <cell r="A423">
            <v>431</v>
          </cell>
          <cell r="B423" t="str">
            <v>KAMINSKI</v>
          </cell>
          <cell r="C423" t="str">
            <v>DANIEL</v>
          </cell>
          <cell r="D423" t="str">
            <v>SIEGE</v>
          </cell>
          <cell r="E423">
            <v>91</v>
          </cell>
          <cell r="F423" t="str">
            <v>NC NUMERICABLE ILE-DE-FRANCE</v>
          </cell>
          <cell r="G423" t="str">
            <v>NOC</v>
          </cell>
          <cell r="H423" t="str">
            <v>SOTHER</v>
          </cell>
          <cell r="I423" t="str">
            <v>GENE320001</v>
          </cell>
          <cell r="J423">
            <v>100</v>
          </cell>
          <cell r="K423">
            <v>35247</v>
          </cell>
          <cell r="L423" t="str">
            <v>RESP.SUPP.NATIONAL</v>
          </cell>
          <cell r="M423" t="str">
            <v>CADRE</v>
          </cell>
          <cell r="N423" t="str">
            <v>F</v>
          </cell>
          <cell r="O423" t="str">
            <v>CDI</v>
          </cell>
          <cell r="P423">
            <v>151.57</v>
          </cell>
          <cell r="Q423">
            <v>4600</v>
          </cell>
          <cell r="R423">
            <v>2131.9299999999998</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219</v>
          </cell>
          <cell r="AL423">
            <v>0</v>
          </cell>
          <cell r="AM423">
            <v>0</v>
          </cell>
          <cell r="AN423">
            <v>547.04</v>
          </cell>
          <cell r="AO423">
            <v>0</v>
          </cell>
          <cell r="AP423">
            <v>0</v>
          </cell>
          <cell r="AQ423">
            <v>3857.04</v>
          </cell>
          <cell r="AR423">
            <v>0</v>
          </cell>
          <cell r="AS423">
            <v>219</v>
          </cell>
          <cell r="AT423">
            <v>0</v>
          </cell>
          <cell r="AU423">
            <v>0</v>
          </cell>
        </row>
        <row r="424">
          <cell r="A424" t="str">
            <v>000BD139</v>
          </cell>
          <cell r="B424" t="str">
            <v>MARTINEZ</v>
          </cell>
          <cell r="C424" t="str">
            <v>SYLVIE</v>
          </cell>
          <cell r="D424" t="str">
            <v>NICE</v>
          </cell>
          <cell r="E424">
            <v>91</v>
          </cell>
          <cell r="F424" t="str">
            <v>NC NUMERICABLE ILE-DE-FRANCE</v>
          </cell>
          <cell r="G424" t="str">
            <v>COLLECTIF</v>
          </cell>
          <cell r="H424" t="str">
            <v>MARTINEZ B</v>
          </cell>
          <cell r="I424" t="str">
            <v>SUES510001</v>
          </cell>
          <cell r="J424">
            <v>100</v>
          </cell>
          <cell r="K424">
            <v>35312</v>
          </cell>
          <cell r="L424" t="str">
            <v>ATTACHE COMMERCIAL</v>
          </cell>
          <cell r="M424" t="str">
            <v>CADRE</v>
          </cell>
          <cell r="N424" t="str">
            <v>DB</v>
          </cell>
          <cell r="O424" t="str">
            <v>CDI</v>
          </cell>
          <cell r="P424">
            <v>135.19999999999999</v>
          </cell>
          <cell r="Q424">
            <v>1707.75</v>
          </cell>
          <cell r="R424">
            <v>1809.18</v>
          </cell>
          <cell r="S424">
            <v>0</v>
          </cell>
          <cell r="T424">
            <v>1500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363.04</v>
          </cell>
          <cell r="AO424">
            <v>0</v>
          </cell>
          <cell r="AP424">
            <v>0</v>
          </cell>
          <cell r="AQ424">
            <v>1707.75</v>
          </cell>
          <cell r="AR424">
            <v>0</v>
          </cell>
          <cell r="AS424">
            <v>0</v>
          </cell>
          <cell r="AT424">
            <v>0</v>
          </cell>
          <cell r="AU424">
            <v>0</v>
          </cell>
        </row>
        <row r="425">
          <cell r="A425">
            <v>518</v>
          </cell>
          <cell r="B425" t="str">
            <v>DE VALENS</v>
          </cell>
          <cell r="C425" t="str">
            <v>VERONIQUE</v>
          </cell>
          <cell r="D425" t="str">
            <v>SIEGE</v>
          </cell>
          <cell r="E425">
            <v>91</v>
          </cell>
          <cell r="F425" t="str">
            <v>NC NUMERICABLE ILE-DE-FRANCE</v>
          </cell>
          <cell r="G425" t="str">
            <v>CLIENTELE</v>
          </cell>
          <cell r="I425" t="str">
            <v>GENE905001</v>
          </cell>
          <cell r="J425">
            <v>100</v>
          </cell>
          <cell r="K425">
            <v>33309</v>
          </cell>
          <cell r="L425" t="str">
            <v>RESP.TECH.CLIENTELE</v>
          </cell>
          <cell r="M425" t="str">
            <v>CADRE</v>
          </cell>
          <cell r="N425" t="str">
            <v>E</v>
          </cell>
          <cell r="O425" t="str">
            <v>CDI</v>
          </cell>
          <cell r="P425">
            <v>151.57</v>
          </cell>
          <cell r="Q425">
            <v>2550</v>
          </cell>
          <cell r="R425">
            <v>368.41</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-269.64</v>
          </cell>
          <cell r="AN425">
            <v>274.62</v>
          </cell>
          <cell r="AO425">
            <v>-238.43</v>
          </cell>
          <cell r="AP425">
            <v>0</v>
          </cell>
          <cell r="AQ425">
            <v>2550</v>
          </cell>
          <cell r="AR425">
            <v>0</v>
          </cell>
          <cell r="AS425">
            <v>0</v>
          </cell>
          <cell r="AT425">
            <v>0</v>
          </cell>
          <cell r="AU425">
            <v>0</v>
          </cell>
        </row>
        <row r="426">
          <cell r="A426">
            <v>58192</v>
          </cell>
          <cell r="B426" t="str">
            <v>PARNETTI</v>
          </cell>
          <cell r="C426" t="str">
            <v>LUCIA</v>
          </cell>
          <cell r="D426" t="str">
            <v>SIEGE</v>
          </cell>
          <cell r="E426">
            <v>91</v>
          </cell>
          <cell r="F426" t="str">
            <v>NC NUMERICABLE ILE-DE-FRANCE</v>
          </cell>
          <cell r="G426" t="str">
            <v>COLLECTIF</v>
          </cell>
          <cell r="H426" t="str">
            <v>BERNARD P</v>
          </cell>
          <cell r="I426" t="str">
            <v>IDFR510001</v>
          </cell>
          <cell r="J426">
            <v>100</v>
          </cell>
          <cell r="K426">
            <v>35765</v>
          </cell>
          <cell r="L426" t="str">
            <v>ATTACHE COMMERCIAL</v>
          </cell>
          <cell r="M426" t="str">
            <v>CADRE</v>
          </cell>
          <cell r="N426" t="str">
            <v>DB</v>
          </cell>
          <cell r="O426" t="str">
            <v>CDI</v>
          </cell>
          <cell r="P426">
            <v>151.57</v>
          </cell>
          <cell r="Q426">
            <v>2082</v>
          </cell>
          <cell r="R426">
            <v>1794.93</v>
          </cell>
          <cell r="S426">
            <v>0</v>
          </cell>
          <cell r="T426">
            <v>1500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398.99</v>
          </cell>
          <cell r="AO426">
            <v>0</v>
          </cell>
          <cell r="AP426">
            <v>0</v>
          </cell>
          <cell r="AQ426">
            <v>2088.6</v>
          </cell>
          <cell r="AR426">
            <v>0</v>
          </cell>
          <cell r="AS426">
            <v>0</v>
          </cell>
          <cell r="AT426">
            <v>0</v>
          </cell>
          <cell r="AU426">
            <v>0</v>
          </cell>
        </row>
        <row r="427">
          <cell r="A427" t="str">
            <v>000A1722</v>
          </cell>
          <cell r="B427" t="str">
            <v>JAOUEN</v>
          </cell>
          <cell r="C427" t="str">
            <v>SEBASTIEN</v>
          </cell>
          <cell r="D427" t="str">
            <v>BREST</v>
          </cell>
          <cell r="E427">
            <v>91</v>
          </cell>
          <cell r="F427" t="str">
            <v>NC NUMERICABLE ILE-DE-FRANCE</v>
          </cell>
          <cell r="G427" t="str">
            <v>VAD CONSEILLERS</v>
          </cell>
          <cell r="H427" t="str">
            <v>JAUD</v>
          </cell>
          <cell r="I427" t="str">
            <v>OUES500001</v>
          </cell>
          <cell r="J427">
            <v>100</v>
          </cell>
          <cell r="K427">
            <v>38810</v>
          </cell>
          <cell r="L427" t="str">
            <v>CONSEILLER(E) COM.</v>
          </cell>
          <cell r="M427" t="str">
            <v>TSM</v>
          </cell>
          <cell r="N427" t="str">
            <v>D</v>
          </cell>
          <cell r="O427" t="str">
            <v>CDI</v>
          </cell>
          <cell r="P427">
            <v>151.57</v>
          </cell>
          <cell r="Q427">
            <v>0</v>
          </cell>
          <cell r="R427">
            <v>321.76</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1136.69</v>
          </cell>
          <cell r="AR427">
            <v>0</v>
          </cell>
          <cell r="AS427">
            <v>0</v>
          </cell>
          <cell r="AT427">
            <v>0</v>
          </cell>
          <cell r="AU427">
            <v>0</v>
          </cell>
        </row>
        <row r="428">
          <cell r="A428" t="str">
            <v>000A1283</v>
          </cell>
          <cell r="B428" t="str">
            <v>DOGBA</v>
          </cell>
          <cell r="C428" t="str">
            <v>MORELA</v>
          </cell>
          <cell r="D428" t="str">
            <v>LYON GARIBALDI</v>
          </cell>
          <cell r="E428">
            <v>91</v>
          </cell>
          <cell r="F428" t="str">
            <v>NC NUMERICABLE ILE-DE-FRANCE</v>
          </cell>
          <cell r="G428" t="str">
            <v>VAD CONSEILLERS</v>
          </cell>
          <cell r="H428" t="str">
            <v>JAUNAY</v>
          </cell>
          <cell r="I428" t="str">
            <v>RHON500001</v>
          </cell>
          <cell r="J428">
            <v>100</v>
          </cell>
          <cell r="K428">
            <v>38684</v>
          </cell>
          <cell r="L428" t="str">
            <v>CONSEILLER(E) COM.</v>
          </cell>
          <cell r="M428" t="str">
            <v>TSM</v>
          </cell>
          <cell r="N428" t="str">
            <v>D</v>
          </cell>
          <cell r="O428" t="str">
            <v>CDI</v>
          </cell>
          <cell r="P428">
            <v>151.57</v>
          </cell>
          <cell r="Q428">
            <v>1217.8800000000001</v>
          </cell>
          <cell r="R428">
            <v>1342.39</v>
          </cell>
          <cell r="S428">
            <v>0</v>
          </cell>
          <cell r="T428">
            <v>2340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383.16</v>
          </cell>
          <cell r="AO428">
            <v>0</v>
          </cell>
          <cell r="AP428">
            <v>0</v>
          </cell>
          <cell r="AQ428">
            <v>1217.8800000000001</v>
          </cell>
          <cell r="AR428">
            <v>0</v>
          </cell>
          <cell r="AS428">
            <v>0</v>
          </cell>
          <cell r="AT428">
            <v>0</v>
          </cell>
          <cell r="AU428">
            <v>0</v>
          </cell>
        </row>
        <row r="429">
          <cell r="A429" t="str">
            <v>00A1315</v>
          </cell>
          <cell r="B429" t="str">
            <v>ETITIE</v>
          </cell>
          <cell r="C429" t="str">
            <v>KILLY</v>
          </cell>
          <cell r="D429" t="str">
            <v>LYON GARIBALDI</v>
          </cell>
          <cell r="E429">
            <v>91</v>
          </cell>
          <cell r="F429" t="str">
            <v>NC NUMERICABLE ILE-DE-FRANCE</v>
          </cell>
          <cell r="G429" t="str">
            <v>VAD CONSEILLERS</v>
          </cell>
          <cell r="H429" t="str">
            <v>JAUNAY</v>
          </cell>
          <cell r="I429" t="str">
            <v>RHON500001</v>
          </cell>
          <cell r="J429">
            <v>100</v>
          </cell>
          <cell r="K429">
            <v>38684</v>
          </cell>
          <cell r="L429" t="str">
            <v>CONSEILLER(E) COM.</v>
          </cell>
          <cell r="M429" t="str">
            <v>TSM</v>
          </cell>
          <cell r="N429" t="str">
            <v>D</v>
          </cell>
          <cell r="O429" t="str">
            <v>CDI</v>
          </cell>
          <cell r="P429">
            <v>151.57</v>
          </cell>
          <cell r="Q429">
            <v>1217.8800000000001</v>
          </cell>
          <cell r="R429">
            <v>266.04000000000002</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54.54</v>
          </cell>
          <cell r="AO429">
            <v>0</v>
          </cell>
          <cell r="AP429">
            <v>0</v>
          </cell>
          <cell r="AQ429">
            <v>468.38</v>
          </cell>
          <cell r="AR429">
            <v>0</v>
          </cell>
          <cell r="AS429">
            <v>0</v>
          </cell>
          <cell r="AT429">
            <v>0</v>
          </cell>
          <cell r="AU429">
            <v>0</v>
          </cell>
        </row>
        <row r="430">
          <cell r="A430" t="str">
            <v>000A1220</v>
          </cell>
          <cell r="B430" t="str">
            <v>HALABI</v>
          </cell>
          <cell r="C430" t="str">
            <v>THOMAS</v>
          </cell>
          <cell r="D430" t="str">
            <v>VERSAILLES</v>
          </cell>
          <cell r="E430">
            <v>91</v>
          </cell>
          <cell r="F430" t="str">
            <v>NC NUMERICABLE ILE-DE-FRANCE</v>
          </cell>
          <cell r="G430" t="str">
            <v>VAD CONSEILLERS</v>
          </cell>
          <cell r="H430" t="str">
            <v>FERRADJ</v>
          </cell>
          <cell r="I430" t="str">
            <v>IDFR500001</v>
          </cell>
          <cell r="J430">
            <v>100</v>
          </cell>
          <cell r="K430">
            <v>38649</v>
          </cell>
          <cell r="L430" t="str">
            <v>CONSEILLER(E) COM.</v>
          </cell>
          <cell r="M430" t="str">
            <v>TSM</v>
          </cell>
          <cell r="N430" t="str">
            <v>D</v>
          </cell>
          <cell r="O430" t="str">
            <v>CDI</v>
          </cell>
          <cell r="P430">
            <v>151.57</v>
          </cell>
          <cell r="Q430">
            <v>1217.8800000000001</v>
          </cell>
          <cell r="R430">
            <v>636.04</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104.91</v>
          </cell>
          <cell r="AO430">
            <v>0</v>
          </cell>
          <cell r="AP430">
            <v>0</v>
          </cell>
          <cell r="AQ430">
            <v>974.3</v>
          </cell>
          <cell r="AR430">
            <v>0</v>
          </cell>
          <cell r="AS430">
            <v>0</v>
          </cell>
          <cell r="AT430">
            <v>0</v>
          </cell>
          <cell r="AU430">
            <v>0</v>
          </cell>
        </row>
        <row r="431">
          <cell r="A431" t="str">
            <v>000A1716</v>
          </cell>
          <cell r="B431" t="str">
            <v>GOMEZ</v>
          </cell>
          <cell r="C431" t="str">
            <v>JEAN LUC</v>
          </cell>
          <cell r="D431" t="str">
            <v>SIEGE</v>
          </cell>
          <cell r="E431">
            <v>91</v>
          </cell>
          <cell r="F431" t="str">
            <v>NC NUMERICABLE ILE-DE-FRANCE</v>
          </cell>
          <cell r="G431" t="str">
            <v>VAD CONSEILLERS</v>
          </cell>
          <cell r="H431" t="str">
            <v>ZERFAINE</v>
          </cell>
          <cell r="I431" t="str">
            <v>IDFR500001</v>
          </cell>
          <cell r="J431">
            <v>100</v>
          </cell>
          <cell r="K431">
            <v>38819</v>
          </cell>
          <cell r="L431" t="str">
            <v>CONSEILLER(E) COM.</v>
          </cell>
          <cell r="M431" t="str">
            <v>TSM</v>
          </cell>
          <cell r="N431" t="str">
            <v>D</v>
          </cell>
          <cell r="O431" t="str">
            <v>CDI</v>
          </cell>
          <cell r="P431">
            <v>151.57</v>
          </cell>
          <cell r="Q431">
            <v>0</v>
          </cell>
          <cell r="R431">
            <v>224.11</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771.32</v>
          </cell>
          <cell r="AR431">
            <v>0</v>
          </cell>
          <cell r="AS431">
            <v>0</v>
          </cell>
          <cell r="AT431">
            <v>0</v>
          </cell>
          <cell r="AU431">
            <v>0</v>
          </cell>
        </row>
        <row r="432">
          <cell r="A432" t="str">
            <v>000A1548</v>
          </cell>
          <cell r="B432" t="str">
            <v>MAATOUGUI</v>
          </cell>
          <cell r="C432" t="str">
            <v>ABDELATIF</v>
          </cell>
          <cell r="D432" t="str">
            <v>LYON CATN</v>
          </cell>
          <cell r="E432">
            <v>66</v>
          </cell>
          <cell r="F432" t="str">
            <v>NC NUMERICABLE LYON</v>
          </cell>
          <cell r="G432" t="str">
            <v>FACTURATION</v>
          </cell>
          <cell r="H432" t="str">
            <v>ANTONIN</v>
          </cell>
          <cell r="I432" t="str">
            <v>CLIE410001</v>
          </cell>
          <cell r="J432">
            <v>100</v>
          </cell>
          <cell r="K432">
            <v>38733</v>
          </cell>
          <cell r="L432" t="str">
            <v>CHARGE FACTURATION C. CLIENTS</v>
          </cell>
          <cell r="M432" t="str">
            <v>EMPLOYE</v>
          </cell>
          <cell r="N432" t="str">
            <v>C</v>
          </cell>
          <cell r="O432" t="str">
            <v>CDI</v>
          </cell>
          <cell r="P432">
            <v>151.57</v>
          </cell>
          <cell r="Q432">
            <v>1900</v>
          </cell>
          <cell r="R432">
            <v>1024.3599999999999</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204.61</v>
          </cell>
          <cell r="AO432">
            <v>0</v>
          </cell>
          <cell r="AP432">
            <v>0</v>
          </cell>
          <cell r="AQ432">
            <v>1900</v>
          </cell>
          <cell r="AR432">
            <v>0</v>
          </cell>
          <cell r="AS432">
            <v>0</v>
          </cell>
          <cell r="AT432">
            <v>0</v>
          </cell>
          <cell r="AU432">
            <v>0</v>
          </cell>
        </row>
        <row r="433">
          <cell r="A433" t="str">
            <v>000A1437</v>
          </cell>
          <cell r="B433" t="str">
            <v>ROURESSOL</v>
          </cell>
          <cell r="C433" t="str">
            <v>JEAN LOUIS</v>
          </cell>
          <cell r="D433" t="str">
            <v>VALENCE</v>
          </cell>
          <cell r="E433">
            <v>91</v>
          </cell>
          <cell r="F433" t="str">
            <v>NC NUMERICABLE ILE-DE-FRANCE</v>
          </cell>
          <cell r="G433" t="str">
            <v>VAD CONSEILLERS</v>
          </cell>
          <cell r="H433" t="str">
            <v>LAGUEREMA</v>
          </cell>
          <cell r="I433" t="str">
            <v>RHON500001</v>
          </cell>
          <cell r="J433">
            <v>100</v>
          </cell>
          <cell r="K433">
            <v>38740</v>
          </cell>
          <cell r="L433" t="str">
            <v>CONSEILLER(E) COM.</v>
          </cell>
          <cell r="M433" t="str">
            <v>TSM</v>
          </cell>
          <cell r="N433" t="str">
            <v>D</v>
          </cell>
          <cell r="O433" t="str">
            <v>CDI</v>
          </cell>
          <cell r="P433">
            <v>151.57</v>
          </cell>
          <cell r="Q433">
            <v>1583.24</v>
          </cell>
          <cell r="R433">
            <v>294.58999999999997</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71.319999999999993</v>
          </cell>
          <cell r="AO433">
            <v>0</v>
          </cell>
          <cell r="AP433">
            <v>0</v>
          </cell>
          <cell r="AQ433">
            <v>477.76</v>
          </cell>
          <cell r="AR433">
            <v>0</v>
          </cell>
          <cell r="AS433">
            <v>0</v>
          </cell>
          <cell r="AT433">
            <v>0</v>
          </cell>
          <cell r="AU433">
            <v>0</v>
          </cell>
        </row>
        <row r="434">
          <cell r="A434">
            <v>1345</v>
          </cell>
          <cell r="B434" t="str">
            <v>M'JIMAR</v>
          </cell>
          <cell r="C434" t="str">
            <v>TOUFIK</v>
          </cell>
          <cell r="D434" t="str">
            <v>LA MADELEINE</v>
          </cell>
          <cell r="E434">
            <v>91</v>
          </cell>
          <cell r="F434" t="str">
            <v>NC NUMERICABLE ILE-DE-FRANCE</v>
          </cell>
          <cell r="G434" t="str">
            <v>VAD CONSEILLERS</v>
          </cell>
          <cell r="H434" t="str">
            <v>LESSCHAVE</v>
          </cell>
          <cell r="I434" t="str">
            <v>NPCA500001</v>
          </cell>
          <cell r="J434">
            <v>100</v>
          </cell>
          <cell r="K434">
            <v>38677</v>
          </cell>
          <cell r="L434" t="str">
            <v>CONSEILLER(E) COM.</v>
          </cell>
          <cell r="M434" t="str">
            <v>TSM</v>
          </cell>
          <cell r="N434" t="str">
            <v>D</v>
          </cell>
          <cell r="O434" t="str">
            <v>CDI</v>
          </cell>
          <cell r="P434">
            <v>151.57</v>
          </cell>
          <cell r="Q434">
            <v>1217.8800000000001</v>
          </cell>
          <cell r="R434">
            <v>1434.64</v>
          </cell>
          <cell r="S434">
            <v>0</v>
          </cell>
          <cell r="T434">
            <v>2500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400.38</v>
          </cell>
          <cell r="AO434">
            <v>0</v>
          </cell>
          <cell r="AP434">
            <v>0</v>
          </cell>
          <cell r="AQ434">
            <v>1217.8800000000001</v>
          </cell>
          <cell r="AR434">
            <v>0</v>
          </cell>
          <cell r="AS434">
            <v>0</v>
          </cell>
          <cell r="AT434">
            <v>0</v>
          </cell>
          <cell r="AU434">
            <v>0</v>
          </cell>
        </row>
        <row r="435">
          <cell r="A435" t="str">
            <v>000A1182</v>
          </cell>
          <cell r="B435" t="str">
            <v>TOURE</v>
          </cell>
          <cell r="C435" t="str">
            <v>IDRISSA</v>
          </cell>
          <cell r="D435" t="str">
            <v>VERSAILLES</v>
          </cell>
          <cell r="E435">
            <v>91</v>
          </cell>
          <cell r="F435" t="str">
            <v>NC NUMERICABLE ILE-DE-FRANCE</v>
          </cell>
          <cell r="G435" t="str">
            <v>VAD CONSEILLERS</v>
          </cell>
          <cell r="H435" t="str">
            <v>MAXIMIN-TARTARE</v>
          </cell>
          <cell r="I435" t="str">
            <v>IDFR500001</v>
          </cell>
          <cell r="J435">
            <v>100</v>
          </cell>
          <cell r="K435">
            <v>38642</v>
          </cell>
          <cell r="L435" t="str">
            <v>CONSEILLER(E) COM.</v>
          </cell>
          <cell r="M435" t="str">
            <v>TSM</v>
          </cell>
          <cell r="N435" t="str">
            <v>D</v>
          </cell>
          <cell r="O435" t="str">
            <v>CDI</v>
          </cell>
          <cell r="P435">
            <v>151.57</v>
          </cell>
          <cell r="Q435">
            <v>1217.8800000000001</v>
          </cell>
          <cell r="R435">
            <v>1338.47</v>
          </cell>
          <cell r="S435">
            <v>0</v>
          </cell>
          <cell r="T435">
            <v>2200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368.08</v>
          </cell>
          <cell r="AO435">
            <v>0</v>
          </cell>
          <cell r="AP435">
            <v>0</v>
          </cell>
          <cell r="AQ435">
            <v>1217.8800000000001</v>
          </cell>
          <cell r="AR435">
            <v>0</v>
          </cell>
          <cell r="AS435">
            <v>0</v>
          </cell>
          <cell r="AT435">
            <v>0</v>
          </cell>
          <cell r="AU435">
            <v>0</v>
          </cell>
        </row>
        <row r="436">
          <cell r="A436" t="str">
            <v>000A1705</v>
          </cell>
          <cell r="B436" t="str">
            <v>BAWARA-CONZY</v>
          </cell>
          <cell r="C436" t="str">
            <v>HERVE</v>
          </cell>
          <cell r="D436" t="str">
            <v>VALENCE</v>
          </cell>
          <cell r="E436">
            <v>91</v>
          </cell>
          <cell r="F436" t="str">
            <v>NC NUMERICABLE ILE-DE-FRANCE</v>
          </cell>
          <cell r="G436" t="str">
            <v>VAD CONSEILLERS</v>
          </cell>
          <cell r="H436" t="str">
            <v>DONT</v>
          </cell>
          <cell r="I436" t="str">
            <v>RHON500001</v>
          </cell>
          <cell r="J436">
            <v>100</v>
          </cell>
          <cell r="K436">
            <v>38817</v>
          </cell>
          <cell r="L436" t="str">
            <v>CONSEILLER(E) COM.</v>
          </cell>
          <cell r="M436" t="str">
            <v>TSM</v>
          </cell>
          <cell r="N436" t="str">
            <v>D</v>
          </cell>
          <cell r="O436" t="str">
            <v>CDI</v>
          </cell>
          <cell r="P436">
            <v>151.57</v>
          </cell>
          <cell r="Q436">
            <v>0</v>
          </cell>
          <cell r="R436">
            <v>240.15</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852.52</v>
          </cell>
          <cell r="AR436">
            <v>0</v>
          </cell>
          <cell r="AS436">
            <v>0</v>
          </cell>
          <cell r="AT436">
            <v>0</v>
          </cell>
          <cell r="AU436">
            <v>0</v>
          </cell>
        </row>
        <row r="437">
          <cell r="A437" t="str">
            <v>000A1204</v>
          </cell>
          <cell r="B437" t="str">
            <v>ISTIQUAM</v>
          </cell>
          <cell r="C437" t="str">
            <v>ABDELAZIZ</v>
          </cell>
          <cell r="D437" t="str">
            <v>MARSEILLE</v>
          </cell>
          <cell r="E437">
            <v>91</v>
          </cell>
          <cell r="F437" t="str">
            <v>NC NUMERICABLE ILE-DE-FRANCE</v>
          </cell>
          <cell r="G437" t="str">
            <v>VAD CONSEILLERS</v>
          </cell>
          <cell r="H437" t="str">
            <v>ZAMORA</v>
          </cell>
          <cell r="I437" t="str">
            <v>SUES500001</v>
          </cell>
          <cell r="J437">
            <v>100</v>
          </cell>
          <cell r="K437">
            <v>38663</v>
          </cell>
          <cell r="L437" t="str">
            <v>CONSEILLER(E) COM.</v>
          </cell>
          <cell r="M437" t="str">
            <v>TSM</v>
          </cell>
          <cell r="N437" t="str">
            <v>D</v>
          </cell>
          <cell r="O437" t="str">
            <v>CDI</v>
          </cell>
          <cell r="P437">
            <v>151.57</v>
          </cell>
          <cell r="Q437">
            <v>1217.8800000000001</v>
          </cell>
          <cell r="R437">
            <v>711.81</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131.16</v>
          </cell>
          <cell r="AO437">
            <v>0</v>
          </cell>
          <cell r="AP437">
            <v>0</v>
          </cell>
          <cell r="AQ437">
            <v>1217.8800000000001</v>
          </cell>
          <cell r="AR437">
            <v>0</v>
          </cell>
          <cell r="AS437">
            <v>0</v>
          </cell>
          <cell r="AT437">
            <v>0</v>
          </cell>
          <cell r="AU437">
            <v>0</v>
          </cell>
        </row>
        <row r="438">
          <cell r="A438" t="str">
            <v>000A1307</v>
          </cell>
          <cell r="B438" t="str">
            <v>SIRJACQUES</v>
          </cell>
          <cell r="C438" t="str">
            <v>DIDIER</v>
          </cell>
          <cell r="D438" t="str">
            <v>MARSEILLE</v>
          </cell>
          <cell r="E438">
            <v>91</v>
          </cell>
          <cell r="F438" t="str">
            <v>NC NUMERICABLE ILE-DE-FRANCE</v>
          </cell>
          <cell r="G438" t="str">
            <v>VAD CONSEILLERS</v>
          </cell>
          <cell r="H438" t="str">
            <v>ZAMORA</v>
          </cell>
          <cell r="I438" t="str">
            <v>SUES500001</v>
          </cell>
          <cell r="J438">
            <v>100</v>
          </cell>
          <cell r="K438">
            <v>38691</v>
          </cell>
          <cell r="L438" t="str">
            <v>CONSEILLER(E) COM.</v>
          </cell>
          <cell r="M438" t="str">
            <v>TSM</v>
          </cell>
          <cell r="N438" t="str">
            <v>D</v>
          </cell>
          <cell r="O438" t="str">
            <v>CDI</v>
          </cell>
          <cell r="P438">
            <v>151.57</v>
          </cell>
          <cell r="Q438">
            <v>1217.8800000000001</v>
          </cell>
          <cell r="R438">
            <v>623.85</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131.16999999999999</v>
          </cell>
          <cell r="AO438">
            <v>0</v>
          </cell>
          <cell r="AP438">
            <v>0</v>
          </cell>
          <cell r="AQ438">
            <v>1217.8800000000001</v>
          </cell>
          <cell r="AR438">
            <v>0</v>
          </cell>
          <cell r="AS438">
            <v>0</v>
          </cell>
          <cell r="AT438">
            <v>0</v>
          </cell>
          <cell r="AU438">
            <v>0</v>
          </cell>
        </row>
        <row r="439">
          <cell r="A439" t="str">
            <v>000A1158</v>
          </cell>
          <cell r="B439" t="str">
            <v>SADI</v>
          </cell>
          <cell r="C439" t="str">
            <v>MENOUAR</v>
          </cell>
          <cell r="D439" t="str">
            <v>VERSAILLES</v>
          </cell>
          <cell r="E439">
            <v>91</v>
          </cell>
          <cell r="F439" t="str">
            <v>NC NUMERICABLE ILE-DE-FRANCE</v>
          </cell>
          <cell r="G439" t="str">
            <v>VAD CONSEILLERS</v>
          </cell>
          <cell r="H439" t="str">
            <v>MAXIMIN-TARTARE</v>
          </cell>
          <cell r="I439" t="str">
            <v>IDFR500001</v>
          </cell>
          <cell r="J439">
            <v>100</v>
          </cell>
          <cell r="K439">
            <v>38642</v>
          </cell>
          <cell r="L439" t="str">
            <v>CONSEILLER(E) COM.</v>
          </cell>
          <cell r="M439" t="str">
            <v>TSM</v>
          </cell>
          <cell r="N439" t="str">
            <v>D</v>
          </cell>
          <cell r="O439" t="str">
            <v>CDI</v>
          </cell>
          <cell r="P439">
            <v>151.57</v>
          </cell>
          <cell r="Q439">
            <v>1217.8800000000001</v>
          </cell>
          <cell r="R439">
            <v>1162.02</v>
          </cell>
          <cell r="S439">
            <v>0</v>
          </cell>
          <cell r="T439">
            <v>1900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322.64999999999998</v>
          </cell>
          <cell r="AO439">
            <v>0</v>
          </cell>
          <cell r="AP439">
            <v>0</v>
          </cell>
          <cell r="AQ439">
            <v>1096.0899999999999</v>
          </cell>
          <cell r="AR439">
            <v>0</v>
          </cell>
          <cell r="AS439">
            <v>0</v>
          </cell>
          <cell r="AT439">
            <v>0</v>
          </cell>
          <cell r="AU439">
            <v>0</v>
          </cell>
        </row>
        <row r="440">
          <cell r="A440" t="str">
            <v>000A0730</v>
          </cell>
          <cell r="B440" t="str">
            <v>AMOR</v>
          </cell>
          <cell r="C440" t="str">
            <v>EDDY</v>
          </cell>
          <cell r="D440" t="str">
            <v>SIEGE</v>
          </cell>
          <cell r="E440">
            <v>91</v>
          </cell>
          <cell r="F440" t="str">
            <v>NC NUMERICABLE ILE-DE-FRANCE</v>
          </cell>
          <cell r="G440" t="str">
            <v>CONTROLE GESTION</v>
          </cell>
          <cell r="H440" t="str">
            <v>LE PESQ</v>
          </cell>
          <cell r="I440" t="str">
            <v>GENE701001</v>
          </cell>
          <cell r="J440">
            <v>100</v>
          </cell>
          <cell r="K440">
            <v>36466</v>
          </cell>
          <cell r="L440" t="str">
            <v>CONTROLEUR DE GEST.</v>
          </cell>
          <cell r="M440" t="str">
            <v>CADRE</v>
          </cell>
          <cell r="N440" t="str">
            <v>E</v>
          </cell>
          <cell r="O440" t="str">
            <v>CDI</v>
          </cell>
          <cell r="P440">
            <v>151.57</v>
          </cell>
          <cell r="Q440">
            <v>3850</v>
          </cell>
          <cell r="R440">
            <v>1578.92</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417.23</v>
          </cell>
          <cell r="AO440">
            <v>0</v>
          </cell>
          <cell r="AP440">
            <v>0</v>
          </cell>
          <cell r="AQ440">
            <v>3139.34</v>
          </cell>
          <cell r="AR440">
            <v>0</v>
          </cell>
          <cell r="AS440">
            <v>0</v>
          </cell>
          <cell r="AT440">
            <v>0</v>
          </cell>
          <cell r="AU440">
            <v>0</v>
          </cell>
        </row>
        <row r="441">
          <cell r="A441" t="str">
            <v>000A0791</v>
          </cell>
          <cell r="B441" t="str">
            <v>CROZET</v>
          </cell>
          <cell r="C441" t="str">
            <v>ARNAUD</v>
          </cell>
          <cell r="D441" t="str">
            <v>VILLEURBANNE</v>
          </cell>
          <cell r="E441">
            <v>91</v>
          </cell>
          <cell r="F441" t="str">
            <v>NC NUMERICABLE ILE-DE-FRANCE</v>
          </cell>
          <cell r="G441" t="str">
            <v>INFORMATIQUE</v>
          </cell>
          <cell r="H441" t="str">
            <v>CANAS</v>
          </cell>
          <cell r="I441" t="str">
            <v>GENE620001</v>
          </cell>
          <cell r="J441">
            <v>100</v>
          </cell>
          <cell r="K441">
            <v>36710</v>
          </cell>
          <cell r="L441" t="str">
            <v>SUPPORT EXP. PROD.</v>
          </cell>
          <cell r="M441" t="str">
            <v>TSM</v>
          </cell>
          <cell r="N441" t="str">
            <v>D</v>
          </cell>
          <cell r="O441" t="str">
            <v>CDI</v>
          </cell>
          <cell r="P441">
            <v>151.57</v>
          </cell>
          <cell r="Q441">
            <v>2080.35</v>
          </cell>
          <cell r="R441">
            <v>1174.68</v>
          </cell>
          <cell r="S441">
            <v>0</v>
          </cell>
          <cell r="T441">
            <v>0</v>
          </cell>
          <cell r="U441">
            <v>0</v>
          </cell>
          <cell r="V441">
            <v>0</v>
          </cell>
          <cell r="W441">
            <v>0</v>
          </cell>
          <cell r="X441">
            <v>95</v>
          </cell>
          <cell r="Y441">
            <v>0</v>
          </cell>
          <cell r="Z441">
            <v>0</v>
          </cell>
          <cell r="AA441">
            <v>0</v>
          </cell>
          <cell r="AB441">
            <v>0</v>
          </cell>
          <cell r="AC441">
            <v>0</v>
          </cell>
          <cell r="AD441">
            <v>0</v>
          </cell>
          <cell r="AE441">
            <v>0</v>
          </cell>
          <cell r="AF441">
            <v>205.88</v>
          </cell>
          <cell r="AG441">
            <v>6.86</v>
          </cell>
          <cell r="AH441">
            <v>48.03</v>
          </cell>
          <cell r="AI441">
            <v>0</v>
          </cell>
          <cell r="AJ441">
            <v>68.64</v>
          </cell>
          <cell r="AK441">
            <v>0</v>
          </cell>
          <cell r="AL441">
            <v>0</v>
          </cell>
          <cell r="AM441">
            <v>0</v>
          </cell>
          <cell r="AN441">
            <v>277.33</v>
          </cell>
          <cell r="AO441">
            <v>0</v>
          </cell>
          <cell r="AP441">
            <v>0</v>
          </cell>
          <cell r="AQ441">
            <v>2053.12</v>
          </cell>
          <cell r="AR441">
            <v>163.63999999999999</v>
          </cell>
          <cell r="AS441">
            <v>0</v>
          </cell>
          <cell r="AT441">
            <v>0</v>
          </cell>
          <cell r="AU441">
            <v>0</v>
          </cell>
        </row>
        <row r="442">
          <cell r="A442" t="str">
            <v>000A0955</v>
          </cell>
          <cell r="B442" t="str">
            <v>GENSBURGER</v>
          </cell>
          <cell r="C442" t="str">
            <v>BRICE</v>
          </cell>
          <cell r="D442" t="str">
            <v>SIEGE</v>
          </cell>
          <cell r="E442">
            <v>91</v>
          </cell>
          <cell r="F442" t="str">
            <v>NC NUMERICABLE ILE-DE-FRANCE</v>
          </cell>
          <cell r="G442" t="str">
            <v>INFORMATIQUE</v>
          </cell>
          <cell r="H442" t="str">
            <v>DELEBARRE JL</v>
          </cell>
          <cell r="I442" t="str">
            <v>GENE620001</v>
          </cell>
          <cell r="J442">
            <v>100</v>
          </cell>
          <cell r="K442">
            <v>37552</v>
          </cell>
          <cell r="L442" t="str">
            <v>CHEF DE PROJET</v>
          </cell>
          <cell r="M442" t="str">
            <v>CADRE</v>
          </cell>
          <cell r="N442" t="str">
            <v>E</v>
          </cell>
          <cell r="O442" t="str">
            <v>CDI</v>
          </cell>
          <cell r="P442">
            <v>151.57</v>
          </cell>
          <cell r="Q442">
            <v>3106</v>
          </cell>
          <cell r="R442">
            <v>1553.74</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334.47</v>
          </cell>
          <cell r="AO442">
            <v>0</v>
          </cell>
          <cell r="AP442">
            <v>0</v>
          </cell>
          <cell r="AQ442">
            <v>3106</v>
          </cell>
          <cell r="AR442">
            <v>0</v>
          </cell>
          <cell r="AS442">
            <v>0</v>
          </cell>
          <cell r="AT442">
            <v>0</v>
          </cell>
          <cell r="AU442">
            <v>0</v>
          </cell>
        </row>
        <row r="443">
          <cell r="A443">
            <v>9030</v>
          </cell>
          <cell r="B443" t="str">
            <v>LEGRAND</v>
          </cell>
          <cell r="C443" t="str">
            <v>JEAN-MARC</v>
          </cell>
          <cell r="D443" t="str">
            <v>LA MADELEINE</v>
          </cell>
          <cell r="E443">
            <v>91</v>
          </cell>
          <cell r="F443" t="str">
            <v>NC NUMERICABLE ILE-DE-FRANCE</v>
          </cell>
          <cell r="G443" t="str">
            <v>TRAVAUX</v>
          </cell>
          <cell r="H443" t="str">
            <v>CHOVEAU</v>
          </cell>
          <cell r="I443" t="str">
            <v>NPCA300001</v>
          </cell>
          <cell r="J443">
            <v>100</v>
          </cell>
          <cell r="K443">
            <v>33451</v>
          </cell>
          <cell r="L443" t="str">
            <v>RESP. TECH. SUPPORT</v>
          </cell>
          <cell r="M443" t="str">
            <v>CADRE</v>
          </cell>
          <cell r="N443" t="str">
            <v>E</v>
          </cell>
          <cell r="O443" t="str">
            <v>CDI</v>
          </cell>
          <cell r="P443">
            <v>151.57</v>
          </cell>
          <cell r="Q443">
            <v>2421</v>
          </cell>
          <cell r="R443">
            <v>1470.03</v>
          </cell>
          <cell r="S443">
            <v>0</v>
          </cell>
          <cell r="T443">
            <v>237.59</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286.32</v>
          </cell>
          <cell r="AO443">
            <v>0</v>
          </cell>
          <cell r="AP443">
            <v>0</v>
          </cell>
          <cell r="AQ443">
            <v>2421</v>
          </cell>
          <cell r="AR443">
            <v>0</v>
          </cell>
          <cell r="AS443">
            <v>0</v>
          </cell>
          <cell r="AT443">
            <v>0</v>
          </cell>
          <cell r="AU443">
            <v>0</v>
          </cell>
        </row>
        <row r="444">
          <cell r="A444">
            <v>203</v>
          </cell>
          <cell r="B444" t="str">
            <v>ALARCON</v>
          </cell>
          <cell r="C444" t="str">
            <v>FRANCOIS</v>
          </cell>
          <cell r="D444" t="str">
            <v>SIEGE</v>
          </cell>
          <cell r="E444">
            <v>91</v>
          </cell>
          <cell r="F444" t="str">
            <v>NC NUMERICABLE ILE-DE-FRANCE</v>
          </cell>
          <cell r="G444" t="str">
            <v>CLIENTELE</v>
          </cell>
          <cell r="H444" t="str">
            <v>LUCIANI</v>
          </cell>
          <cell r="I444" t="str">
            <v>GENE905001</v>
          </cell>
          <cell r="J444">
            <v>100</v>
          </cell>
          <cell r="K444">
            <v>32980</v>
          </cell>
          <cell r="L444" t="str">
            <v>RESP.TECH.CLIENTELE</v>
          </cell>
          <cell r="M444" t="str">
            <v>CADRE</v>
          </cell>
          <cell r="N444" t="str">
            <v>E</v>
          </cell>
          <cell r="O444" t="str">
            <v>CDI</v>
          </cell>
          <cell r="P444">
            <v>151.57</v>
          </cell>
          <cell r="Q444">
            <v>5300</v>
          </cell>
          <cell r="R444">
            <v>2780.63</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587.96</v>
          </cell>
          <cell r="AO444">
            <v>0</v>
          </cell>
          <cell r="AP444">
            <v>0</v>
          </cell>
          <cell r="AQ444">
            <v>5300</v>
          </cell>
          <cell r="AR444">
            <v>0</v>
          </cell>
          <cell r="AS444">
            <v>0</v>
          </cell>
          <cell r="AT444">
            <v>0</v>
          </cell>
          <cell r="AU444">
            <v>0</v>
          </cell>
        </row>
        <row r="445">
          <cell r="A445" t="str">
            <v>000A1215</v>
          </cell>
          <cell r="B445" t="str">
            <v>MOMBAERTS</v>
          </cell>
          <cell r="C445" t="str">
            <v>JEAN-MARIE</v>
          </cell>
          <cell r="D445" t="str">
            <v>VERSAILLES</v>
          </cell>
          <cell r="E445">
            <v>91</v>
          </cell>
          <cell r="F445" t="str">
            <v>NC NUMERICABLE ILE-DE-FRANCE</v>
          </cell>
          <cell r="G445" t="str">
            <v>VAD CONSEILLERS</v>
          </cell>
          <cell r="H445" t="str">
            <v>SELLAMI</v>
          </cell>
          <cell r="I445" t="str">
            <v>IDFR500001</v>
          </cell>
          <cell r="J445">
            <v>100</v>
          </cell>
          <cell r="K445">
            <v>38658</v>
          </cell>
          <cell r="L445" t="str">
            <v>CONSEILLER(E) COM.</v>
          </cell>
          <cell r="M445" t="str">
            <v>TSM</v>
          </cell>
          <cell r="N445" t="str">
            <v>D</v>
          </cell>
          <cell r="O445" t="str">
            <v>CDI</v>
          </cell>
          <cell r="P445">
            <v>151.57</v>
          </cell>
          <cell r="Q445">
            <v>1217.8800000000001</v>
          </cell>
          <cell r="R445">
            <v>1334.75</v>
          </cell>
          <cell r="S445">
            <v>0</v>
          </cell>
          <cell r="T445">
            <v>2260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374.53</v>
          </cell>
          <cell r="AO445">
            <v>0</v>
          </cell>
          <cell r="AP445">
            <v>0</v>
          </cell>
          <cell r="AQ445">
            <v>1217.8800000000001</v>
          </cell>
          <cell r="AR445">
            <v>0</v>
          </cell>
          <cell r="AS445">
            <v>0</v>
          </cell>
          <cell r="AT445">
            <v>0</v>
          </cell>
          <cell r="AU445">
            <v>0</v>
          </cell>
        </row>
        <row r="446">
          <cell r="A446" t="str">
            <v>000A1587</v>
          </cell>
          <cell r="B446" t="str">
            <v>LECLERC</v>
          </cell>
          <cell r="C446" t="str">
            <v>DAVID</v>
          </cell>
          <cell r="D446" t="str">
            <v>LA MADELEINE</v>
          </cell>
          <cell r="E446">
            <v>91</v>
          </cell>
          <cell r="F446" t="str">
            <v>NC NUMERICABLE ILE-DE-FRANCE</v>
          </cell>
          <cell r="G446" t="str">
            <v>VAD CONSEILLERS</v>
          </cell>
          <cell r="H446" t="str">
            <v>GUIONNET</v>
          </cell>
          <cell r="I446" t="str">
            <v>NPCA500001</v>
          </cell>
          <cell r="J446">
            <v>100</v>
          </cell>
          <cell r="K446">
            <v>38768</v>
          </cell>
          <cell r="L446" t="str">
            <v>CONSEILLER(E) COM.</v>
          </cell>
          <cell r="M446" t="str">
            <v>TSM</v>
          </cell>
          <cell r="N446" t="str">
            <v>D</v>
          </cell>
          <cell r="O446" t="str">
            <v>CDI</v>
          </cell>
          <cell r="P446">
            <v>151.57</v>
          </cell>
          <cell r="Q446">
            <v>0</v>
          </cell>
          <cell r="R446">
            <v>519.76</v>
          </cell>
          <cell r="S446">
            <v>0</v>
          </cell>
          <cell r="T446">
            <v>570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363.04</v>
          </cell>
          <cell r="AO446">
            <v>0</v>
          </cell>
          <cell r="AP446">
            <v>0</v>
          </cell>
          <cell r="AQ446">
            <v>1217.8800000000001</v>
          </cell>
          <cell r="AR446">
            <v>0</v>
          </cell>
          <cell r="AS446">
            <v>0</v>
          </cell>
          <cell r="AT446">
            <v>0</v>
          </cell>
          <cell r="AU446">
            <v>0</v>
          </cell>
        </row>
        <row r="447">
          <cell r="A447" t="str">
            <v>000A1578</v>
          </cell>
          <cell r="B447" t="str">
            <v>OULD RABAH</v>
          </cell>
          <cell r="C447" t="str">
            <v>RACHID</v>
          </cell>
          <cell r="D447" t="str">
            <v>METZ</v>
          </cell>
          <cell r="E447">
            <v>91</v>
          </cell>
          <cell r="F447" t="str">
            <v>NC NUMERICABLE ILE-DE-FRANCE</v>
          </cell>
          <cell r="G447" t="str">
            <v>VAD CONSEILLERS</v>
          </cell>
          <cell r="H447" t="str">
            <v>LORCET</v>
          </cell>
          <cell r="I447" t="str">
            <v>ESTR500001</v>
          </cell>
          <cell r="J447">
            <v>100</v>
          </cell>
          <cell r="K447">
            <v>38775</v>
          </cell>
          <cell r="L447" t="str">
            <v>CONSEILLER(E) COM.</v>
          </cell>
          <cell r="M447" t="str">
            <v>TSM</v>
          </cell>
          <cell r="N447" t="str">
            <v>D</v>
          </cell>
          <cell r="O447" t="str">
            <v>CDI</v>
          </cell>
          <cell r="P447">
            <v>151.57</v>
          </cell>
          <cell r="Q447">
            <v>0</v>
          </cell>
          <cell r="R447">
            <v>1266.04</v>
          </cell>
          <cell r="S447">
            <v>0</v>
          </cell>
          <cell r="T447">
            <v>1903.57</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476.06</v>
          </cell>
          <cell r="AO447">
            <v>0</v>
          </cell>
          <cell r="AP447">
            <v>0</v>
          </cell>
          <cell r="AQ447">
            <v>1217.8800000000001</v>
          </cell>
          <cell r="AR447">
            <v>0</v>
          </cell>
          <cell r="AS447">
            <v>0</v>
          </cell>
          <cell r="AT447">
            <v>0</v>
          </cell>
          <cell r="AU447">
            <v>0</v>
          </cell>
        </row>
        <row r="448">
          <cell r="A448" t="str">
            <v>000A1083</v>
          </cell>
          <cell r="B448" t="str">
            <v>ISABET</v>
          </cell>
          <cell r="C448" t="str">
            <v>AURELIE</v>
          </cell>
          <cell r="D448" t="str">
            <v>RENNES</v>
          </cell>
          <cell r="E448">
            <v>91</v>
          </cell>
          <cell r="F448" t="str">
            <v>NC NUMERICABLE ILE-DE-FRANCE</v>
          </cell>
          <cell r="G448" t="str">
            <v>VAD CONSEILLERS</v>
          </cell>
          <cell r="H448" t="str">
            <v>DIGUE</v>
          </cell>
          <cell r="I448" t="str">
            <v>OUES500001</v>
          </cell>
          <cell r="J448">
            <v>100</v>
          </cell>
          <cell r="K448">
            <v>38635</v>
          </cell>
          <cell r="L448" t="str">
            <v>CONSEILLER(E) COM.</v>
          </cell>
          <cell r="M448" t="str">
            <v>TSM</v>
          </cell>
          <cell r="N448" t="str">
            <v>D</v>
          </cell>
          <cell r="O448" t="str">
            <v>CDI</v>
          </cell>
          <cell r="P448">
            <v>151.57</v>
          </cell>
          <cell r="Q448">
            <v>1217.8800000000001</v>
          </cell>
          <cell r="R448">
            <v>-515.55999999999995</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83.07</v>
          </cell>
          <cell r="AO448">
            <v>0</v>
          </cell>
          <cell r="AP448">
            <v>0</v>
          </cell>
          <cell r="AQ448">
            <v>-1217.8800000000001</v>
          </cell>
          <cell r="AR448">
            <v>0</v>
          </cell>
          <cell r="AS448">
            <v>0</v>
          </cell>
          <cell r="AT448">
            <v>0</v>
          </cell>
          <cell r="AU448">
            <v>0</v>
          </cell>
        </row>
        <row r="449">
          <cell r="A449" t="str">
            <v>000A1291</v>
          </cell>
          <cell r="B449" t="str">
            <v>STEVIC</v>
          </cell>
          <cell r="C449" t="str">
            <v>MIREY</v>
          </cell>
          <cell r="D449" t="str">
            <v>SIEGE</v>
          </cell>
          <cell r="E449">
            <v>91</v>
          </cell>
          <cell r="F449" t="str">
            <v>NC NUMERICABLE ILE-DE-FRANCE</v>
          </cell>
          <cell r="G449" t="str">
            <v>COLLECTIF</v>
          </cell>
          <cell r="H449" t="str">
            <v>BERNARD P</v>
          </cell>
          <cell r="I449" t="str">
            <v>IDFR510001</v>
          </cell>
          <cell r="J449">
            <v>100</v>
          </cell>
          <cell r="K449">
            <v>38678</v>
          </cell>
          <cell r="L449" t="str">
            <v>ATTACHE COMMERCIAL</v>
          </cell>
          <cell r="M449" t="str">
            <v>CADRE</v>
          </cell>
          <cell r="N449" t="str">
            <v>DB</v>
          </cell>
          <cell r="O449" t="str">
            <v>CDI</v>
          </cell>
          <cell r="P449">
            <v>151.57</v>
          </cell>
          <cell r="Q449">
            <v>1800</v>
          </cell>
          <cell r="R449">
            <v>1501.69</v>
          </cell>
          <cell r="S449">
            <v>0</v>
          </cell>
          <cell r="T449">
            <v>1000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301.54000000000002</v>
          </cell>
          <cell r="AO449">
            <v>-23.61</v>
          </cell>
          <cell r="AP449">
            <v>0</v>
          </cell>
          <cell r="AQ449">
            <v>1800</v>
          </cell>
          <cell r="AR449">
            <v>0</v>
          </cell>
          <cell r="AS449">
            <v>0</v>
          </cell>
          <cell r="AT449">
            <v>0</v>
          </cell>
          <cell r="AU449">
            <v>0</v>
          </cell>
        </row>
        <row r="450">
          <cell r="A450" t="str">
            <v>000A1318</v>
          </cell>
          <cell r="B450" t="str">
            <v>KERROU</v>
          </cell>
          <cell r="C450" t="str">
            <v>MIRIAM</v>
          </cell>
          <cell r="D450" t="str">
            <v>NANTES</v>
          </cell>
          <cell r="E450">
            <v>91</v>
          </cell>
          <cell r="F450" t="str">
            <v>NC NUMERICABLE ILE-DE-FRANCE</v>
          </cell>
          <cell r="G450" t="str">
            <v>VAD CONSEILLERS</v>
          </cell>
          <cell r="H450" t="str">
            <v>HOUGET</v>
          </cell>
          <cell r="I450" t="str">
            <v>OUES500001</v>
          </cell>
          <cell r="J450">
            <v>100</v>
          </cell>
          <cell r="K450">
            <v>38698</v>
          </cell>
          <cell r="L450" t="str">
            <v>CONSEILLER(E) COM.</v>
          </cell>
          <cell r="M450" t="str">
            <v>TSM</v>
          </cell>
          <cell r="N450" t="str">
            <v>D</v>
          </cell>
          <cell r="O450" t="str">
            <v>CDI</v>
          </cell>
          <cell r="P450">
            <v>151.57</v>
          </cell>
          <cell r="Q450">
            <v>1217.8800000000001</v>
          </cell>
          <cell r="R450">
            <v>1959.51</v>
          </cell>
          <cell r="S450">
            <v>0</v>
          </cell>
          <cell r="T450">
            <v>4100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572.69000000000005</v>
          </cell>
          <cell r="AO450">
            <v>0</v>
          </cell>
          <cell r="AP450">
            <v>0</v>
          </cell>
          <cell r="AQ450">
            <v>1217.8800000000001</v>
          </cell>
          <cell r="AR450">
            <v>0</v>
          </cell>
          <cell r="AS450">
            <v>0</v>
          </cell>
          <cell r="AT450">
            <v>0</v>
          </cell>
          <cell r="AU450">
            <v>0</v>
          </cell>
        </row>
        <row r="451">
          <cell r="A451" t="str">
            <v>000A1624</v>
          </cell>
          <cell r="B451" t="str">
            <v>THEBAULT</v>
          </cell>
          <cell r="C451" t="str">
            <v>THIERRY</v>
          </cell>
          <cell r="D451" t="str">
            <v>BORDEAUX</v>
          </cell>
          <cell r="E451">
            <v>91</v>
          </cell>
          <cell r="F451" t="str">
            <v>NC NUMERICABLE ILE-DE-FRANCE</v>
          </cell>
          <cell r="G451" t="str">
            <v>VAD CONSEILLERS</v>
          </cell>
          <cell r="H451" t="str">
            <v>GALERA</v>
          </cell>
          <cell r="I451" t="str">
            <v>SUOU500001</v>
          </cell>
          <cell r="J451">
            <v>100</v>
          </cell>
          <cell r="K451">
            <v>38789</v>
          </cell>
          <cell r="L451" t="str">
            <v>CONSEILLER(E) COM.</v>
          </cell>
          <cell r="M451" t="str">
            <v>TSM</v>
          </cell>
          <cell r="N451" t="str">
            <v>D</v>
          </cell>
          <cell r="O451" t="str">
            <v>CDI</v>
          </cell>
          <cell r="P451">
            <v>151.57</v>
          </cell>
          <cell r="Q451">
            <v>0</v>
          </cell>
          <cell r="R451">
            <v>109.07</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162.38</v>
          </cell>
          <cell r="AR451">
            <v>0</v>
          </cell>
          <cell r="AS451">
            <v>0</v>
          </cell>
          <cell r="AT451">
            <v>0</v>
          </cell>
          <cell r="AU451">
            <v>0</v>
          </cell>
        </row>
        <row r="452">
          <cell r="A452" t="str">
            <v>000A1108</v>
          </cell>
          <cell r="B452" t="str">
            <v>LAFFONT</v>
          </cell>
          <cell r="C452" t="str">
            <v>CLEMENT</v>
          </cell>
          <cell r="D452" t="str">
            <v>DUNKERQUE</v>
          </cell>
          <cell r="E452">
            <v>91</v>
          </cell>
          <cell r="F452" t="str">
            <v>NC NUMERICABLE ILE-DE-FRANCE</v>
          </cell>
          <cell r="G452" t="str">
            <v>VAD CONSEILLERS</v>
          </cell>
          <cell r="H452" t="str">
            <v>FERNANDEZ M</v>
          </cell>
          <cell r="I452" t="str">
            <v>NPCA500001</v>
          </cell>
          <cell r="J452">
            <v>100</v>
          </cell>
          <cell r="K452">
            <v>38628</v>
          </cell>
          <cell r="L452" t="str">
            <v>CONSEILLER(E) COM.</v>
          </cell>
          <cell r="M452" t="str">
            <v>TSM</v>
          </cell>
          <cell r="N452" t="str">
            <v>D</v>
          </cell>
          <cell r="O452" t="str">
            <v>CDI</v>
          </cell>
          <cell r="P452">
            <v>151.57</v>
          </cell>
          <cell r="Q452">
            <v>1217.8800000000001</v>
          </cell>
          <cell r="R452">
            <v>1593.99</v>
          </cell>
          <cell r="S452">
            <v>0</v>
          </cell>
          <cell r="T452">
            <v>3115</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466.62</v>
          </cell>
          <cell r="AO452">
            <v>0</v>
          </cell>
          <cell r="AP452">
            <v>0</v>
          </cell>
          <cell r="AQ452">
            <v>1217.8800000000001</v>
          </cell>
          <cell r="AR452">
            <v>0</v>
          </cell>
          <cell r="AS452">
            <v>0</v>
          </cell>
          <cell r="AT452">
            <v>0</v>
          </cell>
          <cell r="AU452">
            <v>0</v>
          </cell>
        </row>
        <row r="453">
          <cell r="A453" t="str">
            <v>000A1611</v>
          </cell>
          <cell r="B453" t="str">
            <v>DESSE</v>
          </cell>
          <cell r="C453" t="str">
            <v>JENNIFER</v>
          </cell>
          <cell r="D453" t="str">
            <v>CAEN</v>
          </cell>
          <cell r="E453">
            <v>91</v>
          </cell>
          <cell r="F453" t="str">
            <v>NC NUMERICABLE ILE-DE-FRANCE</v>
          </cell>
          <cell r="G453" t="str">
            <v>VAD CONSEILLERS</v>
          </cell>
          <cell r="H453" t="str">
            <v>JAUD</v>
          </cell>
          <cell r="I453" t="str">
            <v>OUES500001</v>
          </cell>
          <cell r="J453">
            <v>100</v>
          </cell>
          <cell r="K453">
            <v>38768</v>
          </cell>
          <cell r="L453" t="str">
            <v>CONSEILLER(E) COM.</v>
          </cell>
          <cell r="M453" t="str">
            <v>TSM</v>
          </cell>
          <cell r="N453" t="str">
            <v>D</v>
          </cell>
          <cell r="O453" t="str">
            <v>CDI</v>
          </cell>
          <cell r="P453">
            <v>151.57</v>
          </cell>
          <cell r="Q453">
            <v>0</v>
          </cell>
          <cell r="R453">
            <v>119.6</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112.5</v>
          </cell>
          <cell r="AM453">
            <v>0</v>
          </cell>
          <cell r="AN453">
            <v>158.32</v>
          </cell>
          <cell r="AO453">
            <v>0</v>
          </cell>
          <cell r="AP453">
            <v>0</v>
          </cell>
          <cell r="AQ453">
            <v>0</v>
          </cell>
          <cell r="AR453">
            <v>112.5</v>
          </cell>
          <cell r="AS453">
            <v>0</v>
          </cell>
          <cell r="AT453">
            <v>0</v>
          </cell>
          <cell r="AU453">
            <v>0</v>
          </cell>
        </row>
        <row r="454">
          <cell r="A454" t="str">
            <v>000A1576</v>
          </cell>
          <cell r="B454" t="str">
            <v>N'GUESSAN</v>
          </cell>
          <cell r="C454" t="str">
            <v>KOFFI LANDRY</v>
          </cell>
          <cell r="D454" t="str">
            <v>VALENCE</v>
          </cell>
          <cell r="E454">
            <v>91</v>
          </cell>
          <cell r="F454" t="str">
            <v>NC NUMERICABLE ILE-DE-FRANCE</v>
          </cell>
          <cell r="G454" t="str">
            <v>VAD CONSEILLERS</v>
          </cell>
          <cell r="H454" t="str">
            <v>DONT</v>
          </cell>
          <cell r="I454" t="str">
            <v>RHON500001</v>
          </cell>
          <cell r="J454">
            <v>100</v>
          </cell>
          <cell r="K454">
            <v>38754</v>
          </cell>
          <cell r="L454" t="str">
            <v>CONSEILLER(E) COM.</v>
          </cell>
          <cell r="M454" t="str">
            <v>TSM</v>
          </cell>
          <cell r="N454" t="str">
            <v>D</v>
          </cell>
          <cell r="O454" t="str">
            <v>CDI</v>
          </cell>
          <cell r="P454">
            <v>151.57</v>
          </cell>
          <cell r="Q454">
            <v>0</v>
          </cell>
          <cell r="R454">
            <v>1178.27</v>
          </cell>
          <cell r="S454">
            <v>0</v>
          </cell>
          <cell r="T454">
            <v>1860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331.46</v>
          </cell>
          <cell r="AO454">
            <v>0</v>
          </cell>
          <cell r="AP454">
            <v>0</v>
          </cell>
          <cell r="AQ454">
            <v>1217.8800000000001</v>
          </cell>
          <cell r="AR454">
            <v>0</v>
          </cell>
          <cell r="AS454">
            <v>0</v>
          </cell>
          <cell r="AT454">
            <v>0</v>
          </cell>
          <cell r="AU454">
            <v>0</v>
          </cell>
        </row>
        <row r="455">
          <cell r="A455" t="str">
            <v>000A1678</v>
          </cell>
          <cell r="B455" t="str">
            <v>VANPEENE</v>
          </cell>
          <cell r="C455" t="str">
            <v>LIONEL</v>
          </cell>
          <cell r="D455" t="str">
            <v>BORDEAUX</v>
          </cell>
          <cell r="E455">
            <v>91</v>
          </cell>
          <cell r="F455" t="str">
            <v>NC NUMERICABLE ILE-DE-FRANCE</v>
          </cell>
          <cell r="G455" t="str">
            <v>VAD CONSEILLERS</v>
          </cell>
          <cell r="H455" t="str">
            <v>GALERA</v>
          </cell>
          <cell r="I455" t="str">
            <v>SUOU500001</v>
          </cell>
          <cell r="J455">
            <v>100</v>
          </cell>
          <cell r="K455">
            <v>38810</v>
          </cell>
          <cell r="L455" t="str">
            <v>CONSEILLER(E) COM.</v>
          </cell>
          <cell r="M455" t="str">
            <v>TSM</v>
          </cell>
          <cell r="N455" t="str">
            <v>D</v>
          </cell>
          <cell r="O455" t="str">
            <v>CDI</v>
          </cell>
          <cell r="P455">
            <v>151.57</v>
          </cell>
          <cell r="Q455">
            <v>0</v>
          </cell>
          <cell r="R455">
            <v>317.08</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1136.69</v>
          </cell>
          <cell r="AR455">
            <v>0</v>
          </cell>
          <cell r="AS455">
            <v>0</v>
          </cell>
          <cell r="AT455">
            <v>0</v>
          </cell>
          <cell r="AU455">
            <v>0</v>
          </cell>
        </row>
        <row r="456">
          <cell r="A456" t="str">
            <v>000A1068</v>
          </cell>
          <cell r="B456" t="str">
            <v>GOUDRON</v>
          </cell>
          <cell r="C456" t="str">
            <v>RENE-PAUL</v>
          </cell>
          <cell r="D456" t="str">
            <v>MARSEILLE</v>
          </cell>
          <cell r="E456">
            <v>91</v>
          </cell>
          <cell r="F456" t="str">
            <v>NC NUMERICABLE ILE-DE-FRANCE</v>
          </cell>
          <cell r="G456" t="str">
            <v>VAD CONSEILLERS</v>
          </cell>
          <cell r="H456" t="str">
            <v>BELKHIR</v>
          </cell>
          <cell r="I456" t="str">
            <v>SUES500001</v>
          </cell>
          <cell r="J456">
            <v>100</v>
          </cell>
          <cell r="K456">
            <v>38635</v>
          </cell>
          <cell r="L456" t="str">
            <v>CONSEILLER(E) COM.</v>
          </cell>
          <cell r="M456" t="str">
            <v>TSM</v>
          </cell>
          <cell r="N456" t="str">
            <v>D</v>
          </cell>
          <cell r="O456" t="str">
            <v>CDI</v>
          </cell>
          <cell r="P456">
            <v>151.57</v>
          </cell>
          <cell r="Q456">
            <v>1217.8800000000001</v>
          </cell>
          <cell r="R456">
            <v>699.79</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87.45</v>
          </cell>
          <cell r="AO456">
            <v>0</v>
          </cell>
          <cell r="AP456">
            <v>0</v>
          </cell>
          <cell r="AQ456">
            <v>811.92</v>
          </cell>
          <cell r="AR456">
            <v>0</v>
          </cell>
          <cell r="AS456">
            <v>0</v>
          </cell>
          <cell r="AT456">
            <v>0</v>
          </cell>
          <cell r="AU456">
            <v>0</v>
          </cell>
        </row>
        <row r="457">
          <cell r="A457" t="str">
            <v>000A1701</v>
          </cell>
          <cell r="B457" t="str">
            <v>RIZKI</v>
          </cell>
          <cell r="C457" t="str">
            <v>RACHID</v>
          </cell>
          <cell r="D457" t="str">
            <v>SETE</v>
          </cell>
          <cell r="E457">
            <v>91</v>
          </cell>
          <cell r="F457" t="str">
            <v>NC NUMERICABLE ILE-DE-FRANCE</v>
          </cell>
          <cell r="G457" t="str">
            <v>VAD CONSEILLERS</v>
          </cell>
          <cell r="H457" t="str">
            <v>VIVIN</v>
          </cell>
          <cell r="I457" t="str">
            <v>SUES500001</v>
          </cell>
          <cell r="J457">
            <v>100</v>
          </cell>
          <cell r="K457">
            <v>38810</v>
          </cell>
          <cell r="L457" t="str">
            <v>CONSEILLER(E) COM.</v>
          </cell>
          <cell r="M457" t="str">
            <v>TSM</v>
          </cell>
          <cell r="N457" t="str">
            <v>D</v>
          </cell>
          <cell r="O457" t="str">
            <v>CDI</v>
          </cell>
          <cell r="P457">
            <v>151.57</v>
          </cell>
          <cell r="Q457">
            <v>0</v>
          </cell>
          <cell r="R457">
            <v>317.08</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1136.69</v>
          </cell>
          <cell r="AR457">
            <v>0</v>
          </cell>
          <cell r="AS457">
            <v>0</v>
          </cell>
          <cell r="AT457">
            <v>0</v>
          </cell>
          <cell r="AU457">
            <v>0</v>
          </cell>
        </row>
        <row r="458">
          <cell r="A458" t="str">
            <v>000A1163</v>
          </cell>
          <cell r="B458" t="str">
            <v>RECHAM</v>
          </cell>
          <cell r="C458" t="str">
            <v>DJILALI</v>
          </cell>
          <cell r="D458" t="str">
            <v>LA MADELEINE</v>
          </cell>
          <cell r="E458">
            <v>91</v>
          </cell>
          <cell r="F458" t="str">
            <v>NC NUMERICABLE ILE-DE-FRANCE</v>
          </cell>
          <cell r="G458" t="str">
            <v>VAD CONSEILLERS</v>
          </cell>
          <cell r="H458" t="str">
            <v>DESCATOIRE</v>
          </cell>
          <cell r="I458" t="str">
            <v>NPCA500001</v>
          </cell>
          <cell r="J458">
            <v>100</v>
          </cell>
          <cell r="K458">
            <v>38649</v>
          </cell>
          <cell r="L458" t="str">
            <v>CONSEILLER(E) COM.</v>
          </cell>
          <cell r="M458" t="str">
            <v>TSM</v>
          </cell>
          <cell r="N458" t="str">
            <v>D</v>
          </cell>
          <cell r="O458" t="str">
            <v>CDI</v>
          </cell>
          <cell r="P458">
            <v>151.57</v>
          </cell>
          <cell r="Q458">
            <v>1217.8800000000001</v>
          </cell>
          <cell r="R458">
            <v>1396.35</v>
          </cell>
          <cell r="S458">
            <v>0</v>
          </cell>
          <cell r="T458">
            <v>2420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391.77</v>
          </cell>
          <cell r="AO458">
            <v>0</v>
          </cell>
          <cell r="AP458">
            <v>0</v>
          </cell>
          <cell r="AQ458">
            <v>1217.8800000000001</v>
          </cell>
          <cell r="AR458">
            <v>0</v>
          </cell>
          <cell r="AS458">
            <v>0</v>
          </cell>
          <cell r="AT458">
            <v>0</v>
          </cell>
          <cell r="AU458">
            <v>0</v>
          </cell>
        </row>
        <row r="459">
          <cell r="A459" t="str">
            <v>000A1442</v>
          </cell>
          <cell r="B459" t="str">
            <v>RAINGEARD</v>
          </cell>
          <cell r="C459" t="str">
            <v>PIERRICK</v>
          </cell>
          <cell r="D459" t="str">
            <v>BORDEAUX</v>
          </cell>
          <cell r="E459">
            <v>91</v>
          </cell>
          <cell r="F459" t="str">
            <v>NC NUMERICABLE ILE-DE-FRANCE</v>
          </cell>
          <cell r="G459" t="str">
            <v>VAD CONSEILLERS</v>
          </cell>
          <cell r="H459" t="str">
            <v>FERNANDEZ A</v>
          </cell>
          <cell r="I459" t="str">
            <v>SUOU500001</v>
          </cell>
          <cell r="J459">
            <v>100</v>
          </cell>
          <cell r="K459">
            <v>38747</v>
          </cell>
          <cell r="L459" t="str">
            <v>CONSEILLER(E) COM.</v>
          </cell>
          <cell r="M459" t="str">
            <v>TSM</v>
          </cell>
          <cell r="N459" t="str">
            <v>D</v>
          </cell>
          <cell r="O459" t="str">
            <v>CDI</v>
          </cell>
          <cell r="P459">
            <v>151.57</v>
          </cell>
          <cell r="Q459">
            <v>1299.07</v>
          </cell>
          <cell r="R459">
            <v>520.87</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131.16</v>
          </cell>
          <cell r="AO459">
            <v>0</v>
          </cell>
          <cell r="AP459">
            <v>0</v>
          </cell>
          <cell r="AQ459">
            <v>1217.8800000000001</v>
          </cell>
          <cell r="AR459">
            <v>0</v>
          </cell>
          <cell r="AS459">
            <v>0</v>
          </cell>
          <cell r="AT459">
            <v>0</v>
          </cell>
          <cell r="AU459">
            <v>0</v>
          </cell>
        </row>
        <row r="460">
          <cell r="A460" t="str">
            <v>000A1440</v>
          </cell>
          <cell r="B460" t="str">
            <v>DA SILVA</v>
          </cell>
          <cell r="C460" t="str">
            <v>JEROME</v>
          </cell>
          <cell r="D460" t="str">
            <v>NICE</v>
          </cell>
          <cell r="E460">
            <v>91</v>
          </cell>
          <cell r="F460" t="str">
            <v>NC NUMERICABLE ILE-DE-FRANCE</v>
          </cell>
          <cell r="G460" t="str">
            <v>VAD CONSEILLERS</v>
          </cell>
          <cell r="H460" t="str">
            <v>DEPREEUW</v>
          </cell>
          <cell r="I460" t="str">
            <v>SUES500001</v>
          </cell>
          <cell r="J460">
            <v>100</v>
          </cell>
          <cell r="K460">
            <v>38733</v>
          </cell>
          <cell r="L460" t="str">
            <v>CONSEILLER(E) COM.</v>
          </cell>
          <cell r="M460" t="str">
            <v>TSM</v>
          </cell>
          <cell r="N460" t="str">
            <v>D</v>
          </cell>
          <cell r="O460" t="str">
            <v>CDI</v>
          </cell>
          <cell r="P460">
            <v>151.57</v>
          </cell>
          <cell r="Q460">
            <v>1867.42</v>
          </cell>
          <cell r="R460">
            <v>527.11</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131.16</v>
          </cell>
          <cell r="AO460">
            <v>0</v>
          </cell>
          <cell r="AP460">
            <v>0</v>
          </cell>
          <cell r="AQ460">
            <v>1217.8800000000001</v>
          </cell>
          <cell r="AR460">
            <v>0</v>
          </cell>
          <cell r="AS460">
            <v>0</v>
          </cell>
          <cell r="AT460">
            <v>0</v>
          </cell>
          <cell r="AU460">
            <v>0</v>
          </cell>
        </row>
        <row r="461">
          <cell r="A461" t="str">
            <v>000A1721</v>
          </cell>
          <cell r="B461" t="str">
            <v>FERRIE</v>
          </cell>
          <cell r="C461" t="str">
            <v>LAURENT</v>
          </cell>
          <cell r="D461" t="str">
            <v>NICE</v>
          </cell>
          <cell r="E461">
            <v>91</v>
          </cell>
          <cell r="F461" t="str">
            <v>NC NUMERICABLE ILE-DE-FRANCE</v>
          </cell>
          <cell r="G461" t="str">
            <v>VAD CONSEILLERS</v>
          </cell>
          <cell r="H461" t="str">
            <v>VIVIN</v>
          </cell>
          <cell r="I461" t="str">
            <v>SUES500001</v>
          </cell>
          <cell r="J461">
            <v>100</v>
          </cell>
          <cell r="K461">
            <v>38819</v>
          </cell>
          <cell r="L461" t="str">
            <v>CONSEILLER(E) COM.</v>
          </cell>
          <cell r="M461" t="str">
            <v>TSM</v>
          </cell>
          <cell r="N461" t="str">
            <v>D</v>
          </cell>
          <cell r="O461" t="str">
            <v>CDI</v>
          </cell>
          <cell r="P461">
            <v>151.57</v>
          </cell>
          <cell r="Q461">
            <v>0</v>
          </cell>
          <cell r="R461">
            <v>224.11</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771.32</v>
          </cell>
          <cell r="AR461">
            <v>0</v>
          </cell>
          <cell r="AS461">
            <v>0</v>
          </cell>
          <cell r="AT461">
            <v>0</v>
          </cell>
          <cell r="AU461">
            <v>0</v>
          </cell>
        </row>
        <row r="462">
          <cell r="A462" t="str">
            <v>000A1738</v>
          </cell>
          <cell r="B462" t="str">
            <v>HICKEL</v>
          </cell>
          <cell r="C462" t="str">
            <v>GABRIELLE</v>
          </cell>
          <cell r="D462" t="str">
            <v>LYON CATN</v>
          </cell>
          <cell r="E462">
            <v>61</v>
          </cell>
          <cell r="F462" t="str">
            <v>NC NUMERICABLE RHONES-ALPES</v>
          </cell>
          <cell r="H462" t="str">
            <v>CARET</v>
          </cell>
          <cell r="I462" t="str">
            <v>CLIE420001</v>
          </cell>
          <cell r="J462">
            <v>100</v>
          </cell>
          <cell r="K462">
            <v>38822</v>
          </cell>
          <cell r="L462" t="str">
            <v>ASSISTANT(E) NIV. 2</v>
          </cell>
          <cell r="M462" t="str">
            <v>TSM</v>
          </cell>
          <cell r="N462" t="str">
            <v>D</v>
          </cell>
          <cell r="O462" t="str">
            <v>CDI</v>
          </cell>
          <cell r="P462">
            <v>151.57</v>
          </cell>
          <cell r="Q462">
            <v>0</v>
          </cell>
          <cell r="R462">
            <v>509.18</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1173.3399999999999</v>
          </cell>
          <cell r="AR462">
            <v>0</v>
          </cell>
          <cell r="AS462">
            <v>0</v>
          </cell>
          <cell r="AT462">
            <v>0</v>
          </cell>
          <cell r="AU462">
            <v>0</v>
          </cell>
        </row>
        <row r="463">
          <cell r="A463" t="str">
            <v>000A1393</v>
          </cell>
          <cell r="B463" t="str">
            <v>MASTRAGO</v>
          </cell>
          <cell r="C463" t="str">
            <v>DOMINIQUE</v>
          </cell>
          <cell r="D463" t="str">
            <v>SIEGE</v>
          </cell>
          <cell r="E463">
            <v>91</v>
          </cell>
          <cell r="F463" t="str">
            <v>NC NUMERICABLE ILE-DE-FRANCE</v>
          </cell>
          <cell r="G463" t="str">
            <v>VAD CONSEILLERS</v>
          </cell>
          <cell r="H463" t="str">
            <v>SELLAMI</v>
          </cell>
          <cell r="I463" t="str">
            <v>IDFR500001</v>
          </cell>
          <cell r="J463">
            <v>100</v>
          </cell>
          <cell r="K463">
            <v>38720</v>
          </cell>
          <cell r="L463" t="str">
            <v>CONSEILLER(E) COM.</v>
          </cell>
          <cell r="M463" t="str">
            <v>TSM</v>
          </cell>
          <cell r="N463" t="str">
            <v>D</v>
          </cell>
          <cell r="O463" t="str">
            <v>CDI</v>
          </cell>
          <cell r="P463">
            <v>151.57</v>
          </cell>
          <cell r="Q463">
            <v>1217.8800000000001</v>
          </cell>
          <cell r="R463">
            <v>1463.73</v>
          </cell>
          <cell r="S463">
            <v>0</v>
          </cell>
          <cell r="T463">
            <v>2600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411.16</v>
          </cell>
          <cell r="AO463">
            <v>0</v>
          </cell>
          <cell r="AP463">
            <v>0</v>
          </cell>
          <cell r="AQ463">
            <v>1217.8800000000001</v>
          </cell>
          <cell r="AR463">
            <v>0</v>
          </cell>
          <cell r="AS463">
            <v>0</v>
          </cell>
          <cell r="AT463">
            <v>0</v>
          </cell>
          <cell r="AU463">
            <v>0</v>
          </cell>
        </row>
        <row r="464">
          <cell r="A464" t="str">
            <v>000A1379</v>
          </cell>
          <cell r="B464" t="str">
            <v>CETIN</v>
          </cell>
          <cell r="C464" t="str">
            <v>MESUT</v>
          </cell>
          <cell r="D464" t="str">
            <v>CAEN</v>
          </cell>
          <cell r="E464">
            <v>91</v>
          </cell>
          <cell r="F464" t="str">
            <v>NC NUMERICABLE ILE-DE-FRANCE</v>
          </cell>
          <cell r="G464" t="str">
            <v>VAD CONSEILLERS</v>
          </cell>
          <cell r="H464" t="str">
            <v>ALLAIN G</v>
          </cell>
          <cell r="I464" t="str">
            <v>OUES500001</v>
          </cell>
          <cell r="J464">
            <v>100</v>
          </cell>
          <cell r="K464">
            <v>38705</v>
          </cell>
          <cell r="L464" t="str">
            <v>CONSEILLER(E) COM.</v>
          </cell>
          <cell r="M464" t="str">
            <v>TSM</v>
          </cell>
          <cell r="N464" t="str">
            <v>D</v>
          </cell>
          <cell r="O464" t="str">
            <v>CDI</v>
          </cell>
          <cell r="P464">
            <v>151.57</v>
          </cell>
          <cell r="Q464">
            <v>1217.8800000000001</v>
          </cell>
          <cell r="R464">
            <v>1432.76</v>
          </cell>
          <cell r="S464">
            <v>0</v>
          </cell>
          <cell r="T464">
            <v>2560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406.84</v>
          </cell>
          <cell r="AO464">
            <v>0</v>
          </cell>
          <cell r="AP464">
            <v>0</v>
          </cell>
          <cell r="AQ464">
            <v>1217.8800000000001</v>
          </cell>
          <cell r="AR464">
            <v>0</v>
          </cell>
          <cell r="AS464">
            <v>0</v>
          </cell>
          <cell r="AT464">
            <v>0</v>
          </cell>
          <cell r="AU464">
            <v>0</v>
          </cell>
        </row>
        <row r="465">
          <cell r="A465" t="str">
            <v>000A1430</v>
          </cell>
          <cell r="B465" t="str">
            <v>GILLET</v>
          </cell>
          <cell r="C465" t="str">
            <v>LAURENT</v>
          </cell>
          <cell r="D465" t="str">
            <v>NICE</v>
          </cell>
          <cell r="E465">
            <v>91</v>
          </cell>
          <cell r="F465" t="str">
            <v>NC NUMERICABLE ILE-DE-FRANCE</v>
          </cell>
          <cell r="G465" t="str">
            <v>VAD CONSEILLERS</v>
          </cell>
          <cell r="H465" t="str">
            <v>DEPREEUW</v>
          </cell>
          <cell r="I465" t="str">
            <v>SUES500001</v>
          </cell>
          <cell r="J465">
            <v>100</v>
          </cell>
          <cell r="K465">
            <v>38747</v>
          </cell>
          <cell r="L465" t="str">
            <v>CONSEILLER(E) COM.</v>
          </cell>
          <cell r="M465" t="str">
            <v>TSM</v>
          </cell>
          <cell r="N465" t="str">
            <v>D</v>
          </cell>
          <cell r="O465" t="str">
            <v>CDI</v>
          </cell>
          <cell r="P465">
            <v>151.57</v>
          </cell>
          <cell r="Q465">
            <v>1299.07</v>
          </cell>
          <cell r="R465">
            <v>339.79</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108.06</v>
          </cell>
          <cell r="AO465">
            <v>0</v>
          </cell>
          <cell r="AP465">
            <v>0</v>
          </cell>
          <cell r="AQ465">
            <v>599.54999999999995</v>
          </cell>
          <cell r="AR465">
            <v>0</v>
          </cell>
          <cell r="AS465">
            <v>0</v>
          </cell>
          <cell r="AT465">
            <v>0</v>
          </cell>
          <cell r="AU465">
            <v>0</v>
          </cell>
        </row>
        <row r="466">
          <cell r="A466" t="str">
            <v>000A1584</v>
          </cell>
          <cell r="B466" t="str">
            <v>MELGARD</v>
          </cell>
          <cell r="C466" t="str">
            <v>JEAN MARIE</v>
          </cell>
          <cell r="D466" t="str">
            <v>NICE</v>
          </cell>
          <cell r="E466">
            <v>91</v>
          </cell>
          <cell r="F466" t="str">
            <v>NC NUMERICABLE ILE-DE-FRANCE</v>
          </cell>
          <cell r="G466" t="str">
            <v>VAD CONSEILLERS</v>
          </cell>
          <cell r="H466" t="str">
            <v>VIVIN</v>
          </cell>
          <cell r="I466" t="str">
            <v>SUES500001</v>
          </cell>
          <cell r="J466">
            <v>100</v>
          </cell>
          <cell r="K466">
            <v>38775</v>
          </cell>
          <cell r="L466" t="str">
            <v>CONSEILLER(E) COM.</v>
          </cell>
          <cell r="M466" t="str">
            <v>TSM</v>
          </cell>
          <cell r="N466" t="str">
            <v>D</v>
          </cell>
          <cell r="O466" t="str">
            <v>CDI</v>
          </cell>
          <cell r="P466">
            <v>151.57</v>
          </cell>
          <cell r="Q466">
            <v>0</v>
          </cell>
          <cell r="R466">
            <v>518.6</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279.8</v>
          </cell>
          <cell r="AO466">
            <v>0</v>
          </cell>
          <cell r="AP466">
            <v>0</v>
          </cell>
          <cell r="AQ466">
            <v>1217.8800000000001</v>
          </cell>
          <cell r="AR466">
            <v>0</v>
          </cell>
          <cell r="AS466">
            <v>0</v>
          </cell>
          <cell r="AT466">
            <v>0</v>
          </cell>
          <cell r="AU466">
            <v>0</v>
          </cell>
        </row>
        <row r="467">
          <cell r="A467">
            <v>20161</v>
          </cell>
          <cell r="B467" t="str">
            <v>DESCATOIRE</v>
          </cell>
          <cell r="C467" t="str">
            <v>DAMIEN</v>
          </cell>
          <cell r="D467" t="str">
            <v>LA MADELEINE</v>
          </cell>
          <cell r="E467">
            <v>91</v>
          </cell>
          <cell r="F467" t="str">
            <v>NC NUMERICABLE ILE-DE-FRANCE</v>
          </cell>
          <cell r="G467" t="str">
            <v>VAD CONSEILLERS</v>
          </cell>
          <cell r="H467" t="str">
            <v>GUIONNET</v>
          </cell>
          <cell r="I467" t="str">
            <v>NPCA500001</v>
          </cell>
          <cell r="J467">
            <v>100</v>
          </cell>
          <cell r="K467">
            <v>35612</v>
          </cell>
          <cell r="L467" t="str">
            <v>ANIMATEUR COM.</v>
          </cell>
          <cell r="M467" t="str">
            <v>CADRE</v>
          </cell>
          <cell r="N467" t="str">
            <v>DB</v>
          </cell>
          <cell r="O467" t="str">
            <v>CDI</v>
          </cell>
          <cell r="P467">
            <v>151.57</v>
          </cell>
          <cell r="Q467">
            <v>1800</v>
          </cell>
          <cell r="R467">
            <v>1066.32</v>
          </cell>
          <cell r="S467">
            <v>0</v>
          </cell>
          <cell r="T467">
            <v>300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272.89</v>
          </cell>
          <cell r="AO467">
            <v>0</v>
          </cell>
          <cell r="AP467">
            <v>0</v>
          </cell>
          <cell r="AQ467">
            <v>1384.68</v>
          </cell>
          <cell r="AR467">
            <v>0</v>
          </cell>
          <cell r="AS467">
            <v>1341.55</v>
          </cell>
          <cell r="AT467">
            <v>0</v>
          </cell>
          <cell r="AU467">
            <v>0</v>
          </cell>
        </row>
        <row r="468">
          <cell r="A468" t="str">
            <v>000BH056</v>
          </cell>
          <cell r="B468" t="str">
            <v>HERPE</v>
          </cell>
          <cell r="C468" t="str">
            <v>BACHIR</v>
          </cell>
          <cell r="D468" t="str">
            <v>SIEGE</v>
          </cell>
          <cell r="E468">
            <v>91</v>
          </cell>
          <cell r="F468" t="str">
            <v>NC NUMERICABLE ILE-DE-FRANCE</v>
          </cell>
          <cell r="G468" t="str">
            <v>DIRECTION RESS HUM</v>
          </cell>
          <cell r="H468" t="str">
            <v>LUCIANI</v>
          </cell>
          <cell r="I468" t="str">
            <v>GENE703001</v>
          </cell>
          <cell r="J468">
            <v>100</v>
          </cell>
          <cell r="K468">
            <v>35551</v>
          </cell>
          <cell r="L468" t="str">
            <v>RESP. ADM. PAIE</v>
          </cell>
          <cell r="M468" t="str">
            <v>CADRE</v>
          </cell>
          <cell r="N468" t="str">
            <v>E</v>
          </cell>
          <cell r="O468" t="str">
            <v>CDI</v>
          </cell>
          <cell r="P468">
            <v>151.57</v>
          </cell>
          <cell r="Q468">
            <v>3800</v>
          </cell>
          <cell r="R468">
            <v>2067.11</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409.23</v>
          </cell>
          <cell r="AO468">
            <v>0</v>
          </cell>
          <cell r="AP468">
            <v>0</v>
          </cell>
          <cell r="AQ468">
            <v>3624.64</v>
          </cell>
          <cell r="AR468">
            <v>0</v>
          </cell>
          <cell r="AS468">
            <v>0</v>
          </cell>
          <cell r="AT468">
            <v>0</v>
          </cell>
          <cell r="AU468">
            <v>0</v>
          </cell>
        </row>
        <row r="469">
          <cell r="A469" t="str">
            <v>000BR037</v>
          </cell>
          <cell r="B469" t="str">
            <v>ROUIBAH</v>
          </cell>
          <cell r="C469" t="str">
            <v>HORIA</v>
          </cell>
          <cell r="D469" t="str">
            <v>LYON CATN</v>
          </cell>
          <cell r="E469">
            <v>91</v>
          </cell>
          <cell r="F469" t="str">
            <v>NC NUMERICABLE ILE-DE-FRANCE</v>
          </cell>
          <cell r="G469" t="str">
            <v>CATN VENTES</v>
          </cell>
          <cell r="I469" t="str">
            <v>GENE905001</v>
          </cell>
          <cell r="J469">
            <v>100</v>
          </cell>
          <cell r="K469">
            <v>33786</v>
          </cell>
          <cell r="L469" t="str">
            <v>RESPONSABLE COM.</v>
          </cell>
          <cell r="M469" t="str">
            <v>CADRE</v>
          </cell>
          <cell r="N469" t="str">
            <v>E</v>
          </cell>
          <cell r="O469" t="str">
            <v>CDI</v>
          </cell>
          <cell r="P469">
            <v>151.57</v>
          </cell>
          <cell r="Q469">
            <v>3650</v>
          </cell>
          <cell r="R469">
            <v>1150.43</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1720.18</v>
          </cell>
          <cell r="AN469">
            <v>393.06</v>
          </cell>
          <cell r="AO469">
            <v>1720.18</v>
          </cell>
          <cell r="AP469">
            <v>0</v>
          </cell>
          <cell r="AQ469">
            <v>3650</v>
          </cell>
          <cell r="AR469">
            <v>0</v>
          </cell>
          <cell r="AS469">
            <v>0</v>
          </cell>
          <cell r="AT469">
            <v>0</v>
          </cell>
          <cell r="AU469">
            <v>0</v>
          </cell>
        </row>
        <row r="470">
          <cell r="A470" t="str">
            <v>000BC011</v>
          </cell>
          <cell r="B470" t="str">
            <v>CHAIX</v>
          </cell>
          <cell r="C470" t="str">
            <v>THIERRY</v>
          </cell>
          <cell r="D470" t="str">
            <v>LYON CATN</v>
          </cell>
          <cell r="E470">
            <v>91</v>
          </cell>
          <cell r="F470" t="str">
            <v>NC NUMERICABLE ILE-DE-FRANCE</v>
          </cell>
          <cell r="G470" t="str">
            <v>CLIENTELE</v>
          </cell>
          <cell r="H470" t="str">
            <v>SOTHER</v>
          </cell>
          <cell r="I470" t="str">
            <v>GENE320001</v>
          </cell>
          <cell r="J470">
            <v>100</v>
          </cell>
          <cell r="K470">
            <v>32467</v>
          </cell>
          <cell r="L470" t="str">
            <v>RESP.TECH.CLIENTELE</v>
          </cell>
          <cell r="M470" t="str">
            <v>CADRE</v>
          </cell>
          <cell r="N470" t="str">
            <v>E</v>
          </cell>
          <cell r="O470" t="str">
            <v>CDI</v>
          </cell>
          <cell r="P470">
            <v>151.57</v>
          </cell>
          <cell r="Q470">
            <v>3197</v>
          </cell>
          <cell r="R470">
            <v>1689.37</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344.28</v>
          </cell>
          <cell r="AO470">
            <v>0</v>
          </cell>
          <cell r="AP470">
            <v>0</v>
          </cell>
          <cell r="AQ470">
            <v>3197</v>
          </cell>
          <cell r="AR470">
            <v>0</v>
          </cell>
          <cell r="AS470">
            <v>0</v>
          </cell>
          <cell r="AT470">
            <v>0</v>
          </cell>
          <cell r="AU470">
            <v>0</v>
          </cell>
        </row>
        <row r="471">
          <cell r="A471" t="str">
            <v>000A0881</v>
          </cell>
          <cell r="B471" t="str">
            <v>VOLLEMAERE</v>
          </cell>
          <cell r="C471" t="str">
            <v>CHRISTOPHE</v>
          </cell>
          <cell r="D471" t="str">
            <v>VANVES</v>
          </cell>
          <cell r="E471">
            <v>91</v>
          </cell>
          <cell r="F471" t="str">
            <v>NC NUMERICABLE ILE-DE-FRANCE</v>
          </cell>
          <cell r="G471" t="str">
            <v>SUPPORT ET EXPERTISE</v>
          </cell>
          <cell r="H471" t="str">
            <v>ROIRON</v>
          </cell>
          <cell r="I471" t="str">
            <v>GENE306001</v>
          </cell>
          <cell r="J471">
            <v>100</v>
          </cell>
          <cell r="K471">
            <v>36962</v>
          </cell>
          <cell r="L471" t="str">
            <v>CHEF GPE. TECH. EXP.</v>
          </cell>
          <cell r="M471" t="str">
            <v>CADRE</v>
          </cell>
          <cell r="N471" t="str">
            <v>DB</v>
          </cell>
          <cell r="O471" t="str">
            <v>CDI</v>
          </cell>
          <cell r="P471">
            <v>151.57</v>
          </cell>
          <cell r="Q471">
            <v>2392.9</v>
          </cell>
          <cell r="R471">
            <v>1418.29</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173.66</v>
          </cell>
          <cell r="AG471">
            <v>0</v>
          </cell>
          <cell r="AH471">
            <v>43.42</v>
          </cell>
          <cell r="AI471">
            <v>0</v>
          </cell>
          <cell r="AJ471">
            <v>3.95</v>
          </cell>
          <cell r="AK471">
            <v>219</v>
          </cell>
          <cell r="AL471">
            <v>0</v>
          </cell>
          <cell r="AM471">
            <v>0</v>
          </cell>
          <cell r="AN471">
            <v>309.26</v>
          </cell>
          <cell r="AO471">
            <v>38.68</v>
          </cell>
          <cell r="AP471">
            <v>0</v>
          </cell>
          <cell r="AQ471">
            <v>2499.5500000000002</v>
          </cell>
          <cell r="AR471">
            <v>3.95</v>
          </cell>
          <cell r="AS471">
            <v>219</v>
          </cell>
          <cell r="AT471">
            <v>0</v>
          </cell>
          <cell r="AU471">
            <v>0</v>
          </cell>
        </row>
        <row r="472">
          <cell r="A472" t="str">
            <v>000A0993</v>
          </cell>
          <cell r="B472" t="str">
            <v>BONNEVILLE</v>
          </cell>
          <cell r="C472" t="str">
            <v>OLIVIER</v>
          </cell>
          <cell r="D472" t="str">
            <v>SIEGE</v>
          </cell>
          <cell r="E472">
            <v>91</v>
          </cell>
          <cell r="F472" t="str">
            <v>NC NUMERICABLE ILE-DE-FRANCE</v>
          </cell>
          <cell r="G472" t="str">
            <v>PORTAIL</v>
          </cell>
          <cell r="I472" t="str">
            <v>GENE905001</v>
          </cell>
          <cell r="J472">
            <v>100</v>
          </cell>
          <cell r="K472">
            <v>37942</v>
          </cell>
          <cell r="L472" t="str">
            <v>CHEF DE PROJET</v>
          </cell>
          <cell r="M472" t="str">
            <v>CADRE</v>
          </cell>
          <cell r="N472" t="str">
            <v>E</v>
          </cell>
          <cell r="O472" t="str">
            <v>CDI</v>
          </cell>
          <cell r="P472">
            <v>151.57</v>
          </cell>
          <cell r="Q472">
            <v>3687.5</v>
          </cell>
          <cell r="R472">
            <v>604.6</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-352.67</v>
          </cell>
          <cell r="AN472">
            <v>397.11</v>
          </cell>
          <cell r="AO472">
            <v>-352.67</v>
          </cell>
          <cell r="AP472">
            <v>0</v>
          </cell>
          <cell r="AQ472">
            <v>3687.5</v>
          </cell>
          <cell r="AR472">
            <v>0</v>
          </cell>
          <cell r="AS472">
            <v>0</v>
          </cell>
          <cell r="AT472">
            <v>0</v>
          </cell>
          <cell r="AU472">
            <v>0</v>
          </cell>
        </row>
        <row r="473">
          <cell r="A473" t="str">
            <v>000A1667</v>
          </cell>
          <cell r="B473" t="str">
            <v>BOUAZIZ</v>
          </cell>
          <cell r="C473" t="str">
            <v>FARID</v>
          </cell>
          <cell r="D473" t="str">
            <v>MARSEILLE</v>
          </cell>
          <cell r="E473">
            <v>91</v>
          </cell>
          <cell r="F473" t="str">
            <v>NC NUMERICABLE ILE-DE-FRANCE</v>
          </cell>
          <cell r="G473" t="str">
            <v>VAD CONSEILLERS</v>
          </cell>
          <cell r="H473" t="str">
            <v>VIVIN</v>
          </cell>
          <cell r="I473" t="str">
            <v>SUES500001</v>
          </cell>
          <cell r="J473">
            <v>100</v>
          </cell>
          <cell r="K473">
            <v>38803</v>
          </cell>
          <cell r="L473" t="str">
            <v>CONSEILLER(E) COM.</v>
          </cell>
          <cell r="M473" t="str">
            <v>TSM</v>
          </cell>
          <cell r="N473" t="str">
            <v>D</v>
          </cell>
          <cell r="O473" t="str">
            <v>CDI</v>
          </cell>
          <cell r="P473">
            <v>151.57</v>
          </cell>
          <cell r="Q473">
            <v>0</v>
          </cell>
          <cell r="R473">
            <v>136.16</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202.98</v>
          </cell>
          <cell r="AR473">
            <v>0</v>
          </cell>
          <cell r="AS473">
            <v>0</v>
          </cell>
          <cell r="AT473">
            <v>0</v>
          </cell>
          <cell r="AU473">
            <v>0</v>
          </cell>
        </row>
        <row r="474">
          <cell r="A474" t="str">
            <v>000A1597</v>
          </cell>
          <cell r="B474" t="str">
            <v>BENEDDRA</v>
          </cell>
          <cell r="C474" t="str">
            <v>NOURA</v>
          </cell>
          <cell r="D474" t="str">
            <v>SIEGE</v>
          </cell>
          <cell r="E474">
            <v>91</v>
          </cell>
          <cell r="F474" t="str">
            <v>NC NUMERICABLE ILE-DE-FRANCE</v>
          </cell>
          <cell r="G474" t="str">
            <v>VAD CONSEILLERS</v>
          </cell>
          <cell r="H474" t="str">
            <v>ZERFAINE</v>
          </cell>
          <cell r="I474" t="str">
            <v>IDFR500001</v>
          </cell>
          <cell r="J474">
            <v>100</v>
          </cell>
          <cell r="K474">
            <v>38764</v>
          </cell>
          <cell r="L474" t="str">
            <v>CONSEILLER(E) COM.</v>
          </cell>
          <cell r="M474" t="str">
            <v>TSM</v>
          </cell>
          <cell r="N474" t="str">
            <v>D</v>
          </cell>
          <cell r="O474" t="str">
            <v>CDI</v>
          </cell>
          <cell r="P474">
            <v>151.57</v>
          </cell>
          <cell r="Q474">
            <v>0</v>
          </cell>
          <cell r="R474">
            <v>222.13</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281.01</v>
          </cell>
          <cell r="AO474">
            <v>0</v>
          </cell>
          <cell r="AP474">
            <v>0</v>
          </cell>
          <cell r="AQ474">
            <v>137.38999999999999</v>
          </cell>
          <cell r="AR474">
            <v>0</v>
          </cell>
          <cell r="AS474">
            <v>0</v>
          </cell>
          <cell r="AT474">
            <v>0</v>
          </cell>
          <cell r="AU474">
            <v>0</v>
          </cell>
        </row>
        <row r="475">
          <cell r="A475" t="str">
            <v>000A1380</v>
          </cell>
          <cell r="B475" t="str">
            <v>RICHARD</v>
          </cell>
          <cell r="C475" t="str">
            <v>JOAN</v>
          </cell>
          <cell r="D475" t="str">
            <v>GRENOBLE</v>
          </cell>
          <cell r="E475">
            <v>91</v>
          </cell>
          <cell r="F475" t="str">
            <v>NC NUMERICABLE ILE-DE-FRANCE</v>
          </cell>
          <cell r="G475" t="str">
            <v>VAD CONSEILLERS</v>
          </cell>
          <cell r="H475" t="str">
            <v>LAGUEREMA</v>
          </cell>
          <cell r="I475" t="str">
            <v>RHON500001</v>
          </cell>
          <cell r="J475">
            <v>100</v>
          </cell>
          <cell r="K475">
            <v>38719</v>
          </cell>
          <cell r="L475" t="str">
            <v>CONSEILLER(E) COM.</v>
          </cell>
          <cell r="M475" t="str">
            <v>TSM</v>
          </cell>
          <cell r="N475" t="str">
            <v>D</v>
          </cell>
          <cell r="O475" t="str">
            <v>CDI</v>
          </cell>
          <cell r="P475">
            <v>151.57</v>
          </cell>
          <cell r="Q475">
            <v>1217.8800000000001</v>
          </cell>
          <cell r="R475">
            <v>92.41</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168.6</v>
          </cell>
          <cell r="AO475">
            <v>0</v>
          </cell>
          <cell r="AP475">
            <v>0</v>
          </cell>
          <cell r="AQ475">
            <v>40.590000000000003</v>
          </cell>
          <cell r="AR475">
            <v>0</v>
          </cell>
          <cell r="AS475">
            <v>0</v>
          </cell>
          <cell r="AT475">
            <v>0</v>
          </cell>
          <cell r="AU475">
            <v>0</v>
          </cell>
        </row>
        <row r="476">
          <cell r="A476" t="str">
            <v>000A1254</v>
          </cell>
          <cell r="B476" t="str">
            <v>VENET</v>
          </cell>
          <cell r="C476" t="str">
            <v>HERVE</v>
          </cell>
          <cell r="D476" t="str">
            <v>DUNKERQUE</v>
          </cell>
          <cell r="E476">
            <v>91</v>
          </cell>
          <cell r="F476" t="str">
            <v>NC NUMERICABLE ILE-DE-FRANCE</v>
          </cell>
          <cell r="G476" t="str">
            <v>VAD CONSEILLERS</v>
          </cell>
          <cell r="H476" t="str">
            <v>FERNANDEZ M</v>
          </cell>
          <cell r="I476" t="str">
            <v>NPCA500001</v>
          </cell>
          <cell r="J476">
            <v>100</v>
          </cell>
          <cell r="K476">
            <v>38649</v>
          </cell>
          <cell r="L476" t="str">
            <v>CONSEILLER(E) COM.</v>
          </cell>
          <cell r="M476" t="str">
            <v>TSM</v>
          </cell>
          <cell r="N476" t="str">
            <v>D</v>
          </cell>
          <cell r="O476" t="str">
            <v>CDI</v>
          </cell>
          <cell r="P476">
            <v>151.57</v>
          </cell>
          <cell r="Q476">
            <v>1217.8800000000001</v>
          </cell>
          <cell r="R476">
            <v>1504.91</v>
          </cell>
          <cell r="S476">
            <v>0</v>
          </cell>
          <cell r="T476">
            <v>3402</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497.52</v>
          </cell>
          <cell r="AO476">
            <v>0</v>
          </cell>
          <cell r="AP476">
            <v>0</v>
          </cell>
          <cell r="AQ476">
            <v>1217.8800000000001</v>
          </cell>
          <cell r="AR476">
            <v>0</v>
          </cell>
          <cell r="AS476">
            <v>0</v>
          </cell>
          <cell r="AT476">
            <v>0</v>
          </cell>
          <cell r="AU476">
            <v>0</v>
          </cell>
        </row>
        <row r="477">
          <cell r="A477" t="str">
            <v>000A1683</v>
          </cell>
          <cell r="B477" t="str">
            <v>FOYART</v>
          </cell>
          <cell r="C477" t="str">
            <v>ANTOINE</v>
          </cell>
          <cell r="D477" t="str">
            <v>ANGERS</v>
          </cell>
          <cell r="E477">
            <v>91</v>
          </cell>
          <cell r="F477" t="str">
            <v>NC NUMERICABLE ILE-DE-FRANCE</v>
          </cell>
          <cell r="G477" t="str">
            <v>VAD CONSEILLERS</v>
          </cell>
          <cell r="H477" t="str">
            <v>JAUD</v>
          </cell>
          <cell r="I477" t="str">
            <v>OUES500001</v>
          </cell>
          <cell r="J477">
            <v>100</v>
          </cell>
          <cell r="K477">
            <v>38796</v>
          </cell>
          <cell r="L477" t="str">
            <v>CONSEILLER(E) COM.</v>
          </cell>
          <cell r="M477" t="str">
            <v>TSM</v>
          </cell>
          <cell r="N477" t="str">
            <v>D</v>
          </cell>
          <cell r="O477" t="str">
            <v>CDI</v>
          </cell>
          <cell r="P477">
            <v>151.57</v>
          </cell>
          <cell r="Q477">
            <v>0</v>
          </cell>
          <cell r="R477">
            <v>531.24</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168.6</v>
          </cell>
          <cell r="AO477">
            <v>0</v>
          </cell>
          <cell r="AP477">
            <v>0</v>
          </cell>
          <cell r="AQ477">
            <v>811.92</v>
          </cell>
          <cell r="AR477">
            <v>0</v>
          </cell>
          <cell r="AS477">
            <v>0</v>
          </cell>
          <cell r="AT477">
            <v>0</v>
          </cell>
          <cell r="AU477">
            <v>0</v>
          </cell>
        </row>
        <row r="478">
          <cell r="A478" t="str">
            <v>000A1481</v>
          </cell>
          <cell r="B478" t="str">
            <v>VITTE</v>
          </cell>
          <cell r="C478" t="str">
            <v>CHRISTOPHE</v>
          </cell>
          <cell r="D478" t="str">
            <v>AVIGNON</v>
          </cell>
          <cell r="E478">
            <v>91</v>
          </cell>
          <cell r="F478" t="str">
            <v>NC NUMERICABLE ILE-DE-FRANCE</v>
          </cell>
          <cell r="G478" t="str">
            <v>TRAVAUX</v>
          </cell>
          <cell r="H478" t="str">
            <v>SOULIERE</v>
          </cell>
          <cell r="I478" t="str">
            <v>SUES300001</v>
          </cell>
          <cell r="J478">
            <v>100</v>
          </cell>
          <cell r="K478">
            <v>38754</v>
          </cell>
          <cell r="L478" t="str">
            <v>SUPERVISEUR TRAVAUX</v>
          </cell>
          <cell r="M478" t="str">
            <v>478D</v>
          </cell>
          <cell r="N478">
            <v>0</v>
          </cell>
          <cell r="O478" t="str">
            <v>CDI</v>
          </cell>
          <cell r="P478">
            <v>151.57</v>
          </cell>
          <cell r="Q478">
            <v>2750</v>
          </cell>
          <cell r="R478">
            <v>1749.31</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839.1</v>
          </cell>
          <cell r="AO478">
            <v>0</v>
          </cell>
          <cell r="AP478">
            <v>0</v>
          </cell>
          <cell r="AQ478">
            <v>2750</v>
          </cell>
          <cell r="AR478">
            <v>0</v>
          </cell>
          <cell r="AS478">
            <v>0</v>
          </cell>
          <cell r="AT478">
            <v>0</v>
          </cell>
          <cell r="AU478">
            <v>0</v>
          </cell>
        </row>
        <row r="479">
          <cell r="A479" t="str">
            <v>000A1680</v>
          </cell>
          <cell r="B479" t="str">
            <v>RONCHI</v>
          </cell>
          <cell r="C479" t="str">
            <v>PAUL</v>
          </cell>
          <cell r="D479" t="str">
            <v>NICE</v>
          </cell>
          <cell r="E479">
            <v>91</v>
          </cell>
          <cell r="F479" t="str">
            <v>NC NUMERICABLE ILE-DE-FRANCE</v>
          </cell>
          <cell r="G479" t="str">
            <v>VAD CONSEILLERS</v>
          </cell>
          <cell r="H479" t="str">
            <v>VIVIN</v>
          </cell>
          <cell r="I479" t="str">
            <v>SUES500001</v>
          </cell>
          <cell r="J479">
            <v>100</v>
          </cell>
          <cell r="K479">
            <v>38804</v>
          </cell>
          <cell r="L479" t="str">
            <v>CONSEILLER(E) COM.</v>
          </cell>
          <cell r="M479" t="str">
            <v>TSM</v>
          </cell>
          <cell r="N479" t="str">
            <v>D</v>
          </cell>
          <cell r="O479" t="str">
            <v>CDI</v>
          </cell>
          <cell r="P479">
            <v>151.57</v>
          </cell>
          <cell r="Q479">
            <v>0</v>
          </cell>
          <cell r="R479">
            <v>213.53</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324.77</v>
          </cell>
          <cell r="AR479">
            <v>0</v>
          </cell>
          <cell r="AS479">
            <v>0</v>
          </cell>
          <cell r="AT479">
            <v>0</v>
          </cell>
          <cell r="AU479">
            <v>0</v>
          </cell>
        </row>
        <row r="480">
          <cell r="A480" t="str">
            <v>000A1171</v>
          </cell>
          <cell r="B480" t="str">
            <v>DE CROOCK</v>
          </cell>
          <cell r="C480" t="str">
            <v>MICHAEL</v>
          </cell>
          <cell r="D480" t="str">
            <v>LA MADELEINE</v>
          </cell>
          <cell r="E480">
            <v>91</v>
          </cell>
          <cell r="F480" t="str">
            <v>NC NUMERICABLE ILE-DE-FRANCE</v>
          </cell>
          <cell r="G480" t="str">
            <v>VAD CONSEILLERS</v>
          </cell>
          <cell r="H480" t="str">
            <v>DESCATOIRE</v>
          </cell>
          <cell r="I480" t="str">
            <v>NPCA500001</v>
          </cell>
          <cell r="J480">
            <v>100</v>
          </cell>
          <cell r="K480">
            <v>38649</v>
          </cell>
          <cell r="L480" t="str">
            <v>CONSEILLER(E) COM.</v>
          </cell>
          <cell r="M480" t="str">
            <v>TSM</v>
          </cell>
          <cell r="N480" t="str">
            <v>D</v>
          </cell>
          <cell r="O480" t="str">
            <v>CDI</v>
          </cell>
          <cell r="P480">
            <v>151.57</v>
          </cell>
          <cell r="Q480">
            <v>1217.8800000000001</v>
          </cell>
          <cell r="R480">
            <v>-416.55</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-51.91</v>
          </cell>
          <cell r="AO480">
            <v>0</v>
          </cell>
          <cell r="AP480">
            <v>0</v>
          </cell>
          <cell r="AQ480">
            <v>-482.1</v>
          </cell>
          <cell r="AR480">
            <v>0</v>
          </cell>
          <cell r="AS480">
            <v>0</v>
          </cell>
          <cell r="AT480">
            <v>0</v>
          </cell>
          <cell r="AU480">
            <v>0</v>
          </cell>
        </row>
        <row r="481">
          <cell r="A481" t="str">
            <v>000A1297</v>
          </cell>
          <cell r="B481" t="str">
            <v>GALEA</v>
          </cell>
          <cell r="C481" t="str">
            <v>MAXIME</v>
          </cell>
          <cell r="D481" t="str">
            <v>NICE</v>
          </cell>
          <cell r="E481">
            <v>91</v>
          </cell>
          <cell r="F481" t="str">
            <v>NC NUMERICABLE ILE-DE-FRANCE</v>
          </cell>
          <cell r="G481" t="str">
            <v>VAD CONSEILLERS</v>
          </cell>
          <cell r="H481" t="str">
            <v>VIVIN</v>
          </cell>
          <cell r="I481" t="str">
            <v>SUES500001</v>
          </cell>
          <cell r="J481">
            <v>100</v>
          </cell>
          <cell r="K481">
            <v>38693</v>
          </cell>
          <cell r="L481" t="str">
            <v>CONSEILLER(E) COM.</v>
          </cell>
          <cell r="M481" t="str">
            <v>TSM</v>
          </cell>
          <cell r="N481" t="str">
            <v>D</v>
          </cell>
          <cell r="O481" t="str">
            <v>CDI</v>
          </cell>
          <cell r="P481">
            <v>151.57</v>
          </cell>
          <cell r="Q481">
            <v>1217.8800000000001</v>
          </cell>
          <cell r="R481">
            <v>272.97000000000003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113.83</v>
          </cell>
          <cell r="AO481">
            <v>0</v>
          </cell>
          <cell r="AP481">
            <v>0</v>
          </cell>
          <cell r="AQ481">
            <v>1011.73</v>
          </cell>
          <cell r="AR481">
            <v>0</v>
          </cell>
          <cell r="AS481">
            <v>0</v>
          </cell>
          <cell r="AT481">
            <v>0</v>
          </cell>
          <cell r="AU481">
            <v>0</v>
          </cell>
        </row>
        <row r="482">
          <cell r="A482" t="str">
            <v>000A1626</v>
          </cell>
          <cell r="B482" t="str">
            <v>LEDENT</v>
          </cell>
          <cell r="C482" t="str">
            <v>CEDRIC</v>
          </cell>
          <cell r="D482" t="str">
            <v>LA MADELEINE</v>
          </cell>
          <cell r="E482">
            <v>91</v>
          </cell>
          <cell r="F482" t="str">
            <v>NC NUMERICABLE ILE-DE-FRANCE</v>
          </cell>
          <cell r="G482" t="str">
            <v>VAD CONSEILLERS</v>
          </cell>
          <cell r="H482" t="str">
            <v>GUIONNET</v>
          </cell>
          <cell r="I482" t="str">
            <v>NPCA500001</v>
          </cell>
          <cell r="J482">
            <v>100</v>
          </cell>
          <cell r="K482">
            <v>38768</v>
          </cell>
          <cell r="L482" t="str">
            <v>CONSEILLER(E) COM.</v>
          </cell>
          <cell r="M482" t="str">
            <v>TSM</v>
          </cell>
          <cell r="N482" t="str">
            <v>D</v>
          </cell>
          <cell r="O482" t="str">
            <v>CDI</v>
          </cell>
          <cell r="P482">
            <v>151.57</v>
          </cell>
          <cell r="Q482">
            <v>0</v>
          </cell>
          <cell r="R482">
            <v>1106.42</v>
          </cell>
          <cell r="S482">
            <v>0</v>
          </cell>
          <cell r="T482">
            <v>1480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461.04</v>
          </cell>
          <cell r="AO482">
            <v>0</v>
          </cell>
          <cell r="AP482">
            <v>0</v>
          </cell>
          <cell r="AQ482">
            <v>1217.8800000000001</v>
          </cell>
          <cell r="AR482">
            <v>0</v>
          </cell>
          <cell r="AS482">
            <v>0</v>
          </cell>
          <cell r="AT482">
            <v>0</v>
          </cell>
          <cell r="AU482">
            <v>0</v>
          </cell>
        </row>
        <row r="483">
          <cell r="A483" t="str">
            <v>000A1446</v>
          </cell>
          <cell r="B483" t="str">
            <v>BEGUIER</v>
          </cell>
          <cell r="C483" t="str">
            <v>AIME</v>
          </cell>
          <cell r="D483" t="str">
            <v>BORDEAUX</v>
          </cell>
          <cell r="E483">
            <v>91</v>
          </cell>
          <cell r="F483" t="str">
            <v>NC NUMERICABLE ILE-DE-FRANCE</v>
          </cell>
          <cell r="G483" t="str">
            <v>VAD CONSEILLERS</v>
          </cell>
          <cell r="H483" t="str">
            <v>FERNANDEZ A</v>
          </cell>
          <cell r="I483" t="str">
            <v>SUOU500001</v>
          </cell>
          <cell r="J483">
            <v>100</v>
          </cell>
          <cell r="K483">
            <v>38754</v>
          </cell>
          <cell r="L483" t="str">
            <v>CONSEILLER(E) COM.</v>
          </cell>
          <cell r="M483" t="str">
            <v>TSM</v>
          </cell>
          <cell r="N483" t="str">
            <v>D</v>
          </cell>
          <cell r="O483" t="str">
            <v>CDI</v>
          </cell>
          <cell r="P483">
            <v>151.57</v>
          </cell>
          <cell r="Q483">
            <v>1217.8800000000001</v>
          </cell>
          <cell r="R483">
            <v>598.26</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424.11</v>
          </cell>
          <cell r="AO483">
            <v>0</v>
          </cell>
          <cell r="AP483">
            <v>0</v>
          </cell>
          <cell r="AQ483">
            <v>1217.8800000000001</v>
          </cell>
          <cell r="AR483">
            <v>0</v>
          </cell>
          <cell r="AS483">
            <v>0</v>
          </cell>
          <cell r="AT483">
            <v>0</v>
          </cell>
          <cell r="AU483">
            <v>0</v>
          </cell>
        </row>
        <row r="484">
          <cell r="A484" t="str">
            <v>000A1223</v>
          </cell>
          <cell r="B484" t="str">
            <v>ABEDDOU</v>
          </cell>
          <cell r="C484" t="str">
            <v>MOHAMED</v>
          </cell>
          <cell r="D484" t="str">
            <v>VERSAILLES</v>
          </cell>
          <cell r="E484">
            <v>91</v>
          </cell>
          <cell r="F484" t="str">
            <v>NC NUMERICABLE ILE-DE-FRANCE</v>
          </cell>
          <cell r="G484" t="str">
            <v>VAD CONSEILLERS</v>
          </cell>
          <cell r="H484" t="str">
            <v>FERRADJ</v>
          </cell>
          <cell r="I484" t="str">
            <v>IDFR500001</v>
          </cell>
          <cell r="J484">
            <v>100</v>
          </cell>
          <cell r="K484">
            <v>38649</v>
          </cell>
          <cell r="L484" t="str">
            <v>CONSEILLER(E) COM.</v>
          </cell>
          <cell r="M484" t="str">
            <v>TSM</v>
          </cell>
          <cell r="N484" t="str">
            <v>D</v>
          </cell>
          <cell r="O484" t="str">
            <v>CDI</v>
          </cell>
          <cell r="P484">
            <v>151.57</v>
          </cell>
          <cell r="Q484">
            <v>1217.8800000000001</v>
          </cell>
          <cell r="R484">
            <v>1322.16</v>
          </cell>
          <cell r="S484">
            <v>0</v>
          </cell>
          <cell r="T484">
            <v>2200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368.08</v>
          </cell>
          <cell r="AO484">
            <v>0</v>
          </cell>
          <cell r="AP484">
            <v>0</v>
          </cell>
          <cell r="AQ484">
            <v>1217.8800000000001</v>
          </cell>
          <cell r="AR484">
            <v>0</v>
          </cell>
          <cell r="AS484">
            <v>0</v>
          </cell>
          <cell r="AT484">
            <v>0</v>
          </cell>
          <cell r="AU484">
            <v>0</v>
          </cell>
        </row>
        <row r="485">
          <cell r="A485" t="str">
            <v>000A1628</v>
          </cell>
          <cell r="B485" t="str">
            <v>LE MUET</v>
          </cell>
          <cell r="C485" t="str">
            <v>EMMANUEL</v>
          </cell>
          <cell r="D485" t="str">
            <v>ROUEN</v>
          </cell>
          <cell r="E485">
            <v>91</v>
          </cell>
          <cell r="F485" t="str">
            <v>NC NUMERICABLE ILE-DE-FRANCE</v>
          </cell>
          <cell r="G485" t="str">
            <v>VAD CONSEILLERS</v>
          </cell>
          <cell r="H485" t="str">
            <v>JAUD</v>
          </cell>
          <cell r="I485" t="str">
            <v>OUES500001</v>
          </cell>
          <cell r="J485">
            <v>100</v>
          </cell>
          <cell r="K485">
            <v>38782</v>
          </cell>
          <cell r="L485" t="str">
            <v>CONSEILLER(E) COM.</v>
          </cell>
          <cell r="M485" t="str">
            <v>TSM</v>
          </cell>
          <cell r="N485" t="str">
            <v>D</v>
          </cell>
          <cell r="O485" t="str">
            <v>CDI</v>
          </cell>
          <cell r="P485">
            <v>151.57</v>
          </cell>
          <cell r="Q485">
            <v>0</v>
          </cell>
          <cell r="R485">
            <v>489.75</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112.5</v>
          </cell>
          <cell r="AM485">
            <v>0</v>
          </cell>
          <cell r="AN485">
            <v>244.83</v>
          </cell>
          <cell r="AO485">
            <v>0</v>
          </cell>
          <cell r="AP485">
            <v>0</v>
          </cell>
          <cell r="AQ485">
            <v>1217.8800000000001</v>
          </cell>
          <cell r="AR485">
            <v>112.5</v>
          </cell>
          <cell r="AS485">
            <v>0</v>
          </cell>
          <cell r="AT485">
            <v>0</v>
          </cell>
          <cell r="AU485">
            <v>0</v>
          </cell>
        </row>
        <row r="486">
          <cell r="A486" t="str">
            <v>000A1612</v>
          </cell>
          <cell r="B486" t="str">
            <v>DAELEMANS</v>
          </cell>
          <cell r="C486" t="str">
            <v>JULIE</v>
          </cell>
          <cell r="D486" t="str">
            <v>BREST</v>
          </cell>
          <cell r="E486">
            <v>91</v>
          </cell>
          <cell r="F486" t="str">
            <v>NC NUMERICABLE ILE-DE-FRANCE</v>
          </cell>
          <cell r="G486" t="str">
            <v>VAD CONSEILLERS</v>
          </cell>
          <cell r="H486" t="str">
            <v>JAUD</v>
          </cell>
          <cell r="I486" t="str">
            <v>OUES500001</v>
          </cell>
          <cell r="J486">
            <v>100</v>
          </cell>
          <cell r="K486">
            <v>38768</v>
          </cell>
          <cell r="L486" t="str">
            <v>CONSEILLER(E) COM.</v>
          </cell>
          <cell r="M486" t="str">
            <v>TSM</v>
          </cell>
          <cell r="N486" t="str">
            <v>D</v>
          </cell>
          <cell r="O486" t="str">
            <v>CDI</v>
          </cell>
          <cell r="P486">
            <v>151.57</v>
          </cell>
          <cell r="Q486">
            <v>0</v>
          </cell>
          <cell r="R486">
            <v>1213.55</v>
          </cell>
          <cell r="S486">
            <v>0</v>
          </cell>
          <cell r="T486">
            <v>1620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112.5</v>
          </cell>
          <cell r="AM486">
            <v>0</v>
          </cell>
          <cell r="AN486">
            <v>476.12</v>
          </cell>
          <cell r="AO486">
            <v>0</v>
          </cell>
          <cell r="AP486">
            <v>0</v>
          </cell>
          <cell r="AQ486">
            <v>1217.8800000000001</v>
          </cell>
          <cell r="AR486">
            <v>112.5</v>
          </cell>
          <cell r="AS486">
            <v>0</v>
          </cell>
          <cell r="AT486">
            <v>0</v>
          </cell>
          <cell r="AU486">
            <v>0</v>
          </cell>
        </row>
        <row r="487">
          <cell r="A487" t="str">
            <v>000A1596</v>
          </cell>
          <cell r="B487" t="str">
            <v>ACHOURI</v>
          </cell>
          <cell r="C487" t="str">
            <v>LINDA</v>
          </cell>
          <cell r="D487" t="str">
            <v>LYON GARIBALDI</v>
          </cell>
          <cell r="E487">
            <v>91</v>
          </cell>
          <cell r="F487" t="str">
            <v>NC NUMERICABLE ILE-DE-FRANCE</v>
          </cell>
          <cell r="G487" t="str">
            <v>VAD CONSEILLERS</v>
          </cell>
          <cell r="H487" t="str">
            <v>DONT</v>
          </cell>
          <cell r="I487" t="str">
            <v>RHON500001</v>
          </cell>
          <cell r="J487">
            <v>100</v>
          </cell>
          <cell r="K487">
            <v>38754</v>
          </cell>
          <cell r="L487" t="str">
            <v>CONSEILLER(E) COM.</v>
          </cell>
          <cell r="M487" t="str">
            <v>TSM</v>
          </cell>
          <cell r="N487" t="str">
            <v>D</v>
          </cell>
          <cell r="O487" t="str">
            <v>CDI</v>
          </cell>
          <cell r="P487">
            <v>151.57</v>
          </cell>
          <cell r="Q487">
            <v>0</v>
          </cell>
          <cell r="R487">
            <v>67.91</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28.44</v>
          </cell>
          <cell r="AO487">
            <v>0</v>
          </cell>
          <cell r="AP487">
            <v>0</v>
          </cell>
          <cell r="AQ487">
            <v>112.4</v>
          </cell>
          <cell r="AR487">
            <v>0</v>
          </cell>
          <cell r="AS487">
            <v>0</v>
          </cell>
          <cell r="AT487">
            <v>0</v>
          </cell>
          <cell r="AU487">
            <v>0</v>
          </cell>
        </row>
        <row r="488">
          <cell r="A488" t="str">
            <v>000A1251</v>
          </cell>
          <cell r="B488" t="str">
            <v>HABHAB</v>
          </cell>
          <cell r="C488" t="str">
            <v>RIDHA</v>
          </cell>
          <cell r="D488" t="str">
            <v>MARSEILLE</v>
          </cell>
          <cell r="E488">
            <v>91</v>
          </cell>
          <cell r="F488" t="str">
            <v>NC NUMERICABLE ILE-DE-FRANCE</v>
          </cell>
          <cell r="G488" t="str">
            <v>VAD CONSEILLERS</v>
          </cell>
          <cell r="H488" t="str">
            <v>ZAMORA</v>
          </cell>
          <cell r="I488" t="str">
            <v>SUES500001</v>
          </cell>
          <cell r="J488">
            <v>100</v>
          </cell>
          <cell r="K488">
            <v>38677</v>
          </cell>
          <cell r="L488" t="str">
            <v>CONSEILLER(E) COM.</v>
          </cell>
          <cell r="M488" t="str">
            <v>TSM</v>
          </cell>
          <cell r="N488" t="str">
            <v>D</v>
          </cell>
          <cell r="O488" t="str">
            <v>CDI</v>
          </cell>
          <cell r="P488">
            <v>151.57</v>
          </cell>
          <cell r="Q488">
            <v>1217.8800000000001</v>
          </cell>
          <cell r="R488">
            <v>423.96</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131.16</v>
          </cell>
          <cell r="AO488">
            <v>0</v>
          </cell>
          <cell r="AP488">
            <v>0</v>
          </cell>
          <cell r="AQ488">
            <v>1217.8800000000001</v>
          </cell>
          <cell r="AR488">
            <v>0</v>
          </cell>
          <cell r="AS488">
            <v>0</v>
          </cell>
          <cell r="AT488">
            <v>0</v>
          </cell>
          <cell r="AU488">
            <v>0</v>
          </cell>
        </row>
        <row r="489">
          <cell r="A489" t="str">
            <v>000A1378</v>
          </cell>
          <cell r="B489" t="str">
            <v>RAKOTONAVALONA</v>
          </cell>
          <cell r="C489" t="str">
            <v>ANDRIVOLA</v>
          </cell>
          <cell r="D489" t="str">
            <v>BORDEAUX</v>
          </cell>
          <cell r="E489">
            <v>91</v>
          </cell>
          <cell r="F489" t="str">
            <v>NC NUMERICABLE ILE-DE-FRANCE</v>
          </cell>
          <cell r="G489" t="str">
            <v>VAD CONSEILLERS</v>
          </cell>
          <cell r="H489" t="str">
            <v>FLAICHER</v>
          </cell>
          <cell r="I489" t="str">
            <v>SUOU500001</v>
          </cell>
          <cell r="J489">
            <v>100</v>
          </cell>
          <cell r="K489">
            <v>38698</v>
          </cell>
          <cell r="L489" t="str">
            <v>CONSEILLER(E) COM.</v>
          </cell>
          <cell r="M489" t="str">
            <v>TSM</v>
          </cell>
          <cell r="N489" t="str">
            <v>D</v>
          </cell>
          <cell r="O489" t="str">
            <v>CDI</v>
          </cell>
          <cell r="P489">
            <v>151.57</v>
          </cell>
          <cell r="Q489">
            <v>1217.8800000000001</v>
          </cell>
          <cell r="R489">
            <v>77.58</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142.6</v>
          </cell>
          <cell r="AO489">
            <v>0</v>
          </cell>
          <cell r="AP489">
            <v>0</v>
          </cell>
          <cell r="AQ489">
            <v>1295.9100000000001</v>
          </cell>
          <cell r="AR489">
            <v>0</v>
          </cell>
          <cell r="AS489">
            <v>0</v>
          </cell>
          <cell r="AT489">
            <v>0</v>
          </cell>
          <cell r="AU489">
            <v>0</v>
          </cell>
        </row>
        <row r="490">
          <cell r="A490" t="str">
            <v>000A0766</v>
          </cell>
          <cell r="B490" t="str">
            <v>BUISSON</v>
          </cell>
          <cell r="C490" t="str">
            <v>YAN</v>
          </cell>
          <cell r="D490" t="str">
            <v>SIEGE</v>
          </cell>
          <cell r="E490">
            <v>91</v>
          </cell>
          <cell r="F490" t="str">
            <v>NC NUMERICABLE ILE-DE-FRANCE</v>
          </cell>
          <cell r="G490" t="str">
            <v>INFORMATIQUE</v>
          </cell>
          <cell r="H490" t="str">
            <v>CANAS</v>
          </cell>
          <cell r="I490" t="str">
            <v>GENE620001</v>
          </cell>
          <cell r="J490">
            <v>100</v>
          </cell>
          <cell r="K490">
            <v>36598</v>
          </cell>
          <cell r="L490" t="str">
            <v>WEBMASTER/CHEF PRODUIT JUNIOR</v>
          </cell>
          <cell r="M490" t="str">
            <v>CADRE</v>
          </cell>
          <cell r="N490" t="str">
            <v>DB</v>
          </cell>
          <cell r="O490" t="str">
            <v>CDI</v>
          </cell>
          <cell r="P490">
            <v>151.57</v>
          </cell>
          <cell r="Q490">
            <v>2844</v>
          </cell>
          <cell r="R490">
            <v>1495.43</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306.38</v>
          </cell>
          <cell r="AO490">
            <v>23.61</v>
          </cell>
          <cell r="AP490">
            <v>0</v>
          </cell>
          <cell r="AQ490">
            <v>2845.07</v>
          </cell>
          <cell r="AR490">
            <v>0</v>
          </cell>
          <cell r="AS490">
            <v>0</v>
          </cell>
          <cell r="AT490">
            <v>0</v>
          </cell>
          <cell r="AU490">
            <v>0</v>
          </cell>
        </row>
        <row r="491">
          <cell r="A491" t="str">
            <v>000A0789</v>
          </cell>
          <cell r="B491" t="str">
            <v>PICQUENOT</v>
          </cell>
          <cell r="C491" t="str">
            <v>KATIA</v>
          </cell>
          <cell r="D491" t="str">
            <v>SIEGE</v>
          </cell>
          <cell r="E491">
            <v>91</v>
          </cell>
          <cell r="F491" t="str">
            <v>NC NUMERICABLE ILE-DE-FRANCE</v>
          </cell>
          <cell r="G491" t="str">
            <v>COMPTABILITE</v>
          </cell>
          <cell r="H491" t="str">
            <v>BARBERY</v>
          </cell>
          <cell r="I491" t="str">
            <v>GENE701001</v>
          </cell>
          <cell r="J491">
            <v>100</v>
          </cell>
          <cell r="K491">
            <v>36675</v>
          </cell>
          <cell r="L491" t="str">
            <v>CHEF GROUPE COMPT.</v>
          </cell>
          <cell r="M491" t="str">
            <v>CADRE</v>
          </cell>
          <cell r="N491" t="str">
            <v>DB</v>
          </cell>
          <cell r="O491" t="str">
            <v>CDI</v>
          </cell>
          <cell r="P491">
            <v>151.57</v>
          </cell>
          <cell r="Q491">
            <v>2502.83</v>
          </cell>
          <cell r="R491">
            <v>985.04</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276.07</v>
          </cell>
          <cell r="AO491">
            <v>38.68</v>
          </cell>
          <cell r="AP491">
            <v>0</v>
          </cell>
          <cell r="AQ491">
            <v>1925.34</v>
          </cell>
          <cell r="AR491">
            <v>0</v>
          </cell>
          <cell r="AS491">
            <v>0</v>
          </cell>
          <cell r="AT491">
            <v>0</v>
          </cell>
          <cell r="AU491">
            <v>0</v>
          </cell>
        </row>
        <row r="492">
          <cell r="A492" t="str">
            <v>000F0015</v>
          </cell>
          <cell r="B492" t="str">
            <v>JAMOT</v>
          </cell>
          <cell r="C492" t="str">
            <v>YANN</v>
          </cell>
          <cell r="D492" t="str">
            <v>SIEGE</v>
          </cell>
          <cell r="E492">
            <v>91</v>
          </cell>
          <cell r="F492" t="str">
            <v>NC NUMERICABLE ILE-DE-FRANCE</v>
          </cell>
          <cell r="G492" t="str">
            <v>COLLECTIF</v>
          </cell>
          <cell r="H492" t="str">
            <v>LORCET</v>
          </cell>
          <cell r="I492" t="str">
            <v>OUES510001</v>
          </cell>
          <cell r="J492">
            <v>100</v>
          </cell>
          <cell r="K492">
            <v>33224</v>
          </cell>
          <cell r="L492" t="str">
            <v>RESPONSABLE NATIONAL  COLLECTIFS</v>
          </cell>
          <cell r="M492" t="str">
            <v>CADRE</v>
          </cell>
          <cell r="N492" t="str">
            <v>E</v>
          </cell>
          <cell r="O492" t="str">
            <v>CDI</v>
          </cell>
          <cell r="P492">
            <v>151.57</v>
          </cell>
          <cell r="Q492">
            <v>2400</v>
          </cell>
          <cell r="R492">
            <v>3875.54</v>
          </cell>
          <cell r="S492">
            <v>0</v>
          </cell>
          <cell r="T492">
            <v>2333</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851.95</v>
          </cell>
          <cell r="AO492">
            <v>0</v>
          </cell>
          <cell r="AP492">
            <v>0</v>
          </cell>
          <cell r="AQ492">
            <v>5433.34</v>
          </cell>
          <cell r="AR492">
            <v>0</v>
          </cell>
          <cell r="AS492">
            <v>0</v>
          </cell>
          <cell r="AT492">
            <v>0</v>
          </cell>
          <cell r="AU492">
            <v>0</v>
          </cell>
        </row>
        <row r="493">
          <cell r="A493" t="str">
            <v>000BD042</v>
          </cell>
          <cell r="B493" t="str">
            <v>DE FRANCESCHI</v>
          </cell>
          <cell r="C493" t="str">
            <v>GERARD</v>
          </cell>
          <cell r="D493" t="str">
            <v>TOULOUSE</v>
          </cell>
          <cell r="E493">
            <v>91</v>
          </cell>
          <cell r="F493" t="str">
            <v>NC NUMERICABLE ILE-DE-FRANCE</v>
          </cell>
          <cell r="G493" t="str">
            <v>COLLECTIF</v>
          </cell>
          <cell r="I493" t="str">
            <v>GENE905001</v>
          </cell>
          <cell r="J493">
            <v>100</v>
          </cell>
          <cell r="K493">
            <v>32846</v>
          </cell>
          <cell r="L493" t="str">
            <v>ATTACHE COMMERCIAL</v>
          </cell>
          <cell r="M493" t="str">
            <v>CADRE</v>
          </cell>
          <cell r="N493" t="str">
            <v>DB</v>
          </cell>
          <cell r="O493" t="str">
            <v>CDI</v>
          </cell>
          <cell r="P493">
            <v>151.57</v>
          </cell>
          <cell r="Q493">
            <v>2020.56</v>
          </cell>
          <cell r="R493">
            <v>-54.13</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2017.94</v>
          </cell>
          <cell r="AN493">
            <v>259.44</v>
          </cell>
          <cell r="AO493">
            <v>1778.93</v>
          </cell>
          <cell r="AP493">
            <v>0</v>
          </cell>
          <cell r="AQ493">
            <v>2259.5700000000002</v>
          </cell>
          <cell r="AR493">
            <v>0</v>
          </cell>
          <cell r="AS493">
            <v>0</v>
          </cell>
          <cell r="AT493">
            <v>0</v>
          </cell>
          <cell r="AU493">
            <v>0</v>
          </cell>
        </row>
        <row r="494">
          <cell r="A494" t="str">
            <v>000BG219</v>
          </cell>
          <cell r="B494" t="str">
            <v>GALAUP</v>
          </cell>
          <cell r="C494" t="str">
            <v>JEROME</v>
          </cell>
          <cell r="D494" t="str">
            <v>LYON CATN</v>
          </cell>
          <cell r="E494">
            <v>91</v>
          </cell>
          <cell r="F494" t="str">
            <v>NC NUMERICABLE ILE-DE-FRANCE</v>
          </cell>
          <cell r="G494" t="str">
            <v>CLIENTELE</v>
          </cell>
          <cell r="H494" t="str">
            <v>CARET</v>
          </cell>
          <cell r="I494" t="str">
            <v>GENE905001</v>
          </cell>
          <cell r="J494">
            <v>100</v>
          </cell>
          <cell r="K494">
            <v>36815</v>
          </cell>
          <cell r="L494" t="str">
            <v>CHEF DE PROJET JUNIOR</v>
          </cell>
          <cell r="M494" t="str">
            <v>CADRE</v>
          </cell>
          <cell r="N494" t="str">
            <v>DB</v>
          </cell>
          <cell r="O494" t="str">
            <v>CDI</v>
          </cell>
          <cell r="P494">
            <v>151.57</v>
          </cell>
          <cell r="Q494">
            <v>2559</v>
          </cell>
          <cell r="R494">
            <v>366.32</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-172.62</v>
          </cell>
          <cell r="AN494">
            <v>275.58999999999997</v>
          </cell>
          <cell r="AO494">
            <v>-172.62</v>
          </cell>
          <cell r="AP494">
            <v>0</v>
          </cell>
          <cell r="AQ494">
            <v>2559</v>
          </cell>
          <cell r="AR494">
            <v>0</v>
          </cell>
          <cell r="AS494">
            <v>0</v>
          </cell>
          <cell r="AT494">
            <v>0</v>
          </cell>
          <cell r="AU494">
            <v>0</v>
          </cell>
        </row>
        <row r="495">
          <cell r="A495" t="str">
            <v>000A0773</v>
          </cell>
          <cell r="B495" t="str">
            <v>CHAMPOURET</v>
          </cell>
          <cell r="C495" t="str">
            <v>LAURENT</v>
          </cell>
          <cell r="D495" t="str">
            <v>VANVES</v>
          </cell>
          <cell r="E495">
            <v>91</v>
          </cell>
          <cell r="F495" t="str">
            <v>NC NUMERICABLE ILE-DE-FRANCE</v>
          </cell>
          <cell r="G495" t="str">
            <v>INGENIERIE RESEAUX</v>
          </cell>
          <cell r="H495" t="str">
            <v>GAUTHIER</v>
          </cell>
          <cell r="I495" t="str">
            <v>GENE306001</v>
          </cell>
          <cell r="J495">
            <v>100</v>
          </cell>
          <cell r="K495">
            <v>36619</v>
          </cell>
          <cell r="L495" t="str">
            <v>RESP. TECH. SUPPORT</v>
          </cell>
          <cell r="M495" t="str">
            <v>CADRE</v>
          </cell>
          <cell r="N495" t="str">
            <v>E</v>
          </cell>
          <cell r="O495" t="str">
            <v>CDI</v>
          </cell>
          <cell r="P495">
            <v>151.57</v>
          </cell>
          <cell r="Q495">
            <v>3010</v>
          </cell>
          <cell r="R495">
            <v>1303.8800000000001</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325.13</v>
          </cell>
          <cell r="AO495">
            <v>23.61</v>
          </cell>
          <cell r="AP495">
            <v>0</v>
          </cell>
          <cell r="AQ495">
            <v>2593.29</v>
          </cell>
          <cell r="AR495">
            <v>0</v>
          </cell>
          <cell r="AS495">
            <v>0</v>
          </cell>
          <cell r="AT495">
            <v>0</v>
          </cell>
          <cell r="AU495">
            <v>0</v>
          </cell>
        </row>
        <row r="496">
          <cell r="A496" t="str">
            <v>000BP145</v>
          </cell>
          <cell r="B496" t="str">
            <v>POURRET</v>
          </cell>
          <cell r="C496" t="str">
            <v>ALBAN</v>
          </cell>
          <cell r="D496" t="str">
            <v>LYON CATN</v>
          </cell>
          <cell r="E496">
            <v>91</v>
          </cell>
          <cell r="F496" t="str">
            <v>NC NUMERICABLE ILE-DE-FRANCE</v>
          </cell>
          <cell r="G496" t="str">
            <v>CATN VENTES</v>
          </cell>
          <cell r="I496" t="str">
            <v>GENE905001</v>
          </cell>
          <cell r="J496">
            <v>100</v>
          </cell>
          <cell r="K496">
            <v>35505</v>
          </cell>
          <cell r="L496" t="str">
            <v>ANIMATEUR COM.</v>
          </cell>
          <cell r="M496" t="str">
            <v>CADRE</v>
          </cell>
          <cell r="N496" t="str">
            <v>DB</v>
          </cell>
          <cell r="O496" t="str">
            <v>CDI</v>
          </cell>
          <cell r="P496">
            <v>151.57</v>
          </cell>
          <cell r="Q496">
            <v>2432</v>
          </cell>
          <cell r="R496">
            <v>103.2</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2495.5300000000002</v>
          </cell>
          <cell r="AN496">
            <v>261.89999999999998</v>
          </cell>
          <cell r="AO496">
            <v>2495.5300000000002</v>
          </cell>
          <cell r="AP496">
            <v>0</v>
          </cell>
          <cell r="AQ496">
            <v>2432</v>
          </cell>
          <cell r="AR496">
            <v>0</v>
          </cell>
          <cell r="AS496">
            <v>0</v>
          </cell>
          <cell r="AT496">
            <v>0</v>
          </cell>
          <cell r="AU496">
            <v>0</v>
          </cell>
        </row>
        <row r="497">
          <cell r="A497" t="str">
            <v>000A0798</v>
          </cell>
          <cell r="B497" t="str">
            <v>DIOT</v>
          </cell>
          <cell r="C497" t="str">
            <v>YOANN</v>
          </cell>
          <cell r="D497" t="str">
            <v>VANVES</v>
          </cell>
          <cell r="E497">
            <v>91</v>
          </cell>
          <cell r="F497" t="str">
            <v>NC NUMERICABLE ILE-DE-FRANCE</v>
          </cell>
          <cell r="G497" t="str">
            <v>NMC ADMIN</v>
          </cell>
          <cell r="H497" t="str">
            <v>BLONDEAU</v>
          </cell>
          <cell r="I497" t="str">
            <v>GENE306001</v>
          </cell>
          <cell r="J497">
            <v>100</v>
          </cell>
          <cell r="K497">
            <v>36710</v>
          </cell>
          <cell r="L497" t="str">
            <v>CHEF GROUPE TECH. SUP.</v>
          </cell>
          <cell r="M497" t="str">
            <v>CADRE</v>
          </cell>
          <cell r="N497" t="str">
            <v>DB</v>
          </cell>
          <cell r="O497" t="str">
            <v>CDI</v>
          </cell>
          <cell r="P497">
            <v>151.57</v>
          </cell>
          <cell r="Q497">
            <v>2497.09</v>
          </cell>
          <cell r="R497">
            <v>1310.04</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296.55</v>
          </cell>
          <cell r="AG497">
            <v>49.43</v>
          </cell>
          <cell r="AH497">
            <v>49.43</v>
          </cell>
          <cell r="AI497">
            <v>0</v>
          </cell>
          <cell r="AJ497">
            <v>156.47</v>
          </cell>
          <cell r="AK497">
            <v>438</v>
          </cell>
          <cell r="AL497">
            <v>0</v>
          </cell>
          <cell r="AM497">
            <v>0</v>
          </cell>
          <cell r="AN497">
            <v>386.99</v>
          </cell>
          <cell r="AO497">
            <v>31.21</v>
          </cell>
          <cell r="AP497">
            <v>0</v>
          </cell>
          <cell r="AQ497">
            <v>2201.1</v>
          </cell>
          <cell r="AR497">
            <v>156.47</v>
          </cell>
          <cell r="AS497">
            <v>438</v>
          </cell>
          <cell r="AT497">
            <v>0</v>
          </cell>
          <cell r="AU497">
            <v>0</v>
          </cell>
        </row>
        <row r="498">
          <cell r="A498">
            <v>953046</v>
          </cell>
          <cell r="B498" t="str">
            <v>MORCRETTE</v>
          </cell>
          <cell r="C498" t="str">
            <v>THIERRY</v>
          </cell>
          <cell r="D498" t="str">
            <v>LYON GARIBALDI</v>
          </cell>
          <cell r="E498">
            <v>1</v>
          </cell>
          <cell r="F498" t="str">
            <v>NUMERICABLE</v>
          </cell>
          <cell r="G498" t="str">
            <v>COLLECTIF</v>
          </cell>
          <cell r="H498" t="str">
            <v>DONT</v>
          </cell>
          <cell r="I498" t="str">
            <v>RHON510001</v>
          </cell>
          <cell r="J498">
            <v>100</v>
          </cell>
          <cell r="K498">
            <v>35254</v>
          </cell>
          <cell r="L498" t="str">
            <v>RESPONSABLE COM. COLLECTIF</v>
          </cell>
          <cell r="M498" t="str">
            <v>CADRE</v>
          </cell>
          <cell r="N498" t="str">
            <v>E</v>
          </cell>
          <cell r="O498" t="str">
            <v>CDI</v>
          </cell>
          <cell r="P498">
            <v>166.83</v>
          </cell>
          <cell r="Q498">
            <v>2200</v>
          </cell>
          <cell r="R498">
            <v>1795.54</v>
          </cell>
          <cell r="S498">
            <v>0</v>
          </cell>
          <cell r="T498">
            <v>2299</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513.55999999999995</v>
          </cell>
          <cell r="AO498">
            <v>0</v>
          </cell>
          <cell r="AP498">
            <v>0</v>
          </cell>
          <cell r="AQ498">
            <v>2098.48</v>
          </cell>
          <cell r="AR498">
            <v>228.67</v>
          </cell>
          <cell r="AS498">
            <v>0</v>
          </cell>
          <cell r="AT498">
            <v>0</v>
          </cell>
          <cell r="AU498">
            <v>0</v>
          </cell>
        </row>
        <row r="499">
          <cell r="A499" t="str">
            <v>000A1413</v>
          </cell>
          <cell r="B499" t="str">
            <v>BOUKEBBOUS</v>
          </cell>
          <cell r="C499" t="str">
            <v>DJAMAL</v>
          </cell>
          <cell r="D499" t="str">
            <v>METZ</v>
          </cell>
          <cell r="E499">
            <v>91</v>
          </cell>
          <cell r="F499" t="str">
            <v>NC NUMERICABLE ILE-DE-FRANCE</v>
          </cell>
          <cell r="G499" t="str">
            <v>VAD CONSEILLERS</v>
          </cell>
          <cell r="H499" t="str">
            <v>YAICI</v>
          </cell>
          <cell r="I499" t="str">
            <v>ESTR500001</v>
          </cell>
          <cell r="J499">
            <v>100</v>
          </cell>
          <cell r="K499">
            <v>38754</v>
          </cell>
          <cell r="L499" t="str">
            <v>CONSEILLER(E) COM.</v>
          </cell>
          <cell r="M499" t="str">
            <v>TSM</v>
          </cell>
          <cell r="N499" t="str">
            <v>D</v>
          </cell>
          <cell r="O499" t="str">
            <v>CDI</v>
          </cell>
          <cell r="P499">
            <v>151.57</v>
          </cell>
          <cell r="Q499">
            <v>1217.8800000000001</v>
          </cell>
          <cell r="R499">
            <v>1952.56</v>
          </cell>
          <cell r="S499">
            <v>0</v>
          </cell>
          <cell r="T499">
            <v>3669.43</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879.03</v>
          </cell>
          <cell r="AO499">
            <v>0</v>
          </cell>
          <cell r="AP499">
            <v>0</v>
          </cell>
          <cell r="AQ499">
            <v>1217.8800000000001</v>
          </cell>
          <cell r="AR499">
            <v>0</v>
          </cell>
          <cell r="AS499">
            <v>0</v>
          </cell>
          <cell r="AT499">
            <v>0</v>
          </cell>
          <cell r="AU499">
            <v>0</v>
          </cell>
        </row>
        <row r="500">
          <cell r="A500" t="str">
            <v>000A1093</v>
          </cell>
          <cell r="B500" t="str">
            <v>MAXIMIN-TARTARE</v>
          </cell>
          <cell r="C500" t="str">
            <v>WILLIAM</v>
          </cell>
          <cell r="D500" t="str">
            <v>VERSAILLES</v>
          </cell>
          <cell r="E500">
            <v>91</v>
          </cell>
          <cell r="F500" t="str">
            <v>NC NUMERICABLE ILE-DE-FRANCE</v>
          </cell>
          <cell r="G500" t="str">
            <v>VAD ANIMATEURS</v>
          </cell>
          <cell r="H500" t="str">
            <v>ZERFAINE</v>
          </cell>
          <cell r="I500" t="str">
            <v>IDFR500001</v>
          </cell>
          <cell r="J500">
            <v>100</v>
          </cell>
          <cell r="K500">
            <v>38635</v>
          </cell>
          <cell r="L500" t="str">
            <v>ANIMATEUR COM.</v>
          </cell>
          <cell r="M500" t="str">
            <v>CADRE</v>
          </cell>
          <cell r="N500" t="str">
            <v>DB</v>
          </cell>
          <cell r="O500" t="str">
            <v>CDI</v>
          </cell>
          <cell r="P500">
            <v>151.57</v>
          </cell>
          <cell r="Q500">
            <v>1800</v>
          </cell>
          <cell r="R500">
            <v>2516.88</v>
          </cell>
          <cell r="S500">
            <v>0</v>
          </cell>
          <cell r="T500">
            <v>3000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516.92999999999995</v>
          </cell>
          <cell r="AO500">
            <v>0</v>
          </cell>
          <cell r="AP500">
            <v>0</v>
          </cell>
          <cell r="AQ500">
            <v>1800</v>
          </cell>
          <cell r="AR500">
            <v>0</v>
          </cell>
          <cell r="AS500">
            <v>0</v>
          </cell>
          <cell r="AT500">
            <v>0</v>
          </cell>
          <cell r="AU500">
            <v>0</v>
          </cell>
        </row>
        <row r="501">
          <cell r="A501" t="str">
            <v>000A1670</v>
          </cell>
          <cell r="B501" t="str">
            <v>BEZAUD</v>
          </cell>
          <cell r="C501" t="str">
            <v>MATTHIEU</v>
          </cell>
          <cell r="D501" t="str">
            <v>BORDEAUX</v>
          </cell>
          <cell r="E501">
            <v>91</v>
          </cell>
          <cell r="F501" t="str">
            <v>NC NUMERICABLE ILE-DE-FRANCE</v>
          </cell>
          <cell r="G501" t="str">
            <v>VAD CONSEILLERS</v>
          </cell>
          <cell r="H501" t="str">
            <v>GALERA</v>
          </cell>
          <cell r="I501" t="str">
            <v>SUOU500001</v>
          </cell>
          <cell r="J501">
            <v>100</v>
          </cell>
          <cell r="K501">
            <v>38810</v>
          </cell>
          <cell r="L501" t="str">
            <v>CONSEILLER(E) COM.</v>
          </cell>
          <cell r="M501" t="str">
            <v>TSM</v>
          </cell>
          <cell r="N501" t="str">
            <v>D</v>
          </cell>
          <cell r="O501" t="str">
            <v>CDI</v>
          </cell>
          <cell r="P501">
            <v>151.57</v>
          </cell>
          <cell r="Q501">
            <v>0</v>
          </cell>
          <cell r="R501">
            <v>143.34</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365.36</v>
          </cell>
          <cell r="AR501">
            <v>0</v>
          </cell>
          <cell r="AS501">
            <v>0</v>
          </cell>
          <cell r="AT501">
            <v>0</v>
          </cell>
          <cell r="AU501">
            <v>0</v>
          </cell>
        </row>
        <row r="502">
          <cell r="A502" t="str">
            <v>000A1591</v>
          </cell>
          <cell r="B502" t="str">
            <v>LARROUDE</v>
          </cell>
          <cell r="C502" t="str">
            <v>FABRICE</v>
          </cell>
          <cell r="D502" t="str">
            <v>MARSEILLE</v>
          </cell>
          <cell r="E502">
            <v>91</v>
          </cell>
          <cell r="F502" t="str">
            <v>NC NUMERICABLE ILE-DE-FRANCE</v>
          </cell>
          <cell r="G502" t="str">
            <v>VAD CONSEILLERS</v>
          </cell>
          <cell r="H502" t="str">
            <v>VIVIN</v>
          </cell>
          <cell r="I502" t="str">
            <v>SUES500001</v>
          </cell>
          <cell r="J502">
            <v>100</v>
          </cell>
          <cell r="K502">
            <v>38775</v>
          </cell>
          <cell r="L502" t="str">
            <v>CONSEILLER(E) COM.</v>
          </cell>
          <cell r="M502" t="str">
            <v>TSM</v>
          </cell>
          <cell r="N502" t="str">
            <v>D</v>
          </cell>
          <cell r="O502" t="str">
            <v>CDI</v>
          </cell>
          <cell r="P502">
            <v>151.57</v>
          </cell>
          <cell r="Q502">
            <v>0</v>
          </cell>
          <cell r="R502">
            <v>308.41000000000003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254.02</v>
          </cell>
          <cell r="AO502">
            <v>0</v>
          </cell>
          <cell r="AP502">
            <v>0</v>
          </cell>
          <cell r="AQ502">
            <v>380.97</v>
          </cell>
          <cell r="AR502">
            <v>0</v>
          </cell>
          <cell r="AS502">
            <v>0</v>
          </cell>
          <cell r="AT502">
            <v>0</v>
          </cell>
          <cell r="AU502">
            <v>0</v>
          </cell>
        </row>
        <row r="503">
          <cell r="A503" t="str">
            <v>000A1242</v>
          </cell>
          <cell r="B503" t="str">
            <v>EL YAKOUBI</v>
          </cell>
          <cell r="C503" t="str">
            <v>KHADIJA</v>
          </cell>
          <cell r="D503" t="str">
            <v>MARSEILLE</v>
          </cell>
          <cell r="E503">
            <v>91</v>
          </cell>
          <cell r="F503" t="str">
            <v>NC NUMERICABLE ILE-DE-FRANCE</v>
          </cell>
          <cell r="G503" t="str">
            <v>VAD CONSEILLERS</v>
          </cell>
          <cell r="H503" t="str">
            <v>BELKHIR</v>
          </cell>
          <cell r="I503" t="str">
            <v>SUES500001</v>
          </cell>
          <cell r="J503">
            <v>100</v>
          </cell>
          <cell r="K503">
            <v>38670</v>
          </cell>
          <cell r="L503" t="str">
            <v>CONSEILLER(E) COM.</v>
          </cell>
          <cell r="M503" t="str">
            <v>TSM</v>
          </cell>
          <cell r="N503" t="str">
            <v>D</v>
          </cell>
          <cell r="O503" t="str">
            <v>CDI</v>
          </cell>
          <cell r="P503">
            <v>151.57</v>
          </cell>
          <cell r="Q503">
            <v>1217.8800000000001</v>
          </cell>
          <cell r="R503">
            <v>687.19</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131.16</v>
          </cell>
          <cell r="AO503">
            <v>0</v>
          </cell>
          <cell r="AP503">
            <v>0</v>
          </cell>
          <cell r="AQ503">
            <v>1217.8800000000001</v>
          </cell>
          <cell r="AR503">
            <v>0</v>
          </cell>
          <cell r="AS503">
            <v>0</v>
          </cell>
          <cell r="AT503">
            <v>0</v>
          </cell>
          <cell r="AU503">
            <v>0</v>
          </cell>
        </row>
        <row r="504">
          <cell r="A504" t="str">
            <v>000A1489</v>
          </cell>
          <cell r="B504" t="str">
            <v>GAILLARDIN</v>
          </cell>
          <cell r="C504" t="str">
            <v>CHRISTELLE</v>
          </cell>
          <cell r="D504" t="str">
            <v>TOULOUSE</v>
          </cell>
          <cell r="E504">
            <v>91</v>
          </cell>
          <cell r="F504" t="str">
            <v>NC NUMERICABLE ILE-DE-FRANCE</v>
          </cell>
          <cell r="G504" t="str">
            <v>VAD CONSEILLERS</v>
          </cell>
          <cell r="H504" t="str">
            <v>LORCET</v>
          </cell>
          <cell r="I504" t="str">
            <v>SUOU500001</v>
          </cell>
          <cell r="J504">
            <v>100</v>
          </cell>
          <cell r="K504">
            <v>38768</v>
          </cell>
          <cell r="L504" t="str">
            <v>CONSEILLER(E) COM.</v>
          </cell>
          <cell r="M504" t="str">
            <v>TSM</v>
          </cell>
          <cell r="N504" t="str">
            <v>D</v>
          </cell>
          <cell r="O504" t="str">
            <v>CDI</v>
          </cell>
          <cell r="P504">
            <v>151.57</v>
          </cell>
          <cell r="Q504">
            <v>1217.8800000000001</v>
          </cell>
          <cell r="R504">
            <v>542.17999999999995</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322.52</v>
          </cell>
          <cell r="AO504">
            <v>0</v>
          </cell>
          <cell r="AP504">
            <v>0</v>
          </cell>
          <cell r="AQ504">
            <v>1217.8800000000001</v>
          </cell>
          <cell r="AR504">
            <v>0</v>
          </cell>
          <cell r="AS504">
            <v>0</v>
          </cell>
          <cell r="AT504">
            <v>0</v>
          </cell>
          <cell r="AU504">
            <v>0</v>
          </cell>
        </row>
        <row r="505">
          <cell r="A505" t="str">
            <v>000A1264</v>
          </cell>
          <cell r="B505" t="str">
            <v>SELSIS</v>
          </cell>
          <cell r="C505" t="str">
            <v>BRUNO</v>
          </cell>
          <cell r="D505" t="str">
            <v>NICE</v>
          </cell>
          <cell r="E505">
            <v>91</v>
          </cell>
          <cell r="F505" t="str">
            <v>NC NUMERICABLE ILE-DE-FRANCE</v>
          </cell>
          <cell r="G505" t="str">
            <v>VAD CONSEILLERS</v>
          </cell>
          <cell r="H505" t="str">
            <v>VIVIN</v>
          </cell>
          <cell r="I505" t="str">
            <v>SUES500001</v>
          </cell>
          <cell r="J505">
            <v>100</v>
          </cell>
          <cell r="K505">
            <v>38677</v>
          </cell>
          <cell r="L505" t="str">
            <v>CONSEILLER(E) COM.</v>
          </cell>
          <cell r="M505" t="str">
            <v>TSM</v>
          </cell>
          <cell r="N505" t="str">
            <v>D</v>
          </cell>
          <cell r="O505" t="str">
            <v>CDI</v>
          </cell>
          <cell r="P505">
            <v>151.57</v>
          </cell>
          <cell r="Q505">
            <v>1217.8800000000001</v>
          </cell>
          <cell r="R505">
            <v>745.65</v>
          </cell>
          <cell r="S505">
            <v>0</v>
          </cell>
          <cell r="T505">
            <v>1042.2</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243.39</v>
          </cell>
          <cell r="AO505">
            <v>0</v>
          </cell>
          <cell r="AP505">
            <v>0</v>
          </cell>
          <cell r="AQ505">
            <v>1217.8800000000001</v>
          </cell>
          <cell r="AR505">
            <v>0</v>
          </cell>
          <cell r="AS505">
            <v>0</v>
          </cell>
          <cell r="AT505">
            <v>0</v>
          </cell>
          <cell r="AU505">
            <v>0</v>
          </cell>
        </row>
        <row r="506">
          <cell r="A506" t="str">
            <v>000A1165</v>
          </cell>
          <cell r="B506" t="str">
            <v>CLARET</v>
          </cell>
          <cell r="C506" t="str">
            <v>LUDOVIC</v>
          </cell>
          <cell r="D506" t="str">
            <v>BORDEAUX</v>
          </cell>
          <cell r="E506">
            <v>91</v>
          </cell>
          <cell r="F506" t="str">
            <v>NC NUMERICABLE ILE-DE-FRANCE</v>
          </cell>
          <cell r="G506" t="str">
            <v>VAD CONSEILLERS</v>
          </cell>
          <cell r="H506" t="str">
            <v>GALERA</v>
          </cell>
          <cell r="I506" t="str">
            <v>SUOU500001</v>
          </cell>
          <cell r="J506">
            <v>100</v>
          </cell>
          <cell r="K506">
            <v>38649</v>
          </cell>
          <cell r="L506" t="str">
            <v>CONSEILLER(E) COM.</v>
          </cell>
          <cell r="M506" t="str">
            <v>TSM</v>
          </cell>
          <cell r="N506" t="str">
            <v>D</v>
          </cell>
          <cell r="O506" t="str">
            <v>CDI</v>
          </cell>
          <cell r="P506">
            <v>151.57</v>
          </cell>
          <cell r="Q506">
            <v>1217.8800000000001</v>
          </cell>
          <cell r="R506">
            <v>622.27</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131.16</v>
          </cell>
          <cell r="AO506">
            <v>0</v>
          </cell>
          <cell r="AP506">
            <v>0</v>
          </cell>
          <cell r="AQ506">
            <v>1217.8800000000001</v>
          </cell>
          <cell r="AR506">
            <v>0</v>
          </cell>
          <cell r="AS506">
            <v>0</v>
          </cell>
          <cell r="AT506">
            <v>0</v>
          </cell>
          <cell r="AU506">
            <v>0</v>
          </cell>
        </row>
        <row r="507">
          <cell r="A507" t="str">
            <v>000A1410</v>
          </cell>
          <cell r="B507" t="str">
            <v>AKONO EDIBI</v>
          </cell>
          <cell r="C507" t="str">
            <v>ANDRE</v>
          </cell>
          <cell r="D507" t="str">
            <v>SIEGE</v>
          </cell>
          <cell r="E507">
            <v>91</v>
          </cell>
          <cell r="F507" t="str">
            <v>NC NUMERICABLE ILE-DE-FRANCE</v>
          </cell>
          <cell r="G507" t="str">
            <v>VAD CONSEILLERS</v>
          </cell>
          <cell r="H507" t="str">
            <v>ZERFAINE</v>
          </cell>
          <cell r="I507" t="str">
            <v>IDFR500001</v>
          </cell>
          <cell r="J507">
            <v>100</v>
          </cell>
          <cell r="K507">
            <v>38736</v>
          </cell>
          <cell r="L507" t="str">
            <v>CONSEILLER(E) COM.</v>
          </cell>
          <cell r="M507" t="str">
            <v>TSM</v>
          </cell>
          <cell r="N507" t="str">
            <v>D</v>
          </cell>
          <cell r="O507" t="str">
            <v>CDI</v>
          </cell>
          <cell r="P507">
            <v>151.57</v>
          </cell>
          <cell r="Q507">
            <v>1745.63</v>
          </cell>
          <cell r="R507">
            <v>2179.96</v>
          </cell>
          <cell r="S507">
            <v>0</v>
          </cell>
          <cell r="T507">
            <v>4700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637.30999999999995</v>
          </cell>
          <cell r="AO507">
            <v>0</v>
          </cell>
          <cell r="AP507">
            <v>0</v>
          </cell>
          <cell r="AQ507">
            <v>1217.8800000000001</v>
          </cell>
          <cell r="AR507">
            <v>0</v>
          </cell>
          <cell r="AS507">
            <v>0</v>
          </cell>
          <cell r="AT507">
            <v>0</v>
          </cell>
          <cell r="AU507">
            <v>0</v>
          </cell>
        </row>
        <row r="508">
          <cell r="A508" t="str">
            <v>000A0678</v>
          </cell>
          <cell r="B508" t="str">
            <v>BAUD</v>
          </cell>
          <cell r="C508" t="str">
            <v>BEATRICE</v>
          </cell>
          <cell r="D508" t="str">
            <v>SIEGE</v>
          </cell>
          <cell r="E508">
            <v>91</v>
          </cell>
          <cell r="F508" t="str">
            <v>NC NUMERICABLE ILE-DE-FRANCE</v>
          </cell>
          <cell r="G508" t="str">
            <v>COMMUNICATION</v>
          </cell>
          <cell r="I508" t="str">
            <v>GENE905001</v>
          </cell>
          <cell r="J508">
            <v>100</v>
          </cell>
          <cell r="K508">
            <v>35796</v>
          </cell>
          <cell r="L508" t="str">
            <v>CHEF DE PRODUIT</v>
          </cell>
          <cell r="M508" t="str">
            <v>CADRE</v>
          </cell>
          <cell r="N508" t="str">
            <v>E</v>
          </cell>
          <cell r="O508" t="str">
            <v>CDI</v>
          </cell>
          <cell r="P508">
            <v>151.57</v>
          </cell>
          <cell r="Q508">
            <v>3000</v>
          </cell>
          <cell r="R508">
            <v>430.53</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-285.27</v>
          </cell>
          <cell r="AN508">
            <v>323.07</v>
          </cell>
          <cell r="AO508">
            <v>-285.27</v>
          </cell>
          <cell r="AP508">
            <v>0</v>
          </cell>
          <cell r="AQ508">
            <v>3000</v>
          </cell>
          <cell r="AR508">
            <v>0</v>
          </cell>
          <cell r="AS508">
            <v>0</v>
          </cell>
          <cell r="AT508">
            <v>0</v>
          </cell>
          <cell r="AU508">
            <v>0</v>
          </cell>
        </row>
        <row r="509">
          <cell r="A509">
            <v>40006</v>
          </cell>
          <cell r="B509" t="str">
            <v>JACOB</v>
          </cell>
          <cell r="C509" t="str">
            <v>PATRICK</v>
          </cell>
          <cell r="D509" t="str">
            <v>NANCY</v>
          </cell>
          <cell r="E509">
            <v>12</v>
          </cell>
          <cell r="F509" t="str">
            <v>NC NUMERICABLE NANCY</v>
          </cell>
          <cell r="G509" t="str">
            <v>RACCORDEMENT IMMOB STC.</v>
          </cell>
          <cell r="H509" t="str">
            <v>JENCZAK</v>
          </cell>
          <cell r="I509" t="str">
            <v>ESTR302001</v>
          </cell>
          <cell r="J509">
            <v>100</v>
          </cell>
          <cell r="K509">
            <v>32482</v>
          </cell>
          <cell r="L509" t="str">
            <v>SUP. TECH. CLIENT</v>
          </cell>
          <cell r="M509" t="str">
            <v>TSM</v>
          </cell>
          <cell r="N509" t="str">
            <v>D</v>
          </cell>
          <cell r="O509" t="str">
            <v>CDI</v>
          </cell>
          <cell r="P509">
            <v>151.57</v>
          </cell>
          <cell r="Q509">
            <v>2415.92</v>
          </cell>
          <cell r="R509">
            <v>1386.33</v>
          </cell>
          <cell r="S509">
            <v>0</v>
          </cell>
          <cell r="T509">
            <v>0</v>
          </cell>
          <cell r="U509">
            <v>0</v>
          </cell>
          <cell r="V509">
            <v>0</v>
          </cell>
          <cell r="W509">
            <v>270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289.26</v>
          </cell>
          <cell r="AO509">
            <v>0</v>
          </cell>
          <cell r="AP509">
            <v>0</v>
          </cell>
          <cell r="AQ509">
            <v>2415.92</v>
          </cell>
          <cell r="AR509">
            <v>0</v>
          </cell>
          <cell r="AS509">
            <v>0</v>
          </cell>
          <cell r="AT509">
            <v>0</v>
          </cell>
          <cell r="AU509">
            <v>0</v>
          </cell>
        </row>
        <row r="510">
          <cell r="A510" t="str">
            <v>000A0906</v>
          </cell>
          <cell r="B510" t="str">
            <v>GUERIN</v>
          </cell>
          <cell r="C510" t="str">
            <v>STEPHANE</v>
          </cell>
          <cell r="D510" t="str">
            <v>SIEGE</v>
          </cell>
          <cell r="E510">
            <v>91</v>
          </cell>
          <cell r="F510" t="str">
            <v>NC NUMERICABLE ILE-DE-FRANCE</v>
          </cell>
          <cell r="G510" t="str">
            <v>COMPTABILITE</v>
          </cell>
          <cell r="H510" t="str">
            <v>SANCHEZ</v>
          </cell>
          <cell r="I510" t="str">
            <v>GENE701001</v>
          </cell>
          <cell r="J510">
            <v>100</v>
          </cell>
          <cell r="K510">
            <v>37102</v>
          </cell>
          <cell r="L510" t="str">
            <v>COMPTABLE.NIV.1</v>
          </cell>
          <cell r="M510" t="str">
            <v>EMPLOYE</v>
          </cell>
          <cell r="N510" t="str">
            <v>C</v>
          </cell>
          <cell r="O510" t="str">
            <v>CDI</v>
          </cell>
          <cell r="P510">
            <v>151.57</v>
          </cell>
          <cell r="Q510">
            <v>1681.52</v>
          </cell>
          <cell r="R510">
            <v>705.07</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182.11</v>
          </cell>
          <cell r="AO510">
            <v>38.68</v>
          </cell>
          <cell r="AP510">
            <v>0</v>
          </cell>
          <cell r="AQ510">
            <v>1603.92</v>
          </cell>
          <cell r="AR510">
            <v>0</v>
          </cell>
          <cell r="AS510">
            <v>0</v>
          </cell>
          <cell r="AT510">
            <v>0</v>
          </cell>
          <cell r="AU510">
            <v>0</v>
          </cell>
        </row>
        <row r="511">
          <cell r="A511" t="str">
            <v>000A0742</v>
          </cell>
          <cell r="B511" t="str">
            <v>DELCOURT</v>
          </cell>
          <cell r="C511" t="str">
            <v>IRENE</v>
          </cell>
          <cell r="D511" t="str">
            <v>SIEGE</v>
          </cell>
          <cell r="E511">
            <v>91</v>
          </cell>
          <cell r="F511" t="str">
            <v>NC NUMERICABLE ILE-DE-FRANCE</v>
          </cell>
          <cell r="G511" t="str">
            <v>DIRECTION RESS HUM</v>
          </cell>
          <cell r="H511" t="str">
            <v>LUCIANI</v>
          </cell>
          <cell r="I511" t="str">
            <v>GENE703001</v>
          </cell>
          <cell r="J511">
            <v>100</v>
          </cell>
          <cell r="K511">
            <v>36472</v>
          </cell>
          <cell r="L511" t="str">
            <v>RESP. FORMATION</v>
          </cell>
          <cell r="M511" t="str">
            <v>CADRE</v>
          </cell>
          <cell r="N511" t="str">
            <v>E</v>
          </cell>
          <cell r="O511" t="str">
            <v>CDI</v>
          </cell>
          <cell r="P511">
            <v>151.57</v>
          </cell>
          <cell r="Q511">
            <v>3847</v>
          </cell>
          <cell r="R511">
            <v>1917.91</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414.54</v>
          </cell>
          <cell r="AO511">
            <v>31.21</v>
          </cell>
          <cell r="AP511">
            <v>0</v>
          </cell>
          <cell r="AQ511">
            <v>3849.13</v>
          </cell>
          <cell r="AR511">
            <v>0</v>
          </cell>
          <cell r="AS511">
            <v>0</v>
          </cell>
          <cell r="AT511">
            <v>0</v>
          </cell>
          <cell r="AU511">
            <v>0</v>
          </cell>
        </row>
        <row r="512">
          <cell r="A512" t="str">
            <v>000A0943</v>
          </cell>
          <cell r="B512" t="str">
            <v>RABARISON</v>
          </cell>
          <cell r="C512" t="str">
            <v>YVON NDRIANA</v>
          </cell>
          <cell r="D512" t="str">
            <v>SIEGE</v>
          </cell>
          <cell r="E512">
            <v>91</v>
          </cell>
          <cell r="F512" t="str">
            <v>NC NUMERICABLE ILE-DE-FRANCE</v>
          </cell>
          <cell r="G512" t="str">
            <v>INFORMATIQUE</v>
          </cell>
          <cell r="H512" t="str">
            <v>BARLOT</v>
          </cell>
          <cell r="I512" t="str">
            <v>GENE620001</v>
          </cell>
          <cell r="J512">
            <v>100</v>
          </cell>
          <cell r="K512">
            <v>37424</v>
          </cell>
          <cell r="L512" t="str">
            <v>CHARGE(E) ETUDES  DVP</v>
          </cell>
          <cell r="M512" t="str">
            <v>CADRE</v>
          </cell>
          <cell r="N512" t="str">
            <v>E</v>
          </cell>
          <cell r="O512" t="str">
            <v>CDI</v>
          </cell>
          <cell r="P512">
            <v>151.57</v>
          </cell>
          <cell r="Q512">
            <v>2905</v>
          </cell>
          <cell r="R512">
            <v>1354.81</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313.41000000000003</v>
          </cell>
          <cell r="AO512">
            <v>31.21</v>
          </cell>
          <cell r="AP512">
            <v>0</v>
          </cell>
          <cell r="AQ512">
            <v>2703.92</v>
          </cell>
          <cell r="AR512">
            <v>0</v>
          </cell>
          <cell r="AS512">
            <v>0</v>
          </cell>
          <cell r="AT512">
            <v>0</v>
          </cell>
          <cell r="AU512">
            <v>0</v>
          </cell>
        </row>
        <row r="513">
          <cell r="A513">
            <v>692</v>
          </cell>
          <cell r="B513" t="str">
            <v>FARGEIX</v>
          </cell>
          <cell r="C513" t="str">
            <v>VINCENT</v>
          </cell>
          <cell r="D513" t="str">
            <v>EBOUE</v>
          </cell>
          <cell r="E513">
            <v>91</v>
          </cell>
          <cell r="F513" t="str">
            <v>NC NUMERICABLE ILE-DE-FRANCE</v>
          </cell>
          <cell r="G513" t="str">
            <v>MAINTENANCE RESEAU</v>
          </cell>
          <cell r="H513" t="str">
            <v>ROIRON</v>
          </cell>
          <cell r="I513" t="str">
            <v>GENE306001</v>
          </cell>
          <cell r="J513">
            <v>100</v>
          </cell>
          <cell r="K513">
            <v>33546</v>
          </cell>
          <cell r="L513" t="str">
            <v>CHEF GPE. TECH. EXP.</v>
          </cell>
          <cell r="M513" t="str">
            <v>CADRE</v>
          </cell>
          <cell r="N513" t="str">
            <v>DB</v>
          </cell>
          <cell r="O513" t="str">
            <v>CDI</v>
          </cell>
          <cell r="P513">
            <v>151.57</v>
          </cell>
          <cell r="Q513">
            <v>2464</v>
          </cell>
          <cell r="R513">
            <v>1556.44</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16.260000000000002</v>
          </cell>
          <cell r="AG513">
            <v>0</v>
          </cell>
          <cell r="AH513">
            <v>4.0599999999999996</v>
          </cell>
          <cell r="AI513">
            <v>0</v>
          </cell>
          <cell r="AJ513">
            <v>32.5</v>
          </cell>
          <cell r="AK513">
            <v>269</v>
          </cell>
          <cell r="AL513">
            <v>0</v>
          </cell>
          <cell r="AM513">
            <v>0</v>
          </cell>
          <cell r="AN513">
            <v>300.01</v>
          </cell>
          <cell r="AO513">
            <v>0</v>
          </cell>
          <cell r="AP513">
            <v>0</v>
          </cell>
          <cell r="AQ513">
            <v>2484.3200000000002</v>
          </cell>
          <cell r="AR513">
            <v>32.5</v>
          </cell>
          <cell r="AS513">
            <v>269</v>
          </cell>
          <cell r="AT513">
            <v>0</v>
          </cell>
          <cell r="AU513">
            <v>0</v>
          </cell>
        </row>
        <row r="514">
          <cell r="A514">
            <v>612</v>
          </cell>
          <cell r="B514" t="str">
            <v>PINTO</v>
          </cell>
          <cell r="C514" t="str">
            <v>LUIS</v>
          </cell>
          <cell r="D514" t="str">
            <v>EBOUE</v>
          </cell>
          <cell r="E514">
            <v>91</v>
          </cell>
          <cell r="F514" t="str">
            <v>NC NUMERICABLE ILE-DE-FRANCE</v>
          </cell>
          <cell r="G514" t="str">
            <v>MAINTENANCE RESEAU</v>
          </cell>
          <cell r="H514" t="str">
            <v>BAZOT</v>
          </cell>
          <cell r="I514" t="str">
            <v>IDFR300001</v>
          </cell>
          <cell r="J514">
            <v>100</v>
          </cell>
          <cell r="K514">
            <v>33497</v>
          </cell>
          <cell r="L514" t="str">
            <v>CHEF GPE. TECH. EXP.</v>
          </cell>
          <cell r="M514" t="str">
            <v>CADRE</v>
          </cell>
          <cell r="N514" t="str">
            <v>DB</v>
          </cell>
          <cell r="O514" t="str">
            <v>CDI</v>
          </cell>
          <cell r="P514">
            <v>151.57</v>
          </cell>
          <cell r="Q514">
            <v>2464</v>
          </cell>
          <cell r="R514">
            <v>1507.47</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178.83</v>
          </cell>
          <cell r="AG514">
            <v>0</v>
          </cell>
          <cell r="AH514">
            <v>44.7</v>
          </cell>
          <cell r="AI514">
            <v>0</v>
          </cell>
          <cell r="AJ514">
            <v>93.44</v>
          </cell>
          <cell r="AK514">
            <v>294</v>
          </cell>
          <cell r="AL514">
            <v>0</v>
          </cell>
          <cell r="AM514">
            <v>0</v>
          </cell>
          <cell r="AN514">
            <v>332.85</v>
          </cell>
          <cell r="AO514">
            <v>0</v>
          </cell>
          <cell r="AP514">
            <v>0</v>
          </cell>
          <cell r="AQ514">
            <v>2573.8200000000002</v>
          </cell>
          <cell r="AR514">
            <v>93.44</v>
          </cell>
          <cell r="AS514">
            <v>294</v>
          </cell>
          <cell r="AT514">
            <v>0</v>
          </cell>
          <cell r="AU514">
            <v>0</v>
          </cell>
        </row>
        <row r="515">
          <cell r="A515" t="str">
            <v>000A0960</v>
          </cell>
          <cell r="B515" t="str">
            <v>MAYA</v>
          </cell>
          <cell r="C515" t="str">
            <v>REDOUANE</v>
          </cell>
          <cell r="D515" t="str">
            <v>BORDEAUX</v>
          </cell>
          <cell r="E515">
            <v>91</v>
          </cell>
          <cell r="F515" t="str">
            <v>NC NUMERICABLE ILE-DE-FRANCE</v>
          </cell>
          <cell r="G515" t="str">
            <v>MAINTENANCE RESEAU</v>
          </cell>
          <cell r="H515" t="str">
            <v>BELFORT</v>
          </cell>
          <cell r="I515" t="str">
            <v>SUOU300001</v>
          </cell>
          <cell r="J515">
            <v>100</v>
          </cell>
          <cell r="K515">
            <v>37578</v>
          </cell>
          <cell r="L515" t="str">
            <v>TECH. EXP. NIV. 2</v>
          </cell>
          <cell r="M515" t="str">
            <v>TSM</v>
          </cell>
          <cell r="N515" t="str">
            <v>D</v>
          </cell>
          <cell r="O515" t="str">
            <v>CDI</v>
          </cell>
          <cell r="P515">
            <v>151.57</v>
          </cell>
          <cell r="Q515">
            <v>2160.6</v>
          </cell>
          <cell r="R515">
            <v>1283.97</v>
          </cell>
          <cell r="S515">
            <v>0</v>
          </cell>
          <cell r="T515">
            <v>236</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258.10000000000002</v>
          </cell>
          <cell r="AO515">
            <v>0</v>
          </cell>
          <cell r="AP515">
            <v>0</v>
          </cell>
          <cell r="AQ515">
            <v>2160.6</v>
          </cell>
          <cell r="AR515">
            <v>0</v>
          </cell>
          <cell r="AS515">
            <v>0</v>
          </cell>
          <cell r="AT515">
            <v>0</v>
          </cell>
          <cell r="AU515">
            <v>0</v>
          </cell>
        </row>
        <row r="516">
          <cell r="A516" t="str">
            <v>000A0914</v>
          </cell>
          <cell r="B516" t="str">
            <v>PERREAU</v>
          </cell>
          <cell r="C516" t="str">
            <v>BAPTISTE</v>
          </cell>
          <cell r="D516" t="str">
            <v>VANVES</v>
          </cell>
          <cell r="E516">
            <v>91</v>
          </cell>
          <cell r="F516" t="str">
            <v>NC NUMERICABLE ILE-DE-FRANCE</v>
          </cell>
          <cell r="G516" t="str">
            <v>NOC</v>
          </cell>
          <cell r="H516" t="str">
            <v>TABUTEAU</v>
          </cell>
          <cell r="I516" t="str">
            <v>GENE306001</v>
          </cell>
          <cell r="J516">
            <v>100</v>
          </cell>
          <cell r="K516">
            <v>37191</v>
          </cell>
          <cell r="L516" t="str">
            <v>TECH.SUPP.NIV.2</v>
          </cell>
          <cell r="M516" t="str">
            <v>TSM</v>
          </cell>
          <cell r="N516" t="str">
            <v>D</v>
          </cell>
          <cell r="O516" t="str">
            <v>CDI</v>
          </cell>
          <cell r="P516">
            <v>151.57</v>
          </cell>
          <cell r="Q516">
            <v>1622.93</v>
          </cell>
          <cell r="R516">
            <v>502.9</v>
          </cell>
          <cell r="S516">
            <v>0</v>
          </cell>
          <cell r="T516">
            <v>0</v>
          </cell>
          <cell r="U516">
            <v>0</v>
          </cell>
          <cell r="V516">
            <v>0</v>
          </cell>
          <cell r="W516">
            <v>0</v>
          </cell>
          <cell r="X516">
            <v>95</v>
          </cell>
          <cell r="Y516">
            <v>0</v>
          </cell>
          <cell r="Z516">
            <v>128</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218.23</v>
          </cell>
          <cell r="AO516">
            <v>23.61</v>
          </cell>
          <cell r="AP516">
            <v>0</v>
          </cell>
          <cell r="AQ516">
            <v>874</v>
          </cell>
          <cell r="AR516">
            <v>223</v>
          </cell>
          <cell r="AS516">
            <v>0</v>
          </cell>
          <cell r="AT516">
            <v>0</v>
          </cell>
          <cell r="AU516">
            <v>0</v>
          </cell>
        </row>
        <row r="517">
          <cell r="A517">
            <v>50643</v>
          </cell>
          <cell r="B517" t="str">
            <v>AVOT</v>
          </cell>
          <cell r="C517" t="str">
            <v>ISABELLE</v>
          </cell>
          <cell r="D517" t="str">
            <v>SIEGE</v>
          </cell>
          <cell r="E517">
            <v>91</v>
          </cell>
          <cell r="F517" t="str">
            <v>NC NUMERICABLE ILE-DE-FRANCE</v>
          </cell>
          <cell r="G517" t="str">
            <v>BOUTIQUE</v>
          </cell>
          <cell r="H517" t="str">
            <v>BEAURAIN</v>
          </cell>
          <cell r="I517" t="str">
            <v>IDFR520001</v>
          </cell>
          <cell r="J517">
            <v>100</v>
          </cell>
          <cell r="K517">
            <v>34274</v>
          </cell>
          <cell r="L517" t="str">
            <v>ASSIST. ADMINISTRAT.</v>
          </cell>
          <cell r="M517" t="str">
            <v>EMPLOYE</v>
          </cell>
          <cell r="N517" t="str">
            <v>C</v>
          </cell>
          <cell r="O517" t="str">
            <v>CDI</v>
          </cell>
          <cell r="P517">
            <v>151.57</v>
          </cell>
          <cell r="Q517">
            <v>1816.22</v>
          </cell>
          <cell r="R517">
            <v>881.37</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31.71</v>
          </cell>
          <cell r="AN517">
            <v>162.97999999999999</v>
          </cell>
          <cell r="AO517">
            <v>34.97</v>
          </cell>
          <cell r="AP517">
            <v>0</v>
          </cell>
          <cell r="AQ517">
            <v>1847.93</v>
          </cell>
          <cell r="AR517">
            <v>0</v>
          </cell>
          <cell r="AS517">
            <v>0</v>
          </cell>
          <cell r="AT517">
            <v>0</v>
          </cell>
          <cell r="AU517">
            <v>0</v>
          </cell>
        </row>
        <row r="518">
          <cell r="A518" t="str">
            <v>000A0909</v>
          </cell>
          <cell r="B518" t="str">
            <v>PERTUISOT</v>
          </cell>
          <cell r="C518" t="str">
            <v>ROBERT</v>
          </cell>
          <cell r="D518" t="str">
            <v>GUYANCOURT</v>
          </cell>
          <cell r="E518">
            <v>91</v>
          </cell>
          <cell r="F518" t="str">
            <v>NC NUMERICABLE ILE-DE-FRANCE</v>
          </cell>
          <cell r="G518" t="str">
            <v>BACK OFFICE</v>
          </cell>
          <cell r="I518" t="str">
            <v>GENE905001</v>
          </cell>
          <cell r="J518">
            <v>100</v>
          </cell>
          <cell r="K518">
            <v>37153</v>
          </cell>
          <cell r="L518" t="str">
            <v>CONSEILLER(E) CLT BOUTIQUE</v>
          </cell>
          <cell r="M518" t="str">
            <v>EMPLOYE</v>
          </cell>
          <cell r="N518" t="str">
            <v>C</v>
          </cell>
          <cell r="O518" t="str">
            <v>CDI</v>
          </cell>
          <cell r="P518">
            <v>151.57</v>
          </cell>
          <cell r="Q518">
            <v>1819.22</v>
          </cell>
          <cell r="R518">
            <v>-890.34</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3.76</v>
          </cell>
          <cell r="AN518">
            <v>195.91</v>
          </cell>
          <cell r="AO518">
            <v>27.37</v>
          </cell>
          <cell r="AP518">
            <v>0</v>
          </cell>
          <cell r="AQ518">
            <v>1819.22</v>
          </cell>
          <cell r="AR518">
            <v>0</v>
          </cell>
          <cell r="AS518">
            <v>0</v>
          </cell>
          <cell r="AT518">
            <v>0</v>
          </cell>
          <cell r="AU518">
            <v>0</v>
          </cell>
        </row>
        <row r="519">
          <cell r="A519" t="str">
            <v>000BB070</v>
          </cell>
          <cell r="B519" t="str">
            <v>RANDRIAMIHAMISON</v>
          </cell>
          <cell r="C519" t="str">
            <v>EDITH</v>
          </cell>
          <cell r="D519" t="str">
            <v>TOULOUSE</v>
          </cell>
          <cell r="E519">
            <v>91</v>
          </cell>
          <cell r="F519" t="str">
            <v>NC NUMERICABLE ILE-DE-FRANCE</v>
          </cell>
          <cell r="G519" t="str">
            <v>BOUTIQUE</v>
          </cell>
          <cell r="H519" t="str">
            <v>COMINARDI</v>
          </cell>
          <cell r="I519" t="str">
            <v>SUOU507001</v>
          </cell>
          <cell r="J519">
            <v>100</v>
          </cell>
          <cell r="K519">
            <v>33298</v>
          </cell>
          <cell r="L519" t="str">
            <v>RESPONSABLE BOUTIQUE</v>
          </cell>
          <cell r="M519" t="str">
            <v>CADRE</v>
          </cell>
          <cell r="N519" t="str">
            <v>DB</v>
          </cell>
          <cell r="O519" t="str">
            <v>CDI</v>
          </cell>
          <cell r="P519">
            <v>151.57</v>
          </cell>
          <cell r="Q519">
            <v>2099.5500000000002</v>
          </cell>
          <cell r="R519">
            <v>1395.08</v>
          </cell>
          <cell r="S519">
            <v>0</v>
          </cell>
          <cell r="T519">
            <v>681.7</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299.73</v>
          </cell>
          <cell r="AO519">
            <v>0</v>
          </cell>
          <cell r="AP519">
            <v>0</v>
          </cell>
          <cell r="AQ519">
            <v>2002.66</v>
          </cell>
          <cell r="AR519">
            <v>0</v>
          </cell>
          <cell r="AS519">
            <v>0</v>
          </cell>
          <cell r="AT519">
            <v>0</v>
          </cell>
          <cell r="AU519">
            <v>0</v>
          </cell>
        </row>
        <row r="520">
          <cell r="A520" t="str">
            <v>000BH002</v>
          </cell>
          <cell r="B520" t="str">
            <v>MAGOT</v>
          </cell>
          <cell r="C520" t="str">
            <v>JOELLE</v>
          </cell>
          <cell r="D520" t="str">
            <v>LYON CATN</v>
          </cell>
          <cell r="E520">
            <v>91</v>
          </cell>
          <cell r="F520" t="str">
            <v>NC NUMERICABLE ILE-DE-FRANCE</v>
          </cell>
          <cell r="G520" t="str">
            <v>CLIENTELE</v>
          </cell>
          <cell r="H520" t="str">
            <v>BAYARD</v>
          </cell>
          <cell r="I520" t="str">
            <v>CLIE420001</v>
          </cell>
          <cell r="J520">
            <v>100</v>
          </cell>
          <cell r="K520">
            <v>33330</v>
          </cell>
          <cell r="L520" t="str">
            <v>RESPONSABLE CLT</v>
          </cell>
          <cell r="M520" t="str">
            <v>CADRE</v>
          </cell>
          <cell r="N520" t="str">
            <v>E</v>
          </cell>
          <cell r="O520" t="str">
            <v>CDI</v>
          </cell>
          <cell r="P520">
            <v>151.57</v>
          </cell>
          <cell r="Q520">
            <v>2676</v>
          </cell>
          <cell r="R520">
            <v>1265.55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290.04000000000002</v>
          </cell>
          <cell r="AO520">
            <v>0</v>
          </cell>
          <cell r="AP520">
            <v>0</v>
          </cell>
          <cell r="AQ520">
            <v>2429.02</v>
          </cell>
          <cell r="AR520">
            <v>0</v>
          </cell>
          <cell r="AS520">
            <v>0</v>
          </cell>
          <cell r="AT520">
            <v>0</v>
          </cell>
          <cell r="AU520">
            <v>0</v>
          </cell>
        </row>
        <row r="521">
          <cell r="A521" t="str">
            <v>000F0105</v>
          </cell>
          <cell r="B521" t="str">
            <v>FAURE</v>
          </cell>
          <cell r="C521" t="str">
            <v>XAVIER</v>
          </cell>
          <cell r="D521" t="str">
            <v>LYON CATN</v>
          </cell>
          <cell r="E521">
            <v>91</v>
          </cell>
          <cell r="F521" t="str">
            <v>NC NUMERICABLE ILE-DE-FRANCE</v>
          </cell>
          <cell r="G521" t="str">
            <v>CLIENTELE</v>
          </cell>
          <cell r="H521" t="str">
            <v>CARET</v>
          </cell>
          <cell r="I521" t="str">
            <v>CLIE420001</v>
          </cell>
          <cell r="J521">
            <v>100</v>
          </cell>
          <cell r="K521">
            <v>33745</v>
          </cell>
          <cell r="L521" t="str">
            <v>RESP.TECH.CLIENTELE</v>
          </cell>
          <cell r="M521" t="str">
            <v>CADRE</v>
          </cell>
          <cell r="N521" t="str">
            <v>E</v>
          </cell>
          <cell r="O521" t="str">
            <v>CDI</v>
          </cell>
          <cell r="P521">
            <v>151.57</v>
          </cell>
          <cell r="Q521">
            <v>3439</v>
          </cell>
          <cell r="R521">
            <v>1615.25</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371.23</v>
          </cell>
          <cell r="AO521">
            <v>0</v>
          </cell>
          <cell r="AP521">
            <v>0</v>
          </cell>
          <cell r="AQ521">
            <v>3283.71</v>
          </cell>
          <cell r="AR521">
            <v>0</v>
          </cell>
          <cell r="AS521">
            <v>0</v>
          </cell>
          <cell r="AT521">
            <v>0</v>
          </cell>
          <cell r="AU521">
            <v>0</v>
          </cell>
        </row>
        <row r="522">
          <cell r="A522" t="str">
            <v>000A0761</v>
          </cell>
          <cell r="B522" t="str">
            <v>JEREMIAH</v>
          </cell>
          <cell r="C522" t="str">
            <v>PATRICK</v>
          </cell>
          <cell r="D522" t="str">
            <v>VANVES</v>
          </cell>
          <cell r="E522">
            <v>91</v>
          </cell>
          <cell r="F522" t="str">
            <v>NC NUMERICABLE ILE-DE-FRANCE</v>
          </cell>
          <cell r="G522" t="str">
            <v>NOC</v>
          </cell>
          <cell r="H522" t="str">
            <v>TABUTEAU</v>
          </cell>
          <cell r="I522" t="str">
            <v>GENE306001</v>
          </cell>
          <cell r="J522">
            <v>100</v>
          </cell>
          <cell r="K522">
            <v>36566</v>
          </cell>
          <cell r="L522" t="str">
            <v>CHEF GROUPE TECH. SUP.</v>
          </cell>
          <cell r="M522" t="str">
            <v>TSM</v>
          </cell>
          <cell r="N522" t="str">
            <v>D</v>
          </cell>
          <cell r="O522" t="str">
            <v>CDI</v>
          </cell>
          <cell r="P522">
            <v>151.57</v>
          </cell>
          <cell r="Q522">
            <v>1951.67</v>
          </cell>
          <cell r="R522">
            <v>962.99</v>
          </cell>
          <cell r="S522">
            <v>0</v>
          </cell>
          <cell r="T522">
            <v>0</v>
          </cell>
          <cell r="U522">
            <v>0</v>
          </cell>
          <cell r="V522">
            <v>0</v>
          </cell>
          <cell r="W522">
            <v>0</v>
          </cell>
          <cell r="X522">
            <v>95</v>
          </cell>
          <cell r="Y522">
            <v>0</v>
          </cell>
          <cell r="Z522">
            <v>192</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249.54</v>
          </cell>
          <cell r="AO522">
            <v>0</v>
          </cell>
          <cell r="AP522">
            <v>0</v>
          </cell>
          <cell r="AQ522">
            <v>1591.42</v>
          </cell>
          <cell r="AR522">
            <v>287</v>
          </cell>
          <cell r="AS522">
            <v>0</v>
          </cell>
          <cell r="AT522">
            <v>0</v>
          </cell>
          <cell r="AU522">
            <v>0</v>
          </cell>
        </row>
        <row r="523">
          <cell r="A523" t="str">
            <v>000BH054</v>
          </cell>
          <cell r="B523" t="str">
            <v>HSAINI</v>
          </cell>
          <cell r="C523" t="str">
            <v>MOHAMED ALI</v>
          </cell>
          <cell r="D523" t="str">
            <v>LYON GARIBALDI</v>
          </cell>
          <cell r="E523">
            <v>91</v>
          </cell>
          <cell r="F523" t="str">
            <v>NC NUMERICABLE ILE-DE-FRANCE</v>
          </cell>
          <cell r="G523" t="str">
            <v>VAD ANIMATEURS</v>
          </cell>
          <cell r="I523" t="str">
            <v>GENE905001</v>
          </cell>
          <cell r="J523">
            <v>100</v>
          </cell>
          <cell r="K523">
            <v>35503</v>
          </cell>
          <cell r="L523" t="str">
            <v>ANIMATEUR COM.</v>
          </cell>
          <cell r="M523" t="str">
            <v>CADRE</v>
          </cell>
          <cell r="N523" t="str">
            <v>DB</v>
          </cell>
          <cell r="O523" t="str">
            <v>CDI</v>
          </cell>
          <cell r="P523">
            <v>151.57</v>
          </cell>
          <cell r="Q523">
            <v>2100</v>
          </cell>
          <cell r="R523">
            <v>-0.78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1849.05</v>
          </cell>
          <cell r="AN523">
            <v>226.15</v>
          </cell>
          <cell r="AO523">
            <v>1849.05</v>
          </cell>
          <cell r="AP523">
            <v>0</v>
          </cell>
          <cell r="AQ523">
            <v>2100</v>
          </cell>
          <cell r="AR523">
            <v>0</v>
          </cell>
          <cell r="AS523">
            <v>0</v>
          </cell>
          <cell r="AT523">
            <v>0</v>
          </cell>
          <cell r="AU523">
            <v>0</v>
          </cell>
        </row>
        <row r="524">
          <cell r="A524" t="str">
            <v>000A0939</v>
          </cell>
          <cell r="B524" t="str">
            <v>BEN HADJ ALI</v>
          </cell>
          <cell r="C524" t="str">
            <v>ITAB</v>
          </cell>
          <cell r="D524" t="str">
            <v>EBOUE</v>
          </cell>
          <cell r="E524">
            <v>91</v>
          </cell>
          <cell r="F524" t="str">
            <v>NC NUMERICABLE ILE-DE-FRANCE</v>
          </cell>
          <cell r="G524" t="str">
            <v>TRAVAUX</v>
          </cell>
          <cell r="H524" t="str">
            <v>DUCHARNEUX</v>
          </cell>
          <cell r="I524" t="str">
            <v>IDFR300001</v>
          </cell>
          <cell r="J524">
            <v>100</v>
          </cell>
          <cell r="K524">
            <v>37382</v>
          </cell>
          <cell r="L524" t="str">
            <v>SUP. TECH. CLIENT</v>
          </cell>
          <cell r="M524" t="str">
            <v>TSM</v>
          </cell>
          <cell r="N524" t="str">
            <v>D</v>
          </cell>
          <cell r="O524" t="str">
            <v>CDI</v>
          </cell>
          <cell r="P524">
            <v>151.57</v>
          </cell>
          <cell r="Q524">
            <v>2158.65</v>
          </cell>
          <cell r="R524">
            <v>1222.74</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234.03</v>
          </cell>
          <cell r="AO524">
            <v>46.43</v>
          </cell>
          <cell r="AP524">
            <v>0</v>
          </cell>
          <cell r="AQ524">
            <v>2173.12</v>
          </cell>
          <cell r="AR524">
            <v>0</v>
          </cell>
          <cell r="AS524">
            <v>0</v>
          </cell>
          <cell r="AT524">
            <v>0</v>
          </cell>
          <cell r="AU524">
            <v>0</v>
          </cell>
        </row>
        <row r="525">
          <cell r="A525" t="str">
            <v>000A0862</v>
          </cell>
          <cell r="B525" t="str">
            <v>RUSIEWICZ</v>
          </cell>
          <cell r="C525" t="str">
            <v>BEATRICE</v>
          </cell>
          <cell r="D525" t="str">
            <v>LA MADELEINE</v>
          </cell>
          <cell r="E525">
            <v>91</v>
          </cell>
          <cell r="F525" t="str">
            <v>NC NUMERICABLE ILE-DE-FRANCE</v>
          </cell>
          <cell r="G525" t="str">
            <v>BOUTIQUE</v>
          </cell>
          <cell r="I525" t="str">
            <v>GENE905001</v>
          </cell>
          <cell r="J525">
            <v>100</v>
          </cell>
          <cell r="K525">
            <v>36892</v>
          </cell>
          <cell r="L525" t="str">
            <v>RESPONSABLE BOUTIQUE</v>
          </cell>
          <cell r="M525" t="str">
            <v>TSM</v>
          </cell>
          <cell r="N525" t="str">
            <v>D</v>
          </cell>
          <cell r="O525" t="str">
            <v>CDI</v>
          </cell>
          <cell r="P525">
            <v>151.57</v>
          </cell>
          <cell r="Q525">
            <v>1842</v>
          </cell>
          <cell r="R525">
            <v>-285.89</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-101.59</v>
          </cell>
          <cell r="AN525">
            <v>198.64</v>
          </cell>
          <cell r="AO525">
            <v>-104.08</v>
          </cell>
          <cell r="AP525">
            <v>-776.82</v>
          </cell>
          <cell r="AQ525">
            <v>1694.79</v>
          </cell>
          <cell r="AR525">
            <v>0</v>
          </cell>
          <cell r="AS525">
            <v>0</v>
          </cell>
          <cell r="AT525">
            <v>0</v>
          </cell>
          <cell r="AU525">
            <v>0</v>
          </cell>
        </row>
        <row r="526">
          <cell r="A526" t="str">
            <v>000BN046</v>
          </cell>
          <cell r="B526" t="str">
            <v>MANCHO</v>
          </cell>
          <cell r="C526" t="str">
            <v>GILLES</v>
          </cell>
          <cell r="D526" t="str">
            <v>LYON GARIBALDI</v>
          </cell>
          <cell r="E526">
            <v>66</v>
          </cell>
          <cell r="F526" t="str">
            <v>NC NUMERICABLE LYON</v>
          </cell>
          <cell r="G526" t="str">
            <v>TRAVAUX</v>
          </cell>
          <cell r="H526" t="str">
            <v>MISSIAEN</v>
          </cell>
          <cell r="I526" t="str">
            <v>RHON300001</v>
          </cell>
          <cell r="J526">
            <v>100</v>
          </cell>
          <cell r="K526">
            <v>36563</v>
          </cell>
          <cell r="L526" t="str">
            <v>SUP. TECH. CLIENT</v>
          </cell>
          <cell r="M526" t="str">
            <v>TSM</v>
          </cell>
          <cell r="N526" t="str">
            <v>D</v>
          </cell>
          <cell r="O526" t="str">
            <v>CDI</v>
          </cell>
          <cell r="P526">
            <v>151.57</v>
          </cell>
          <cell r="Q526">
            <v>1896.5</v>
          </cell>
          <cell r="R526">
            <v>993.02</v>
          </cell>
          <cell r="S526">
            <v>247.18</v>
          </cell>
          <cell r="T526">
            <v>119.79</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249.32</v>
          </cell>
          <cell r="AO526">
            <v>0</v>
          </cell>
          <cell r="AP526">
            <v>0</v>
          </cell>
          <cell r="AQ526">
            <v>1905.8</v>
          </cell>
          <cell r="AR526">
            <v>0</v>
          </cell>
          <cell r="AS526">
            <v>0</v>
          </cell>
          <cell r="AT526">
            <v>0</v>
          </cell>
          <cell r="AU526">
            <v>0</v>
          </cell>
        </row>
        <row r="527">
          <cell r="A527" t="str">
            <v>000A1407</v>
          </cell>
          <cell r="B527" t="str">
            <v>JOURGEON</v>
          </cell>
          <cell r="C527" t="str">
            <v>MARIE HELENE</v>
          </cell>
          <cell r="D527" t="str">
            <v>LYON CATN</v>
          </cell>
          <cell r="E527">
            <v>61</v>
          </cell>
          <cell r="F527" t="str">
            <v>NC NUMERICABLE RHONES-ALPES</v>
          </cell>
          <cell r="G527" t="str">
            <v>CATN 2EME LIGNE</v>
          </cell>
          <cell r="H527" t="str">
            <v>BAYARD</v>
          </cell>
          <cell r="I527" t="str">
            <v>CLIE410001</v>
          </cell>
          <cell r="J527">
            <v>100</v>
          </cell>
          <cell r="K527">
            <v>38733</v>
          </cell>
          <cell r="L527" t="str">
            <v>CHARGE(E)CLIENTELE</v>
          </cell>
          <cell r="M527" t="str">
            <v>EMPLOYE</v>
          </cell>
          <cell r="N527" t="str">
            <v>C</v>
          </cell>
          <cell r="O527" t="str">
            <v>CDD</v>
          </cell>
          <cell r="P527">
            <v>151.57</v>
          </cell>
          <cell r="Q527">
            <v>1870.67</v>
          </cell>
          <cell r="R527">
            <v>533.96</v>
          </cell>
          <cell r="S527">
            <v>0</v>
          </cell>
          <cell r="T527">
            <v>0</v>
          </cell>
          <cell r="U527">
            <v>0</v>
          </cell>
          <cell r="V527">
            <v>0</v>
          </cell>
          <cell r="W527">
            <v>155.44999999999999</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139.36000000000001</v>
          </cell>
          <cell r="AO527">
            <v>0</v>
          </cell>
          <cell r="AP527">
            <v>0</v>
          </cell>
          <cell r="AQ527">
            <v>1138.67</v>
          </cell>
          <cell r="AR527">
            <v>0</v>
          </cell>
          <cell r="AS527">
            <v>0</v>
          </cell>
          <cell r="AT527">
            <v>0</v>
          </cell>
          <cell r="AU527">
            <v>0</v>
          </cell>
        </row>
        <row r="528">
          <cell r="A528" t="str">
            <v>000A1458</v>
          </cell>
          <cell r="B528" t="str">
            <v>N'KEMI</v>
          </cell>
          <cell r="C528" t="str">
            <v>RHYDEL</v>
          </cell>
          <cell r="D528" t="str">
            <v>MONTPELLIER</v>
          </cell>
          <cell r="E528">
            <v>91</v>
          </cell>
          <cell r="F528" t="str">
            <v>NC NUMERICABLE ILE-DE-FRANCE</v>
          </cell>
          <cell r="G528" t="str">
            <v>VAD CONSEILLERS</v>
          </cell>
          <cell r="H528" t="str">
            <v>VIVIN</v>
          </cell>
          <cell r="I528" t="str">
            <v>SUES500001</v>
          </cell>
          <cell r="J528">
            <v>100</v>
          </cell>
          <cell r="K528">
            <v>38754</v>
          </cell>
          <cell r="L528" t="str">
            <v>CONSEILLER(E) COM.</v>
          </cell>
          <cell r="M528" t="str">
            <v>TSM</v>
          </cell>
          <cell r="N528" t="str">
            <v>D</v>
          </cell>
          <cell r="O528" t="str">
            <v>CDI</v>
          </cell>
          <cell r="P528">
            <v>151.57</v>
          </cell>
          <cell r="Q528">
            <v>1217.8800000000001</v>
          </cell>
          <cell r="R528">
            <v>604.87</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436.09</v>
          </cell>
          <cell r="AO528">
            <v>0</v>
          </cell>
          <cell r="AP528">
            <v>0</v>
          </cell>
          <cell r="AQ528">
            <v>1217.8800000000001</v>
          </cell>
          <cell r="AR528">
            <v>0</v>
          </cell>
          <cell r="AS528">
            <v>0</v>
          </cell>
          <cell r="AT528">
            <v>0</v>
          </cell>
          <cell r="AU528">
            <v>0</v>
          </cell>
        </row>
        <row r="529">
          <cell r="A529" t="str">
            <v>000A1376</v>
          </cell>
          <cell r="B529" t="str">
            <v>MFINA-MACOSSO</v>
          </cell>
          <cell r="C529" t="str">
            <v>CHRISTIE</v>
          </cell>
          <cell r="D529" t="str">
            <v>SIEGE</v>
          </cell>
          <cell r="E529">
            <v>91</v>
          </cell>
          <cell r="F529" t="str">
            <v>NC NUMERICABLE ILE-DE-FRANCE</v>
          </cell>
          <cell r="G529" t="str">
            <v>VAD CONSEILLERS</v>
          </cell>
          <cell r="H529" t="str">
            <v>ZERFAINE</v>
          </cell>
          <cell r="I529" t="str">
            <v>IDFR500001</v>
          </cell>
          <cell r="J529">
            <v>100</v>
          </cell>
          <cell r="K529">
            <v>38720</v>
          </cell>
          <cell r="L529" t="str">
            <v>CONSEILLER(E) COM.</v>
          </cell>
          <cell r="M529" t="str">
            <v>TSM</v>
          </cell>
          <cell r="N529" t="str">
            <v>D</v>
          </cell>
          <cell r="O529" t="str">
            <v>CDI</v>
          </cell>
          <cell r="P529">
            <v>151.57</v>
          </cell>
          <cell r="Q529">
            <v>1217.8800000000001</v>
          </cell>
          <cell r="R529">
            <v>1710.06</v>
          </cell>
          <cell r="S529">
            <v>0</v>
          </cell>
          <cell r="T529">
            <v>3320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488.7</v>
          </cell>
          <cell r="AO529">
            <v>0</v>
          </cell>
          <cell r="AP529">
            <v>0</v>
          </cell>
          <cell r="AQ529">
            <v>1217.8800000000001</v>
          </cell>
          <cell r="AR529">
            <v>0</v>
          </cell>
          <cell r="AS529">
            <v>0</v>
          </cell>
          <cell r="AT529">
            <v>0</v>
          </cell>
          <cell r="AU529">
            <v>0</v>
          </cell>
        </row>
        <row r="530">
          <cell r="A530" t="str">
            <v>000A1428</v>
          </cell>
          <cell r="B530" t="str">
            <v>CLATOT</v>
          </cell>
          <cell r="C530" t="str">
            <v>GREGORY</v>
          </cell>
          <cell r="D530" t="str">
            <v>NICE</v>
          </cell>
          <cell r="E530">
            <v>91</v>
          </cell>
          <cell r="F530" t="str">
            <v>NC NUMERICABLE ILE-DE-FRANCE</v>
          </cell>
          <cell r="G530" t="str">
            <v>VAD CONSEILLERS</v>
          </cell>
          <cell r="H530" t="str">
            <v>DEPREEUW</v>
          </cell>
          <cell r="I530" t="str">
            <v>SUES500001</v>
          </cell>
          <cell r="J530">
            <v>100</v>
          </cell>
          <cell r="K530">
            <v>38747</v>
          </cell>
          <cell r="L530" t="str">
            <v>CONSEILLER(E) COM.</v>
          </cell>
          <cell r="M530" t="str">
            <v>TSM</v>
          </cell>
          <cell r="N530" t="str">
            <v>D</v>
          </cell>
          <cell r="O530" t="str">
            <v>CDI</v>
          </cell>
          <cell r="P530">
            <v>151.57</v>
          </cell>
          <cell r="Q530">
            <v>1299.07</v>
          </cell>
          <cell r="R530">
            <v>445.05</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131.16</v>
          </cell>
          <cell r="AO530">
            <v>0</v>
          </cell>
          <cell r="AP530">
            <v>0</v>
          </cell>
          <cell r="AQ530">
            <v>1217.8800000000001</v>
          </cell>
          <cell r="AR530">
            <v>0</v>
          </cell>
          <cell r="AS530">
            <v>0</v>
          </cell>
          <cell r="AT530">
            <v>0</v>
          </cell>
          <cell r="AU530">
            <v>0</v>
          </cell>
        </row>
        <row r="531">
          <cell r="A531" t="str">
            <v>000A1744</v>
          </cell>
          <cell r="B531" t="str">
            <v>ZINGILE</v>
          </cell>
          <cell r="C531" t="str">
            <v>JEAN LUC</v>
          </cell>
          <cell r="D531" t="str">
            <v>SIEGE</v>
          </cell>
          <cell r="E531">
            <v>91</v>
          </cell>
          <cell r="F531" t="str">
            <v>NC NUMERICABLE ILE-DE-FRANCE</v>
          </cell>
          <cell r="G531" t="str">
            <v>VAD CONSEILLERS</v>
          </cell>
          <cell r="H531" t="str">
            <v>ZERFAINE</v>
          </cell>
          <cell r="I531" t="str">
            <v>IDFR500001</v>
          </cell>
          <cell r="J531">
            <v>100</v>
          </cell>
          <cell r="K531">
            <v>38825</v>
          </cell>
          <cell r="L531" t="str">
            <v>CONSEILLER(E) COM.</v>
          </cell>
          <cell r="M531" t="str">
            <v>TSM</v>
          </cell>
          <cell r="N531" t="str">
            <v>D</v>
          </cell>
          <cell r="O531" t="str">
            <v>CDI</v>
          </cell>
          <cell r="P531">
            <v>151.57</v>
          </cell>
          <cell r="Q531">
            <v>0</v>
          </cell>
          <cell r="R531">
            <v>173.86</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527.75</v>
          </cell>
          <cell r="AR531">
            <v>0</v>
          </cell>
          <cell r="AS531">
            <v>0</v>
          </cell>
          <cell r="AT531">
            <v>0</v>
          </cell>
          <cell r="AU531">
            <v>0</v>
          </cell>
        </row>
        <row r="532">
          <cell r="A532" t="str">
            <v>000A1454</v>
          </cell>
          <cell r="B532" t="str">
            <v>WADOWSKI</v>
          </cell>
          <cell r="C532" t="str">
            <v>CHRISTOPHE</v>
          </cell>
          <cell r="D532" t="str">
            <v>MARSEILLE</v>
          </cell>
          <cell r="E532">
            <v>91</v>
          </cell>
          <cell r="F532" t="str">
            <v>NC NUMERICABLE ILE-DE-FRANCE</v>
          </cell>
          <cell r="G532" t="str">
            <v>VAD CONSEILLERS</v>
          </cell>
          <cell r="H532" t="str">
            <v>VIVIN</v>
          </cell>
          <cell r="I532" t="str">
            <v>SUES500001</v>
          </cell>
          <cell r="J532">
            <v>100</v>
          </cell>
          <cell r="K532">
            <v>38754</v>
          </cell>
          <cell r="L532" t="str">
            <v>CONSEILLER(E) COM.</v>
          </cell>
          <cell r="M532" t="str">
            <v>TSM</v>
          </cell>
          <cell r="N532" t="str">
            <v>D</v>
          </cell>
          <cell r="O532" t="str">
            <v>CDI</v>
          </cell>
          <cell r="P532">
            <v>151.57</v>
          </cell>
          <cell r="Q532">
            <v>1217.8800000000001</v>
          </cell>
          <cell r="R532">
            <v>321.81</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358.72</v>
          </cell>
          <cell r="AO532">
            <v>0</v>
          </cell>
          <cell r="AP532">
            <v>0</v>
          </cell>
          <cell r="AQ532">
            <v>274.77999999999997</v>
          </cell>
          <cell r="AR532">
            <v>0</v>
          </cell>
          <cell r="AS532">
            <v>0</v>
          </cell>
          <cell r="AT532">
            <v>0</v>
          </cell>
          <cell r="AU532">
            <v>0</v>
          </cell>
        </row>
        <row r="533">
          <cell r="A533" t="str">
            <v>000A1198</v>
          </cell>
          <cell r="B533" t="str">
            <v>OBENSON CHAMBON</v>
          </cell>
          <cell r="C533" t="str">
            <v>MIKAEL</v>
          </cell>
          <cell r="D533" t="str">
            <v>LYON GARIBALDI</v>
          </cell>
          <cell r="E533">
            <v>91</v>
          </cell>
          <cell r="F533" t="str">
            <v>NC NUMERICABLE ILE-DE-FRANCE</v>
          </cell>
          <cell r="G533" t="str">
            <v>VAD CONSEILLERS</v>
          </cell>
          <cell r="H533" t="str">
            <v>JAUNAY</v>
          </cell>
          <cell r="I533" t="str">
            <v>RHON500001</v>
          </cell>
          <cell r="J533">
            <v>100</v>
          </cell>
          <cell r="K533">
            <v>38651</v>
          </cell>
          <cell r="L533" t="str">
            <v>CONSEILLER(E) COM.</v>
          </cell>
          <cell r="M533" t="str">
            <v>TSM</v>
          </cell>
          <cell r="N533" t="str">
            <v>D</v>
          </cell>
          <cell r="O533" t="str">
            <v>CDI</v>
          </cell>
          <cell r="P533">
            <v>151.57</v>
          </cell>
          <cell r="Q533">
            <v>1217.8800000000001</v>
          </cell>
          <cell r="R533">
            <v>1855.86</v>
          </cell>
          <cell r="S533">
            <v>0</v>
          </cell>
          <cell r="T533">
            <v>3800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540.39</v>
          </cell>
          <cell r="AO533">
            <v>0</v>
          </cell>
          <cell r="AP533">
            <v>0</v>
          </cell>
          <cell r="AQ533">
            <v>1217.8800000000001</v>
          </cell>
          <cell r="AR533">
            <v>0</v>
          </cell>
          <cell r="AS533">
            <v>0</v>
          </cell>
          <cell r="AT533">
            <v>0</v>
          </cell>
          <cell r="AU533">
            <v>0</v>
          </cell>
        </row>
        <row r="534">
          <cell r="A534" t="str">
            <v>000A1436</v>
          </cell>
          <cell r="B534" t="str">
            <v>BOYER</v>
          </cell>
          <cell r="C534" t="str">
            <v>JULIEN</v>
          </cell>
          <cell r="D534" t="str">
            <v>SAINT ETIENNE</v>
          </cell>
          <cell r="E534">
            <v>91</v>
          </cell>
          <cell r="F534" t="str">
            <v>NC NUMERICABLE ILE-DE-FRANCE</v>
          </cell>
          <cell r="G534" t="str">
            <v>VAD CONSEILLERS</v>
          </cell>
          <cell r="H534" t="str">
            <v>KUDONOO</v>
          </cell>
          <cell r="I534" t="str">
            <v>RHON500001</v>
          </cell>
          <cell r="J534">
            <v>100</v>
          </cell>
          <cell r="K534">
            <v>38740</v>
          </cell>
          <cell r="L534" t="str">
            <v>CONSEILLER(E) COM.</v>
          </cell>
          <cell r="M534" t="str">
            <v>TSM</v>
          </cell>
          <cell r="N534" t="str">
            <v>D</v>
          </cell>
          <cell r="O534" t="str">
            <v>CDI</v>
          </cell>
          <cell r="P534">
            <v>151.57</v>
          </cell>
          <cell r="Q534">
            <v>1583.24</v>
          </cell>
          <cell r="R534">
            <v>-46.53</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62.9</v>
          </cell>
          <cell r="AO534">
            <v>0</v>
          </cell>
          <cell r="AP534">
            <v>0</v>
          </cell>
          <cell r="AQ534">
            <v>-227.97</v>
          </cell>
          <cell r="AR534">
            <v>0</v>
          </cell>
          <cell r="AS534">
            <v>0</v>
          </cell>
          <cell r="AT534">
            <v>0</v>
          </cell>
          <cell r="AU534">
            <v>0</v>
          </cell>
        </row>
        <row r="535">
          <cell r="A535" t="str">
            <v>000A1571</v>
          </cell>
          <cell r="B535" t="str">
            <v>PICHARD</v>
          </cell>
          <cell r="C535" t="str">
            <v>MATHIEU</v>
          </cell>
          <cell r="D535" t="str">
            <v>BORDEAUX</v>
          </cell>
          <cell r="E535">
            <v>91</v>
          </cell>
          <cell r="F535" t="str">
            <v>NC NUMERICABLE ILE-DE-FRANCE</v>
          </cell>
          <cell r="G535" t="str">
            <v>VAD CONSEILLERS</v>
          </cell>
          <cell r="H535" t="str">
            <v>GALERA</v>
          </cell>
          <cell r="I535" t="str">
            <v>SUOU500001</v>
          </cell>
          <cell r="J535">
            <v>100</v>
          </cell>
          <cell r="K535">
            <v>38768</v>
          </cell>
          <cell r="L535" t="str">
            <v>CONSEILLER(E) COM.</v>
          </cell>
          <cell r="M535" t="str">
            <v>TSM</v>
          </cell>
          <cell r="N535" t="str">
            <v>D</v>
          </cell>
          <cell r="O535" t="str">
            <v>CDI</v>
          </cell>
          <cell r="P535">
            <v>151.57</v>
          </cell>
          <cell r="Q535">
            <v>0</v>
          </cell>
          <cell r="R535">
            <v>542.17999999999995</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322.52</v>
          </cell>
          <cell r="AO535">
            <v>0</v>
          </cell>
          <cell r="AP535">
            <v>0</v>
          </cell>
          <cell r="AQ535">
            <v>1217.8800000000001</v>
          </cell>
          <cell r="AR535">
            <v>0</v>
          </cell>
          <cell r="AS535">
            <v>0</v>
          </cell>
          <cell r="AT535">
            <v>0</v>
          </cell>
          <cell r="AU535">
            <v>0</v>
          </cell>
        </row>
        <row r="536">
          <cell r="A536" t="str">
            <v>000A1258</v>
          </cell>
          <cell r="B536" t="str">
            <v>TREARD</v>
          </cell>
          <cell r="C536" t="str">
            <v>LUC</v>
          </cell>
          <cell r="D536" t="str">
            <v>VERSAILLES</v>
          </cell>
          <cell r="E536">
            <v>91</v>
          </cell>
          <cell r="F536" t="str">
            <v>NC NUMERICABLE ILE-DE-FRANCE</v>
          </cell>
          <cell r="G536" t="str">
            <v>VAD CONSEILLERS</v>
          </cell>
          <cell r="H536" t="str">
            <v>MAXIMIN-TARTARE</v>
          </cell>
          <cell r="I536" t="str">
            <v>IDFR500001</v>
          </cell>
          <cell r="J536">
            <v>100</v>
          </cell>
          <cell r="K536">
            <v>38670</v>
          </cell>
          <cell r="L536" t="str">
            <v>CONSEILLER(E) COM.</v>
          </cell>
          <cell r="M536" t="str">
            <v>TSM</v>
          </cell>
          <cell r="N536" t="str">
            <v>D</v>
          </cell>
          <cell r="O536" t="str">
            <v>CDI</v>
          </cell>
          <cell r="P536">
            <v>151.57</v>
          </cell>
          <cell r="Q536">
            <v>1217.8800000000001</v>
          </cell>
          <cell r="R536">
            <v>1378.73</v>
          </cell>
          <cell r="S536">
            <v>0</v>
          </cell>
          <cell r="T536">
            <v>2500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400.38</v>
          </cell>
          <cell r="AO536">
            <v>0</v>
          </cell>
          <cell r="AP536">
            <v>0</v>
          </cell>
          <cell r="AQ536">
            <v>1217.8800000000001</v>
          </cell>
          <cell r="AR536">
            <v>0</v>
          </cell>
          <cell r="AS536">
            <v>0</v>
          </cell>
          <cell r="AT536">
            <v>0</v>
          </cell>
          <cell r="AU536">
            <v>0</v>
          </cell>
        </row>
        <row r="537">
          <cell r="A537" t="str">
            <v>000A1434</v>
          </cell>
          <cell r="B537" t="str">
            <v>TESTA</v>
          </cell>
          <cell r="C537" t="str">
            <v>LAURENT</v>
          </cell>
          <cell r="D537" t="str">
            <v>NICE</v>
          </cell>
          <cell r="E537">
            <v>91</v>
          </cell>
          <cell r="F537" t="str">
            <v>NC NUMERICABLE ILE-DE-FRANCE</v>
          </cell>
          <cell r="G537" t="str">
            <v>VAD CONSEILLERS</v>
          </cell>
          <cell r="H537" t="str">
            <v>DEPREEUW</v>
          </cell>
          <cell r="I537" t="str">
            <v>SUES500001</v>
          </cell>
          <cell r="J537">
            <v>100</v>
          </cell>
          <cell r="K537">
            <v>38747</v>
          </cell>
          <cell r="L537" t="str">
            <v>CONSEILLER(E) COM.</v>
          </cell>
          <cell r="M537" t="str">
            <v>TSM</v>
          </cell>
          <cell r="N537" t="str">
            <v>D</v>
          </cell>
          <cell r="O537" t="str">
            <v>CDI</v>
          </cell>
          <cell r="P537">
            <v>151.57</v>
          </cell>
          <cell r="Q537">
            <v>1299.07</v>
          </cell>
          <cell r="R537">
            <v>448.22</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122.42</v>
          </cell>
          <cell r="AO537">
            <v>0</v>
          </cell>
          <cell r="AP537">
            <v>0</v>
          </cell>
          <cell r="AQ537">
            <v>1136.69</v>
          </cell>
          <cell r="AR537">
            <v>0</v>
          </cell>
          <cell r="AS537">
            <v>0</v>
          </cell>
          <cell r="AT537">
            <v>0</v>
          </cell>
          <cell r="AU537">
            <v>0</v>
          </cell>
        </row>
        <row r="538">
          <cell r="A538" t="str">
            <v>000A1676</v>
          </cell>
          <cell r="B538" t="str">
            <v>BAPTE</v>
          </cell>
          <cell r="C538" t="str">
            <v>JOEL</v>
          </cell>
          <cell r="D538" t="str">
            <v>SIEGE</v>
          </cell>
          <cell r="E538">
            <v>91</v>
          </cell>
          <cell r="F538" t="str">
            <v>NC NUMERICABLE ILE-DE-FRANCE</v>
          </cell>
          <cell r="G538" t="str">
            <v>VAD CONSEILLERS</v>
          </cell>
          <cell r="H538" t="str">
            <v>ZERFAINE</v>
          </cell>
          <cell r="I538" t="str">
            <v>IDFR500001</v>
          </cell>
          <cell r="J538">
            <v>100</v>
          </cell>
          <cell r="K538">
            <v>38796</v>
          </cell>
          <cell r="L538" t="str">
            <v>CONSEILLER(E) COM.</v>
          </cell>
          <cell r="M538" t="str">
            <v>TSM</v>
          </cell>
          <cell r="N538" t="str">
            <v>D</v>
          </cell>
          <cell r="O538" t="str">
            <v>CDI</v>
          </cell>
          <cell r="P538">
            <v>151.57</v>
          </cell>
          <cell r="Q538">
            <v>0</v>
          </cell>
          <cell r="R538">
            <v>415.86</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1664.44</v>
          </cell>
          <cell r="AR538">
            <v>0</v>
          </cell>
          <cell r="AS538">
            <v>0</v>
          </cell>
          <cell r="AT538">
            <v>0</v>
          </cell>
          <cell r="AU538">
            <v>0</v>
          </cell>
        </row>
        <row r="539">
          <cell r="A539" t="str">
            <v>000A1497</v>
          </cell>
          <cell r="B539" t="str">
            <v>SELBONNE</v>
          </cell>
          <cell r="C539" t="str">
            <v>CHARLY</v>
          </cell>
          <cell r="D539" t="str">
            <v>SIEGE</v>
          </cell>
          <cell r="E539">
            <v>91</v>
          </cell>
          <cell r="F539" t="str">
            <v>NC NUMERICABLE ILE-DE-FRANCE</v>
          </cell>
          <cell r="G539" t="str">
            <v>VAD CONSEILLERS</v>
          </cell>
          <cell r="H539" t="str">
            <v>ZERFAINE</v>
          </cell>
          <cell r="I539" t="str">
            <v>IDFR500001</v>
          </cell>
          <cell r="J539">
            <v>100</v>
          </cell>
          <cell r="K539">
            <v>38761</v>
          </cell>
          <cell r="L539" t="str">
            <v>CONSEILLER(E) COM.</v>
          </cell>
          <cell r="M539" t="str">
            <v>TSM</v>
          </cell>
          <cell r="N539" t="str">
            <v>D</v>
          </cell>
          <cell r="O539" t="str">
            <v>CDI</v>
          </cell>
          <cell r="P539">
            <v>151.57</v>
          </cell>
          <cell r="Q539">
            <v>1217.8800000000001</v>
          </cell>
          <cell r="R539">
            <v>1698.68</v>
          </cell>
          <cell r="S539">
            <v>0</v>
          </cell>
          <cell r="T539">
            <v>3080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672.7</v>
          </cell>
          <cell r="AO539">
            <v>0</v>
          </cell>
          <cell r="AP539">
            <v>0</v>
          </cell>
          <cell r="AQ539">
            <v>1217.8800000000001</v>
          </cell>
          <cell r="AR539">
            <v>0</v>
          </cell>
          <cell r="AS539">
            <v>0</v>
          </cell>
          <cell r="AT539">
            <v>0</v>
          </cell>
          <cell r="AU539">
            <v>0</v>
          </cell>
        </row>
        <row r="540">
          <cell r="A540" t="str">
            <v>000A1172</v>
          </cell>
          <cell r="B540" t="str">
            <v>IBRAHIMA</v>
          </cell>
          <cell r="C540" t="str">
            <v>SAID</v>
          </cell>
          <cell r="D540" t="str">
            <v>MARSEILLE</v>
          </cell>
          <cell r="E540">
            <v>91</v>
          </cell>
          <cell r="F540" t="str">
            <v>NC NUMERICABLE ILE-DE-FRANCE</v>
          </cell>
          <cell r="G540" t="str">
            <v>VAD CONSEILLERS</v>
          </cell>
          <cell r="H540" t="str">
            <v>BELKHIR</v>
          </cell>
          <cell r="I540" t="str">
            <v>SUES500001</v>
          </cell>
          <cell r="J540">
            <v>100</v>
          </cell>
          <cell r="K540">
            <v>38649</v>
          </cell>
          <cell r="L540" t="str">
            <v>CONSEILLER(E) COM.</v>
          </cell>
          <cell r="M540" t="str">
            <v>TSM</v>
          </cell>
          <cell r="N540" t="str">
            <v>D</v>
          </cell>
          <cell r="O540" t="str">
            <v>CDI</v>
          </cell>
          <cell r="P540">
            <v>151.57</v>
          </cell>
          <cell r="Q540">
            <v>1217.8800000000001</v>
          </cell>
          <cell r="R540">
            <v>774.75</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131.16</v>
          </cell>
          <cell r="AO540">
            <v>0</v>
          </cell>
          <cell r="AP540">
            <v>0</v>
          </cell>
          <cell r="AQ540">
            <v>1217.8800000000001</v>
          </cell>
          <cell r="AR540">
            <v>0</v>
          </cell>
          <cell r="AS540">
            <v>0</v>
          </cell>
          <cell r="AT540">
            <v>0</v>
          </cell>
          <cell r="AU540">
            <v>0</v>
          </cell>
        </row>
        <row r="541">
          <cell r="A541" t="str">
            <v>000A1704</v>
          </cell>
          <cell r="B541" t="str">
            <v>DJAROUDI</v>
          </cell>
          <cell r="C541" t="str">
            <v>WADY</v>
          </cell>
          <cell r="D541" t="str">
            <v>GRENOBLE</v>
          </cell>
          <cell r="E541">
            <v>91</v>
          </cell>
          <cell r="F541" t="str">
            <v>NC NUMERICABLE ILE-DE-FRANCE</v>
          </cell>
          <cell r="G541" t="str">
            <v>VAD CONSEILLERS</v>
          </cell>
          <cell r="H541" t="str">
            <v>DONT</v>
          </cell>
          <cell r="I541" t="str">
            <v>RHON500001</v>
          </cell>
          <cell r="J541">
            <v>100</v>
          </cell>
          <cell r="K541">
            <v>38777</v>
          </cell>
          <cell r="L541" t="str">
            <v>CONSEILLER(E) COM.</v>
          </cell>
          <cell r="M541" t="str">
            <v>TSM</v>
          </cell>
          <cell r="N541" t="str">
            <v>D</v>
          </cell>
          <cell r="O541" t="str">
            <v>CDI</v>
          </cell>
          <cell r="P541">
            <v>151.57</v>
          </cell>
          <cell r="Q541">
            <v>0</v>
          </cell>
          <cell r="R541">
            <v>2759.13</v>
          </cell>
          <cell r="S541">
            <v>0</v>
          </cell>
          <cell r="T541">
            <v>4440.22</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740.49</v>
          </cell>
          <cell r="AO541">
            <v>0</v>
          </cell>
          <cell r="AP541">
            <v>0</v>
          </cell>
          <cell r="AQ541">
            <v>2435.7600000000002</v>
          </cell>
          <cell r="AR541">
            <v>0</v>
          </cell>
          <cell r="AS541">
            <v>0</v>
          </cell>
          <cell r="AT541">
            <v>0</v>
          </cell>
          <cell r="AU541">
            <v>0</v>
          </cell>
        </row>
        <row r="542">
          <cell r="A542" t="str">
            <v>000A1707</v>
          </cell>
          <cell r="B542" t="str">
            <v>GILLIBERT DUPLANTIER</v>
          </cell>
          <cell r="C542" t="str">
            <v>ALEXANDRE</v>
          </cell>
          <cell r="D542" t="str">
            <v>ANGOULEME</v>
          </cell>
          <cell r="E542">
            <v>91</v>
          </cell>
          <cell r="F542" t="str">
            <v>NC NUMERICABLE ILE-DE-FRANCE</v>
          </cell>
          <cell r="G542" t="str">
            <v>VAD CONSEILLERS</v>
          </cell>
          <cell r="H542" t="str">
            <v>COMINARDI</v>
          </cell>
          <cell r="I542" t="str">
            <v>SUOU500001</v>
          </cell>
          <cell r="J542">
            <v>100</v>
          </cell>
          <cell r="K542">
            <v>38831</v>
          </cell>
          <cell r="L542" t="str">
            <v>CONSEILLER(E) COM.</v>
          </cell>
          <cell r="M542" t="str">
            <v>TSM</v>
          </cell>
          <cell r="N542" t="str">
            <v>D</v>
          </cell>
          <cell r="O542" t="str">
            <v>CDI</v>
          </cell>
          <cell r="P542">
            <v>151.57</v>
          </cell>
          <cell r="Q542">
            <v>0</v>
          </cell>
          <cell r="R542">
            <v>123.34</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284.17</v>
          </cell>
          <cell r="AR542">
            <v>0</v>
          </cell>
          <cell r="AS542">
            <v>0</v>
          </cell>
          <cell r="AT542">
            <v>0</v>
          </cell>
          <cell r="AU542">
            <v>0</v>
          </cell>
        </row>
        <row r="543">
          <cell r="A543" t="str">
            <v>000A1186</v>
          </cell>
          <cell r="B543" t="str">
            <v>M'HARI</v>
          </cell>
          <cell r="C543" t="str">
            <v>ABDELOUAHAB</v>
          </cell>
          <cell r="D543" t="str">
            <v>SAINT QUENTIN EN YVE</v>
          </cell>
          <cell r="E543">
            <v>91</v>
          </cell>
          <cell r="F543" t="str">
            <v>NC NUMERICABLE ILE-DE-FRANCE</v>
          </cell>
          <cell r="G543" t="str">
            <v>BOUTIQUE</v>
          </cell>
          <cell r="H543" t="str">
            <v>ELIEZER-VANEROT</v>
          </cell>
          <cell r="I543" t="str">
            <v>IDFR507001</v>
          </cell>
          <cell r="J543">
            <v>100</v>
          </cell>
          <cell r="K543">
            <v>38649</v>
          </cell>
          <cell r="L543" t="str">
            <v>CONSEILLER(E) CLT BOUTIQUE</v>
          </cell>
          <cell r="M543" t="str">
            <v>EMPLOYE</v>
          </cell>
          <cell r="N543" t="str">
            <v>C</v>
          </cell>
          <cell r="O543" t="str">
            <v>CDI</v>
          </cell>
          <cell r="P543">
            <v>151.57</v>
          </cell>
          <cell r="Q543">
            <v>1371.86</v>
          </cell>
          <cell r="R543">
            <v>460.36</v>
          </cell>
          <cell r="S543">
            <v>0</v>
          </cell>
          <cell r="T543">
            <v>704</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216.35</v>
          </cell>
          <cell r="AO543">
            <v>0</v>
          </cell>
          <cell r="AP543">
            <v>0</v>
          </cell>
          <cell r="AQ543">
            <v>1305.06</v>
          </cell>
          <cell r="AR543">
            <v>0</v>
          </cell>
          <cell r="AS543">
            <v>0</v>
          </cell>
          <cell r="AT543">
            <v>0</v>
          </cell>
          <cell r="AU543">
            <v>0</v>
          </cell>
        </row>
        <row r="544">
          <cell r="A544" t="str">
            <v>000A0806</v>
          </cell>
          <cell r="B544" t="str">
            <v>LAVADOU</v>
          </cell>
          <cell r="C544" t="str">
            <v>JEROME</v>
          </cell>
          <cell r="D544" t="str">
            <v>SIEGE</v>
          </cell>
          <cell r="E544">
            <v>91</v>
          </cell>
          <cell r="F544" t="str">
            <v>NC NUMERICABLE ILE-DE-FRANCE</v>
          </cell>
          <cell r="G544" t="str">
            <v>TECHNIQUE</v>
          </cell>
          <cell r="H544" t="str">
            <v>TRUYENS</v>
          </cell>
          <cell r="I544" t="str">
            <v>GENE306001</v>
          </cell>
          <cell r="J544">
            <v>100</v>
          </cell>
          <cell r="K544">
            <v>36745</v>
          </cell>
          <cell r="L544" t="str">
            <v>RESP. TECH. SUPPORT</v>
          </cell>
          <cell r="M544" t="str">
            <v>CADRE</v>
          </cell>
          <cell r="N544" t="str">
            <v>E</v>
          </cell>
          <cell r="O544" t="str">
            <v>CDI</v>
          </cell>
          <cell r="P544">
            <v>151.57</v>
          </cell>
          <cell r="Q544">
            <v>3500</v>
          </cell>
          <cell r="R544">
            <v>1699.32</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376.91</v>
          </cell>
          <cell r="AO544">
            <v>31.21</v>
          </cell>
          <cell r="AP544">
            <v>0</v>
          </cell>
          <cell r="AQ544">
            <v>3419.24</v>
          </cell>
          <cell r="AR544">
            <v>0</v>
          </cell>
          <cell r="AS544">
            <v>0</v>
          </cell>
          <cell r="AT544">
            <v>0</v>
          </cell>
          <cell r="AU544">
            <v>0</v>
          </cell>
        </row>
        <row r="545">
          <cell r="A545" t="str">
            <v>000A0863</v>
          </cell>
          <cell r="B545" t="str">
            <v>SUMING</v>
          </cell>
          <cell r="C545" t="str">
            <v>FREDERIQUE</v>
          </cell>
          <cell r="D545" t="str">
            <v>SIEGE</v>
          </cell>
          <cell r="E545">
            <v>91</v>
          </cell>
          <cell r="F545" t="str">
            <v>NC NUMERICABLE ILE-DE-FRANCE</v>
          </cell>
          <cell r="G545" t="str">
            <v>MARKETING</v>
          </cell>
          <cell r="H545" t="str">
            <v>VINEL</v>
          </cell>
          <cell r="I545" t="str">
            <v>GENE546001</v>
          </cell>
          <cell r="J545">
            <v>100</v>
          </cell>
          <cell r="K545">
            <v>36895</v>
          </cell>
          <cell r="L545" t="str">
            <v>RESPONSABLE MARKETING</v>
          </cell>
          <cell r="M545" t="str">
            <v>CADRE</v>
          </cell>
          <cell r="N545" t="str">
            <v>F</v>
          </cell>
          <cell r="O545" t="str">
            <v>CDI</v>
          </cell>
          <cell r="P545">
            <v>151.57</v>
          </cell>
          <cell r="Q545">
            <v>5240</v>
          </cell>
          <cell r="R545">
            <v>3128.77</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777.13</v>
          </cell>
          <cell r="AO545">
            <v>23.61</v>
          </cell>
          <cell r="AP545">
            <v>0</v>
          </cell>
          <cell r="AQ545">
            <v>6290.89</v>
          </cell>
          <cell r="AR545">
            <v>0</v>
          </cell>
          <cell r="AS545">
            <v>0</v>
          </cell>
          <cell r="AT545">
            <v>0</v>
          </cell>
          <cell r="AU545">
            <v>0</v>
          </cell>
        </row>
        <row r="546">
          <cell r="A546" t="str">
            <v>000A0760</v>
          </cell>
          <cell r="B546" t="str">
            <v>HIDDEN</v>
          </cell>
          <cell r="C546" t="str">
            <v>BERNARD</v>
          </cell>
          <cell r="D546" t="str">
            <v>SIEGE</v>
          </cell>
          <cell r="E546">
            <v>91</v>
          </cell>
          <cell r="F546" t="str">
            <v>NC NUMERICABLE ILE-DE-FRANCE</v>
          </cell>
          <cell r="G546" t="str">
            <v>COMPTABILITE</v>
          </cell>
          <cell r="H546" t="str">
            <v>BARBERY</v>
          </cell>
          <cell r="I546" t="str">
            <v>GENE701001</v>
          </cell>
          <cell r="J546">
            <v>100</v>
          </cell>
          <cell r="K546">
            <v>36571</v>
          </cell>
          <cell r="L546" t="str">
            <v>RESP. GEST. NIV. 1</v>
          </cell>
          <cell r="M546" t="str">
            <v>CADRE</v>
          </cell>
          <cell r="N546" t="str">
            <v>E</v>
          </cell>
          <cell r="O546" t="str">
            <v>CDI</v>
          </cell>
          <cell r="P546">
            <v>151.57</v>
          </cell>
          <cell r="Q546">
            <v>2580</v>
          </cell>
          <cell r="R546">
            <v>1206.07</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281.02999999999997</v>
          </cell>
          <cell r="AO546">
            <v>23.61</v>
          </cell>
          <cell r="AP546">
            <v>0</v>
          </cell>
          <cell r="AQ546">
            <v>2222.8200000000002</v>
          </cell>
          <cell r="AR546">
            <v>0</v>
          </cell>
          <cell r="AS546">
            <v>0</v>
          </cell>
          <cell r="AT546">
            <v>0</v>
          </cell>
          <cell r="AU546">
            <v>0</v>
          </cell>
        </row>
        <row r="547">
          <cell r="A547" t="str">
            <v>000A971</v>
          </cell>
          <cell r="B547" t="str">
            <v>DUPONT</v>
          </cell>
          <cell r="C547" t="str">
            <v>SYLVIE</v>
          </cell>
          <cell r="D547" t="str">
            <v>SIEGE</v>
          </cell>
          <cell r="E547">
            <v>91</v>
          </cell>
          <cell r="F547" t="str">
            <v>NC NUMERICABLE ILE-DE-FRANCE</v>
          </cell>
          <cell r="G547" t="str">
            <v>DIRECTION GENERALE</v>
          </cell>
          <cell r="I547" t="str">
            <v>GENE905001</v>
          </cell>
          <cell r="J547">
            <v>100</v>
          </cell>
          <cell r="K547">
            <v>37711</v>
          </cell>
          <cell r="L547" t="str">
            <v>ATTACHE(E) DIRECT.</v>
          </cell>
          <cell r="M547" t="str">
            <v>CADRE</v>
          </cell>
          <cell r="N547" t="str">
            <v>E</v>
          </cell>
          <cell r="O547" t="str">
            <v>CDI</v>
          </cell>
          <cell r="P547">
            <v>151.57</v>
          </cell>
          <cell r="Q547">
            <v>2613</v>
          </cell>
          <cell r="R547">
            <v>369.08</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-282.57</v>
          </cell>
          <cell r="AN547">
            <v>281.39999999999998</v>
          </cell>
          <cell r="AO547">
            <v>-282.57</v>
          </cell>
          <cell r="AP547">
            <v>0</v>
          </cell>
          <cell r="AQ547">
            <v>2613</v>
          </cell>
          <cell r="AR547">
            <v>0</v>
          </cell>
          <cell r="AS547">
            <v>0</v>
          </cell>
          <cell r="AT547">
            <v>0</v>
          </cell>
          <cell r="AU547">
            <v>0</v>
          </cell>
        </row>
        <row r="548">
          <cell r="A548" t="str">
            <v>000A0917</v>
          </cell>
          <cell r="B548" t="str">
            <v>LOMBARDO</v>
          </cell>
          <cell r="C548" t="str">
            <v>OLIVIER</v>
          </cell>
          <cell r="D548" t="str">
            <v>EBOUE</v>
          </cell>
          <cell r="E548">
            <v>91</v>
          </cell>
          <cell r="F548" t="str">
            <v>NC NUMERICABLE ILE-DE-FRANCE</v>
          </cell>
          <cell r="G548" t="str">
            <v>TRAVAUX</v>
          </cell>
          <cell r="H548" t="str">
            <v>DUCHARNEUX</v>
          </cell>
          <cell r="I548" t="str">
            <v>IDFR300001</v>
          </cell>
          <cell r="J548">
            <v>100</v>
          </cell>
          <cell r="K548">
            <v>37288</v>
          </cell>
          <cell r="L548" t="str">
            <v>TECH. EXP. NIV. 2</v>
          </cell>
          <cell r="M548" t="str">
            <v>TSM</v>
          </cell>
          <cell r="N548" t="str">
            <v>D</v>
          </cell>
          <cell r="O548" t="str">
            <v>CDI</v>
          </cell>
          <cell r="P548">
            <v>151.57</v>
          </cell>
          <cell r="Q548">
            <v>1962.16</v>
          </cell>
          <cell r="R548">
            <v>731.2</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201.46</v>
          </cell>
          <cell r="AO548">
            <v>0</v>
          </cell>
          <cell r="AP548">
            <v>0</v>
          </cell>
          <cell r="AQ548">
            <v>1375.73</v>
          </cell>
          <cell r="AR548">
            <v>0</v>
          </cell>
          <cell r="AS548">
            <v>0</v>
          </cell>
          <cell r="AT548">
            <v>0</v>
          </cell>
          <cell r="AU548">
            <v>0</v>
          </cell>
        </row>
        <row r="549">
          <cell r="A549" t="str">
            <v>000A0974</v>
          </cell>
          <cell r="B549" t="str">
            <v>BRICOUT MAUGER</v>
          </cell>
          <cell r="C549" t="str">
            <v>STEPHANIE</v>
          </cell>
          <cell r="D549" t="str">
            <v>LA MADELEINE</v>
          </cell>
          <cell r="E549">
            <v>91</v>
          </cell>
          <cell r="F549" t="str">
            <v>NC NUMERICABLE ILE-DE-FRANCE</v>
          </cell>
          <cell r="G549" t="str">
            <v>VENTE</v>
          </cell>
          <cell r="I549" t="str">
            <v>GENE905001</v>
          </cell>
          <cell r="J549">
            <v>100</v>
          </cell>
          <cell r="K549">
            <v>37720</v>
          </cell>
          <cell r="L549" t="str">
            <v>CHEF PRODUIT JUNIOR</v>
          </cell>
          <cell r="M549" t="str">
            <v>CADRE</v>
          </cell>
          <cell r="N549" t="str">
            <v>DB</v>
          </cell>
          <cell r="O549" t="str">
            <v>CDI</v>
          </cell>
          <cell r="P549">
            <v>151.57</v>
          </cell>
          <cell r="Q549">
            <v>2725</v>
          </cell>
          <cell r="R549">
            <v>-549.24</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145.07</v>
          </cell>
          <cell r="AN549">
            <v>0</v>
          </cell>
          <cell r="AO549">
            <v>145.07</v>
          </cell>
          <cell r="AP549">
            <v>0</v>
          </cell>
          <cell r="AQ549">
            <v>2725</v>
          </cell>
          <cell r="AR549">
            <v>0</v>
          </cell>
          <cell r="AS549">
            <v>0</v>
          </cell>
          <cell r="AT549">
            <v>0</v>
          </cell>
          <cell r="AU549">
            <v>0</v>
          </cell>
        </row>
        <row r="550">
          <cell r="A550" t="str">
            <v>000A0941</v>
          </cell>
          <cell r="B550" t="str">
            <v>HABIB</v>
          </cell>
          <cell r="C550" t="str">
            <v>LAURENT</v>
          </cell>
          <cell r="D550" t="str">
            <v>VANVES</v>
          </cell>
          <cell r="E550">
            <v>91</v>
          </cell>
          <cell r="F550" t="str">
            <v>NC NUMERICABLE ILE-DE-FRANCE</v>
          </cell>
          <cell r="G550" t="str">
            <v>NMC ADMIN</v>
          </cell>
          <cell r="H550" t="str">
            <v>BLONDEAU</v>
          </cell>
          <cell r="I550" t="str">
            <v>GENE306001</v>
          </cell>
          <cell r="J550">
            <v>100</v>
          </cell>
          <cell r="K550">
            <v>37417</v>
          </cell>
          <cell r="L550" t="str">
            <v>RESP. TECH.TRAV.</v>
          </cell>
          <cell r="M550" t="str">
            <v>CADRE</v>
          </cell>
          <cell r="N550" t="str">
            <v>E</v>
          </cell>
          <cell r="O550" t="str">
            <v>CDI</v>
          </cell>
          <cell r="P550">
            <v>151.57</v>
          </cell>
          <cell r="Q550">
            <v>3089</v>
          </cell>
          <cell r="R550">
            <v>1285.92</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81.52</v>
          </cell>
          <cell r="AG550">
            <v>0</v>
          </cell>
          <cell r="AH550">
            <v>20.38</v>
          </cell>
          <cell r="AI550">
            <v>0</v>
          </cell>
          <cell r="AJ550">
            <v>71.33</v>
          </cell>
          <cell r="AK550">
            <v>438</v>
          </cell>
          <cell r="AL550">
            <v>0</v>
          </cell>
          <cell r="AM550">
            <v>0</v>
          </cell>
          <cell r="AN550">
            <v>424.84</v>
          </cell>
          <cell r="AO550">
            <v>38.68</v>
          </cell>
          <cell r="AP550">
            <v>0</v>
          </cell>
          <cell r="AQ550">
            <v>2050.52</v>
          </cell>
          <cell r="AR550">
            <v>71.33</v>
          </cell>
          <cell r="AS550">
            <v>438</v>
          </cell>
          <cell r="AT550">
            <v>0</v>
          </cell>
          <cell r="AU550">
            <v>0</v>
          </cell>
        </row>
        <row r="551">
          <cell r="A551" t="str">
            <v>000A0786</v>
          </cell>
          <cell r="B551" t="str">
            <v>SAINT SURIN</v>
          </cell>
          <cell r="C551" t="str">
            <v>JOELLE</v>
          </cell>
          <cell r="D551" t="str">
            <v>SIEGE</v>
          </cell>
          <cell r="E551">
            <v>91</v>
          </cell>
          <cell r="F551" t="str">
            <v>NC NUMERICABLE ILE-DE-FRANCE</v>
          </cell>
          <cell r="G551" t="str">
            <v>DIRECTION RESS HUM</v>
          </cell>
          <cell r="H551" t="str">
            <v>DUPERIER BENEDICTE</v>
          </cell>
          <cell r="I551" t="str">
            <v>GENE703001</v>
          </cell>
          <cell r="J551">
            <v>100</v>
          </cell>
          <cell r="K551">
            <v>36668</v>
          </cell>
          <cell r="L551" t="str">
            <v>ASS.  RES. HUMAINES NIV.1</v>
          </cell>
          <cell r="M551" t="str">
            <v>EMPLOYE</v>
          </cell>
          <cell r="N551" t="str">
            <v>C</v>
          </cell>
          <cell r="O551" t="str">
            <v>CDI</v>
          </cell>
          <cell r="P551">
            <v>151.57</v>
          </cell>
          <cell r="Q551">
            <v>2175</v>
          </cell>
          <cell r="R551">
            <v>972.91</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179.38</v>
          </cell>
          <cell r="AG551">
            <v>16.14</v>
          </cell>
          <cell r="AH551">
            <v>36.78</v>
          </cell>
          <cell r="AI551">
            <v>0</v>
          </cell>
          <cell r="AJ551">
            <v>0</v>
          </cell>
          <cell r="AK551">
            <v>0</v>
          </cell>
          <cell r="AL551">
            <v>0</v>
          </cell>
          <cell r="AM551">
            <v>0</v>
          </cell>
          <cell r="AN551">
            <v>259.24</v>
          </cell>
          <cell r="AO551">
            <v>38.68</v>
          </cell>
          <cell r="AP551">
            <v>0</v>
          </cell>
          <cell r="AQ551">
            <v>1905.45</v>
          </cell>
          <cell r="AR551">
            <v>0</v>
          </cell>
          <cell r="AS551">
            <v>0</v>
          </cell>
          <cell r="AT551">
            <v>0</v>
          </cell>
          <cell r="AU551">
            <v>0</v>
          </cell>
        </row>
        <row r="552">
          <cell r="A552" t="str">
            <v>000A1327</v>
          </cell>
          <cell r="B552" t="str">
            <v>AIT-OUARET</v>
          </cell>
          <cell r="C552" t="str">
            <v>NADIR</v>
          </cell>
          <cell r="D552" t="str">
            <v>TOURS</v>
          </cell>
          <cell r="E552">
            <v>91</v>
          </cell>
          <cell r="F552" t="str">
            <v>NC NUMERICABLE ILE-DE-FRANCE</v>
          </cell>
          <cell r="G552" t="str">
            <v>VAD ANIMATEURS</v>
          </cell>
          <cell r="H552" t="str">
            <v>JAUD</v>
          </cell>
          <cell r="I552" t="str">
            <v>OUES500001</v>
          </cell>
          <cell r="J552">
            <v>100</v>
          </cell>
          <cell r="K552">
            <v>38684</v>
          </cell>
          <cell r="L552" t="str">
            <v>ANIMATEUR COM.</v>
          </cell>
          <cell r="M552" t="str">
            <v>CADRE</v>
          </cell>
          <cell r="N552" t="str">
            <v>DB</v>
          </cell>
          <cell r="O552" t="str">
            <v>CDI</v>
          </cell>
          <cell r="P552">
            <v>151.57</v>
          </cell>
          <cell r="Q552">
            <v>1800</v>
          </cell>
          <cell r="R552">
            <v>1315.35</v>
          </cell>
          <cell r="S552">
            <v>0</v>
          </cell>
          <cell r="T552">
            <v>600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258.45999999999998</v>
          </cell>
          <cell r="AO552">
            <v>0</v>
          </cell>
          <cell r="AP552">
            <v>0</v>
          </cell>
          <cell r="AQ552">
            <v>1800</v>
          </cell>
          <cell r="AR552">
            <v>0</v>
          </cell>
          <cell r="AS552">
            <v>0</v>
          </cell>
          <cell r="AT552">
            <v>0</v>
          </cell>
          <cell r="AU552">
            <v>0</v>
          </cell>
        </row>
        <row r="553">
          <cell r="A553" t="str">
            <v>000A1179</v>
          </cell>
          <cell r="B553" t="str">
            <v>NIBOU</v>
          </cell>
          <cell r="C553" t="str">
            <v>HICHAM</v>
          </cell>
          <cell r="D553" t="str">
            <v>NANTES</v>
          </cell>
          <cell r="E553">
            <v>91</v>
          </cell>
          <cell r="F553" t="str">
            <v>NC NUMERICABLE ILE-DE-FRANCE</v>
          </cell>
          <cell r="G553" t="str">
            <v>VAD CONSEILLERS</v>
          </cell>
          <cell r="H553" t="str">
            <v>HOUGET</v>
          </cell>
          <cell r="I553" t="str">
            <v>OUES500001</v>
          </cell>
          <cell r="J553">
            <v>100</v>
          </cell>
          <cell r="K553">
            <v>38642</v>
          </cell>
          <cell r="L553" t="str">
            <v>CONSEILLER(E) COM.</v>
          </cell>
          <cell r="M553" t="str">
            <v>TSM</v>
          </cell>
          <cell r="N553" t="str">
            <v>D</v>
          </cell>
          <cell r="O553" t="str">
            <v>CDI</v>
          </cell>
          <cell r="P553">
            <v>151.57</v>
          </cell>
          <cell r="Q553">
            <v>1217.8800000000001</v>
          </cell>
          <cell r="R553">
            <v>2586.4</v>
          </cell>
          <cell r="S553">
            <v>0</v>
          </cell>
          <cell r="T553">
            <v>5950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771.93</v>
          </cell>
          <cell r="AO553">
            <v>0</v>
          </cell>
          <cell r="AP553">
            <v>0</v>
          </cell>
          <cell r="AQ553">
            <v>1217.8800000000001</v>
          </cell>
          <cell r="AR553">
            <v>0</v>
          </cell>
          <cell r="AS553">
            <v>0</v>
          </cell>
          <cell r="AT553">
            <v>0</v>
          </cell>
          <cell r="AU553">
            <v>0</v>
          </cell>
        </row>
        <row r="554">
          <cell r="A554" t="str">
            <v>000A1262</v>
          </cell>
          <cell r="B554" t="str">
            <v>MESDESIRS</v>
          </cell>
          <cell r="C554" t="str">
            <v>LUCIEN</v>
          </cell>
          <cell r="D554" t="str">
            <v>VERSAILLES</v>
          </cell>
          <cell r="E554">
            <v>91</v>
          </cell>
          <cell r="F554" t="str">
            <v>NC NUMERICABLE ILE-DE-FRANCE</v>
          </cell>
          <cell r="G554" t="str">
            <v>VAD CONSEILLERS</v>
          </cell>
          <cell r="H554" t="str">
            <v>YILDIZ</v>
          </cell>
          <cell r="I554" t="str">
            <v>IDFR500001</v>
          </cell>
          <cell r="J554">
            <v>100</v>
          </cell>
          <cell r="K554">
            <v>38670</v>
          </cell>
          <cell r="L554" t="str">
            <v>CONSEILLER(E) COM.</v>
          </cell>
          <cell r="M554" t="str">
            <v>TSM</v>
          </cell>
          <cell r="N554" t="str">
            <v>D</v>
          </cell>
          <cell r="O554" t="str">
            <v>CDI</v>
          </cell>
          <cell r="P554">
            <v>151.57</v>
          </cell>
          <cell r="Q554">
            <v>1217.8800000000001</v>
          </cell>
          <cell r="R554">
            <v>1473.29</v>
          </cell>
          <cell r="S554">
            <v>0</v>
          </cell>
          <cell r="T554">
            <v>2680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419.77</v>
          </cell>
          <cell r="AO554">
            <v>31.21</v>
          </cell>
          <cell r="AP554">
            <v>0</v>
          </cell>
          <cell r="AQ554">
            <v>1217.8800000000001</v>
          </cell>
          <cell r="AR554">
            <v>0</v>
          </cell>
          <cell r="AS554">
            <v>0</v>
          </cell>
          <cell r="AT554">
            <v>0</v>
          </cell>
          <cell r="AU554">
            <v>0</v>
          </cell>
        </row>
        <row r="555">
          <cell r="A555" t="str">
            <v>000A1443</v>
          </cell>
          <cell r="B555" t="str">
            <v>HENIN</v>
          </cell>
          <cell r="C555" t="str">
            <v>MATHIEU</v>
          </cell>
          <cell r="D555" t="str">
            <v>BORDEAUX</v>
          </cell>
          <cell r="E555">
            <v>91</v>
          </cell>
          <cell r="F555" t="str">
            <v>NC NUMERICABLE ILE-DE-FRANCE</v>
          </cell>
          <cell r="G555" t="str">
            <v>VAD CONSEILLERS</v>
          </cell>
          <cell r="H555" t="str">
            <v>FLAICHER</v>
          </cell>
          <cell r="I555" t="str">
            <v>SUOU500001</v>
          </cell>
          <cell r="J555">
            <v>100</v>
          </cell>
          <cell r="K555">
            <v>38747</v>
          </cell>
          <cell r="L555" t="str">
            <v>CONSEILLER(E) COM.</v>
          </cell>
          <cell r="M555" t="str">
            <v>TSM</v>
          </cell>
          <cell r="N555" t="str">
            <v>D</v>
          </cell>
          <cell r="O555" t="str">
            <v>CDI</v>
          </cell>
          <cell r="P555">
            <v>151.57</v>
          </cell>
          <cell r="Q555">
            <v>1299.07</v>
          </cell>
          <cell r="R555">
            <v>445.05</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131.16</v>
          </cell>
          <cell r="AO555">
            <v>0</v>
          </cell>
          <cell r="AP555">
            <v>0</v>
          </cell>
          <cell r="AQ555">
            <v>1217.8800000000001</v>
          </cell>
          <cell r="AR555">
            <v>0</v>
          </cell>
          <cell r="AS555">
            <v>0</v>
          </cell>
          <cell r="AT555">
            <v>0</v>
          </cell>
          <cell r="AU555">
            <v>0</v>
          </cell>
        </row>
        <row r="556">
          <cell r="A556" t="str">
            <v>000A1362</v>
          </cell>
          <cell r="B556" t="str">
            <v>DELILLE</v>
          </cell>
          <cell r="C556" t="str">
            <v>ARNAUD</v>
          </cell>
          <cell r="D556" t="str">
            <v>LA MADELEINE</v>
          </cell>
          <cell r="E556">
            <v>91</v>
          </cell>
          <cell r="F556" t="str">
            <v>NC NUMERICABLE ILE-DE-FRANCE</v>
          </cell>
          <cell r="G556" t="str">
            <v>VAD CONSEILLERS</v>
          </cell>
          <cell r="H556" t="str">
            <v>LESSCHAVE</v>
          </cell>
          <cell r="I556" t="str">
            <v>NPCA500001</v>
          </cell>
          <cell r="J556">
            <v>100</v>
          </cell>
          <cell r="K556">
            <v>38698</v>
          </cell>
          <cell r="L556" t="str">
            <v>CONSEILLER(E) COM.</v>
          </cell>
          <cell r="M556" t="str">
            <v>TSM</v>
          </cell>
          <cell r="N556" t="str">
            <v>D</v>
          </cell>
          <cell r="O556" t="str">
            <v>CDI</v>
          </cell>
          <cell r="P556">
            <v>151.57</v>
          </cell>
          <cell r="Q556">
            <v>1217.8800000000001</v>
          </cell>
          <cell r="R556">
            <v>2139.3000000000002</v>
          </cell>
          <cell r="S556">
            <v>0</v>
          </cell>
          <cell r="T556">
            <v>4575</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623.84</v>
          </cell>
          <cell r="AO556">
            <v>0</v>
          </cell>
          <cell r="AP556">
            <v>0</v>
          </cell>
          <cell r="AQ556">
            <v>1217.8800000000001</v>
          </cell>
          <cell r="AR556">
            <v>0</v>
          </cell>
          <cell r="AS556">
            <v>0</v>
          </cell>
          <cell r="AT556">
            <v>0</v>
          </cell>
          <cell r="AU556">
            <v>0</v>
          </cell>
        </row>
        <row r="557">
          <cell r="A557" t="str">
            <v>000A1665</v>
          </cell>
          <cell r="B557" t="str">
            <v>BOURGOIN</v>
          </cell>
          <cell r="C557" t="str">
            <v>ISMAEL</v>
          </cell>
          <cell r="D557" t="str">
            <v>VALENCE</v>
          </cell>
          <cell r="E557">
            <v>91</v>
          </cell>
          <cell r="F557" t="str">
            <v>NC NUMERICABLE ILE-DE-FRANCE</v>
          </cell>
          <cell r="G557" t="str">
            <v>VAD CONSEILLERS</v>
          </cell>
          <cell r="H557" t="str">
            <v>DONT</v>
          </cell>
          <cell r="I557" t="str">
            <v>RHON500001</v>
          </cell>
          <cell r="J557">
            <v>100</v>
          </cell>
          <cell r="K557">
            <v>38797</v>
          </cell>
          <cell r="L557" t="str">
            <v>CONSEILLER(E) COM.</v>
          </cell>
          <cell r="M557" t="str">
            <v>TSM</v>
          </cell>
          <cell r="N557" t="str">
            <v>D</v>
          </cell>
          <cell r="O557" t="str">
            <v>CDI</v>
          </cell>
          <cell r="P557">
            <v>151.57</v>
          </cell>
          <cell r="Q557">
            <v>0</v>
          </cell>
          <cell r="R557">
            <v>453.3</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1664.44</v>
          </cell>
          <cell r="AR557">
            <v>0</v>
          </cell>
          <cell r="AS557">
            <v>0</v>
          </cell>
          <cell r="AT557">
            <v>0</v>
          </cell>
          <cell r="AU557">
            <v>0</v>
          </cell>
        </row>
        <row r="558">
          <cell r="A558" t="str">
            <v>000A1730</v>
          </cell>
          <cell r="B558" t="str">
            <v>CHAACHA</v>
          </cell>
          <cell r="C558" t="str">
            <v>KHALID</v>
          </cell>
          <cell r="D558" t="str">
            <v>NANTES</v>
          </cell>
          <cell r="E558">
            <v>91</v>
          </cell>
          <cell r="F558" t="str">
            <v>NC NUMERICABLE ILE-DE-FRANCE</v>
          </cell>
          <cell r="G558" t="str">
            <v>VAD CONSEILLERS</v>
          </cell>
          <cell r="H558" t="str">
            <v>DONT</v>
          </cell>
          <cell r="I558" t="str">
            <v>RHON500001</v>
          </cell>
          <cell r="J558">
            <v>100</v>
          </cell>
          <cell r="K558">
            <v>38810</v>
          </cell>
          <cell r="L558" t="str">
            <v>CONSEILLER(E) COM.</v>
          </cell>
          <cell r="M558" t="str">
            <v>TSM</v>
          </cell>
          <cell r="N558" t="str">
            <v>D</v>
          </cell>
          <cell r="O558" t="str">
            <v>CDI</v>
          </cell>
          <cell r="P558">
            <v>151.57</v>
          </cell>
          <cell r="Q558">
            <v>0</v>
          </cell>
          <cell r="R558">
            <v>321.76</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1136.69</v>
          </cell>
          <cell r="AR558">
            <v>0</v>
          </cell>
          <cell r="AS558">
            <v>0</v>
          </cell>
          <cell r="AT558">
            <v>0</v>
          </cell>
          <cell r="AU558">
            <v>0</v>
          </cell>
        </row>
        <row r="559">
          <cell r="A559" t="str">
            <v>000A1184</v>
          </cell>
          <cell r="B559" t="str">
            <v>KUDONOO</v>
          </cell>
          <cell r="C559" t="str">
            <v>CHRISTIAN</v>
          </cell>
          <cell r="D559" t="str">
            <v>LYON GARIBALDI</v>
          </cell>
          <cell r="E559">
            <v>91</v>
          </cell>
          <cell r="F559" t="str">
            <v>NC NUMERICABLE ILE-DE-FRANCE</v>
          </cell>
          <cell r="G559" t="str">
            <v>VAD ANIMATEURS</v>
          </cell>
          <cell r="H559" t="str">
            <v>SILVESTRE</v>
          </cell>
          <cell r="I559" t="str">
            <v>RHON500001</v>
          </cell>
          <cell r="J559">
            <v>100</v>
          </cell>
          <cell r="K559">
            <v>38642</v>
          </cell>
          <cell r="L559" t="str">
            <v>ANIMATEUR COM.</v>
          </cell>
          <cell r="M559" t="str">
            <v>CADRE</v>
          </cell>
          <cell r="N559" t="str">
            <v>DB</v>
          </cell>
          <cell r="O559" t="str">
            <v>CDI</v>
          </cell>
          <cell r="P559">
            <v>151.57</v>
          </cell>
          <cell r="Q559">
            <v>1800</v>
          </cell>
          <cell r="R559">
            <v>1762.66</v>
          </cell>
          <cell r="S559">
            <v>0</v>
          </cell>
          <cell r="T559">
            <v>1500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355.38</v>
          </cell>
          <cell r="AO559">
            <v>0</v>
          </cell>
          <cell r="AP559">
            <v>0</v>
          </cell>
          <cell r="AQ559">
            <v>1800</v>
          </cell>
          <cell r="AR559">
            <v>0</v>
          </cell>
          <cell r="AS559">
            <v>0</v>
          </cell>
          <cell r="AT559">
            <v>0</v>
          </cell>
          <cell r="AU559">
            <v>0</v>
          </cell>
        </row>
        <row r="560">
          <cell r="A560" t="str">
            <v>000A1487</v>
          </cell>
          <cell r="B560" t="str">
            <v>ANCELIN</v>
          </cell>
          <cell r="C560" t="str">
            <v>STEPHANE</v>
          </cell>
          <cell r="D560" t="str">
            <v>BORDEAUX</v>
          </cell>
          <cell r="E560">
            <v>91</v>
          </cell>
          <cell r="F560" t="str">
            <v>NC NUMERICABLE ILE-DE-FRANCE</v>
          </cell>
          <cell r="G560" t="str">
            <v>VAD CONSEILLERS</v>
          </cell>
          <cell r="H560" t="str">
            <v>COMINARDI</v>
          </cell>
          <cell r="I560" t="str">
            <v>SUOU500001</v>
          </cell>
          <cell r="J560">
            <v>100</v>
          </cell>
          <cell r="K560">
            <v>38768</v>
          </cell>
          <cell r="L560" t="str">
            <v>CONSEILLER(E) COM.</v>
          </cell>
          <cell r="M560" t="str">
            <v>TSM</v>
          </cell>
          <cell r="N560" t="str">
            <v>D</v>
          </cell>
          <cell r="O560" t="str">
            <v>CDI</v>
          </cell>
          <cell r="P560">
            <v>151.57</v>
          </cell>
          <cell r="Q560">
            <v>1217.8800000000001</v>
          </cell>
          <cell r="R560">
            <v>265.70999999999998</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287.82</v>
          </cell>
          <cell r="AO560">
            <v>0</v>
          </cell>
          <cell r="AP560">
            <v>0</v>
          </cell>
          <cell r="AQ560">
            <v>218.58</v>
          </cell>
          <cell r="AR560">
            <v>0</v>
          </cell>
          <cell r="AS560">
            <v>0</v>
          </cell>
          <cell r="AT560">
            <v>0</v>
          </cell>
          <cell r="AU560">
            <v>0</v>
          </cell>
        </row>
        <row r="561">
          <cell r="A561" t="str">
            <v>000A1290</v>
          </cell>
          <cell r="B561" t="str">
            <v>CHIZALLET</v>
          </cell>
          <cell r="C561" t="str">
            <v>MARJORIE</v>
          </cell>
          <cell r="D561" t="str">
            <v>LYON CATN</v>
          </cell>
          <cell r="E561">
            <v>61</v>
          </cell>
          <cell r="F561" t="str">
            <v>NC NUMERICABLE RHONES-ALPES</v>
          </cell>
          <cell r="G561" t="str">
            <v>CATN 2EME LIGNE</v>
          </cell>
          <cell r="H561" t="str">
            <v>BAYARD</v>
          </cell>
          <cell r="I561" t="str">
            <v>CLIE411001</v>
          </cell>
          <cell r="J561">
            <v>100</v>
          </cell>
          <cell r="K561">
            <v>38691</v>
          </cell>
          <cell r="L561" t="str">
            <v>CHARGE(E)CLIENTELE</v>
          </cell>
          <cell r="M561" t="str">
            <v>EMPLOYE</v>
          </cell>
          <cell r="N561" t="str">
            <v>C</v>
          </cell>
          <cell r="O561" t="str">
            <v>CDD</v>
          </cell>
          <cell r="P561">
            <v>151.57</v>
          </cell>
          <cell r="Q561">
            <v>1220</v>
          </cell>
          <cell r="R561">
            <v>312.02</v>
          </cell>
          <cell r="S561">
            <v>0</v>
          </cell>
          <cell r="T561">
            <v>0</v>
          </cell>
          <cell r="U561">
            <v>0</v>
          </cell>
          <cell r="V561">
            <v>0</v>
          </cell>
          <cell r="W561">
            <v>702.78</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row>
        <row r="562">
          <cell r="A562" t="str">
            <v>000A1361</v>
          </cell>
          <cell r="B562" t="str">
            <v>MAYTESYAN</v>
          </cell>
          <cell r="C562" t="str">
            <v>SERGEY</v>
          </cell>
          <cell r="D562" t="str">
            <v>LA MADELEINE</v>
          </cell>
          <cell r="E562">
            <v>91</v>
          </cell>
          <cell r="F562" t="str">
            <v>NC NUMERICABLE ILE-DE-FRANCE</v>
          </cell>
          <cell r="G562" t="str">
            <v>VAD CONSEILLERS</v>
          </cell>
          <cell r="H562" t="str">
            <v>LESSCHAVE</v>
          </cell>
          <cell r="I562" t="str">
            <v>NPCA500001</v>
          </cell>
          <cell r="J562">
            <v>100</v>
          </cell>
          <cell r="K562">
            <v>38698</v>
          </cell>
          <cell r="L562" t="str">
            <v>CONSEILLER(E) COM.</v>
          </cell>
          <cell r="M562" t="str">
            <v>TSM</v>
          </cell>
          <cell r="N562" t="str">
            <v>D</v>
          </cell>
          <cell r="O562" t="str">
            <v>CDI</v>
          </cell>
          <cell r="P562">
            <v>151.57</v>
          </cell>
          <cell r="Q562">
            <v>1217.8800000000001</v>
          </cell>
          <cell r="R562">
            <v>1613.77</v>
          </cell>
          <cell r="S562">
            <v>0</v>
          </cell>
          <cell r="T562">
            <v>3060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460.69</v>
          </cell>
          <cell r="AO562">
            <v>0</v>
          </cell>
          <cell r="AP562">
            <v>0</v>
          </cell>
          <cell r="AQ562">
            <v>1217.8800000000001</v>
          </cell>
          <cell r="AR562">
            <v>0</v>
          </cell>
          <cell r="AS562">
            <v>0</v>
          </cell>
          <cell r="AT562">
            <v>0</v>
          </cell>
          <cell r="AU562">
            <v>0</v>
          </cell>
        </row>
        <row r="563">
          <cell r="A563" t="str">
            <v>000A1397</v>
          </cell>
          <cell r="B563" t="str">
            <v>TIMBA ELOMBO</v>
          </cell>
          <cell r="C563" t="str">
            <v>AURELIEN</v>
          </cell>
          <cell r="D563" t="str">
            <v>LYON GARIBALDI</v>
          </cell>
          <cell r="E563">
            <v>91</v>
          </cell>
          <cell r="F563" t="str">
            <v>NC NUMERICABLE ILE-DE-FRANCE</v>
          </cell>
          <cell r="G563" t="str">
            <v>VAD CONSEILLERS</v>
          </cell>
          <cell r="H563" t="str">
            <v>SILIKI</v>
          </cell>
          <cell r="I563" t="str">
            <v>RHON500001</v>
          </cell>
          <cell r="J563">
            <v>100</v>
          </cell>
          <cell r="K563">
            <v>38719</v>
          </cell>
          <cell r="L563" t="str">
            <v>CONSEILLER(E) COM.</v>
          </cell>
          <cell r="M563" t="str">
            <v>TSM</v>
          </cell>
          <cell r="N563" t="str">
            <v>D</v>
          </cell>
          <cell r="O563" t="str">
            <v>CDI</v>
          </cell>
          <cell r="P563">
            <v>151.57</v>
          </cell>
          <cell r="Q563">
            <v>1217.8800000000001</v>
          </cell>
          <cell r="R563">
            <v>1327.33</v>
          </cell>
          <cell r="S563">
            <v>0</v>
          </cell>
          <cell r="T563">
            <v>2240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372.39</v>
          </cell>
          <cell r="AO563">
            <v>0</v>
          </cell>
          <cell r="AP563">
            <v>0</v>
          </cell>
          <cell r="AQ563">
            <v>1217.8800000000001</v>
          </cell>
          <cell r="AR563">
            <v>0</v>
          </cell>
          <cell r="AS563">
            <v>0</v>
          </cell>
          <cell r="AT563">
            <v>0</v>
          </cell>
          <cell r="AU563">
            <v>0</v>
          </cell>
        </row>
        <row r="564">
          <cell r="A564" t="str">
            <v>000A1306</v>
          </cell>
          <cell r="B564" t="str">
            <v>BENABDELKADER</v>
          </cell>
          <cell r="C564" t="str">
            <v>DRISSIA</v>
          </cell>
          <cell r="D564" t="str">
            <v>MARSEILLE</v>
          </cell>
          <cell r="E564">
            <v>91</v>
          </cell>
          <cell r="F564" t="str">
            <v>NC NUMERICABLE ILE-DE-FRANCE</v>
          </cell>
          <cell r="G564" t="str">
            <v>VAD CONSEILLERS</v>
          </cell>
          <cell r="H564" t="str">
            <v>VIVIN</v>
          </cell>
          <cell r="I564" t="str">
            <v>SUES500001</v>
          </cell>
          <cell r="J564">
            <v>100</v>
          </cell>
          <cell r="K564">
            <v>38677</v>
          </cell>
          <cell r="L564" t="str">
            <v>CONSEILLER(E) COM.</v>
          </cell>
          <cell r="M564" t="str">
            <v>TSM</v>
          </cell>
          <cell r="N564" t="str">
            <v>D</v>
          </cell>
          <cell r="O564" t="str">
            <v>CDI</v>
          </cell>
          <cell r="P564">
            <v>151.57</v>
          </cell>
          <cell r="Q564">
            <v>1217.8800000000001</v>
          </cell>
          <cell r="R564">
            <v>670.78</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131.16</v>
          </cell>
          <cell r="AO564">
            <v>0</v>
          </cell>
          <cell r="AP564">
            <v>0</v>
          </cell>
          <cell r="AQ564">
            <v>1217.8800000000001</v>
          </cell>
          <cell r="AR564">
            <v>0</v>
          </cell>
          <cell r="AS564">
            <v>0</v>
          </cell>
          <cell r="AT564">
            <v>0</v>
          </cell>
          <cell r="AU564">
            <v>0</v>
          </cell>
        </row>
        <row r="565">
          <cell r="A565" t="str">
            <v>000A1246</v>
          </cell>
          <cell r="B565" t="str">
            <v>JUILLARD</v>
          </cell>
          <cell r="C565" t="str">
            <v>NATHALIE</v>
          </cell>
          <cell r="D565" t="str">
            <v>RENNES</v>
          </cell>
          <cell r="E565">
            <v>91</v>
          </cell>
          <cell r="F565" t="str">
            <v>NC NUMERICABLE ILE-DE-FRANCE</v>
          </cell>
          <cell r="G565" t="str">
            <v>VAD CONSEILLERS</v>
          </cell>
          <cell r="H565" t="str">
            <v>DIGUE</v>
          </cell>
          <cell r="I565" t="str">
            <v>OUES500001</v>
          </cell>
          <cell r="J565">
            <v>100</v>
          </cell>
          <cell r="K565">
            <v>38663</v>
          </cell>
          <cell r="L565" t="str">
            <v>CONSEILLER(E) COM.</v>
          </cell>
          <cell r="M565" t="str">
            <v>TSM</v>
          </cell>
          <cell r="N565" t="str">
            <v>D</v>
          </cell>
          <cell r="O565" t="str">
            <v>CDI</v>
          </cell>
          <cell r="P565">
            <v>151.57</v>
          </cell>
          <cell r="Q565">
            <v>1217.8800000000001</v>
          </cell>
          <cell r="R565">
            <v>-620.96</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-80.59</v>
          </cell>
          <cell r="AO565">
            <v>0</v>
          </cell>
          <cell r="AP565">
            <v>0</v>
          </cell>
          <cell r="AQ565">
            <v>-1217.8800000000001</v>
          </cell>
          <cell r="AR565">
            <v>0</v>
          </cell>
          <cell r="AS565">
            <v>0</v>
          </cell>
          <cell r="AT565">
            <v>0</v>
          </cell>
          <cell r="AU565">
            <v>0</v>
          </cell>
        </row>
        <row r="566">
          <cell r="A566" t="str">
            <v>000A1228</v>
          </cell>
          <cell r="B566" t="str">
            <v>MANGA MANGA</v>
          </cell>
          <cell r="C566" t="str">
            <v>BELMOND</v>
          </cell>
          <cell r="D566" t="str">
            <v>LYON GARIBALDI</v>
          </cell>
          <cell r="E566">
            <v>91</v>
          </cell>
          <cell r="F566" t="str">
            <v>NC NUMERICABLE ILE-DE-FRANCE</v>
          </cell>
          <cell r="G566" t="str">
            <v>VAD CONSEILLERS</v>
          </cell>
          <cell r="H566" t="str">
            <v>KUDONOO</v>
          </cell>
          <cell r="I566" t="str">
            <v>RHON500001</v>
          </cell>
          <cell r="J566">
            <v>100</v>
          </cell>
          <cell r="K566">
            <v>38651</v>
          </cell>
          <cell r="L566" t="str">
            <v>CONSEILLER(E) COM.</v>
          </cell>
          <cell r="M566" t="str">
            <v>TSM</v>
          </cell>
          <cell r="N566" t="str">
            <v>D</v>
          </cell>
          <cell r="O566" t="str">
            <v>CDI</v>
          </cell>
          <cell r="P566">
            <v>151.57</v>
          </cell>
          <cell r="Q566">
            <v>1217.8800000000001</v>
          </cell>
          <cell r="R566">
            <v>412.1</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131.15</v>
          </cell>
          <cell r="AO566">
            <v>0</v>
          </cell>
          <cell r="AP566">
            <v>0</v>
          </cell>
          <cell r="AQ566">
            <v>1217.8800000000001</v>
          </cell>
          <cell r="AR566">
            <v>0</v>
          </cell>
          <cell r="AS566">
            <v>0</v>
          </cell>
          <cell r="AT566">
            <v>0</v>
          </cell>
          <cell r="AU566">
            <v>0</v>
          </cell>
        </row>
        <row r="567">
          <cell r="A567" t="str">
            <v>000A1710</v>
          </cell>
          <cell r="B567" t="str">
            <v>MARTIN</v>
          </cell>
          <cell r="C567" t="str">
            <v>FRANCK</v>
          </cell>
          <cell r="D567" t="str">
            <v>LYON GARIBALDI</v>
          </cell>
          <cell r="E567">
            <v>91</v>
          </cell>
          <cell r="F567" t="str">
            <v>NC NUMERICABLE ILE-DE-FRANCE</v>
          </cell>
          <cell r="G567" t="str">
            <v>VAD CONSEILLERS</v>
          </cell>
          <cell r="H567" t="str">
            <v>DONT</v>
          </cell>
          <cell r="I567" t="str">
            <v>RHON500001</v>
          </cell>
          <cell r="J567">
            <v>100</v>
          </cell>
          <cell r="K567">
            <v>38817</v>
          </cell>
          <cell r="L567" t="str">
            <v>CONSEILLER(E) COM.</v>
          </cell>
          <cell r="M567" t="str">
            <v>TSM</v>
          </cell>
          <cell r="N567" t="str">
            <v>D</v>
          </cell>
          <cell r="O567" t="str">
            <v>CDI</v>
          </cell>
          <cell r="P567">
            <v>151.57</v>
          </cell>
          <cell r="Q567">
            <v>0</v>
          </cell>
          <cell r="R567">
            <v>240.15</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852.52</v>
          </cell>
          <cell r="AR567">
            <v>0</v>
          </cell>
          <cell r="AS567">
            <v>0</v>
          </cell>
          <cell r="AT567">
            <v>0</v>
          </cell>
          <cell r="AU567">
            <v>0</v>
          </cell>
        </row>
        <row r="568">
          <cell r="A568" t="str">
            <v>000BB198</v>
          </cell>
          <cell r="B568" t="str">
            <v>BERCHOUX</v>
          </cell>
          <cell r="C568" t="str">
            <v>DAVID</v>
          </cell>
          <cell r="D568" t="str">
            <v>LYON GARIBALDI</v>
          </cell>
          <cell r="E568">
            <v>91</v>
          </cell>
          <cell r="F568" t="str">
            <v>NC NUMERICABLE ILE-DE-FRANCE</v>
          </cell>
          <cell r="G568" t="str">
            <v>COLLECTIF</v>
          </cell>
          <cell r="H568" t="str">
            <v>MORCRETTE</v>
          </cell>
          <cell r="I568" t="str">
            <v>RHON510001</v>
          </cell>
          <cell r="J568">
            <v>100</v>
          </cell>
          <cell r="K568">
            <v>34960</v>
          </cell>
          <cell r="L568" t="str">
            <v>ATTACHE COMMERCIAL</v>
          </cell>
          <cell r="M568" t="str">
            <v>CADRE</v>
          </cell>
          <cell r="N568" t="str">
            <v>DB</v>
          </cell>
          <cell r="O568" t="str">
            <v>CDI</v>
          </cell>
          <cell r="P568">
            <v>151.57</v>
          </cell>
          <cell r="Q568">
            <v>2050.39</v>
          </cell>
          <cell r="R568">
            <v>2570.9899999999998</v>
          </cell>
          <cell r="S568">
            <v>0</v>
          </cell>
          <cell r="T568">
            <v>1500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556.66</v>
          </cell>
          <cell r="AO568">
            <v>0</v>
          </cell>
          <cell r="AP568">
            <v>0</v>
          </cell>
          <cell r="AQ568">
            <v>3496.05</v>
          </cell>
          <cell r="AR568">
            <v>0</v>
          </cell>
          <cell r="AS568">
            <v>0</v>
          </cell>
          <cell r="AT568">
            <v>0</v>
          </cell>
          <cell r="AU568">
            <v>0</v>
          </cell>
        </row>
        <row r="569">
          <cell r="A569" t="str">
            <v>000A0951</v>
          </cell>
          <cell r="B569" t="str">
            <v>DELBECQ</v>
          </cell>
          <cell r="C569" t="str">
            <v>STEPHANE</v>
          </cell>
          <cell r="D569" t="str">
            <v>EBOUE</v>
          </cell>
          <cell r="E569">
            <v>91</v>
          </cell>
          <cell r="F569" t="str">
            <v>NC NUMERICABLE ILE-DE-FRANCE</v>
          </cell>
          <cell r="G569" t="str">
            <v>RACCORDEMENT IMMOB.</v>
          </cell>
          <cell r="H569" t="str">
            <v>MOINET</v>
          </cell>
          <cell r="I569" t="str">
            <v>IDFR302001</v>
          </cell>
          <cell r="J569">
            <v>100</v>
          </cell>
          <cell r="K569">
            <v>37508</v>
          </cell>
          <cell r="L569" t="str">
            <v>SUPERV. RACC-SAV</v>
          </cell>
          <cell r="M569" t="str">
            <v>TSM</v>
          </cell>
          <cell r="N569" t="str">
            <v>D</v>
          </cell>
          <cell r="O569" t="str">
            <v>CDI</v>
          </cell>
          <cell r="P569">
            <v>151.57</v>
          </cell>
          <cell r="Q569">
            <v>3011.5</v>
          </cell>
          <cell r="R569">
            <v>1323.63</v>
          </cell>
          <cell r="S569">
            <v>0</v>
          </cell>
          <cell r="T569">
            <v>0</v>
          </cell>
          <cell r="U569">
            <v>0</v>
          </cell>
          <cell r="V569">
            <v>0</v>
          </cell>
          <cell r="W569">
            <v>130.5</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251.53</v>
          </cell>
          <cell r="AO569">
            <v>0</v>
          </cell>
          <cell r="AP569">
            <v>0</v>
          </cell>
          <cell r="AQ569">
            <v>2205</v>
          </cell>
          <cell r="AR569">
            <v>0</v>
          </cell>
          <cell r="AS569">
            <v>0</v>
          </cell>
          <cell r="AT569">
            <v>0</v>
          </cell>
          <cell r="AU569">
            <v>0</v>
          </cell>
        </row>
        <row r="570">
          <cell r="A570" t="str">
            <v>000A0852</v>
          </cell>
          <cell r="B570" t="str">
            <v>MASON</v>
          </cell>
          <cell r="C570" t="str">
            <v>PATRICK</v>
          </cell>
          <cell r="D570" t="str">
            <v>VANVES</v>
          </cell>
          <cell r="E570">
            <v>91</v>
          </cell>
          <cell r="F570" t="str">
            <v>NC NUMERICABLE ILE-DE-FRANCE</v>
          </cell>
          <cell r="G570" t="str">
            <v>TECHNIQUE</v>
          </cell>
          <cell r="H570" t="str">
            <v>DELEBARRE JL</v>
          </cell>
          <cell r="I570" t="str">
            <v>GENE306001</v>
          </cell>
          <cell r="J570">
            <v>100</v>
          </cell>
          <cell r="K570">
            <v>36861</v>
          </cell>
          <cell r="L570" t="str">
            <v>RESP.TECH.EXP.NAT.</v>
          </cell>
          <cell r="M570" t="str">
            <v>CADRE</v>
          </cell>
          <cell r="N570" t="str">
            <v>F</v>
          </cell>
          <cell r="O570" t="str">
            <v>CDI</v>
          </cell>
          <cell r="P570">
            <v>151.57</v>
          </cell>
          <cell r="Q570">
            <v>7561</v>
          </cell>
          <cell r="R570">
            <v>3945.29</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827.4</v>
          </cell>
          <cell r="AO570">
            <v>0</v>
          </cell>
          <cell r="AP570">
            <v>0</v>
          </cell>
          <cell r="AQ570">
            <v>7561</v>
          </cell>
          <cell r="AR570">
            <v>0</v>
          </cell>
          <cell r="AS570">
            <v>0</v>
          </cell>
          <cell r="AT570">
            <v>0</v>
          </cell>
          <cell r="AU570">
            <v>0</v>
          </cell>
        </row>
        <row r="571">
          <cell r="A571" t="str">
            <v>000A0844</v>
          </cell>
          <cell r="B571" t="str">
            <v>RIOLTE</v>
          </cell>
          <cell r="C571" t="str">
            <v>JEAN JACQUES</v>
          </cell>
          <cell r="D571" t="str">
            <v>VERSAILLES</v>
          </cell>
          <cell r="E571">
            <v>91</v>
          </cell>
          <cell r="F571" t="str">
            <v>NC NUMERICABLE ILE-DE-FRANCE</v>
          </cell>
          <cell r="G571" t="str">
            <v>RACCORDEMENT IMMOB STC.</v>
          </cell>
          <cell r="I571" t="str">
            <v>GENE905001</v>
          </cell>
          <cell r="J571">
            <v>100</v>
          </cell>
          <cell r="K571">
            <v>36831</v>
          </cell>
          <cell r="L571" t="str">
            <v>CONSEILLER CLIENTELE TECH</v>
          </cell>
          <cell r="M571" t="str">
            <v>EMPLOYE</v>
          </cell>
          <cell r="N571" t="str">
            <v>C</v>
          </cell>
          <cell r="O571" t="str">
            <v>CDI</v>
          </cell>
          <cell r="P571">
            <v>151.57</v>
          </cell>
          <cell r="Q571">
            <v>1814.32</v>
          </cell>
          <cell r="R571">
            <v>976.72</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139.69999999999999</v>
          </cell>
          <cell r="AN571">
            <v>187.54</v>
          </cell>
          <cell r="AO571">
            <v>0</v>
          </cell>
          <cell r="AP571">
            <v>0</v>
          </cell>
          <cell r="AQ571">
            <v>1954.02</v>
          </cell>
          <cell r="AR571">
            <v>0</v>
          </cell>
          <cell r="AS571">
            <v>0</v>
          </cell>
          <cell r="AT571">
            <v>0</v>
          </cell>
          <cell r="AU571">
            <v>0</v>
          </cell>
        </row>
        <row r="572">
          <cell r="A572">
            <v>50301</v>
          </cell>
          <cell r="B572" t="str">
            <v>CASTILLON</v>
          </cell>
          <cell r="C572" t="str">
            <v>THIERRY</v>
          </cell>
          <cell r="D572" t="str">
            <v>VERSAILLES</v>
          </cell>
          <cell r="E572">
            <v>91</v>
          </cell>
          <cell r="F572" t="str">
            <v>NC NUMERICABLE ILE-DE-FRANCE</v>
          </cell>
          <cell r="G572" t="str">
            <v>RACCORDEMENT IMMOB STC.</v>
          </cell>
          <cell r="I572" t="str">
            <v>GENE905001</v>
          </cell>
          <cell r="J572">
            <v>100</v>
          </cell>
          <cell r="K572">
            <v>33756</v>
          </cell>
          <cell r="L572" t="str">
            <v>SUP. TECH. CLIENT</v>
          </cell>
          <cell r="M572" t="str">
            <v>TSM</v>
          </cell>
          <cell r="N572" t="str">
            <v>D</v>
          </cell>
          <cell r="O572" t="str">
            <v>CDI</v>
          </cell>
          <cell r="P572">
            <v>151.57</v>
          </cell>
          <cell r="Q572">
            <v>2171.9499999999998</v>
          </cell>
          <cell r="R572">
            <v>283.35000000000002</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-117.19</v>
          </cell>
          <cell r="AN572">
            <v>233.9</v>
          </cell>
          <cell r="AO572">
            <v>-117.19</v>
          </cell>
          <cell r="AP572">
            <v>0</v>
          </cell>
          <cell r="AQ572">
            <v>2171.9499999999998</v>
          </cell>
          <cell r="AR572">
            <v>0</v>
          </cell>
          <cell r="AS572">
            <v>0</v>
          </cell>
          <cell r="AT572">
            <v>0</v>
          </cell>
          <cell r="AU572">
            <v>0</v>
          </cell>
        </row>
        <row r="573">
          <cell r="A573" t="str">
            <v>000BT068</v>
          </cell>
          <cell r="B573" t="str">
            <v>TBATOU</v>
          </cell>
          <cell r="C573" t="str">
            <v>FATIMA</v>
          </cell>
          <cell r="D573" t="str">
            <v>LYON CATN</v>
          </cell>
          <cell r="E573">
            <v>91</v>
          </cell>
          <cell r="F573" t="str">
            <v>NC NUMERICABLE ILE-DE-FRANCE</v>
          </cell>
          <cell r="G573" t="str">
            <v>CATN FIDELISATION</v>
          </cell>
          <cell r="H573" t="str">
            <v>CARET</v>
          </cell>
          <cell r="I573" t="str">
            <v>CLIE415001</v>
          </cell>
          <cell r="J573">
            <v>100</v>
          </cell>
          <cell r="K573">
            <v>35555</v>
          </cell>
          <cell r="L573" t="str">
            <v>SUPERVISEUR CLT NIV 2</v>
          </cell>
          <cell r="M573" t="str">
            <v>CADRE</v>
          </cell>
          <cell r="N573" t="str">
            <v>DB</v>
          </cell>
          <cell r="O573" t="str">
            <v>CDI</v>
          </cell>
          <cell r="P573">
            <v>151.57</v>
          </cell>
          <cell r="Q573">
            <v>1855</v>
          </cell>
          <cell r="R573">
            <v>1899.07</v>
          </cell>
          <cell r="S573">
            <v>0</v>
          </cell>
          <cell r="T573">
            <v>0</v>
          </cell>
          <cell r="U573">
            <v>0</v>
          </cell>
          <cell r="V573">
            <v>0</v>
          </cell>
          <cell r="W573">
            <v>1830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396.83</v>
          </cell>
          <cell r="AO573">
            <v>0</v>
          </cell>
          <cell r="AP573">
            <v>0</v>
          </cell>
          <cell r="AQ573">
            <v>1855</v>
          </cell>
          <cell r="AR573">
            <v>0</v>
          </cell>
          <cell r="AS573">
            <v>0</v>
          </cell>
          <cell r="AT573">
            <v>0</v>
          </cell>
          <cell r="AU573">
            <v>0</v>
          </cell>
        </row>
        <row r="574">
          <cell r="A574" t="str">
            <v>000BF013</v>
          </cell>
          <cell r="B574" t="str">
            <v>FERNANDEZ</v>
          </cell>
          <cell r="C574" t="str">
            <v>FABIENNE</v>
          </cell>
          <cell r="D574" t="str">
            <v>PERPIGNAN</v>
          </cell>
          <cell r="E574">
            <v>91</v>
          </cell>
          <cell r="F574" t="str">
            <v>NC NUMERICABLE ILE-DE-FRANCE</v>
          </cell>
          <cell r="G574" t="str">
            <v>DISTRIBUTEUR</v>
          </cell>
          <cell r="I574" t="str">
            <v>GENE905001</v>
          </cell>
          <cell r="J574">
            <v>100</v>
          </cell>
          <cell r="K574">
            <v>33527</v>
          </cell>
          <cell r="L574" t="str">
            <v>ATTACHE COMMERCIAL</v>
          </cell>
          <cell r="M574" t="str">
            <v>CADRE</v>
          </cell>
          <cell r="N574" t="str">
            <v>DB</v>
          </cell>
          <cell r="O574" t="str">
            <v>CDI</v>
          </cell>
          <cell r="P574">
            <v>151.57</v>
          </cell>
          <cell r="Q574">
            <v>1541.07</v>
          </cell>
          <cell r="R574">
            <v>986.11</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400.47</v>
          </cell>
          <cell r="AN574">
            <v>159.29</v>
          </cell>
          <cell r="AO574">
            <v>0</v>
          </cell>
          <cell r="AP574">
            <v>0</v>
          </cell>
          <cell r="AQ574">
            <v>1941.54</v>
          </cell>
          <cell r="AR574">
            <v>0</v>
          </cell>
          <cell r="AS574">
            <v>0</v>
          </cell>
          <cell r="AT574">
            <v>0</v>
          </cell>
          <cell r="AU574">
            <v>0</v>
          </cell>
        </row>
        <row r="575">
          <cell r="A575" t="str">
            <v>000BR004</v>
          </cell>
          <cell r="B575" t="str">
            <v>RAYMOND</v>
          </cell>
          <cell r="C575" t="str">
            <v>JEAN-PHILIPPE</v>
          </cell>
          <cell r="D575" t="str">
            <v>LYON CATN</v>
          </cell>
          <cell r="E575">
            <v>91</v>
          </cell>
          <cell r="F575" t="str">
            <v>NC NUMERICABLE ILE-DE-FRANCE</v>
          </cell>
          <cell r="G575" t="str">
            <v>CLIENTELE</v>
          </cell>
          <cell r="H575" t="str">
            <v>CARET</v>
          </cell>
          <cell r="I575" t="str">
            <v>CLIE420001</v>
          </cell>
          <cell r="J575">
            <v>100</v>
          </cell>
          <cell r="K575">
            <v>32510</v>
          </cell>
          <cell r="L575" t="str">
            <v>RESPONSABLE CLT</v>
          </cell>
          <cell r="M575" t="str">
            <v>CADRE</v>
          </cell>
          <cell r="N575" t="str">
            <v>E</v>
          </cell>
          <cell r="O575" t="str">
            <v>CDI</v>
          </cell>
          <cell r="P575">
            <v>151.57</v>
          </cell>
          <cell r="Q575">
            <v>5150</v>
          </cell>
          <cell r="R575">
            <v>3428.32</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2000</v>
          </cell>
          <cell r="AM575">
            <v>0</v>
          </cell>
          <cell r="AN575">
            <v>554.6</v>
          </cell>
          <cell r="AO575">
            <v>0</v>
          </cell>
          <cell r="AP575">
            <v>0</v>
          </cell>
          <cell r="AQ575">
            <v>5150</v>
          </cell>
          <cell r="AR575">
            <v>2000</v>
          </cell>
          <cell r="AS575">
            <v>0</v>
          </cell>
          <cell r="AT575">
            <v>0</v>
          </cell>
          <cell r="AU575">
            <v>0</v>
          </cell>
        </row>
        <row r="576">
          <cell r="A576">
            <v>5010009</v>
          </cell>
          <cell r="B576" t="str">
            <v>SILVESTRE</v>
          </cell>
          <cell r="C576" t="str">
            <v>PATRICE</v>
          </cell>
          <cell r="D576" t="str">
            <v>LYON GARIBALDI</v>
          </cell>
          <cell r="E576">
            <v>66</v>
          </cell>
          <cell r="F576" t="str">
            <v>NC NUMERICABLE LYON</v>
          </cell>
          <cell r="G576" t="str">
            <v>VAD RGP</v>
          </cell>
          <cell r="H576" t="str">
            <v>DONT</v>
          </cell>
          <cell r="I576" t="str">
            <v>RHON500001</v>
          </cell>
          <cell r="J576">
            <v>100</v>
          </cell>
          <cell r="K576">
            <v>35370</v>
          </cell>
          <cell r="L576" t="str">
            <v>RESPONSABLE CIAL GRAND PUBLIC</v>
          </cell>
          <cell r="M576" t="str">
            <v>374C</v>
          </cell>
          <cell r="N576" t="str">
            <v>E</v>
          </cell>
          <cell r="O576" t="str">
            <v>CDI</v>
          </cell>
          <cell r="P576">
            <v>151.57</v>
          </cell>
          <cell r="Q576">
            <v>3083.3</v>
          </cell>
          <cell r="R576">
            <v>3031.57</v>
          </cell>
          <cell r="S576">
            <v>0</v>
          </cell>
          <cell r="T576">
            <v>2358.41</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671.91</v>
          </cell>
          <cell r="AO576">
            <v>0</v>
          </cell>
          <cell r="AP576">
            <v>0</v>
          </cell>
          <cell r="AQ576">
            <v>3662.62</v>
          </cell>
          <cell r="AR576">
            <v>0</v>
          </cell>
          <cell r="AS576">
            <v>0</v>
          </cell>
          <cell r="AT576">
            <v>0</v>
          </cell>
          <cell r="AU576">
            <v>0</v>
          </cell>
        </row>
        <row r="577">
          <cell r="A577" t="str">
            <v>000A1099</v>
          </cell>
          <cell r="B577" t="str">
            <v>DORAY</v>
          </cell>
          <cell r="C577" t="str">
            <v>MARTIAL</v>
          </cell>
          <cell r="D577" t="str">
            <v>AVIGNON</v>
          </cell>
          <cell r="E577">
            <v>91</v>
          </cell>
          <cell r="F577" t="str">
            <v>NC NUMERICABLE ILE-DE-FRANCE</v>
          </cell>
          <cell r="G577" t="str">
            <v>VAD CONSEILLERS</v>
          </cell>
          <cell r="H577" t="str">
            <v>RIOS</v>
          </cell>
          <cell r="I577" t="str">
            <v>SUES500001</v>
          </cell>
          <cell r="J577">
            <v>100</v>
          </cell>
          <cell r="K577">
            <v>38635</v>
          </cell>
          <cell r="L577" t="str">
            <v>CONSEILLER(E) COM.</v>
          </cell>
          <cell r="M577" t="str">
            <v>TSM</v>
          </cell>
          <cell r="N577" t="str">
            <v>D</v>
          </cell>
          <cell r="O577" t="str">
            <v>CDI</v>
          </cell>
          <cell r="P577">
            <v>151.57</v>
          </cell>
          <cell r="Q577">
            <v>1217.8800000000001</v>
          </cell>
          <cell r="R577">
            <v>739.51</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131.15</v>
          </cell>
          <cell r="AO577">
            <v>0</v>
          </cell>
          <cell r="AP577">
            <v>0</v>
          </cell>
          <cell r="AQ577">
            <v>1217.8800000000001</v>
          </cell>
          <cell r="AR577">
            <v>0</v>
          </cell>
          <cell r="AS577">
            <v>0</v>
          </cell>
          <cell r="AT577">
            <v>0</v>
          </cell>
          <cell r="AU577">
            <v>0</v>
          </cell>
        </row>
        <row r="578">
          <cell r="A578" t="str">
            <v>000A1044</v>
          </cell>
          <cell r="B578" t="str">
            <v>ROGNONE</v>
          </cell>
          <cell r="C578" t="str">
            <v>JEAN ANDRE</v>
          </cell>
          <cell r="D578" t="str">
            <v>NICE</v>
          </cell>
          <cell r="E578">
            <v>91</v>
          </cell>
          <cell r="F578" t="str">
            <v>NC NUMERICABLE ILE-DE-FRANCE</v>
          </cell>
          <cell r="G578" t="str">
            <v>VAD CONSEILLERS</v>
          </cell>
          <cell r="H578" t="str">
            <v>DEPREEUW</v>
          </cell>
          <cell r="I578" t="str">
            <v>SUES500001</v>
          </cell>
          <cell r="J578">
            <v>100</v>
          </cell>
          <cell r="K578">
            <v>38629</v>
          </cell>
          <cell r="L578" t="str">
            <v>CONSEILLER(E) COM.</v>
          </cell>
          <cell r="M578" t="str">
            <v>TSM</v>
          </cell>
          <cell r="N578" t="str">
            <v>D</v>
          </cell>
          <cell r="O578" t="str">
            <v>CDI</v>
          </cell>
          <cell r="P578">
            <v>151.57</v>
          </cell>
          <cell r="Q578">
            <v>1217.8800000000001</v>
          </cell>
          <cell r="R578">
            <v>-398.75</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-21.08</v>
          </cell>
          <cell r="AO578">
            <v>0</v>
          </cell>
          <cell r="AP578">
            <v>0</v>
          </cell>
          <cell r="AQ578">
            <v>-409.12</v>
          </cell>
          <cell r="AR578">
            <v>0</v>
          </cell>
          <cell r="AS578">
            <v>0</v>
          </cell>
          <cell r="AT578">
            <v>0</v>
          </cell>
          <cell r="AU578">
            <v>0</v>
          </cell>
        </row>
        <row r="579">
          <cell r="A579" t="str">
            <v>000A1216</v>
          </cell>
          <cell r="B579" t="str">
            <v>LAMRAOUI</v>
          </cell>
          <cell r="C579" t="str">
            <v>ACHOUR</v>
          </cell>
          <cell r="D579" t="str">
            <v>VERSAILLES</v>
          </cell>
          <cell r="E579">
            <v>91</v>
          </cell>
          <cell r="F579" t="str">
            <v>NC NUMERICABLE ILE-DE-FRANCE</v>
          </cell>
          <cell r="G579" t="str">
            <v>VAD CONSEILLERS</v>
          </cell>
          <cell r="H579" t="str">
            <v>FERRADJ</v>
          </cell>
          <cell r="I579" t="str">
            <v>IDFR500001</v>
          </cell>
          <cell r="J579">
            <v>100</v>
          </cell>
          <cell r="K579">
            <v>38663</v>
          </cell>
          <cell r="L579" t="str">
            <v>CONSEILLER(E) COM.</v>
          </cell>
          <cell r="M579" t="str">
            <v>TSM</v>
          </cell>
          <cell r="N579" t="str">
            <v>D</v>
          </cell>
          <cell r="O579" t="str">
            <v>CDI</v>
          </cell>
          <cell r="P579">
            <v>151.57</v>
          </cell>
          <cell r="Q579">
            <v>1217.8800000000001</v>
          </cell>
          <cell r="R579">
            <v>1391.85</v>
          </cell>
          <cell r="S579">
            <v>0</v>
          </cell>
          <cell r="T579">
            <v>2440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393.93</v>
          </cell>
          <cell r="AO579">
            <v>0</v>
          </cell>
          <cell r="AP579">
            <v>0</v>
          </cell>
          <cell r="AQ579">
            <v>1217.8800000000001</v>
          </cell>
          <cell r="AR579">
            <v>0</v>
          </cell>
          <cell r="AS579">
            <v>0</v>
          </cell>
          <cell r="AT579">
            <v>0</v>
          </cell>
          <cell r="AU579">
            <v>0</v>
          </cell>
        </row>
        <row r="580">
          <cell r="A580" t="str">
            <v>000A1157</v>
          </cell>
          <cell r="B580" t="str">
            <v>WADELEC</v>
          </cell>
          <cell r="C580" t="str">
            <v>WILHEM</v>
          </cell>
          <cell r="D580" t="str">
            <v>VERSAILLES</v>
          </cell>
          <cell r="E580">
            <v>91</v>
          </cell>
          <cell r="F580" t="str">
            <v>NC NUMERICABLE ILE-DE-FRANCE</v>
          </cell>
          <cell r="G580" t="str">
            <v>VAD CONSEILLERS</v>
          </cell>
          <cell r="H580" t="str">
            <v>MAXIMIN-TARTARE</v>
          </cell>
          <cell r="I580" t="str">
            <v>IDFR500001</v>
          </cell>
          <cell r="J580">
            <v>100</v>
          </cell>
          <cell r="K580">
            <v>38642</v>
          </cell>
          <cell r="L580" t="str">
            <v>CONSEILLER(E) COM.</v>
          </cell>
          <cell r="M580" t="str">
            <v>TSM</v>
          </cell>
          <cell r="N580" t="str">
            <v>D</v>
          </cell>
          <cell r="O580" t="str">
            <v>CDI</v>
          </cell>
          <cell r="P580">
            <v>151.57</v>
          </cell>
          <cell r="Q580">
            <v>1217.8800000000001</v>
          </cell>
          <cell r="R580">
            <v>1375.68</v>
          </cell>
          <cell r="S580">
            <v>0</v>
          </cell>
          <cell r="T580">
            <v>2380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387.47</v>
          </cell>
          <cell r="AO580">
            <v>0</v>
          </cell>
          <cell r="AP580">
            <v>0</v>
          </cell>
          <cell r="AQ580">
            <v>1217.8800000000001</v>
          </cell>
          <cell r="AR580">
            <v>0</v>
          </cell>
          <cell r="AS580">
            <v>0</v>
          </cell>
          <cell r="AT580">
            <v>0</v>
          </cell>
          <cell r="AU580">
            <v>0</v>
          </cell>
        </row>
        <row r="581">
          <cell r="A581" t="str">
            <v>000A1545</v>
          </cell>
          <cell r="B581" t="str">
            <v>DUPERIER</v>
          </cell>
          <cell r="C581" t="str">
            <v>BENEDICTE</v>
          </cell>
          <cell r="D581" t="str">
            <v>SIEGE</v>
          </cell>
          <cell r="E581">
            <v>91</v>
          </cell>
          <cell r="F581" t="str">
            <v>NC NUMERICABLE ILE-DE-FRANCE</v>
          </cell>
          <cell r="G581" t="str">
            <v>DIRECTION RESS HUM</v>
          </cell>
          <cell r="H581" t="str">
            <v>LUCIANI</v>
          </cell>
          <cell r="I581" t="str">
            <v>GENE703001</v>
          </cell>
          <cell r="J581">
            <v>100</v>
          </cell>
          <cell r="K581">
            <v>38720</v>
          </cell>
          <cell r="L581" t="str">
            <v>RESP. ADM. PAIE</v>
          </cell>
          <cell r="M581" t="str">
            <v>CADRE</v>
          </cell>
          <cell r="N581" t="str">
            <v>E</v>
          </cell>
          <cell r="O581" t="str">
            <v>CDI</v>
          </cell>
          <cell r="P581">
            <v>151.57</v>
          </cell>
          <cell r="Q581">
            <v>3600</v>
          </cell>
          <cell r="R581">
            <v>1808.09</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387.7</v>
          </cell>
          <cell r="AO581">
            <v>31.21</v>
          </cell>
          <cell r="AP581">
            <v>0</v>
          </cell>
          <cell r="AQ581">
            <v>3600</v>
          </cell>
          <cell r="AR581">
            <v>0</v>
          </cell>
          <cell r="AS581">
            <v>0</v>
          </cell>
          <cell r="AT581">
            <v>0</v>
          </cell>
          <cell r="AU581">
            <v>0</v>
          </cell>
        </row>
        <row r="582">
          <cell r="A582" t="str">
            <v>000A1643</v>
          </cell>
          <cell r="B582" t="str">
            <v>GUILLET</v>
          </cell>
          <cell r="C582" t="str">
            <v>CHRISTOPHE</v>
          </cell>
          <cell r="D582" t="str">
            <v>NIMES</v>
          </cell>
          <cell r="E582">
            <v>91</v>
          </cell>
          <cell r="F582" t="str">
            <v>NC NUMERICABLE ILE-DE-FRANCE</v>
          </cell>
          <cell r="G582" t="str">
            <v>VAD CONSEILLERS</v>
          </cell>
          <cell r="H582" t="str">
            <v>VIVIN</v>
          </cell>
          <cell r="I582" t="str">
            <v>SUES500001</v>
          </cell>
          <cell r="J582">
            <v>100</v>
          </cell>
          <cell r="K582">
            <v>38768</v>
          </cell>
          <cell r="L582" t="str">
            <v>CONSEILLER(E) COM.</v>
          </cell>
          <cell r="M582" t="str">
            <v>TSM</v>
          </cell>
          <cell r="N582" t="str">
            <v>D</v>
          </cell>
          <cell r="O582" t="str">
            <v>CDI</v>
          </cell>
          <cell r="P582">
            <v>151.57</v>
          </cell>
          <cell r="Q582">
            <v>0</v>
          </cell>
          <cell r="R582">
            <v>535.49</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310.39999999999998</v>
          </cell>
          <cell r="AO582">
            <v>0</v>
          </cell>
          <cell r="AP582">
            <v>0</v>
          </cell>
          <cell r="AQ582">
            <v>1217.8800000000001</v>
          </cell>
          <cell r="AR582">
            <v>0</v>
          </cell>
          <cell r="AS582">
            <v>0</v>
          </cell>
          <cell r="AT582">
            <v>0</v>
          </cell>
          <cell r="AU582">
            <v>0</v>
          </cell>
        </row>
        <row r="583">
          <cell r="A583" t="str">
            <v>000A1493</v>
          </cell>
          <cell r="B583" t="str">
            <v>BELLA</v>
          </cell>
          <cell r="C583" t="str">
            <v>LUIGI</v>
          </cell>
          <cell r="D583" t="str">
            <v>METZ</v>
          </cell>
          <cell r="E583">
            <v>91</v>
          </cell>
          <cell r="F583" t="str">
            <v>NC NUMERICABLE ILE-DE-FRANCE</v>
          </cell>
          <cell r="G583" t="str">
            <v>VAD CONSEILLERS</v>
          </cell>
          <cell r="H583" t="str">
            <v>BAUER V</v>
          </cell>
          <cell r="I583" t="str">
            <v>ESTR500001</v>
          </cell>
          <cell r="J583">
            <v>100</v>
          </cell>
          <cell r="K583">
            <v>38769</v>
          </cell>
          <cell r="L583" t="str">
            <v>CONSEILLER(E) COM.</v>
          </cell>
          <cell r="M583" t="str">
            <v>TSM</v>
          </cell>
          <cell r="N583" t="str">
            <v>D</v>
          </cell>
          <cell r="O583" t="str">
            <v>CDI</v>
          </cell>
          <cell r="P583">
            <v>151.57</v>
          </cell>
          <cell r="Q583">
            <v>1217.8800000000001</v>
          </cell>
          <cell r="R583">
            <v>2477.2600000000002</v>
          </cell>
          <cell r="S583">
            <v>0</v>
          </cell>
          <cell r="T583">
            <v>5373.91</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876.02</v>
          </cell>
          <cell r="AO583">
            <v>0</v>
          </cell>
          <cell r="AP583">
            <v>0</v>
          </cell>
          <cell r="AQ583">
            <v>1217.8800000000001</v>
          </cell>
          <cell r="AR583">
            <v>0</v>
          </cell>
          <cell r="AS583">
            <v>0</v>
          </cell>
          <cell r="AT583">
            <v>0</v>
          </cell>
          <cell r="AU583">
            <v>0</v>
          </cell>
        </row>
        <row r="584">
          <cell r="A584" t="str">
            <v>000A1385</v>
          </cell>
          <cell r="B584" t="str">
            <v>ZERROUKI</v>
          </cell>
          <cell r="C584" t="str">
            <v>RABAH</v>
          </cell>
          <cell r="D584" t="str">
            <v>MARSEILLE</v>
          </cell>
          <cell r="E584">
            <v>91</v>
          </cell>
          <cell r="F584" t="str">
            <v>NC NUMERICABLE ILE-DE-FRANCE</v>
          </cell>
          <cell r="G584" t="str">
            <v>VAD CONSEILLERS</v>
          </cell>
          <cell r="H584" t="str">
            <v>ZAMORA</v>
          </cell>
          <cell r="I584" t="str">
            <v>SUES500001</v>
          </cell>
          <cell r="J584">
            <v>100</v>
          </cell>
          <cell r="K584">
            <v>38726</v>
          </cell>
          <cell r="L584" t="str">
            <v>CONSEILLER(E) COM.</v>
          </cell>
          <cell r="M584" t="str">
            <v>TSM</v>
          </cell>
          <cell r="N584" t="str">
            <v>D</v>
          </cell>
          <cell r="O584" t="str">
            <v>CDI</v>
          </cell>
          <cell r="P584">
            <v>151.57</v>
          </cell>
          <cell r="Q584">
            <v>1217.8800000000001</v>
          </cell>
          <cell r="R584">
            <v>276.68</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77.8</v>
          </cell>
          <cell r="AO584">
            <v>0</v>
          </cell>
          <cell r="AP584">
            <v>0</v>
          </cell>
          <cell r="AQ584">
            <v>533.98</v>
          </cell>
          <cell r="AR584">
            <v>0</v>
          </cell>
          <cell r="AS584">
            <v>0</v>
          </cell>
          <cell r="AT584">
            <v>0</v>
          </cell>
          <cell r="AU584">
            <v>0</v>
          </cell>
        </row>
        <row r="585">
          <cell r="A585" t="str">
            <v>000A1154</v>
          </cell>
          <cell r="B585" t="str">
            <v>JAUNAY</v>
          </cell>
          <cell r="C585" t="str">
            <v>WENCESLAS</v>
          </cell>
          <cell r="D585" t="str">
            <v>LYON GARIBALDI</v>
          </cell>
          <cell r="E585">
            <v>91</v>
          </cell>
          <cell r="F585" t="str">
            <v>NC NUMERICABLE ILE-DE-FRANCE</v>
          </cell>
          <cell r="G585" t="str">
            <v>VAD ANIMATEURS</v>
          </cell>
          <cell r="H585" t="str">
            <v>SILVESTRE</v>
          </cell>
          <cell r="I585" t="str">
            <v>RHON500001</v>
          </cell>
          <cell r="J585">
            <v>100</v>
          </cell>
          <cell r="K585">
            <v>38638</v>
          </cell>
          <cell r="L585" t="str">
            <v>ANIMATEUR COM.</v>
          </cell>
          <cell r="M585" t="str">
            <v>CADRE</v>
          </cell>
          <cell r="N585" t="str">
            <v>DB</v>
          </cell>
          <cell r="O585" t="str">
            <v>CDI</v>
          </cell>
          <cell r="P585">
            <v>151.57</v>
          </cell>
          <cell r="Q585">
            <v>1800</v>
          </cell>
          <cell r="R585">
            <v>1465.04</v>
          </cell>
          <cell r="S585">
            <v>0</v>
          </cell>
          <cell r="T585">
            <v>900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290.76</v>
          </cell>
          <cell r="AO585">
            <v>0</v>
          </cell>
          <cell r="AP585">
            <v>0</v>
          </cell>
          <cell r="AQ585">
            <v>1800</v>
          </cell>
          <cell r="AR585">
            <v>0</v>
          </cell>
          <cell r="AS585">
            <v>0</v>
          </cell>
          <cell r="AT585">
            <v>0</v>
          </cell>
          <cell r="AU585">
            <v>0</v>
          </cell>
        </row>
        <row r="586">
          <cell r="A586" t="str">
            <v>000A1207</v>
          </cell>
          <cell r="B586" t="str">
            <v>RENARD</v>
          </cell>
          <cell r="C586" t="str">
            <v>ISABELLE</v>
          </cell>
          <cell r="D586" t="str">
            <v>VERSAILLES</v>
          </cell>
          <cell r="E586">
            <v>91</v>
          </cell>
          <cell r="F586" t="str">
            <v>NC NUMERICABLE ILE-DE-FRANCE</v>
          </cell>
          <cell r="G586" t="str">
            <v>BOUTIQUE</v>
          </cell>
          <cell r="H586" t="str">
            <v>ELIEZER-VANEROT</v>
          </cell>
          <cell r="I586" t="str">
            <v>IDFR507001</v>
          </cell>
          <cell r="J586">
            <v>100</v>
          </cell>
          <cell r="K586">
            <v>38663</v>
          </cell>
          <cell r="L586" t="str">
            <v>CONSEILLER(E) CLT BOUTIQUE</v>
          </cell>
          <cell r="M586" t="str">
            <v>EMPLOYE</v>
          </cell>
          <cell r="N586" t="str">
            <v>C</v>
          </cell>
          <cell r="O586" t="str">
            <v>CDI</v>
          </cell>
          <cell r="P586">
            <v>151.57</v>
          </cell>
          <cell r="Q586">
            <v>1300</v>
          </cell>
          <cell r="R586">
            <v>1147.4000000000001</v>
          </cell>
          <cell r="S586">
            <v>0</v>
          </cell>
          <cell r="T586">
            <v>804</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226.58</v>
          </cell>
          <cell r="AO586">
            <v>38.68</v>
          </cell>
          <cell r="AP586">
            <v>0</v>
          </cell>
          <cell r="AQ586">
            <v>1300</v>
          </cell>
          <cell r="AR586">
            <v>0</v>
          </cell>
          <cell r="AS586">
            <v>0</v>
          </cell>
          <cell r="AT586">
            <v>0</v>
          </cell>
          <cell r="AU586">
            <v>0</v>
          </cell>
        </row>
        <row r="587">
          <cell r="A587" t="str">
            <v>000A1339</v>
          </cell>
          <cell r="B587" t="str">
            <v>COQUEL</v>
          </cell>
          <cell r="C587" t="str">
            <v>HERVE</v>
          </cell>
          <cell r="D587" t="str">
            <v>LA MADELEINE</v>
          </cell>
          <cell r="E587">
            <v>91</v>
          </cell>
          <cell r="F587" t="str">
            <v>NC NUMERICABLE ILE-DE-FRANCE</v>
          </cell>
          <cell r="G587" t="str">
            <v>VAD CONSEILLERS</v>
          </cell>
          <cell r="H587" t="str">
            <v>GUILLEMAN</v>
          </cell>
          <cell r="I587" t="str">
            <v>NPCA500001</v>
          </cell>
          <cell r="J587">
            <v>100</v>
          </cell>
          <cell r="K587">
            <v>38698</v>
          </cell>
          <cell r="L587" t="str">
            <v>CONSEILLER(E) COM.</v>
          </cell>
          <cell r="M587" t="str">
            <v>TSM</v>
          </cell>
          <cell r="N587" t="str">
            <v>D</v>
          </cell>
          <cell r="O587" t="str">
            <v>CDI</v>
          </cell>
          <cell r="P587">
            <v>151.57</v>
          </cell>
          <cell r="Q587">
            <v>1217.8800000000001</v>
          </cell>
          <cell r="R587">
            <v>1543.11</v>
          </cell>
          <cell r="S587">
            <v>0</v>
          </cell>
          <cell r="T587">
            <v>2860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439.16</v>
          </cell>
          <cell r="AO587">
            <v>0</v>
          </cell>
          <cell r="AP587">
            <v>0</v>
          </cell>
          <cell r="AQ587">
            <v>1217.8800000000001</v>
          </cell>
          <cell r="AR587">
            <v>0</v>
          </cell>
          <cell r="AS587">
            <v>0</v>
          </cell>
          <cell r="AT587">
            <v>0</v>
          </cell>
          <cell r="AU587">
            <v>0</v>
          </cell>
        </row>
        <row r="588">
          <cell r="A588" t="str">
            <v>000A1074</v>
          </cell>
          <cell r="B588" t="str">
            <v>BOULIKA</v>
          </cell>
          <cell r="C588" t="str">
            <v>MOHAMMED</v>
          </cell>
          <cell r="D588" t="str">
            <v>AVIGNON</v>
          </cell>
          <cell r="E588">
            <v>91</v>
          </cell>
          <cell r="F588" t="str">
            <v>NC NUMERICABLE ILE-DE-FRANCE</v>
          </cell>
          <cell r="G588" t="str">
            <v>VAD CONSEILLERS</v>
          </cell>
          <cell r="H588" t="str">
            <v>RIOS</v>
          </cell>
          <cell r="I588" t="str">
            <v>SUES500001</v>
          </cell>
          <cell r="J588">
            <v>100</v>
          </cell>
          <cell r="K588">
            <v>38635</v>
          </cell>
          <cell r="L588" t="str">
            <v>CONSEILLER(E) COM.</v>
          </cell>
          <cell r="M588" t="str">
            <v>TSM</v>
          </cell>
          <cell r="N588" t="str">
            <v>D</v>
          </cell>
          <cell r="O588" t="str">
            <v>CDI</v>
          </cell>
          <cell r="P588">
            <v>151.57</v>
          </cell>
          <cell r="Q588">
            <v>1217.8800000000001</v>
          </cell>
          <cell r="R588">
            <v>771.73</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131.16999999999999</v>
          </cell>
          <cell r="AO588">
            <v>0</v>
          </cell>
          <cell r="AP588">
            <v>0</v>
          </cell>
          <cell r="AQ588">
            <v>1217.8800000000001</v>
          </cell>
          <cell r="AR588">
            <v>0</v>
          </cell>
          <cell r="AS588">
            <v>0</v>
          </cell>
          <cell r="AT588">
            <v>0</v>
          </cell>
          <cell r="AU588">
            <v>0</v>
          </cell>
        </row>
        <row r="589">
          <cell r="A589" t="str">
            <v>000A1618</v>
          </cell>
          <cell r="B589" t="str">
            <v>BASTELICA</v>
          </cell>
          <cell r="C589" t="str">
            <v>EMMANUEL</v>
          </cell>
          <cell r="D589" t="str">
            <v>LYON CATN</v>
          </cell>
          <cell r="E589">
            <v>61</v>
          </cell>
          <cell r="F589" t="str">
            <v>NC NUMERICABLE RHONES-ALPES</v>
          </cell>
          <cell r="H589" t="str">
            <v>BAYARD</v>
          </cell>
          <cell r="I589" t="str">
            <v>CLIE410001</v>
          </cell>
          <cell r="J589">
            <v>100</v>
          </cell>
          <cell r="K589">
            <v>38777</v>
          </cell>
          <cell r="L589" t="str">
            <v>CONSEILLER RECLAMATION</v>
          </cell>
          <cell r="M589" t="str">
            <v>EMPLOYE</v>
          </cell>
          <cell r="N589" t="str">
            <v>C</v>
          </cell>
          <cell r="O589" t="str">
            <v>CDD</v>
          </cell>
          <cell r="P589">
            <v>151.57</v>
          </cell>
          <cell r="Q589">
            <v>0</v>
          </cell>
          <cell r="R589">
            <v>635.07000000000005</v>
          </cell>
          <cell r="S589">
            <v>0</v>
          </cell>
          <cell r="T589">
            <v>0</v>
          </cell>
          <cell r="U589">
            <v>0</v>
          </cell>
          <cell r="V589">
            <v>0</v>
          </cell>
          <cell r="W589">
            <v>156.13</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279.58</v>
          </cell>
          <cell r="AO589">
            <v>0</v>
          </cell>
          <cell r="AP589">
            <v>0</v>
          </cell>
          <cell r="AQ589">
            <v>1220</v>
          </cell>
          <cell r="AR589">
            <v>0</v>
          </cell>
          <cell r="AS589">
            <v>0</v>
          </cell>
          <cell r="AT589">
            <v>0</v>
          </cell>
          <cell r="AU589">
            <v>0</v>
          </cell>
        </row>
        <row r="590">
          <cell r="A590" t="str">
            <v>000A1109</v>
          </cell>
          <cell r="B590" t="str">
            <v>BOUVET</v>
          </cell>
          <cell r="C590" t="str">
            <v>GAUDERIQUE</v>
          </cell>
          <cell r="D590" t="str">
            <v>TOULOUSE</v>
          </cell>
          <cell r="E590">
            <v>91</v>
          </cell>
          <cell r="F590" t="str">
            <v>NC NUMERICABLE ILE-DE-FRANCE</v>
          </cell>
          <cell r="G590" t="str">
            <v>VAD ANIMATEURS</v>
          </cell>
          <cell r="H590" t="str">
            <v>COMINARDI</v>
          </cell>
          <cell r="I590" t="str">
            <v>SUOU500001</v>
          </cell>
          <cell r="J590">
            <v>100</v>
          </cell>
          <cell r="K590">
            <v>38642</v>
          </cell>
          <cell r="L590" t="str">
            <v>ANIMATEUR COM.</v>
          </cell>
          <cell r="M590" t="str">
            <v>CADRE</v>
          </cell>
          <cell r="N590" t="str">
            <v>DB</v>
          </cell>
          <cell r="O590" t="str">
            <v>CDI</v>
          </cell>
          <cell r="P590">
            <v>151.57</v>
          </cell>
          <cell r="Q590">
            <v>2382.12</v>
          </cell>
          <cell r="R590">
            <v>1040.67</v>
          </cell>
          <cell r="S590">
            <v>0</v>
          </cell>
          <cell r="T590">
            <v>900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290.77</v>
          </cell>
          <cell r="AO590">
            <v>0</v>
          </cell>
          <cell r="AP590">
            <v>0</v>
          </cell>
          <cell r="AQ590">
            <v>1800</v>
          </cell>
          <cell r="AR590">
            <v>0</v>
          </cell>
          <cell r="AS590">
            <v>0</v>
          </cell>
          <cell r="AT590">
            <v>0</v>
          </cell>
          <cell r="AU590">
            <v>0</v>
          </cell>
        </row>
        <row r="591">
          <cell r="A591" t="str">
            <v>000A1614</v>
          </cell>
          <cell r="B591" t="str">
            <v>ZAKAT</v>
          </cell>
          <cell r="C591" t="str">
            <v>MEHDI</v>
          </cell>
          <cell r="D591" t="str">
            <v>NANTES</v>
          </cell>
          <cell r="E591">
            <v>91</v>
          </cell>
          <cell r="F591" t="str">
            <v>NC NUMERICABLE ILE-DE-FRANCE</v>
          </cell>
          <cell r="G591" t="str">
            <v>VAD CONSEILLERS</v>
          </cell>
          <cell r="H591" t="str">
            <v>JAUD</v>
          </cell>
          <cell r="I591" t="str">
            <v>OUES500001</v>
          </cell>
          <cell r="J591">
            <v>100</v>
          </cell>
          <cell r="K591">
            <v>38768</v>
          </cell>
          <cell r="L591" t="str">
            <v>CONSEILLER(E) COM.</v>
          </cell>
          <cell r="M591" t="str">
            <v>TSM</v>
          </cell>
          <cell r="N591" t="str">
            <v>D</v>
          </cell>
          <cell r="O591" t="str">
            <v>CDI</v>
          </cell>
          <cell r="P591">
            <v>151.57</v>
          </cell>
          <cell r="Q591">
            <v>0</v>
          </cell>
          <cell r="R591">
            <v>518.62</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112.5</v>
          </cell>
          <cell r="AM591">
            <v>0</v>
          </cell>
          <cell r="AN591">
            <v>301.66000000000003</v>
          </cell>
          <cell r="AO591">
            <v>0</v>
          </cell>
          <cell r="AP591">
            <v>0</v>
          </cell>
          <cell r="AQ591">
            <v>1217.8800000000001</v>
          </cell>
          <cell r="AR591">
            <v>112.5</v>
          </cell>
          <cell r="AS591">
            <v>0</v>
          </cell>
          <cell r="AT591">
            <v>0</v>
          </cell>
          <cell r="AU591">
            <v>0</v>
          </cell>
        </row>
        <row r="592">
          <cell r="A592" t="str">
            <v>000A1496</v>
          </cell>
          <cell r="B592" t="str">
            <v>SETTE</v>
          </cell>
          <cell r="C592" t="str">
            <v>VIANNEY ARON</v>
          </cell>
          <cell r="D592" t="str">
            <v>LYON GARIBALDI</v>
          </cell>
          <cell r="E592">
            <v>91</v>
          </cell>
          <cell r="F592" t="str">
            <v>NC NUMERICABLE ILE-DE-FRANCE</v>
          </cell>
          <cell r="G592" t="str">
            <v>VAD CONSEILLERS</v>
          </cell>
          <cell r="H592" t="str">
            <v>KUDONOO</v>
          </cell>
          <cell r="I592" t="str">
            <v>RHON500001</v>
          </cell>
          <cell r="J592">
            <v>100</v>
          </cell>
          <cell r="K592">
            <v>38754</v>
          </cell>
          <cell r="L592" t="str">
            <v>CONSEILLER(E) COM.</v>
          </cell>
          <cell r="M592" t="str">
            <v>TSM</v>
          </cell>
          <cell r="N592" t="str">
            <v>D</v>
          </cell>
          <cell r="O592" t="str">
            <v>CDI</v>
          </cell>
          <cell r="P592">
            <v>151.57</v>
          </cell>
          <cell r="Q592">
            <v>1217.8800000000001</v>
          </cell>
          <cell r="R592">
            <v>1769.22</v>
          </cell>
          <cell r="S592">
            <v>0</v>
          </cell>
          <cell r="T592">
            <v>3240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732.65</v>
          </cell>
          <cell r="AO592">
            <v>0</v>
          </cell>
          <cell r="AP592">
            <v>0</v>
          </cell>
          <cell r="AQ592">
            <v>1217.8800000000001</v>
          </cell>
          <cell r="AR592">
            <v>0</v>
          </cell>
          <cell r="AS592">
            <v>0</v>
          </cell>
          <cell r="AT592">
            <v>0</v>
          </cell>
          <cell r="AU592">
            <v>0</v>
          </cell>
        </row>
        <row r="593">
          <cell r="A593" t="str">
            <v>000A0872</v>
          </cell>
          <cell r="B593" t="str">
            <v>SANCHEZ</v>
          </cell>
          <cell r="C593" t="str">
            <v>PASCAL</v>
          </cell>
          <cell r="D593" t="str">
            <v>SIEGE</v>
          </cell>
          <cell r="E593">
            <v>91</v>
          </cell>
          <cell r="F593" t="str">
            <v>NC NUMERICABLE ILE-DE-FRANCE</v>
          </cell>
          <cell r="G593" t="str">
            <v>COMPTABILITE</v>
          </cell>
          <cell r="H593" t="str">
            <v>BARBERY</v>
          </cell>
          <cell r="I593" t="str">
            <v>GENE701001</v>
          </cell>
          <cell r="J593">
            <v>100</v>
          </cell>
          <cell r="K593">
            <v>36941</v>
          </cell>
          <cell r="L593" t="str">
            <v>RESP. GEST. NIV. 1</v>
          </cell>
          <cell r="M593" t="str">
            <v>CADRE</v>
          </cell>
          <cell r="N593" t="str">
            <v>E</v>
          </cell>
          <cell r="O593" t="str">
            <v>CDI</v>
          </cell>
          <cell r="P593">
            <v>151.57</v>
          </cell>
          <cell r="Q593">
            <v>3819</v>
          </cell>
          <cell r="R593">
            <v>1902.3</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411.28</v>
          </cell>
          <cell r="AO593">
            <v>0</v>
          </cell>
          <cell r="AP593">
            <v>0</v>
          </cell>
          <cell r="AQ593">
            <v>3819</v>
          </cell>
          <cell r="AR593">
            <v>0</v>
          </cell>
          <cell r="AS593">
            <v>0</v>
          </cell>
          <cell r="AT593">
            <v>0</v>
          </cell>
          <cell r="AU593">
            <v>0</v>
          </cell>
        </row>
        <row r="594">
          <cell r="A594" t="str">
            <v>000N0019</v>
          </cell>
          <cell r="B594" t="str">
            <v>IANNAZZO</v>
          </cell>
          <cell r="C594" t="str">
            <v>GASPARD</v>
          </cell>
          <cell r="D594" t="str">
            <v>NICE</v>
          </cell>
          <cell r="E594">
            <v>91</v>
          </cell>
          <cell r="F594" t="str">
            <v>NC NUMERICABLE ILE-DE-FRANCE</v>
          </cell>
          <cell r="G594" t="str">
            <v>MAINTENANCE RESEAU</v>
          </cell>
          <cell r="I594" t="str">
            <v>GENE905001</v>
          </cell>
          <cell r="J594">
            <v>100</v>
          </cell>
          <cell r="K594">
            <v>32555</v>
          </cell>
          <cell r="L594" t="str">
            <v>CHEF GPE. TECH. EXP.</v>
          </cell>
          <cell r="M594" t="str">
            <v>CADRE</v>
          </cell>
          <cell r="N594" t="str">
            <v>DB</v>
          </cell>
          <cell r="O594" t="str">
            <v>CDI</v>
          </cell>
          <cell r="P594">
            <v>151.57</v>
          </cell>
          <cell r="Q594">
            <v>2311.25</v>
          </cell>
          <cell r="R594">
            <v>3696.57</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156.06</v>
          </cell>
          <cell r="AN594">
            <v>251.8</v>
          </cell>
          <cell r="AO594">
            <v>-255.87</v>
          </cell>
          <cell r="AP594">
            <v>0</v>
          </cell>
          <cell r="AQ594">
            <v>2723.18</v>
          </cell>
          <cell r="AR594">
            <v>0</v>
          </cell>
          <cell r="AS594">
            <v>0</v>
          </cell>
          <cell r="AT594">
            <v>0</v>
          </cell>
          <cell r="AU594">
            <v>0</v>
          </cell>
        </row>
        <row r="595">
          <cell r="A595">
            <v>8334</v>
          </cell>
          <cell r="B595" t="str">
            <v>WATRELOS</v>
          </cell>
          <cell r="C595" t="str">
            <v>BRUNO</v>
          </cell>
          <cell r="D595" t="str">
            <v>LA MADELEINE</v>
          </cell>
          <cell r="E595">
            <v>91</v>
          </cell>
          <cell r="F595" t="str">
            <v>NC NUMERICABLE ILE-DE-FRANCE</v>
          </cell>
          <cell r="G595" t="str">
            <v>B TO B</v>
          </cell>
          <cell r="H595" t="str">
            <v>PRADERE</v>
          </cell>
          <cell r="I595" t="str">
            <v>NPCA504001</v>
          </cell>
          <cell r="J595">
            <v>100</v>
          </cell>
          <cell r="K595">
            <v>33451</v>
          </cell>
          <cell r="L595" t="str">
            <v>ATTACHE COMMERCIAL</v>
          </cell>
          <cell r="M595" t="str">
            <v>CADRE</v>
          </cell>
          <cell r="N595" t="str">
            <v>DB</v>
          </cell>
          <cell r="O595" t="str">
            <v>CDI</v>
          </cell>
          <cell r="P595">
            <v>151.57</v>
          </cell>
          <cell r="Q595">
            <v>1699</v>
          </cell>
          <cell r="R595">
            <v>832.91</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246.69</v>
          </cell>
          <cell r="AO595">
            <v>0</v>
          </cell>
          <cell r="AP595">
            <v>-209.65</v>
          </cell>
          <cell r="AQ595">
            <v>1349.91</v>
          </cell>
          <cell r="AR595">
            <v>0</v>
          </cell>
          <cell r="AS595">
            <v>0</v>
          </cell>
          <cell r="AT595">
            <v>0</v>
          </cell>
          <cell r="AU595">
            <v>0</v>
          </cell>
        </row>
        <row r="596">
          <cell r="A596">
            <v>19725</v>
          </cell>
          <cell r="B596" t="str">
            <v>GUILLEMAN</v>
          </cell>
          <cell r="C596" t="str">
            <v>JEAN MICHEL</v>
          </cell>
          <cell r="D596" t="str">
            <v>LA MADELEINE</v>
          </cell>
          <cell r="E596">
            <v>91</v>
          </cell>
          <cell r="F596" t="str">
            <v>NC NUMERICABLE ILE-DE-FRANCE</v>
          </cell>
          <cell r="G596" t="str">
            <v>VAD CONSEILLERS</v>
          </cell>
          <cell r="H596" t="str">
            <v>GUIONNET</v>
          </cell>
          <cell r="I596" t="str">
            <v>NPCA500001</v>
          </cell>
          <cell r="J596">
            <v>100</v>
          </cell>
          <cell r="K596">
            <v>34358</v>
          </cell>
          <cell r="L596" t="str">
            <v>ANIMATEUR COM.</v>
          </cell>
          <cell r="M596" t="str">
            <v>CADRE</v>
          </cell>
          <cell r="N596" t="str">
            <v>DB</v>
          </cell>
          <cell r="O596" t="str">
            <v>CDI</v>
          </cell>
          <cell r="P596">
            <v>151.57</v>
          </cell>
          <cell r="Q596">
            <v>1800</v>
          </cell>
          <cell r="R596">
            <v>1665.18</v>
          </cell>
          <cell r="S596">
            <v>0</v>
          </cell>
          <cell r="T596">
            <v>1650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371.55</v>
          </cell>
          <cell r="AO596">
            <v>0</v>
          </cell>
          <cell r="AP596">
            <v>0</v>
          </cell>
          <cell r="AQ596">
            <v>1800</v>
          </cell>
          <cell r="AR596">
            <v>0</v>
          </cell>
          <cell r="AS596">
            <v>1006.32</v>
          </cell>
          <cell r="AT596">
            <v>0</v>
          </cell>
          <cell r="AU596">
            <v>0</v>
          </cell>
        </row>
        <row r="597">
          <cell r="A597" t="str">
            <v>000A0655</v>
          </cell>
          <cell r="B597" t="str">
            <v>BOMBA</v>
          </cell>
          <cell r="C597" t="str">
            <v>YVES</v>
          </cell>
          <cell r="D597" t="str">
            <v>BELFORT</v>
          </cell>
          <cell r="E597">
            <v>91</v>
          </cell>
          <cell r="F597" t="str">
            <v>NC NUMERICABLE ILE-DE-FRANCE</v>
          </cell>
          <cell r="G597" t="str">
            <v>INFORMATIQUE</v>
          </cell>
          <cell r="I597" t="str">
            <v>GENE905001</v>
          </cell>
          <cell r="J597">
            <v>100</v>
          </cell>
          <cell r="K597">
            <v>34430</v>
          </cell>
          <cell r="L597" t="str">
            <v>CHARGE(E) EXP. INFO.</v>
          </cell>
          <cell r="M597" t="str">
            <v>CADRE</v>
          </cell>
          <cell r="N597" t="str">
            <v>E</v>
          </cell>
          <cell r="O597" t="str">
            <v>CDI</v>
          </cell>
          <cell r="P597">
            <v>151.57</v>
          </cell>
          <cell r="Q597">
            <v>3289</v>
          </cell>
          <cell r="R597">
            <v>1694.61</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-177.54</v>
          </cell>
          <cell r="AN597">
            <v>354.21</v>
          </cell>
          <cell r="AO597">
            <v>-177.54</v>
          </cell>
          <cell r="AP597">
            <v>0</v>
          </cell>
          <cell r="AQ597">
            <v>3289</v>
          </cell>
          <cell r="AR597">
            <v>0</v>
          </cell>
          <cell r="AS597">
            <v>0</v>
          </cell>
          <cell r="AT597">
            <v>0</v>
          </cell>
          <cell r="AU597">
            <v>0</v>
          </cell>
        </row>
        <row r="598">
          <cell r="A598" t="str">
            <v>000A0802</v>
          </cell>
          <cell r="B598" t="str">
            <v>CANAS</v>
          </cell>
          <cell r="C598" t="str">
            <v>GILLES</v>
          </cell>
          <cell r="D598" t="str">
            <v>VILLEURBANNE</v>
          </cell>
          <cell r="E598">
            <v>91</v>
          </cell>
          <cell r="F598" t="str">
            <v>NC NUMERICABLE ILE-DE-FRANCE</v>
          </cell>
          <cell r="G598" t="str">
            <v>INFORMATIQUE</v>
          </cell>
          <cell r="H598" t="str">
            <v>DELEBARRE JL</v>
          </cell>
          <cell r="I598" t="str">
            <v>GENE620001</v>
          </cell>
          <cell r="J598">
            <v>100</v>
          </cell>
          <cell r="K598">
            <v>36766</v>
          </cell>
          <cell r="L598" t="str">
            <v>RESP. ETUDES  EXP.</v>
          </cell>
          <cell r="M598" t="str">
            <v>CADRE</v>
          </cell>
          <cell r="N598" t="str">
            <v>F</v>
          </cell>
          <cell r="O598" t="str">
            <v>CDI</v>
          </cell>
          <cell r="P598">
            <v>151.57</v>
          </cell>
          <cell r="Q598">
            <v>5402</v>
          </cell>
          <cell r="R598">
            <v>2389.2199999999998</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591.23</v>
          </cell>
          <cell r="AO598">
            <v>0</v>
          </cell>
          <cell r="AP598">
            <v>0</v>
          </cell>
          <cell r="AQ598">
            <v>4654.1400000000003</v>
          </cell>
          <cell r="AR598">
            <v>0</v>
          </cell>
          <cell r="AS598">
            <v>0</v>
          </cell>
          <cell r="AT598">
            <v>0</v>
          </cell>
          <cell r="AU598">
            <v>0</v>
          </cell>
        </row>
        <row r="599">
          <cell r="A599" t="str">
            <v>000A0947</v>
          </cell>
          <cell r="B599" t="str">
            <v>LETAMENDIA</v>
          </cell>
          <cell r="C599" t="str">
            <v>CHARLOTTE</v>
          </cell>
          <cell r="D599" t="str">
            <v>SIEGE</v>
          </cell>
          <cell r="E599">
            <v>91</v>
          </cell>
          <cell r="F599" t="str">
            <v>NC NUMERICABLE ILE-DE-FRANCE</v>
          </cell>
          <cell r="G599" t="str">
            <v>TECHNIQUE</v>
          </cell>
          <cell r="H599" t="str">
            <v>TRUYENS</v>
          </cell>
          <cell r="I599" t="str">
            <v>GENE306001</v>
          </cell>
          <cell r="J599">
            <v>100</v>
          </cell>
          <cell r="K599">
            <v>37448</v>
          </cell>
          <cell r="L599" t="str">
            <v>RESP. TECH. SUPPORT</v>
          </cell>
          <cell r="M599" t="str">
            <v>CADRE</v>
          </cell>
          <cell r="N599" t="str">
            <v>E</v>
          </cell>
          <cell r="O599" t="str">
            <v>CDI</v>
          </cell>
          <cell r="P599">
            <v>151.57</v>
          </cell>
          <cell r="Q599">
            <v>3500</v>
          </cell>
          <cell r="R599">
            <v>1210.96</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376.92</v>
          </cell>
          <cell r="AO599">
            <v>23.61</v>
          </cell>
          <cell r="AP599">
            <v>0</v>
          </cell>
          <cell r="AQ599">
            <v>2369.4</v>
          </cell>
          <cell r="AR599">
            <v>0</v>
          </cell>
          <cell r="AS599">
            <v>0</v>
          </cell>
          <cell r="AT599">
            <v>0</v>
          </cell>
          <cell r="AU599">
            <v>0</v>
          </cell>
        </row>
        <row r="600">
          <cell r="A600" t="str">
            <v>000N0246</v>
          </cell>
          <cell r="B600" t="str">
            <v>CHOMEL</v>
          </cell>
          <cell r="C600" t="str">
            <v>TONY</v>
          </cell>
          <cell r="D600" t="str">
            <v>NICE</v>
          </cell>
          <cell r="E600">
            <v>91</v>
          </cell>
          <cell r="F600" t="str">
            <v>NC NUMERICABLE ILE-DE-FRANCE</v>
          </cell>
          <cell r="G600" t="str">
            <v>MAINTENANCE RESEAU</v>
          </cell>
          <cell r="H600" t="str">
            <v>LE NABEC</v>
          </cell>
          <cell r="I600" t="str">
            <v>SUES300001</v>
          </cell>
          <cell r="J600">
            <v>100</v>
          </cell>
          <cell r="K600">
            <v>34526</v>
          </cell>
          <cell r="L600" t="str">
            <v>EXPERT TECHNIQUE TDR ET RESEAUX</v>
          </cell>
          <cell r="M600" t="str">
            <v>478D</v>
          </cell>
          <cell r="N600" t="str">
            <v>DB</v>
          </cell>
          <cell r="O600" t="str">
            <v>CDI</v>
          </cell>
          <cell r="P600">
            <v>151.57</v>
          </cell>
          <cell r="Q600">
            <v>2365.91</v>
          </cell>
          <cell r="R600">
            <v>1912.47</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219</v>
          </cell>
          <cell r="AL600">
            <v>0</v>
          </cell>
          <cell r="AM600">
            <v>0</v>
          </cell>
          <cell r="AN600">
            <v>427.74</v>
          </cell>
          <cell r="AO600">
            <v>0</v>
          </cell>
          <cell r="AP600">
            <v>0</v>
          </cell>
          <cell r="AQ600">
            <v>3752.95</v>
          </cell>
          <cell r="AR600">
            <v>0</v>
          </cell>
          <cell r="AS600">
            <v>219</v>
          </cell>
          <cell r="AT600">
            <v>0</v>
          </cell>
          <cell r="AU600">
            <v>0</v>
          </cell>
        </row>
        <row r="601">
          <cell r="A601" t="str">
            <v>000BR157</v>
          </cell>
          <cell r="B601" t="str">
            <v>RAMBAUD</v>
          </cell>
          <cell r="C601" t="str">
            <v>GAEL</v>
          </cell>
          <cell r="D601" t="str">
            <v>VILLEURBANNE</v>
          </cell>
          <cell r="E601">
            <v>91</v>
          </cell>
          <cell r="F601" t="str">
            <v>NC NUMERICABLE ILE-DE-FRANCE</v>
          </cell>
          <cell r="G601" t="str">
            <v>INFORMATIQUE</v>
          </cell>
          <cell r="H601" t="str">
            <v>CANAS</v>
          </cell>
          <cell r="I601" t="str">
            <v>GENE620001</v>
          </cell>
          <cell r="J601">
            <v>100</v>
          </cell>
          <cell r="K601">
            <v>36623</v>
          </cell>
          <cell r="L601" t="str">
            <v>SUPPORT EXP. PROD.</v>
          </cell>
          <cell r="M601" t="str">
            <v>TSM</v>
          </cell>
          <cell r="N601" t="str">
            <v>D</v>
          </cell>
          <cell r="O601" t="str">
            <v>CDI</v>
          </cell>
          <cell r="P601">
            <v>151.57</v>
          </cell>
          <cell r="Q601">
            <v>2080</v>
          </cell>
          <cell r="R601">
            <v>1579.95</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514.61</v>
          </cell>
          <cell r="AG601">
            <v>133.81</v>
          </cell>
          <cell r="AH601">
            <v>61.75</v>
          </cell>
          <cell r="AI601">
            <v>0</v>
          </cell>
          <cell r="AJ601">
            <v>25.74</v>
          </cell>
          <cell r="AK601">
            <v>409</v>
          </cell>
          <cell r="AL601">
            <v>0</v>
          </cell>
          <cell r="AM601">
            <v>0</v>
          </cell>
          <cell r="AN601">
            <v>347.28</v>
          </cell>
          <cell r="AO601">
            <v>0</v>
          </cell>
          <cell r="AP601">
            <v>0</v>
          </cell>
          <cell r="AQ601">
            <v>2790.17</v>
          </cell>
          <cell r="AR601">
            <v>25.74</v>
          </cell>
          <cell r="AS601">
            <v>409</v>
          </cell>
          <cell r="AT601">
            <v>0</v>
          </cell>
          <cell r="AU601">
            <v>0</v>
          </cell>
        </row>
        <row r="602">
          <cell r="A602">
            <v>50735</v>
          </cell>
          <cell r="B602" t="str">
            <v>CHRISTIA</v>
          </cell>
          <cell r="C602" t="str">
            <v>SYLVIE</v>
          </cell>
          <cell r="D602" t="str">
            <v>SIEGE</v>
          </cell>
          <cell r="E602">
            <v>91</v>
          </cell>
          <cell r="F602" t="str">
            <v>NC NUMERICABLE ILE-DE-FRANCE</v>
          </cell>
          <cell r="G602" t="str">
            <v>CLIENTELE</v>
          </cell>
          <cell r="H602" t="str">
            <v>DENOYER</v>
          </cell>
          <cell r="I602" t="str">
            <v>GENE700001</v>
          </cell>
          <cell r="J602">
            <v>100</v>
          </cell>
          <cell r="K602">
            <v>34429</v>
          </cell>
          <cell r="L602" t="str">
            <v>RESP.TECH.CLIENTELE</v>
          </cell>
          <cell r="M602" t="str">
            <v>CADRE</v>
          </cell>
          <cell r="N602" t="str">
            <v>E</v>
          </cell>
          <cell r="O602" t="str">
            <v>CDI</v>
          </cell>
          <cell r="P602">
            <v>151.57</v>
          </cell>
          <cell r="Q602">
            <v>3750</v>
          </cell>
          <cell r="R602">
            <v>1859.91</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387.63</v>
          </cell>
          <cell r="AO602">
            <v>23.61</v>
          </cell>
          <cell r="AP602">
            <v>0</v>
          </cell>
          <cell r="AQ602">
            <v>3750</v>
          </cell>
          <cell r="AR602">
            <v>0</v>
          </cell>
          <cell r="AS602">
            <v>0</v>
          </cell>
          <cell r="AT602">
            <v>0</v>
          </cell>
          <cell r="AU602">
            <v>0</v>
          </cell>
        </row>
        <row r="603">
          <cell r="A603" t="str">
            <v>000A0834</v>
          </cell>
          <cell r="B603" t="str">
            <v>GAUTHIER</v>
          </cell>
          <cell r="C603" t="str">
            <v>PASCAL</v>
          </cell>
          <cell r="D603" t="str">
            <v>VANVES</v>
          </cell>
          <cell r="E603">
            <v>91</v>
          </cell>
          <cell r="F603" t="str">
            <v>NC NUMERICABLE ILE-DE-FRANCE</v>
          </cell>
          <cell r="G603" t="str">
            <v>INGENIERIE RESEAUX</v>
          </cell>
          <cell r="H603" t="str">
            <v>DELEBARRE JL</v>
          </cell>
          <cell r="I603" t="str">
            <v>GENE306001</v>
          </cell>
          <cell r="J603">
            <v>100</v>
          </cell>
          <cell r="K603">
            <v>36808</v>
          </cell>
          <cell r="L603" t="str">
            <v>RESP.SUPP.NATIONAL</v>
          </cell>
          <cell r="M603" t="str">
            <v>CADRE</v>
          </cell>
          <cell r="N603" t="str">
            <v>F</v>
          </cell>
          <cell r="O603" t="str">
            <v>CDI</v>
          </cell>
          <cell r="P603">
            <v>151.57</v>
          </cell>
          <cell r="Q603">
            <v>6275</v>
          </cell>
          <cell r="R603">
            <v>3225.82</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699.39</v>
          </cell>
          <cell r="AO603">
            <v>0</v>
          </cell>
          <cell r="AP603">
            <v>0</v>
          </cell>
          <cell r="AQ603">
            <v>6275</v>
          </cell>
          <cell r="AR603">
            <v>0</v>
          </cell>
          <cell r="AS603">
            <v>0</v>
          </cell>
          <cell r="AT603">
            <v>0</v>
          </cell>
          <cell r="AU603">
            <v>0</v>
          </cell>
        </row>
        <row r="604">
          <cell r="A604" t="str">
            <v>000A0989</v>
          </cell>
          <cell r="B604" t="str">
            <v>TESTU-BLANC</v>
          </cell>
          <cell r="C604" t="str">
            <v>ELEONORE</v>
          </cell>
          <cell r="D604" t="str">
            <v>SIEGE</v>
          </cell>
          <cell r="E604">
            <v>91</v>
          </cell>
          <cell r="F604" t="str">
            <v>NC NUMERICABLE ILE-DE-FRANCE</v>
          </cell>
          <cell r="G604" t="str">
            <v>VENTE</v>
          </cell>
          <cell r="I604" t="str">
            <v>GENE905001</v>
          </cell>
          <cell r="J604">
            <v>100</v>
          </cell>
          <cell r="K604">
            <v>37812</v>
          </cell>
          <cell r="L604" t="str">
            <v>CHEF DE PRODUIT</v>
          </cell>
          <cell r="M604" t="str">
            <v>CADRE</v>
          </cell>
          <cell r="N604" t="str">
            <v>E</v>
          </cell>
          <cell r="O604" t="str">
            <v>CDI</v>
          </cell>
          <cell r="P604">
            <v>151.57</v>
          </cell>
          <cell r="Q604">
            <v>3925</v>
          </cell>
          <cell r="R604">
            <v>821.71</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294.83</v>
          </cell>
          <cell r="AN604">
            <v>210.4</v>
          </cell>
          <cell r="AO604">
            <v>318.44</v>
          </cell>
          <cell r="AP604">
            <v>0</v>
          </cell>
          <cell r="AQ604">
            <v>3925</v>
          </cell>
          <cell r="AR604">
            <v>0</v>
          </cell>
          <cell r="AS604">
            <v>0</v>
          </cell>
          <cell r="AT604">
            <v>0</v>
          </cell>
          <cell r="AU604">
            <v>0</v>
          </cell>
        </row>
        <row r="605">
          <cell r="A605" t="str">
            <v>000A0785</v>
          </cell>
          <cell r="B605" t="str">
            <v>COLLOMB</v>
          </cell>
          <cell r="C605" t="str">
            <v>NATHALIE</v>
          </cell>
          <cell r="D605" t="str">
            <v>SIEGE</v>
          </cell>
          <cell r="E605">
            <v>91</v>
          </cell>
          <cell r="F605" t="str">
            <v>NC NUMERICABLE ILE-DE-FRANCE</v>
          </cell>
          <cell r="G605" t="str">
            <v>DIRECTION REGIONALE</v>
          </cell>
          <cell r="H605" t="str">
            <v>BEAURAIN</v>
          </cell>
          <cell r="I605" t="str">
            <v>IDFR520001</v>
          </cell>
          <cell r="J605">
            <v>100</v>
          </cell>
          <cell r="K605">
            <v>36675</v>
          </cell>
          <cell r="L605" t="str">
            <v>ASSIST. ADMINISTRAT.</v>
          </cell>
          <cell r="M605" t="str">
            <v>EMPLOYE</v>
          </cell>
          <cell r="N605" t="str">
            <v>D</v>
          </cell>
          <cell r="O605" t="str">
            <v>CDI</v>
          </cell>
          <cell r="P605">
            <v>151.57</v>
          </cell>
          <cell r="Q605">
            <v>2089.4</v>
          </cell>
          <cell r="R605">
            <v>1021.51</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7.1</v>
          </cell>
          <cell r="AN605">
            <v>150.01</v>
          </cell>
          <cell r="AO605">
            <v>28.97</v>
          </cell>
          <cell r="AP605">
            <v>0</v>
          </cell>
          <cell r="AQ605">
            <v>2096.5</v>
          </cell>
          <cell r="AR605">
            <v>0</v>
          </cell>
          <cell r="AS605">
            <v>0</v>
          </cell>
          <cell r="AT605">
            <v>0</v>
          </cell>
          <cell r="AU605">
            <v>0</v>
          </cell>
        </row>
        <row r="606">
          <cell r="A606" t="str">
            <v>000A1356</v>
          </cell>
          <cell r="B606" t="str">
            <v>TOUAOULA</v>
          </cell>
          <cell r="C606" t="str">
            <v>KATAB</v>
          </cell>
          <cell r="D606" t="str">
            <v>TOULOUSE</v>
          </cell>
          <cell r="E606">
            <v>91</v>
          </cell>
          <cell r="F606" t="str">
            <v>NC NUMERICABLE ILE-DE-FRANCE</v>
          </cell>
          <cell r="G606" t="str">
            <v>BOUTIQUE</v>
          </cell>
          <cell r="H606" t="str">
            <v>RANDRIAMIHAMISON</v>
          </cell>
          <cell r="I606" t="str">
            <v>SUOU507001</v>
          </cell>
          <cell r="J606">
            <v>100</v>
          </cell>
          <cell r="K606">
            <v>38684</v>
          </cell>
          <cell r="L606" t="str">
            <v>CONSEILLER(E) CLT BOUTIQUE</v>
          </cell>
          <cell r="M606" t="str">
            <v>EMPLOYE</v>
          </cell>
          <cell r="N606" t="str">
            <v>C</v>
          </cell>
          <cell r="O606" t="str">
            <v>CDI</v>
          </cell>
          <cell r="P606">
            <v>151.57</v>
          </cell>
          <cell r="Q606">
            <v>1266</v>
          </cell>
          <cell r="R606">
            <v>933.34</v>
          </cell>
          <cell r="S606">
            <v>0</v>
          </cell>
          <cell r="T606">
            <v>547.20000000000005</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195.26</v>
          </cell>
          <cell r="AO606">
            <v>0</v>
          </cell>
          <cell r="AP606">
            <v>0</v>
          </cell>
          <cell r="AQ606">
            <v>1266</v>
          </cell>
          <cell r="AR606">
            <v>0</v>
          </cell>
          <cell r="AS606">
            <v>0</v>
          </cell>
          <cell r="AT606">
            <v>0</v>
          </cell>
          <cell r="AU606">
            <v>0</v>
          </cell>
        </row>
        <row r="607">
          <cell r="A607" t="str">
            <v>000A1573</v>
          </cell>
          <cell r="B607" t="str">
            <v>MOLINA ROMERA</v>
          </cell>
          <cell r="C607" t="str">
            <v>HELENE</v>
          </cell>
          <cell r="D607" t="str">
            <v>BORDEAUX</v>
          </cell>
          <cell r="E607">
            <v>91</v>
          </cell>
          <cell r="F607" t="str">
            <v>NC NUMERICABLE ILE-DE-FRANCE</v>
          </cell>
          <cell r="G607" t="str">
            <v>VAD CONSEILLERS</v>
          </cell>
          <cell r="H607" t="str">
            <v>GALERA</v>
          </cell>
          <cell r="I607" t="str">
            <v>SUOU500001</v>
          </cell>
          <cell r="J607">
            <v>100</v>
          </cell>
          <cell r="K607">
            <v>38768</v>
          </cell>
          <cell r="L607" t="str">
            <v>CONSEILLER(E) COM.</v>
          </cell>
          <cell r="M607" t="str">
            <v>TSM</v>
          </cell>
          <cell r="N607" t="str">
            <v>D</v>
          </cell>
          <cell r="O607" t="str">
            <v>CDI</v>
          </cell>
          <cell r="P607">
            <v>151.57</v>
          </cell>
          <cell r="Q607">
            <v>0</v>
          </cell>
          <cell r="R607">
            <v>526.13</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306.02999999999997</v>
          </cell>
          <cell r="AO607">
            <v>0</v>
          </cell>
          <cell r="AP607">
            <v>0</v>
          </cell>
          <cell r="AQ607">
            <v>1177.28</v>
          </cell>
          <cell r="AR607">
            <v>0</v>
          </cell>
          <cell r="AS607">
            <v>0</v>
          </cell>
          <cell r="AT607">
            <v>0</v>
          </cell>
          <cell r="AU607">
            <v>0</v>
          </cell>
        </row>
        <row r="608">
          <cell r="A608" t="str">
            <v>000A1139</v>
          </cell>
          <cell r="B608" t="str">
            <v>NUNES</v>
          </cell>
          <cell r="C608" t="str">
            <v>JUDITH</v>
          </cell>
          <cell r="D608" t="str">
            <v>SIEGE</v>
          </cell>
          <cell r="E608">
            <v>91</v>
          </cell>
          <cell r="F608" t="str">
            <v>NC NUMERICABLE ILE-DE-FRANCE</v>
          </cell>
          <cell r="G608" t="str">
            <v>COMPTABILITE</v>
          </cell>
          <cell r="H608" t="str">
            <v>BARBERY</v>
          </cell>
          <cell r="I608" t="str">
            <v>GENE701001</v>
          </cell>
          <cell r="J608">
            <v>100</v>
          </cell>
          <cell r="K608">
            <v>38628</v>
          </cell>
          <cell r="L608" t="str">
            <v>COMPTABLE.NIV.1</v>
          </cell>
          <cell r="M608" t="str">
            <v>EMPLOYE</v>
          </cell>
          <cell r="N608" t="str">
            <v>C</v>
          </cell>
          <cell r="O608" t="str">
            <v>CDD</v>
          </cell>
          <cell r="P608">
            <v>151.57</v>
          </cell>
          <cell r="Q608">
            <v>2060</v>
          </cell>
          <cell r="R608">
            <v>1088.1600000000001</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234.5</v>
          </cell>
          <cell r="AO608">
            <v>0</v>
          </cell>
          <cell r="AP608">
            <v>0</v>
          </cell>
          <cell r="AQ608">
            <v>2100</v>
          </cell>
          <cell r="AR608">
            <v>0</v>
          </cell>
          <cell r="AS608">
            <v>0</v>
          </cell>
          <cell r="AT608">
            <v>0</v>
          </cell>
          <cell r="AU608">
            <v>0</v>
          </cell>
        </row>
        <row r="609">
          <cell r="A609" t="str">
            <v>000A1219</v>
          </cell>
          <cell r="B609" t="str">
            <v>ALLAGBE</v>
          </cell>
          <cell r="C609" t="str">
            <v>DENIS</v>
          </cell>
          <cell r="D609" t="str">
            <v>VERSAILLES</v>
          </cell>
          <cell r="E609">
            <v>91</v>
          </cell>
          <cell r="F609" t="str">
            <v>NC NUMERICABLE ILE-DE-FRANCE</v>
          </cell>
          <cell r="G609" t="str">
            <v>VAD CONSEILLERS</v>
          </cell>
          <cell r="H609" t="str">
            <v>SELLAMI</v>
          </cell>
          <cell r="I609" t="str">
            <v>IDFR500001</v>
          </cell>
          <cell r="J609">
            <v>100</v>
          </cell>
          <cell r="K609">
            <v>38649</v>
          </cell>
          <cell r="L609" t="str">
            <v>CONSEILLER(E) COM.</v>
          </cell>
          <cell r="M609" t="str">
            <v>TSM</v>
          </cell>
          <cell r="N609" t="str">
            <v>D</v>
          </cell>
          <cell r="O609" t="str">
            <v>CDI</v>
          </cell>
          <cell r="P609">
            <v>151.57</v>
          </cell>
          <cell r="Q609">
            <v>1217.8800000000001</v>
          </cell>
          <cell r="R609">
            <v>1351.5</v>
          </cell>
          <cell r="S609">
            <v>0</v>
          </cell>
          <cell r="T609">
            <v>2300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378.84</v>
          </cell>
          <cell r="AO609">
            <v>0</v>
          </cell>
          <cell r="AP609">
            <v>0</v>
          </cell>
          <cell r="AQ609">
            <v>1217.8800000000001</v>
          </cell>
          <cell r="AR609">
            <v>0</v>
          </cell>
          <cell r="AS609">
            <v>0</v>
          </cell>
          <cell r="AT609">
            <v>0</v>
          </cell>
          <cell r="AU609">
            <v>0</v>
          </cell>
        </row>
        <row r="610">
          <cell r="A610" t="str">
            <v>000A1715</v>
          </cell>
          <cell r="B610" t="str">
            <v>TOLBA</v>
          </cell>
          <cell r="C610" t="str">
            <v>SAMIR</v>
          </cell>
          <cell r="D610" t="str">
            <v>RENNES</v>
          </cell>
          <cell r="E610">
            <v>91</v>
          </cell>
          <cell r="F610" t="str">
            <v>NC NUMERICABLE ILE-DE-FRANCE</v>
          </cell>
          <cell r="G610" t="str">
            <v>VAD CONSEILLERS</v>
          </cell>
          <cell r="H610" t="str">
            <v>DONT</v>
          </cell>
          <cell r="I610" t="str">
            <v>RHON500001</v>
          </cell>
          <cell r="J610">
            <v>100</v>
          </cell>
          <cell r="K610">
            <v>38810</v>
          </cell>
          <cell r="L610" t="str">
            <v>CONSEILLER(E) COM.</v>
          </cell>
          <cell r="M610" t="str">
            <v>TSM</v>
          </cell>
          <cell r="N610" t="str">
            <v>D</v>
          </cell>
          <cell r="O610" t="str">
            <v>CDI</v>
          </cell>
          <cell r="P610">
            <v>151.57</v>
          </cell>
          <cell r="Q610">
            <v>0</v>
          </cell>
          <cell r="R610">
            <v>204.88</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405.96</v>
          </cell>
          <cell r="AR610">
            <v>0</v>
          </cell>
          <cell r="AS610">
            <v>0</v>
          </cell>
          <cell r="AT610">
            <v>0</v>
          </cell>
          <cell r="AU610">
            <v>0</v>
          </cell>
        </row>
        <row r="611">
          <cell r="A611" t="str">
            <v>000A1161</v>
          </cell>
          <cell r="B611" t="str">
            <v>TOURTE</v>
          </cell>
          <cell r="C611" t="str">
            <v>SEBASTIEN</v>
          </cell>
          <cell r="D611" t="str">
            <v>MARSEILLE</v>
          </cell>
          <cell r="E611">
            <v>91</v>
          </cell>
          <cell r="F611" t="str">
            <v>NC NUMERICABLE ILE-DE-FRANCE</v>
          </cell>
          <cell r="G611" t="str">
            <v>VAD CONSEILLERS</v>
          </cell>
          <cell r="H611" t="str">
            <v>BELKHIR</v>
          </cell>
          <cell r="I611" t="str">
            <v>SUES500001</v>
          </cell>
          <cell r="J611">
            <v>100</v>
          </cell>
          <cell r="K611">
            <v>38649</v>
          </cell>
          <cell r="L611" t="str">
            <v>CONSEILLER(E) COM.</v>
          </cell>
          <cell r="M611" t="str">
            <v>TSM</v>
          </cell>
          <cell r="N611" t="str">
            <v>D</v>
          </cell>
          <cell r="O611" t="str">
            <v>CDI</v>
          </cell>
          <cell r="P611">
            <v>151.57</v>
          </cell>
          <cell r="Q611">
            <v>1217.8800000000001</v>
          </cell>
          <cell r="R611">
            <v>604.29999999999995</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109.3</v>
          </cell>
          <cell r="AO611">
            <v>0</v>
          </cell>
          <cell r="AP611">
            <v>0</v>
          </cell>
          <cell r="AQ611">
            <v>1014.9</v>
          </cell>
          <cell r="AR611">
            <v>0</v>
          </cell>
          <cell r="AS611">
            <v>0</v>
          </cell>
          <cell r="AT611">
            <v>0</v>
          </cell>
          <cell r="AU611">
            <v>0</v>
          </cell>
        </row>
        <row r="612">
          <cell r="A612" t="str">
            <v>000A1432</v>
          </cell>
          <cell r="B612" t="str">
            <v>GIOVINAZZO</v>
          </cell>
          <cell r="C612" t="str">
            <v>LORIS</v>
          </cell>
          <cell r="D612" t="str">
            <v>NICE</v>
          </cell>
          <cell r="E612">
            <v>91</v>
          </cell>
          <cell r="F612" t="str">
            <v>NC NUMERICABLE ILE-DE-FRANCE</v>
          </cell>
          <cell r="G612" t="str">
            <v>VAD CONSEILLERS</v>
          </cell>
          <cell r="H612" t="str">
            <v>DEPREEUW</v>
          </cell>
          <cell r="I612" t="str">
            <v>SUES500001</v>
          </cell>
          <cell r="J612">
            <v>100</v>
          </cell>
          <cell r="K612">
            <v>38747</v>
          </cell>
          <cell r="L612" t="str">
            <v>CONSEILLER(E) COM.</v>
          </cell>
          <cell r="M612" t="str">
            <v>TSM</v>
          </cell>
          <cell r="N612" t="str">
            <v>D</v>
          </cell>
          <cell r="O612" t="str">
            <v>CDI</v>
          </cell>
          <cell r="P612">
            <v>151.57</v>
          </cell>
          <cell r="Q612">
            <v>1299.07</v>
          </cell>
          <cell r="R612">
            <v>35.840000000000003</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81.19</v>
          </cell>
          <cell r="AR612">
            <v>0</v>
          </cell>
          <cell r="AS612">
            <v>0</v>
          </cell>
          <cell r="AT612">
            <v>0</v>
          </cell>
          <cell r="AU612">
            <v>0</v>
          </cell>
        </row>
        <row r="613">
          <cell r="A613" t="str">
            <v>000A1629</v>
          </cell>
          <cell r="B613" t="str">
            <v>KALALA</v>
          </cell>
          <cell r="C613" t="str">
            <v>CHIRONNE-BRUDEY</v>
          </cell>
          <cell r="D613" t="str">
            <v>RENNES</v>
          </cell>
          <cell r="E613">
            <v>91</v>
          </cell>
          <cell r="F613" t="str">
            <v>NC NUMERICABLE ILE-DE-FRANCE</v>
          </cell>
          <cell r="G613" t="str">
            <v>VAD CONSEILLERS</v>
          </cell>
          <cell r="H613" t="str">
            <v>JAUD</v>
          </cell>
          <cell r="I613" t="str">
            <v>OUES500001</v>
          </cell>
          <cell r="J613">
            <v>100</v>
          </cell>
          <cell r="K613">
            <v>38782</v>
          </cell>
          <cell r="L613" t="str">
            <v>CONSEILLER(E) COM.</v>
          </cell>
          <cell r="M613" t="str">
            <v>TSM</v>
          </cell>
          <cell r="N613" t="str">
            <v>D</v>
          </cell>
          <cell r="O613" t="str">
            <v>CDI</v>
          </cell>
          <cell r="P613">
            <v>151.57</v>
          </cell>
          <cell r="Q613">
            <v>0</v>
          </cell>
          <cell r="R613">
            <v>489.75</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112.5</v>
          </cell>
          <cell r="AM613">
            <v>0</v>
          </cell>
          <cell r="AN613">
            <v>244.83</v>
          </cell>
          <cell r="AO613">
            <v>0</v>
          </cell>
          <cell r="AP613">
            <v>0</v>
          </cell>
          <cell r="AQ613">
            <v>1217.8800000000001</v>
          </cell>
          <cell r="AR613">
            <v>112.5</v>
          </cell>
          <cell r="AS613">
            <v>0</v>
          </cell>
          <cell r="AT613">
            <v>0</v>
          </cell>
          <cell r="AU613">
            <v>0</v>
          </cell>
        </row>
        <row r="614">
          <cell r="A614" t="str">
            <v>000A1679</v>
          </cell>
          <cell r="B614" t="str">
            <v>IDRISSI</v>
          </cell>
          <cell r="C614" t="str">
            <v>MARIA</v>
          </cell>
          <cell r="D614" t="str">
            <v>BORDEAUX</v>
          </cell>
          <cell r="E614">
            <v>91</v>
          </cell>
          <cell r="F614" t="str">
            <v>NC NUMERICABLE ILE-DE-FRANCE</v>
          </cell>
          <cell r="G614" t="str">
            <v>VAD CONSEILLERS</v>
          </cell>
          <cell r="H614" t="str">
            <v>GALERA</v>
          </cell>
          <cell r="I614" t="str">
            <v>SUOU500001</v>
          </cell>
          <cell r="J614">
            <v>100</v>
          </cell>
          <cell r="K614">
            <v>38810</v>
          </cell>
          <cell r="L614" t="str">
            <v>CONSEILLER(E) COM.</v>
          </cell>
          <cell r="M614" t="str">
            <v>TSM</v>
          </cell>
          <cell r="N614" t="str">
            <v>D</v>
          </cell>
          <cell r="O614" t="str">
            <v>CDI</v>
          </cell>
          <cell r="P614">
            <v>151.57</v>
          </cell>
          <cell r="Q614">
            <v>0</v>
          </cell>
          <cell r="R614">
            <v>317.08</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1136.69</v>
          </cell>
          <cell r="AR614">
            <v>0</v>
          </cell>
          <cell r="AS614">
            <v>0</v>
          </cell>
          <cell r="AT614">
            <v>0</v>
          </cell>
          <cell r="AU614">
            <v>0</v>
          </cell>
        </row>
        <row r="615">
          <cell r="A615" t="str">
            <v>000A1396</v>
          </cell>
          <cell r="B615" t="str">
            <v>GALUPPO</v>
          </cell>
          <cell r="C615" t="str">
            <v>MARC</v>
          </cell>
          <cell r="D615" t="str">
            <v>SIEGE</v>
          </cell>
          <cell r="E615">
            <v>91</v>
          </cell>
          <cell r="F615" t="str">
            <v>NC NUMERICABLE ILE-DE-FRANCE</v>
          </cell>
          <cell r="G615" t="str">
            <v>VAD CONSEILLERS</v>
          </cell>
          <cell r="H615" t="str">
            <v>FERRADJ</v>
          </cell>
          <cell r="I615" t="str">
            <v>NPCA500001</v>
          </cell>
          <cell r="J615">
            <v>100</v>
          </cell>
          <cell r="K615">
            <v>38720</v>
          </cell>
          <cell r="L615" t="str">
            <v>CONSEILLER(E) COM.</v>
          </cell>
          <cell r="M615" t="str">
            <v>TSM</v>
          </cell>
          <cell r="N615" t="str">
            <v>D</v>
          </cell>
          <cell r="O615" t="str">
            <v>CDI</v>
          </cell>
          <cell r="P615">
            <v>151.57</v>
          </cell>
          <cell r="Q615">
            <v>1217.8800000000001</v>
          </cell>
          <cell r="R615">
            <v>2025.11</v>
          </cell>
          <cell r="S615">
            <v>0</v>
          </cell>
          <cell r="T615">
            <v>4600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595.94000000000005</v>
          </cell>
          <cell r="AO615">
            <v>0</v>
          </cell>
          <cell r="AP615">
            <v>0</v>
          </cell>
          <cell r="AQ615">
            <v>933.71</v>
          </cell>
          <cell r="AR615">
            <v>0</v>
          </cell>
          <cell r="AS615">
            <v>0</v>
          </cell>
          <cell r="AT615">
            <v>0</v>
          </cell>
          <cell r="AU615">
            <v>0</v>
          </cell>
        </row>
        <row r="616">
          <cell r="A616" t="str">
            <v>000A1606</v>
          </cell>
          <cell r="B616" t="str">
            <v>SOUSSO</v>
          </cell>
          <cell r="C616" t="str">
            <v>DIALY MOUSSA</v>
          </cell>
          <cell r="D616" t="str">
            <v>SAINT ETIENNE</v>
          </cell>
          <cell r="E616">
            <v>91</v>
          </cell>
          <cell r="F616" t="str">
            <v>NC NUMERICABLE ILE-DE-FRANCE</v>
          </cell>
          <cell r="G616" t="str">
            <v>VAD CONSEILLERS</v>
          </cell>
          <cell r="H616" t="str">
            <v>DONT</v>
          </cell>
          <cell r="I616" t="str">
            <v>RHON500001</v>
          </cell>
          <cell r="J616">
            <v>100</v>
          </cell>
          <cell r="K616">
            <v>38782</v>
          </cell>
          <cell r="L616" t="str">
            <v>CONSEILLER(E) COM.</v>
          </cell>
          <cell r="M616" t="str">
            <v>TSM</v>
          </cell>
          <cell r="N616" t="str">
            <v>D</v>
          </cell>
          <cell r="O616" t="str">
            <v>CDI</v>
          </cell>
          <cell r="P616">
            <v>151.57</v>
          </cell>
          <cell r="Q616">
            <v>0</v>
          </cell>
          <cell r="R616">
            <v>679.82</v>
          </cell>
          <cell r="S616">
            <v>0</v>
          </cell>
          <cell r="T616">
            <v>857.5</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337.17</v>
          </cell>
          <cell r="AO616">
            <v>0</v>
          </cell>
          <cell r="AP616">
            <v>0</v>
          </cell>
          <cell r="AQ616">
            <v>1217.8800000000001</v>
          </cell>
          <cell r="AR616">
            <v>0</v>
          </cell>
          <cell r="AS616">
            <v>0</v>
          </cell>
          <cell r="AT616">
            <v>0</v>
          </cell>
          <cell r="AU616">
            <v>0</v>
          </cell>
        </row>
        <row r="617">
          <cell r="A617" t="str">
            <v>000A1263</v>
          </cell>
          <cell r="B617" t="str">
            <v>GOBERT</v>
          </cell>
          <cell r="C617" t="str">
            <v>DANIELE</v>
          </cell>
          <cell r="D617" t="str">
            <v>METZ</v>
          </cell>
          <cell r="E617">
            <v>91</v>
          </cell>
          <cell r="F617" t="str">
            <v>NC NUMERICABLE ILE-DE-FRANCE</v>
          </cell>
          <cell r="G617" t="str">
            <v>VAD CONSEILLERS</v>
          </cell>
          <cell r="H617" t="str">
            <v>YAICI</v>
          </cell>
          <cell r="I617" t="str">
            <v>ESTR500001</v>
          </cell>
          <cell r="J617">
            <v>100</v>
          </cell>
          <cell r="K617">
            <v>38684</v>
          </cell>
          <cell r="L617" t="str">
            <v>CONSEILLER(E) COM.</v>
          </cell>
          <cell r="M617" t="str">
            <v>TSM</v>
          </cell>
          <cell r="N617" t="str">
            <v>D</v>
          </cell>
          <cell r="O617" t="str">
            <v>CDI</v>
          </cell>
          <cell r="P617">
            <v>151.57</v>
          </cell>
          <cell r="Q617">
            <v>1217.8800000000001</v>
          </cell>
          <cell r="R617">
            <v>1807.35</v>
          </cell>
          <cell r="S617">
            <v>0</v>
          </cell>
          <cell r="T617">
            <v>3620.87</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521.1</v>
          </cell>
          <cell r="AO617">
            <v>0</v>
          </cell>
          <cell r="AP617">
            <v>0</v>
          </cell>
          <cell r="AQ617">
            <v>1217.8800000000001</v>
          </cell>
          <cell r="AR617">
            <v>0</v>
          </cell>
          <cell r="AS617">
            <v>0</v>
          </cell>
          <cell r="AT617">
            <v>0</v>
          </cell>
          <cell r="AU617">
            <v>0</v>
          </cell>
        </row>
        <row r="618">
          <cell r="A618" t="str">
            <v>000A1699</v>
          </cell>
          <cell r="B618" t="str">
            <v>MAGNET</v>
          </cell>
          <cell r="C618" t="str">
            <v>AMELIE</v>
          </cell>
          <cell r="D618" t="str">
            <v>SIEGE</v>
          </cell>
          <cell r="E618">
            <v>91</v>
          </cell>
          <cell r="F618" t="str">
            <v>NC NUMERICABLE ILE-DE-FRANCE</v>
          </cell>
          <cell r="G618" t="str">
            <v>MARKETING</v>
          </cell>
          <cell r="H618" t="str">
            <v>SUMING</v>
          </cell>
          <cell r="I618" t="str">
            <v>GENE546001</v>
          </cell>
          <cell r="J618">
            <v>100</v>
          </cell>
          <cell r="K618">
            <v>38825</v>
          </cell>
          <cell r="L618" t="str">
            <v>CHEF DE PRODUIT</v>
          </cell>
          <cell r="M618" t="str">
            <v>CADRE</v>
          </cell>
          <cell r="N618" t="str">
            <v>E</v>
          </cell>
          <cell r="P618">
            <v>151.57</v>
          </cell>
          <cell r="Q618">
            <v>0</v>
          </cell>
          <cell r="R618">
            <v>804.25</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1805.56</v>
          </cell>
          <cell r="AR618">
            <v>0</v>
          </cell>
          <cell r="AS618">
            <v>0</v>
          </cell>
          <cell r="AT618">
            <v>0</v>
          </cell>
          <cell r="AU618">
            <v>0</v>
          </cell>
        </row>
        <row r="619">
          <cell r="A619" t="str">
            <v>000A1466</v>
          </cell>
          <cell r="B619" t="str">
            <v>CARREIRA</v>
          </cell>
          <cell r="C619" t="str">
            <v>SOPHIA</v>
          </cell>
          <cell r="D619" t="str">
            <v>SIEGE</v>
          </cell>
          <cell r="E619">
            <v>91</v>
          </cell>
          <cell r="F619" t="str">
            <v>NC NUMERICABLE ILE-DE-FRANCE</v>
          </cell>
          <cell r="G619" t="str">
            <v>COMPTABILITE</v>
          </cell>
          <cell r="H619" t="str">
            <v>BARBERY</v>
          </cell>
          <cell r="I619" t="str">
            <v>GENE701001</v>
          </cell>
          <cell r="J619">
            <v>100</v>
          </cell>
          <cell r="K619">
            <v>38754</v>
          </cell>
          <cell r="L619" t="str">
            <v>CHEF GROUPE COMPT.</v>
          </cell>
          <cell r="M619" t="str">
            <v>CADRE</v>
          </cell>
          <cell r="N619" t="str">
            <v>DB</v>
          </cell>
          <cell r="O619" t="str">
            <v>CDI</v>
          </cell>
          <cell r="P619">
            <v>151.57</v>
          </cell>
          <cell r="Q619">
            <v>2860</v>
          </cell>
          <cell r="R619">
            <v>1852.52</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903.47</v>
          </cell>
          <cell r="AO619">
            <v>23.61</v>
          </cell>
          <cell r="AP619">
            <v>0</v>
          </cell>
          <cell r="AQ619">
            <v>3146</v>
          </cell>
          <cell r="AR619">
            <v>0</v>
          </cell>
          <cell r="AS619">
            <v>0</v>
          </cell>
          <cell r="AT619">
            <v>0</v>
          </cell>
          <cell r="AU619">
            <v>0</v>
          </cell>
        </row>
        <row r="620">
          <cell r="A620" t="str">
            <v>000A1644</v>
          </cell>
          <cell r="B620" t="str">
            <v>AINS</v>
          </cell>
          <cell r="C620" t="str">
            <v>WILFRID</v>
          </cell>
          <cell r="D620" t="str">
            <v>SIEGE</v>
          </cell>
          <cell r="E620">
            <v>91</v>
          </cell>
          <cell r="F620" t="str">
            <v>NC NUMERICABLE ILE-DE-FRANCE</v>
          </cell>
          <cell r="G620" t="str">
            <v>VENTE</v>
          </cell>
          <cell r="I620" t="str">
            <v>GENE549001</v>
          </cell>
          <cell r="J620">
            <v>100</v>
          </cell>
          <cell r="K620">
            <v>38790</v>
          </cell>
          <cell r="L620" t="str">
            <v>RESPONSABLE  COMMERCIAL</v>
          </cell>
          <cell r="M620" t="str">
            <v>374D</v>
          </cell>
          <cell r="N620" t="str">
            <v>E</v>
          </cell>
          <cell r="O620" t="str">
            <v>CDI</v>
          </cell>
          <cell r="P620">
            <v>151.57</v>
          </cell>
          <cell r="Q620">
            <v>0</v>
          </cell>
          <cell r="R620">
            <v>1131.03</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46.43</v>
          </cell>
          <cell r="AP620">
            <v>0</v>
          </cell>
          <cell r="AQ620">
            <v>2200</v>
          </cell>
          <cell r="AR620">
            <v>0</v>
          </cell>
          <cell r="AS620">
            <v>0</v>
          </cell>
          <cell r="AT620">
            <v>0</v>
          </cell>
          <cell r="AU620">
            <v>0</v>
          </cell>
        </row>
        <row r="621">
          <cell r="A621" t="str">
            <v>000A1300</v>
          </cell>
          <cell r="B621" t="str">
            <v>BALDISSERI</v>
          </cell>
          <cell r="C621" t="str">
            <v>JEREMY</v>
          </cell>
          <cell r="D621" t="str">
            <v>METZ</v>
          </cell>
          <cell r="E621">
            <v>91</v>
          </cell>
          <cell r="F621" t="str">
            <v>NC NUMERICABLE ILE-DE-FRANCE</v>
          </cell>
          <cell r="G621" t="str">
            <v>VAD CONSEILLERS</v>
          </cell>
          <cell r="H621" t="str">
            <v>BAUER V</v>
          </cell>
          <cell r="I621" t="str">
            <v>ESTR500001</v>
          </cell>
          <cell r="J621">
            <v>100</v>
          </cell>
          <cell r="K621">
            <v>38685</v>
          </cell>
          <cell r="L621" t="str">
            <v>CONSEILLER(E) COM.</v>
          </cell>
          <cell r="M621" t="str">
            <v>TSM</v>
          </cell>
          <cell r="N621" t="str">
            <v>D</v>
          </cell>
          <cell r="O621" t="str">
            <v>CDI</v>
          </cell>
          <cell r="P621">
            <v>151.57</v>
          </cell>
          <cell r="Q621">
            <v>1217.8800000000001</v>
          </cell>
          <cell r="R621">
            <v>1742.48</v>
          </cell>
          <cell r="S621">
            <v>0</v>
          </cell>
          <cell r="T621">
            <v>3440.87</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501.72</v>
          </cell>
          <cell r="AO621">
            <v>0</v>
          </cell>
          <cell r="AP621">
            <v>0</v>
          </cell>
          <cell r="AQ621">
            <v>1217.8800000000001</v>
          </cell>
          <cell r="AR621">
            <v>0</v>
          </cell>
          <cell r="AS621">
            <v>0</v>
          </cell>
          <cell r="AT621">
            <v>0</v>
          </cell>
          <cell r="AU621">
            <v>0</v>
          </cell>
        </row>
        <row r="622">
          <cell r="A622">
            <v>202</v>
          </cell>
          <cell r="B622" t="str">
            <v>MOLINIER</v>
          </cell>
          <cell r="C622" t="str">
            <v>MAURICE</v>
          </cell>
          <cell r="D622" t="str">
            <v>VANVES</v>
          </cell>
          <cell r="E622">
            <v>91</v>
          </cell>
          <cell r="F622" t="str">
            <v>NC NUMERICABLE ILE-DE-FRANCE</v>
          </cell>
          <cell r="G622" t="str">
            <v>PLATEFORME LOGISTIQU</v>
          </cell>
          <cell r="I622" t="str">
            <v>GENE905001</v>
          </cell>
          <cell r="J622">
            <v>100</v>
          </cell>
          <cell r="K622">
            <v>32937</v>
          </cell>
          <cell r="L622" t="str">
            <v>RESP. TECH. SUPPORT</v>
          </cell>
          <cell r="M622" t="str">
            <v>CADRE</v>
          </cell>
          <cell r="N622" t="str">
            <v>E</v>
          </cell>
          <cell r="O622" t="str">
            <v>CDI</v>
          </cell>
          <cell r="P622">
            <v>151.57</v>
          </cell>
          <cell r="Q622">
            <v>3026</v>
          </cell>
          <cell r="R622">
            <v>453.77</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-188.6</v>
          </cell>
          <cell r="AN622">
            <v>325.88</v>
          </cell>
          <cell r="AO622">
            <v>-164.99</v>
          </cell>
          <cell r="AP622">
            <v>0</v>
          </cell>
          <cell r="AQ622">
            <v>3026</v>
          </cell>
          <cell r="AR622">
            <v>0</v>
          </cell>
          <cell r="AS622">
            <v>0</v>
          </cell>
          <cell r="AT622">
            <v>0</v>
          </cell>
          <cell r="AU622">
            <v>0</v>
          </cell>
        </row>
        <row r="623">
          <cell r="A623" t="str">
            <v>000A1688</v>
          </cell>
          <cell r="B623" t="str">
            <v>GASMI</v>
          </cell>
          <cell r="C623" t="str">
            <v>SAMIR</v>
          </cell>
          <cell r="D623" t="str">
            <v>MARSEILLE</v>
          </cell>
          <cell r="E623">
            <v>91</v>
          </cell>
          <cell r="F623" t="str">
            <v>NC NUMERICABLE ILE-DE-FRANCE</v>
          </cell>
          <cell r="G623" t="str">
            <v>VAD CONSEILLERS</v>
          </cell>
          <cell r="H623" t="str">
            <v>VIVIN</v>
          </cell>
          <cell r="I623" t="str">
            <v>SUES500001</v>
          </cell>
          <cell r="J623">
            <v>100</v>
          </cell>
          <cell r="K623">
            <v>38803</v>
          </cell>
          <cell r="L623" t="str">
            <v>CONSEILLER(E) COM.</v>
          </cell>
          <cell r="M623" t="str">
            <v>TSM</v>
          </cell>
          <cell r="N623" t="str">
            <v>D</v>
          </cell>
          <cell r="O623" t="str">
            <v>CDI</v>
          </cell>
          <cell r="P623">
            <v>151.57</v>
          </cell>
          <cell r="Q623">
            <v>0</v>
          </cell>
          <cell r="R623">
            <v>413.18</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1420.86</v>
          </cell>
          <cell r="AR623">
            <v>0</v>
          </cell>
          <cell r="AS623">
            <v>0</v>
          </cell>
          <cell r="AT623">
            <v>0</v>
          </cell>
          <cell r="AU623">
            <v>0</v>
          </cell>
        </row>
        <row r="624">
          <cell r="A624" t="str">
            <v>000A1719</v>
          </cell>
          <cell r="B624" t="str">
            <v>MOULAY</v>
          </cell>
          <cell r="C624" t="str">
            <v>RACHIDA</v>
          </cell>
          <cell r="D624" t="str">
            <v>NICE</v>
          </cell>
          <cell r="E624">
            <v>91</v>
          </cell>
          <cell r="F624" t="str">
            <v>NC NUMERICABLE ILE-DE-FRANCE</v>
          </cell>
          <cell r="G624" t="str">
            <v>VAD CONSEILLERS</v>
          </cell>
          <cell r="H624" t="str">
            <v>VIVIN</v>
          </cell>
          <cell r="I624" t="str">
            <v>SUES500001</v>
          </cell>
          <cell r="J624">
            <v>100</v>
          </cell>
          <cell r="K624">
            <v>38819</v>
          </cell>
          <cell r="L624" t="str">
            <v>CONSEILLER(E) COM.</v>
          </cell>
          <cell r="M624" t="str">
            <v>TSM</v>
          </cell>
          <cell r="N624" t="str">
            <v>D</v>
          </cell>
          <cell r="O624" t="str">
            <v>CDI</v>
          </cell>
          <cell r="P624">
            <v>151.57</v>
          </cell>
          <cell r="Q624">
            <v>0</v>
          </cell>
          <cell r="R624">
            <v>224.11</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771.32</v>
          </cell>
          <cell r="AR624">
            <v>0</v>
          </cell>
          <cell r="AS624">
            <v>0</v>
          </cell>
          <cell r="AT624">
            <v>0</v>
          </cell>
          <cell r="AU624">
            <v>0</v>
          </cell>
        </row>
        <row r="625">
          <cell r="A625" t="str">
            <v>000A1575</v>
          </cell>
          <cell r="B625" t="str">
            <v>MERCHAN</v>
          </cell>
          <cell r="C625" t="str">
            <v>JEAN JACQUES</v>
          </cell>
          <cell r="D625" t="str">
            <v>TOULOUSE</v>
          </cell>
          <cell r="E625">
            <v>91</v>
          </cell>
          <cell r="F625" t="str">
            <v>NC NUMERICABLE ILE-DE-FRANCE</v>
          </cell>
          <cell r="G625" t="str">
            <v>VAD CONSEILLERS</v>
          </cell>
          <cell r="H625" t="str">
            <v>GALERA</v>
          </cell>
          <cell r="I625" t="str">
            <v>SUOU500001</v>
          </cell>
          <cell r="J625">
            <v>100</v>
          </cell>
          <cell r="K625">
            <v>38775</v>
          </cell>
          <cell r="L625" t="str">
            <v>CONSEILLER(E) COM.</v>
          </cell>
          <cell r="M625" t="str">
            <v>TSM</v>
          </cell>
          <cell r="N625" t="str">
            <v>D</v>
          </cell>
          <cell r="O625" t="str">
            <v>CDI</v>
          </cell>
          <cell r="P625">
            <v>151.57</v>
          </cell>
          <cell r="Q625">
            <v>0</v>
          </cell>
          <cell r="R625">
            <v>518.6</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279.8</v>
          </cell>
          <cell r="AO625">
            <v>0</v>
          </cell>
          <cell r="AP625">
            <v>0</v>
          </cell>
          <cell r="AQ625">
            <v>1217.8800000000001</v>
          </cell>
          <cell r="AR625">
            <v>0</v>
          </cell>
          <cell r="AS625">
            <v>0</v>
          </cell>
          <cell r="AT625">
            <v>0</v>
          </cell>
          <cell r="AU625">
            <v>0</v>
          </cell>
        </row>
        <row r="626">
          <cell r="A626" t="str">
            <v>000A1348</v>
          </cell>
          <cell r="B626" t="str">
            <v>BERRIN</v>
          </cell>
          <cell r="C626" t="str">
            <v>DAVID</v>
          </cell>
          <cell r="D626" t="str">
            <v>MARSEILLE</v>
          </cell>
          <cell r="E626">
            <v>91</v>
          </cell>
          <cell r="F626" t="str">
            <v>NC NUMERICABLE ILE-DE-FRANCE</v>
          </cell>
          <cell r="G626" t="str">
            <v>VAD CONSEILLERS</v>
          </cell>
          <cell r="H626" t="str">
            <v>HAIOUN</v>
          </cell>
          <cell r="I626" t="str">
            <v>SUES500001</v>
          </cell>
          <cell r="J626">
            <v>100</v>
          </cell>
          <cell r="K626">
            <v>38698</v>
          </cell>
          <cell r="L626" t="str">
            <v>CONSEILLER(E) COM.</v>
          </cell>
          <cell r="M626" t="str">
            <v>TSM</v>
          </cell>
          <cell r="N626" t="str">
            <v>D</v>
          </cell>
          <cell r="O626" t="str">
            <v>CDI</v>
          </cell>
          <cell r="P626">
            <v>151.57</v>
          </cell>
          <cell r="Q626">
            <v>1217.8800000000001</v>
          </cell>
          <cell r="R626">
            <v>612.83000000000004</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131.15</v>
          </cell>
          <cell r="AO626">
            <v>0</v>
          </cell>
          <cell r="AP626">
            <v>0</v>
          </cell>
          <cell r="AQ626">
            <v>1217.8800000000001</v>
          </cell>
          <cell r="AR626">
            <v>0</v>
          </cell>
          <cell r="AS626">
            <v>0</v>
          </cell>
          <cell r="AT626">
            <v>0</v>
          </cell>
          <cell r="AU626">
            <v>0</v>
          </cell>
        </row>
        <row r="627">
          <cell r="A627" t="str">
            <v>000A1669</v>
          </cell>
          <cell r="B627" t="str">
            <v>HELLAL</v>
          </cell>
          <cell r="C627" t="str">
            <v>NASIM</v>
          </cell>
          <cell r="D627" t="str">
            <v>SIEGE</v>
          </cell>
          <cell r="E627">
            <v>91</v>
          </cell>
          <cell r="F627" t="str">
            <v>NC NUMERICABLE ILE-DE-FRANCE</v>
          </cell>
          <cell r="G627" t="str">
            <v>VAD CONSEILLERS</v>
          </cell>
          <cell r="H627" t="str">
            <v>ZERFAINE</v>
          </cell>
          <cell r="I627" t="str">
            <v>IDFR500001</v>
          </cell>
          <cell r="J627">
            <v>100</v>
          </cell>
          <cell r="K627">
            <v>38796</v>
          </cell>
          <cell r="L627" t="str">
            <v>CONSEILLER(E) COM.</v>
          </cell>
          <cell r="M627" t="str">
            <v>TSM</v>
          </cell>
          <cell r="N627" t="str">
            <v>D</v>
          </cell>
          <cell r="O627" t="str">
            <v>CDI</v>
          </cell>
          <cell r="P627">
            <v>151.57</v>
          </cell>
          <cell r="Q627">
            <v>0</v>
          </cell>
          <cell r="R627">
            <v>415.86</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1664.44</v>
          </cell>
          <cell r="AR627">
            <v>0</v>
          </cell>
          <cell r="AS627">
            <v>0</v>
          </cell>
          <cell r="AT627">
            <v>0</v>
          </cell>
          <cell r="AU627">
            <v>0</v>
          </cell>
        </row>
        <row r="628">
          <cell r="A628" t="str">
            <v>000A1062</v>
          </cell>
          <cell r="B628" t="str">
            <v>PETIT</v>
          </cell>
          <cell r="C628" t="str">
            <v>JEAN BENOIT</v>
          </cell>
          <cell r="D628" t="str">
            <v>VERSAILLES</v>
          </cell>
          <cell r="E628">
            <v>91</v>
          </cell>
          <cell r="F628" t="str">
            <v>NC NUMERICABLE ILE-DE-FRANCE</v>
          </cell>
          <cell r="G628" t="str">
            <v>VAD CONSEILLERS</v>
          </cell>
          <cell r="H628" t="str">
            <v>YILDIZ</v>
          </cell>
          <cell r="I628" t="str">
            <v>IDFR500001</v>
          </cell>
          <cell r="J628">
            <v>100</v>
          </cell>
          <cell r="K628">
            <v>38635</v>
          </cell>
          <cell r="L628" t="str">
            <v>CONSEILLER(E) COM.</v>
          </cell>
          <cell r="M628" t="str">
            <v>TSM</v>
          </cell>
          <cell r="N628" t="str">
            <v>D</v>
          </cell>
          <cell r="O628" t="str">
            <v>CDI</v>
          </cell>
          <cell r="P628">
            <v>151.57</v>
          </cell>
          <cell r="Q628">
            <v>1217.8800000000001</v>
          </cell>
          <cell r="R628">
            <v>1298.54</v>
          </cell>
          <cell r="S628">
            <v>0</v>
          </cell>
          <cell r="T628">
            <v>2280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376.69</v>
          </cell>
          <cell r="AO628">
            <v>0</v>
          </cell>
          <cell r="AP628">
            <v>0</v>
          </cell>
          <cell r="AQ628">
            <v>1217.8800000000001</v>
          </cell>
          <cell r="AR628">
            <v>0</v>
          </cell>
          <cell r="AS628">
            <v>0</v>
          </cell>
          <cell r="AT628">
            <v>0</v>
          </cell>
          <cell r="AU628">
            <v>0</v>
          </cell>
        </row>
        <row r="629">
          <cell r="A629" t="str">
            <v>000A1070</v>
          </cell>
          <cell r="B629" t="str">
            <v>MOHAMED-SAID</v>
          </cell>
          <cell r="C629" t="str">
            <v>NADJIM</v>
          </cell>
          <cell r="D629" t="str">
            <v>VERSAILLES</v>
          </cell>
          <cell r="E629">
            <v>91</v>
          </cell>
          <cell r="F629" t="str">
            <v>NC NUMERICABLE ILE-DE-FRANCE</v>
          </cell>
          <cell r="G629" t="str">
            <v>VAD CONSEILLERS</v>
          </cell>
          <cell r="H629" t="str">
            <v>YILDIZ</v>
          </cell>
          <cell r="I629" t="str">
            <v>IDFR500001</v>
          </cell>
          <cell r="J629">
            <v>100</v>
          </cell>
          <cell r="K629">
            <v>38628</v>
          </cell>
          <cell r="L629" t="str">
            <v>CONSEILLER(E) COM.</v>
          </cell>
          <cell r="M629" t="str">
            <v>TSM</v>
          </cell>
          <cell r="N629" t="str">
            <v>D</v>
          </cell>
          <cell r="O629" t="str">
            <v>CDI</v>
          </cell>
          <cell r="P629">
            <v>151.57</v>
          </cell>
          <cell r="Q629">
            <v>1217.8800000000001</v>
          </cell>
          <cell r="R629">
            <v>122.23</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8.94</v>
          </cell>
          <cell r="AO629">
            <v>0</v>
          </cell>
          <cell r="AP629">
            <v>0</v>
          </cell>
          <cell r="AQ629">
            <v>-142.32</v>
          </cell>
          <cell r="AR629">
            <v>0</v>
          </cell>
          <cell r="AS629">
            <v>0</v>
          </cell>
          <cell r="AT629">
            <v>0</v>
          </cell>
          <cell r="AU629">
            <v>0</v>
          </cell>
        </row>
        <row r="630">
          <cell r="A630" t="str">
            <v>000A1450</v>
          </cell>
          <cell r="B630" t="str">
            <v>RIVOAL</v>
          </cell>
          <cell r="C630" t="str">
            <v>PIERRE</v>
          </cell>
          <cell r="D630" t="str">
            <v>ROUEN</v>
          </cell>
          <cell r="E630">
            <v>91</v>
          </cell>
          <cell r="F630" t="str">
            <v>NC NUMERICABLE ILE-DE-FRANCE</v>
          </cell>
          <cell r="G630" t="str">
            <v>VAD CONSEILLERS</v>
          </cell>
          <cell r="H630" t="str">
            <v>ALLAIN G</v>
          </cell>
          <cell r="I630" t="str">
            <v>OUES500001</v>
          </cell>
          <cell r="J630">
            <v>100</v>
          </cell>
          <cell r="K630">
            <v>38754</v>
          </cell>
          <cell r="L630" t="str">
            <v>CONSEILLER(E) COM.</v>
          </cell>
          <cell r="M630" t="str">
            <v>TSM</v>
          </cell>
          <cell r="N630" t="str">
            <v>D</v>
          </cell>
          <cell r="O630" t="str">
            <v>CDI</v>
          </cell>
          <cell r="P630">
            <v>151.57</v>
          </cell>
          <cell r="Q630">
            <v>1217.8800000000001</v>
          </cell>
          <cell r="R630">
            <v>240.51</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303.27</v>
          </cell>
          <cell r="AO630">
            <v>0</v>
          </cell>
          <cell r="AP630">
            <v>0</v>
          </cell>
          <cell r="AQ630">
            <v>177.96</v>
          </cell>
          <cell r="AR630">
            <v>0</v>
          </cell>
          <cell r="AS630">
            <v>0</v>
          </cell>
          <cell r="AT630">
            <v>0</v>
          </cell>
          <cell r="AU630">
            <v>0</v>
          </cell>
        </row>
        <row r="631">
          <cell r="A631" t="str">
            <v>000A1343</v>
          </cell>
          <cell r="B631" t="str">
            <v>SAI</v>
          </cell>
          <cell r="C631" t="str">
            <v>RABAH</v>
          </cell>
          <cell r="D631" t="str">
            <v>MARSEILLE</v>
          </cell>
          <cell r="E631">
            <v>91</v>
          </cell>
          <cell r="F631" t="str">
            <v>NC NUMERICABLE ILE-DE-FRANCE</v>
          </cell>
          <cell r="G631" t="str">
            <v>VAD CONSEILLERS</v>
          </cell>
          <cell r="H631" t="str">
            <v>HAIOUN</v>
          </cell>
          <cell r="I631" t="str">
            <v>SUES500001</v>
          </cell>
          <cell r="J631">
            <v>100</v>
          </cell>
          <cell r="K631">
            <v>38698</v>
          </cell>
          <cell r="L631" t="str">
            <v>CONSEILLER(E) COM.</v>
          </cell>
          <cell r="M631" t="str">
            <v>TSM</v>
          </cell>
          <cell r="N631" t="str">
            <v>D</v>
          </cell>
          <cell r="O631" t="str">
            <v>CDI</v>
          </cell>
          <cell r="P631">
            <v>151.57</v>
          </cell>
          <cell r="Q631">
            <v>1217.8800000000001</v>
          </cell>
          <cell r="R631">
            <v>575.48</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100.56</v>
          </cell>
          <cell r="AO631">
            <v>0</v>
          </cell>
          <cell r="AP631">
            <v>0</v>
          </cell>
          <cell r="AQ631">
            <v>933.71</v>
          </cell>
          <cell r="AR631">
            <v>0</v>
          </cell>
          <cell r="AS631">
            <v>0</v>
          </cell>
          <cell r="AT631">
            <v>0</v>
          </cell>
          <cell r="AU631">
            <v>0</v>
          </cell>
        </row>
        <row r="632">
          <cell r="A632" t="str">
            <v>000A1252</v>
          </cell>
          <cell r="B632" t="str">
            <v>ABADOU</v>
          </cell>
          <cell r="C632" t="str">
            <v>SAMIR</v>
          </cell>
          <cell r="D632" t="str">
            <v>MARSEILLE</v>
          </cell>
          <cell r="E632">
            <v>91</v>
          </cell>
          <cell r="F632" t="str">
            <v>NC NUMERICABLE ILE-DE-FRANCE</v>
          </cell>
          <cell r="G632" t="str">
            <v>VAD CONSEILLERS</v>
          </cell>
          <cell r="H632" t="str">
            <v>HAIOUN</v>
          </cell>
          <cell r="I632" t="str">
            <v>SUES500001</v>
          </cell>
          <cell r="J632">
            <v>100</v>
          </cell>
          <cell r="K632">
            <v>38677</v>
          </cell>
          <cell r="L632" t="str">
            <v>CONSEILLER(E) COM.</v>
          </cell>
          <cell r="M632" t="str">
            <v>TSM</v>
          </cell>
          <cell r="N632" t="str">
            <v>D</v>
          </cell>
          <cell r="O632" t="str">
            <v>CDI</v>
          </cell>
          <cell r="P632">
            <v>151.57</v>
          </cell>
          <cell r="Q632">
            <v>1217.8800000000001</v>
          </cell>
          <cell r="R632">
            <v>644.47</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131.15</v>
          </cell>
          <cell r="AO632">
            <v>0</v>
          </cell>
          <cell r="AP632">
            <v>0</v>
          </cell>
          <cell r="AQ632">
            <v>1217.8800000000001</v>
          </cell>
          <cell r="AR632">
            <v>0</v>
          </cell>
          <cell r="AS632">
            <v>0</v>
          </cell>
          <cell r="AT632">
            <v>0</v>
          </cell>
          <cell r="AU632">
            <v>0</v>
          </cell>
        </row>
        <row r="633">
          <cell r="A633" t="str">
            <v>000A1588</v>
          </cell>
          <cell r="B633" t="str">
            <v>DESCATOIRE</v>
          </cell>
          <cell r="C633" t="str">
            <v>KEVIN</v>
          </cell>
          <cell r="D633" t="str">
            <v>LA MADELEINE</v>
          </cell>
          <cell r="E633">
            <v>91</v>
          </cell>
          <cell r="F633" t="str">
            <v>NC NUMERICABLE ILE-DE-FRANCE</v>
          </cell>
          <cell r="G633" t="str">
            <v>VAD CONSEILLERS</v>
          </cell>
          <cell r="H633" t="str">
            <v>GUIONNET</v>
          </cell>
          <cell r="I633" t="str">
            <v>NPCA500001</v>
          </cell>
          <cell r="J633">
            <v>100</v>
          </cell>
          <cell r="K633">
            <v>38768</v>
          </cell>
          <cell r="L633" t="str">
            <v>CONSEILLER(E) COM.</v>
          </cell>
          <cell r="M633" t="str">
            <v>TSM</v>
          </cell>
          <cell r="N633" t="str">
            <v>D</v>
          </cell>
          <cell r="O633" t="str">
            <v>CDI</v>
          </cell>
          <cell r="P633">
            <v>151.57</v>
          </cell>
          <cell r="Q633">
            <v>0</v>
          </cell>
          <cell r="R633">
            <v>502.64</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306.27</v>
          </cell>
          <cell r="AO633">
            <v>0</v>
          </cell>
          <cell r="AP633">
            <v>0</v>
          </cell>
          <cell r="AQ633">
            <v>964.92</v>
          </cell>
          <cell r="AR633">
            <v>0</v>
          </cell>
          <cell r="AS633">
            <v>0</v>
          </cell>
          <cell r="AT633">
            <v>0</v>
          </cell>
          <cell r="AU633">
            <v>0</v>
          </cell>
        </row>
        <row r="634">
          <cell r="A634" t="str">
            <v>000A1067</v>
          </cell>
          <cell r="B634" t="str">
            <v>PRATS</v>
          </cell>
          <cell r="C634" t="str">
            <v>ERIC</v>
          </cell>
          <cell r="D634" t="str">
            <v>MARSEILLE</v>
          </cell>
          <cell r="E634">
            <v>91</v>
          </cell>
          <cell r="F634" t="str">
            <v>NC NUMERICABLE ILE-DE-FRANCE</v>
          </cell>
          <cell r="G634" t="str">
            <v>VAD CONSEILLERS</v>
          </cell>
          <cell r="H634" t="str">
            <v>ZAMORA</v>
          </cell>
          <cell r="I634" t="str">
            <v>SUES500001</v>
          </cell>
          <cell r="J634">
            <v>100</v>
          </cell>
          <cell r="K634">
            <v>38629</v>
          </cell>
          <cell r="L634" t="str">
            <v>CONSEILLER(E) COM.</v>
          </cell>
          <cell r="M634" t="str">
            <v>TSM</v>
          </cell>
          <cell r="N634" t="str">
            <v>D</v>
          </cell>
          <cell r="O634" t="str">
            <v>CDI</v>
          </cell>
          <cell r="P634">
            <v>151.57</v>
          </cell>
          <cell r="Q634">
            <v>1217.8800000000001</v>
          </cell>
          <cell r="R634">
            <v>683.64</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131.15</v>
          </cell>
          <cell r="AO634">
            <v>0</v>
          </cell>
          <cell r="AP634">
            <v>0</v>
          </cell>
          <cell r="AQ634">
            <v>1217.8800000000001</v>
          </cell>
          <cell r="AR634">
            <v>0</v>
          </cell>
          <cell r="AS634">
            <v>0</v>
          </cell>
          <cell r="AT634">
            <v>0</v>
          </cell>
          <cell r="AU634">
            <v>0</v>
          </cell>
        </row>
        <row r="635">
          <cell r="A635" t="str">
            <v>000A1230</v>
          </cell>
          <cell r="B635" t="str">
            <v>ROCHETTE</v>
          </cell>
          <cell r="C635" t="str">
            <v>JOHAN</v>
          </cell>
          <cell r="D635" t="str">
            <v>ANGERS</v>
          </cell>
          <cell r="E635">
            <v>91</v>
          </cell>
          <cell r="F635" t="str">
            <v>NC NUMERICABLE ILE-DE-FRANCE</v>
          </cell>
          <cell r="G635" t="str">
            <v>VAD CONSEILLERS</v>
          </cell>
          <cell r="H635" t="str">
            <v>AIT-OUARET</v>
          </cell>
          <cell r="I635" t="str">
            <v>OUES500001</v>
          </cell>
          <cell r="J635">
            <v>100</v>
          </cell>
          <cell r="K635">
            <v>38663</v>
          </cell>
          <cell r="L635" t="str">
            <v>CONSEILLER(E) COM.</v>
          </cell>
          <cell r="M635" t="str">
            <v>TSM</v>
          </cell>
          <cell r="N635" t="str">
            <v>D</v>
          </cell>
          <cell r="O635" t="str">
            <v>CDI</v>
          </cell>
          <cell r="P635">
            <v>151.57</v>
          </cell>
          <cell r="Q635">
            <v>1217.8800000000001</v>
          </cell>
          <cell r="R635">
            <v>1246.1199999999999</v>
          </cell>
          <cell r="S635">
            <v>0</v>
          </cell>
          <cell r="T635">
            <v>2020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348.69</v>
          </cell>
          <cell r="AO635">
            <v>0</v>
          </cell>
          <cell r="AP635">
            <v>0</v>
          </cell>
          <cell r="AQ635">
            <v>1217.8800000000001</v>
          </cell>
          <cell r="AR635">
            <v>0</v>
          </cell>
          <cell r="AS635">
            <v>0</v>
          </cell>
          <cell r="AT635">
            <v>0</v>
          </cell>
          <cell r="AU635">
            <v>0</v>
          </cell>
        </row>
        <row r="636">
          <cell r="A636" t="str">
            <v>000A1673</v>
          </cell>
          <cell r="B636" t="str">
            <v>CASTILLO ROS</v>
          </cell>
          <cell r="C636" t="str">
            <v>FRANCE</v>
          </cell>
          <cell r="D636" t="str">
            <v>BORDEAUX</v>
          </cell>
          <cell r="E636">
            <v>91</v>
          </cell>
          <cell r="F636" t="str">
            <v>NC NUMERICABLE ILE-DE-FRANCE</v>
          </cell>
          <cell r="G636" t="str">
            <v>VAD CONSEILLERS</v>
          </cell>
          <cell r="H636" t="str">
            <v>GALERA</v>
          </cell>
          <cell r="I636" t="str">
            <v>SUOU500001</v>
          </cell>
          <cell r="J636">
            <v>100</v>
          </cell>
          <cell r="K636">
            <v>38810</v>
          </cell>
          <cell r="L636" t="str">
            <v>CONSEILLER(E) COM.</v>
          </cell>
          <cell r="M636" t="str">
            <v>TSM</v>
          </cell>
          <cell r="N636" t="str">
            <v>D</v>
          </cell>
          <cell r="O636" t="str">
            <v>CDI</v>
          </cell>
          <cell r="P636">
            <v>151.57</v>
          </cell>
          <cell r="Q636">
            <v>0</v>
          </cell>
          <cell r="R636">
            <v>317.08</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1136.69</v>
          </cell>
          <cell r="AR636">
            <v>0</v>
          </cell>
          <cell r="AS636">
            <v>0</v>
          </cell>
          <cell r="AT636">
            <v>0</v>
          </cell>
          <cell r="AU636">
            <v>0</v>
          </cell>
        </row>
        <row r="637">
          <cell r="A637" t="str">
            <v>000D0910</v>
          </cell>
          <cell r="B637" t="str">
            <v>CLUCHET</v>
          </cell>
          <cell r="C637" t="str">
            <v>PHILIPPE</v>
          </cell>
          <cell r="D637" t="str">
            <v>MUNSTER</v>
          </cell>
          <cell r="E637">
            <v>92</v>
          </cell>
          <cell r="F637" t="str">
            <v>NC NUMERICABLE ALSACE</v>
          </cell>
          <cell r="G637" t="str">
            <v>MAINTENANCE RESEAU</v>
          </cell>
          <cell r="H637" t="str">
            <v>SCHWEITZER</v>
          </cell>
          <cell r="I637" t="str">
            <v>ESTR300001</v>
          </cell>
          <cell r="J637">
            <v>100</v>
          </cell>
          <cell r="K637">
            <v>33573</v>
          </cell>
          <cell r="L637" t="str">
            <v>CHEF GPE. TECH. EXP.</v>
          </cell>
          <cell r="M637" t="str">
            <v>CADRE</v>
          </cell>
          <cell r="N637" t="str">
            <v>DB</v>
          </cell>
          <cell r="O637" t="str">
            <v>CDI</v>
          </cell>
          <cell r="P637">
            <v>151.57</v>
          </cell>
          <cell r="Q637">
            <v>1903.05</v>
          </cell>
          <cell r="R637">
            <v>1098.57</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388</v>
          </cell>
          <cell r="AL637">
            <v>0</v>
          </cell>
          <cell r="AM637">
            <v>0</v>
          </cell>
          <cell r="AN637">
            <v>246.74</v>
          </cell>
          <cell r="AO637">
            <v>0</v>
          </cell>
          <cell r="AP637">
            <v>0</v>
          </cell>
          <cell r="AQ637">
            <v>1903.05</v>
          </cell>
          <cell r="AR637">
            <v>0</v>
          </cell>
          <cell r="AS637">
            <v>388</v>
          </cell>
          <cell r="AT637">
            <v>0</v>
          </cell>
          <cell r="AU637">
            <v>0</v>
          </cell>
        </row>
        <row r="638">
          <cell r="A638" t="str">
            <v>000BW004</v>
          </cell>
          <cell r="B638" t="str">
            <v>WEREY</v>
          </cell>
          <cell r="C638" t="str">
            <v>SABRINA</v>
          </cell>
          <cell r="D638" t="str">
            <v>MUNSTER</v>
          </cell>
          <cell r="E638">
            <v>92</v>
          </cell>
          <cell r="F638" t="str">
            <v>NC NUMERICABLE ALSACE</v>
          </cell>
          <cell r="G638" t="str">
            <v>VENTE</v>
          </cell>
          <cell r="H638" t="str">
            <v>NEYER</v>
          </cell>
          <cell r="I638" t="str">
            <v>ESTR520001</v>
          </cell>
          <cell r="J638">
            <v>100</v>
          </cell>
          <cell r="K638">
            <v>37137</v>
          </cell>
          <cell r="L638" t="str">
            <v>ASSISTANT(E) NIV. 1</v>
          </cell>
          <cell r="M638" t="str">
            <v>EMPLOYE</v>
          </cell>
          <cell r="N638" t="str">
            <v>C</v>
          </cell>
          <cell r="O638" t="str">
            <v>CDI</v>
          </cell>
          <cell r="P638">
            <v>121.33</v>
          </cell>
          <cell r="Q638">
            <v>1245.57</v>
          </cell>
          <cell r="R638">
            <v>455.33</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0.56999999999999995</v>
          </cell>
          <cell r="AN638">
            <v>134.19999999999999</v>
          </cell>
          <cell r="AO638">
            <v>0</v>
          </cell>
          <cell r="AP638">
            <v>0</v>
          </cell>
          <cell r="AQ638">
            <v>1246.1400000000001</v>
          </cell>
          <cell r="AR638">
            <v>0</v>
          </cell>
          <cell r="AS638">
            <v>0</v>
          </cell>
          <cell r="AT638">
            <v>0</v>
          </cell>
          <cell r="AU638">
            <v>0</v>
          </cell>
        </row>
        <row r="639">
          <cell r="A639" t="str">
            <v>000D0913</v>
          </cell>
          <cell r="B639" t="str">
            <v>KAIM</v>
          </cell>
          <cell r="C639" t="str">
            <v>PHILIPPE</v>
          </cell>
          <cell r="D639" t="str">
            <v>MUNSTER</v>
          </cell>
          <cell r="E639">
            <v>92</v>
          </cell>
          <cell r="F639" t="str">
            <v>NC NUMERICABLE ALSACE</v>
          </cell>
          <cell r="G639" t="str">
            <v>RACCORDEMENT IMMOB STC.</v>
          </cell>
          <cell r="I639" t="str">
            <v>GENE905001</v>
          </cell>
          <cell r="J639">
            <v>100</v>
          </cell>
          <cell r="K639">
            <v>34516</v>
          </cell>
          <cell r="L639" t="str">
            <v>SUP. TECH. CLIENT</v>
          </cell>
          <cell r="M639" t="str">
            <v>TSM</v>
          </cell>
          <cell r="N639" t="str">
            <v>D</v>
          </cell>
          <cell r="O639" t="str">
            <v>CDI</v>
          </cell>
          <cell r="P639">
            <v>151.57</v>
          </cell>
          <cell r="Q639">
            <v>1857.14</v>
          </cell>
          <cell r="R639">
            <v>234.02</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-117.89</v>
          </cell>
          <cell r="AN639">
            <v>200</v>
          </cell>
          <cell r="AO639">
            <v>-117.89</v>
          </cell>
          <cell r="AP639">
            <v>0</v>
          </cell>
          <cell r="AQ639">
            <v>1857.14</v>
          </cell>
          <cell r="AR639">
            <v>0</v>
          </cell>
          <cell r="AS639">
            <v>0</v>
          </cell>
          <cell r="AT639">
            <v>0</v>
          </cell>
          <cell r="AU639">
            <v>0</v>
          </cell>
        </row>
        <row r="640">
          <cell r="A640" t="str">
            <v>000D0904</v>
          </cell>
          <cell r="B640" t="str">
            <v>KEGLER</v>
          </cell>
          <cell r="C640" t="str">
            <v>DENISE</v>
          </cell>
          <cell r="D640" t="str">
            <v>MUNSTER</v>
          </cell>
          <cell r="E640">
            <v>92</v>
          </cell>
          <cell r="F640" t="str">
            <v>NC NUMERICABLE ALSACE</v>
          </cell>
          <cell r="G640" t="str">
            <v>BOUTIQUE</v>
          </cell>
          <cell r="H640" t="str">
            <v>NEYER</v>
          </cell>
          <cell r="I640" t="str">
            <v>ESTR507001</v>
          </cell>
          <cell r="J640">
            <v>100</v>
          </cell>
          <cell r="K640">
            <v>29587</v>
          </cell>
          <cell r="L640" t="str">
            <v>SUPERVISEUR CLT</v>
          </cell>
          <cell r="M640" t="str">
            <v>TSM</v>
          </cell>
          <cell r="N640" t="str">
            <v>D</v>
          </cell>
          <cell r="O640" t="str">
            <v>CDI</v>
          </cell>
          <cell r="P640">
            <v>121.33</v>
          </cell>
          <cell r="Q640">
            <v>1696.92</v>
          </cell>
          <cell r="R640">
            <v>765.55</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182.9</v>
          </cell>
          <cell r="AO640">
            <v>0</v>
          </cell>
          <cell r="AP640">
            <v>0</v>
          </cell>
          <cell r="AQ640">
            <v>1618.61</v>
          </cell>
          <cell r="AR640">
            <v>0</v>
          </cell>
          <cell r="AS640">
            <v>0</v>
          </cell>
          <cell r="AT640">
            <v>0</v>
          </cell>
          <cell r="AU640">
            <v>0</v>
          </cell>
        </row>
        <row r="641">
          <cell r="A641" t="str">
            <v>000D0908</v>
          </cell>
          <cell r="B641" t="str">
            <v>NEYER</v>
          </cell>
          <cell r="C641" t="str">
            <v>PHILIPPE</v>
          </cell>
          <cell r="D641" t="str">
            <v>MUNSTER</v>
          </cell>
          <cell r="E641">
            <v>92</v>
          </cell>
          <cell r="F641" t="str">
            <v>NC NUMERICABLE ALSACE</v>
          </cell>
          <cell r="G641" t="str">
            <v>VENTE</v>
          </cell>
          <cell r="H641" t="str">
            <v>BAUER V</v>
          </cell>
          <cell r="I641" t="str">
            <v>ESTR520001</v>
          </cell>
          <cell r="J641">
            <v>100</v>
          </cell>
          <cell r="K641">
            <v>30834</v>
          </cell>
          <cell r="L641" t="str">
            <v>RESPONSABLE COM.</v>
          </cell>
          <cell r="M641" t="str">
            <v>CADRE</v>
          </cell>
          <cell r="N641" t="str">
            <v>E</v>
          </cell>
          <cell r="O641" t="str">
            <v>CDI</v>
          </cell>
          <cell r="P641">
            <v>151.57</v>
          </cell>
          <cell r="Q641">
            <v>2943</v>
          </cell>
          <cell r="R641">
            <v>1702.61</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563</v>
          </cell>
          <cell r="AL641">
            <v>0</v>
          </cell>
          <cell r="AM641">
            <v>0</v>
          </cell>
          <cell r="AN641">
            <v>395.96</v>
          </cell>
          <cell r="AO641">
            <v>0</v>
          </cell>
          <cell r="AP641">
            <v>0</v>
          </cell>
          <cell r="AQ641">
            <v>2943</v>
          </cell>
          <cell r="AR641">
            <v>0</v>
          </cell>
          <cell r="AS641">
            <v>563</v>
          </cell>
          <cell r="AT641">
            <v>0</v>
          </cell>
          <cell r="AU641">
            <v>0</v>
          </cell>
        </row>
        <row r="642">
          <cell r="A642" t="str">
            <v>000D0915</v>
          </cell>
          <cell r="B642" t="str">
            <v>PAVET</v>
          </cell>
          <cell r="C642" t="str">
            <v>ETIENNE</v>
          </cell>
          <cell r="D642" t="str">
            <v>MUNSTER</v>
          </cell>
          <cell r="E642">
            <v>92</v>
          </cell>
          <cell r="F642" t="str">
            <v>NC NUMERICABLE ALSACE</v>
          </cell>
          <cell r="G642" t="str">
            <v>RACCORDEMENT IMMOB STC.</v>
          </cell>
          <cell r="H642" t="str">
            <v>BAUER V</v>
          </cell>
          <cell r="I642" t="str">
            <v>ESTR302001</v>
          </cell>
          <cell r="J642">
            <v>100</v>
          </cell>
          <cell r="K642">
            <v>35891</v>
          </cell>
          <cell r="L642" t="str">
            <v>TECH. EXP. NIV. 2</v>
          </cell>
          <cell r="M642" t="str">
            <v>TSM</v>
          </cell>
          <cell r="N642" t="str">
            <v>D</v>
          </cell>
          <cell r="O642" t="str">
            <v>CDI</v>
          </cell>
          <cell r="P642">
            <v>151.57</v>
          </cell>
          <cell r="Q642">
            <v>1777.66</v>
          </cell>
          <cell r="R642">
            <v>711.63</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94</v>
          </cell>
          <cell r="AL642">
            <v>0</v>
          </cell>
          <cell r="AM642">
            <v>0</v>
          </cell>
          <cell r="AN642">
            <v>211.24</v>
          </cell>
          <cell r="AO642">
            <v>0</v>
          </cell>
          <cell r="AP642">
            <v>0</v>
          </cell>
          <cell r="AQ642">
            <v>1367.49</v>
          </cell>
          <cell r="AR642">
            <v>0</v>
          </cell>
          <cell r="AS642">
            <v>94</v>
          </cell>
          <cell r="AT642">
            <v>0</v>
          </cell>
          <cell r="AU642">
            <v>0</v>
          </cell>
        </row>
        <row r="643">
          <cell r="A643" t="str">
            <v>000D0909</v>
          </cell>
          <cell r="B643" t="str">
            <v>DEICHELBOHRER</v>
          </cell>
          <cell r="C643" t="str">
            <v>KATHIA</v>
          </cell>
          <cell r="D643" t="str">
            <v>MUNSTER</v>
          </cell>
          <cell r="E643">
            <v>92</v>
          </cell>
          <cell r="F643" t="str">
            <v>NC NUMERICABLE ALSACE</v>
          </cell>
          <cell r="G643" t="str">
            <v>FACTURATION</v>
          </cell>
          <cell r="H643" t="str">
            <v>NEYER</v>
          </cell>
          <cell r="I643" t="str">
            <v>ESTR507001</v>
          </cell>
          <cell r="J643">
            <v>100</v>
          </cell>
          <cell r="K643">
            <v>33000</v>
          </cell>
          <cell r="L643" t="str">
            <v>ASSISTANT(E) NIV. 2</v>
          </cell>
          <cell r="M643" t="str">
            <v>TSM</v>
          </cell>
          <cell r="N643" t="str">
            <v>D</v>
          </cell>
          <cell r="O643" t="str">
            <v>CDI</v>
          </cell>
          <cell r="P643">
            <v>121.33</v>
          </cell>
          <cell r="Q643">
            <v>1504.92</v>
          </cell>
          <cell r="R643">
            <v>673</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162.16</v>
          </cell>
          <cell r="AO643">
            <v>0</v>
          </cell>
          <cell r="AP643">
            <v>0</v>
          </cell>
          <cell r="AQ643">
            <v>1470.2</v>
          </cell>
          <cell r="AR643">
            <v>0</v>
          </cell>
          <cell r="AS643">
            <v>0</v>
          </cell>
          <cell r="AT643">
            <v>0</v>
          </cell>
          <cell r="AU643">
            <v>0</v>
          </cell>
        </row>
        <row r="644">
          <cell r="A644" t="str">
            <v>000BH081</v>
          </cell>
          <cell r="B644" t="str">
            <v>HENRY</v>
          </cell>
          <cell r="C644" t="str">
            <v>FABIEN</v>
          </cell>
          <cell r="D644" t="str">
            <v>NANCY</v>
          </cell>
          <cell r="E644">
            <v>11</v>
          </cell>
          <cell r="F644" t="str">
            <v>NC NUMERICABLE CHAMPAGNE</v>
          </cell>
          <cell r="G644" t="str">
            <v>VAD CONSEILLERS</v>
          </cell>
          <cell r="I644" t="str">
            <v>GENE905001</v>
          </cell>
          <cell r="J644">
            <v>100</v>
          </cell>
          <cell r="K644">
            <v>37130</v>
          </cell>
          <cell r="L644" t="str">
            <v>CONSEILLER(E) COM.</v>
          </cell>
          <cell r="M644" t="str">
            <v>TSM</v>
          </cell>
          <cell r="N644" t="str">
            <v>D</v>
          </cell>
          <cell r="O644" t="str">
            <v>CDI</v>
          </cell>
          <cell r="P644">
            <v>151.57</v>
          </cell>
          <cell r="Q644">
            <v>1132</v>
          </cell>
          <cell r="R644">
            <v>-577.28</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0.01</v>
          </cell>
          <cell r="AR644">
            <v>0</v>
          </cell>
          <cell r="AS644">
            <v>0</v>
          </cell>
          <cell r="AT644">
            <v>0</v>
          </cell>
          <cell r="AU644">
            <v>0</v>
          </cell>
        </row>
        <row r="645">
          <cell r="A645" t="str">
            <v>000BW005</v>
          </cell>
          <cell r="B645" t="str">
            <v>WALTER</v>
          </cell>
          <cell r="C645" t="str">
            <v>LAURENT</v>
          </cell>
          <cell r="D645" t="str">
            <v>NANCY</v>
          </cell>
          <cell r="E645">
            <v>11</v>
          </cell>
          <cell r="F645" t="str">
            <v>NC NUMERICABLE CHAMPAGNE</v>
          </cell>
          <cell r="G645" t="str">
            <v>VAD CONSEILLERS</v>
          </cell>
          <cell r="H645" t="str">
            <v>LAFORET S</v>
          </cell>
          <cell r="I645" t="str">
            <v>ESTR500001</v>
          </cell>
          <cell r="J645">
            <v>100</v>
          </cell>
          <cell r="K645">
            <v>37362</v>
          </cell>
          <cell r="L645" t="str">
            <v>CONSEILLER(E) COM.</v>
          </cell>
          <cell r="M645" t="str">
            <v>TSM</v>
          </cell>
          <cell r="N645" t="str">
            <v>D</v>
          </cell>
          <cell r="O645" t="str">
            <v>CDI</v>
          </cell>
          <cell r="P645">
            <v>151.57</v>
          </cell>
          <cell r="Q645">
            <v>1172</v>
          </cell>
          <cell r="R645">
            <v>158.59</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315.76</v>
          </cell>
          <cell r="AO645">
            <v>0</v>
          </cell>
          <cell r="AP645">
            <v>0</v>
          </cell>
          <cell r="AQ645">
            <v>2720.5</v>
          </cell>
          <cell r="AR645">
            <v>0</v>
          </cell>
          <cell r="AS645">
            <v>0</v>
          </cell>
          <cell r="AT645">
            <v>0</v>
          </cell>
          <cell r="AU645">
            <v>0</v>
          </cell>
        </row>
        <row r="646">
          <cell r="A646">
            <v>30007</v>
          </cell>
          <cell r="B646" t="str">
            <v>DA FONSECA</v>
          </cell>
          <cell r="C646" t="str">
            <v>MARIE</v>
          </cell>
          <cell r="D646" t="str">
            <v>REIMS</v>
          </cell>
          <cell r="E646">
            <v>11</v>
          </cell>
          <cell r="F646" t="str">
            <v>NC NUMERICABLE CHAMPAGNE</v>
          </cell>
          <cell r="G646" t="str">
            <v>DIRECTION REGIONALE</v>
          </cell>
          <cell r="H646" t="str">
            <v>LOTT</v>
          </cell>
          <cell r="I646" t="str">
            <v>NPCA520001</v>
          </cell>
          <cell r="J646">
            <v>100</v>
          </cell>
          <cell r="K646">
            <v>32646</v>
          </cell>
          <cell r="L646" t="str">
            <v>ASSISTANT(E) NIV. 2</v>
          </cell>
          <cell r="M646" t="str">
            <v>TSM</v>
          </cell>
          <cell r="N646" t="str">
            <v>D</v>
          </cell>
          <cell r="O646" t="str">
            <v>CDI</v>
          </cell>
          <cell r="P646">
            <v>151.57</v>
          </cell>
          <cell r="Q646">
            <v>1974.51</v>
          </cell>
          <cell r="R646">
            <v>1209.0899999999999</v>
          </cell>
          <cell r="S646">
            <v>0</v>
          </cell>
          <cell r="T646">
            <v>0</v>
          </cell>
          <cell r="U646">
            <v>0</v>
          </cell>
          <cell r="V646">
            <v>0</v>
          </cell>
          <cell r="W646">
            <v>456</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261.74</v>
          </cell>
          <cell r="AO646">
            <v>0</v>
          </cell>
          <cell r="AP646">
            <v>0</v>
          </cell>
          <cell r="AQ646">
            <v>1974.51</v>
          </cell>
          <cell r="AR646">
            <v>0</v>
          </cell>
          <cell r="AS646">
            <v>0</v>
          </cell>
          <cell r="AT646">
            <v>0</v>
          </cell>
          <cell r="AU646">
            <v>0</v>
          </cell>
        </row>
        <row r="647">
          <cell r="A647" t="str">
            <v>000BK032</v>
          </cell>
          <cell r="B647" t="str">
            <v>KORAICH</v>
          </cell>
          <cell r="C647" t="str">
            <v>AHMED</v>
          </cell>
          <cell r="D647" t="str">
            <v>REIMS</v>
          </cell>
          <cell r="E647">
            <v>11</v>
          </cell>
          <cell r="F647" t="str">
            <v>NC NUMERICABLE CHAMPAGNE</v>
          </cell>
          <cell r="G647" t="str">
            <v>VAD CONSEILLERS</v>
          </cell>
          <cell r="I647" t="str">
            <v>GENE905001</v>
          </cell>
          <cell r="J647">
            <v>100</v>
          </cell>
          <cell r="K647">
            <v>35614</v>
          </cell>
          <cell r="L647" t="str">
            <v>CONSEILLER(E) COM.</v>
          </cell>
          <cell r="M647" t="str">
            <v>TSM</v>
          </cell>
          <cell r="N647" t="str">
            <v>D</v>
          </cell>
          <cell r="O647" t="str">
            <v>CDI</v>
          </cell>
          <cell r="P647">
            <v>151.57</v>
          </cell>
          <cell r="Q647">
            <v>1172</v>
          </cell>
          <cell r="R647">
            <v>1361.78</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1778.74</v>
          </cell>
          <cell r="AN647">
            <v>126.21</v>
          </cell>
          <cell r="AO647">
            <v>1778.74</v>
          </cell>
          <cell r="AP647">
            <v>0</v>
          </cell>
          <cell r="AQ647">
            <v>1172</v>
          </cell>
          <cell r="AR647">
            <v>0</v>
          </cell>
          <cell r="AS647">
            <v>0</v>
          </cell>
          <cell r="AT647">
            <v>0</v>
          </cell>
          <cell r="AU647">
            <v>0</v>
          </cell>
        </row>
        <row r="648">
          <cell r="A648">
            <v>30102</v>
          </cell>
          <cell r="B648" t="str">
            <v>GAURON</v>
          </cell>
          <cell r="C648" t="str">
            <v>MARC</v>
          </cell>
          <cell r="D648" t="str">
            <v>REIMS</v>
          </cell>
          <cell r="E648">
            <v>11</v>
          </cell>
          <cell r="F648" t="str">
            <v>NC NUMERICABLE CHAMPAGNE</v>
          </cell>
          <cell r="G648" t="str">
            <v>VAD CONSEILLERS</v>
          </cell>
          <cell r="I648" t="str">
            <v>GENE905001</v>
          </cell>
          <cell r="J648">
            <v>100</v>
          </cell>
          <cell r="K648">
            <v>35541</v>
          </cell>
          <cell r="L648" t="str">
            <v>CONSEILLER(E) COM.</v>
          </cell>
          <cell r="M648" t="str">
            <v>TSM</v>
          </cell>
          <cell r="N648" t="str">
            <v>D</v>
          </cell>
          <cell r="O648" t="str">
            <v>CDI</v>
          </cell>
          <cell r="P648">
            <v>151.57</v>
          </cell>
          <cell r="Q648">
            <v>1267</v>
          </cell>
          <cell r="R648">
            <v>511.88</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3639.8</v>
          </cell>
          <cell r="AN648">
            <v>136.44</v>
          </cell>
          <cell r="AO648">
            <v>3639.8</v>
          </cell>
          <cell r="AP648">
            <v>0</v>
          </cell>
          <cell r="AQ648">
            <v>1267</v>
          </cell>
          <cell r="AR648">
            <v>0</v>
          </cell>
          <cell r="AS648">
            <v>0</v>
          </cell>
          <cell r="AT648">
            <v>0</v>
          </cell>
          <cell r="AU648">
            <v>0</v>
          </cell>
        </row>
        <row r="649">
          <cell r="A649" t="str">
            <v>000BM250</v>
          </cell>
          <cell r="B649" t="str">
            <v>MILLET</v>
          </cell>
          <cell r="C649" t="str">
            <v>MURIEL</v>
          </cell>
          <cell r="D649" t="str">
            <v>BASTIA</v>
          </cell>
          <cell r="E649">
            <v>45</v>
          </cell>
          <cell r="F649" t="str">
            <v>NC NUMERICABLE CORSE</v>
          </cell>
          <cell r="G649" t="str">
            <v>BOUTIQUE</v>
          </cell>
          <cell r="I649" t="str">
            <v>GENE905001</v>
          </cell>
          <cell r="J649">
            <v>100</v>
          </cell>
          <cell r="K649">
            <v>36794</v>
          </cell>
          <cell r="L649" t="str">
            <v>SUPERVISEUR COM.</v>
          </cell>
          <cell r="M649" t="str">
            <v>TSM</v>
          </cell>
          <cell r="N649" t="str">
            <v>D</v>
          </cell>
          <cell r="O649" t="str">
            <v>CDI</v>
          </cell>
          <cell r="P649">
            <v>151.57</v>
          </cell>
          <cell r="Q649">
            <v>1745.95</v>
          </cell>
          <cell r="R649">
            <v>1079.99</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-31.51</v>
          </cell>
          <cell r="AN649">
            <v>188.31</v>
          </cell>
          <cell r="AO649">
            <v>-34.299999999999997</v>
          </cell>
          <cell r="AP649">
            <v>0</v>
          </cell>
          <cell r="AQ649">
            <v>1748.74</v>
          </cell>
          <cell r="AR649">
            <v>0</v>
          </cell>
          <cell r="AS649">
            <v>0</v>
          </cell>
          <cell r="AT649">
            <v>0</v>
          </cell>
          <cell r="AU649">
            <v>0</v>
          </cell>
        </row>
        <row r="650">
          <cell r="A650" t="str">
            <v>000B0013</v>
          </cell>
          <cell r="B650" t="str">
            <v>SANCHEZ</v>
          </cell>
          <cell r="C650" t="str">
            <v>ERIC</v>
          </cell>
          <cell r="D650" t="str">
            <v>BASTIA</v>
          </cell>
          <cell r="E650">
            <v>45</v>
          </cell>
          <cell r="F650" t="str">
            <v>NC NUMERICABLE CORSE</v>
          </cell>
          <cell r="G650" t="str">
            <v>VAD CONSEILLERS</v>
          </cell>
          <cell r="I650" t="str">
            <v>GENE905001</v>
          </cell>
          <cell r="J650">
            <v>100</v>
          </cell>
          <cell r="K650">
            <v>33861</v>
          </cell>
          <cell r="L650" t="str">
            <v>CONSEILLER(E) COM.</v>
          </cell>
          <cell r="M650" t="str">
            <v>TSM</v>
          </cell>
          <cell r="N650" t="str">
            <v>D</v>
          </cell>
          <cell r="O650" t="str">
            <v>CDI</v>
          </cell>
          <cell r="P650">
            <v>151.57</v>
          </cell>
          <cell r="Q650">
            <v>1222</v>
          </cell>
          <cell r="R650">
            <v>382.8</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2351.39</v>
          </cell>
          <cell r="AN650">
            <v>131.6</v>
          </cell>
          <cell r="AO650">
            <v>2351.39</v>
          </cell>
          <cell r="AP650">
            <v>0</v>
          </cell>
          <cell r="AQ650">
            <v>1222</v>
          </cell>
          <cell r="AR650">
            <v>0</v>
          </cell>
          <cell r="AS650">
            <v>0</v>
          </cell>
          <cell r="AT650">
            <v>0</v>
          </cell>
          <cell r="AU650">
            <v>0</v>
          </cell>
        </row>
        <row r="651">
          <cell r="A651" t="str">
            <v>000BT092</v>
          </cell>
          <cell r="B651" t="str">
            <v>TROGI</v>
          </cell>
          <cell r="C651" t="str">
            <v>JEAN ANTOINE</v>
          </cell>
          <cell r="D651" t="str">
            <v>BASTIA</v>
          </cell>
          <cell r="E651">
            <v>45</v>
          </cell>
          <cell r="F651" t="str">
            <v>NC NUMERICABLE CORSE</v>
          </cell>
          <cell r="G651" t="str">
            <v>RACCORDEMENT IMMOB STC.</v>
          </cell>
          <cell r="H651" t="str">
            <v>TUGLER</v>
          </cell>
          <cell r="I651" t="str">
            <v>SUES302001</v>
          </cell>
          <cell r="J651">
            <v>100</v>
          </cell>
          <cell r="K651">
            <v>37653</v>
          </cell>
          <cell r="L651" t="str">
            <v>SUPERV. RACC-SAV</v>
          </cell>
          <cell r="M651" t="str">
            <v>TSM</v>
          </cell>
          <cell r="N651" t="str">
            <v>D</v>
          </cell>
          <cell r="O651" t="str">
            <v>CDI</v>
          </cell>
          <cell r="P651">
            <v>151.57</v>
          </cell>
          <cell r="Q651">
            <v>1614</v>
          </cell>
          <cell r="R651">
            <v>1130.5999999999999</v>
          </cell>
          <cell r="S651">
            <v>0</v>
          </cell>
          <cell r="T651">
            <v>120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259.42</v>
          </cell>
          <cell r="AO651">
            <v>0</v>
          </cell>
          <cell r="AP651">
            <v>0</v>
          </cell>
          <cell r="AQ651">
            <v>1946.82</v>
          </cell>
          <cell r="AR651">
            <v>0</v>
          </cell>
          <cell r="AS651">
            <v>0</v>
          </cell>
          <cell r="AT651">
            <v>0</v>
          </cell>
          <cell r="AU651">
            <v>0</v>
          </cell>
        </row>
        <row r="652">
          <cell r="A652">
            <v>965</v>
          </cell>
          <cell r="B652" t="str">
            <v>FIORINI</v>
          </cell>
          <cell r="C652" t="str">
            <v>JEAN-PAUL</v>
          </cell>
          <cell r="D652" t="str">
            <v>BASTIA</v>
          </cell>
          <cell r="E652">
            <v>45</v>
          </cell>
          <cell r="F652" t="str">
            <v>NC NUMERICABLE CORSE</v>
          </cell>
          <cell r="G652" t="str">
            <v>RACCORDEMENT IMMOB STC.</v>
          </cell>
          <cell r="I652" t="str">
            <v>GENE905001</v>
          </cell>
          <cell r="J652">
            <v>100</v>
          </cell>
          <cell r="K652">
            <v>35668</v>
          </cell>
          <cell r="L652" t="str">
            <v>SUP. TECH. CLIENT</v>
          </cell>
          <cell r="M652" t="str">
            <v>TSM</v>
          </cell>
          <cell r="N652" t="str">
            <v>D</v>
          </cell>
          <cell r="O652" t="str">
            <v>CDI</v>
          </cell>
          <cell r="P652">
            <v>151.57</v>
          </cell>
          <cell r="Q652">
            <v>1885.83</v>
          </cell>
          <cell r="R652">
            <v>1282</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869.79</v>
          </cell>
          <cell r="AN652">
            <v>194.94</v>
          </cell>
          <cell r="AO652">
            <v>0</v>
          </cell>
          <cell r="AP652">
            <v>0</v>
          </cell>
          <cell r="AQ652">
            <v>2755.62</v>
          </cell>
          <cell r="AR652">
            <v>0</v>
          </cell>
          <cell r="AS652">
            <v>0</v>
          </cell>
          <cell r="AT652">
            <v>0</v>
          </cell>
          <cell r="AU652">
            <v>0</v>
          </cell>
        </row>
        <row r="653">
          <cell r="A653" t="str">
            <v>000B0014</v>
          </cell>
          <cell r="B653" t="str">
            <v>ORENGA CASTANETTO</v>
          </cell>
          <cell r="C653" t="str">
            <v>LOUIS</v>
          </cell>
          <cell r="D653" t="str">
            <v>BASTIA</v>
          </cell>
          <cell r="E653">
            <v>45</v>
          </cell>
          <cell r="F653" t="str">
            <v>NC NUMERICABLE CORSE</v>
          </cell>
          <cell r="G653" t="str">
            <v>VAD CONSEILLERS</v>
          </cell>
          <cell r="I653" t="str">
            <v>GENE905001</v>
          </cell>
          <cell r="J653">
            <v>100</v>
          </cell>
          <cell r="K653">
            <v>33879</v>
          </cell>
          <cell r="L653" t="str">
            <v>CONSEILLER(E) COM.</v>
          </cell>
          <cell r="M653" t="str">
            <v>TSM</v>
          </cell>
          <cell r="N653" t="str">
            <v>D</v>
          </cell>
          <cell r="O653" t="str">
            <v>CDI</v>
          </cell>
          <cell r="P653">
            <v>151.57</v>
          </cell>
          <cell r="Q653">
            <v>1222</v>
          </cell>
          <cell r="R653">
            <v>328.13</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1943.72</v>
          </cell>
          <cell r="AN653">
            <v>131.61000000000001</v>
          </cell>
          <cell r="AO653">
            <v>1943.72</v>
          </cell>
          <cell r="AP653">
            <v>0</v>
          </cell>
          <cell r="AQ653">
            <v>1222</v>
          </cell>
          <cell r="AR653">
            <v>0</v>
          </cell>
          <cell r="AS653">
            <v>0</v>
          </cell>
          <cell r="AT653">
            <v>0</v>
          </cell>
          <cell r="AU653">
            <v>0</v>
          </cell>
        </row>
        <row r="654">
          <cell r="A654" t="str">
            <v>000B0003</v>
          </cell>
          <cell r="B654" t="str">
            <v>OTTOMANI</v>
          </cell>
          <cell r="C654" t="str">
            <v>ANDREA</v>
          </cell>
          <cell r="D654" t="str">
            <v>BASTIA</v>
          </cell>
          <cell r="E654">
            <v>45</v>
          </cell>
          <cell r="F654" t="str">
            <v>NC NUMERICABLE CORSE</v>
          </cell>
          <cell r="G654" t="str">
            <v>BOUTIQUE</v>
          </cell>
          <cell r="H654" t="str">
            <v>ALBERTINI</v>
          </cell>
          <cell r="I654" t="str">
            <v>SUES507001</v>
          </cell>
          <cell r="J654">
            <v>100</v>
          </cell>
          <cell r="K654">
            <v>33161</v>
          </cell>
          <cell r="L654" t="str">
            <v>CONSEILLER CLIENTELE BOUTIQUE</v>
          </cell>
          <cell r="M654" t="str">
            <v>463E</v>
          </cell>
          <cell r="N654" t="str">
            <v>C</v>
          </cell>
          <cell r="O654" t="str">
            <v>CDI</v>
          </cell>
          <cell r="P654">
            <v>151.66</v>
          </cell>
          <cell r="Q654">
            <v>2151.37</v>
          </cell>
          <cell r="R654">
            <v>1115.1500000000001</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231.69</v>
          </cell>
          <cell r="AO654">
            <v>0</v>
          </cell>
          <cell r="AP654">
            <v>0</v>
          </cell>
          <cell r="AQ654">
            <v>2151.37</v>
          </cell>
          <cell r="AR654">
            <v>0</v>
          </cell>
          <cell r="AS654">
            <v>0</v>
          </cell>
          <cell r="AT654">
            <v>0</v>
          </cell>
          <cell r="AU654">
            <v>0</v>
          </cell>
        </row>
        <row r="655">
          <cell r="A655">
            <v>50237</v>
          </cell>
          <cell r="B655" t="str">
            <v>BERNARD</v>
          </cell>
          <cell r="C655" t="str">
            <v>PIERRE</v>
          </cell>
          <cell r="D655" t="str">
            <v>SIEGE</v>
          </cell>
          <cell r="E655">
            <v>2</v>
          </cell>
          <cell r="F655" t="str">
            <v>NC NUMERICABLE HAUTS DE SEINE</v>
          </cell>
          <cell r="G655" t="str">
            <v>COLLECTIF</v>
          </cell>
          <cell r="H655" t="str">
            <v>BEAURAIN</v>
          </cell>
          <cell r="I655" t="str">
            <v>IDFR510001</v>
          </cell>
          <cell r="J655">
            <v>100</v>
          </cell>
          <cell r="K655">
            <v>33635</v>
          </cell>
          <cell r="L655" t="str">
            <v>ATTACHE COMMERCIAL</v>
          </cell>
          <cell r="M655" t="str">
            <v>CADRE</v>
          </cell>
          <cell r="N655" t="str">
            <v>DB</v>
          </cell>
          <cell r="O655" t="str">
            <v>CDI</v>
          </cell>
          <cell r="P655">
            <v>151.57</v>
          </cell>
          <cell r="Q655">
            <v>2125</v>
          </cell>
          <cell r="R655">
            <v>1963.29</v>
          </cell>
          <cell r="S655">
            <v>0</v>
          </cell>
          <cell r="T655">
            <v>1500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409.8</v>
          </cell>
          <cell r="AO655">
            <v>0</v>
          </cell>
          <cell r="AP655">
            <v>0</v>
          </cell>
          <cell r="AQ655">
            <v>2125</v>
          </cell>
          <cell r="AR655">
            <v>0</v>
          </cell>
          <cell r="AS655">
            <v>0</v>
          </cell>
          <cell r="AT655">
            <v>0</v>
          </cell>
          <cell r="AU655">
            <v>0</v>
          </cell>
        </row>
        <row r="656">
          <cell r="A656">
            <v>51023</v>
          </cell>
          <cell r="B656" t="str">
            <v>BERTIN</v>
          </cell>
          <cell r="C656" t="str">
            <v>JEAN CHRISTOPHE</v>
          </cell>
          <cell r="D656" t="str">
            <v>EBOUE</v>
          </cell>
          <cell r="E656">
            <v>2</v>
          </cell>
          <cell r="F656" t="str">
            <v>NC NUMERICABLE HAUTS DE SEINE</v>
          </cell>
          <cell r="G656" t="str">
            <v>MAINTENANCE RESEAU</v>
          </cell>
          <cell r="H656" t="str">
            <v>BAZOT</v>
          </cell>
          <cell r="I656" t="str">
            <v>IDFR300001</v>
          </cell>
          <cell r="J656">
            <v>100</v>
          </cell>
          <cell r="K656">
            <v>34851</v>
          </cell>
          <cell r="L656" t="str">
            <v>SUP. TECH. CLIENT</v>
          </cell>
          <cell r="M656" t="str">
            <v>TSM</v>
          </cell>
          <cell r="N656" t="str">
            <v>D</v>
          </cell>
          <cell r="O656" t="str">
            <v>CDI</v>
          </cell>
          <cell r="P656">
            <v>151.57</v>
          </cell>
          <cell r="Q656">
            <v>2171.86</v>
          </cell>
          <cell r="R656">
            <v>1560.88</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229.26</v>
          </cell>
          <cell r="AG656">
            <v>50.16</v>
          </cell>
          <cell r="AH656">
            <v>32.24</v>
          </cell>
          <cell r="AI656">
            <v>0</v>
          </cell>
          <cell r="AJ656">
            <v>157.52000000000001</v>
          </cell>
          <cell r="AK656">
            <v>219</v>
          </cell>
          <cell r="AL656">
            <v>0</v>
          </cell>
          <cell r="AM656">
            <v>0</v>
          </cell>
          <cell r="AN656">
            <v>308</v>
          </cell>
          <cell r="AO656">
            <v>0</v>
          </cell>
          <cell r="AP656">
            <v>0</v>
          </cell>
          <cell r="AQ656">
            <v>2483.52</v>
          </cell>
          <cell r="AR656">
            <v>157.52000000000001</v>
          </cell>
          <cell r="AS656">
            <v>219</v>
          </cell>
          <cell r="AT656">
            <v>0</v>
          </cell>
          <cell r="AU656">
            <v>0</v>
          </cell>
        </row>
        <row r="657">
          <cell r="A657">
            <v>982</v>
          </cell>
          <cell r="B657" t="str">
            <v>DA SILVA</v>
          </cell>
          <cell r="C657" t="str">
            <v>SANDRO</v>
          </cell>
          <cell r="D657" t="str">
            <v>VANVES</v>
          </cell>
          <cell r="E657">
            <v>2</v>
          </cell>
          <cell r="F657" t="str">
            <v>NC NUMERICABLE HAUTS DE SEINE</v>
          </cell>
          <cell r="G657" t="str">
            <v>NOC</v>
          </cell>
          <cell r="H657" t="str">
            <v>TABUTEAU</v>
          </cell>
          <cell r="I657" t="str">
            <v>GENE306001</v>
          </cell>
          <cell r="J657">
            <v>100</v>
          </cell>
          <cell r="K657">
            <v>35849</v>
          </cell>
          <cell r="L657" t="str">
            <v>CHEF GROUPE TECH. SUP.</v>
          </cell>
          <cell r="M657" t="str">
            <v>TSM</v>
          </cell>
          <cell r="N657" t="str">
            <v>D</v>
          </cell>
          <cell r="O657" t="str">
            <v>CDI</v>
          </cell>
          <cell r="P657">
            <v>151.57</v>
          </cell>
          <cell r="Q657">
            <v>1951.67</v>
          </cell>
          <cell r="R657">
            <v>711.3</v>
          </cell>
          <cell r="S657">
            <v>0</v>
          </cell>
          <cell r="T657">
            <v>0</v>
          </cell>
          <cell r="U657">
            <v>0</v>
          </cell>
          <cell r="V657">
            <v>0</v>
          </cell>
          <cell r="W657">
            <v>0</v>
          </cell>
          <cell r="X657">
            <v>95</v>
          </cell>
          <cell r="Y657">
            <v>0</v>
          </cell>
          <cell r="Z657">
            <v>64</v>
          </cell>
          <cell r="AA657">
            <v>0</v>
          </cell>
          <cell r="AB657">
            <v>0</v>
          </cell>
          <cell r="AC657">
            <v>0</v>
          </cell>
          <cell r="AD657">
            <v>0</v>
          </cell>
          <cell r="AE657">
            <v>0</v>
          </cell>
          <cell r="AF657">
            <v>51.5</v>
          </cell>
          <cell r="AG657">
            <v>0</v>
          </cell>
          <cell r="AH657">
            <v>12.88</v>
          </cell>
          <cell r="AI657">
            <v>0</v>
          </cell>
          <cell r="AJ657">
            <v>0</v>
          </cell>
          <cell r="AK657">
            <v>0</v>
          </cell>
          <cell r="AL657">
            <v>0</v>
          </cell>
          <cell r="AM657">
            <v>0</v>
          </cell>
          <cell r="AN657">
            <v>251.26</v>
          </cell>
          <cell r="AO657">
            <v>0</v>
          </cell>
          <cell r="AP657">
            <v>0</v>
          </cell>
          <cell r="AQ657">
            <v>1295.55</v>
          </cell>
          <cell r="AR657">
            <v>159</v>
          </cell>
          <cell r="AS657">
            <v>0</v>
          </cell>
          <cell r="AT657">
            <v>0</v>
          </cell>
          <cell r="AU657">
            <v>0</v>
          </cell>
        </row>
        <row r="658">
          <cell r="A658" t="str">
            <v>000BD267</v>
          </cell>
          <cell r="B658" t="str">
            <v>DUTA</v>
          </cell>
          <cell r="C658" t="str">
            <v>LUCIA</v>
          </cell>
          <cell r="D658" t="str">
            <v>VERSAILLES</v>
          </cell>
          <cell r="E658">
            <v>2</v>
          </cell>
          <cell r="F658" t="str">
            <v>NC NUMERICABLE HAUTS DE SEINE</v>
          </cell>
          <cell r="G658" t="str">
            <v>VAD CONSEILLERS</v>
          </cell>
          <cell r="I658" t="str">
            <v>GENE905001</v>
          </cell>
          <cell r="J658">
            <v>100</v>
          </cell>
          <cell r="K658">
            <v>36994</v>
          </cell>
          <cell r="L658" t="str">
            <v>CONSEILLER(E) COM.</v>
          </cell>
          <cell r="M658" t="str">
            <v>TSM</v>
          </cell>
          <cell r="N658" t="str">
            <v>D</v>
          </cell>
          <cell r="O658" t="str">
            <v>CDI</v>
          </cell>
          <cell r="P658">
            <v>151.57</v>
          </cell>
          <cell r="Q658">
            <v>1192</v>
          </cell>
          <cell r="R658">
            <v>209.8</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163.44999999999999</v>
          </cell>
          <cell r="AO658">
            <v>34155.629999999997</v>
          </cell>
          <cell r="AP658">
            <v>0</v>
          </cell>
          <cell r="AQ658">
            <v>672.38</v>
          </cell>
          <cell r="AR658">
            <v>0</v>
          </cell>
          <cell r="AS658">
            <v>0</v>
          </cell>
          <cell r="AT658">
            <v>0</v>
          </cell>
          <cell r="AU658">
            <v>0</v>
          </cell>
        </row>
        <row r="659">
          <cell r="A659" t="str">
            <v>000BB403</v>
          </cell>
          <cell r="B659" t="str">
            <v>BONIFAY</v>
          </cell>
          <cell r="C659" t="str">
            <v>CHRISTOPHE</v>
          </cell>
          <cell r="D659" t="str">
            <v>SIEGE</v>
          </cell>
          <cell r="E659">
            <v>2</v>
          </cell>
          <cell r="F659" t="str">
            <v>NC NUMERICABLE HAUTS DE SEINE</v>
          </cell>
          <cell r="G659" t="str">
            <v>DISTRIBUTEUR</v>
          </cell>
          <cell r="H659" t="str">
            <v>TUTTOLOMONDO</v>
          </cell>
          <cell r="I659" t="str">
            <v>IDFR506001</v>
          </cell>
          <cell r="J659">
            <v>100</v>
          </cell>
          <cell r="K659">
            <v>38047</v>
          </cell>
          <cell r="L659" t="str">
            <v>ATTACHE COMMERCIAL</v>
          </cell>
          <cell r="M659" t="str">
            <v>CADRE</v>
          </cell>
          <cell r="N659" t="str">
            <v>DB</v>
          </cell>
          <cell r="O659" t="str">
            <v>CDI</v>
          </cell>
          <cell r="P659">
            <v>151.57</v>
          </cell>
          <cell r="Q659">
            <v>1854</v>
          </cell>
          <cell r="R659">
            <v>2195.88</v>
          </cell>
          <cell r="S659">
            <v>0</v>
          </cell>
          <cell r="T659">
            <v>2305.0300000000002</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447.89</v>
          </cell>
          <cell r="AO659">
            <v>0</v>
          </cell>
          <cell r="AP659">
            <v>0</v>
          </cell>
          <cell r="AQ659">
            <v>1854</v>
          </cell>
          <cell r="AR659">
            <v>0</v>
          </cell>
          <cell r="AS659">
            <v>0</v>
          </cell>
          <cell r="AT659">
            <v>0</v>
          </cell>
          <cell r="AU659">
            <v>0</v>
          </cell>
        </row>
        <row r="660">
          <cell r="A660" t="str">
            <v>000BA140</v>
          </cell>
          <cell r="B660" t="str">
            <v>ARNAULT</v>
          </cell>
          <cell r="C660" t="str">
            <v>NATHALIE</v>
          </cell>
          <cell r="D660" t="str">
            <v>VERSAILLES</v>
          </cell>
          <cell r="E660">
            <v>2</v>
          </cell>
          <cell r="F660" t="str">
            <v>NC NUMERICABLE HAUTS DE SEINE</v>
          </cell>
          <cell r="G660" t="str">
            <v>VAD CONSEILLERS</v>
          </cell>
          <cell r="I660" t="str">
            <v>GENE905001</v>
          </cell>
          <cell r="J660">
            <v>100</v>
          </cell>
          <cell r="K660">
            <v>37425</v>
          </cell>
          <cell r="L660" t="str">
            <v>CONSEILLER(E) COM.</v>
          </cell>
          <cell r="M660" t="str">
            <v>TSM</v>
          </cell>
          <cell r="N660" t="str">
            <v>D</v>
          </cell>
          <cell r="O660" t="str">
            <v>CDI</v>
          </cell>
          <cell r="P660">
            <v>151.57</v>
          </cell>
          <cell r="Q660">
            <v>1132.1400000000001</v>
          </cell>
          <cell r="R660">
            <v>900.46</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1663.26</v>
          </cell>
          <cell r="AN660">
            <v>0</v>
          </cell>
          <cell r="AO660">
            <v>0</v>
          </cell>
          <cell r="AP660">
            <v>0</v>
          </cell>
          <cell r="AQ660">
            <v>2795.4</v>
          </cell>
          <cell r="AR660">
            <v>0</v>
          </cell>
          <cell r="AS660">
            <v>0</v>
          </cell>
          <cell r="AT660">
            <v>0</v>
          </cell>
          <cell r="AU660">
            <v>0</v>
          </cell>
        </row>
        <row r="661">
          <cell r="A661">
            <v>50087</v>
          </cell>
          <cell r="B661" t="str">
            <v>HEIMBACH</v>
          </cell>
          <cell r="C661" t="str">
            <v>FREDERIC</v>
          </cell>
          <cell r="D661" t="str">
            <v>EBOUE</v>
          </cell>
          <cell r="E661">
            <v>2</v>
          </cell>
          <cell r="F661" t="str">
            <v>NC NUMERICABLE HAUTS DE SEINE</v>
          </cell>
          <cell r="G661" t="str">
            <v>MAINTENANCE RESEAU</v>
          </cell>
          <cell r="H661" t="str">
            <v>BAZOT</v>
          </cell>
          <cell r="I661" t="str">
            <v>IDFR302001</v>
          </cell>
          <cell r="J661">
            <v>100</v>
          </cell>
          <cell r="K661">
            <v>33406</v>
          </cell>
          <cell r="L661" t="str">
            <v>SUP. TECH. CLIENT</v>
          </cell>
          <cell r="M661" t="str">
            <v>TSM</v>
          </cell>
          <cell r="N661" t="str">
            <v>D</v>
          </cell>
          <cell r="O661" t="str">
            <v>CDI</v>
          </cell>
          <cell r="P661">
            <v>151.57</v>
          </cell>
          <cell r="Q661">
            <v>2045.41</v>
          </cell>
          <cell r="R661">
            <v>1366.9</v>
          </cell>
          <cell r="S661">
            <v>0</v>
          </cell>
          <cell r="T661">
            <v>0</v>
          </cell>
          <cell r="U661">
            <v>0</v>
          </cell>
          <cell r="V661">
            <v>0</v>
          </cell>
          <cell r="W661">
            <v>120</v>
          </cell>
          <cell r="X661">
            <v>0</v>
          </cell>
          <cell r="Y661">
            <v>0</v>
          </cell>
          <cell r="Z661">
            <v>0</v>
          </cell>
          <cell r="AA661">
            <v>0</v>
          </cell>
          <cell r="AB661">
            <v>0</v>
          </cell>
          <cell r="AC661">
            <v>0</v>
          </cell>
          <cell r="AD661">
            <v>0</v>
          </cell>
          <cell r="AE661">
            <v>0</v>
          </cell>
          <cell r="AF661">
            <v>67.48</v>
          </cell>
          <cell r="AG661">
            <v>0</v>
          </cell>
          <cell r="AH661">
            <v>16.87</v>
          </cell>
          <cell r="AI661">
            <v>0</v>
          </cell>
          <cell r="AJ661">
            <v>16.87</v>
          </cell>
          <cell r="AK661">
            <v>338</v>
          </cell>
          <cell r="AL661">
            <v>0</v>
          </cell>
          <cell r="AM661">
            <v>0</v>
          </cell>
          <cell r="AN661">
            <v>280.5</v>
          </cell>
          <cell r="AO661">
            <v>0</v>
          </cell>
          <cell r="AP661">
            <v>0</v>
          </cell>
          <cell r="AQ661">
            <v>2129.7600000000002</v>
          </cell>
          <cell r="AR661">
            <v>16.87</v>
          </cell>
          <cell r="AS661">
            <v>338</v>
          </cell>
          <cell r="AT661">
            <v>0</v>
          </cell>
          <cell r="AU661">
            <v>0</v>
          </cell>
        </row>
        <row r="662">
          <cell r="A662">
            <v>58307</v>
          </cell>
          <cell r="B662" t="str">
            <v>VARLET</v>
          </cell>
          <cell r="C662" t="str">
            <v>PIERRE-ARNAUD</v>
          </cell>
          <cell r="D662" t="str">
            <v>SIEGE</v>
          </cell>
          <cell r="E662">
            <v>2</v>
          </cell>
          <cell r="F662" t="str">
            <v>NC NUMERICABLE HAUTS DE SEINE</v>
          </cell>
          <cell r="G662" t="str">
            <v>DISTRIBUTEUR</v>
          </cell>
          <cell r="H662" t="str">
            <v>TUTTOLOMONDO</v>
          </cell>
          <cell r="I662" t="str">
            <v>IDFR506001</v>
          </cell>
          <cell r="J662">
            <v>100</v>
          </cell>
          <cell r="K662">
            <v>35661</v>
          </cell>
          <cell r="L662" t="str">
            <v>ATTACHE COMMERCIAL</v>
          </cell>
          <cell r="M662" t="str">
            <v>CADRE</v>
          </cell>
          <cell r="N662" t="str">
            <v>DB</v>
          </cell>
          <cell r="O662" t="str">
            <v>CDI</v>
          </cell>
          <cell r="P662">
            <v>151.57</v>
          </cell>
          <cell r="Q662">
            <v>2025</v>
          </cell>
          <cell r="R662">
            <v>2448.4299999999998</v>
          </cell>
          <cell r="S662">
            <v>0</v>
          </cell>
          <cell r="T662">
            <v>2378.21</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501.25</v>
          </cell>
          <cell r="AO662">
            <v>0</v>
          </cell>
          <cell r="AP662">
            <v>0</v>
          </cell>
          <cell r="AQ662">
            <v>2025</v>
          </cell>
          <cell r="AR662">
            <v>0</v>
          </cell>
          <cell r="AS662">
            <v>0</v>
          </cell>
          <cell r="AT662">
            <v>0</v>
          </cell>
          <cell r="AU662">
            <v>0</v>
          </cell>
        </row>
        <row r="663">
          <cell r="A663">
            <v>50398</v>
          </cell>
          <cell r="B663" t="str">
            <v>VIRIOT</v>
          </cell>
          <cell r="C663" t="str">
            <v>MARIA</v>
          </cell>
          <cell r="D663" t="str">
            <v>SIEGE</v>
          </cell>
          <cell r="E663">
            <v>2</v>
          </cell>
          <cell r="F663" t="str">
            <v>NC NUMERICABLE HAUTS DE SEINE</v>
          </cell>
          <cell r="G663" t="str">
            <v>COMPTABILITE</v>
          </cell>
          <cell r="H663" t="str">
            <v>SANCHEZ</v>
          </cell>
          <cell r="I663" t="str">
            <v>GENE701001</v>
          </cell>
          <cell r="J663">
            <v>100</v>
          </cell>
          <cell r="K663">
            <v>33959</v>
          </cell>
          <cell r="L663" t="str">
            <v>COMPTABLE.NIV.1</v>
          </cell>
          <cell r="M663" t="str">
            <v>EMPLOYE</v>
          </cell>
          <cell r="N663" t="str">
            <v>C</v>
          </cell>
          <cell r="O663" t="str">
            <v>CDI</v>
          </cell>
          <cell r="P663">
            <v>151.57</v>
          </cell>
          <cell r="Q663">
            <v>2159.39</v>
          </cell>
          <cell r="R663">
            <v>857.13</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239.35</v>
          </cell>
          <cell r="AO663">
            <v>0</v>
          </cell>
          <cell r="AP663">
            <v>0</v>
          </cell>
          <cell r="AQ663">
            <v>1661.14</v>
          </cell>
          <cell r="AR663">
            <v>0</v>
          </cell>
          <cell r="AS663">
            <v>0</v>
          </cell>
          <cell r="AT663">
            <v>0</v>
          </cell>
          <cell r="AU663">
            <v>0</v>
          </cell>
        </row>
        <row r="664">
          <cell r="A664">
            <v>50396</v>
          </cell>
          <cell r="B664" t="str">
            <v>RENAN</v>
          </cell>
          <cell r="C664" t="str">
            <v>CLAUDINE</v>
          </cell>
          <cell r="D664" t="str">
            <v>LYON CATN</v>
          </cell>
          <cell r="E664">
            <v>2</v>
          </cell>
          <cell r="F664" t="str">
            <v>NC NUMERICABLE HAUTS DE SEINE</v>
          </cell>
          <cell r="G664" t="str">
            <v>FACTURATION</v>
          </cell>
          <cell r="H664" t="str">
            <v>ANTONIN</v>
          </cell>
          <cell r="I664" t="str">
            <v>CLIE400001</v>
          </cell>
          <cell r="J664">
            <v>100</v>
          </cell>
          <cell r="K664">
            <v>33970</v>
          </cell>
          <cell r="L664" t="str">
            <v>RESPONSABLE CLT</v>
          </cell>
          <cell r="M664" t="str">
            <v>CADRE</v>
          </cell>
          <cell r="N664" t="str">
            <v>E</v>
          </cell>
          <cell r="O664" t="str">
            <v>CDI</v>
          </cell>
          <cell r="P664">
            <v>151.57</v>
          </cell>
          <cell r="Q664">
            <v>3238.44</v>
          </cell>
          <cell r="R664">
            <v>1810.34</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349.36</v>
          </cell>
          <cell r="AO664">
            <v>0</v>
          </cell>
          <cell r="AP664">
            <v>0</v>
          </cell>
          <cell r="AQ664">
            <v>3163.72</v>
          </cell>
          <cell r="AR664">
            <v>0</v>
          </cell>
          <cell r="AS664">
            <v>0</v>
          </cell>
          <cell r="AT664">
            <v>0</v>
          </cell>
          <cell r="AU664">
            <v>0</v>
          </cell>
        </row>
        <row r="665">
          <cell r="A665" t="str">
            <v>000BL167</v>
          </cell>
          <cell r="B665" t="str">
            <v>LIMAM</v>
          </cell>
          <cell r="C665" t="str">
            <v>ABDERRAHIM</v>
          </cell>
          <cell r="D665" t="str">
            <v>VERSAILLES</v>
          </cell>
          <cell r="E665">
            <v>2</v>
          </cell>
          <cell r="F665" t="str">
            <v>NC NUMERICABLE HAUTS DE SEINE</v>
          </cell>
          <cell r="G665" t="str">
            <v>VAD CONSEILLERS</v>
          </cell>
          <cell r="I665" t="str">
            <v>GENE905001</v>
          </cell>
          <cell r="J665">
            <v>100</v>
          </cell>
          <cell r="K665">
            <v>37053</v>
          </cell>
          <cell r="L665" t="str">
            <v>CONSEILLER(E) COM.</v>
          </cell>
          <cell r="M665" t="str">
            <v>TSM</v>
          </cell>
          <cell r="N665" t="str">
            <v>D</v>
          </cell>
          <cell r="O665" t="str">
            <v>CDI</v>
          </cell>
          <cell r="P665">
            <v>151.57</v>
          </cell>
          <cell r="Q665">
            <v>1107.1400000000001</v>
          </cell>
          <cell r="R665">
            <v>273.82</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1413.01</v>
          </cell>
          <cell r="AN665">
            <v>119.23</v>
          </cell>
          <cell r="AO665">
            <v>1413.01</v>
          </cell>
          <cell r="AP665">
            <v>0</v>
          </cell>
          <cell r="AQ665">
            <v>1107.1400000000001</v>
          </cell>
          <cell r="AR665">
            <v>0</v>
          </cell>
          <cell r="AS665">
            <v>0</v>
          </cell>
          <cell r="AT665">
            <v>0</v>
          </cell>
          <cell r="AU665">
            <v>0</v>
          </cell>
        </row>
        <row r="666">
          <cell r="A666" t="str">
            <v>000BP</v>
          </cell>
          <cell r="B666" t="str">
            <v>POINTEAU</v>
          </cell>
          <cell r="C666" t="str">
            <v>JEAN LUC</v>
          </cell>
          <cell r="D666" t="str">
            <v>VERSAILLES</v>
          </cell>
          <cell r="E666">
            <v>2</v>
          </cell>
          <cell r="F666" t="str">
            <v>NC NUMERICABLE HAUTS DE SEINE</v>
          </cell>
          <cell r="G666" t="str">
            <v>VAD CONSEILLERS</v>
          </cell>
          <cell r="I666" t="str">
            <v>GENE905001</v>
          </cell>
          <cell r="J666">
            <v>100</v>
          </cell>
          <cell r="K666">
            <v>37053</v>
          </cell>
          <cell r="L666" t="str">
            <v>CONSEILLER(E) COM.</v>
          </cell>
          <cell r="M666" t="str">
            <v>TSM</v>
          </cell>
          <cell r="N666" t="str">
            <v>D</v>
          </cell>
          <cell r="O666" t="str">
            <v>CDI</v>
          </cell>
          <cell r="P666">
            <v>151.57</v>
          </cell>
          <cell r="Q666">
            <v>1132</v>
          </cell>
          <cell r="R666">
            <v>324.11</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597.20000000000005</v>
          </cell>
          <cell r="AN666">
            <v>117.01</v>
          </cell>
          <cell r="AO666">
            <v>0</v>
          </cell>
          <cell r="AP666">
            <v>0</v>
          </cell>
          <cell r="AQ666">
            <v>1729.2</v>
          </cell>
          <cell r="AR666">
            <v>0</v>
          </cell>
          <cell r="AS666">
            <v>0</v>
          </cell>
          <cell r="AT666">
            <v>0</v>
          </cell>
          <cell r="AU666">
            <v>0</v>
          </cell>
        </row>
        <row r="667">
          <cell r="A667">
            <v>51075</v>
          </cell>
          <cell r="B667" t="str">
            <v>BARBIERO</v>
          </cell>
          <cell r="C667" t="str">
            <v>ORLANDO</v>
          </cell>
          <cell r="D667" t="str">
            <v>VERSAILLES</v>
          </cell>
          <cell r="E667">
            <v>2</v>
          </cell>
          <cell r="F667" t="str">
            <v>NC NUMERICABLE HAUTS DE SEINE</v>
          </cell>
          <cell r="G667" t="str">
            <v>VAD ANIMATEURS</v>
          </cell>
          <cell r="I667" t="str">
            <v>GENE905001</v>
          </cell>
          <cell r="J667">
            <v>100</v>
          </cell>
          <cell r="K667">
            <v>34977</v>
          </cell>
          <cell r="L667" t="str">
            <v>ANIMATEUR COM.</v>
          </cell>
          <cell r="M667" t="str">
            <v>CADRE</v>
          </cell>
          <cell r="N667" t="str">
            <v>DB</v>
          </cell>
          <cell r="O667" t="str">
            <v>CDI</v>
          </cell>
          <cell r="P667">
            <v>151.57</v>
          </cell>
          <cell r="Q667">
            <v>2040</v>
          </cell>
          <cell r="R667">
            <v>2371.48</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3057.6</v>
          </cell>
          <cell r="AN667">
            <v>16.41</v>
          </cell>
          <cell r="AO667">
            <v>0</v>
          </cell>
          <cell r="AP667">
            <v>0</v>
          </cell>
          <cell r="AQ667">
            <v>5097.6000000000004</v>
          </cell>
          <cell r="AR667">
            <v>0</v>
          </cell>
          <cell r="AS667">
            <v>0</v>
          </cell>
          <cell r="AT667">
            <v>0</v>
          </cell>
          <cell r="AU667">
            <v>0</v>
          </cell>
        </row>
        <row r="668">
          <cell r="A668">
            <v>57060</v>
          </cell>
          <cell r="B668" t="str">
            <v>LUCAS-HEITZ</v>
          </cell>
          <cell r="C668" t="str">
            <v>CAROLE</v>
          </cell>
          <cell r="D668" t="str">
            <v>VANVES</v>
          </cell>
          <cell r="E668">
            <v>2</v>
          </cell>
          <cell r="F668" t="str">
            <v>NC NUMERICABLE HAUTS DE SEINE</v>
          </cell>
          <cell r="G668" t="str">
            <v>COLLECTIF</v>
          </cell>
          <cell r="I668" t="str">
            <v>GENE905001</v>
          </cell>
          <cell r="J668">
            <v>100</v>
          </cell>
          <cell r="K668">
            <v>35016</v>
          </cell>
          <cell r="L668" t="str">
            <v>ASSISTANT(E) NIV. 2</v>
          </cell>
          <cell r="M668" t="str">
            <v>TSM</v>
          </cell>
          <cell r="N668" t="str">
            <v>D</v>
          </cell>
          <cell r="O668" t="str">
            <v>CDI</v>
          </cell>
          <cell r="P668">
            <v>130</v>
          </cell>
          <cell r="Q668">
            <v>1424.95</v>
          </cell>
          <cell r="R668">
            <v>897</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-110.33</v>
          </cell>
          <cell r="AO668">
            <v>23417.38</v>
          </cell>
          <cell r="AP668">
            <v>0</v>
          </cell>
          <cell r="AQ668">
            <v>526.04999999999995</v>
          </cell>
          <cell r="AR668">
            <v>0</v>
          </cell>
          <cell r="AS668">
            <v>0</v>
          </cell>
          <cell r="AT668">
            <v>0</v>
          </cell>
          <cell r="AU668">
            <v>0</v>
          </cell>
        </row>
        <row r="669">
          <cell r="A669">
            <v>235</v>
          </cell>
          <cell r="B669" t="str">
            <v>FRAIN</v>
          </cell>
          <cell r="C669" t="str">
            <v>STEPHANE</v>
          </cell>
          <cell r="D669" t="str">
            <v>VANVES</v>
          </cell>
          <cell r="E669">
            <v>2</v>
          </cell>
          <cell r="F669" t="str">
            <v>NC NUMERICABLE HAUTS DE SEINE</v>
          </cell>
          <cell r="G669" t="str">
            <v>NOC</v>
          </cell>
          <cell r="H669" t="str">
            <v>TABUTEAU</v>
          </cell>
          <cell r="I669" t="str">
            <v>GENE306001</v>
          </cell>
          <cell r="J669">
            <v>100</v>
          </cell>
          <cell r="K669">
            <v>32419</v>
          </cell>
          <cell r="L669" t="str">
            <v>CHEF GROUPE TECH. SUP.</v>
          </cell>
          <cell r="M669" t="str">
            <v>TSM</v>
          </cell>
          <cell r="N669" t="str">
            <v>D</v>
          </cell>
          <cell r="O669" t="str">
            <v>CDI</v>
          </cell>
          <cell r="P669">
            <v>151.57</v>
          </cell>
          <cell r="Q669">
            <v>1951.67</v>
          </cell>
          <cell r="R669">
            <v>1255.93</v>
          </cell>
          <cell r="S669">
            <v>0</v>
          </cell>
          <cell r="T669">
            <v>0</v>
          </cell>
          <cell r="U669">
            <v>0</v>
          </cell>
          <cell r="V669">
            <v>0</v>
          </cell>
          <cell r="W669">
            <v>0</v>
          </cell>
          <cell r="X669">
            <v>95</v>
          </cell>
          <cell r="Y669">
            <v>0</v>
          </cell>
          <cell r="Z669">
            <v>192</v>
          </cell>
          <cell r="AA669">
            <v>0</v>
          </cell>
          <cell r="AB669">
            <v>0</v>
          </cell>
          <cell r="AC669">
            <v>0</v>
          </cell>
          <cell r="AD669">
            <v>0</v>
          </cell>
          <cell r="AE669">
            <v>0</v>
          </cell>
          <cell r="AF669">
            <v>38.630000000000003</v>
          </cell>
          <cell r="AG669">
            <v>0</v>
          </cell>
          <cell r="AH669">
            <v>9.66</v>
          </cell>
          <cell r="AI669">
            <v>0</v>
          </cell>
          <cell r="AJ669">
            <v>0</v>
          </cell>
          <cell r="AK669">
            <v>0</v>
          </cell>
          <cell r="AL669">
            <v>0</v>
          </cell>
          <cell r="AM669">
            <v>0</v>
          </cell>
          <cell r="AN669">
            <v>246.28</v>
          </cell>
          <cell r="AO669">
            <v>0</v>
          </cell>
          <cell r="AP669">
            <v>0</v>
          </cell>
          <cell r="AQ669">
            <v>1999.96</v>
          </cell>
          <cell r="AR669">
            <v>287</v>
          </cell>
          <cell r="AS669">
            <v>0</v>
          </cell>
          <cell r="AT669">
            <v>0</v>
          </cell>
          <cell r="AU669">
            <v>0</v>
          </cell>
        </row>
        <row r="670">
          <cell r="A670" t="str">
            <v>000BA</v>
          </cell>
          <cell r="B670" t="str">
            <v>ABDELMOULA</v>
          </cell>
          <cell r="C670" t="str">
            <v>TAOUFIK</v>
          </cell>
          <cell r="D670" t="str">
            <v>VERSAILLES</v>
          </cell>
          <cell r="E670">
            <v>2</v>
          </cell>
          <cell r="F670" t="str">
            <v>NC NUMERICABLE HAUTS DE SEINE</v>
          </cell>
          <cell r="G670" t="str">
            <v>VAD CONSEILLERS</v>
          </cell>
          <cell r="I670" t="str">
            <v>GENE905001</v>
          </cell>
          <cell r="J670">
            <v>100</v>
          </cell>
          <cell r="K670">
            <v>37151</v>
          </cell>
          <cell r="L670" t="str">
            <v>CONSEILLER(E) COM.</v>
          </cell>
          <cell r="M670" t="str">
            <v>TSM</v>
          </cell>
          <cell r="N670" t="str">
            <v>D</v>
          </cell>
          <cell r="O670" t="str">
            <v>CDI</v>
          </cell>
          <cell r="P670">
            <v>151.57</v>
          </cell>
          <cell r="Q670">
            <v>1192.1400000000001</v>
          </cell>
          <cell r="R670">
            <v>155.06</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1359.32</v>
          </cell>
          <cell r="AN670">
            <v>184.58</v>
          </cell>
          <cell r="AO670">
            <v>837.38</v>
          </cell>
          <cell r="AP670">
            <v>0</v>
          </cell>
          <cell r="AQ670">
            <v>1714.08</v>
          </cell>
          <cell r="AR670">
            <v>0</v>
          </cell>
          <cell r="AS670">
            <v>0</v>
          </cell>
          <cell r="AT670">
            <v>0</v>
          </cell>
          <cell r="AU670">
            <v>0</v>
          </cell>
        </row>
        <row r="671">
          <cell r="A671">
            <v>58203</v>
          </cell>
          <cell r="B671" t="str">
            <v>LAFONTANT</v>
          </cell>
          <cell r="C671" t="str">
            <v>PATRICK MAX</v>
          </cell>
          <cell r="D671" t="str">
            <v>VERSAILLES</v>
          </cell>
          <cell r="E671">
            <v>2</v>
          </cell>
          <cell r="F671" t="str">
            <v>NC NUMERICABLE HAUTS DE SEINE</v>
          </cell>
          <cell r="G671" t="str">
            <v>VAD CONSEILLERS</v>
          </cell>
          <cell r="I671" t="str">
            <v>GENE905001</v>
          </cell>
          <cell r="J671">
            <v>100</v>
          </cell>
          <cell r="K671">
            <v>35508</v>
          </cell>
          <cell r="L671" t="str">
            <v>CONSEILLER(E) COM.</v>
          </cell>
          <cell r="M671" t="str">
            <v>TSM</v>
          </cell>
          <cell r="N671" t="str">
            <v>D</v>
          </cell>
          <cell r="O671" t="str">
            <v>CDI</v>
          </cell>
          <cell r="P671">
            <v>151.57</v>
          </cell>
          <cell r="Q671">
            <v>1192</v>
          </cell>
          <cell r="R671">
            <v>1060.48</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2103.1999999999998</v>
          </cell>
          <cell r="AN671">
            <v>-0.02</v>
          </cell>
          <cell r="AO671">
            <v>0</v>
          </cell>
          <cell r="AP671">
            <v>0</v>
          </cell>
          <cell r="AQ671">
            <v>3295.2</v>
          </cell>
          <cell r="AR671">
            <v>0</v>
          </cell>
          <cell r="AS671">
            <v>0</v>
          </cell>
          <cell r="AT671">
            <v>0</v>
          </cell>
          <cell r="AU671">
            <v>0</v>
          </cell>
        </row>
        <row r="672">
          <cell r="A672" t="str">
            <v>000BL172</v>
          </cell>
          <cell r="B672" t="str">
            <v>LAVIER</v>
          </cell>
          <cell r="C672" t="str">
            <v>ERIC</v>
          </cell>
          <cell r="D672" t="str">
            <v>VERSAILLES</v>
          </cell>
          <cell r="E672">
            <v>2</v>
          </cell>
          <cell r="F672" t="str">
            <v>NC NUMERICABLE HAUTS DE SEINE</v>
          </cell>
          <cell r="G672" t="str">
            <v>VAD CONSEILLERS</v>
          </cell>
          <cell r="I672" t="str">
            <v>GENE905001</v>
          </cell>
          <cell r="J672">
            <v>100</v>
          </cell>
          <cell r="K672">
            <v>37377</v>
          </cell>
          <cell r="L672" t="str">
            <v>CONSEILLER(E) COM.</v>
          </cell>
          <cell r="M672" t="str">
            <v>TSM</v>
          </cell>
          <cell r="N672" t="str">
            <v>D</v>
          </cell>
          <cell r="O672" t="str">
            <v>CDI</v>
          </cell>
          <cell r="P672">
            <v>151.57</v>
          </cell>
          <cell r="Q672">
            <v>1217</v>
          </cell>
          <cell r="R672">
            <v>1368.83</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5283.49</v>
          </cell>
          <cell r="AN672">
            <v>131.07</v>
          </cell>
          <cell r="AO672">
            <v>5283.49</v>
          </cell>
          <cell r="AP672">
            <v>0</v>
          </cell>
          <cell r="AQ672">
            <v>1217</v>
          </cell>
          <cell r="AR672">
            <v>0</v>
          </cell>
          <cell r="AS672">
            <v>0</v>
          </cell>
          <cell r="AT672">
            <v>0</v>
          </cell>
          <cell r="AU672">
            <v>0</v>
          </cell>
        </row>
        <row r="673">
          <cell r="A673">
            <v>910</v>
          </cell>
          <cell r="B673" t="str">
            <v>LETAUX</v>
          </cell>
          <cell r="C673" t="str">
            <v>INGRID</v>
          </cell>
          <cell r="D673" t="str">
            <v>SIEGE</v>
          </cell>
          <cell r="E673">
            <v>2</v>
          </cell>
          <cell r="F673" t="str">
            <v>NC NUMERICABLE HAUTS DE SEINE</v>
          </cell>
          <cell r="G673" t="str">
            <v>COMPTABILITE</v>
          </cell>
          <cell r="H673" t="str">
            <v>HIDDEN</v>
          </cell>
          <cell r="I673" t="str">
            <v>GENE701001</v>
          </cell>
          <cell r="J673">
            <v>100</v>
          </cell>
          <cell r="K673">
            <v>35485</v>
          </cell>
          <cell r="L673" t="str">
            <v>COMPTABLE.NIV.1</v>
          </cell>
          <cell r="M673" t="str">
            <v>EMPLOYE</v>
          </cell>
          <cell r="N673" t="str">
            <v>C</v>
          </cell>
          <cell r="O673" t="str">
            <v>CDI</v>
          </cell>
          <cell r="P673">
            <v>130</v>
          </cell>
          <cell r="Q673">
            <v>1350.86</v>
          </cell>
          <cell r="R673">
            <v>210.62</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90.64</v>
          </cell>
          <cell r="AN673">
            <v>145.47</v>
          </cell>
          <cell r="AO673">
            <v>90.64</v>
          </cell>
          <cell r="AP673">
            <v>0</v>
          </cell>
          <cell r="AQ673">
            <v>1350.86</v>
          </cell>
          <cell r="AR673">
            <v>0</v>
          </cell>
          <cell r="AS673">
            <v>0</v>
          </cell>
          <cell r="AT673">
            <v>0</v>
          </cell>
          <cell r="AU673">
            <v>0</v>
          </cell>
        </row>
        <row r="674">
          <cell r="A674">
            <v>984</v>
          </cell>
          <cell r="B674" t="str">
            <v>YILMAZ</v>
          </cell>
          <cell r="C674" t="str">
            <v>SULEYMAN</v>
          </cell>
          <cell r="D674" t="str">
            <v>VERSAILLES</v>
          </cell>
          <cell r="E674">
            <v>2</v>
          </cell>
          <cell r="F674" t="str">
            <v>NC NUMERICABLE HAUTS DE SEINE</v>
          </cell>
          <cell r="G674" t="str">
            <v>VAD CONSEILLERS</v>
          </cell>
          <cell r="I674" t="str">
            <v>GENE905001</v>
          </cell>
          <cell r="J674">
            <v>100</v>
          </cell>
          <cell r="K674">
            <v>35940</v>
          </cell>
          <cell r="L674" t="str">
            <v>CONSEILLER(E) COM.</v>
          </cell>
          <cell r="M674" t="str">
            <v>TSM</v>
          </cell>
          <cell r="N674" t="str">
            <v>D</v>
          </cell>
          <cell r="O674" t="str">
            <v>CDI</v>
          </cell>
          <cell r="P674">
            <v>151.57</v>
          </cell>
          <cell r="Q674">
            <v>1192</v>
          </cell>
          <cell r="R674">
            <v>284.12</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1407.14</v>
          </cell>
          <cell r="AN674">
            <v>128.36000000000001</v>
          </cell>
          <cell r="AO674">
            <v>1407.14</v>
          </cell>
          <cell r="AP674">
            <v>0</v>
          </cell>
          <cell r="AQ674">
            <v>1192</v>
          </cell>
          <cell r="AR674">
            <v>0</v>
          </cell>
          <cell r="AS674">
            <v>0</v>
          </cell>
          <cell r="AT674">
            <v>0</v>
          </cell>
          <cell r="AU674">
            <v>0</v>
          </cell>
        </row>
        <row r="675">
          <cell r="A675">
            <v>888</v>
          </cell>
          <cell r="B675" t="str">
            <v>CARNE</v>
          </cell>
          <cell r="C675" t="str">
            <v>BRUNO</v>
          </cell>
          <cell r="D675" t="str">
            <v>VERSAILLES</v>
          </cell>
          <cell r="E675">
            <v>2</v>
          </cell>
          <cell r="F675" t="str">
            <v>NC NUMERICABLE HAUTS DE SEINE</v>
          </cell>
          <cell r="G675" t="str">
            <v>VAD ANIMATEURS</v>
          </cell>
          <cell r="I675" t="str">
            <v>IDFR500001</v>
          </cell>
          <cell r="J675">
            <v>100</v>
          </cell>
          <cell r="K675">
            <v>35128</v>
          </cell>
          <cell r="L675" t="str">
            <v>ANIMATEUR COM.</v>
          </cell>
          <cell r="M675" t="str">
            <v>CADRE</v>
          </cell>
          <cell r="N675" t="str">
            <v>DB</v>
          </cell>
          <cell r="O675" t="str">
            <v>CDI</v>
          </cell>
          <cell r="P675">
            <v>151.57</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row>
        <row r="676">
          <cell r="A676">
            <v>50380</v>
          </cell>
          <cell r="B676" t="str">
            <v>MOINET-TAVOLIERI</v>
          </cell>
          <cell r="C676" t="str">
            <v>GWENNOLA</v>
          </cell>
          <cell r="D676" t="str">
            <v>SIEGE</v>
          </cell>
          <cell r="E676">
            <v>2</v>
          </cell>
          <cell r="F676" t="str">
            <v>NC NUMERICABLE HAUTS DE SEINE</v>
          </cell>
          <cell r="G676" t="str">
            <v>RACCORDEMENT IMMOB STC.</v>
          </cell>
          <cell r="H676" t="str">
            <v>BEAURAIN</v>
          </cell>
          <cell r="I676" t="str">
            <v>IDFR302001</v>
          </cell>
          <cell r="J676">
            <v>100</v>
          </cell>
          <cell r="K676">
            <v>33898</v>
          </cell>
          <cell r="L676" t="str">
            <v>RESP.TECH.CLIENTELE</v>
          </cell>
          <cell r="M676" t="str">
            <v>CADRE</v>
          </cell>
          <cell r="N676" t="str">
            <v>E</v>
          </cell>
          <cell r="O676" t="str">
            <v>CDI</v>
          </cell>
          <cell r="P676">
            <v>151.57</v>
          </cell>
          <cell r="Q676">
            <v>2890</v>
          </cell>
          <cell r="R676">
            <v>2063.54</v>
          </cell>
          <cell r="S676">
            <v>0</v>
          </cell>
          <cell r="T676">
            <v>0</v>
          </cell>
          <cell r="U676">
            <v>0</v>
          </cell>
          <cell r="V676">
            <v>0</v>
          </cell>
          <cell r="W676">
            <v>867</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426.83</v>
          </cell>
          <cell r="AO676">
            <v>0</v>
          </cell>
          <cell r="AP676">
            <v>0</v>
          </cell>
          <cell r="AQ676">
            <v>2890</v>
          </cell>
          <cell r="AR676">
            <v>0</v>
          </cell>
          <cell r="AS676">
            <v>0</v>
          </cell>
          <cell r="AT676">
            <v>0</v>
          </cell>
          <cell r="AU676">
            <v>0</v>
          </cell>
        </row>
        <row r="677">
          <cell r="A677">
            <v>50203</v>
          </cell>
          <cell r="B677" t="str">
            <v>PLE</v>
          </cell>
          <cell r="C677" t="str">
            <v>FRANCK</v>
          </cell>
          <cell r="D677" t="str">
            <v>EBOUE</v>
          </cell>
          <cell r="E677">
            <v>2</v>
          </cell>
          <cell r="F677" t="str">
            <v>NC NUMERICABLE HAUTS DE SEINE</v>
          </cell>
          <cell r="G677" t="str">
            <v>TRAVAUX</v>
          </cell>
          <cell r="H677" t="str">
            <v>DUCHARNEUX</v>
          </cell>
          <cell r="I677" t="str">
            <v>IDFR300001</v>
          </cell>
          <cell r="J677">
            <v>100</v>
          </cell>
          <cell r="K677">
            <v>33568</v>
          </cell>
          <cell r="L677" t="str">
            <v>TECH.SUPP.NIV.2</v>
          </cell>
          <cell r="M677" t="str">
            <v>TSM</v>
          </cell>
          <cell r="N677" t="str">
            <v>D</v>
          </cell>
          <cell r="O677" t="str">
            <v>CDI</v>
          </cell>
          <cell r="P677">
            <v>151.57</v>
          </cell>
          <cell r="Q677">
            <v>2060</v>
          </cell>
          <cell r="R677">
            <v>996.21</v>
          </cell>
          <cell r="S677">
            <v>0</v>
          </cell>
          <cell r="T677">
            <v>0</v>
          </cell>
          <cell r="U677">
            <v>0</v>
          </cell>
          <cell r="V677">
            <v>249.39</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251.03</v>
          </cell>
          <cell r="AO677">
            <v>0</v>
          </cell>
          <cell r="AP677">
            <v>0</v>
          </cell>
          <cell r="AQ677">
            <v>1584.69</v>
          </cell>
          <cell r="AR677">
            <v>249.39</v>
          </cell>
          <cell r="AS677">
            <v>0</v>
          </cell>
          <cell r="AT677">
            <v>0</v>
          </cell>
          <cell r="AU677">
            <v>0</v>
          </cell>
        </row>
        <row r="678">
          <cell r="A678" t="str">
            <v>000BM270</v>
          </cell>
          <cell r="B678" t="str">
            <v>MICHEL</v>
          </cell>
          <cell r="C678" t="str">
            <v>PHILIPPE</v>
          </cell>
          <cell r="D678" t="str">
            <v>VERSAILLES</v>
          </cell>
          <cell r="E678">
            <v>2</v>
          </cell>
          <cell r="F678" t="str">
            <v>NC NUMERICABLE HAUTS DE SEINE</v>
          </cell>
          <cell r="G678" t="str">
            <v>VAD CONSEILLERS</v>
          </cell>
          <cell r="I678" t="str">
            <v>GENE905001</v>
          </cell>
          <cell r="J678">
            <v>100</v>
          </cell>
          <cell r="K678">
            <v>38047</v>
          </cell>
          <cell r="L678" t="str">
            <v>CONSEILLER(E) COM.</v>
          </cell>
          <cell r="M678" t="str">
            <v>TSM</v>
          </cell>
          <cell r="N678" t="str">
            <v>D</v>
          </cell>
          <cell r="O678" t="str">
            <v>CDI</v>
          </cell>
          <cell r="P678">
            <v>151.57</v>
          </cell>
          <cell r="Q678">
            <v>1217</v>
          </cell>
          <cell r="R678">
            <v>687.68</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5352.31</v>
          </cell>
          <cell r="AN678">
            <v>131.07</v>
          </cell>
          <cell r="AO678">
            <v>5352.31</v>
          </cell>
          <cell r="AP678">
            <v>0</v>
          </cell>
          <cell r="AQ678">
            <v>1217</v>
          </cell>
          <cell r="AR678">
            <v>0</v>
          </cell>
          <cell r="AS678">
            <v>0</v>
          </cell>
          <cell r="AT678">
            <v>0</v>
          </cell>
          <cell r="AU678">
            <v>0</v>
          </cell>
        </row>
        <row r="679">
          <cell r="A679" t="str">
            <v>000BB399</v>
          </cell>
          <cell r="B679" t="str">
            <v>BACHELET</v>
          </cell>
          <cell r="C679" t="str">
            <v>GILLES</v>
          </cell>
          <cell r="D679" t="str">
            <v>VERSAILLES</v>
          </cell>
          <cell r="E679">
            <v>2</v>
          </cell>
          <cell r="F679" t="str">
            <v>NC NUMERICABLE HAUTS DE SEINE</v>
          </cell>
          <cell r="G679" t="str">
            <v>VAD CONSEILLERS</v>
          </cell>
          <cell r="I679" t="str">
            <v>GENE905001</v>
          </cell>
          <cell r="J679">
            <v>100</v>
          </cell>
          <cell r="K679">
            <v>37501</v>
          </cell>
          <cell r="L679" t="str">
            <v>CONSEILLER(E) COM.</v>
          </cell>
          <cell r="M679" t="str">
            <v>TSM</v>
          </cell>
          <cell r="N679" t="str">
            <v>D</v>
          </cell>
          <cell r="O679" t="str">
            <v>CDI</v>
          </cell>
          <cell r="P679">
            <v>151.57</v>
          </cell>
          <cell r="Q679">
            <v>1157.1400000000001</v>
          </cell>
          <cell r="R679">
            <v>609.52</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2809.17</v>
          </cell>
          <cell r="AN679">
            <v>661.23</v>
          </cell>
          <cell r="AO679">
            <v>34513.78</v>
          </cell>
          <cell r="AP679">
            <v>0</v>
          </cell>
          <cell r="AQ679">
            <v>1210.54</v>
          </cell>
          <cell r="AR679">
            <v>0</v>
          </cell>
          <cell r="AS679">
            <v>0</v>
          </cell>
          <cell r="AT679">
            <v>0</v>
          </cell>
          <cell r="AU679">
            <v>0</v>
          </cell>
        </row>
        <row r="680">
          <cell r="A680">
            <v>50813</v>
          </cell>
          <cell r="B680" t="str">
            <v>DANIELIAN</v>
          </cell>
          <cell r="C680" t="str">
            <v>NATHALIE</v>
          </cell>
          <cell r="D680" t="str">
            <v>EBOUE</v>
          </cell>
          <cell r="E680">
            <v>2</v>
          </cell>
          <cell r="F680" t="str">
            <v>NC NUMERICABLE HAUTS DE SEINE</v>
          </cell>
          <cell r="G680" t="str">
            <v>TRAVAUX</v>
          </cell>
          <cell r="H680" t="str">
            <v>DUCHARNEUX</v>
          </cell>
          <cell r="I680" t="str">
            <v>IDFR300001</v>
          </cell>
          <cell r="J680">
            <v>100</v>
          </cell>
          <cell r="K680">
            <v>34487</v>
          </cell>
          <cell r="L680" t="str">
            <v>SUPERVISEUR TRAVAUX</v>
          </cell>
          <cell r="M680" t="str">
            <v>TSM</v>
          </cell>
          <cell r="N680" t="str">
            <v>D</v>
          </cell>
          <cell r="O680" t="str">
            <v>CDI</v>
          </cell>
          <cell r="P680">
            <v>151.57</v>
          </cell>
          <cell r="Q680">
            <v>2253.64</v>
          </cell>
          <cell r="R680">
            <v>1371</v>
          </cell>
          <cell r="S680">
            <v>0</v>
          </cell>
          <cell r="T680">
            <v>0</v>
          </cell>
          <cell r="U680">
            <v>0</v>
          </cell>
          <cell r="V680">
            <v>249.39</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269.57</v>
          </cell>
          <cell r="AO680">
            <v>0</v>
          </cell>
          <cell r="AP680">
            <v>0</v>
          </cell>
          <cell r="AQ680">
            <v>2253.64</v>
          </cell>
          <cell r="AR680">
            <v>249.39</v>
          </cell>
          <cell r="AS680">
            <v>0</v>
          </cell>
          <cell r="AT680">
            <v>0</v>
          </cell>
          <cell r="AU680">
            <v>0</v>
          </cell>
        </row>
        <row r="681">
          <cell r="A681">
            <v>619</v>
          </cell>
          <cell r="B681" t="str">
            <v>THIERRY</v>
          </cell>
          <cell r="C681" t="str">
            <v>SYLVAIN</v>
          </cell>
          <cell r="D681" t="str">
            <v>MONTPELLIER</v>
          </cell>
          <cell r="E681">
            <v>2</v>
          </cell>
          <cell r="F681" t="str">
            <v>NC NUMERICABLE HAUTS DE SEINE</v>
          </cell>
          <cell r="G681" t="str">
            <v>TRAVAUX</v>
          </cell>
          <cell r="H681" t="str">
            <v>SOULIERE</v>
          </cell>
          <cell r="I681" t="str">
            <v>SUES300001</v>
          </cell>
          <cell r="J681">
            <v>100</v>
          </cell>
          <cell r="K681">
            <v>33482</v>
          </cell>
          <cell r="L681" t="str">
            <v>SUPERVISEUR TRAVAUX</v>
          </cell>
          <cell r="M681" t="str">
            <v>478D</v>
          </cell>
          <cell r="N681" t="str">
            <v>D</v>
          </cell>
          <cell r="O681" t="str">
            <v>CDI</v>
          </cell>
          <cell r="P681">
            <v>151.57</v>
          </cell>
          <cell r="Q681">
            <v>1990</v>
          </cell>
          <cell r="R681">
            <v>1939.68</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424.32</v>
          </cell>
          <cell r="AO681">
            <v>0</v>
          </cell>
          <cell r="AP681">
            <v>0</v>
          </cell>
          <cell r="AQ681">
            <v>3940</v>
          </cell>
          <cell r="AR681">
            <v>0</v>
          </cell>
          <cell r="AS681">
            <v>0</v>
          </cell>
          <cell r="AT681">
            <v>0</v>
          </cell>
          <cell r="AU681">
            <v>0</v>
          </cell>
        </row>
        <row r="682">
          <cell r="A682">
            <v>58351</v>
          </cell>
          <cell r="B682" t="str">
            <v>PEREIRA</v>
          </cell>
          <cell r="C682" t="str">
            <v>CECILIA</v>
          </cell>
          <cell r="D682" t="str">
            <v>TOULOUSE</v>
          </cell>
          <cell r="E682">
            <v>2</v>
          </cell>
          <cell r="F682" t="str">
            <v>NC NUMERICABLE HAUTS DE SEINE</v>
          </cell>
          <cell r="G682" t="str">
            <v>COLLECTIF</v>
          </cell>
          <cell r="H682" t="str">
            <v>GALERA</v>
          </cell>
          <cell r="I682" t="str">
            <v>SUOU510001</v>
          </cell>
          <cell r="J682">
            <v>100</v>
          </cell>
          <cell r="K682">
            <v>35738</v>
          </cell>
          <cell r="L682" t="str">
            <v>ATTACHE COMMERCIAL</v>
          </cell>
          <cell r="M682" t="str">
            <v>CADRE</v>
          </cell>
          <cell r="N682" t="str">
            <v>DB</v>
          </cell>
          <cell r="O682" t="str">
            <v>CDI</v>
          </cell>
          <cell r="P682">
            <v>151.57</v>
          </cell>
          <cell r="Q682">
            <v>1825</v>
          </cell>
          <cell r="R682">
            <v>1276.78</v>
          </cell>
          <cell r="S682">
            <v>0</v>
          </cell>
          <cell r="T682">
            <v>1500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358.07</v>
          </cell>
          <cell r="AO682">
            <v>0</v>
          </cell>
          <cell r="AP682">
            <v>0</v>
          </cell>
          <cell r="AQ682">
            <v>1825</v>
          </cell>
          <cell r="AR682">
            <v>0</v>
          </cell>
          <cell r="AS682">
            <v>0</v>
          </cell>
          <cell r="AT682">
            <v>0</v>
          </cell>
          <cell r="AU682">
            <v>0</v>
          </cell>
        </row>
        <row r="683">
          <cell r="A683">
            <v>50069</v>
          </cell>
          <cell r="B683" t="str">
            <v>GROSJEAN</v>
          </cell>
          <cell r="C683" t="str">
            <v>STEPHANE</v>
          </cell>
          <cell r="D683" t="str">
            <v>SIEGE</v>
          </cell>
          <cell r="E683">
            <v>2</v>
          </cell>
          <cell r="F683" t="str">
            <v>NC NUMERICABLE HAUTS DE SEINE</v>
          </cell>
          <cell r="G683" t="str">
            <v>COLLECTIF</v>
          </cell>
          <cell r="H683" t="str">
            <v>LORCET</v>
          </cell>
          <cell r="I683" t="str">
            <v>GENE549001</v>
          </cell>
          <cell r="J683">
            <v>100</v>
          </cell>
          <cell r="K683">
            <v>33359</v>
          </cell>
          <cell r="L683" t="str">
            <v>RESPONSABLE COM.</v>
          </cell>
          <cell r="M683" t="str">
            <v>CADRE</v>
          </cell>
          <cell r="N683" t="str">
            <v>E</v>
          </cell>
          <cell r="O683" t="str">
            <v>CDI</v>
          </cell>
          <cell r="P683">
            <v>151.57</v>
          </cell>
          <cell r="Q683">
            <v>3606.33</v>
          </cell>
          <cell r="R683">
            <v>2769.65</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1558.8</v>
          </cell>
          <cell r="AN683">
            <v>599.66999999999996</v>
          </cell>
          <cell r="AO683">
            <v>0</v>
          </cell>
          <cell r="AP683">
            <v>0</v>
          </cell>
          <cell r="AQ683">
            <v>5165.13</v>
          </cell>
          <cell r="AR683">
            <v>0</v>
          </cell>
          <cell r="AS683">
            <v>0</v>
          </cell>
          <cell r="AT683">
            <v>0</v>
          </cell>
          <cell r="AU683">
            <v>0</v>
          </cell>
        </row>
        <row r="684">
          <cell r="A684">
            <v>50399</v>
          </cell>
          <cell r="B684" t="str">
            <v>BRUCKERT</v>
          </cell>
          <cell r="C684" t="str">
            <v>ISABELLE</v>
          </cell>
          <cell r="D684" t="str">
            <v>SIEGE</v>
          </cell>
          <cell r="E684">
            <v>2</v>
          </cell>
          <cell r="F684" t="str">
            <v>NC NUMERICABLE HAUTS DE SEINE</v>
          </cell>
          <cell r="G684" t="str">
            <v>MARKETING</v>
          </cell>
          <cell r="H684" t="str">
            <v>VINEL</v>
          </cell>
          <cell r="I684" t="str">
            <v>GENE546001</v>
          </cell>
          <cell r="J684">
            <v>100</v>
          </cell>
          <cell r="K684">
            <v>34190</v>
          </cell>
          <cell r="L684" t="str">
            <v>CHEF DE PRODUIT</v>
          </cell>
          <cell r="M684" t="str">
            <v>CADRE</v>
          </cell>
          <cell r="N684" t="str">
            <v>E</v>
          </cell>
          <cell r="O684" t="str">
            <v>CDI</v>
          </cell>
          <cell r="P684">
            <v>151.57</v>
          </cell>
          <cell r="Q684">
            <v>2723</v>
          </cell>
          <cell r="R684">
            <v>1669.59</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412.56</v>
          </cell>
          <cell r="AO684">
            <v>0</v>
          </cell>
          <cell r="AP684">
            <v>0</v>
          </cell>
          <cell r="AQ684">
            <v>3831</v>
          </cell>
          <cell r="AR684">
            <v>0</v>
          </cell>
          <cell r="AS684">
            <v>0</v>
          </cell>
          <cell r="AT684">
            <v>0</v>
          </cell>
          <cell r="AU684">
            <v>0</v>
          </cell>
        </row>
        <row r="685">
          <cell r="A685">
            <v>58087</v>
          </cell>
          <cell r="B685" t="str">
            <v>LAMY</v>
          </cell>
          <cell r="C685" t="str">
            <v>MARC</v>
          </cell>
          <cell r="D685" t="str">
            <v>SIEGE</v>
          </cell>
          <cell r="E685">
            <v>2</v>
          </cell>
          <cell r="F685" t="str">
            <v>NC NUMERICABLE HAUTS DE SEINE</v>
          </cell>
          <cell r="G685" t="str">
            <v>DISTRIBUTEUR</v>
          </cell>
          <cell r="H685" t="str">
            <v>TUTTOLOMONDO</v>
          </cell>
          <cell r="I685" t="str">
            <v>IDFR506001</v>
          </cell>
          <cell r="J685">
            <v>100</v>
          </cell>
          <cell r="K685">
            <v>35219</v>
          </cell>
          <cell r="L685" t="str">
            <v>ATTACHE COMMERCIAL</v>
          </cell>
          <cell r="M685" t="str">
            <v>CADRE</v>
          </cell>
          <cell r="N685" t="str">
            <v>DB</v>
          </cell>
          <cell r="O685" t="str">
            <v>CDI</v>
          </cell>
          <cell r="P685">
            <v>151.57</v>
          </cell>
          <cell r="Q685">
            <v>1999</v>
          </cell>
          <cell r="R685">
            <v>1964.06</v>
          </cell>
          <cell r="S685">
            <v>0</v>
          </cell>
          <cell r="T685">
            <v>1628.16</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409.7</v>
          </cell>
          <cell r="AO685">
            <v>0</v>
          </cell>
          <cell r="AP685">
            <v>0</v>
          </cell>
          <cell r="AQ685">
            <v>1999</v>
          </cell>
          <cell r="AR685">
            <v>0</v>
          </cell>
          <cell r="AS685">
            <v>0</v>
          </cell>
          <cell r="AT685">
            <v>0</v>
          </cell>
          <cell r="AU685">
            <v>0</v>
          </cell>
        </row>
        <row r="686">
          <cell r="A686" t="str">
            <v>000BM219</v>
          </cell>
          <cell r="B686" t="str">
            <v>MLISS</v>
          </cell>
          <cell r="C686" t="str">
            <v>MOHAMED</v>
          </cell>
          <cell r="D686" t="str">
            <v>LYON GARIBALDI</v>
          </cell>
          <cell r="E686">
            <v>66</v>
          </cell>
          <cell r="F686" t="str">
            <v>NC NUMERICABLE LYON</v>
          </cell>
          <cell r="G686" t="str">
            <v>VAD CONSEILLERS</v>
          </cell>
          <cell r="I686" t="str">
            <v>GENE905001</v>
          </cell>
          <cell r="J686">
            <v>100</v>
          </cell>
          <cell r="K686">
            <v>35803</v>
          </cell>
          <cell r="L686" t="str">
            <v>CONSEILLER(E) COM.</v>
          </cell>
          <cell r="M686" t="str">
            <v>TSM</v>
          </cell>
          <cell r="N686" t="str">
            <v>D</v>
          </cell>
          <cell r="O686" t="str">
            <v>CDI</v>
          </cell>
          <cell r="P686">
            <v>151.57</v>
          </cell>
          <cell r="Q686">
            <v>1257</v>
          </cell>
          <cell r="R686">
            <v>501.69</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3318.6</v>
          </cell>
          <cell r="AN686">
            <v>135.36000000000001</v>
          </cell>
          <cell r="AO686">
            <v>3318.6</v>
          </cell>
          <cell r="AP686">
            <v>0</v>
          </cell>
          <cell r="AQ686">
            <v>1257</v>
          </cell>
          <cell r="AR686">
            <v>0</v>
          </cell>
          <cell r="AS686">
            <v>0</v>
          </cell>
          <cell r="AT686">
            <v>0</v>
          </cell>
          <cell r="AU686">
            <v>0</v>
          </cell>
        </row>
        <row r="687">
          <cell r="A687" t="str">
            <v>000BP014</v>
          </cell>
          <cell r="B687" t="str">
            <v>PRENEZ</v>
          </cell>
          <cell r="C687" t="str">
            <v>PASCAL</v>
          </cell>
          <cell r="D687" t="str">
            <v>LYON GARIBALDI</v>
          </cell>
          <cell r="E687">
            <v>66</v>
          </cell>
          <cell r="F687" t="str">
            <v>NC NUMERICABLE LYON</v>
          </cell>
          <cell r="G687" t="str">
            <v>RACCORDEMENT IMMOB.</v>
          </cell>
          <cell r="H687" t="str">
            <v>FONTAINE T</v>
          </cell>
          <cell r="I687" t="str">
            <v>RHON302001</v>
          </cell>
          <cell r="J687">
            <v>100</v>
          </cell>
          <cell r="K687">
            <v>33492</v>
          </cell>
          <cell r="L687" t="str">
            <v>SUP. TECH. CLIENT</v>
          </cell>
          <cell r="M687" t="str">
            <v>TSM</v>
          </cell>
          <cell r="N687" t="str">
            <v>D</v>
          </cell>
          <cell r="O687" t="str">
            <v>CDI</v>
          </cell>
          <cell r="P687">
            <v>151.57</v>
          </cell>
          <cell r="Q687">
            <v>1849.17</v>
          </cell>
          <cell r="R687">
            <v>1350.46</v>
          </cell>
          <cell r="S687">
            <v>0</v>
          </cell>
          <cell r="T687">
            <v>0</v>
          </cell>
          <cell r="U687">
            <v>0</v>
          </cell>
          <cell r="V687">
            <v>0</v>
          </cell>
          <cell r="W687">
            <v>130</v>
          </cell>
          <cell r="X687">
            <v>0</v>
          </cell>
          <cell r="Y687">
            <v>0</v>
          </cell>
          <cell r="Z687">
            <v>0</v>
          </cell>
          <cell r="AA687">
            <v>0</v>
          </cell>
          <cell r="AB687">
            <v>0</v>
          </cell>
          <cell r="AC687">
            <v>0</v>
          </cell>
          <cell r="AD687">
            <v>0</v>
          </cell>
          <cell r="AE687">
            <v>0</v>
          </cell>
          <cell r="AF687">
            <v>622.20000000000005</v>
          </cell>
          <cell r="AG687">
            <v>0</v>
          </cell>
          <cell r="AH687">
            <v>155.55000000000001</v>
          </cell>
          <cell r="AI687">
            <v>0</v>
          </cell>
          <cell r="AJ687">
            <v>0</v>
          </cell>
          <cell r="AK687">
            <v>0</v>
          </cell>
          <cell r="AL687">
            <v>0</v>
          </cell>
          <cell r="AM687">
            <v>0</v>
          </cell>
          <cell r="AN687">
            <v>296.91000000000003</v>
          </cell>
          <cell r="AO687">
            <v>0</v>
          </cell>
          <cell r="AP687">
            <v>0</v>
          </cell>
          <cell r="AQ687">
            <v>2626.92</v>
          </cell>
          <cell r="AR687">
            <v>0</v>
          </cell>
          <cell r="AS687">
            <v>0</v>
          </cell>
          <cell r="AT687">
            <v>0</v>
          </cell>
          <cell r="AU687">
            <v>0</v>
          </cell>
        </row>
        <row r="688">
          <cell r="A688" t="str">
            <v>000BT091</v>
          </cell>
          <cell r="B688" t="str">
            <v>TAYOU</v>
          </cell>
          <cell r="C688" t="str">
            <v>SERGE</v>
          </cell>
          <cell r="D688" t="str">
            <v>LYON GARIBALDI</v>
          </cell>
          <cell r="E688">
            <v>66</v>
          </cell>
          <cell r="F688" t="str">
            <v>NC NUMERICABLE LYON</v>
          </cell>
          <cell r="G688" t="str">
            <v>VAD CONSEILLERS</v>
          </cell>
          <cell r="I688" t="str">
            <v>GENE905001</v>
          </cell>
          <cell r="J688">
            <v>100</v>
          </cell>
          <cell r="K688">
            <v>37466</v>
          </cell>
          <cell r="L688" t="str">
            <v>CONSEILLER(E) COM.</v>
          </cell>
          <cell r="M688" t="str">
            <v>TSM</v>
          </cell>
          <cell r="N688" t="str">
            <v>D</v>
          </cell>
          <cell r="O688" t="str">
            <v>CDI</v>
          </cell>
          <cell r="P688">
            <v>151.57</v>
          </cell>
          <cell r="Q688">
            <v>1132.1400000000001</v>
          </cell>
          <cell r="R688">
            <v>228.03</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759.12</v>
          </cell>
          <cell r="AN688">
            <v>121.92</v>
          </cell>
          <cell r="AO688">
            <v>759.12</v>
          </cell>
          <cell r="AP688">
            <v>0</v>
          </cell>
          <cell r="AQ688">
            <v>1132.1400000000001</v>
          </cell>
          <cell r="AR688">
            <v>0</v>
          </cell>
          <cell r="AS688">
            <v>0</v>
          </cell>
          <cell r="AT688">
            <v>0</v>
          </cell>
          <cell r="AU688">
            <v>0</v>
          </cell>
        </row>
        <row r="689">
          <cell r="A689" t="str">
            <v>000BE038</v>
          </cell>
          <cell r="B689" t="str">
            <v>EL ALAMI</v>
          </cell>
          <cell r="C689" t="str">
            <v>MAHMOUD</v>
          </cell>
          <cell r="D689" t="str">
            <v>LYON GARIBALDI</v>
          </cell>
          <cell r="E689">
            <v>66</v>
          </cell>
          <cell r="F689" t="str">
            <v>NC NUMERICABLE LYON</v>
          </cell>
          <cell r="G689" t="str">
            <v>VAD CONSEILLERS</v>
          </cell>
          <cell r="I689" t="str">
            <v>GENE905001</v>
          </cell>
          <cell r="J689">
            <v>100</v>
          </cell>
          <cell r="K689">
            <v>37635</v>
          </cell>
          <cell r="L689" t="str">
            <v>CONSEILLER(E) COM.</v>
          </cell>
          <cell r="M689" t="str">
            <v>TSM</v>
          </cell>
          <cell r="N689" t="str">
            <v>D</v>
          </cell>
          <cell r="O689" t="str">
            <v>CDI</v>
          </cell>
          <cell r="P689">
            <v>151.57</v>
          </cell>
          <cell r="Q689">
            <v>1132.1400000000001</v>
          </cell>
          <cell r="R689">
            <v>270.60000000000002</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1327.44</v>
          </cell>
          <cell r="AN689">
            <v>121.93</v>
          </cell>
          <cell r="AO689">
            <v>1327.44</v>
          </cell>
          <cell r="AP689">
            <v>0</v>
          </cell>
          <cell r="AQ689">
            <v>1132.1400000000001</v>
          </cell>
          <cell r="AR689">
            <v>0</v>
          </cell>
          <cell r="AS689">
            <v>0</v>
          </cell>
          <cell r="AT689">
            <v>0</v>
          </cell>
          <cell r="AU689">
            <v>0</v>
          </cell>
        </row>
        <row r="690">
          <cell r="A690" t="str">
            <v>000BR001</v>
          </cell>
          <cell r="B690" t="str">
            <v>RABY</v>
          </cell>
          <cell r="C690" t="str">
            <v>JACKY</v>
          </cell>
          <cell r="D690" t="str">
            <v>LYON GARIBALDI</v>
          </cell>
          <cell r="E690">
            <v>66</v>
          </cell>
          <cell r="F690" t="str">
            <v>NC NUMERICABLE LYON</v>
          </cell>
          <cell r="G690" t="str">
            <v>TRAVAUX</v>
          </cell>
          <cell r="H690" t="str">
            <v>MISSIAEN</v>
          </cell>
          <cell r="I690" t="str">
            <v>RHON300001</v>
          </cell>
          <cell r="J690">
            <v>100</v>
          </cell>
          <cell r="K690">
            <v>32127</v>
          </cell>
          <cell r="L690" t="str">
            <v>SUPERVISEUR TRAVAUX</v>
          </cell>
          <cell r="M690" t="str">
            <v>TSM</v>
          </cell>
          <cell r="N690" t="str">
            <v>D</v>
          </cell>
          <cell r="O690" t="str">
            <v>CDI</v>
          </cell>
          <cell r="P690">
            <v>151.57</v>
          </cell>
          <cell r="Q690">
            <v>2027.44</v>
          </cell>
          <cell r="R690">
            <v>1141.57</v>
          </cell>
          <cell r="S690">
            <v>13.06</v>
          </cell>
          <cell r="T690">
            <v>115.05</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248.28</v>
          </cell>
          <cell r="AO690">
            <v>0</v>
          </cell>
          <cell r="AP690">
            <v>0</v>
          </cell>
          <cell r="AQ690">
            <v>2190.56</v>
          </cell>
          <cell r="AR690">
            <v>0</v>
          </cell>
          <cell r="AS690">
            <v>0</v>
          </cell>
          <cell r="AT690">
            <v>0</v>
          </cell>
          <cell r="AU690">
            <v>0</v>
          </cell>
        </row>
        <row r="691">
          <cell r="A691" t="str">
            <v>000BT014</v>
          </cell>
          <cell r="B691" t="str">
            <v>KSOURI</v>
          </cell>
          <cell r="C691" t="str">
            <v>MALIKA</v>
          </cell>
          <cell r="D691" t="str">
            <v>LYON CATN</v>
          </cell>
          <cell r="E691">
            <v>66</v>
          </cell>
          <cell r="F691" t="str">
            <v>NC NUMERICABLE LYON</v>
          </cell>
          <cell r="G691" t="str">
            <v>CATN VENTES</v>
          </cell>
          <cell r="I691" t="str">
            <v>GENE905001</v>
          </cell>
          <cell r="J691">
            <v>100</v>
          </cell>
          <cell r="K691">
            <v>34183</v>
          </cell>
          <cell r="L691" t="str">
            <v>ASSISTANT(E) NIV. 1</v>
          </cell>
          <cell r="M691" t="str">
            <v>EMPLOYE</v>
          </cell>
          <cell r="N691" t="str">
            <v>C</v>
          </cell>
          <cell r="O691" t="str">
            <v>CDI</v>
          </cell>
          <cell r="P691">
            <v>151.57</v>
          </cell>
          <cell r="Q691">
            <v>1862.75</v>
          </cell>
          <cell r="R691">
            <v>239.76</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-194.45</v>
          </cell>
          <cell r="AN691">
            <v>200.6</v>
          </cell>
          <cell r="AO691">
            <v>-194.45</v>
          </cell>
          <cell r="AP691">
            <v>0</v>
          </cell>
          <cell r="AQ691">
            <v>1862.75</v>
          </cell>
          <cell r="AR691">
            <v>0</v>
          </cell>
          <cell r="AS691">
            <v>0</v>
          </cell>
          <cell r="AT691">
            <v>0</v>
          </cell>
          <cell r="AU691">
            <v>0</v>
          </cell>
        </row>
        <row r="692">
          <cell r="A692" t="str">
            <v>000BC274</v>
          </cell>
          <cell r="B692" t="str">
            <v>CONTENT</v>
          </cell>
          <cell r="C692" t="str">
            <v>ERIC</v>
          </cell>
          <cell r="D692" t="str">
            <v>LYON GARIBALDI</v>
          </cell>
          <cell r="E692">
            <v>66</v>
          </cell>
          <cell r="F692" t="str">
            <v>NC NUMERICABLE LYON</v>
          </cell>
          <cell r="G692" t="str">
            <v>TRAVAUX</v>
          </cell>
          <cell r="H692" t="str">
            <v>MISSIAEN</v>
          </cell>
          <cell r="I692" t="str">
            <v>RHON300001</v>
          </cell>
          <cell r="J692">
            <v>100</v>
          </cell>
          <cell r="K692">
            <v>37550</v>
          </cell>
          <cell r="L692" t="str">
            <v>TECH.SUPP.NIV.2</v>
          </cell>
          <cell r="M692" t="str">
            <v>TSM</v>
          </cell>
          <cell r="N692" t="str">
            <v>D</v>
          </cell>
          <cell r="O692" t="str">
            <v>CDI</v>
          </cell>
          <cell r="P692">
            <v>151.57</v>
          </cell>
          <cell r="Q692">
            <v>2059.85</v>
          </cell>
          <cell r="R692">
            <v>1100.08</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222</v>
          </cell>
          <cell r="AO692">
            <v>0</v>
          </cell>
          <cell r="AP692">
            <v>0</v>
          </cell>
          <cell r="AQ692">
            <v>2061.59</v>
          </cell>
          <cell r="AR692">
            <v>0</v>
          </cell>
          <cell r="AS692">
            <v>0</v>
          </cell>
          <cell r="AT692">
            <v>0</v>
          </cell>
          <cell r="AU692">
            <v>0</v>
          </cell>
        </row>
        <row r="693">
          <cell r="A693" t="str">
            <v>000BC272</v>
          </cell>
          <cell r="B693" t="str">
            <v>CHIGNARD</v>
          </cell>
          <cell r="C693" t="str">
            <v>CEDRIC</v>
          </cell>
          <cell r="D693" t="str">
            <v>LYON GARIBALDI</v>
          </cell>
          <cell r="E693">
            <v>66</v>
          </cell>
          <cell r="F693" t="str">
            <v>NC NUMERICABLE LYON</v>
          </cell>
          <cell r="G693" t="str">
            <v>VAD CONSEILLERS</v>
          </cell>
          <cell r="I693" t="str">
            <v>GENE905001</v>
          </cell>
          <cell r="J693">
            <v>100</v>
          </cell>
          <cell r="K693">
            <v>37302</v>
          </cell>
          <cell r="L693" t="str">
            <v>CONSEILLER(E) COM.</v>
          </cell>
          <cell r="M693" t="str">
            <v>TSM</v>
          </cell>
          <cell r="N693" t="str">
            <v>D</v>
          </cell>
          <cell r="O693" t="str">
            <v>CDI</v>
          </cell>
          <cell r="P693">
            <v>151.57</v>
          </cell>
          <cell r="Q693">
            <v>1157</v>
          </cell>
          <cell r="R693">
            <v>414.63</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2929.18</v>
          </cell>
          <cell r="AN693">
            <v>124.6</v>
          </cell>
          <cell r="AO693">
            <v>2929.18</v>
          </cell>
          <cell r="AP693">
            <v>0</v>
          </cell>
          <cell r="AQ693">
            <v>1157</v>
          </cell>
          <cell r="AR693">
            <v>0</v>
          </cell>
          <cell r="AS693">
            <v>0</v>
          </cell>
          <cell r="AT693">
            <v>0</v>
          </cell>
          <cell r="AU693">
            <v>0</v>
          </cell>
        </row>
        <row r="694">
          <cell r="A694" t="str">
            <v>000BL009</v>
          </cell>
          <cell r="B694" t="str">
            <v>LEDJAM</v>
          </cell>
          <cell r="C694" t="str">
            <v>SANDRINE</v>
          </cell>
          <cell r="D694" t="str">
            <v>LYON GARIBALDI</v>
          </cell>
          <cell r="E694">
            <v>66</v>
          </cell>
          <cell r="F694" t="str">
            <v>NC NUMERICABLE LYON</v>
          </cell>
          <cell r="G694" t="str">
            <v>VENTE</v>
          </cell>
          <cell r="H694" t="str">
            <v>DONT</v>
          </cell>
          <cell r="I694" t="str">
            <v>RHON520001</v>
          </cell>
          <cell r="J694">
            <v>100</v>
          </cell>
          <cell r="K694">
            <v>32097</v>
          </cell>
          <cell r="L694" t="str">
            <v>ASSISTANT(E) NIV. 2</v>
          </cell>
          <cell r="M694" t="str">
            <v>TSM</v>
          </cell>
          <cell r="N694" t="str">
            <v>D</v>
          </cell>
          <cell r="O694" t="str">
            <v>CDI</v>
          </cell>
          <cell r="P694">
            <v>151.57</v>
          </cell>
          <cell r="Q694">
            <v>2089.5500000000002</v>
          </cell>
          <cell r="R694">
            <v>1054.18</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225.25</v>
          </cell>
          <cell r="AO694">
            <v>0</v>
          </cell>
          <cell r="AP694">
            <v>0</v>
          </cell>
          <cell r="AQ694">
            <v>1993.12</v>
          </cell>
          <cell r="AR694">
            <v>0</v>
          </cell>
          <cell r="AS694">
            <v>0</v>
          </cell>
          <cell r="AT694">
            <v>0</v>
          </cell>
          <cell r="AU694">
            <v>0</v>
          </cell>
        </row>
        <row r="695">
          <cell r="A695" t="str">
            <v>000BM010</v>
          </cell>
          <cell r="B695" t="str">
            <v>MINSSIEUX</v>
          </cell>
          <cell r="C695" t="str">
            <v>CAROLINE</v>
          </cell>
          <cell r="D695" t="str">
            <v>LYON GARIBALDI</v>
          </cell>
          <cell r="E695">
            <v>66</v>
          </cell>
          <cell r="F695" t="str">
            <v>NC NUMERICABLE LYON</v>
          </cell>
          <cell r="G695" t="str">
            <v>RACCORDEMENT IMMOB.</v>
          </cell>
          <cell r="H695" t="str">
            <v>FONTAINE T</v>
          </cell>
          <cell r="I695" t="str">
            <v>RHON302001</v>
          </cell>
          <cell r="J695">
            <v>100</v>
          </cell>
          <cell r="K695">
            <v>32905</v>
          </cell>
          <cell r="L695" t="str">
            <v>SUP. TECH. CLIENT</v>
          </cell>
          <cell r="M695" t="str">
            <v>TSM</v>
          </cell>
          <cell r="N695" t="str">
            <v>D</v>
          </cell>
          <cell r="O695" t="str">
            <v>CDI</v>
          </cell>
          <cell r="P695">
            <v>151.57</v>
          </cell>
          <cell r="Q695">
            <v>1913.67</v>
          </cell>
          <cell r="R695">
            <v>863.17</v>
          </cell>
          <cell r="S695">
            <v>0</v>
          </cell>
          <cell r="T695">
            <v>0</v>
          </cell>
          <cell r="U695">
            <v>0</v>
          </cell>
          <cell r="V695">
            <v>0</v>
          </cell>
          <cell r="W695">
            <v>183</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232.09</v>
          </cell>
          <cell r="AO695">
            <v>0</v>
          </cell>
          <cell r="AP695">
            <v>0</v>
          </cell>
          <cell r="AQ695">
            <v>1427.96</v>
          </cell>
          <cell r="AR695">
            <v>0</v>
          </cell>
          <cell r="AS695">
            <v>0</v>
          </cell>
          <cell r="AT695">
            <v>0</v>
          </cell>
          <cell r="AU695">
            <v>0</v>
          </cell>
        </row>
        <row r="696">
          <cell r="A696" t="str">
            <v>000BS148</v>
          </cell>
          <cell r="B696" t="str">
            <v>SCHMITT</v>
          </cell>
          <cell r="C696" t="str">
            <v>OLIVIER</v>
          </cell>
          <cell r="D696" t="str">
            <v>LYON GARIBALDI</v>
          </cell>
          <cell r="E696">
            <v>66</v>
          </cell>
          <cell r="F696" t="str">
            <v>NC NUMERICABLE LYON</v>
          </cell>
          <cell r="G696" t="str">
            <v>RACCORDEMENT IMMOB.</v>
          </cell>
          <cell r="H696" t="str">
            <v>FONTAINE T</v>
          </cell>
          <cell r="I696" t="str">
            <v>RHON302001</v>
          </cell>
          <cell r="J696">
            <v>100</v>
          </cell>
          <cell r="K696">
            <v>36283</v>
          </cell>
          <cell r="L696" t="str">
            <v>SUP. TECH. CLIENT</v>
          </cell>
          <cell r="M696" t="str">
            <v>TSM</v>
          </cell>
          <cell r="N696" t="str">
            <v>D</v>
          </cell>
          <cell r="O696" t="str">
            <v>CDI</v>
          </cell>
          <cell r="P696">
            <v>151.57</v>
          </cell>
          <cell r="Q696">
            <v>1917</v>
          </cell>
          <cell r="R696">
            <v>858.44</v>
          </cell>
          <cell r="S696">
            <v>0</v>
          </cell>
          <cell r="T696">
            <v>0</v>
          </cell>
          <cell r="U696">
            <v>0</v>
          </cell>
          <cell r="V696">
            <v>0</v>
          </cell>
          <cell r="W696">
            <v>183</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230.66</v>
          </cell>
          <cell r="AO696">
            <v>0</v>
          </cell>
          <cell r="AP696">
            <v>0</v>
          </cell>
          <cell r="AQ696">
            <v>1474.68</v>
          </cell>
          <cell r="AR696">
            <v>0</v>
          </cell>
          <cell r="AS696">
            <v>0</v>
          </cell>
          <cell r="AT696">
            <v>0</v>
          </cell>
          <cell r="AU696">
            <v>0</v>
          </cell>
        </row>
        <row r="697">
          <cell r="A697" t="str">
            <v>000BS161</v>
          </cell>
          <cell r="B697" t="str">
            <v>ABDELALI SEMLALI</v>
          </cell>
          <cell r="C697" t="str">
            <v>MOHAMMED LARBI</v>
          </cell>
          <cell r="D697" t="str">
            <v>LYON GARIBALDI</v>
          </cell>
          <cell r="E697">
            <v>66</v>
          </cell>
          <cell r="F697" t="str">
            <v>NC NUMERICABLE LYON</v>
          </cell>
          <cell r="G697" t="str">
            <v>VAD CONSEILLERS</v>
          </cell>
          <cell r="I697" t="str">
            <v>GENE905001</v>
          </cell>
          <cell r="J697">
            <v>100</v>
          </cell>
          <cell r="K697">
            <v>37130</v>
          </cell>
          <cell r="L697" t="str">
            <v>CONSEILLER(E) COM.</v>
          </cell>
          <cell r="M697" t="str">
            <v>TSM</v>
          </cell>
          <cell r="N697" t="str">
            <v>D</v>
          </cell>
          <cell r="O697" t="str">
            <v>CDI</v>
          </cell>
          <cell r="P697">
            <v>151.57</v>
          </cell>
          <cell r="Q697">
            <v>1157</v>
          </cell>
          <cell r="R697">
            <v>326.54000000000002</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2032.63</v>
          </cell>
          <cell r="AN697">
            <v>124.6</v>
          </cell>
          <cell r="AO697">
            <v>2032.63</v>
          </cell>
          <cell r="AP697">
            <v>0</v>
          </cell>
          <cell r="AQ697">
            <v>1157</v>
          </cell>
          <cell r="AR697">
            <v>0</v>
          </cell>
          <cell r="AS697">
            <v>0</v>
          </cell>
          <cell r="AT697">
            <v>0</v>
          </cell>
          <cell r="AU697">
            <v>0</v>
          </cell>
        </row>
        <row r="698">
          <cell r="A698" t="str">
            <v>000BM260</v>
          </cell>
          <cell r="B698" t="str">
            <v>MOREL</v>
          </cell>
          <cell r="C698" t="str">
            <v>DAVID</v>
          </cell>
          <cell r="D698" t="str">
            <v>LYON GARIBALDI</v>
          </cell>
          <cell r="E698">
            <v>66</v>
          </cell>
          <cell r="F698" t="str">
            <v>NC NUMERICABLE LYON</v>
          </cell>
          <cell r="G698" t="str">
            <v>VAD CONSEILLERS</v>
          </cell>
          <cell r="I698" t="str">
            <v>GENE905001</v>
          </cell>
          <cell r="J698">
            <v>100</v>
          </cell>
          <cell r="K698">
            <v>37298</v>
          </cell>
          <cell r="L698" t="str">
            <v>CONSEILLER(E) COM.</v>
          </cell>
          <cell r="M698" t="str">
            <v>TSM</v>
          </cell>
          <cell r="N698" t="str">
            <v>D</v>
          </cell>
          <cell r="O698" t="str">
            <v>CDI</v>
          </cell>
          <cell r="P698">
            <v>151.57</v>
          </cell>
          <cell r="Q698">
            <v>1157</v>
          </cell>
          <cell r="R698">
            <v>302.11</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1706.47</v>
          </cell>
          <cell r="AN698">
            <v>124.59</v>
          </cell>
          <cell r="AO698">
            <v>1706.47</v>
          </cell>
          <cell r="AP698">
            <v>0</v>
          </cell>
          <cell r="AQ698">
            <v>1157</v>
          </cell>
          <cell r="AR698">
            <v>0</v>
          </cell>
          <cell r="AS698">
            <v>0</v>
          </cell>
          <cell r="AT698">
            <v>0</v>
          </cell>
          <cell r="AU698">
            <v>0</v>
          </cell>
        </row>
        <row r="699">
          <cell r="A699" t="str">
            <v>000BR018</v>
          </cell>
          <cell r="B699" t="str">
            <v>ROZET</v>
          </cell>
          <cell r="C699" t="str">
            <v>NATHALIE</v>
          </cell>
          <cell r="D699" t="str">
            <v>LYON CATN</v>
          </cell>
          <cell r="E699">
            <v>66</v>
          </cell>
          <cell r="F699" t="str">
            <v>NC NUMERICABLE LYON</v>
          </cell>
          <cell r="G699" t="str">
            <v>CLIENTELE</v>
          </cell>
          <cell r="H699" t="str">
            <v>ANTONIN</v>
          </cell>
          <cell r="I699" t="str">
            <v>CLIE400001</v>
          </cell>
          <cell r="J699">
            <v>100</v>
          </cell>
          <cell r="K699">
            <v>32540</v>
          </cell>
          <cell r="L699" t="str">
            <v>CHARGE FACTURATION C. CLIENTS</v>
          </cell>
          <cell r="M699" t="str">
            <v>EMPLOYE</v>
          </cell>
          <cell r="N699" t="str">
            <v>D</v>
          </cell>
          <cell r="O699" t="str">
            <v>CDI</v>
          </cell>
          <cell r="P699">
            <v>151.57</v>
          </cell>
          <cell r="Q699">
            <v>1941.23</v>
          </cell>
          <cell r="R699">
            <v>1001.58</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196.4</v>
          </cell>
          <cell r="AO699">
            <v>0</v>
          </cell>
          <cell r="AP699">
            <v>0</v>
          </cell>
          <cell r="AQ699">
            <v>1900</v>
          </cell>
          <cell r="AR699">
            <v>0</v>
          </cell>
          <cell r="AS699">
            <v>0</v>
          </cell>
          <cell r="AT699">
            <v>0</v>
          </cell>
          <cell r="AU699">
            <v>0</v>
          </cell>
        </row>
        <row r="700">
          <cell r="A700" t="str">
            <v>000BD283</v>
          </cell>
          <cell r="B700" t="str">
            <v>DUPUY</v>
          </cell>
          <cell r="C700" t="str">
            <v>BENJAMIN</v>
          </cell>
          <cell r="D700" t="str">
            <v>LYON GARIBALDI</v>
          </cell>
          <cell r="E700">
            <v>66</v>
          </cell>
          <cell r="F700" t="str">
            <v>NC NUMERICABLE LYON</v>
          </cell>
          <cell r="G700" t="str">
            <v>VAD CONSEILLERS</v>
          </cell>
          <cell r="I700" t="str">
            <v>GENE905001</v>
          </cell>
          <cell r="J700">
            <v>100</v>
          </cell>
          <cell r="K700">
            <v>37683</v>
          </cell>
          <cell r="L700" t="str">
            <v>CONSEILLER(E) COM.</v>
          </cell>
          <cell r="M700" t="str">
            <v>TSM</v>
          </cell>
          <cell r="N700" t="str">
            <v>D</v>
          </cell>
          <cell r="O700" t="str">
            <v>CDI</v>
          </cell>
          <cell r="P700">
            <v>151.57</v>
          </cell>
          <cell r="Q700">
            <v>1132.1400000000001</v>
          </cell>
          <cell r="R700">
            <v>285.36</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1524.54</v>
          </cell>
          <cell r="AN700">
            <v>121.92</v>
          </cell>
          <cell r="AO700">
            <v>1524.54</v>
          </cell>
          <cell r="AP700">
            <v>0</v>
          </cell>
          <cell r="AQ700">
            <v>1132.1400000000001</v>
          </cell>
          <cell r="AR700">
            <v>0</v>
          </cell>
          <cell r="AS700">
            <v>0</v>
          </cell>
          <cell r="AT700">
            <v>0</v>
          </cell>
          <cell r="AU700">
            <v>0</v>
          </cell>
        </row>
        <row r="701">
          <cell r="A701" t="str">
            <v>000BP182</v>
          </cell>
          <cell r="B701" t="str">
            <v>PAYET</v>
          </cell>
          <cell r="C701" t="str">
            <v>CYRYLLE</v>
          </cell>
          <cell r="D701" t="str">
            <v>LYON GARIBALDI</v>
          </cell>
          <cell r="E701">
            <v>66</v>
          </cell>
          <cell r="F701" t="str">
            <v>NC NUMERICABLE LYON</v>
          </cell>
          <cell r="G701" t="str">
            <v>MAINTENANCE RESEAU</v>
          </cell>
          <cell r="H701" t="str">
            <v>PIZOT</v>
          </cell>
          <cell r="I701" t="str">
            <v>RHON300001</v>
          </cell>
          <cell r="J701">
            <v>100</v>
          </cell>
          <cell r="K701">
            <v>36557</v>
          </cell>
          <cell r="L701" t="str">
            <v>EXPERT TECHNIQUE TDR ET RESEAUX</v>
          </cell>
          <cell r="M701" t="str">
            <v>478D</v>
          </cell>
          <cell r="N701" t="str">
            <v>D</v>
          </cell>
          <cell r="O701" t="str">
            <v>CDI</v>
          </cell>
          <cell r="P701">
            <v>151.57</v>
          </cell>
          <cell r="Q701">
            <v>3413</v>
          </cell>
          <cell r="R701">
            <v>1319.92</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78.47</v>
          </cell>
          <cell r="AG701">
            <v>0</v>
          </cell>
          <cell r="AH701">
            <v>19.62</v>
          </cell>
          <cell r="AI701">
            <v>0</v>
          </cell>
          <cell r="AJ701">
            <v>0</v>
          </cell>
          <cell r="AK701">
            <v>269</v>
          </cell>
          <cell r="AL701">
            <v>0</v>
          </cell>
          <cell r="AM701">
            <v>0</v>
          </cell>
          <cell r="AN701">
            <v>300.11</v>
          </cell>
          <cell r="AO701">
            <v>0</v>
          </cell>
          <cell r="AP701">
            <v>0</v>
          </cell>
          <cell r="AQ701">
            <v>2312.0100000000002</v>
          </cell>
          <cell r="AR701">
            <v>0</v>
          </cell>
          <cell r="AS701">
            <v>269</v>
          </cell>
          <cell r="AT701">
            <v>0</v>
          </cell>
          <cell r="AU701">
            <v>0</v>
          </cell>
        </row>
        <row r="702">
          <cell r="A702" t="str">
            <v>000BS157</v>
          </cell>
          <cell r="B702" t="str">
            <v>SANCHO</v>
          </cell>
          <cell r="C702" t="str">
            <v>MANUEL</v>
          </cell>
          <cell r="D702" t="str">
            <v>LYON GARIBALDI</v>
          </cell>
          <cell r="E702">
            <v>66</v>
          </cell>
          <cell r="F702" t="str">
            <v>NC NUMERICABLE LYON</v>
          </cell>
          <cell r="G702" t="str">
            <v>VAD CONSEILLERS</v>
          </cell>
          <cell r="I702" t="str">
            <v>GENE905001</v>
          </cell>
          <cell r="J702">
            <v>100</v>
          </cell>
          <cell r="K702">
            <v>36788</v>
          </cell>
          <cell r="L702" t="str">
            <v>CONSEILLER(E) COM.</v>
          </cell>
          <cell r="M702" t="str">
            <v>TSM</v>
          </cell>
          <cell r="N702" t="str">
            <v>D</v>
          </cell>
          <cell r="O702" t="str">
            <v>CDI</v>
          </cell>
          <cell r="P702">
            <v>151.57</v>
          </cell>
          <cell r="Q702">
            <v>1157</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1600</v>
          </cell>
          <cell r="AP702">
            <v>0</v>
          </cell>
          <cell r="AQ702">
            <v>0</v>
          </cell>
          <cell r="AR702">
            <v>0</v>
          </cell>
          <cell r="AS702">
            <v>0</v>
          </cell>
          <cell r="AT702">
            <v>0</v>
          </cell>
          <cell r="AU702">
            <v>0</v>
          </cell>
        </row>
        <row r="703">
          <cell r="A703" t="str">
            <v>000N0028</v>
          </cell>
          <cell r="B703" t="str">
            <v>AZANCOT</v>
          </cell>
          <cell r="C703" t="str">
            <v>ALBERT</v>
          </cell>
          <cell r="D703" t="str">
            <v>NICE</v>
          </cell>
          <cell r="E703">
            <v>40</v>
          </cell>
          <cell r="F703" t="str">
            <v>NC NUMERICABLE NICE</v>
          </cell>
          <cell r="G703" t="str">
            <v>CARTOGRAPHIE-DICT</v>
          </cell>
          <cell r="H703" t="str">
            <v>MARQUANT</v>
          </cell>
          <cell r="I703" t="str">
            <v>GENE320001</v>
          </cell>
          <cell r="J703">
            <v>100</v>
          </cell>
          <cell r="K703">
            <v>32769</v>
          </cell>
          <cell r="L703" t="str">
            <v>TECH.SUPP.NIV.1</v>
          </cell>
          <cell r="M703" t="str">
            <v>EMPLOYE</v>
          </cell>
          <cell r="N703" t="str">
            <v>C</v>
          </cell>
          <cell r="O703" t="str">
            <v>CDI</v>
          </cell>
          <cell r="P703">
            <v>151.57</v>
          </cell>
          <cell r="Q703">
            <v>1904.08</v>
          </cell>
          <cell r="R703">
            <v>-646.04</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-63.46</v>
          </cell>
          <cell r="AR703">
            <v>0</v>
          </cell>
          <cell r="AS703">
            <v>0</v>
          </cell>
          <cell r="AT703">
            <v>0</v>
          </cell>
          <cell r="AU703">
            <v>0</v>
          </cell>
        </row>
        <row r="704">
          <cell r="A704" t="str">
            <v>000BH071</v>
          </cell>
          <cell r="B704" t="str">
            <v>HOULES</v>
          </cell>
          <cell r="C704" t="str">
            <v>REINALD</v>
          </cell>
          <cell r="D704" t="str">
            <v>LYON GARIBALDI</v>
          </cell>
          <cell r="E704">
            <v>40</v>
          </cell>
          <cell r="F704" t="str">
            <v>NC NUMERICABLE NICE</v>
          </cell>
          <cell r="G704" t="str">
            <v>MAINTENANCE RESEAU</v>
          </cell>
          <cell r="H704" t="str">
            <v>PIZOT</v>
          </cell>
          <cell r="I704" t="str">
            <v>RHON300001</v>
          </cell>
          <cell r="J704">
            <v>100</v>
          </cell>
          <cell r="K704">
            <v>36418</v>
          </cell>
          <cell r="L704" t="str">
            <v>TECHNICIEN POLYVALENT</v>
          </cell>
          <cell r="M704" t="str">
            <v>TSM</v>
          </cell>
          <cell r="N704" t="str">
            <v>D</v>
          </cell>
          <cell r="O704" t="str">
            <v>CDI</v>
          </cell>
          <cell r="P704">
            <v>151.57</v>
          </cell>
          <cell r="Q704">
            <v>2533.96</v>
          </cell>
          <cell r="R704">
            <v>1722.23</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248.21</v>
          </cell>
          <cell r="AO704">
            <v>12000</v>
          </cell>
          <cell r="AP704">
            <v>0</v>
          </cell>
          <cell r="AQ704">
            <v>2016.89</v>
          </cell>
          <cell r="AR704">
            <v>0</v>
          </cell>
          <cell r="AS704">
            <v>1903.83</v>
          </cell>
          <cell r="AT704">
            <v>0</v>
          </cell>
          <cell r="AU704">
            <v>0</v>
          </cell>
        </row>
        <row r="705">
          <cell r="A705" t="str">
            <v>000BA139</v>
          </cell>
          <cell r="B705" t="str">
            <v>AYME</v>
          </cell>
          <cell r="C705" t="str">
            <v>PHILIPPE</v>
          </cell>
          <cell r="D705" t="str">
            <v>NICE</v>
          </cell>
          <cell r="E705">
            <v>40</v>
          </cell>
          <cell r="F705" t="str">
            <v>NC NUMERICABLE NICE</v>
          </cell>
          <cell r="G705" t="str">
            <v>CONSTRUCTION</v>
          </cell>
          <cell r="I705" t="str">
            <v>GENE905001</v>
          </cell>
          <cell r="J705">
            <v>100</v>
          </cell>
          <cell r="K705">
            <v>37987</v>
          </cell>
          <cell r="L705" t="str">
            <v>SUPERVISEUR TRAVAUX</v>
          </cell>
          <cell r="M705" t="str">
            <v>TSM</v>
          </cell>
          <cell r="N705" t="str">
            <v>D</v>
          </cell>
          <cell r="O705" t="str">
            <v>CDI</v>
          </cell>
          <cell r="P705">
            <v>151.57</v>
          </cell>
          <cell r="Q705">
            <v>2185</v>
          </cell>
          <cell r="R705">
            <v>314.89999999999998</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145.82</v>
          </cell>
          <cell r="AN705">
            <v>234.93</v>
          </cell>
          <cell r="AO705">
            <v>145.82</v>
          </cell>
          <cell r="AP705">
            <v>0</v>
          </cell>
          <cell r="AQ705">
            <v>2185</v>
          </cell>
          <cell r="AR705">
            <v>0</v>
          </cell>
          <cell r="AS705">
            <v>0</v>
          </cell>
          <cell r="AT705">
            <v>0</v>
          </cell>
          <cell r="AU705">
            <v>0</v>
          </cell>
        </row>
        <row r="706">
          <cell r="A706" t="str">
            <v>000BD284</v>
          </cell>
          <cell r="B706" t="str">
            <v>DUFAYE</v>
          </cell>
          <cell r="C706" t="str">
            <v>ALEXANDRE</v>
          </cell>
          <cell r="D706" t="str">
            <v>NICE</v>
          </cell>
          <cell r="E706">
            <v>40</v>
          </cell>
          <cell r="F706" t="str">
            <v>NC NUMERICABLE NICE</v>
          </cell>
          <cell r="G706" t="str">
            <v>VAD CONSEILLERS</v>
          </cell>
          <cell r="H706" t="str">
            <v>DEPREEUW</v>
          </cell>
          <cell r="I706" t="str">
            <v>GENE905001</v>
          </cell>
          <cell r="J706">
            <v>100</v>
          </cell>
          <cell r="K706">
            <v>37921</v>
          </cell>
          <cell r="L706" t="str">
            <v>CONSEILLER(E) COM.</v>
          </cell>
          <cell r="M706" t="str">
            <v>TSM</v>
          </cell>
          <cell r="N706" t="str">
            <v>D</v>
          </cell>
          <cell r="O706" t="str">
            <v>CDI</v>
          </cell>
          <cell r="P706">
            <v>151.57</v>
          </cell>
          <cell r="Q706">
            <v>1167.1400000000001</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10000</v>
          </cell>
          <cell r="AU706">
            <v>0</v>
          </cell>
        </row>
        <row r="707">
          <cell r="A707" t="str">
            <v>000N0062</v>
          </cell>
          <cell r="B707" t="str">
            <v>DEPREEUW</v>
          </cell>
          <cell r="C707" t="str">
            <v>FRANCK</v>
          </cell>
          <cell r="D707" t="str">
            <v>NICE</v>
          </cell>
          <cell r="E707">
            <v>91</v>
          </cell>
          <cell r="F707" t="str">
            <v>NC NUMERICABLE ILE-DE-FRANCE</v>
          </cell>
          <cell r="G707" t="str">
            <v>VAD ANIMATEURS</v>
          </cell>
          <cell r="H707" t="str">
            <v>VIVIN</v>
          </cell>
          <cell r="I707" t="str">
            <v>SUES500001</v>
          </cell>
          <cell r="J707">
            <v>100</v>
          </cell>
          <cell r="K707">
            <v>33665</v>
          </cell>
          <cell r="L707" t="str">
            <v>ANIMATEUR COM.</v>
          </cell>
          <cell r="M707" t="str">
            <v>CADRE</v>
          </cell>
          <cell r="N707" t="str">
            <v>DB</v>
          </cell>
          <cell r="O707" t="str">
            <v>CDI</v>
          </cell>
          <cell r="P707">
            <v>151.57</v>
          </cell>
          <cell r="Q707">
            <v>2224</v>
          </cell>
          <cell r="R707">
            <v>2163.23</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278.66000000000003</v>
          </cell>
          <cell r="AO707">
            <v>0</v>
          </cell>
          <cell r="AP707">
            <v>0</v>
          </cell>
          <cell r="AQ707">
            <v>2018.74</v>
          </cell>
          <cell r="AR707">
            <v>0</v>
          </cell>
          <cell r="AS707">
            <v>2411.37</v>
          </cell>
          <cell r="AT707">
            <v>0</v>
          </cell>
          <cell r="AU707">
            <v>0</v>
          </cell>
        </row>
        <row r="708">
          <cell r="A708" t="str">
            <v>000A1748</v>
          </cell>
          <cell r="B708" t="str">
            <v>PHILIPPET</v>
          </cell>
          <cell r="C708" t="str">
            <v>WILLY</v>
          </cell>
          <cell r="D708" t="str">
            <v>NICE</v>
          </cell>
          <cell r="E708">
            <v>40</v>
          </cell>
          <cell r="F708" t="str">
            <v>NC NUMERICABLE NICE</v>
          </cell>
          <cell r="G708" t="str">
            <v>CLIENTELE</v>
          </cell>
          <cell r="I708" t="str">
            <v>SUES507001</v>
          </cell>
          <cell r="J708">
            <v>100</v>
          </cell>
          <cell r="K708">
            <v>38808</v>
          </cell>
          <cell r="L708" t="str">
            <v>CONSEILLER CLIENTELE BOUTIQUE</v>
          </cell>
          <cell r="M708" t="str">
            <v>463E</v>
          </cell>
          <cell r="N708" t="str">
            <v>C</v>
          </cell>
          <cell r="O708" t="str">
            <v>CDI</v>
          </cell>
          <cell r="P708">
            <v>151.57</v>
          </cell>
          <cell r="Q708">
            <v>0</v>
          </cell>
          <cell r="R708">
            <v>377.09</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1300</v>
          </cell>
          <cell r="AR708">
            <v>0</v>
          </cell>
          <cell r="AS708">
            <v>0</v>
          </cell>
          <cell r="AT708">
            <v>0</v>
          </cell>
          <cell r="AU708">
            <v>0</v>
          </cell>
        </row>
        <row r="709">
          <cell r="A709" t="str">
            <v>000N0005</v>
          </cell>
          <cell r="B709" t="str">
            <v>THOMAS</v>
          </cell>
          <cell r="C709" t="str">
            <v>MICHELE</v>
          </cell>
          <cell r="D709" t="str">
            <v>NICE</v>
          </cell>
          <cell r="E709">
            <v>40</v>
          </cell>
          <cell r="F709" t="str">
            <v>NC NUMERICABLE NICE</v>
          </cell>
          <cell r="G709" t="str">
            <v>VENTE</v>
          </cell>
          <cell r="I709" t="str">
            <v>SUES520001</v>
          </cell>
          <cell r="J709">
            <v>100</v>
          </cell>
          <cell r="K709">
            <v>32146</v>
          </cell>
          <cell r="L709" t="str">
            <v>ASSISTANT(E) NIV. 1</v>
          </cell>
          <cell r="M709" t="str">
            <v>EMPLOYE</v>
          </cell>
          <cell r="N709" t="str">
            <v>C</v>
          </cell>
          <cell r="O709" t="str">
            <v>CDI</v>
          </cell>
          <cell r="P709">
            <v>151.57</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row>
        <row r="710">
          <cell r="A710" t="str">
            <v>000A1568</v>
          </cell>
          <cell r="B710" t="str">
            <v>VAIANI</v>
          </cell>
          <cell r="C710" t="str">
            <v>MELANIE</v>
          </cell>
          <cell r="D710" t="str">
            <v>NICE</v>
          </cell>
          <cell r="E710">
            <v>40</v>
          </cell>
          <cell r="F710" t="str">
            <v>NC NUMERICABLE NICE</v>
          </cell>
          <cell r="G710" t="str">
            <v>BOUTIQUE</v>
          </cell>
          <cell r="H710" t="str">
            <v>NEGRO</v>
          </cell>
          <cell r="I710" t="str">
            <v>SUES507001</v>
          </cell>
          <cell r="J710">
            <v>100</v>
          </cell>
          <cell r="K710">
            <v>38700</v>
          </cell>
          <cell r="L710" t="str">
            <v>CHARGE(E)CLIENTELE</v>
          </cell>
          <cell r="M710" t="str">
            <v>EMPLOYE</v>
          </cell>
          <cell r="N710" t="str">
            <v>C</v>
          </cell>
          <cell r="O710" t="str">
            <v>CDD</v>
          </cell>
          <cell r="P710">
            <v>151.57</v>
          </cell>
          <cell r="Q710">
            <v>-260</v>
          </cell>
          <cell r="R710">
            <v>1281.42</v>
          </cell>
          <cell r="S710">
            <v>0</v>
          </cell>
          <cell r="T710">
            <v>1025</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250.38</v>
          </cell>
          <cell r="AO710">
            <v>0</v>
          </cell>
          <cell r="AP710">
            <v>0</v>
          </cell>
          <cell r="AQ710">
            <v>1300</v>
          </cell>
          <cell r="AR710">
            <v>0</v>
          </cell>
          <cell r="AS710">
            <v>0</v>
          </cell>
          <cell r="AT710">
            <v>0</v>
          </cell>
          <cell r="AU710">
            <v>0</v>
          </cell>
        </row>
        <row r="711">
          <cell r="A711" t="str">
            <v>000N0276</v>
          </cell>
          <cell r="B711" t="str">
            <v>BOUILHOL</v>
          </cell>
          <cell r="C711" t="str">
            <v>YVON</v>
          </cell>
          <cell r="D711" t="str">
            <v>NICE</v>
          </cell>
          <cell r="E711">
            <v>40</v>
          </cell>
          <cell r="F711" t="str">
            <v>NC NUMERICABLE NICE</v>
          </cell>
          <cell r="G711" t="str">
            <v>RACCORDEMENT IMMOB STC.</v>
          </cell>
          <cell r="H711" t="str">
            <v>TUGLER</v>
          </cell>
          <cell r="I711" t="str">
            <v>SUES302001</v>
          </cell>
          <cell r="J711">
            <v>100</v>
          </cell>
          <cell r="K711">
            <v>34610</v>
          </cell>
          <cell r="L711" t="str">
            <v>SUP. TECH. CLIENT</v>
          </cell>
          <cell r="M711" t="str">
            <v>TSM</v>
          </cell>
          <cell r="N711" t="str">
            <v>D</v>
          </cell>
          <cell r="O711" t="str">
            <v>CDI</v>
          </cell>
          <cell r="P711">
            <v>151.57</v>
          </cell>
          <cell r="Q711">
            <v>2106.31</v>
          </cell>
          <cell r="R711">
            <v>1224.33</v>
          </cell>
          <cell r="S711">
            <v>0</v>
          </cell>
          <cell r="T711">
            <v>120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239.76</v>
          </cell>
          <cell r="AO711">
            <v>0</v>
          </cell>
          <cell r="AP711">
            <v>0</v>
          </cell>
          <cell r="AQ711">
            <v>2106.31</v>
          </cell>
          <cell r="AR711">
            <v>0</v>
          </cell>
          <cell r="AS711">
            <v>0</v>
          </cell>
          <cell r="AT711">
            <v>0</v>
          </cell>
          <cell r="AU711">
            <v>0</v>
          </cell>
        </row>
        <row r="712">
          <cell r="A712" t="str">
            <v>000A1745</v>
          </cell>
          <cell r="B712" t="str">
            <v>RAVALLEC</v>
          </cell>
          <cell r="C712" t="str">
            <v>VALERIE</v>
          </cell>
          <cell r="D712" t="str">
            <v>NICE</v>
          </cell>
          <cell r="E712">
            <v>40</v>
          </cell>
          <cell r="F712" t="str">
            <v>NC NUMERICABLE NICE</v>
          </cell>
          <cell r="G712" t="str">
            <v>CLIENTELE</v>
          </cell>
          <cell r="I712" t="str">
            <v>SUES507001</v>
          </cell>
          <cell r="J712">
            <v>100</v>
          </cell>
          <cell r="K712">
            <v>38815</v>
          </cell>
          <cell r="L712" t="str">
            <v>CONSEILLER CLIENTELE BOUTIQUE</v>
          </cell>
          <cell r="M712" t="str">
            <v>463E</v>
          </cell>
          <cell r="N712" t="str">
            <v>C</v>
          </cell>
          <cell r="O712" t="str">
            <v>CDI</v>
          </cell>
          <cell r="P712">
            <v>151.57</v>
          </cell>
          <cell r="Q712">
            <v>0</v>
          </cell>
          <cell r="R712">
            <v>306.08999999999997</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996.67</v>
          </cell>
          <cell r="AR712">
            <v>0</v>
          </cell>
          <cell r="AS712">
            <v>0</v>
          </cell>
          <cell r="AT712">
            <v>0</v>
          </cell>
          <cell r="AU712">
            <v>0</v>
          </cell>
        </row>
        <row r="713">
          <cell r="A713" t="str">
            <v>000N0049</v>
          </cell>
          <cell r="B713" t="str">
            <v>ANZIANI</v>
          </cell>
          <cell r="C713" t="str">
            <v>DANIEL</v>
          </cell>
          <cell r="D713" t="str">
            <v>NICE</v>
          </cell>
          <cell r="E713">
            <v>40</v>
          </cell>
          <cell r="F713" t="str">
            <v>NC NUMERICABLE NICE</v>
          </cell>
          <cell r="G713" t="str">
            <v>RACCORDEMENT IMMOB STC.</v>
          </cell>
          <cell r="I713" t="str">
            <v>GENE905001</v>
          </cell>
          <cell r="J713">
            <v>100</v>
          </cell>
          <cell r="K713">
            <v>34575</v>
          </cell>
          <cell r="L713" t="str">
            <v>SUP. TECH. CLIENT</v>
          </cell>
          <cell r="M713" t="str">
            <v>TSM</v>
          </cell>
          <cell r="N713" t="str">
            <v>D</v>
          </cell>
          <cell r="O713" t="str">
            <v>CDI</v>
          </cell>
          <cell r="P713">
            <v>151.57</v>
          </cell>
          <cell r="Q713">
            <v>1922.65</v>
          </cell>
          <cell r="R713">
            <v>131.71</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-55.18</v>
          </cell>
          <cell r="AN713">
            <v>207.05</v>
          </cell>
          <cell r="AO713">
            <v>-55.18</v>
          </cell>
          <cell r="AP713">
            <v>0</v>
          </cell>
          <cell r="AQ713">
            <v>1922.65</v>
          </cell>
          <cell r="AR713">
            <v>0</v>
          </cell>
          <cell r="AS713">
            <v>0</v>
          </cell>
          <cell r="AT713">
            <v>0</v>
          </cell>
          <cell r="AU713">
            <v>0</v>
          </cell>
        </row>
        <row r="714">
          <cell r="A714" t="str">
            <v>000N0297</v>
          </cell>
          <cell r="B714" t="str">
            <v>NOUVEL</v>
          </cell>
          <cell r="C714" t="str">
            <v>PHILIPPE</v>
          </cell>
          <cell r="D714" t="str">
            <v>NICE</v>
          </cell>
          <cell r="E714">
            <v>40</v>
          </cell>
          <cell r="F714" t="str">
            <v>NC NUMERICABLE NICE</v>
          </cell>
          <cell r="G714" t="str">
            <v>BOUTIQUE</v>
          </cell>
          <cell r="H714" t="str">
            <v>SELSIS</v>
          </cell>
          <cell r="I714" t="str">
            <v>SUES507001</v>
          </cell>
          <cell r="J714">
            <v>100</v>
          </cell>
          <cell r="K714">
            <v>34750</v>
          </cell>
          <cell r="L714" t="str">
            <v>SUPERVISEUR TRAVAUX</v>
          </cell>
          <cell r="M714" t="str">
            <v>TSM</v>
          </cell>
          <cell r="N714" t="str">
            <v>D</v>
          </cell>
          <cell r="O714" t="str">
            <v>CDI</v>
          </cell>
          <cell r="P714">
            <v>151.57</v>
          </cell>
          <cell r="Q714">
            <v>2154.98</v>
          </cell>
          <cell r="R714">
            <v>1180.04</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232.07</v>
          </cell>
          <cell r="AO714">
            <v>0</v>
          </cell>
          <cell r="AP714">
            <v>0</v>
          </cell>
          <cell r="AQ714">
            <v>2154.98</v>
          </cell>
          <cell r="AR714">
            <v>0</v>
          </cell>
          <cell r="AS714">
            <v>0</v>
          </cell>
          <cell r="AT714">
            <v>0</v>
          </cell>
          <cell r="AU714">
            <v>0</v>
          </cell>
        </row>
        <row r="715">
          <cell r="A715" t="str">
            <v>000N0001</v>
          </cell>
          <cell r="B715" t="str">
            <v>CAMMAS</v>
          </cell>
          <cell r="C715" t="str">
            <v>STEPHAN</v>
          </cell>
          <cell r="D715" t="str">
            <v>NICE</v>
          </cell>
          <cell r="E715">
            <v>40</v>
          </cell>
          <cell r="F715" t="str">
            <v>NC NUMERICABLE NICE</v>
          </cell>
          <cell r="G715" t="str">
            <v>RACCORDEMENT IMMOB STC.</v>
          </cell>
          <cell r="H715" t="str">
            <v>TUGLER</v>
          </cell>
          <cell r="I715" t="str">
            <v>SUES302001</v>
          </cell>
          <cell r="J715">
            <v>100</v>
          </cell>
          <cell r="K715">
            <v>31152</v>
          </cell>
          <cell r="L715" t="str">
            <v>SUP. TECH. CLIENT</v>
          </cell>
          <cell r="M715" t="str">
            <v>TSM</v>
          </cell>
          <cell r="N715" t="str">
            <v>D</v>
          </cell>
          <cell r="O715" t="str">
            <v>CDI</v>
          </cell>
          <cell r="P715">
            <v>151.57</v>
          </cell>
          <cell r="Q715">
            <v>1979</v>
          </cell>
          <cell r="R715">
            <v>1128.92</v>
          </cell>
          <cell r="S715">
            <v>0</v>
          </cell>
          <cell r="T715">
            <v>120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226.04</v>
          </cell>
          <cell r="AO715">
            <v>0</v>
          </cell>
          <cell r="AP715">
            <v>0</v>
          </cell>
          <cell r="AQ715">
            <v>1979</v>
          </cell>
          <cell r="AR715">
            <v>0</v>
          </cell>
          <cell r="AS715">
            <v>0</v>
          </cell>
          <cell r="AT715">
            <v>0</v>
          </cell>
          <cell r="AU715">
            <v>0</v>
          </cell>
        </row>
        <row r="716">
          <cell r="A716" t="str">
            <v>000N0043</v>
          </cell>
          <cell r="B716" t="str">
            <v>THAON</v>
          </cell>
          <cell r="C716" t="str">
            <v>MICHEL</v>
          </cell>
          <cell r="D716" t="str">
            <v>NICE</v>
          </cell>
          <cell r="E716">
            <v>40</v>
          </cell>
          <cell r="F716" t="str">
            <v>NC NUMERICABLE NICE</v>
          </cell>
          <cell r="G716" t="str">
            <v>VAD CONSEILLERS</v>
          </cell>
          <cell r="I716" t="str">
            <v>GENE905001</v>
          </cell>
          <cell r="J716">
            <v>100</v>
          </cell>
          <cell r="K716">
            <v>33383</v>
          </cell>
          <cell r="L716" t="str">
            <v>CONSEILLER(E) COM.</v>
          </cell>
          <cell r="M716" t="str">
            <v>TSM</v>
          </cell>
          <cell r="N716" t="str">
            <v>D</v>
          </cell>
          <cell r="O716" t="str">
            <v>CDI</v>
          </cell>
          <cell r="P716">
            <v>151.57</v>
          </cell>
          <cell r="Q716">
            <v>1192</v>
          </cell>
          <cell r="R716">
            <v>327.49</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1986.26</v>
          </cell>
          <cell r="AN716">
            <v>128.36000000000001</v>
          </cell>
          <cell r="AO716">
            <v>1986.26</v>
          </cell>
          <cell r="AP716">
            <v>0</v>
          </cell>
          <cell r="AQ716">
            <v>1192</v>
          </cell>
          <cell r="AR716">
            <v>0</v>
          </cell>
          <cell r="AS716">
            <v>0</v>
          </cell>
          <cell r="AT716">
            <v>0</v>
          </cell>
          <cell r="AU716">
            <v>0</v>
          </cell>
        </row>
        <row r="717">
          <cell r="A717" t="str">
            <v>000BN049</v>
          </cell>
          <cell r="B717" t="str">
            <v>NOEL</v>
          </cell>
          <cell r="C717" t="str">
            <v>DAVID</v>
          </cell>
          <cell r="D717" t="str">
            <v>NICE</v>
          </cell>
          <cell r="E717">
            <v>40</v>
          </cell>
          <cell r="F717" t="str">
            <v>NC NUMERICABLE NICE</v>
          </cell>
          <cell r="G717" t="str">
            <v>VAD CONSEILLERS</v>
          </cell>
          <cell r="H717" t="str">
            <v>DEPREEUW</v>
          </cell>
          <cell r="I717" t="str">
            <v>GENE905001</v>
          </cell>
          <cell r="J717">
            <v>100</v>
          </cell>
          <cell r="K717">
            <v>37977</v>
          </cell>
          <cell r="L717" t="str">
            <v>CONSEILLER(E) COM.</v>
          </cell>
          <cell r="M717" t="str">
            <v>TSM</v>
          </cell>
          <cell r="N717" t="str">
            <v>D</v>
          </cell>
          <cell r="O717" t="str">
            <v>CDI</v>
          </cell>
          <cell r="P717">
            <v>151.57</v>
          </cell>
          <cell r="Q717">
            <v>1167.1400000000001</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10000</v>
          </cell>
          <cell r="AP717">
            <v>0</v>
          </cell>
          <cell r="AQ717">
            <v>0</v>
          </cell>
          <cell r="AR717">
            <v>0</v>
          </cell>
          <cell r="AS717">
            <v>0</v>
          </cell>
          <cell r="AT717">
            <v>0</v>
          </cell>
          <cell r="AU717">
            <v>0</v>
          </cell>
        </row>
        <row r="718">
          <cell r="A718" t="str">
            <v>000N0272</v>
          </cell>
          <cell r="B718" t="str">
            <v>MEDICI</v>
          </cell>
          <cell r="C718" t="str">
            <v>JOSIANE</v>
          </cell>
          <cell r="D718" t="str">
            <v>NICE</v>
          </cell>
          <cell r="E718">
            <v>40</v>
          </cell>
          <cell r="F718" t="str">
            <v>NC NUMERICABLE NICE</v>
          </cell>
          <cell r="G718" t="str">
            <v>BOUTIQUE</v>
          </cell>
          <cell r="I718" t="str">
            <v>GENE905001</v>
          </cell>
          <cell r="J718">
            <v>100</v>
          </cell>
          <cell r="K718">
            <v>34606</v>
          </cell>
          <cell r="L718" t="str">
            <v>CONSEILLER(E) CLT BOUTIQUE</v>
          </cell>
          <cell r="M718" t="str">
            <v>EMPLOYE</v>
          </cell>
          <cell r="N718" t="str">
            <v>C</v>
          </cell>
          <cell r="O718" t="str">
            <v>CDI</v>
          </cell>
          <cell r="P718">
            <v>151.57</v>
          </cell>
          <cell r="Q718">
            <v>1762</v>
          </cell>
          <cell r="R718">
            <v>571.13</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16.2</v>
          </cell>
          <cell r="AO718">
            <v>0</v>
          </cell>
          <cell r="AP718">
            <v>0</v>
          </cell>
          <cell r="AQ718">
            <v>1762</v>
          </cell>
          <cell r="AR718">
            <v>0</v>
          </cell>
          <cell r="AS718">
            <v>0</v>
          </cell>
          <cell r="AT718">
            <v>0</v>
          </cell>
          <cell r="AU718">
            <v>0</v>
          </cell>
        </row>
        <row r="719">
          <cell r="A719" t="str">
            <v>000BM261</v>
          </cell>
          <cell r="B719" t="str">
            <v>MARION</v>
          </cell>
          <cell r="C719" t="str">
            <v>GUY</v>
          </cell>
          <cell r="D719" t="str">
            <v>NICE</v>
          </cell>
          <cell r="E719">
            <v>40</v>
          </cell>
          <cell r="F719" t="str">
            <v>NC NUMERICABLE NICE</v>
          </cell>
          <cell r="G719" t="str">
            <v>VAD CONSEILLERS</v>
          </cell>
          <cell r="H719" t="str">
            <v>DEPREEUW</v>
          </cell>
          <cell r="I719" t="str">
            <v>SUES500001</v>
          </cell>
          <cell r="J719">
            <v>100</v>
          </cell>
          <cell r="K719">
            <v>37316</v>
          </cell>
          <cell r="L719" t="str">
            <v>CONSEILLER(E) COM.</v>
          </cell>
          <cell r="M719" t="str">
            <v>TSM</v>
          </cell>
          <cell r="N719" t="str">
            <v>D</v>
          </cell>
          <cell r="O719" t="str">
            <v>CDI</v>
          </cell>
          <cell r="P719">
            <v>151.57</v>
          </cell>
          <cell r="Q719">
            <v>1217</v>
          </cell>
          <cell r="R719">
            <v>1386.17</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3145.89</v>
          </cell>
          <cell r="AN719">
            <v>0.01</v>
          </cell>
          <cell r="AO719">
            <v>0</v>
          </cell>
          <cell r="AP719">
            <v>0</v>
          </cell>
          <cell r="AQ719">
            <v>4362.8900000000003</v>
          </cell>
          <cell r="AR719">
            <v>0</v>
          </cell>
          <cell r="AS719">
            <v>0</v>
          </cell>
          <cell r="AT719">
            <v>0</v>
          </cell>
          <cell r="AU719">
            <v>0</v>
          </cell>
        </row>
        <row r="720">
          <cell r="A720" t="str">
            <v>000N0039</v>
          </cell>
          <cell r="B720" t="str">
            <v>SITBON</v>
          </cell>
          <cell r="C720" t="str">
            <v>CAROLINE</v>
          </cell>
          <cell r="D720" t="str">
            <v>NICE</v>
          </cell>
          <cell r="E720">
            <v>40</v>
          </cell>
          <cell r="F720" t="str">
            <v>NC NUMERICABLE NICE</v>
          </cell>
          <cell r="G720" t="str">
            <v>DIRECTION REGIONALE</v>
          </cell>
          <cell r="H720" t="str">
            <v>CHAPELAT</v>
          </cell>
          <cell r="I720" t="str">
            <v>SUES520001</v>
          </cell>
          <cell r="J720">
            <v>100</v>
          </cell>
          <cell r="K720">
            <v>33196</v>
          </cell>
          <cell r="L720" t="str">
            <v>ASSISTANT(E) NIV. 2</v>
          </cell>
          <cell r="M720" t="str">
            <v>TSM</v>
          </cell>
          <cell r="N720" t="str">
            <v>D</v>
          </cell>
          <cell r="O720" t="str">
            <v>CDI</v>
          </cell>
          <cell r="P720">
            <v>151.57</v>
          </cell>
          <cell r="Q720">
            <v>2084.6999999999998</v>
          </cell>
          <cell r="R720">
            <v>1105.24</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224.5</v>
          </cell>
          <cell r="AO720">
            <v>0</v>
          </cell>
          <cell r="AP720">
            <v>0</v>
          </cell>
          <cell r="AQ720">
            <v>2084.6999999999998</v>
          </cell>
          <cell r="AR720">
            <v>0</v>
          </cell>
          <cell r="AS720">
            <v>0</v>
          </cell>
          <cell r="AT720">
            <v>0</v>
          </cell>
          <cell r="AU720">
            <v>0</v>
          </cell>
        </row>
        <row r="721">
          <cell r="A721" t="str">
            <v>000BA126</v>
          </cell>
          <cell r="B721" t="str">
            <v>ANAR AKDIM</v>
          </cell>
          <cell r="C721" t="str">
            <v>BELKACEM</v>
          </cell>
          <cell r="D721" t="str">
            <v>LYON GARIBALDI</v>
          </cell>
          <cell r="E721">
            <v>40</v>
          </cell>
          <cell r="F721" t="str">
            <v>NC NUMERICABLE NICE</v>
          </cell>
          <cell r="G721" t="str">
            <v>MAINTENANCE RESEAU</v>
          </cell>
          <cell r="H721" t="str">
            <v>PIZOT</v>
          </cell>
          <cell r="I721" t="str">
            <v>RHON300001</v>
          </cell>
          <cell r="J721">
            <v>100</v>
          </cell>
          <cell r="K721">
            <v>36418</v>
          </cell>
          <cell r="L721" t="str">
            <v>EXPERT TECHNIQUE TDR ET RESEAUX</v>
          </cell>
          <cell r="M721" t="str">
            <v>478D</v>
          </cell>
          <cell r="N721" t="str">
            <v>D</v>
          </cell>
          <cell r="O721" t="str">
            <v>CDI</v>
          </cell>
          <cell r="P721">
            <v>151.57</v>
          </cell>
          <cell r="Q721">
            <v>4309.59</v>
          </cell>
          <cell r="R721">
            <v>942.79</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269</v>
          </cell>
          <cell r="AL721">
            <v>0</v>
          </cell>
          <cell r="AM721">
            <v>0</v>
          </cell>
          <cell r="AN721">
            <v>307.73</v>
          </cell>
          <cell r="AO721">
            <v>12000</v>
          </cell>
          <cell r="AP721">
            <v>0</v>
          </cell>
          <cell r="AQ721">
            <v>1642.06</v>
          </cell>
          <cell r="AR721">
            <v>0</v>
          </cell>
          <cell r="AS721">
            <v>269</v>
          </cell>
          <cell r="AT721">
            <v>0</v>
          </cell>
          <cell r="AU721">
            <v>0</v>
          </cell>
        </row>
        <row r="722">
          <cell r="A722" t="str">
            <v>000N0284</v>
          </cell>
          <cell r="B722" t="str">
            <v>BOY</v>
          </cell>
          <cell r="C722" t="str">
            <v>ALAIN</v>
          </cell>
          <cell r="D722" t="str">
            <v>NICE</v>
          </cell>
          <cell r="E722">
            <v>40</v>
          </cell>
          <cell r="F722" t="str">
            <v>NC NUMERICABLE NICE</v>
          </cell>
          <cell r="G722" t="str">
            <v>VAD CONSEILLERS</v>
          </cell>
          <cell r="I722" t="str">
            <v>GENE905001</v>
          </cell>
          <cell r="J722">
            <v>100</v>
          </cell>
          <cell r="K722">
            <v>35072</v>
          </cell>
          <cell r="L722" t="str">
            <v>CONSEILLER(E) COM.</v>
          </cell>
          <cell r="M722" t="str">
            <v>TSM</v>
          </cell>
          <cell r="N722" t="str">
            <v>D</v>
          </cell>
          <cell r="O722" t="str">
            <v>CDI</v>
          </cell>
          <cell r="P722">
            <v>151.57</v>
          </cell>
          <cell r="Q722">
            <v>1192</v>
          </cell>
          <cell r="R722">
            <v>-1066.07</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1860.62</v>
          </cell>
          <cell r="AN722">
            <v>128.36000000000001</v>
          </cell>
          <cell r="AO722">
            <v>1860.62</v>
          </cell>
          <cell r="AP722">
            <v>0</v>
          </cell>
          <cell r="AQ722">
            <v>1192</v>
          </cell>
          <cell r="AR722">
            <v>0</v>
          </cell>
          <cell r="AS722">
            <v>0</v>
          </cell>
          <cell r="AT722">
            <v>0</v>
          </cell>
          <cell r="AU722">
            <v>0</v>
          </cell>
        </row>
        <row r="723">
          <cell r="A723" t="str">
            <v>000N0023</v>
          </cell>
          <cell r="B723" t="str">
            <v>TOMATIS</v>
          </cell>
          <cell r="C723" t="str">
            <v>MICHEL</v>
          </cell>
          <cell r="D723" t="str">
            <v>NICE</v>
          </cell>
          <cell r="E723">
            <v>40</v>
          </cell>
          <cell r="F723" t="str">
            <v>NC NUMERICABLE NICE</v>
          </cell>
          <cell r="G723" t="str">
            <v>TRAVAUX</v>
          </cell>
          <cell r="H723" t="str">
            <v>SOULIERE</v>
          </cell>
          <cell r="I723" t="str">
            <v>SUES300001</v>
          </cell>
          <cell r="J723">
            <v>100</v>
          </cell>
          <cell r="K723">
            <v>32660</v>
          </cell>
          <cell r="L723" t="str">
            <v>TECH. EXP. NIV. 2</v>
          </cell>
          <cell r="M723" t="str">
            <v>TSM</v>
          </cell>
          <cell r="N723" t="str">
            <v>D</v>
          </cell>
          <cell r="O723" t="str">
            <v>CDI</v>
          </cell>
          <cell r="P723">
            <v>151.57</v>
          </cell>
          <cell r="Q723">
            <v>2465.4899999999998</v>
          </cell>
          <cell r="R723">
            <v>1472.29</v>
          </cell>
          <cell r="S723">
            <v>0</v>
          </cell>
          <cell r="T723">
            <v>280.42</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295.7</v>
          </cell>
          <cell r="AO723">
            <v>0</v>
          </cell>
          <cell r="AP723">
            <v>0</v>
          </cell>
          <cell r="AQ723">
            <v>2465.4899999999998</v>
          </cell>
          <cell r="AR723">
            <v>0</v>
          </cell>
          <cell r="AS723">
            <v>0</v>
          </cell>
          <cell r="AT723">
            <v>0</v>
          </cell>
          <cell r="AU723">
            <v>0</v>
          </cell>
        </row>
        <row r="724">
          <cell r="A724" t="str">
            <v>000N0074</v>
          </cell>
          <cell r="B724" t="str">
            <v>DE SIMONE</v>
          </cell>
          <cell r="C724" t="str">
            <v>CHRISTINE</v>
          </cell>
          <cell r="D724" t="str">
            <v>NICE</v>
          </cell>
          <cell r="E724">
            <v>40</v>
          </cell>
          <cell r="F724" t="str">
            <v>NC NUMERICABLE NICE</v>
          </cell>
          <cell r="G724" t="str">
            <v>MAINTENANCE RESEAU</v>
          </cell>
          <cell r="H724" t="str">
            <v>LE NABEC</v>
          </cell>
          <cell r="I724" t="str">
            <v>SUES300001</v>
          </cell>
          <cell r="J724">
            <v>100</v>
          </cell>
          <cell r="K724">
            <v>33928</v>
          </cell>
          <cell r="L724" t="str">
            <v>ASSISTANT(E) NIV. 2</v>
          </cell>
          <cell r="M724" t="str">
            <v>TSM</v>
          </cell>
          <cell r="N724" t="str">
            <v>D</v>
          </cell>
          <cell r="O724" t="str">
            <v>CDI</v>
          </cell>
          <cell r="P724">
            <v>151.57</v>
          </cell>
          <cell r="Q724">
            <v>1681.97</v>
          </cell>
          <cell r="R724">
            <v>530.49</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1.29</v>
          </cell>
          <cell r="AN724">
            <v>106.66</v>
          </cell>
          <cell r="AO724">
            <v>0</v>
          </cell>
          <cell r="AP724">
            <v>-310.31</v>
          </cell>
          <cell r="AQ724">
            <v>689.25</v>
          </cell>
          <cell r="AR724">
            <v>0</v>
          </cell>
          <cell r="AS724">
            <v>0</v>
          </cell>
          <cell r="AT724">
            <v>0</v>
          </cell>
          <cell r="AU724">
            <v>0</v>
          </cell>
        </row>
        <row r="725">
          <cell r="A725" t="str">
            <v>000N0346</v>
          </cell>
          <cell r="B725" t="str">
            <v>CAILLOUX</v>
          </cell>
          <cell r="C725" t="str">
            <v>ALEXANDRE</v>
          </cell>
          <cell r="D725" t="str">
            <v>NICE</v>
          </cell>
          <cell r="E725">
            <v>40</v>
          </cell>
          <cell r="F725" t="str">
            <v>NC NUMERICABLE NICE</v>
          </cell>
          <cell r="G725" t="str">
            <v>VAD CONSEILLERS</v>
          </cell>
          <cell r="I725" t="str">
            <v>GENE905001</v>
          </cell>
          <cell r="J725">
            <v>100</v>
          </cell>
          <cell r="K725">
            <v>35023</v>
          </cell>
          <cell r="L725" t="str">
            <v>CONSEILLER(E) COM.</v>
          </cell>
          <cell r="M725" t="str">
            <v>TSM</v>
          </cell>
          <cell r="N725" t="str">
            <v>D</v>
          </cell>
          <cell r="O725" t="str">
            <v>CDI</v>
          </cell>
          <cell r="P725">
            <v>151.57</v>
          </cell>
          <cell r="Q725">
            <v>1242</v>
          </cell>
          <cell r="R725">
            <v>585</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3646.17</v>
          </cell>
          <cell r="AN725">
            <v>133.75</v>
          </cell>
          <cell r="AO725">
            <v>3646.17</v>
          </cell>
          <cell r="AP725">
            <v>0</v>
          </cell>
          <cell r="AQ725">
            <v>1242</v>
          </cell>
          <cell r="AR725">
            <v>0</v>
          </cell>
          <cell r="AS725">
            <v>0</v>
          </cell>
          <cell r="AT725">
            <v>0</v>
          </cell>
          <cell r="AU725">
            <v>0</v>
          </cell>
        </row>
        <row r="726">
          <cell r="A726" t="str">
            <v>000BB384</v>
          </cell>
          <cell r="B726" t="str">
            <v>BISTON</v>
          </cell>
          <cell r="C726" t="str">
            <v>PHILIPPE</v>
          </cell>
          <cell r="D726" t="str">
            <v>NICE</v>
          </cell>
          <cell r="E726">
            <v>40</v>
          </cell>
          <cell r="F726" t="str">
            <v>NC NUMERICABLE NICE</v>
          </cell>
          <cell r="G726" t="str">
            <v>VAD CONSEILLERS</v>
          </cell>
          <cell r="I726" t="str">
            <v>GENE905001</v>
          </cell>
          <cell r="J726">
            <v>100</v>
          </cell>
          <cell r="K726">
            <v>36864</v>
          </cell>
          <cell r="L726" t="str">
            <v>CONSEILLER(E) COM.</v>
          </cell>
          <cell r="M726" t="str">
            <v>TSM</v>
          </cell>
          <cell r="N726" t="str">
            <v>D</v>
          </cell>
          <cell r="O726" t="str">
            <v>CDI</v>
          </cell>
          <cell r="P726">
            <v>151.57</v>
          </cell>
          <cell r="Q726">
            <v>1217</v>
          </cell>
          <cell r="R726">
            <v>349.69</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2167.15</v>
          </cell>
          <cell r="AN726">
            <v>131.07</v>
          </cell>
          <cell r="AO726">
            <v>2167.15</v>
          </cell>
          <cell r="AP726">
            <v>0</v>
          </cell>
          <cell r="AQ726">
            <v>1217</v>
          </cell>
          <cell r="AR726">
            <v>0</v>
          </cell>
          <cell r="AS726">
            <v>0</v>
          </cell>
          <cell r="AT726">
            <v>0</v>
          </cell>
          <cell r="AU726">
            <v>0</v>
          </cell>
        </row>
        <row r="727">
          <cell r="A727" t="str">
            <v>000BH075</v>
          </cell>
          <cell r="B727" t="str">
            <v>HEURTIN</v>
          </cell>
          <cell r="C727" t="str">
            <v>LAURENT</v>
          </cell>
          <cell r="D727" t="str">
            <v>NANTES</v>
          </cell>
          <cell r="E727">
            <v>21</v>
          </cell>
          <cell r="F727" t="str">
            <v>NC NUMERICABLE OUEST</v>
          </cell>
          <cell r="G727" t="str">
            <v>VAD CONSEILLERS</v>
          </cell>
          <cell r="I727" t="str">
            <v>GENE905001</v>
          </cell>
          <cell r="J727">
            <v>100</v>
          </cell>
          <cell r="K727">
            <v>36808</v>
          </cell>
          <cell r="L727" t="str">
            <v>CONSEILLER(E) COM.</v>
          </cell>
          <cell r="M727" t="str">
            <v>TSM</v>
          </cell>
          <cell r="N727" t="str">
            <v>D</v>
          </cell>
          <cell r="O727" t="str">
            <v>CDI</v>
          </cell>
          <cell r="P727">
            <v>151.57</v>
          </cell>
          <cell r="Q727">
            <v>1257</v>
          </cell>
          <cell r="R727">
            <v>586.26</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3703.71</v>
          </cell>
          <cell r="AN727">
            <v>135.37</v>
          </cell>
          <cell r="AO727">
            <v>3703.71</v>
          </cell>
          <cell r="AP727">
            <v>0</v>
          </cell>
          <cell r="AQ727">
            <v>1257</v>
          </cell>
          <cell r="AR727">
            <v>0</v>
          </cell>
          <cell r="AS727">
            <v>0</v>
          </cell>
          <cell r="AT727">
            <v>0</v>
          </cell>
          <cell r="AU727">
            <v>0</v>
          </cell>
        </row>
        <row r="728">
          <cell r="A728" t="str">
            <v>000F0091</v>
          </cell>
          <cell r="B728" t="str">
            <v>BIENVENU</v>
          </cell>
          <cell r="C728" t="str">
            <v>JEAN-LOUIS</v>
          </cell>
          <cell r="D728" t="str">
            <v>NANTES</v>
          </cell>
          <cell r="E728">
            <v>21</v>
          </cell>
          <cell r="F728" t="str">
            <v>NC NUMERICABLE OUEST</v>
          </cell>
          <cell r="G728" t="str">
            <v>VAD CONSEILLERS</v>
          </cell>
          <cell r="I728" t="str">
            <v>GENE905001</v>
          </cell>
          <cell r="J728">
            <v>100</v>
          </cell>
          <cell r="K728">
            <v>34225</v>
          </cell>
          <cell r="L728" t="str">
            <v>CONSEILLER(E) COM.</v>
          </cell>
          <cell r="M728" t="str">
            <v>TSM</v>
          </cell>
          <cell r="N728" t="str">
            <v>D</v>
          </cell>
          <cell r="O728" t="str">
            <v>CDI</v>
          </cell>
          <cell r="P728">
            <v>151.57</v>
          </cell>
          <cell r="Q728">
            <v>1488.27</v>
          </cell>
          <cell r="R728">
            <v>370.73</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1936.56</v>
          </cell>
          <cell r="AN728">
            <v>160.28</v>
          </cell>
          <cell r="AO728">
            <v>1936.56</v>
          </cell>
          <cell r="AP728">
            <v>0</v>
          </cell>
          <cell r="AQ728">
            <v>1488.27</v>
          </cell>
          <cell r="AR728">
            <v>0</v>
          </cell>
          <cell r="AS728">
            <v>0</v>
          </cell>
          <cell r="AT728">
            <v>0</v>
          </cell>
          <cell r="AU728">
            <v>0</v>
          </cell>
        </row>
        <row r="729">
          <cell r="A729" t="str">
            <v>000F0072</v>
          </cell>
          <cell r="B729" t="str">
            <v>GIRARDEAU</v>
          </cell>
          <cell r="C729" t="str">
            <v>JEAN-LUC</v>
          </cell>
          <cell r="D729" t="str">
            <v>NANTES</v>
          </cell>
          <cell r="E729">
            <v>21</v>
          </cell>
          <cell r="F729" t="str">
            <v>NC NUMERICABLE OUEST</v>
          </cell>
          <cell r="G729" t="str">
            <v>RACCORDEMENT IMMOB STC.</v>
          </cell>
          <cell r="H729" t="str">
            <v>DUCEPT</v>
          </cell>
          <cell r="I729" t="str">
            <v>OUES302001</v>
          </cell>
          <cell r="J729">
            <v>100</v>
          </cell>
          <cell r="K729">
            <v>33150</v>
          </cell>
          <cell r="L729" t="str">
            <v>SUP. TECH. CLIENT</v>
          </cell>
          <cell r="M729" t="str">
            <v>TSM</v>
          </cell>
          <cell r="N729" t="str">
            <v>D</v>
          </cell>
          <cell r="O729" t="str">
            <v>CDI</v>
          </cell>
          <cell r="P729">
            <v>151.57</v>
          </cell>
          <cell r="Q729">
            <v>2128.4299999999998</v>
          </cell>
          <cell r="R729">
            <v>985.19</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-76.8</v>
          </cell>
          <cell r="AQ729">
            <v>-14.8</v>
          </cell>
          <cell r="AR729">
            <v>0</v>
          </cell>
          <cell r="AS729">
            <v>0</v>
          </cell>
          <cell r="AT729">
            <v>0</v>
          </cell>
          <cell r="AU729">
            <v>0</v>
          </cell>
        </row>
        <row r="730">
          <cell r="A730" t="str">
            <v>000F0160</v>
          </cell>
          <cell r="B730" t="str">
            <v>VIGNARD</v>
          </cell>
          <cell r="C730" t="str">
            <v>KARINE</v>
          </cell>
          <cell r="D730" t="str">
            <v>NANTES</v>
          </cell>
          <cell r="E730">
            <v>21</v>
          </cell>
          <cell r="F730" t="str">
            <v>NC NUMERICABLE OUEST</v>
          </cell>
          <cell r="G730" t="str">
            <v>VENTE</v>
          </cell>
          <cell r="H730" t="str">
            <v>DURAND JP</v>
          </cell>
          <cell r="I730" t="str">
            <v>OUES520001</v>
          </cell>
          <cell r="J730">
            <v>100</v>
          </cell>
          <cell r="K730">
            <v>34155</v>
          </cell>
          <cell r="L730" t="str">
            <v>ASSISTANT(E) NIV. 2</v>
          </cell>
          <cell r="M730" t="str">
            <v>TSM</v>
          </cell>
          <cell r="N730" t="str">
            <v>D</v>
          </cell>
          <cell r="O730" t="str">
            <v>CDI</v>
          </cell>
          <cell r="P730">
            <v>151.57</v>
          </cell>
          <cell r="Q730">
            <v>2199</v>
          </cell>
          <cell r="R730">
            <v>796.03</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236.81</v>
          </cell>
          <cell r="AO730">
            <v>0</v>
          </cell>
          <cell r="AP730">
            <v>0</v>
          </cell>
          <cell r="AQ730">
            <v>1590.14</v>
          </cell>
          <cell r="AR730">
            <v>0</v>
          </cell>
          <cell r="AS730">
            <v>0</v>
          </cell>
          <cell r="AT730">
            <v>0</v>
          </cell>
          <cell r="AU730">
            <v>0</v>
          </cell>
        </row>
        <row r="731">
          <cell r="A731" t="str">
            <v>000F0098</v>
          </cell>
          <cell r="B731" t="str">
            <v>ROCHER</v>
          </cell>
          <cell r="C731" t="str">
            <v>DIDIER</v>
          </cell>
          <cell r="D731" t="str">
            <v>BORDEAUX</v>
          </cell>
          <cell r="E731">
            <v>21</v>
          </cell>
          <cell r="F731" t="str">
            <v>NC NUMERICABLE OUEST</v>
          </cell>
          <cell r="G731" t="str">
            <v>MAINTENANCE RESEAU</v>
          </cell>
          <cell r="H731" t="str">
            <v>BELFORT</v>
          </cell>
          <cell r="I731" t="str">
            <v>SUOU300001</v>
          </cell>
          <cell r="J731">
            <v>100</v>
          </cell>
          <cell r="K731">
            <v>32808</v>
          </cell>
          <cell r="L731" t="str">
            <v>TECH. EXP. NIV. 2</v>
          </cell>
          <cell r="M731" t="str">
            <v>TSM</v>
          </cell>
          <cell r="N731" t="str">
            <v>D</v>
          </cell>
          <cell r="O731" t="str">
            <v>CDI</v>
          </cell>
          <cell r="P731">
            <v>151.57</v>
          </cell>
          <cell r="Q731">
            <v>2145</v>
          </cell>
          <cell r="R731">
            <v>1237.72</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236</v>
          </cell>
          <cell r="AL731">
            <v>0</v>
          </cell>
          <cell r="AM731">
            <v>0</v>
          </cell>
          <cell r="AN731">
            <v>256.86</v>
          </cell>
          <cell r="AO731">
            <v>0</v>
          </cell>
          <cell r="AP731">
            <v>0</v>
          </cell>
          <cell r="AQ731">
            <v>2095.5100000000002</v>
          </cell>
          <cell r="AR731">
            <v>0</v>
          </cell>
          <cell r="AS731">
            <v>236</v>
          </cell>
          <cell r="AT731">
            <v>0</v>
          </cell>
          <cell r="AU731">
            <v>0</v>
          </cell>
        </row>
        <row r="732">
          <cell r="A732">
            <v>853</v>
          </cell>
          <cell r="B732" t="str">
            <v>BOSSER</v>
          </cell>
          <cell r="C732" t="str">
            <v>ALAIN</v>
          </cell>
          <cell r="D732" t="str">
            <v>NANTES</v>
          </cell>
          <cell r="E732">
            <v>21</v>
          </cell>
          <cell r="F732" t="str">
            <v>NC NUMERICABLE OUEST</v>
          </cell>
          <cell r="G732" t="str">
            <v>RACCORDEMENT IMMOB STC.</v>
          </cell>
          <cell r="H732" t="str">
            <v>DURAND JP</v>
          </cell>
          <cell r="I732" t="str">
            <v>OUES302001</v>
          </cell>
          <cell r="J732">
            <v>100</v>
          </cell>
          <cell r="K732">
            <v>34820</v>
          </cell>
          <cell r="L732" t="str">
            <v>SUP. TECH. CLIENT</v>
          </cell>
          <cell r="M732" t="str">
            <v>TSM</v>
          </cell>
          <cell r="N732" t="str">
            <v>D</v>
          </cell>
          <cell r="O732" t="str">
            <v>CDI</v>
          </cell>
          <cell r="P732">
            <v>151.57</v>
          </cell>
          <cell r="Q732">
            <v>2575</v>
          </cell>
          <cell r="R732">
            <v>1487.46</v>
          </cell>
          <cell r="S732">
            <v>0</v>
          </cell>
          <cell r="T732">
            <v>240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303.14999999999998</v>
          </cell>
          <cell r="AO732">
            <v>0</v>
          </cell>
          <cell r="AP732">
            <v>0</v>
          </cell>
          <cell r="AQ732">
            <v>2575</v>
          </cell>
          <cell r="AR732">
            <v>0</v>
          </cell>
          <cell r="AS732">
            <v>0</v>
          </cell>
          <cell r="AT732">
            <v>0</v>
          </cell>
          <cell r="AU732">
            <v>0</v>
          </cell>
        </row>
        <row r="733">
          <cell r="A733" t="str">
            <v>000F0262</v>
          </cell>
          <cell r="B733" t="str">
            <v>ALLOUCHE</v>
          </cell>
          <cell r="C733" t="str">
            <v>MICHEL</v>
          </cell>
          <cell r="D733" t="str">
            <v>NANTES</v>
          </cell>
          <cell r="E733">
            <v>21</v>
          </cell>
          <cell r="F733" t="str">
            <v>NC NUMERICABLE OUEST</v>
          </cell>
          <cell r="G733" t="str">
            <v>VAD CONSEILLERS</v>
          </cell>
          <cell r="I733" t="str">
            <v>GENE905001</v>
          </cell>
          <cell r="J733">
            <v>100</v>
          </cell>
          <cell r="K733">
            <v>34807</v>
          </cell>
          <cell r="L733" t="str">
            <v>CONSEILLER(E) COM.</v>
          </cell>
          <cell r="M733" t="str">
            <v>TSM</v>
          </cell>
          <cell r="N733" t="str">
            <v>D</v>
          </cell>
          <cell r="O733" t="str">
            <v>CDI</v>
          </cell>
          <cell r="P733">
            <v>151.57</v>
          </cell>
          <cell r="Q733">
            <v>1457.04</v>
          </cell>
          <cell r="R733">
            <v>-350.55</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3394.8</v>
          </cell>
          <cell r="AN733">
            <v>156.91</v>
          </cell>
          <cell r="AO733">
            <v>3394.8</v>
          </cell>
          <cell r="AP733">
            <v>0</v>
          </cell>
          <cell r="AQ733">
            <v>1457.04</v>
          </cell>
          <cell r="AR733">
            <v>0</v>
          </cell>
          <cell r="AS733">
            <v>0</v>
          </cell>
          <cell r="AT733">
            <v>0</v>
          </cell>
          <cell r="AU733">
            <v>0</v>
          </cell>
        </row>
        <row r="734">
          <cell r="A734" t="str">
            <v>000F0311</v>
          </cell>
          <cell r="B734" t="str">
            <v>BESSOULE</v>
          </cell>
          <cell r="C734" t="str">
            <v>EMMANUEL</v>
          </cell>
          <cell r="D734" t="str">
            <v>NANTES</v>
          </cell>
          <cell r="E734">
            <v>21</v>
          </cell>
          <cell r="F734" t="str">
            <v>NC NUMERICABLE OUEST</v>
          </cell>
          <cell r="G734" t="str">
            <v>VAD CONSEILLERS</v>
          </cell>
          <cell r="I734" t="str">
            <v>GENE905001</v>
          </cell>
          <cell r="J734">
            <v>100</v>
          </cell>
          <cell r="K734">
            <v>35103</v>
          </cell>
          <cell r="L734" t="str">
            <v>CONSEILLER(E) COM.</v>
          </cell>
          <cell r="M734" t="str">
            <v>TSM</v>
          </cell>
          <cell r="N734" t="str">
            <v>D</v>
          </cell>
          <cell r="O734" t="str">
            <v>CDI</v>
          </cell>
          <cell r="P734">
            <v>151.57</v>
          </cell>
          <cell r="Q734">
            <v>1269.5899999999999</v>
          </cell>
          <cell r="R734">
            <v>-1062.33</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2762.23</v>
          </cell>
          <cell r="AN734">
            <v>136.71</v>
          </cell>
          <cell r="AO734">
            <v>2762.23</v>
          </cell>
          <cell r="AP734">
            <v>0</v>
          </cell>
          <cell r="AQ734">
            <v>1269.5899999999999</v>
          </cell>
          <cell r="AR734">
            <v>0</v>
          </cell>
          <cell r="AS734">
            <v>0</v>
          </cell>
          <cell r="AT734">
            <v>0</v>
          </cell>
          <cell r="AU734">
            <v>0</v>
          </cell>
        </row>
        <row r="735">
          <cell r="A735" t="str">
            <v>000F0301</v>
          </cell>
          <cell r="B735" t="str">
            <v>ZAKI</v>
          </cell>
          <cell r="C735" t="str">
            <v>DANIEL</v>
          </cell>
          <cell r="D735" t="str">
            <v>NANTES</v>
          </cell>
          <cell r="E735">
            <v>21</v>
          </cell>
          <cell r="F735" t="str">
            <v>NC NUMERICABLE OUEST</v>
          </cell>
          <cell r="G735" t="str">
            <v>VAD CONSEILLERS</v>
          </cell>
          <cell r="I735" t="str">
            <v>GENE905001</v>
          </cell>
          <cell r="J735">
            <v>100</v>
          </cell>
          <cell r="K735">
            <v>35060</v>
          </cell>
          <cell r="L735" t="str">
            <v>CONSEILLER(E) COM.</v>
          </cell>
          <cell r="M735" t="str">
            <v>TSM</v>
          </cell>
          <cell r="N735" t="str">
            <v>D</v>
          </cell>
          <cell r="O735" t="str">
            <v>CDI</v>
          </cell>
          <cell r="P735">
            <v>151.57</v>
          </cell>
          <cell r="Q735">
            <v>1360.82</v>
          </cell>
          <cell r="R735">
            <v>468.82</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2927.83</v>
          </cell>
          <cell r="AN735">
            <v>146.55000000000001</v>
          </cell>
          <cell r="AO735">
            <v>2927.83</v>
          </cell>
          <cell r="AP735">
            <v>0</v>
          </cell>
          <cell r="AQ735">
            <v>1360.82</v>
          </cell>
          <cell r="AR735">
            <v>0</v>
          </cell>
          <cell r="AS735">
            <v>0</v>
          </cell>
          <cell r="AT735">
            <v>0</v>
          </cell>
          <cell r="AU735">
            <v>0</v>
          </cell>
        </row>
        <row r="736">
          <cell r="A736" t="str">
            <v>000A1635</v>
          </cell>
          <cell r="B736" t="str">
            <v>CODET</v>
          </cell>
          <cell r="C736" t="str">
            <v>RODRIGUE</v>
          </cell>
          <cell r="D736" t="str">
            <v>NANTES</v>
          </cell>
          <cell r="E736">
            <v>21</v>
          </cell>
          <cell r="F736" t="str">
            <v>NC NUMERICABLE OUEST</v>
          </cell>
          <cell r="I736" t="str">
            <v>OUES300001</v>
          </cell>
          <cell r="J736">
            <v>100</v>
          </cell>
          <cell r="K736">
            <v>38789</v>
          </cell>
          <cell r="L736" t="str">
            <v>EXPERT TECHNIQUE TDR ET RESEAUX</v>
          </cell>
          <cell r="M736" t="str">
            <v>478D</v>
          </cell>
          <cell r="N736" t="str">
            <v>DB</v>
          </cell>
          <cell r="O736" t="str">
            <v>CDI</v>
          </cell>
          <cell r="P736">
            <v>151.57</v>
          </cell>
          <cell r="Q736">
            <v>0</v>
          </cell>
          <cell r="R736">
            <v>1337.01</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2750</v>
          </cell>
          <cell r="AR736">
            <v>0</v>
          </cell>
          <cell r="AS736">
            <v>0</v>
          </cell>
          <cell r="AT736">
            <v>0</v>
          </cell>
          <cell r="AU736">
            <v>0</v>
          </cell>
        </row>
        <row r="737">
          <cell r="A737" t="str">
            <v>000F0116</v>
          </cell>
          <cell r="B737" t="str">
            <v>VARLET</v>
          </cell>
          <cell r="C737" t="str">
            <v>LAURENCE</v>
          </cell>
          <cell r="D737" t="str">
            <v>NANTES</v>
          </cell>
          <cell r="E737">
            <v>21</v>
          </cell>
          <cell r="F737" t="str">
            <v>NC NUMERICABLE OUEST</v>
          </cell>
          <cell r="G737" t="str">
            <v>DIRECTION REGIONALE</v>
          </cell>
          <cell r="I737" t="str">
            <v>GENE905001</v>
          </cell>
          <cell r="J737">
            <v>100</v>
          </cell>
          <cell r="K737">
            <v>33451</v>
          </cell>
          <cell r="L737" t="str">
            <v>SUPERVISEUR COM.</v>
          </cell>
          <cell r="M737" t="str">
            <v>TSM</v>
          </cell>
          <cell r="N737" t="str">
            <v>D</v>
          </cell>
          <cell r="O737" t="str">
            <v>CDI</v>
          </cell>
          <cell r="P737">
            <v>151.57</v>
          </cell>
          <cell r="Q737">
            <v>2663.04</v>
          </cell>
          <cell r="R737">
            <v>740.71</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181.76</v>
          </cell>
          <cell r="AO737">
            <v>0</v>
          </cell>
          <cell r="AP737">
            <v>0</v>
          </cell>
          <cell r="AQ737">
            <v>1687.67</v>
          </cell>
          <cell r="AR737">
            <v>0</v>
          </cell>
          <cell r="AS737">
            <v>0</v>
          </cell>
          <cell r="AT737">
            <v>0</v>
          </cell>
          <cell r="AU737">
            <v>0</v>
          </cell>
        </row>
        <row r="738">
          <cell r="A738" t="str">
            <v>000F0066</v>
          </cell>
          <cell r="B738" t="str">
            <v>PLOUHINEC</v>
          </cell>
          <cell r="C738" t="str">
            <v>LAURENT</v>
          </cell>
          <cell r="D738" t="str">
            <v>NANTES</v>
          </cell>
          <cell r="E738">
            <v>21</v>
          </cell>
          <cell r="F738" t="str">
            <v>NC NUMERICABLE OUEST</v>
          </cell>
          <cell r="G738" t="str">
            <v>VAD CONSEILLERS</v>
          </cell>
          <cell r="I738" t="str">
            <v>GENE905001</v>
          </cell>
          <cell r="J738">
            <v>100</v>
          </cell>
          <cell r="K738">
            <v>33786</v>
          </cell>
          <cell r="L738" t="str">
            <v>CONSEILLER(E) COM.</v>
          </cell>
          <cell r="M738" t="str">
            <v>TSM</v>
          </cell>
          <cell r="N738" t="str">
            <v>D</v>
          </cell>
          <cell r="O738" t="str">
            <v>CDI</v>
          </cell>
          <cell r="P738">
            <v>151.57</v>
          </cell>
          <cell r="Q738">
            <v>1412.04</v>
          </cell>
          <cell r="R738">
            <v>-1244.74</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2871.84</v>
          </cell>
          <cell r="AN738">
            <v>152.07</v>
          </cell>
          <cell r="AO738">
            <v>2871.84</v>
          </cell>
          <cell r="AP738">
            <v>0</v>
          </cell>
          <cell r="AQ738">
            <v>1412.04</v>
          </cell>
          <cell r="AR738">
            <v>0</v>
          </cell>
          <cell r="AS738">
            <v>0</v>
          </cell>
          <cell r="AT738">
            <v>0</v>
          </cell>
          <cell r="AU738">
            <v>0</v>
          </cell>
        </row>
        <row r="739">
          <cell r="A739" t="str">
            <v>000A1553</v>
          </cell>
          <cell r="B739" t="str">
            <v>LE DAIN</v>
          </cell>
          <cell r="C739" t="str">
            <v>PHILIPPE</v>
          </cell>
          <cell r="D739" t="str">
            <v>NANTES</v>
          </cell>
          <cell r="E739">
            <v>21</v>
          </cell>
          <cell r="F739" t="str">
            <v>NC NUMERICABLE OUEST</v>
          </cell>
          <cell r="G739" t="str">
            <v>TRAVAUX</v>
          </cell>
          <cell r="H739" t="str">
            <v>DURAND JP</v>
          </cell>
          <cell r="I739" t="str">
            <v>OUES300001</v>
          </cell>
          <cell r="J739">
            <v>100</v>
          </cell>
          <cell r="K739">
            <v>38718</v>
          </cell>
          <cell r="L739" t="str">
            <v>SUPERVISEUR TRAVAUX</v>
          </cell>
          <cell r="M739" t="str">
            <v>TSM</v>
          </cell>
          <cell r="N739" t="str">
            <v>D</v>
          </cell>
          <cell r="O739" t="str">
            <v>CDI</v>
          </cell>
          <cell r="P739">
            <v>151.57</v>
          </cell>
          <cell r="Q739">
            <v>1920</v>
          </cell>
          <cell r="R739">
            <v>1043.52</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206.77</v>
          </cell>
          <cell r="AO739">
            <v>0</v>
          </cell>
          <cell r="AP739">
            <v>0</v>
          </cell>
          <cell r="AQ739">
            <v>1920</v>
          </cell>
          <cell r="AR739">
            <v>0</v>
          </cell>
          <cell r="AS739">
            <v>0</v>
          </cell>
          <cell r="AT739">
            <v>0</v>
          </cell>
          <cell r="AU739">
            <v>0</v>
          </cell>
        </row>
        <row r="740">
          <cell r="A740" t="str">
            <v>000F0310</v>
          </cell>
          <cell r="B740" t="str">
            <v>PIRON</v>
          </cell>
          <cell r="C740" t="str">
            <v>CLAUDE</v>
          </cell>
          <cell r="D740" t="str">
            <v>NANTES</v>
          </cell>
          <cell r="E740">
            <v>21</v>
          </cell>
          <cell r="F740" t="str">
            <v>NC NUMERICABLE OUEST</v>
          </cell>
          <cell r="G740" t="str">
            <v>DISTRIBUTEUR</v>
          </cell>
          <cell r="H740" t="str">
            <v>TUTTOLOMONDO</v>
          </cell>
          <cell r="I740" t="str">
            <v>OUES506001</v>
          </cell>
          <cell r="J740">
            <v>100</v>
          </cell>
          <cell r="K740">
            <v>35100</v>
          </cell>
          <cell r="L740" t="str">
            <v>ATTACHE COMMERCIAL</v>
          </cell>
          <cell r="M740" t="str">
            <v>CADRE</v>
          </cell>
          <cell r="N740" t="str">
            <v>DB</v>
          </cell>
          <cell r="O740" t="str">
            <v>CDI</v>
          </cell>
          <cell r="P740">
            <v>151.57</v>
          </cell>
          <cell r="Q740">
            <v>1850</v>
          </cell>
          <cell r="R740">
            <v>1544.9</v>
          </cell>
          <cell r="S740">
            <v>0</v>
          </cell>
          <cell r="T740">
            <v>2109.9</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426.46</v>
          </cell>
          <cell r="AO740">
            <v>0</v>
          </cell>
          <cell r="AP740">
            <v>0</v>
          </cell>
          <cell r="AQ740">
            <v>1850</v>
          </cell>
          <cell r="AR740">
            <v>0</v>
          </cell>
          <cell r="AS740">
            <v>222.53</v>
          </cell>
          <cell r="AT740">
            <v>0</v>
          </cell>
          <cell r="AU740">
            <v>0</v>
          </cell>
        </row>
        <row r="741">
          <cell r="A741" t="str">
            <v>000F0329</v>
          </cell>
          <cell r="B741" t="str">
            <v>RISPOLI</v>
          </cell>
          <cell r="C741" t="str">
            <v>THIERRY</v>
          </cell>
          <cell r="D741" t="str">
            <v>NANTES</v>
          </cell>
          <cell r="E741">
            <v>21</v>
          </cell>
          <cell r="F741" t="str">
            <v>NC NUMERICABLE OUEST</v>
          </cell>
          <cell r="G741" t="str">
            <v>VAD CONSEILLERS</v>
          </cell>
          <cell r="I741" t="str">
            <v>GENE905001</v>
          </cell>
          <cell r="J741">
            <v>100</v>
          </cell>
          <cell r="K741">
            <v>35296</v>
          </cell>
          <cell r="L741" t="str">
            <v>CONSEILLER(E) COM.</v>
          </cell>
          <cell r="M741" t="str">
            <v>TSM</v>
          </cell>
          <cell r="N741" t="str">
            <v>D</v>
          </cell>
          <cell r="O741" t="str">
            <v>CDI</v>
          </cell>
          <cell r="P741">
            <v>151.57</v>
          </cell>
          <cell r="Q741">
            <v>1259.5899999999999</v>
          </cell>
          <cell r="R741">
            <v>283.51</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1285.01</v>
          </cell>
          <cell r="AN741">
            <v>135.65</v>
          </cell>
          <cell r="AO741">
            <v>1285.01</v>
          </cell>
          <cell r="AP741">
            <v>0</v>
          </cell>
          <cell r="AQ741">
            <v>1259.5899999999999</v>
          </cell>
          <cell r="AR741">
            <v>0</v>
          </cell>
          <cell r="AS741">
            <v>0</v>
          </cell>
          <cell r="AT741">
            <v>0</v>
          </cell>
          <cell r="AU741">
            <v>0</v>
          </cell>
        </row>
        <row r="742">
          <cell r="A742" t="str">
            <v>000BT088</v>
          </cell>
          <cell r="B742" t="str">
            <v>TRIBONDEAU</v>
          </cell>
          <cell r="C742" t="str">
            <v>CHRISTOPHE</v>
          </cell>
          <cell r="D742" t="str">
            <v>NANTES</v>
          </cell>
          <cell r="E742">
            <v>21</v>
          </cell>
          <cell r="F742" t="str">
            <v>NC NUMERICABLE OUEST</v>
          </cell>
          <cell r="G742" t="str">
            <v>VAD CONSEILLERS</v>
          </cell>
          <cell r="I742" t="str">
            <v>GENE905001</v>
          </cell>
          <cell r="J742">
            <v>100</v>
          </cell>
          <cell r="K742">
            <v>37316</v>
          </cell>
          <cell r="L742" t="str">
            <v>CONSEILLER(E) COM.</v>
          </cell>
          <cell r="M742" t="str">
            <v>TSM</v>
          </cell>
          <cell r="N742" t="str">
            <v>D</v>
          </cell>
          <cell r="O742" t="str">
            <v>CDI</v>
          </cell>
          <cell r="P742">
            <v>151.57</v>
          </cell>
          <cell r="Q742">
            <v>1142.1400000000001</v>
          </cell>
          <cell r="R742">
            <v>422.57</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2824.67</v>
          </cell>
          <cell r="AN742">
            <v>123</v>
          </cell>
          <cell r="AO742">
            <v>2824.67</v>
          </cell>
          <cell r="AP742">
            <v>0</v>
          </cell>
          <cell r="AQ742">
            <v>1142.1400000000001</v>
          </cell>
          <cell r="AR742">
            <v>0</v>
          </cell>
          <cell r="AS742">
            <v>0</v>
          </cell>
          <cell r="AT742">
            <v>0</v>
          </cell>
          <cell r="AU742">
            <v>0</v>
          </cell>
        </row>
        <row r="743">
          <cell r="A743" t="str">
            <v>000A1465</v>
          </cell>
          <cell r="B743" t="str">
            <v>DUPONT</v>
          </cell>
          <cell r="C743" t="str">
            <v>DAVID MICKAEL</v>
          </cell>
          <cell r="D743" t="str">
            <v>BORDEAUX</v>
          </cell>
          <cell r="E743">
            <v>91</v>
          </cell>
          <cell r="F743" t="str">
            <v>NC NUMERICABLE ILE-DE-FRANCE</v>
          </cell>
          <cell r="G743" t="str">
            <v>RACCORDEMENT IMMOB.</v>
          </cell>
          <cell r="H743" t="str">
            <v>RICHARD C</v>
          </cell>
          <cell r="I743" t="str">
            <v>SUOU302001</v>
          </cell>
          <cell r="J743">
            <v>100</v>
          </cell>
          <cell r="K743">
            <v>38740</v>
          </cell>
          <cell r="L743" t="str">
            <v>SUPERV RACC-SAV</v>
          </cell>
          <cell r="M743" t="str">
            <v>EMPLOYE</v>
          </cell>
          <cell r="N743" t="str">
            <v>C</v>
          </cell>
          <cell r="O743" t="str">
            <v>CDI</v>
          </cell>
          <cell r="P743">
            <v>151.57</v>
          </cell>
          <cell r="Q743">
            <v>2600</v>
          </cell>
          <cell r="R743">
            <v>1207.1600000000001</v>
          </cell>
          <cell r="S743">
            <v>0</v>
          </cell>
          <cell r="T743">
            <v>0</v>
          </cell>
          <cell r="U743">
            <v>0</v>
          </cell>
          <cell r="V743">
            <v>0</v>
          </cell>
          <cell r="W743">
            <v>240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241.23</v>
          </cell>
          <cell r="AO743">
            <v>0</v>
          </cell>
          <cell r="AP743">
            <v>0</v>
          </cell>
          <cell r="AQ743">
            <v>2000</v>
          </cell>
          <cell r="AR743">
            <v>0</v>
          </cell>
          <cell r="AS743">
            <v>0</v>
          </cell>
          <cell r="AT743">
            <v>0</v>
          </cell>
          <cell r="AU743">
            <v>0</v>
          </cell>
        </row>
        <row r="744">
          <cell r="A744" t="str">
            <v>000A1661</v>
          </cell>
          <cell r="B744" t="str">
            <v>ANNE</v>
          </cell>
          <cell r="C744" t="str">
            <v>JEAN-CHRISTOPHE</v>
          </cell>
          <cell r="D744" t="str">
            <v>RENNES</v>
          </cell>
          <cell r="E744">
            <v>21</v>
          </cell>
          <cell r="F744" t="str">
            <v>NC NUMERICABLE OUEST</v>
          </cell>
          <cell r="G744" t="str">
            <v>TECHNIQUE</v>
          </cell>
          <cell r="H744" t="str">
            <v>DURAND JP</v>
          </cell>
          <cell r="I744" t="str">
            <v>OUES302001</v>
          </cell>
          <cell r="J744">
            <v>100</v>
          </cell>
          <cell r="K744">
            <v>38777</v>
          </cell>
          <cell r="L744" t="str">
            <v>SUPERVISEUR TRAVAUX</v>
          </cell>
          <cell r="M744" t="str">
            <v>478D</v>
          </cell>
          <cell r="N744" t="str">
            <v>D</v>
          </cell>
          <cell r="O744" t="str">
            <v>CDI</v>
          </cell>
          <cell r="P744">
            <v>151.57</v>
          </cell>
          <cell r="Q744">
            <v>0</v>
          </cell>
          <cell r="R744">
            <v>2508.75</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502.56</v>
          </cell>
          <cell r="AO744">
            <v>0</v>
          </cell>
          <cell r="AP744">
            <v>0</v>
          </cell>
          <cell r="AQ744">
            <v>4666.67</v>
          </cell>
          <cell r="AR744">
            <v>0</v>
          </cell>
          <cell r="AS744">
            <v>0</v>
          </cell>
          <cell r="AT744">
            <v>0</v>
          </cell>
          <cell r="AU744">
            <v>0</v>
          </cell>
        </row>
        <row r="745">
          <cell r="A745" t="str">
            <v>000A1718</v>
          </cell>
          <cell r="B745" t="str">
            <v>CIPIERE</v>
          </cell>
          <cell r="C745" t="str">
            <v>GWENAELLE</v>
          </cell>
          <cell r="D745" t="str">
            <v>NANTES</v>
          </cell>
          <cell r="E745">
            <v>21</v>
          </cell>
          <cell r="F745" t="str">
            <v>NC NUMERICABLE OUEST</v>
          </cell>
          <cell r="G745" t="str">
            <v>DIRECTION REGIONALE</v>
          </cell>
          <cell r="H745" t="str">
            <v>DURAND JP</v>
          </cell>
          <cell r="I745" t="str">
            <v>OUES520001</v>
          </cell>
          <cell r="J745">
            <v>100</v>
          </cell>
          <cell r="K745">
            <v>38826</v>
          </cell>
          <cell r="L745" t="str">
            <v>ASSISTANTE ADMINIST.</v>
          </cell>
          <cell r="M745" t="str">
            <v>TSM</v>
          </cell>
          <cell r="N745" t="str">
            <v>D</v>
          </cell>
          <cell r="O745" t="str">
            <v>CDI</v>
          </cell>
          <cell r="P745">
            <v>151.57</v>
          </cell>
          <cell r="Q745">
            <v>0</v>
          </cell>
          <cell r="R745">
            <v>293.36</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640.01</v>
          </cell>
          <cell r="AR745">
            <v>0</v>
          </cell>
          <cell r="AS745">
            <v>0</v>
          </cell>
          <cell r="AT745">
            <v>0</v>
          </cell>
          <cell r="AU745">
            <v>0</v>
          </cell>
        </row>
        <row r="746">
          <cell r="A746">
            <v>8088</v>
          </cell>
          <cell r="B746" t="str">
            <v>THOMAS</v>
          </cell>
          <cell r="C746" t="str">
            <v>ISABELLE</v>
          </cell>
          <cell r="D746" t="str">
            <v>LA MADELEINE</v>
          </cell>
          <cell r="E746">
            <v>16</v>
          </cell>
          <cell r="F746" t="str">
            <v>NC NUMERICABLE REGION NORD</v>
          </cell>
          <cell r="G746" t="str">
            <v>RACCORDEMENT IMMOB STC.</v>
          </cell>
          <cell r="H746" t="str">
            <v>HAMMOUDI</v>
          </cell>
          <cell r="I746" t="str">
            <v>NPCA302001</v>
          </cell>
          <cell r="J746">
            <v>100</v>
          </cell>
          <cell r="K746">
            <v>33451</v>
          </cell>
          <cell r="L746" t="str">
            <v>LOGISTICIEN REGIONAL</v>
          </cell>
          <cell r="M746" t="str">
            <v>478D</v>
          </cell>
          <cell r="N746" t="str">
            <v>D</v>
          </cell>
          <cell r="O746" t="str">
            <v>CDI</v>
          </cell>
          <cell r="P746">
            <v>151.57</v>
          </cell>
          <cell r="Q746">
            <v>2126.98</v>
          </cell>
          <cell r="R746">
            <v>755.48</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20.34</v>
          </cell>
          <cell r="AN746">
            <v>130.44</v>
          </cell>
          <cell r="AO746">
            <v>0</v>
          </cell>
          <cell r="AP746">
            <v>0</v>
          </cell>
          <cell r="AQ746">
            <v>1840.1</v>
          </cell>
          <cell r="AR746">
            <v>0</v>
          </cell>
          <cell r="AS746">
            <v>0</v>
          </cell>
          <cell r="AT746">
            <v>0</v>
          </cell>
          <cell r="AU746">
            <v>0</v>
          </cell>
        </row>
        <row r="747">
          <cell r="A747">
            <v>7042</v>
          </cell>
          <cell r="B747" t="str">
            <v>BILLAUT</v>
          </cell>
          <cell r="C747" t="str">
            <v>JACQUES</v>
          </cell>
          <cell r="D747" t="str">
            <v>LA MADELEINE</v>
          </cell>
          <cell r="E747">
            <v>16</v>
          </cell>
          <cell r="F747" t="str">
            <v>NC NUMERICABLE REGION NORD</v>
          </cell>
          <cell r="G747" t="str">
            <v>RACCORDEMENT IMMOB STC.</v>
          </cell>
          <cell r="H747" t="str">
            <v>HAMMOUDI</v>
          </cell>
          <cell r="I747" t="str">
            <v>NPCA302001</v>
          </cell>
          <cell r="J747">
            <v>100</v>
          </cell>
          <cell r="K747">
            <v>33451</v>
          </cell>
          <cell r="L747" t="str">
            <v>SUP. TECH. CLIENT</v>
          </cell>
          <cell r="M747" t="str">
            <v>TSM</v>
          </cell>
          <cell r="N747" t="str">
            <v>D</v>
          </cell>
          <cell r="O747" t="str">
            <v>CDI</v>
          </cell>
          <cell r="P747">
            <v>151.57</v>
          </cell>
          <cell r="Q747">
            <v>1982.14</v>
          </cell>
          <cell r="R747">
            <v>535.15</v>
          </cell>
          <cell r="S747">
            <v>0</v>
          </cell>
          <cell r="T747">
            <v>0</v>
          </cell>
          <cell r="U747">
            <v>0</v>
          </cell>
          <cell r="V747">
            <v>0</v>
          </cell>
          <cell r="W747">
            <v>120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231.26</v>
          </cell>
          <cell r="AO747">
            <v>0</v>
          </cell>
          <cell r="AP747">
            <v>-861.86</v>
          </cell>
          <cell r="AQ747">
            <v>1358.68</v>
          </cell>
          <cell r="AR747">
            <v>0</v>
          </cell>
          <cell r="AS747">
            <v>0</v>
          </cell>
          <cell r="AT747">
            <v>0</v>
          </cell>
          <cell r="AU747">
            <v>0</v>
          </cell>
        </row>
        <row r="748">
          <cell r="A748">
            <v>9037</v>
          </cell>
          <cell r="B748" t="str">
            <v>BENAHMED</v>
          </cell>
          <cell r="C748" t="str">
            <v>MOHAMMED</v>
          </cell>
          <cell r="D748" t="str">
            <v>LA MADELEINE</v>
          </cell>
          <cell r="E748">
            <v>16</v>
          </cell>
          <cell r="F748" t="str">
            <v>NC NUMERICABLE REGION NORD</v>
          </cell>
          <cell r="G748" t="str">
            <v>VAD CONSEILLERS</v>
          </cell>
          <cell r="I748" t="str">
            <v>GENE905001</v>
          </cell>
          <cell r="J748">
            <v>100</v>
          </cell>
          <cell r="K748">
            <v>33451</v>
          </cell>
          <cell r="L748" t="str">
            <v>CONSEILLER(E) COM.</v>
          </cell>
          <cell r="M748" t="str">
            <v>TSM</v>
          </cell>
          <cell r="N748" t="str">
            <v>D</v>
          </cell>
          <cell r="O748" t="str">
            <v>CDI</v>
          </cell>
          <cell r="P748">
            <v>151.57</v>
          </cell>
          <cell r="Q748">
            <v>1320.82</v>
          </cell>
          <cell r="R748">
            <v>1111.5899999999999</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5140.13</v>
          </cell>
          <cell r="AN748">
            <v>142.22999999999999</v>
          </cell>
          <cell r="AO748">
            <v>5140.13</v>
          </cell>
          <cell r="AP748">
            <v>0</v>
          </cell>
          <cell r="AQ748">
            <v>1320.82</v>
          </cell>
          <cell r="AR748">
            <v>0</v>
          </cell>
          <cell r="AS748">
            <v>0</v>
          </cell>
          <cell r="AT748">
            <v>0</v>
          </cell>
          <cell r="AU748">
            <v>0</v>
          </cell>
        </row>
        <row r="749">
          <cell r="A749">
            <v>9819</v>
          </cell>
          <cell r="B749" t="str">
            <v>PERALTA</v>
          </cell>
          <cell r="C749" t="str">
            <v>CHANTAL</v>
          </cell>
          <cell r="D749" t="str">
            <v>LA MADELEINE</v>
          </cell>
          <cell r="E749">
            <v>16</v>
          </cell>
          <cell r="F749" t="str">
            <v>NC NUMERICABLE REGION NORD</v>
          </cell>
          <cell r="G749" t="str">
            <v>CARTOGRAPHIE-DICT</v>
          </cell>
          <cell r="H749" t="str">
            <v>MARQUANT</v>
          </cell>
          <cell r="I749" t="str">
            <v>GENE320001</v>
          </cell>
          <cell r="J749">
            <v>100</v>
          </cell>
          <cell r="K749">
            <v>33451</v>
          </cell>
          <cell r="L749" t="str">
            <v>TECH.SUPP.NIV.2</v>
          </cell>
          <cell r="M749" t="str">
            <v>TSM</v>
          </cell>
          <cell r="N749" t="str">
            <v>D</v>
          </cell>
          <cell r="O749" t="str">
            <v>CDI</v>
          </cell>
          <cell r="P749">
            <v>151.57</v>
          </cell>
          <cell r="Q749">
            <v>1755.59</v>
          </cell>
          <cell r="R749">
            <v>543.04</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190.68</v>
          </cell>
          <cell r="AO749">
            <v>0</v>
          </cell>
          <cell r="AP749">
            <v>0</v>
          </cell>
          <cell r="AQ749">
            <v>1350.94</v>
          </cell>
          <cell r="AR749">
            <v>0</v>
          </cell>
          <cell r="AS749">
            <v>0</v>
          </cell>
          <cell r="AT749">
            <v>0</v>
          </cell>
          <cell r="AU749">
            <v>0</v>
          </cell>
        </row>
        <row r="750">
          <cell r="A750">
            <v>5420</v>
          </cell>
          <cell r="B750" t="str">
            <v>CAPPOEN</v>
          </cell>
          <cell r="C750" t="str">
            <v>JEAN-PIERRE</v>
          </cell>
          <cell r="D750" t="str">
            <v>LA MADELEINE</v>
          </cell>
          <cell r="E750">
            <v>16</v>
          </cell>
          <cell r="F750" t="str">
            <v>NC NUMERICABLE REGION NORD</v>
          </cell>
          <cell r="G750" t="str">
            <v>RACCORDEMENT IMMOB STC.</v>
          </cell>
          <cell r="H750" t="str">
            <v>HAMMOUDI</v>
          </cell>
          <cell r="I750" t="str">
            <v>NPCA302001</v>
          </cell>
          <cell r="J750">
            <v>100</v>
          </cell>
          <cell r="K750">
            <v>33451</v>
          </cell>
          <cell r="L750" t="str">
            <v>SUP. TECH. CLIENT</v>
          </cell>
          <cell r="M750" t="str">
            <v>TSM</v>
          </cell>
          <cell r="N750" t="str">
            <v>D</v>
          </cell>
          <cell r="O750" t="str">
            <v>CDI</v>
          </cell>
          <cell r="P750">
            <v>151.57</v>
          </cell>
          <cell r="Q750">
            <v>2078.9899999999998</v>
          </cell>
          <cell r="R750">
            <v>1188.25</v>
          </cell>
          <cell r="S750">
            <v>0</v>
          </cell>
          <cell r="T750">
            <v>0</v>
          </cell>
          <cell r="U750">
            <v>0</v>
          </cell>
          <cell r="V750">
            <v>0</v>
          </cell>
          <cell r="W750">
            <v>127.5</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237.6</v>
          </cell>
          <cell r="AO750">
            <v>0</v>
          </cell>
          <cell r="AP750">
            <v>0</v>
          </cell>
          <cell r="AQ750">
            <v>2078.9899999999998</v>
          </cell>
          <cell r="AR750">
            <v>0</v>
          </cell>
          <cell r="AS750">
            <v>0</v>
          </cell>
          <cell r="AT750">
            <v>0</v>
          </cell>
          <cell r="AU750">
            <v>0</v>
          </cell>
        </row>
        <row r="751">
          <cell r="A751">
            <v>10</v>
          </cell>
          <cell r="B751" t="str">
            <v>VANDENBERGHE</v>
          </cell>
          <cell r="C751" t="str">
            <v>BRIGITTE</v>
          </cell>
          <cell r="D751" t="str">
            <v>LA MADELEINE</v>
          </cell>
          <cell r="E751">
            <v>16</v>
          </cell>
          <cell r="F751" t="str">
            <v>NC NUMERICABLE REGION NORD</v>
          </cell>
          <cell r="G751" t="str">
            <v>CONSTRUCTION</v>
          </cell>
          <cell r="H751" t="str">
            <v>LOTT</v>
          </cell>
          <cell r="I751" t="str">
            <v>NPCA300001</v>
          </cell>
          <cell r="J751">
            <v>100</v>
          </cell>
          <cell r="K751">
            <v>33451</v>
          </cell>
          <cell r="L751" t="str">
            <v>ASS. DIRECT.</v>
          </cell>
          <cell r="M751" t="str">
            <v>TSM</v>
          </cell>
          <cell r="N751" t="str">
            <v>D</v>
          </cell>
          <cell r="O751" t="str">
            <v>CDI</v>
          </cell>
          <cell r="P751">
            <v>151.57</v>
          </cell>
          <cell r="Q751">
            <v>2425</v>
          </cell>
          <cell r="R751">
            <v>1322.38</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250.67</v>
          </cell>
          <cell r="AO751">
            <v>0</v>
          </cell>
          <cell r="AP751">
            <v>0</v>
          </cell>
          <cell r="AQ751">
            <v>2425</v>
          </cell>
          <cell r="AR751">
            <v>0</v>
          </cell>
          <cell r="AS751">
            <v>0</v>
          </cell>
          <cell r="AT751">
            <v>0</v>
          </cell>
          <cell r="AU751">
            <v>0</v>
          </cell>
        </row>
        <row r="752">
          <cell r="A752">
            <v>7512</v>
          </cell>
          <cell r="B752" t="str">
            <v>LORIDANT</v>
          </cell>
          <cell r="C752" t="str">
            <v>PATRICK</v>
          </cell>
          <cell r="D752" t="str">
            <v>LA MADELEINE</v>
          </cell>
          <cell r="E752">
            <v>16</v>
          </cell>
          <cell r="F752" t="str">
            <v>NC NUMERICABLE REGION NORD</v>
          </cell>
          <cell r="G752" t="str">
            <v>MAINTENANCE RESEAU</v>
          </cell>
          <cell r="I752" t="str">
            <v>GENE905001</v>
          </cell>
          <cell r="J752">
            <v>100</v>
          </cell>
          <cell r="K752">
            <v>33451</v>
          </cell>
          <cell r="L752" t="str">
            <v>TECH. EXP. NIV. 2</v>
          </cell>
          <cell r="M752" t="str">
            <v>TSM</v>
          </cell>
          <cell r="N752" t="str">
            <v>D</v>
          </cell>
          <cell r="O752" t="str">
            <v>CDI</v>
          </cell>
          <cell r="P752">
            <v>151.57</v>
          </cell>
          <cell r="Q752">
            <v>2220.6999999999998</v>
          </cell>
          <cell r="R752">
            <v>-424.62</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133.58000000000001</v>
          </cell>
          <cell r="AN752">
            <v>239.15</v>
          </cell>
          <cell r="AO752">
            <v>133.58000000000001</v>
          </cell>
          <cell r="AP752">
            <v>0</v>
          </cell>
          <cell r="AQ752">
            <v>2220.6999999999998</v>
          </cell>
          <cell r="AR752">
            <v>0</v>
          </cell>
          <cell r="AS752">
            <v>0</v>
          </cell>
          <cell r="AT752">
            <v>0</v>
          </cell>
          <cell r="AU752">
            <v>0</v>
          </cell>
        </row>
        <row r="753">
          <cell r="A753" t="str">
            <v>000A1461</v>
          </cell>
          <cell r="B753" t="str">
            <v>COUROUBLE</v>
          </cell>
          <cell r="C753" t="str">
            <v>ANNE</v>
          </cell>
          <cell r="D753" t="str">
            <v>LA MADELEINE</v>
          </cell>
          <cell r="E753">
            <v>16</v>
          </cell>
          <cell r="F753" t="str">
            <v>NC NUMERICABLE REGION NORD</v>
          </cell>
          <cell r="G753" t="str">
            <v>DISTRIBUTEUR</v>
          </cell>
          <cell r="H753" t="str">
            <v>TUTTOLOMONDO</v>
          </cell>
          <cell r="I753" t="str">
            <v>NPCA506001</v>
          </cell>
          <cell r="J753">
            <v>100</v>
          </cell>
          <cell r="K753">
            <v>38740</v>
          </cell>
          <cell r="L753" t="str">
            <v>ATTACHE COMMERCIAL</v>
          </cell>
          <cell r="M753" t="str">
            <v>CADRE</v>
          </cell>
          <cell r="N753" t="str">
            <v>DB</v>
          </cell>
          <cell r="O753" t="str">
            <v>CDI</v>
          </cell>
          <cell r="P753">
            <v>151.57</v>
          </cell>
          <cell r="Q753">
            <v>2340</v>
          </cell>
          <cell r="R753">
            <v>3761.44</v>
          </cell>
          <cell r="S753">
            <v>0</v>
          </cell>
          <cell r="T753">
            <v>6000.4</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780.04</v>
          </cell>
          <cell r="AO753">
            <v>0</v>
          </cell>
          <cell r="AP753">
            <v>0</v>
          </cell>
          <cell r="AQ753">
            <v>1800</v>
          </cell>
          <cell r="AR753">
            <v>0</v>
          </cell>
          <cell r="AS753">
            <v>0</v>
          </cell>
          <cell r="AT753">
            <v>0</v>
          </cell>
          <cell r="AU753">
            <v>0</v>
          </cell>
        </row>
        <row r="754">
          <cell r="A754">
            <v>1761</v>
          </cell>
          <cell r="B754" t="str">
            <v>PERALTA</v>
          </cell>
          <cell r="C754" t="str">
            <v>RAOUL</v>
          </cell>
          <cell r="D754" t="str">
            <v>LA MADELEINE</v>
          </cell>
          <cell r="E754">
            <v>16</v>
          </cell>
          <cell r="F754" t="str">
            <v>NC NUMERICABLE REGION NORD</v>
          </cell>
          <cell r="G754" t="str">
            <v>CONSTRUCTION</v>
          </cell>
          <cell r="I754" t="str">
            <v>GENE905001</v>
          </cell>
          <cell r="J754">
            <v>100</v>
          </cell>
          <cell r="K754">
            <v>33451</v>
          </cell>
          <cell r="L754" t="str">
            <v>TECH. EXP. NIV. 2</v>
          </cell>
          <cell r="M754" t="str">
            <v>TSM</v>
          </cell>
          <cell r="N754" t="str">
            <v>D</v>
          </cell>
          <cell r="O754" t="str">
            <v>CDI</v>
          </cell>
          <cell r="P754">
            <v>151.57</v>
          </cell>
          <cell r="Q754">
            <v>2246.4499999999998</v>
          </cell>
          <cell r="R754">
            <v>306.23</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-221.63</v>
          </cell>
          <cell r="AN754">
            <v>241.94</v>
          </cell>
          <cell r="AO754">
            <v>-221.63</v>
          </cell>
          <cell r="AP754">
            <v>0</v>
          </cell>
          <cell r="AQ754">
            <v>2246.4499999999998</v>
          </cell>
          <cell r="AR754">
            <v>0</v>
          </cell>
          <cell r="AS754">
            <v>0</v>
          </cell>
          <cell r="AT754">
            <v>0</v>
          </cell>
          <cell r="AU754">
            <v>0</v>
          </cell>
        </row>
        <row r="755">
          <cell r="A755">
            <v>9825</v>
          </cell>
          <cell r="B755" t="str">
            <v>BOGAERT</v>
          </cell>
          <cell r="C755" t="str">
            <v>VINCENT</v>
          </cell>
          <cell r="D755" t="str">
            <v>LA MADELEINE</v>
          </cell>
          <cell r="E755">
            <v>16</v>
          </cell>
          <cell r="F755" t="str">
            <v>NC NUMERICABLE REGION NORD</v>
          </cell>
          <cell r="G755" t="str">
            <v>MAINTENANCE RESEAU</v>
          </cell>
          <cell r="H755" t="str">
            <v>STIEVENART</v>
          </cell>
          <cell r="I755" t="str">
            <v>NPCA300001</v>
          </cell>
          <cell r="J755">
            <v>100</v>
          </cell>
          <cell r="K755">
            <v>33451</v>
          </cell>
          <cell r="L755" t="str">
            <v>EXPERT TECHNIQUE TDR ET RESEAUX</v>
          </cell>
          <cell r="M755" t="str">
            <v>478D</v>
          </cell>
          <cell r="N755" t="str">
            <v>D</v>
          </cell>
          <cell r="O755" t="str">
            <v>CDI</v>
          </cell>
          <cell r="P755">
            <v>151.57</v>
          </cell>
          <cell r="Q755">
            <v>2162.98</v>
          </cell>
          <cell r="R755">
            <v>1130.6199999999999</v>
          </cell>
          <cell r="S755">
            <v>0</v>
          </cell>
          <cell r="T755">
            <v>0</v>
          </cell>
          <cell r="U755">
            <v>0</v>
          </cell>
          <cell r="V755">
            <v>48.78</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269</v>
          </cell>
          <cell r="AL755">
            <v>0</v>
          </cell>
          <cell r="AM755">
            <v>0</v>
          </cell>
          <cell r="AN755">
            <v>275.64</v>
          </cell>
          <cell r="AO755">
            <v>0</v>
          </cell>
          <cell r="AP755">
            <v>0</v>
          </cell>
          <cell r="AQ755">
            <v>1863.54</v>
          </cell>
          <cell r="AR755">
            <v>48.78</v>
          </cell>
          <cell r="AS755">
            <v>269</v>
          </cell>
          <cell r="AT755">
            <v>0</v>
          </cell>
          <cell r="AU755">
            <v>0</v>
          </cell>
        </row>
        <row r="756">
          <cell r="A756">
            <v>20188</v>
          </cell>
          <cell r="B756" t="str">
            <v>DOUCHEZ</v>
          </cell>
          <cell r="C756" t="str">
            <v>PHILIPPE</v>
          </cell>
          <cell r="D756" t="str">
            <v>LA MADELEINE</v>
          </cell>
          <cell r="E756">
            <v>16</v>
          </cell>
          <cell r="F756" t="str">
            <v>NC NUMERICABLE REGION NORD</v>
          </cell>
          <cell r="G756" t="str">
            <v>VAD CONSEILLERS</v>
          </cell>
          <cell r="I756" t="str">
            <v>GENE905001</v>
          </cell>
          <cell r="J756">
            <v>100</v>
          </cell>
          <cell r="K756">
            <v>35830</v>
          </cell>
          <cell r="L756" t="str">
            <v>CONSEILLER(E) COM.</v>
          </cell>
          <cell r="M756" t="str">
            <v>TSM</v>
          </cell>
          <cell r="N756" t="str">
            <v>D</v>
          </cell>
          <cell r="O756" t="str">
            <v>CDI</v>
          </cell>
          <cell r="P756">
            <v>151.57</v>
          </cell>
          <cell r="Q756">
            <v>1192</v>
          </cell>
          <cell r="R756">
            <v>338.07</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2172.4699999999998</v>
          </cell>
          <cell r="AN756">
            <v>128.37</v>
          </cell>
          <cell r="AO756">
            <v>2172.4699999999998</v>
          </cell>
          <cell r="AP756">
            <v>0</v>
          </cell>
          <cell r="AQ756">
            <v>1192</v>
          </cell>
          <cell r="AR756">
            <v>0</v>
          </cell>
          <cell r="AS756">
            <v>0</v>
          </cell>
          <cell r="AT756">
            <v>0</v>
          </cell>
          <cell r="AU756">
            <v>0</v>
          </cell>
        </row>
        <row r="757">
          <cell r="A757">
            <v>5592</v>
          </cell>
          <cell r="B757" t="str">
            <v>VISEUX</v>
          </cell>
          <cell r="C757" t="str">
            <v>ERIC</v>
          </cell>
          <cell r="D757" t="str">
            <v>LA MADELEINE</v>
          </cell>
          <cell r="E757">
            <v>16</v>
          </cell>
          <cell r="F757" t="str">
            <v>NC NUMERICABLE REGION NORD</v>
          </cell>
          <cell r="G757" t="str">
            <v>MAINTENANCE RESEAU</v>
          </cell>
          <cell r="H757" t="str">
            <v>STIEVENART</v>
          </cell>
          <cell r="I757" t="str">
            <v>NPCA300001</v>
          </cell>
          <cell r="J757">
            <v>100</v>
          </cell>
          <cell r="K757">
            <v>33451</v>
          </cell>
          <cell r="L757" t="str">
            <v>EXPERT TECHNIQUE TDR ET RESEAUX</v>
          </cell>
          <cell r="M757" t="str">
            <v>478D</v>
          </cell>
          <cell r="N757" t="str">
            <v>DB</v>
          </cell>
          <cell r="O757" t="str">
            <v>CDI</v>
          </cell>
          <cell r="P757">
            <v>151.57</v>
          </cell>
          <cell r="Q757">
            <v>2675</v>
          </cell>
          <cell r="R757">
            <v>1616.07</v>
          </cell>
          <cell r="S757">
            <v>0</v>
          </cell>
          <cell r="T757">
            <v>0</v>
          </cell>
          <cell r="U757">
            <v>0</v>
          </cell>
          <cell r="V757">
            <v>121.93</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388</v>
          </cell>
          <cell r="AL757">
            <v>0</v>
          </cell>
          <cell r="AM757">
            <v>0</v>
          </cell>
          <cell r="AN757">
            <v>318.75</v>
          </cell>
          <cell r="AO757">
            <v>0</v>
          </cell>
          <cell r="AP757">
            <v>0</v>
          </cell>
          <cell r="AQ757">
            <v>2428.11</v>
          </cell>
          <cell r="AR757">
            <v>121.93</v>
          </cell>
          <cell r="AS757">
            <v>388</v>
          </cell>
          <cell r="AT757">
            <v>0</v>
          </cell>
          <cell r="AU757">
            <v>0</v>
          </cell>
        </row>
        <row r="758">
          <cell r="A758">
            <v>6319</v>
          </cell>
          <cell r="B758" t="str">
            <v>MASCOT</v>
          </cell>
          <cell r="C758" t="str">
            <v>JEAN-MARC</v>
          </cell>
          <cell r="D758" t="str">
            <v>LA MADELEINE</v>
          </cell>
          <cell r="E758">
            <v>16</v>
          </cell>
          <cell r="F758" t="str">
            <v>NC NUMERICABLE REGION NORD</v>
          </cell>
          <cell r="G758" t="str">
            <v>PLATEFORME LOGISTIQU</v>
          </cell>
          <cell r="I758" t="str">
            <v>GENE905001</v>
          </cell>
          <cell r="J758">
            <v>100</v>
          </cell>
          <cell r="K758">
            <v>33451</v>
          </cell>
          <cell r="L758" t="str">
            <v>TECH.SUPP.NIV.2</v>
          </cell>
          <cell r="M758" t="str">
            <v>TSM</v>
          </cell>
          <cell r="N758" t="str">
            <v>D</v>
          </cell>
          <cell r="O758" t="str">
            <v>CDI</v>
          </cell>
          <cell r="P758">
            <v>151.57</v>
          </cell>
          <cell r="Q758">
            <v>2393.4499999999998</v>
          </cell>
          <cell r="R758">
            <v>309.81</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-122.78</v>
          </cell>
          <cell r="AN758">
            <v>257.75</v>
          </cell>
          <cell r="AO758">
            <v>-122.78</v>
          </cell>
          <cell r="AP758">
            <v>0</v>
          </cell>
          <cell r="AQ758">
            <v>2393.4499999999998</v>
          </cell>
          <cell r="AR758">
            <v>0</v>
          </cell>
          <cell r="AS758">
            <v>0</v>
          </cell>
          <cell r="AT758">
            <v>0</v>
          </cell>
          <cell r="AU758">
            <v>0</v>
          </cell>
        </row>
        <row r="759">
          <cell r="A759">
            <v>16263</v>
          </cell>
          <cell r="B759" t="str">
            <v>SURE</v>
          </cell>
          <cell r="C759" t="str">
            <v>DOMINIQUE</v>
          </cell>
          <cell r="D759" t="str">
            <v>LA MADELEINE</v>
          </cell>
          <cell r="E759">
            <v>16</v>
          </cell>
          <cell r="F759" t="str">
            <v>NC NUMERICABLE REGION NORD</v>
          </cell>
          <cell r="G759" t="str">
            <v>COMMUNICATION</v>
          </cell>
          <cell r="H759" t="str">
            <v>LUCIANI</v>
          </cell>
          <cell r="I759" t="str">
            <v>GENE703001</v>
          </cell>
          <cell r="J759">
            <v>100</v>
          </cell>
          <cell r="K759">
            <v>34001</v>
          </cell>
          <cell r="L759" t="str">
            <v>WEBMASTER/CHEF PRODUIT JUNIOR</v>
          </cell>
          <cell r="M759" t="str">
            <v>CADRE</v>
          </cell>
          <cell r="N759" t="str">
            <v>DB</v>
          </cell>
          <cell r="O759" t="str">
            <v>CDI</v>
          </cell>
          <cell r="P759">
            <v>151.57</v>
          </cell>
          <cell r="Q759">
            <v>2600.61</v>
          </cell>
          <cell r="R759">
            <v>1508.68</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300.02999999999997</v>
          </cell>
          <cell r="AO759">
            <v>0</v>
          </cell>
          <cell r="AP759">
            <v>0</v>
          </cell>
          <cell r="AQ759">
            <v>2600.61</v>
          </cell>
          <cell r="AR759">
            <v>0</v>
          </cell>
          <cell r="AS759">
            <v>0</v>
          </cell>
          <cell r="AT759">
            <v>0</v>
          </cell>
          <cell r="AU759">
            <v>0</v>
          </cell>
        </row>
        <row r="760">
          <cell r="A760">
            <v>5397</v>
          </cell>
          <cell r="B760" t="str">
            <v>BREYNE</v>
          </cell>
          <cell r="C760" t="str">
            <v>CAROLE</v>
          </cell>
          <cell r="D760" t="str">
            <v>LA MADELEINE</v>
          </cell>
          <cell r="E760">
            <v>16</v>
          </cell>
          <cell r="F760" t="str">
            <v>NC NUMERICABLE REGION NORD</v>
          </cell>
          <cell r="G760" t="str">
            <v>QUALITE</v>
          </cell>
          <cell r="H760" t="str">
            <v>DELEBARRE</v>
          </cell>
          <cell r="I760" t="str">
            <v>GENE905001</v>
          </cell>
          <cell r="J760">
            <v>100</v>
          </cell>
          <cell r="K760">
            <v>33451</v>
          </cell>
          <cell r="L760" t="str">
            <v>ASS. DIRECT.</v>
          </cell>
          <cell r="M760" t="str">
            <v>TSM</v>
          </cell>
          <cell r="N760" t="str">
            <v>D</v>
          </cell>
          <cell r="O760" t="str">
            <v>CDI</v>
          </cell>
          <cell r="P760">
            <v>151.57</v>
          </cell>
          <cell r="Q760">
            <v>2438.09</v>
          </cell>
          <cell r="R760">
            <v>-264.2</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6.52</v>
          </cell>
          <cell r="AN760">
            <v>262.56</v>
          </cell>
          <cell r="AO760">
            <v>6.52</v>
          </cell>
          <cell r="AP760">
            <v>0</v>
          </cell>
          <cell r="AQ760">
            <v>2438.09</v>
          </cell>
          <cell r="AR760">
            <v>0</v>
          </cell>
          <cell r="AS760">
            <v>0</v>
          </cell>
          <cell r="AT760">
            <v>0</v>
          </cell>
          <cell r="AU760">
            <v>0</v>
          </cell>
        </row>
        <row r="761">
          <cell r="A761">
            <v>2632</v>
          </cell>
          <cell r="B761" t="str">
            <v>DELARRE</v>
          </cell>
          <cell r="C761" t="str">
            <v>JEAN-PIERRE</v>
          </cell>
          <cell r="D761" t="str">
            <v>LA MADELEINE</v>
          </cell>
          <cell r="E761">
            <v>16</v>
          </cell>
          <cell r="F761" t="str">
            <v>NC NUMERICABLE REGION NORD</v>
          </cell>
          <cell r="G761" t="str">
            <v>CONSTRUCTION</v>
          </cell>
          <cell r="I761" t="str">
            <v>GENE905001</v>
          </cell>
          <cell r="J761">
            <v>100</v>
          </cell>
          <cell r="K761">
            <v>33451</v>
          </cell>
          <cell r="L761" t="str">
            <v>TECH. EXP. NIV. 2</v>
          </cell>
          <cell r="M761" t="str">
            <v>TSM</v>
          </cell>
          <cell r="N761" t="str">
            <v>D</v>
          </cell>
          <cell r="O761" t="str">
            <v>CDI</v>
          </cell>
          <cell r="P761">
            <v>151.57</v>
          </cell>
          <cell r="Q761">
            <v>2642</v>
          </cell>
          <cell r="R761">
            <v>333.1</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-264.2</v>
          </cell>
          <cell r="AN761">
            <v>284.52</v>
          </cell>
          <cell r="AO761">
            <v>-264.2</v>
          </cell>
          <cell r="AP761">
            <v>0</v>
          </cell>
          <cell r="AQ761">
            <v>2642</v>
          </cell>
          <cell r="AR761">
            <v>0</v>
          </cell>
          <cell r="AS761">
            <v>0</v>
          </cell>
          <cell r="AT761">
            <v>0</v>
          </cell>
          <cell r="AU761">
            <v>0</v>
          </cell>
        </row>
        <row r="762">
          <cell r="A762">
            <v>8336</v>
          </cell>
          <cell r="B762" t="str">
            <v>CAUS</v>
          </cell>
          <cell r="C762" t="str">
            <v>PATRICE</v>
          </cell>
          <cell r="D762" t="str">
            <v>LA MADELEINE</v>
          </cell>
          <cell r="E762">
            <v>16</v>
          </cell>
          <cell r="F762" t="str">
            <v>NC NUMERICABLE REGION NORD</v>
          </cell>
          <cell r="G762" t="str">
            <v>CARTOGRAPHIE-DICT</v>
          </cell>
          <cell r="H762" t="str">
            <v>MARQUANT</v>
          </cell>
          <cell r="I762" t="str">
            <v>GENE320001</v>
          </cell>
          <cell r="J762">
            <v>100</v>
          </cell>
          <cell r="K762">
            <v>33451</v>
          </cell>
          <cell r="L762" t="str">
            <v>TECH.SUPP.NIV.2</v>
          </cell>
          <cell r="M762" t="str">
            <v>TSM</v>
          </cell>
          <cell r="N762" t="str">
            <v>D</v>
          </cell>
          <cell r="O762" t="str">
            <v>CDI</v>
          </cell>
          <cell r="P762">
            <v>151.57</v>
          </cell>
          <cell r="Q762">
            <v>1973.87</v>
          </cell>
          <cell r="R762">
            <v>1070.45</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212.55</v>
          </cell>
          <cell r="AO762">
            <v>0</v>
          </cell>
          <cell r="AP762">
            <v>0</v>
          </cell>
          <cell r="AQ762">
            <v>1973.87</v>
          </cell>
          <cell r="AR762">
            <v>0</v>
          </cell>
          <cell r="AS762">
            <v>0</v>
          </cell>
          <cell r="AT762">
            <v>0</v>
          </cell>
          <cell r="AU762">
            <v>0</v>
          </cell>
        </row>
        <row r="763">
          <cell r="A763">
            <v>20091</v>
          </cell>
          <cell r="B763" t="str">
            <v>DENDIEVEL</v>
          </cell>
          <cell r="C763" t="str">
            <v>ERIC</v>
          </cell>
          <cell r="D763" t="str">
            <v>LA MADELEINE</v>
          </cell>
          <cell r="E763">
            <v>16</v>
          </cell>
          <cell r="F763" t="str">
            <v>NC NUMERICABLE REGION NORD</v>
          </cell>
          <cell r="G763" t="str">
            <v>VAD ANIMATEURS</v>
          </cell>
          <cell r="I763" t="str">
            <v>GENE905001</v>
          </cell>
          <cell r="J763">
            <v>100</v>
          </cell>
          <cell r="K763">
            <v>35039</v>
          </cell>
          <cell r="L763" t="str">
            <v>ANIMATEUR COM.</v>
          </cell>
          <cell r="M763" t="str">
            <v>CADRE</v>
          </cell>
          <cell r="N763" t="str">
            <v>DB</v>
          </cell>
          <cell r="O763" t="str">
            <v>CDI</v>
          </cell>
          <cell r="P763">
            <v>151.57</v>
          </cell>
          <cell r="Q763">
            <v>2050</v>
          </cell>
          <cell r="R763">
            <v>2170.25</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2325.5100000000002</v>
          </cell>
          <cell r="AN763">
            <v>236.5</v>
          </cell>
          <cell r="AO763">
            <v>0</v>
          </cell>
          <cell r="AP763">
            <v>0</v>
          </cell>
          <cell r="AQ763">
            <v>4375.51</v>
          </cell>
          <cell r="AR763">
            <v>0</v>
          </cell>
          <cell r="AS763">
            <v>0</v>
          </cell>
          <cell r="AT763">
            <v>0</v>
          </cell>
          <cell r="AU763">
            <v>0</v>
          </cell>
        </row>
        <row r="764">
          <cell r="A764">
            <v>6207</v>
          </cell>
          <cell r="B764" t="str">
            <v>POIDEVIN</v>
          </cell>
          <cell r="C764" t="str">
            <v>DANY</v>
          </cell>
          <cell r="D764" t="str">
            <v>LA MADELEINE</v>
          </cell>
          <cell r="E764">
            <v>16</v>
          </cell>
          <cell r="F764" t="str">
            <v>NC NUMERICABLE REGION NORD</v>
          </cell>
          <cell r="G764" t="str">
            <v>MAINTENANCE RESEAU</v>
          </cell>
          <cell r="I764" t="str">
            <v>GENE905001</v>
          </cell>
          <cell r="J764">
            <v>100</v>
          </cell>
          <cell r="K764">
            <v>33451</v>
          </cell>
          <cell r="L764" t="str">
            <v>TECH. EXP. NIV. 2</v>
          </cell>
          <cell r="M764" t="str">
            <v>TSM</v>
          </cell>
          <cell r="N764" t="str">
            <v>D</v>
          </cell>
          <cell r="O764" t="str">
            <v>CDI</v>
          </cell>
          <cell r="P764">
            <v>151.57</v>
          </cell>
          <cell r="Q764">
            <v>1980.82</v>
          </cell>
          <cell r="R764">
            <v>1074.02</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213.33</v>
          </cell>
          <cell r="AO764">
            <v>0</v>
          </cell>
          <cell r="AP764">
            <v>0</v>
          </cell>
          <cell r="AQ764">
            <v>1980.82</v>
          </cell>
          <cell r="AR764">
            <v>0</v>
          </cell>
          <cell r="AS764">
            <v>0</v>
          </cell>
          <cell r="AT764">
            <v>0</v>
          </cell>
          <cell r="AU764">
            <v>0</v>
          </cell>
        </row>
        <row r="765">
          <cell r="A765">
            <v>5211</v>
          </cell>
          <cell r="B765" t="str">
            <v>COUPEZ</v>
          </cell>
          <cell r="C765" t="str">
            <v>JEAN-LUC</v>
          </cell>
          <cell r="D765" t="str">
            <v>LA MADELEINE</v>
          </cell>
          <cell r="E765">
            <v>16</v>
          </cell>
          <cell r="F765" t="str">
            <v>NC NUMERICABLE REGION NORD</v>
          </cell>
          <cell r="G765" t="str">
            <v>CARTOGRAPHIE-DICT</v>
          </cell>
          <cell r="H765" t="str">
            <v>MARQUANT</v>
          </cell>
          <cell r="I765" t="str">
            <v>GENE320001</v>
          </cell>
          <cell r="J765">
            <v>100</v>
          </cell>
          <cell r="K765">
            <v>33451</v>
          </cell>
          <cell r="L765" t="str">
            <v>TECH.SUPP.NIV.2</v>
          </cell>
          <cell r="M765" t="str">
            <v>TSM</v>
          </cell>
          <cell r="N765" t="str">
            <v>D</v>
          </cell>
          <cell r="O765" t="str">
            <v>CDI</v>
          </cell>
          <cell r="P765">
            <v>151.57</v>
          </cell>
          <cell r="Q765">
            <v>1988.8</v>
          </cell>
          <cell r="R765">
            <v>1112.68</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214.19</v>
          </cell>
          <cell r="AO765">
            <v>0</v>
          </cell>
          <cell r="AP765">
            <v>0</v>
          </cell>
          <cell r="AQ765">
            <v>1988.8</v>
          </cell>
          <cell r="AR765">
            <v>0</v>
          </cell>
          <cell r="AS765">
            <v>0</v>
          </cell>
          <cell r="AT765">
            <v>0</v>
          </cell>
          <cell r="AU765">
            <v>0</v>
          </cell>
        </row>
        <row r="766">
          <cell r="A766">
            <v>9744</v>
          </cell>
          <cell r="B766" t="str">
            <v>VANMOLLEKOT</v>
          </cell>
          <cell r="C766" t="str">
            <v>WALTER</v>
          </cell>
          <cell r="D766" t="str">
            <v>LA MADELEINE</v>
          </cell>
          <cell r="E766">
            <v>16</v>
          </cell>
          <cell r="F766" t="str">
            <v>NC NUMERICABLE REGION NORD</v>
          </cell>
          <cell r="G766" t="str">
            <v>VAD CONSEILLERS</v>
          </cell>
          <cell r="I766" t="str">
            <v>GENE905001</v>
          </cell>
          <cell r="J766">
            <v>100</v>
          </cell>
          <cell r="K766">
            <v>33451</v>
          </cell>
          <cell r="L766" t="str">
            <v>CONSEILLER(E) COM.</v>
          </cell>
          <cell r="M766" t="str">
            <v>TSM</v>
          </cell>
          <cell r="N766" t="str">
            <v>D</v>
          </cell>
          <cell r="O766" t="str">
            <v>CDI</v>
          </cell>
          <cell r="P766">
            <v>151.57</v>
          </cell>
          <cell r="Q766">
            <v>1564.49</v>
          </cell>
          <cell r="R766">
            <v>333.31</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1475.47</v>
          </cell>
          <cell r="AN766">
            <v>168.48</v>
          </cell>
          <cell r="AO766">
            <v>1475.47</v>
          </cell>
          <cell r="AP766">
            <v>0</v>
          </cell>
          <cell r="AQ766">
            <v>1564.49</v>
          </cell>
          <cell r="AR766">
            <v>0</v>
          </cell>
          <cell r="AS766">
            <v>0</v>
          </cell>
          <cell r="AT766">
            <v>0</v>
          </cell>
          <cell r="AU766">
            <v>0</v>
          </cell>
        </row>
        <row r="767">
          <cell r="A767">
            <v>1378</v>
          </cell>
          <cell r="B767" t="str">
            <v>NOWOTARSKI</v>
          </cell>
          <cell r="C767" t="str">
            <v>EMMANUEL</v>
          </cell>
          <cell r="D767" t="str">
            <v>LA MADELEINE</v>
          </cell>
          <cell r="E767">
            <v>16</v>
          </cell>
          <cell r="F767" t="str">
            <v>NC NUMERICABLE REGION NORD</v>
          </cell>
          <cell r="G767" t="str">
            <v>ADV</v>
          </cell>
          <cell r="I767" t="str">
            <v>GENE905001</v>
          </cell>
          <cell r="J767">
            <v>100</v>
          </cell>
          <cell r="K767">
            <v>33451</v>
          </cell>
          <cell r="L767" t="str">
            <v>CONSEILLER(E) CLT</v>
          </cell>
          <cell r="M767" t="str">
            <v>EMPLOYE</v>
          </cell>
          <cell r="N767" t="str">
            <v>C</v>
          </cell>
          <cell r="O767" t="str">
            <v>CDI</v>
          </cell>
          <cell r="P767">
            <v>72.58</v>
          </cell>
          <cell r="Q767">
            <v>850.75</v>
          </cell>
          <cell r="R767">
            <v>124.91</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-96.07</v>
          </cell>
          <cell r="AN767">
            <v>91.62</v>
          </cell>
          <cell r="AO767">
            <v>-96.07</v>
          </cell>
          <cell r="AP767">
            <v>0</v>
          </cell>
          <cell r="AQ767">
            <v>850.75</v>
          </cell>
          <cell r="AR767">
            <v>0</v>
          </cell>
          <cell r="AS767">
            <v>0</v>
          </cell>
          <cell r="AT767">
            <v>0</v>
          </cell>
          <cell r="AU767">
            <v>0</v>
          </cell>
        </row>
        <row r="768">
          <cell r="A768">
            <v>2975</v>
          </cell>
          <cell r="B768" t="str">
            <v>STOZICKY</v>
          </cell>
          <cell r="C768" t="str">
            <v>BLANDINE</v>
          </cell>
          <cell r="D768" t="str">
            <v>LA MADELEINE</v>
          </cell>
          <cell r="E768">
            <v>16</v>
          </cell>
          <cell r="F768" t="str">
            <v>NC NUMERICABLE REGION NORD</v>
          </cell>
          <cell r="G768" t="str">
            <v>CARTOGRAPHIE-DICT</v>
          </cell>
          <cell r="H768" t="str">
            <v>MARQUANT</v>
          </cell>
          <cell r="I768" t="str">
            <v>GENE320001</v>
          </cell>
          <cell r="J768">
            <v>100</v>
          </cell>
          <cell r="K768">
            <v>33451</v>
          </cell>
          <cell r="L768" t="str">
            <v>SUPERVISEUR COM.</v>
          </cell>
          <cell r="M768" t="str">
            <v>TSM</v>
          </cell>
          <cell r="N768" t="str">
            <v>D</v>
          </cell>
          <cell r="O768" t="str">
            <v>CDI</v>
          </cell>
          <cell r="P768">
            <v>151.57</v>
          </cell>
          <cell r="Q768">
            <v>1746.35</v>
          </cell>
          <cell r="R768">
            <v>618.39</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188.8</v>
          </cell>
          <cell r="AO768">
            <v>0</v>
          </cell>
          <cell r="AP768">
            <v>0</v>
          </cell>
          <cell r="AQ768">
            <v>1343.41</v>
          </cell>
          <cell r="AR768">
            <v>0</v>
          </cell>
          <cell r="AS768">
            <v>0</v>
          </cell>
          <cell r="AT768">
            <v>0</v>
          </cell>
          <cell r="AU768">
            <v>0</v>
          </cell>
        </row>
        <row r="769">
          <cell r="A769">
            <v>3549</v>
          </cell>
          <cell r="B769" t="str">
            <v>VANDYCKE</v>
          </cell>
          <cell r="C769" t="str">
            <v>MARIE PAULE</v>
          </cell>
          <cell r="D769" t="str">
            <v>LA MADELEINE</v>
          </cell>
          <cell r="E769">
            <v>16</v>
          </cell>
          <cell r="F769" t="str">
            <v>NC NUMERICABLE REGION NORD</v>
          </cell>
          <cell r="G769" t="str">
            <v>COLLECTIF</v>
          </cell>
          <cell r="H769" t="str">
            <v>PERRET-GENTIL</v>
          </cell>
          <cell r="I769" t="str">
            <v>NPCA510001</v>
          </cell>
          <cell r="J769">
            <v>100</v>
          </cell>
          <cell r="K769">
            <v>33451</v>
          </cell>
          <cell r="L769" t="str">
            <v>ASSISTANT(E) NIV. 2</v>
          </cell>
          <cell r="M769" t="str">
            <v>TSM</v>
          </cell>
          <cell r="N769" t="str">
            <v>D</v>
          </cell>
          <cell r="O769" t="str">
            <v>CDI</v>
          </cell>
          <cell r="P769">
            <v>151.57</v>
          </cell>
          <cell r="Q769">
            <v>2495.2199999999998</v>
          </cell>
          <cell r="R769">
            <v>119.28</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31.56</v>
          </cell>
          <cell r="AN769">
            <v>128.91999999999999</v>
          </cell>
          <cell r="AO769">
            <v>93408.83</v>
          </cell>
          <cell r="AP769">
            <v>0</v>
          </cell>
          <cell r="AQ769">
            <v>511.37</v>
          </cell>
          <cell r="AR769">
            <v>0</v>
          </cell>
          <cell r="AS769">
            <v>0</v>
          </cell>
          <cell r="AT769">
            <v>0</v>
          </cell>
          <cell r="AU769">
            <v>0</v>
          </cell>
        </row>
        <row r="770">
          <cell r="A770">
            <v>16552</v>
          </cell>
          <cell r="B770" t="str">
            <v>CORNU</v>
          </cell>
          <cell r="C770" t="str">
            <v>LAURENT</v>
          </cell>
          <cell r="D770" t="str">
            <v>LA MADELEINE</v>
          </cell>
          <cell r="E770">
            <v>16</v>
          </cell>
          <cell r="F770" t="str">
            <v>NC NUMERICABLE REGION NORD</v>
          </cell>
          <cell r="G770" t="str">
            <v>COLLECTIF</v>
          </cell>
          <cell r="I770" t="str">
            <v>GENE905001</v>
          </cell>
          <cell r="J770">
            <v>100</v>
          </cell>
          <cell r="K770">
            <v>34121</v>
          </cell>
          <cell r="L770" t="str">
            <v>CONSEILLER(E) COM.</v>
          </cell>
          <cell r="M770" t="str">
            <v>TSM</v>
          </cell>
          <cell r="N770" t="str">
            <v>D</v>
          </cell>
          <cell r="O770" t="str">
            <v>CDI</v>
          </cell>
          <cell r="P770">
            <v>151.57</v>
          </cell>
          <cell r="Q770">
            <v>1252.47</v>
          </cell>
          <cell r="R770">
            <v>-0.98</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764.02</v>
          </cell>
          <cell r="AN770">
            <v>164.46</v>
          </cell>
          <cell r="AO770">
            <v>489.28</v>
          </cell>
          <cell r="AP770">
            <v>0</v>
          </cell>
          <cell r="AQ770">
            <v>1527.21</v>
          </cell>
          <cell r="AR770">
            <v>0</v>
          </cell>
          <cell r="AS770">
            <v>0</v>
          </cell>
          <cell r="AT770">
            <v>0</v>
          </cell>
          <cell r="AU770">
            <v>0</v>
          </cell>
        </row>
        <row r="771">
          <cell r="A771">
            <v>3256</v>
          </cell>
          <cell r="B771" t="str">
            <v>AQUINO</v>
          </cell>
          <cell r="C771" t="str">
            <v>ROCCO</v>
          </cell>
          <cell r="D771" t="str">
            <v>LA MADELEINE</v>
          </cell>
          <cell r="E771">
            <v>16</v>
          </cell>
          <cell r="F771" t="str">
            <v>NC NUMERICABLE REGION NORD</v>
          </cell>
          <cell r="G771" t="str">
            <v>CONSTRUCTION</v>
          </cell>
          <cell r="I771" t="str">
            <v>GENE905001</v>
          </cell>
          <cell r="J771">
            <v>100</v>
          </cell>
          <cell r="K771">
            <v>33451</v>
          </cell>
          <cell r="L771" t="str">
            <v>SUP. TECH. CLIENT</v>
          </cell>
          <cell r="M771" t="str">
            <v>TSM</v>
          </cell>
          <cell r="N771" t="str">
            <v>D</v>
          </cell>
          <cell r="O771" t="str">
            <v>CDI</v>
          </cell>
          <cell r="P771">
            <v>151.57</v>
          </cell>
          <cell r="Q771">
            <v>2382.19</v>
          </cell>
          <cell r="R771">
            <v>163.53</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-229.36</v>
          </cell>
          <cell r="AN771">
            <v>256.54000000000002</v>
          </cell>
          <cell r="AO771">
            <v>-229.36</v>
          </cell>
          <cell r="AP771">
            <v>0</v>
          </cell>
          <cell r="AQ771">
            <v>2382.19</v>
          </cell>
          <cell r="AR771">
            <v>0</v>
          </cell>
          <cell r="AS771">
            <v>0</v>
          </cell>
          <cell r="AT771">
            <v>0</v>
          </cell>
          <cell r="AU771">
            <v>0</v>
          </cell>
        </row>
        <row r="772">
          <cell r="A772" t="str">
            <v>000A1740</v>
          </cell>
          <cell r="B772" t="str">
            <v>BEHAREL</v>
          </cell>
          <cell r="C772" t="str">
            <v>LUIS</v>
          </cell>
          <cell r="D772" t="str">
            <v>LILLE</v>
          </cell>
          <cell r="E772">
            <v>16</v>
          </cell>
          <cell r="F772" t="str">
            <v>NC NUMERICABLE REGION NORD</v>
          </cell>
          <cell r="G772" t="str">
            <v>CLIENTELE</v>
          </cell>
          <cell r="H772" t="str">
            <v>DELSART</v>
          </cell>
          <cell r="I772" t="str">
            <v>NPCA507001</v>
          </cell>
          <cell r="J772">
            <v>100</v>
          </cell>
          <cell r="K772">
            <v>38831</v>
          </cell>
          <cell r="L772" t="str">
            <v>CONSEILLER CLIENTELE BOUTIQUE</v>
          </cell>
          <cell r="M772" t="str">
            <v>463E</v>
          </cell>
          <cell r="N772" t="str">
            <v>C</v>
          </cell>
          <cell r="O772" t="str">
            <v>CDD</v>
          </cell>
          <cell r="P772">
            <v>151.57</v>
          </cell>
          <cell r="Q772">
            <v>0</v>
          </cell>
          <cell r="R772">
            <v>158.9</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291.66000000000003</v>
          </cell>
          <cell r="AR772">
            <v>0</v>
          </cell>
          <cell r="AS772">
            <v>0</v>
          </cell>
          <cell r="AT772">
            <v>0</v>
          </cell>
          <cell r="AU772">
            <v>0</v>
          </cell>
        </row>
        <row r="773">
          <cell r="A773">
            <v>6014</v>
          </cell>
          <cell r="B773" t="str">
            <v>FLIPO</v>
          </cell>
          <cell r="C773" t="str">
            <v>SIBYLLE</v>
          </cell>
          <cell r="D773" t="str">
            <v>LA MADELEINE</v>
          </cell>
          <cell r="E773">
            <v>16</v>
          </cell>
          <cell r="F773" t="str">
            <v>NC NUMERICABLE REGION NORD</v>
          </cell>
          <cell r="G773" t="str">
            <v>VENTE</v>
          </cell>
          <cell r="I773" t="str">
            <v>GENE905001</v>
          </cell>
          <cell r="J773">
            <v>100</v>
          </cell>
          <cell r="K773">
            <v>33451</v>
          </cell>
          <cell r="L773" t="str">
            <v>ASS. DIRECT.</v>
          </cell>
          <cell r="M773" t="str">
            <v>TSM</v>
          </cell>
          <cell r="N773" t="str">
            <v>D</v>
          </cell>
          <cell r="O773" t="str">
            <v>CDI</v>
          </cell>
          <cell r="P773">
            <v>147.33000000000001</v>
          </cell>
          <cell r="Q773">
            <v>2253.15</v>
          </cell>
          <cell r="R773">
            <v>282.57</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-221.73</v>
          </cell>
          <cell r="AN773">
            <v>242.65</v>
          </cell>
          <cell r="AO773">
            <v>-221.73</v>
          </cell>
          <cell r="AP773">
            <v>0</v>
          </cell>
          <cell r="AQ773">
            <v>2253.15</v>
          </cell>
          <cell r="AR773">
            <v>0</v>
          </cell>
          <cell r="AS773">
            <v>0</v>
          </cell>
          <cell r="AT773">
            <v>0</v>
          </cell>
          <cell r="AU773">
            <v>0</v>
          </cell>
        </row>
        <row r="774">
          <cell r="A774">
            <v>9310</v>
          </cell>
          <cell r="B774" t="str">
            <v>GEUNS-DEGRUSON</v>
          </cell>
          <cell r="C774" t="str">
            <v>ISABELLE</v>
          </cell>
          <cell r="D774" t="str">
            <v>LA MADELEINE</v>
          </cell>
          <cell r="E774">
            <v>16</v>
          </cell>
          <cell r="F774" t="str">
            <v>NC NUMERICABLE REGION NORD</v>
          </cell>
          <cell r="G774" t="str">
            <v>ADV</v>
          </cell>
          <cell r="I774" t="str">
            <v>GENE905001</v>
          </cell>
          <cell r="J774">
            <v>100</v>
          </cell>
          <cell r="K774">
            <v>33451</v>
          </cell>
          <cell r="L774" t="str">
            <v>SUPERVISEUR COM.</v>
          </cell>
          <cell r="M774" t="str">
            <v>TSM</v>
          </cell>
          <cell r="N774" t="str">
            <v>D</v>
          </cell>
          <cell r="O774" t="str">
            <v>CDI</v>
          </cell>
          <cell r="P774">
            <v>121.33</v>
          </cell>
          <cell r="Q774">
            <v>1443.21</v>
          </cell>
          <cell r="R774">
            <v>191.26</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-151.88999999999999</v>
          </cell>
          <cell r="AN774">
            <v>155.41999999999999</v>
          </cell>
          <cell r="AO774">
            <v>-151.88999999999999</v>
          </cell>
          <cell r="AP774">
            <v>0</v>
          </cell>
          <cell r="AQ774">
            <v>1443.21</v>
          </cell>
          <cell r="AR774">
            <v>0</v>
          </cell>
          <cell r="AS774">
            <v>0</v>
          </cell>
          <cell r="AT774">
            <v>0</v>
          </cell>
          <cell r="AU774">
            <v>0</v>
          </cell>
        </row>
        <row r="775">
          <cell r="A775">
            <v>11070</v>
          </cell>
          <cell r="B775" t="str">
            <v>SPLETE</v>
          </cell>
          <cell r="C775" t="str">
            <v>JEAN-FRANCOIS</v>
          </cell>
          <cell r="D775" t="str">
            <v>LA MADELEINE</v>
          </cell>
          <cell r="E775">
            <v>16</v>
          </cell>
          <cell r="F775" t="str">
            <v>NC NUMERICABLE REGION NORD</v>
          </cell>
          <cell r="G775" t="str">
            <v>COLLECTIF</v>
          </cell>
          <cell r="I775" t="str">
            <v>GENE905001</v>
          </cell>
          <cell r="J775">
            <v>100</v>
          </cell>
          <cell r="K775">
            <v>33451</v>
          </cell>
          <cell r="L775" t="str">
            <v>CONSEILLER(E) COM.</v>
          </cell>
          <cell r="M775" t="str">
            <v>TSM</v>
          </cell>
          <cell r="N775" t="str">
            <v>D</v>
          </cell>
          <cell r="O775" t="str">
            <v>CDI</v>
          </cell>
          <cell r="P775">
            <v>151.57</v>
          </cell>
          <cell r="Q775">
            <v>1252.47</v>
          </cell>
          <cell r="R775">
            <v>463.71</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899.71</v>
          </cell>
          <cell r="AN775">
            <v>213.41</v>
          </cell>
          <cell r="AO775">
            <v>170.52</v>
          </cell>
          <cell r="AP775">
            <v>0</v>
          </cell>
          <cell r="AQ775">
            <v>1981.66</v>
          </cell>
          <cell r="AR775">
            <v>0</v>
          </cell>
          <cell r="AS775">
            <v>0</v>
          </cell>
          <cell r="AT775">
            <v>0</v>
          </cell>
          <cell r="AU775">
            <v>0</v>
          </cell>
        </row>
        <row r="776">
          <cell r="A776">
            <v>864</v>
          </cell>
          <cell r="B776" t="str">
            <v>BROUTIN</v>
          </cell>
          <cell r="C776" t="str">
            <v>JEAN-LOUIS</v>
          </cell>
          <cell r="D776" t="str">
            <v>LA MADELEINE</v>
          </cell>
          <cell r="E776">
            <v>16</v>
          </cell>
          <cell r="F776" t="str">
            <v>NC NUMERICABLE REGION NORD</v>
          </cell>
          <cell r="G776" t="str">
            <v>VAD ANIMATEURS</v>
          </cell>
          <cell r="I776" t="str">
            <v>GENE905001</v>
          </cell>
          <cell r="J776">
            <v>100</v>
          </cell>
          <cell r="K776">
            <v>35140</v>
          </cell>
          <cell r="L776" t="str">
            <v>ANIMATEUR COM.</v>
          </cell>
          <cell r="M776" t="str">
            <v>CADRE</v>
          </cell>
          <cell r="N776" t="str">
            <v>DB</v>
          </cell>
          <cell r="O776" t="str">
            <v>CDI</v>
          </cell>
          <cell r="P776">
            <v>151.57</v>
          </cell>
          <cell r="Q776">
            <v>2120</v>
          </cell>
          <cell r="R776">
            <v>608.27</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1817.41</v>
          </cell>
          <cell r="AN776">
            <v>226.75</v>
          </cell>
          <cell r="AO776">
            <v>1817.41</v>
          </cell>
          <cell r="AP776">
            <v>0</v>
          </cell>
          <cell r="AQ776">
            <v>2120</v>
          </cell>
          <cell r="AR776">
            <v>0</v>
          </cell>
          <cell r="AS776">
            <v>0</v>
          </cell>
          <cell r="AT776">
            <v>0</v>
          </cell>
          <cell r="AU776">
            <v>0</v>
          </cell>
        </row>
        <row r="777">
          <cell r="A777">
            <v>20173</v>
          </cell>
          <cell r="B777" t="str">
            <v>LUCAS</v>
          </cell>
          <cell r="C777" t="str">
            <v>ERIC</v>
          </cell>
          <cell r="D777" t="str">
            <v>LA MADELEINE</v>
          </cell>
          <cell r="E777">
            <v>16</v>
          </cell>
          <cell r="F777" t="str">
            <v>NC NUMERICABLE REGION NORD</v>
          </cell>
          <cell r="G777" t="str">
            <v>VAD CONSEILLERS</v>
          </cell>
          <cell r="I777" t="str">
            <v>GENE905001</v>
          </cell>
          <cell r="J777">
            <v>100</v>
          </cell>
          <cell r="K777">
            <v>35689</v>
          </cell>
          <cell r="L777" t="str">
            <v>CONSEILLER(E) COM.</v>
          </cell>
          <cell r="M777" t="str">
            <v>TSM</v>
          </cell>
          <cell r="N777" t="str">
            <v>D</v>
          </cell>
          <cell r="O777" t="str">
            <v>CDI</v>
          </cell>
          <cell r="P777">
            <v>151.57</v>
          </cell>
          <cell r="Q777">
            <v>1217</v>
          </cell>
          <cell r="R777">
            <v>363.76</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2655.55</v>
          </cell>
          <cell r="AN777">
            <v>131.05000000000001</v>
          </cell>
          <cell r="AO777">
            <v>2655.55</v>
          </cell>
          <cell r="AP777">
            <v>0</v>
          </cell>
          <cell r="AQ777">
            <v>1217</v>
          </cell>
          <cell r="AR777">
            <v>0</v>
          </cell>
          <cell r="AS777">
            <v>0</v>
          </cell>
          <cell r="AT777">
            <v>0</v>
          </cell>
          <cell r="AU777">
            <v>0</v>
          </cell>
        </row>
        <row r="778">
          <cell r="A778">
            <v>20079</v>
          </cell>
          <cell r="B778" t="str">
            <v>DE OLIVEIRA</v>
          </cell>
          <cell r="C778" t="str">
            <v>JACKY</v>
          </cell>
          <cell r="D778" t="str">
            <v>LA MADELEINE</v>
          </cell>
          <cell r="E778">
            <v>16</v>
          </cell>
          <cell r="F778" t="str">
            <v>NC NUMERICABLE REGION NORD</v>
          </cell>
          <cell r="G778" t="str">
            <v>TRAVAUX</v>
          </cell>
          <cell r="H778" t="str">
            <v>CHOVEAU</v>
          </cell>
          <cell r="I778" t="str">
            <v>NPCA300001</v>
          </cell>
          <cell r="J778">
            <v>100</v>
          </cell>
          <cell r="K778">
            <v>36008</v>
          </cell>
          <cell r="L778" t="str">
            <v>TECH. EXP. NIV. 2</v>
          </cell>
          <cell r="M778" t="str">
            <v>TSM</v>
          </cell>
          <cell r="N778" t="str">
            <v>D</v>
          </cell>
          <cell r="O778" t="str">
            <v>CDI</v>
          </cell>
          <cell r="P778">
            <v>151.57</v>
          </cell>
          <cell r="Q778">
            <v>2040</v>
          </cell>
          <cell r="R778">
            <v>884.63</v>
          </cell>
          <cell r="S778">
            <v>0</v>
          </cell>
          <cell r="T778">
            <v>305.22000000000003</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252.91</v>
          </cell>
          <cell r="AO778">
            <v>0</v>
          </cell>
          <cell r="AP778">
            <v>0</v>
          </cell>
          <cell r="AQ778">
            <v>1475.33</v>
          </cell>
          <cell r="AR778">
            <v>0</v>
          </cell>
          <cell r="AS778">
            <v>0</v>
          </cell>
          <cell r="AT778">
            <v>0</v>
          </cell>
          <cell r="AU778">
            <v>0</v>
          </cell>
        </row>
        <row r="779">
          <cell r="A779" t="str">
            <v>000A1282</v>
          </cell>
          <cell r="B779" t="str">
            <v>BEHAREL</v>
          </cell>
          <cell r="C779" t="str">
            <v>LUIS</v>
          </cell>
          <cell r="D779" t="str">
            <v>LA MADELEINE</v>
          </cell>
          <cell r="E779">
            <v>16</v>
          </cell>
          <cell r="F779" t="str">
            <v>NC NUMERICABLE REGION NORD</v>
          </cell>
          <cell r="G779" t="str">
            <v>BOUTIQUE</v>
          </cell>
          <cell r="H779" t="str">
            <v>DELSART</v>
          </cell>
          <cell r="I779" t="str">
            <v>NPCA507001</v>
          </cell>
          <cell r="J779">
            <v>100</v>
          </cell>
          <cell r="K779">
            <v>38671</v>
          </cell>
          <cell r="L779" t="str">
            <v>CONSEILLER(E) CLT</v>
          </cell>
          <cell r="M779" t="str">
            <v>EMPLOYE</v>
          </cell>
          <cell r="N779" t="str">
            <v>C</v>
          </cell>
          <cell r="O779" t="str">
            <v>CDI</v>
          </cell>
          <cell r="P779">
            <v>151.57</v>
          </cell>
          <cell r="Q779">
            <v>1300</v>
          </cell>
          <cell r="R779">
            <v>549.20000000000005</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176.54</v>
          </cell>
          <cell r="AO779">
            <v>0</v>
          </cell>
          <cell r="AP779">
            <v>0</v>
          </cell>
          <cell r="AQ779">
            <v>1046.6400000000001</v>
          </cell>
          <cell r="AR779">
            <v>0</v>
          </cell>
          <cell r="AS779">
            <v>0</v>
          </cell>
          <cell r="AT779">
            <v>0</v>
          </cell>
          <cell r="AU779">
            <v>0</v>
          </cell>
        </row>
        <row r="780">
          <cell r="A780">
            <v>10064</v>
          </cell>
          <cell r="B780" t="str">
            <v>LEMOINE</v>
          </cell>
          <cell r="C780" t="str">
            <v>MYRIAM</v>
          </cell>
          <cell r="D780" t="str">
            <v>LA MADELEINE</v>
          </cell>
          <cell r="E780">
            <v>16</v>
          </cell>
          <cell r="F780" t="str">
            <v>NC NUMERICABLE REGION NORD</v>
          </cell>
          <cell r="G780" t="str">
            <v>ADV</v>
          </cell>
          <cell r="I780" t="str">
            <v>GENE905001</v>
          </cell>
          <cell r="J780">
            <v>100</v>
          </cell>
          <cell r="K780">
            <v>33451</v>
          </cell>
          <cell r="L780" t="str">
            <v>SUPERVISEUR COM.</v>
          </cell>
          <cell r="M780" t="str">
            <v>TSM</v>
          </cell>
          <cell r="N780" t="str">
            <v>D</v>
          </cell>
          <cell r="O780" t="str">
            <v>CDI</v>
          </cell>
          <cell r="P780">
            <v>121.33</v>
          </cell>
          <cell r="Q780">
            <v>1464.67</v>
          </cell>
          <cell r="R780">
            <v>195.06</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-139.63</v>
          </cell>
          <cell r="AN780">
            <v>157.74</v>
          </cell>
          <cell r="AO780">
            <v>-139.63</v>
          </cell>
          <cell r="AP780">
            <v>0</v>
          </cell>
          <cell r="AQ780">
            <v>1464.67</v>
          </cell>
          <cell r="AR780">
            <v>0</v>
          </cell>
          <cell r="AS780">
            <v>0</v>
          </cell>
          <cell r="AT780">
            <v>0</v>
          </cell>
          <cell r="AU780">
            <v>0</v>
          </cell>
        </row>
        <row r="781">
          <cell r="A781">
            <v>20162</v>
          </cell>
          <cell r="B781" t="str">
            <v>THIEFFRY</v>
          </cell>
          <cell r="C781" t="str">
            <v>BENOIT</v>
          </cell>
          <cell r="D781" t="str">
            <v>LA MADELEINE</v>
          </cell>
          <cell r="E781">
            <v>16</v>
          </cell>
          <cell r="F781" t="str">
            <v>NC NUMERICABLE REGION NORD</v>
          </cell>
          <cell r="G781" t="str">
            <v>VAD CONSEILLERS</v>
          </cell>
          <cell r="H781" t="str">
            <v>GUILLEMAN</v>
          </cell>
          <cell r="I781" t="str">
            <v>NPCA500001</v>
          </cell>
          <cell r="J781">
            <v>100</v>
          </cell>
          <cell r="K781">
            <v>35612</v>
          </cell>
          <cell r="L781" t="str">
            <v>CONSEILLER(E) COM.</v>
          </cell>
          <cell r="M781" t="str">
            <v>TSM</v>
          </cell>
          <cell r="N781" t="str">
            <v>D</v>
          </cell>
          <cell r="O781" t="str">
            <v>CDI</v>
          </cell>
          <cell r="P781">
            <v>151.57</v>
          </cell>
          <cell r="Q781">
            <v>1217</v>
          </cell>
          <cell r="R781">
            <v>2089.92</v>
          </cell>
          <cell r="S781">
            <v>0</v>
          </cell>
          <cell r="T781">
            <v>4475</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612.97</v>
          </cell>
          <cell r="AO781">
            <v>0</v>
          </cell>
          <cell r="AP781">
            <v>0</v>
          </cell>
          <cell r="AQ781">
            <v>1217</v>
          </cell>
          <cell r="AR781">
            <v>0</v>
          </cell>
          <cell r="AS781">
            <v>0</v>
          </cell>
          <cell r="AT781">
            <v>0</v>
          </cell>
          <cell r="AU781">
            <v>0</v>
          </cell>
        </row>
        <row r="782">
          <cell r="A782">
            <v>4597</v>
          </cell>
          <cell r="B782" t="str">
            <v>STROOBANTS</v>
          </cell>
          <cell r="C782" t="str">
            <v>BERNARD</v>
          </cell>
          <cell r="D782" t="str">
            <v>LA MADELEINE</v>
          </cell>
          <cell r="E782">
            <v>16</v>
          </cell>
          <cell r="F782" t="str">
            <v>NC NUMERICABLE REGION NORD</v>
          </cell>
          <cell r="G782" t="str">
            <v>MAINTENANCE RESEAU</v>
          </cell>
          <cell r="I782" t="str">
            <v>GENE905001</v>
          </cell>
          <cell r="J782">
            <v>100</v>
          </cell>
          <cell r="K782">
            <v>33451</v>
          </cell>
          <cell r="L782" t="str">
            <v>TECH. EXP. NIV. 2</v>
          </cell>
          <cell r="M782" t="str">
            <v>TSM</v>
          </cell>
          <cell r="N782" t="str">
            <v>D</v>
          </cell>
          <cell r="O782" t="str">
            <v>CDI</v>
          </cell>
          <cell r="P782">
            <v>151.57</v>
          </cell>
          <cell r="Q782">
            <v>2238.3000000000002</v>
          </cell>
          <cell r="R782">
            <v>345.09</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214.56</v>
          </cell>
          <cell r="AN782">
            <v>241.05</v>
          </cell>
          <cell r="AO782">
            <v>214.56</v>
          </cell>
          <cell r="AP782">
            <v>0</v>
          </cell>
          <cell r="AQ782">
            <v>2238.3000000000002</v>
          </cell>
          <cell r="AR782">
            <v>0</v>
          </cell>
          <cell r="AS782">
            <v>0</v>
          </cell>
          <cell r="AT782">
            <v>0</v>
          </cell>
          <cell r="AU782">
            <v>0</v>
          </cell>
        </row>
        <row r="783">
          <cell r="A783" t="str">
            <v>000A1460</v>
          </cell>
          <cell r="B783" t="str">
            <v>BAISSAC</v>
          </cell>
          <cell r="C783" t="str">
            <v>LUDOVIC</v>
          </cell>
          <cell r="D783" t="str">
            <v>LA MADELEINE</v>
          </cell>
          <cell r="E783">
            <v>16</v>
          </cell>
          <cell r="F783" t="str">
            <v>NC NUMERICABLE REGION NORD</v>
          </cell>
          <cell r="G783" t="str">
            <v>DISTRIBUTEUR</v>
          </cell>
          <cell r="H783" t="str">
            <v>TUTTOLOMONDO</v>
          </cell>
          <cell r="I783" t="str">
            <v>NPCA506001</v>
          </cell>
          <cell r="J783">
            <v>100</v>
          </cell>
          <cell r="K783">
            <v>38756</v>
          </cell>
          <cell r="L783" t="str">
            <v>ATTACHE COMMERCIAL</v>
          </cell>
          <cell r="M783" t="str">
            <v>CADRE</v>
          </cell>
          <cell r="N783" t="str">
            <v>DB</v>
          </cell>
          <cell r="O783" t="str">
            <v>CDI</v>
          </cell>
          <cell r="P783">
            <v>151.57</v>
          </cell>
          <cell r="Q783">
            <v>1800</v>
          </cell>
          <cell r="R783">
            <v>4673.47</v>
          </cell>
          <cell r="S783">
            <v>0</v>
          </cell>
          <cell r="T783">
            <v>7159.01</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1520.71</v>
          </cell>
          <cell r="AO783">
            <v>0</v>
          </cell>
          <cell r="AP783">
            <v>0</v>
          </cell>
          <cell r="AQ783">
            <v>1800</v>
          </cell>
          <cell r="AR783">
            <v>0</v>
          </cell>
          <cell r="AS783">
            <v>0</v>
          </cell>
          <cell r="AT783">
            <v>0</v>
          </cell>
          <cell r="AU783">
            <v>0</v>
          </cell>
        </row>
        <row r="784">
          <cell r="A784">
            <v>16985</v>
          </cell>
          <cell r="B784" t="str">
            <v>LESAGE</v>
          </cell>
          <cell r="C784" t="str">
            <v>XAVIER</v>
          </cell>
          <cell r="D784" t="str">
            <v>LA MADELEINE</v>
          </cell>
          <cell r="E784">
            <v>16</v>
          </cell>
          <cell r="F784" t="str">
            <v>NC NUMERICABLE REGION NORD</v>
          </cell>
          <cell r="G784" t="str">
            <v>VAD CONSEILLERS</v>
          </cell>
          <cell r="I784" t="str">
            <v>GENE905001</v>
          </cell>
          <cell r="J784">
            <v>100</v>
          </cell>
          <cell r="K784">
            <v>34241</v>
          </cell>
          <cell r="L784" t="str">
            <v>CONSEILLER(E) COM.</v>
          </cell>
          <cell r="M784" t="str">
            <v>TSM</v>
          </cell>
          <cell r="N784" t="str">
            <v>D</v>
          </cell>
          <cell r="O784" t="str">
            <v>CDI</v>
          </cell>
          <cell r="P784">
            <v>151.57</v>
          </cell>
          <cell r="Q784">
            <v>1345.82</v>
          </cell>
          <cell r="R784">
            <v>1388.08</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2809.82</v>
          </cell>
          <cell r="AN784">
            <v>209.4</v>
          </cell>
          <cell r="AO784">
            <v>0</v>
          </cell>
          <cell r="AP784">
            <v>0</v>
          </cell>
          <cell r="AQ784">
            <v>4155.6400000000003</v>
          </cell>
          <cell r="AR784">
            <v>0</v>
          </cell>
          <cell r="AS784">
            <v>0</v>
          </cell>
          <cell r="AT784">
            <v>0</v>
          </cell>
          <cell r="AU784">
            <v>0</v>
          </cell>
        </row>
        <row r="785">
          <cell r="A785">
            <v>20185</v>
          </cell>
          <cell r="B785" t="str">
            <v>COLPAERT</v>
          </cell>
          <cell r="C785" t="str">
            <v>LIONEL</v>
          </cell>
          <cell r="D785" t="str">
            <v>LA MADELEINE</v>
          </cell>
          <cell r="E785">
            <v>16</v>
          </cell>
          <cell r="F785" t="str">
            <v>NC NUMERICABLE REGION NORD</v>
          </cell>
          <cell r="G785" t="str">
            <v>VAD CONSEILLERS</v>
          </cell>
          <cell r="I785" t="str">
            <v>GENE905001</v>
          </cell>
          <cell r="J785">
            <v>100</v>
          </cell>
          <cell r="K785">
            <v>35830</v>
          </cell>
          <cell r="L785" t="str">
            <v>CONSEILLER(E) COM.</v>
          </cell>
          <cell r="M785" t="str">
            <v>TSM</v>
          </cell>
          <cell r="N785" t="str">
            <v>D</v>
          </cell>
          <cell r="O785" t="str">
            <v>CDI</v>
          </cell>
          <cell r="P785">
            <v>151.57</v>
          </cell>
          <cell r="Q785">
            <v>1292</v>
          </cell>
          <cell r="R785">
            <v>1479.04</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3800.8</v>
          </cell>
          <cell r="AN785">
            <v>139.13999999999999</v>
          </cell>
          <cell r="AO785">
            <v>3800.8</v>
          </cell>
          <cell r="AP785">
            <v>0</v>
          </cell>
          <cell r="AQ785">
            <v>1292</v>
          </cell>
          <cell r="AR785">
            <v>0</v>
          </cell>
          <cell r="AS785">
            <v>0</v>
          </cell>
          <cell r="AT785">
            <v>0</v>
          </cell>
          <cell r="AU785">
            <v>0</v>
          </cell>
        </row>
        <row r="786">
          <cell r="A786">
            <v>11222</v>
          </cell>
          <cell r="B786" t="str">
            <v>GRYZA</v>
          </cell>
          <cell r="C786" t="str">
            <v>EDDY</v>
          </cell>
          <cell r="D786" t="str">
            <v>LA MADELEINE</v>
          </cell>
          <cell r="E786">
            <v>16</v>
          </cell>
          <cell r="F786" t="str">
            <v>NC NUMERICABLE REGION NORD</v>
          </cell>
          <cell r="G786" t="str">
            <v>MAINTENANCE RESEAU</v>
          </cell>
          <cell r="H786" t="str">
            <v>STIEVENART</v>
          </cell>
          <cell r="I786" t="str">
            <v>NPCA300001</v>
          </cell>
          <cell r="J786">
            <v>100</v>
          </cell>
          <cell r="K786">
            <v>33451</v>
          </cell>
          <cell r="L786" t="str">
            <v>TECH. EXP. NIV. 2</v>
          </cell>
          <cell r="M786" t="str">
            <v>TSM</v>
          </cell>
          <cell r="N786" t="str">
            <v>D</v>
          </cell>
          <cell r="O786" t="str">
            <v>CDI</v>
          </cell>
          <cell r="P786">
            <v>151.57</v>
          </cell>
          <cell r="Q786">
            <v>1927.68</v>
          </cell>
          <cell r="R786">
            <v>1103.3499999999999</v>
          </cell>
          <cell r="S786">
            <v>0</v>
          </cell>
          <cell r="T786">
            <v>0</v>
          </cell>
          <cell r="U786">
            <v>0</v>
          </cell>
          <cell r="V786">
            <v>54.87</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213.52</v>
          </cell>
          <cell r="AO786">
            <v>0</v>
          </cell>
          <cell r="AP786">
            <v>0</v>
          </cell>
          <cell r="AQ786">
            <v>1927.68</v>
          </cell>
          <cell r="AR786">
            <v>54.87</v>
          </cell>
          <cell r="AS786">
            <v>0</v>
          </cell>
          <cell r="AT786">
            <v>0</v>
          </cell>
          <cell r="AU786">
            <v>0</v>
          </cell>
        </row>
        <row r="787">
          <cell r="A787">
            <v>7343</v>
          </cell>
          <cell r="B787" t="str">
            <v>CHOVEAU</v>
          </cell>
          <cell r="C787" t="str">
            <v>DANIEL</v>
          </cell>
          <cell r="D787" t="str">
            <v>LA MADELEINE</v>
          </cell>
          <cell r="E787">
            <v>16</v>
          </cell>
          <cell r="F787" t="str">
            <v>NC NUMERICABLE REGION NORD</v>
          </cell>
          <cell r="G787" t="str">
            <v>TRAVAUX</v>
          </cell>
          <cell r="H787" t="str">
            <v>LOTT</v>
          </cell>
          <cell r="I787" t="str">
            <v>NPCA300001</v>
          </cell>
          <cell r="J787">
            <v>100</v>
          </cell>
          <cell r="K787">
            <v>33451</v>
          </cell>
          <cell r="L787" t="str">
            <v>RESP. TRAVAUX</v>
          </cell>
          <cell r="M787" t="str">
            <v>CADRE</v>
          </cell>
          <cell r="N787" t="str">
            <v>E</v>
          </cell>
          <cell r="O787" t="str">
            <v>CDI</v>
          </cell>
          <cell r="P787">
            <v>151.57</v>
          </cell>
          <cell r="Q787">
            <v>2910</v>
          </cell>
          <cell r="R787">
            <v>1602.42</v>
          </cell>
          <cell r="S787">
            <v>0</v>
          </cell>
          <cell r="T787">
            <v>366.69</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335.71</v>
          </cell>
          <cell r="AO787">
            <v>0</v>
          </cell>
          <cell r="AP787">
            <v>0</v>
          </cell>
          <cell r="AQ787">
            <v>2641.43</v>
          </cell>
          <cell r="AR787">
            <v>0</v>
          </cell>
          <cell r="AS787">
            <v>0</v>
          </cell>
          <cell r="AT787">
            <v>0</v>
          </cell>
          <cell r="AU787">
            <v>0</v>
          </cell>
        </row>
        <row r="788">
          <cell r="A788">
            <v>9127</v>
          </cell>
          <cell r="B788" t="str">
            <v>BLANCKAERT</v>
          </cell>
          <cell r="C788" t="str">
            <v>PHILIPPE</v>
          </cell>
          <cell r="D788" t="str">
            <v>LA MADELEINE</v>
          </cell>
          <cell r="E788">
            <v>16</v>
          </cell>
          <cell r="F788" t="str">
            <v>NC NUMERICABLE REGION NORD</v>
          </cell>
          <cell r="G788" t="str">
            <v>MAINTENANCE RESEAU</v>
          </cell>
          <cell r="I788" t="str">
            <v>GENE905001</v>
          </cell>
          <cell r="J788">
            <v>100</v>
          </cell>
          <cell r="K788">
            <v>33451</v>
          </cell>
          <cell r="L788" t="str">
            <v>SUP. TECH. CLIENT</v>
          </cell>
          <cell r="M788" t="str">
            <v>TSM</v>
          </cell>
          <cell r="N788" t="str">
            <v>D</v>
          </cell>
          <cell r="O788" t="str">
            <v>CDI</v>
          </cell>
          <cell r="P788">
            <v>151.57</v>
          </cell>
          <cell r="Q788">
            <v>1845.02</v>
          </cell>
          <cell r="R788">
            <v>-214.25</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-164</v>
          </cell>
          <cell r="AN788">
            <v>198.7</v>
          </cell>
          <cell r="AO788">
            <v>-164</v>
          </cell>
          <cell r="AP788">
            <v>0</v>
          </cell>
          <cell r="AQ788">
            <v>1845.02</v>
          </cell>
          <cell r="AR788">
            <v>0</v>
          </cell>
          <cell r="AS788">
            <v>0</v>
          </cell>
          <cell r="AT788">
            <v>0</v>
          </cell>
          <cell r="AU788">
            <v>0</v>
          </cell>
        </row>
        <row r="789">
          <cell r="A789">
            <v>4046</v>
          </cell>
          <cell r="B789" t="str">
            <v>WARLOP</v>
          </cell>
          <cell r="C789" t="str">
            <v>PHILIPPE</v>
          </cell>
          <cell r="D789" t="str">
            <v>LA MADELEINE</v>
          </cell>
          <cell r="E789">
            <v>16</v>
          </cell>
          <cell r="F789" t="str">
            <v>NC NUMERICABLE REGION NORD</v>
          </cell>
          <cell r="G789" t="str">
            <v>CARTOGRAPHIE-DICT</v>
          </cell>
          <cell r="H789" t="str">
            <v>MARQUANT</v>
          </cell>
          <cell r="I789" t="str">
            <v>GENE320001</v>
          </cell>
          <cell r="J789">
            <v>100</v>
          </cell>
          <cell r="K789">
            <v>33451</v>
          </cell>
          <cell r="L789" t="str">
            <v>TECH.SUPP.NIV.2</v>
          </cell>
          <cell r="M789" t="str">
            <v>TSM</v>
          </cell>
          <cell r="N789" t="str">
            <v>D</v>
          </cell>
          <cell r="O789" t="str">
            <v>CDI</v>
          </cell>
          <cell r="P789">
            <v>151.57</v>
          </cell>
          <cell r="Q789">
            <v>1972.27</v>
          </cell>
          <cell r="R789">
            <v>786.72</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213.64</v>
          </cell>
          <cell r="AO789">
            <v>0</v>
          </cell>
          <cell r="AP789">
            <v>0</v>
          </cell>
          <cell r="AQ789">
            <v>1517.2</v>
          </cell>
          <cell r="AR789">
            <v>0</v>
          </cell>
          <cell r="AS789">
            <v>0</v>
          </cell>
          <cell r="AT789">
            <v>0</v>
          </cell>
          <cell r="AU789">
            <v>0</v>
          </cell>
        </row>
        <row r="790">
          <cell r="A790" t="str">
            <v>000A1654</v>
          </cell>
          <cell r="B790" t="str">
            <v>CHITTAPHONG</v>
          </cell>
          <cell r="C790" t="str">
            <v>KHAMKUT</v>
          </cell>
          <cell r="D790" t="str">
            <v>LILLE</v>
          </cell>
          <cell r="E790">
            <v>16</v>
          </cell>
          <cell r="F790" t="str">
            <v>NC NUMERICABLE REGION NORD</v>
          </cell>
          <cell r="H790" t="str">
            <v>DELSART</v>
          </cell>
          <cell r="I790" t="str">
            <v>NPCA507001</v>
          </cell>
          <cell r="J790">
            <v>100</v>
          </cell>
          <cell r="K790">
            <v>38782</v>
          </cell>
          <cell r="L790" t="str">
            <v>CONSEILLER CLIENTELE BOUTIQUE</v>
          </cell>
          <cell r="M790" t="str">
            <v>463E</v>
          </cell>
          <cell r="N790" t="str">
            <v>C</v>
          </cell>
          <cell r="O790" t="str">
            <v>CDI</v>
          </cell>
          <cell r="P790">
            <v>151.57</v>
          </cell>
          <cell r="Q790">
            <v>0</v>
          </cell>
          <cell r="R790">
            <v>921.33</v>
          </cell>
          <cell r="S790">
            <v>0</v>
          </cell>
          <cell r="T790">
            <v>363.22</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310.5</v>
          </cell>
          <cell r="AO790">
            <v>0</v>
          </cell>
          <cell r="AP790">
            <v>0</v>
          </cell>
          <cell r="AQ790">
            <v>1350</v>
          </cell>
          <cell r="AR790">
            <v>0</v>
          </cell>
          <cell r="AS790">
            <v>0</v>
          </cell>
          <cell r="AT790">
            <v>0</v>
          </cell>
          <cell r="AU790">
            <v>0</v>
          </cell>
        </row>
        <row r="791">
          <cell r="A791" t="str">
            <v>000BD162</v>
          </cell>
          <cell r="B791" t="str">
            <v>TEBBI</v>
          </cell>
          <cell r="C791" t="str">
            <v>SOREYA</v>
          </cell>
          <cell r="D791" t="str">
            <v>LYON CATN</v>
          </cell>
          <cell r="E791">
            <v>61</v>
          </cell>
          <cell r="F791" t="str">
            <v>NC NUMERICABLE RHONES-ALPES</v>
          </cell>
          <cell r="G791" t="str">
            <v>CATN 1ERE LIGNE</v>
          </cell>
          <cell r="I791" t="str">
            <v>GENE905001</v>
          </cell>
          <cell r="J791">
            <v>100</v>
          </cell>
          <cell r="K791">
            <v>35555</v>
          </cell>
          <cell r="L791" t="str">
            <v>CHARGE(E)CLIENTELE</v>
          </cell>
          <cell r="M791" t="str">
            <v>EMPLOYE</v>
          </cell>
          <cell r="N791" t="str">
            <v>C</v>
          </cell>
          <cell r="O791" t="str">
            <v>CDI</v>
          </cell>
          <cell r="P791">
            <v>121.33</v>
          </cell>
          <cell r="Q791">
            <v>1490.61</v>
          </cell>
          <cell r="R791">
            <v>218.75</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23.85</v>
          </cell>
          <cell r="AN791">
            <v>160.52000000000001</v>
          </cell>
          <cell r="AO791">
            <v>23.85</v>
          </cell>
          <cell r="AP791">
            <v>0</v>
          </cell>
          <cell r="AQ791">
            <v>1490.61</v>
          </cell>
          <cell r="AR791">
            <v>0</v>
          </cell>
          <cell r="AS791">
            <v>0</v>
          </cell>
          <cell r="AT791">
            <v>0</v>
          </cell>
          <cell r="AU791">
            <v>0</v>
          </cell>
        </row>
        <row r="792">
          <cell r="A792" t="str">
            <v>000BH067</v>
          </cell>
          <cell r="B792" t="str">
            <v>MANSEUR</v>
          </cell>
          <cell r="C792" t="str">
            <v>NORA</v>
          </cell>
          <cell r="D792" t="str">
            <v>LYON CATN</v>
          </cell>
          <cell r="E792">
            <v>61</v>
          </cell>
          <cell r="F792" t="str">
            <v>NC NUMERICABLE RHONES-ALPES</v>
          </cell>
          <cell r="G792" t="str">
            <v>CATN 1ERE LIGNE</v>
          </cell>
          <cell r="I792" t="str">
            <v>CLIE411001</v>
          </cell>
          <cell r="J792">
            <v>100</v>
          </cell>
          <cell r="K792">
            <v>36192</v>
          </cell>
          <cell r="L792" t="str">
            <v>CHARGE(E)CLIENTELE</v>
          </cell>
          <cell r="M792" t="str">
            <v>EMPLOYE</v>
          </cell>
          <cell r="N792" t="str">
            <v>C</v>
          </cell>
          <cell r="O792" t="str">
            <v>CDI</v>
          </cell>
          <cell r="P792">
            <v>123.77</v>
          </cell>
          <cell r="Q792">
            <v>1190.07</v>
          </cell>
          <cell r="R792">
            <v>347.82</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143.76</v>
          </cell>
          <cell r="AO792">
            <v>0</v>
          </cell>
          <cell r="AP792">
            <v>0</v>
          </cell>
          <cell r="AQ792">
            <v>1335.03</v>
          </cell>
          <cell r="AR792">
            <v>0</v>
          </cell>
          <cell r="AS792">
            <v>0</v>
          </cell>
          <cell r="AT792">
            <v>0</v>
          </cell>
          <cell r="AU792">
            <v>0</v>
          </cell>
        </row>
        <row r="793">
          <cell r="A793" t="str">
            <v>000BS167</v>
          </cell>
          <cell r="B793" t="str">
            <v>SIMONET</v>
          </cell>
          <cell r="C793" t="str">
            <v>ALEXIS</v>
          </cell>
          <cell r="D793" t="str">
            <v>LYON CATN</v>
          </cell>
          <cell r="E793">
            <v>61</v>
          </cell>
          <cell r="F793" t="str">
            <v>NC NUMERICABLE RHONES-ALPES</v>
          </cell>
          <cell r="G793" t="str">
            <v>CATN 1ERE LIGNE</v>
          </cell>
          <cell r="H793" t="str">
            <v>BAYARD</v>
          </cell>
          <cell r="I793" t="str">
            <v>CLIE411001</v>
          </cell>
          <cell r="J793">
            <v>100</v>
          </cell>
          <cell r="K793">
            <v>37622</v>
          </cell>
          <cell r="L793" t="str">
            <v>CHARGE(E)CLIENTELE</v>
          </cell>
          <cell r="M793" t="str">
            <v>EMPLOYE</v>
          </cell>
          <cell r="N793" t="str">
            <v>C</v>
          </cell>
          <cell r="O793" t="str">
            <v>CDI</v>
          </cell>
          <cell r="P793">
            <v>151.57</v>
          </cell>
          <cell r="Q793">
            <v>1372.65</v>
          </cell>
          <cell r="R793">
            <v>711.52</v>
          </cell>
          <cell r="S793">
            <v>0</v>
          </cell>
          <cell r="T793">
            <v>0</v>
          </cell>
          <cell r="U793">
            <v>0</v>
          </cell>
          <cell r="V793">
            <v>0</v>
          </cell>
          <cell r="W793">
            <v>153</v>
          </cell>
          <cell r="X793">
            <v>95</v>
          </cell>
          <cell r="Y793">
            <v>0</v>
          </cell>
          <cell r="Z793">
            <v>128</v>
          </cell>
          <cell r="AA793">
            <v>0</v>
          </cell>
          <cell r="AB793">
            <v>0</v>
          </cell>
          <cell r="AC793">
            <v>0</v>
          </cell>
          <cell r="AD793">
            <v>0</v>
          </cell>
          <cell r="AE793">
            <v>0</v>
          </cell>
          <cell r="AF793">
            <v>9.06</v>
          </cell>
          <cell r="AG793">
            <v>0</v>
          </cell>
          <cell r="AH793">
            <v>2.2599999999999998</v>
          </cell>
          <cell r="AI793">
            <v>0</v>
          </cell>
          <cell r="AJ793">
            <v>0</v>
          </cell>
          <cell r="AK793">
            <v>0</v>
          </cell>
          <cell r="AL793">
            <v>0</v>
          </cell>
          <cell r="AM793">
            <v>0</v>
          </cell>
          <cell r="AN793">
            <v>199.66</v>
          </cell>
          <cell r="AO793">
            <v>0</v>
          </cell>
          <cell r="AP793">
            <v>0</v>
          </cell>
          <cell r="AQ793">
            <v>1067.25</v>
          </cell>
          <cell r="AR793">
            <v>223</v>
          </cell>
          <cell r="AS793">
            <v>0</v>
          </cell>
          <cell r="AT793">
            <v>0</v>
          </cell>
          <cell r="AU793">
            <v>0</v>
          </cell>
        </row>
        <row r="794">
          <cell r="A794" t="str">
            <v>000BS162</v>
          </cell>
          <cell r="B794" t="str">
            <v>SILVY</v>
          </cell>
          <cell r="C794" t="str">
            <v>FANNY</v>
          </cell>
          <cell r="D794" t="str">
            <v>LYON CATN</v>
          </cell>
          <cell r="E794">
            <v>61</v>
          </cell>
          <cell r="F794" t="str">
            <v>NC NUMERICABLE RHONES-ALPES</v>
          </cell>
          <cell r="G794" t="str">
            <v>CATN VENTES</v>
          </cell>
          <cell r="I794" t="str">
            <v>GENE905001</v>
          </cell>
          <cell r="J794">
            <v>100</v>
          </cell>
          <cell r="K794">
            <v>37151</v>
          </cell>
          <cell r="L794" t="str">
            <v>TELECONSEILLER.COM</v>
          </cell>
          <cell r="M794" t="str">
            <v>EMPLOYE</v>
          </cell>
          <cell r="N794" t="str">
            <v>C</v>
          </cell>
          <cell r="O794" t="str">
            <v>CDI</v>
          </cell>
          <cell r="P794">
            <v>123.77</v>
          </cell>
          <cell r="Q794">
            <v>1020.41</v>
          </cell>
          <cell r="R794">
            <v>840.72</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3242.35</v>
          </cell>
          <cell r="AN794">
            <v>109.89</v>
          </cell>
          <cell r="AO794">
            <v>3242.35</v>
          </cell>
          <cell r="AP794">
            <v>0</v>
          </cell>
          <cell r="AQ794">
            <v>1020.41</v>
          </cell>
          <cell r="AR794">
            <v>0</v>
          </cell>
          <cell r="AS794">
            <v>0</v>
          </cell>
          <cell r="AT794">
            <v>0</v>
          </cell>
          <cell r="AU794">
            <v>0</v>
          </cell>
        </row>
        <row r="795">
          <cell r="A795" t="str">
            <v>000BG208</v>
          </cell>
          <cell r="B795" t="str">
            <v>GRANGE</v>
          </cell>
          <cell r="C795" t="str">
            <v>LAETITIA</v>
          </cell>
          <cell r="D795" t="str">
            <v>LYON CATN</v>
          </cell>
          <cell r="E795">
            <v>61</v>
          </cell>
          <cell r="F795" t="str">
            <v>NC NUMERICABLE RHONES-ALPES</v>
          </cell>
          <cell r="G795" t="str">
            <v>CATN VENTES</v>
          </cell>
          <cell r="I795" t="str">
            <v>GENE905001</v>
          </cell>
          <cell r="J795">
            <v>100</v>
          </cell>
          <cell r="K795">
            <v>36192</v>
          </cell>
          <cell r="L795" t="str">
            <v>TELECONSEILLER.COM</v>
          </cell>
          <cell r="M795" t="str">
            <v>EMPLOYE</v>
          </cell>
          <cell r="N795" t="str">
            <v>C</v>
          </cell>
          <cell r="O795" t="str">
            <v>CDI</v>
          </cell>
          <cell r="P795">
            <v>123.77</v>
          </cell>
          <cell r="Q795">
            <v>1020.41</v>
          </cell>
          <cell r="R795">
            <v>650.58000000000004</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2479.96</v>
          </cell>
          <cell r="AN795">
            <v>109.89</v>
          </cell>
          <cell r="AO795">
            <v>2479.96</v>
          </cell>
          <cell r="AP795">
            <v>0</v>
          </cell>
          <cell r="AQ795">
            <v>1020.41</v>
          </cell>
          <cell r="AR795">
            <v>0</v>
          </cell>
          <cell r="AS795">
            <v>0</v>
          </cell>
          <cell r="AT795">
            <v>0</v>
          </cell>
          <cell r="AU795">
            <v>0</v>
          </cell>
        </row>
        <row r="796">
          <cell r="A796" t="str">
            <v>000BA102</v>
          </cell>
          <cell r="B796" t="str">
            <v>AZOULAY</v>
          </cell>
          <cell r="C796" t="str">
            <v>BEATRICE</v>
          </cell>
          <cell r="D796" t="str">
            <v>LYON CATN</v>
          </cell>
          <cell r="E796">
            <v>61</v>
          </cell>
          <cell r="F796" t="str">
            <v>NC NUMERICABLE RHONES-ALPES</v>
          </cell>
          <cell r="G796" t="str">
            <v>CATN 1ERE LIGNE</v>
          </cell>
          <cell r="I796" t="str">
            <v>GENE905001</v>
          </cell>
          <cell r="J796">
            <v>100</v>
          </cell>
          <cell r="K796">
            <v>35639</v>
          </cell>
          <cell r="L796" t="str">
            <v>CHARGE(E)CLIENTELE</v>
          </cell>
          <cell r="M796" t="str">
            <v>EMPLOYE</v>
          </cell>
          <cell r="N796" t="str">
            <v>C</v>
          </cell>
          <cell r="O796" t="str">
            <v>CDI</v>
          </cell>
          <cell r="P796">
            <v>151.57</v>
          </cell>
          <cell r="Q796">
            <v>1865.69</v>
          </cell>
          <cell r="R796">
            <v>832.24</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168.42</v>
          </cell>
          <cell r="AN796">
            <v>192.86</v>
          </cell>
          <cell r="AO796">
            <v>0</v>
          </cell>
          <cell r="AP796">
            <v>0</v>
          </cell>
          <cell r="AQ796">
            <v>2034.11</v>
          </cell>
          <cell r="AR796">
            <v>0</v>
          </cell>
          <cell r="AS796">
            <v>0</v>
          </cell>
          <cell r="AT796">
            <v>0</v>
          </cell>
          <cell r="AU796">
            <v>0</v>
          </cell>
        </row>
        <row r="797">
          <cell r="A797" t="str">
            <v>000BB335</v>
          </cell>
          <cell r="B797" t="str">
            <v>FOUILLOUX</v>
          </cell>
          <cell r="C797" t="str">
            <v>AUDREY-MURIEL</v>
          </cell>
          <cell r="D797" t="str">
            <v>LYON CATN</v>
          </cell>
          <cell r="E797">
            <v>61</v>
          </cell>
          <cell r="F797" t="str">
            <v>NC NUMERICABLE RHONES-ALPES</v>
          </cell>
          <cell r="G797" t="str">
            <v>CATN SUPERVISEUR</v>
          </cell>
          <cell r="I797" t="str">
            <v>GENE905001</v>
          </cell>
          <cell r="J797">
            <v>100</v>
          </cell>
          <cell r="K797">
            <v>35782</v>
          </cell>
          <cell r="L797" t="str">
            <v>SUPERVISEUR CLT</v>
          </cell>
          <cell r="M797" t="str">
            <v>TSM</v>
          </cell>
          <cell r="N797" t="str">
            <v>D</v>
          </cell>
          <cell r="O797" t="str">
            <v>CDI</v>
          </cell>
          <cell r="P797">
            <v>151.57</v>
          </cell>
          <cell r="Q797">
            <v>1923.02</v>
          </cell>
          <cell r="R797">
            <v>272.32</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46.3</v>
          </cell>
          <cell r="AN797">
            <v>207.08</v>
          </cell>
          <cell r="AO797">
            <v>46.3</v>
          </cell>
          <cell r="AP797">
            <v>0</v>
          </cell>
          <cell r="AQ797">
            <v>1923.02</v>
          </cell>
          <cell r="AR797">
            <v>0</v>
          </cell>
          <cell r="AS797">
            <v>0</v>
          </cell>
          <cell r="AT797">
            <v>0</v>
          </cell>
          <cell r="AU797">
            <v>0</v>
          </cell>
        </row>
        <row r="798">
          <cell r="A798" t="str">
            <v>000BB377</v>
          </cell>
          <cell r="B798" t="str">
            <v>BONHEUR</v>
          </cell>
          <cell r="C798" t="str">
            <v>FABRICE</v>
          </cell>
          <cell r="D798" t="str">
            <v>LYON CATN</v>
          </cell>
          <cell r="E798">
            <v>61</v>
          </cell>
          <cell r="F798" t="str">
            <v>NC NUMERICABLE RHONES-ALPES</v>
          </cell>
          <cell r="G798" t="str">
            <v>CATN FIDELISATION</v>
          </cell>
          <cell r="H798" t="str">
            <v>BAYARD</v>
          </cell>
          <cell r="I798" t="str">
            <v>CLIE415001</v>
          </cell>
          <cell r="J798">
            <v>100</v>
          </cell>
          <cell r="K798">
            <v>36787</v>
          </cell>
          <cell r="L798" t="str">
            <v>CHARGE(E)CLIENTELE</v>
          </cell>
          <cell r="M798" t="str">
            <v>EMPLOYE</v>
          </cell>
          <cell r="N798" t="str">
            <v>C</v>
          </cell>
          <cell r="O798" t="str">
            <v>CDI</v>
          </cell>
          <cell r="P798">
            <v>123.77</v>
          </cell>
          <cell r="Q798">
            <v>1020.41</v>
          </cell>
          <cell r="R798">
            <v>185.28</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-0.01</v>
          </cell>
          <cell r="AR798">
            <v>0</v>
          </cell>
          <cell r="AS798">
            <v>0</v>
          </cell>
          <cell r="AT798">
            <v>0</v>
          </cell>
          <cell r="AU798">
            <v>0</v>
          </cell>
        </row>
        <row r="799">
          <cell r="A799" t="str">
            <v>000BZ016</v>
          </cell>
          <cell r="B799" t="str">
            <v>ZAMPICCHIATTI</v>
          </cell>
          <cell r="C799" t="str">
            <v>MARIANA</v>
          </cell>
          <cell r="D799" t="str">
            <v>LYON CATN</v>
          </cell>
          <cell r="E799">
            <v>61</v>
          </cell>
          <cell r="F799" t="str">
            <v>NC NUMERICABLE RHONES-ALPES</v>
          </cell>
          <cell r="G799" t="str">
            <v>COURRIER</v>
          </cell>
          <cell r="H799" t="str">
            <v>BAYARD</v>
          </cell>
          <cell r="I799" t="str">
            <v>CLIE410001</v>
          </cell>
          <cell r="J799">
            <v>100</v>
          </cell>
          <cell r="K799">
            <v>37634</v>
          </cell>
          <cell r="L799" t="str">
            <v>CHARGE(E)CLIENTELE</v>
          </cell>
          <cell r="M799" t="str">
            <v>EMPLOYE</v>
          </cell>
          <cell r="N799" t="str">
            <v>C</v>
          </cell>
          <cell r="O799" t="str">
            <v>CDI</v>
          </cell>
          <cell r="P799">
            <v>151.57</v>
          </cell>
          <cell r="Q799">
            <v>1545</v>
          </cell>
          <cell r="R799">
            <v>764.01</v>
          </cell>
          <cell r="S799">
            <v>0</v>
          </cell>
          <cell r="T799">
            <v>0</v>
          </cell>
          <cell r="U799">
            <v>0</v>
          </cell>
          <cell r="V799">
            <v>0</v>
          </cell>
          <cell r="W799">
            <v>163.22999999999999</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186.49</v>
          </cell>
          <cell r="AO799">
            <v>0</v>
          </cell>
          <cell r="AP799">
            <v>-29.03</v>
          </cell>
          <cell r="AQ799">
            <v>1396.83</v>
          </cell>
          <cell r="AR799">
            <v>0</v>
          </cell>
          <cell r="AS799">
            <v>0</v>
          </cell>
          <cell r="AT799">
            <v>0</v>
          </cell>
          <cell r="AU799">
            <v>0</v>
          </cell>
        </row>
        <row r="800">
          <cell r="A800" t="str">
            <v>000BP203</v>
          </cell>
          <cell r="B800" t="str">
            <v>PERRET</v>
          </cell>
          <cell r="C800" t="str">
            <v>ERIC</v>
          </cell>
          <cell r="D800" t="str">
            <v>LYON CATN</v>
          </cell>
          <cell r="E800">
            <v>61</v>
          </cell>
          <cell r="F800" t="str">
            <v>NC NUMERICABLE RHONES-ALPES</v>
          </cell>
          <cell r="G800" t="str">
            <v>CATN FIDELISATION</v>
          </cell>
          <cell r="H800" t="str">
            <v>BAYARD</v>
          </cell>
          <cell r="I800" t="str">
            <v>CLIE415001</v>
          </cell>
          <cell r="J800">
            <v>100</v>
          </cell>
          <cell r="K800">
            <v>37634</v>
          </cell>
          <cell r="L800" t="str">
            <v>CHARGE(E)CLIENTELE</v>
          </cell>
          <cell r="M800" t="str">
            <v>EMPLOYE</v>
          </cell>
          <cell r="N800" t="str">
            <v>C</v>
          </cell>
          <cell r="O800" t="str">
            <v>CDI</v>
          </cell>
          <cell r="P800">
            <v>151.57</v>
          </cell>
          <cell r="Q800">
            <v>1249.6099999999999</v>
          </cell>
          <cell r="R800">
            <v>1433.55</v>
          </cell>
          <cell r="S800">
            <v>0</v>
          </cell>
          <cell r="T800">
            <v>0</v>
          </cell>
          <cell r="U800">
            <v>0</v>
          </cell>
          <cell r="V800">
            <v>0</v>
          </cell>
          <cell r="W800">
            <v>1924.52</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386.63</v>
          </cell>
          <cell r="AO800">
            <v>0</v>
          </cell>
          <cell r="AP800">
            <v>0</v>
          </cell>
          <cell r="AQ800">
            <v>961.28</v>
          </cell>
          <cell r="AR800">
            <v>0</v>
          </cell>
          <cell r="AS800">
            <v>0</v>
          </cell>
          <cell r="AT800">
            <v>0</v>
          </cell>
          <cell r="AU800">
            <v>0</v>
          </cell>
        </row>
        <row r="801">
          <cell r="A801" t="str">
            <v>000BK042</v>
          </cell>
          <cell r="B801" t="str">
            <v>KUNSTMANN</v>
          </cell>
          <cell r="C801" t="str">
            <v>MICKAEL</v>
          </cell>
          <cell r="D801" t="str">
            <v>LYON CATN</v>
          </cell>
          <cell r="E801">
            <v>61</v>
          </cell>
          <cell r="F801" t="str">
            <v>NC NUMERICABLE RHONES-ALPES</v>
          </cell>
          <cell r="G801" t="str">
            <v>CATN FIDELISATION</v>
          </cell>
          <cell r="H801" t="str">
            <v>BAYARD</v>
          </cell>
          <cell r="I801" t="str">
            <v>CLIE415001</v>
          </cell>
          <cell r="J801">
            <v>100</v>
          </cell>
          <cell r="K801">
            <v>36192</v>
          </cell>
          <cell r="L801" t="str">
            <v>CHARGE(E)CLIENTELE</v>
          </cell>
          <cell r="M801" t="str">
            <v>EMPLOYE</v>
          </cell>
          <cell r="N801" t="str">
            <v>C</v>
          </cell>
          <cell r="O801" t="str">
            <v>CDI</v>
          </cell>
          <cell r="P801">
            <v>123.77</v>
          </cell>
          <cell r="Q801">
            <v>1020.41</v>
          </cell>
          <cell r="R801">
            <v>1575.04</v>
          </cell>
          <cell r="S801">
            <v>0</v>
          </cell>
          <cell r="T801">
            <v>0</v>
          </cell>
          <cell r="U801">
            <v>0</v>
          </cell>
          <cell r="V801">
            <v>0</v>
          </cell>
          <cell r="W801">
            <v>2291.08</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398.84</v>
          </cell>
          <cell r="AO801">
            <v>0</v>
          </cell>
          <cell r="AP801">
            <v>-167.72</v>
          </cell>
          <cell r="AQ801">
            <v>850.35</v>
          </cell>
          <cell r="AR801">
            <v>0</v>
          </cell>
          <cell r="AS801">
            <v>0</v>
          </cell>
          <cell r="AT801">
            <v>0</v>
          </cell>
          <cell r="AU801">
            <v>0</v>
          </cell>
        </row>
        <row r="802">
          <cell r="A802" t="str">
            <v>000BE034</v>
          </cell>
          <cell r="B802" t="str">
            <v>EPSTEIN</v>
          </cell>
          <cell r="C802" t="str">
            <v>ALAIN</v>
          </cell>
          <cell r="D802" t="str">
            <v>LYON CATN</v>
          </cell>
          <cell r="E802">
            <v>61</v>
          </cell>
          <cell r="F802" t="str">
            <v>NC NUMERICABLE RHONES-ALPES</v>
          </cell>
          <cell r="G802" t="str">
            <v>CATN SUPERVISEUR</v>
          </cell>
          <cell r="H802" t="str">
            <v>BRUNEL M</v>
          </cell>
          <cell r="I802" t="str">
            <v>CLIE411001</v>
          </cell>
          <cell r="J802">
            <v>100</v>
          </cell>
          <cell r="K802">
            <v>36620</v>
          </cell>
          <cell r="L802" t="str">
            <v>SUPERVISEUR CLT</v>
          </cell>
          <cell r="M802" t="str">
            <v>TSM</v>
          </cell>
          <cell r="N802" t="str">
            <v>D</v>
          </cell>
          <cell r="O802" t="str">
            <v>CDI</v>
          </cell>
          <cell r="P802">
            <v>151.57</v>
          </cell>
          <cell r="Q802">
            <v>1860.59</v>
          </cell>
          <cell r="R802">
            <v>1889.72</v>
          </cell>
          <cell r="S802">
            <v>0</v>
          </cell>
          <cell r="T802">
            <v>0</v>
          </cell>
          <cell r="U802">
            <v>0</v>
          </cell>
          <cell r="V802">
            <v>0</v>
          </cell>
          <cell r="W802">
            <v>224.21</v>
          </cell>
          <cell r="X802">
            <v>95</v>
          </cell>
          <cell r="Y802">
            <v>0</v>
          </cell>
          <cell r="Z802">
            <v>128</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514.85</v>
          </cell>
          <cell r="AO802">
            <v>0</v>
          </cell>
          <cell r="AP802">
            <v>0</v>
          </cell>
          <cell r="AQ802">
            <v>3646.53</v>
          </cell>
          <cell r="AR802">
            <v>223</v>
          </cell>
          <cell r="AS802">
            <v>0</v>
          </cell>
          <cell r="AT802">
            <v>0</v>
          </cell>
          <cell r="AU802">
            <v>0</v>
          </cell>
        </row>
        <row r="803">
          <cell r="A803" t="str">
            <v>000BS156</v>
          </cell>
          <cell r="B803" t="str">
            <v>SAMBARDIER</v>
          </cell>
          <cell r="C803" t="str">
            <v>LUDOVIC</v>
          </cell>
          <cell r="D803" t="str">
            <v>LYON CATN</v>
          </cell>
          <cell r="E803">
            <v>61</v>
          </cell>
          <cell r="F803" t="str">
            <v>NC NUMERICABLE RHONES-ALPES</v>
          </cell>
          <cell r="G803" t="str">
            <v>CATN 1ERE LIGNE</v>
          </cell>
          <cell r="I803" t="str">
            <v>GENE905001</v>
          </cell>
          <cell r="J803">
            <v>100</v>
          </cell>
          <cell r="K803">
            <v>36787</v>
          </cell>
          <cell r="L803" t="str">
            <v>CHARGE(E)CLIENTELE</v>
          </cell>
          <cell r="M803" t="str">
            <v>EMPLOYE</v>
          </cell>
          <cell r="N803" t="str">
            <v>C</v>
          </cell>
          <cell r="O803" t="str">
            <v>CDI</v>
          </cell>
          <cell r="P803">
            <v>151.57</v>
          </cell>
          <cell r="Q803">
            <v>1355.63</v>
          </cell>
          <cell r="R803">
            <v>198.47</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8.08</v>
          </cell>
          <cell r="AN803">
            <v>146</v>
          </cell>
          <cell r="AO803">
            <v>8.08</v>
          </cell>
          <cell r="AP803">
            <v>0</v>
          </cell>
          <cell r="AQ803">
            <v>1355.63</v>
          </cell>
          <cell r="AR803">
            <v>0</v>
          </cell>
          <cell r="AS803">
            <v>0</v>
          </cell>
          <cell r="AT803">
            <v>0</v>
          </cell>
          <cell r="AU803">
            <v>0</v>
          </cell>
        </row>
        <row r="804">
          <cell r="A804" t="str">
            <v>000BG221</v>
          </cell>
          <cell r="B804" t="str">
            <v>GIRARD</v>
          </cell>
          <cell r="C804" t="str">
            <v>OLIVIER</v>
          </cell>
          <cell r="D804" t="str">
            <v>LYON CATN</v>
          </cell>
          <cell r="E804">
            <v>61</v>
          </cell>
          <cell r="F804" t="str">
            <v>NC NUMERICABLE RHONES-ALPES</v>
          </cell>
          <cell r="G804" t="str">
            <v>CATN 2EME LIGNE</v>
          </cell>
          <cell r="H804" t="str">
            <v>CARET</v>
          </cell>
          <cell r="I804" t="str">
            <v>CLIE411001</v>
          </cell>
          <cell r="J804">
            <v>100</v>
          </cell>
          <cell r="K804">
            <v>37104</v>
          </cell>
          <cell r="L804" t="str">
            <v>CHARGE(E)CLIENTELE</v>
          </cell>
          <cell r="M804" t="str">
            <v>EMPLOYE</v>
          </cell>
          <cell r="N804" t="str">
            <v>C</v>
          </cell>
          <cell r="O804" t="str">
            <v>CDI</v>
          </cell>
          <cell r="P804">
            <v>151.57</v>
          </cell>
          <cell r="Q804">
            <v>1639.45</v>
          </cell>
          <cell r="R804">
            <v>876.09</v>
          </cell>
          <cell r="S804">
            <v>0</v>
          </cell>
          <cell r="T804">
            <v>0</v>
          </cell>
          <cell r="U804">
            <v>0</v>
          </cell>
          <cell r="V804">
            <v>0</v>
          </cell>
          <cell r="W804">
            <v>171</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194.97</v>
          </cell>
          <cell r="AO804">
            <v>0</v>
          </cell>
          <cell r="AP804">
            <v>0</v>
          </cell>
          <cell r="AQ804">
            <v>1639.45</v>
          </cell>
          <cell r="AR804">
            <v>0</v>
          </cell>
          <cell r="AS804">
            <v>0</v>
          </cell>
          <cell r="AT804">
            <v>0</v>
          </cell>
          <cell r="AU804">
            <v>0</v>
          </cell>
        </row>
        <row r="805">
          <cell r="A805" t="str">
            <v>000BP198</v>
          </cell>
          <cell r="B805" t="str">
            <v>PEAUT</v>
          </cell>
          <cell r="C805" t="str">
            <v>GUILLAUME</v>
          </cell>
          <cell r="D805" t="str">
            <v>LYON CATN</v>
          </cell>
          <cell r="E805">
            <v>61</v>
          </cell>
          <cell r="F805" t="str">
            <v>NC NUMERICABLE RHONES-ALPES</v>
          </cell>
          <cell r="G805" t="str">
            <v>CATN 2EME LIGNE</v>
          </cell>
          <cell r="H805" t="str">
            <v>BAYARD</v>
          </cell>
          <cell r="I805" t="str">
            <v>CLIE411001</v>
          </cell>
          <cell r="J805">
            <v>100</v>
          </cell>
          <cell r="K805">
            <v>37151</v>
          </cell>
          <cell r="L805" t="str">
            <v>CHARGE(E)CLIENTELE</v>
          </cell>
          <cell r="M805" t="str">
            <v>EMPLOYE</v>
          </cell>
          <cell r="N805" t="str">
            <v>C</v>
          </cell>
          <cell r="O805" t="str">
            <v>CDI</v>
          </cell>
          <cell r="P805">
            <v>151.57</v>
          </cell>
          <cell r="Q805">
            <v>1725.85</v>
          </cell>
          <cell r="R805">
            <v>806.52</v>
          </cell>
          <cell r="S805">
            <v>0</v>
          </cell>
          <cell r="T805">
            <v>0</v>
          </cell>
          <cell r="U805">
            <v>0</v>
          </cell>
          <cell r="V805">
            <v>0</v>
          </cell>
          <cell r="W805">
            <v>135</v>
          </cell>
          <cell r="X805">
            <v>95</v>
          </cell>
          <cell r="Y805">
            <v>0</v>
          </cell>
          <cell r="Z805">
            <v>192</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194.98</v>
          </cell>
          <cell r="AO805">
            <v>0</v>
          </cell>
          <cell r="AP805">
            <v>0</v>
          </cell>
          <cell r="AQ805">
            <v>1248</v>
          </cell>
          <cell r="AR805">
            <v>287</v>
          </cell>
          <cell r="AS805">
            <v>0</v>
          </cell>
          <cell r="AT805">
            <v>0</v>
          </cell>
          <cell r="AU805">
            <v>0</v>
          </cell>
        </row>
        <row r="806">
          <cell r="A806" t="str">
            <v>000BM133</v>
          </cell>
          <cell r="B806" t="str">
            <v>LAFAY</v>
          </cell>
          <cell r="C806" t="str">
            <v>CHRISTINE</v>
          </cell>
          <cell r="D806" t="str">
            <v>LYON CATN</v>
          </cell>
          <cell r="E806">
            <v>61</v>
          </cell>
          <cell r="F806" t="str">
            <v>NC NUMERICABLE RHONES-ALPES</v>
          </cell>
          <cell r="G806" t="str">
            <v>DIRECTION RESS HUM</v>
          </cell>
          <cell r="I806" t="str">
            <v>GENE905001</v>
          </cell>
          <cell r="J806">
            <v>100</v>
          </cell>
          <cell r="K806">
            <v>35002</v>
          </cell>
          <cell r="L806" t="str">
            <v>ASS.  RES. HUMAINES NIV.2</v>
          </cell>
          <cell r="M806" t="str">
            <v>TSM</v>
          </cell>
          <cell r="N806" t="str">
            <v>D</v>
          </cell>
          <cell r="O806" t="str">
            <v>CDI</v>
          </cell>
          <cell r="P806">
            <v>151.57</v>
          </cell>
          <cell r="Q806">
            <v>2002</v>
          </cell>
          <cell r="R806">
            <v>256.31</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-200.2</v>
          </cell>
          <cell r="AN806">
            <v>215.6</v>
          </cell>
          <cell r="AO806">
            <v>-200.2</v>
          </cell>
          <cell r="AP806">
            <v>0</v>
          </cell>
          <cell r="AQ806">
            <v>2002</v>
          </cell>
          <cell r="AR806">
            <v>0</v>
          </cell>
          <cell r="AS806">
            <v>0</v>
          </cell>
          <cell r="AT806">
            <v>0</v>
          </cell>
          <cell r="AU806">
            <v>0</v>
          </cell>
        </row>
        <row r="807">
          <cell r="A807" t="str">
            <v>000BG224</v>
          </cell>
          <cell r="B807" t="str">
            <v>GRIFFIT</v>
          </cell>
          <cell r="C807" t="str">
            <v>RENAUD</v>
          </cell>
          <cell r="D807" t="str">
            <v>LYON CATN</v>
          </cell>
          <cell r="E807">
            <v>61</v>
          </cell>
          <cell r="F807" t="str">
            <v>NC NUMERICABLE RHONES-ALPES</v>
          </cell>
          <cell r="G807" t="str">
            <v>CATN VENTES</v>
          </cell>
          <cell r="I807" t="str">
            <v>GENE905001</v>
          </cell>
          <cell r="J807">
            <v>100</v>
          </cell>
          <cell r="K807">
            <v>37186</v>
          </cell>
          <cell r="L807" t="str">
            <v>TELECONSEILLER.COM</v>
          </cell>
          <cell r="M807" t="str">
            <v>EMPLOYE</v>
          </cell>
          <cell r="N807" t="str">
            <v>C</v>
          </cell>
          <cell r="O807" t="str">
            <v>CDI</v>
          </cell>
          <cell r="P807">
            <v>123.77</v>
          </cell>
          <cell r="Q807">
            <v>1020.38</v>
          </cell>
          <cell r="R807">
            <v>338.35</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1235.71</v>
          </cell>
          <cell r="AN807">
            <v>109.89</v>
          </cell>
          <cell r="AO807">
            <v>1235.71</v>
          </cell>
          <cell r="AP807">
            <v>0</v>
          </cell>
          <cell r="AQ807">
            <v>1020.38</v>
          </cell>
          <cell r="AR807">
            <v>0</v>
          </cell>
          <cell r="AS807">
            <v>0</v>
          </cell>
          <cell r="AT807">
            <v>0</v>
          </cell>
          <cell r="AU807">
            <v>0</v>
          </cell>
        </row>
        <row r="808">
          <cell r="A808" t="str">
            <v>000BC245</v>
          </cell>
          <cell r="B808" t="str">
            <v>CARION</v>
          </cell>
          <cell r="C808" t="str">
            <v>ROBERT</v>
          </cell>
          <cell r="D808" t="str">
            <v>LYON CATN</v>
          </cell>
          <cell r="E808">
            <v>61</v>
          </cell>
          <cell r="F808" t="str">
            <v>NC NUMERICABLE RHONES-ALPES</v>
          </cell>
          <cell r="G808" t="str">
            <v>CATN SUPERVISEUR</v>
          </cell>
          <cell r="I808" t="str">
            <v>GENE905001</v>
          </cell>
          <cell r="J808">
            <v>100</v>
          </cell>
          <cell r="K808">
            <v>36100</v>
          </cell>
          <cell r="L808" t="str">
            <v>SUPERVISEUR CLT</v>
          </cell>
          <cell r="M808" t="str">
            <v>TSM</v>
          </cell>
          <cell r="N808" t="str">
            <v>D</v>
          </cell>
          <cell r="O808" t="str">
            <v>CDI</v>
          </cell>
          <cell r="P808">
            <v>151.57</v>
          </cell>
          <cell r="Q808">
            <v>1923.84</v>
          </cell>
          <cell r="R808">
            <v>294.64</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550.26</v>
          </cell>
          <cell r="AN808">
            <v>207.17</v>
          </cell>
          <cell r="AO808">
            <v>550.26</v>
          </cell>
          <cell r="AP808">
            <v>0</v>
          </cell>
          <cell r="AQ808">
            <v>1923.84</v>
          </cell>
          <cell r="AR808">
            <v>0</v>
          </cell>
          <cell r="AS808">
            <v>0</v>
          </cell>
          <cell r="AT808">
            <v>0</v>
          </cell>
          <cell r="AU808">
            <v>0</v>
          </cell>
        </row>
        <row r="809">
          <cell r="A809" t="str">
            <v>000BD220</v>
          </cell>
          <cell r="B809" t="str">
            <v>DELLIDJ</v>
          </cell>
          <cell r="C809" t="str">
            <v>ZINA</v>
          </cell>
          <cell r="D809" t="str">
            <v>LYON CATN</v>
          </cell>
          <cell r="E809">
            <v>61</v>
          </cell>
          <cell r="F809" t="str">
            <v>NC NUMERICABLE RHONES-ALPES</v>
          </cell>
          <cell r="G809" t="str">
            <v>CATN VENTES</v>
          </cell>
          <cell r="I809" t="str">
            <v>GENE905001</v>
          </cell>
          <cell r="J809">
            <v>100</v>
          </cell>
          <cell r="K809">
            <v>36526</v>
          </cell>
          <cell r="L809" t="str">
            <v>TELECONSEILLER.COM</v>
          </cell>
          <cell r="M809" t="str">
            <v>EMPLOYE</v>
          </cell>
          <cell r="N809" t="str">
            <v>C</v>
          </cell>
          <cell r="O809" t="str">
            <v>CDI</v>
          </cell>
          <cell r="P809">
            <v>123.77</v>
          </cell>
          <cell r="Q809">
            <v>1020.41</v>
          </cell>
          <cell r="R809">
            <v>707.64</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2708.53</v>
          </cell>
          <cell r="AN809">
            <v>109.88</v>
          </cell>
          <cell r="AO809">
            <v>2708.53</v>
          </cell>
          <cell r="AP809">
            <v>0</v>
          </cell>
          <cell r="AQ809">
            <v>1020.41</v>
          </cell>
          <cell r="AR809">
            <v>0</v>
          </cell>
          <cell r="AS809">
            <v>0</v>
          </cell>
          <cell r="AT809">
            <v>0</v>
          </cell>
          <cell r="AU809">
            <v>0</v>
          </cell>
        </row>
        <row r="810">
          <cell r="A810" t="str">
            <v>000BR159</v>
          </cell>
          <cell r="B810" t="str">
            <v>REBOUL</v>
          </cell>
          <cell r="C810" t="str">
            <v>ANNE-LAURE</v>
          </cell>
          <cell r="D810" t="str">
            <v>LYON CATN</v>
          </cell>
          <cell r="E810">
            <v>61</v>
          </cell>
          <cell r="F810" t="str">
            <v>NC NUMERICABLE RHONES-ALPES</v>
          </cell>
          <cell r="G810" t="str">
            <v>CLIENTELE</v>
          </cell>
          <cell r="H810" t="str">
            <v>CARET</v>
          </cell>
          <cell r="I810" t="str">
            <v>CLIE420001</v>
          </cell>
          <cell r="J810">
            <v>100</v>
          </cell>
          <cell r="K810">
            <v>36696</v>
          </cell>
          <cell r="L810" t="str">
            <v>SUPERVISEUR GEST CT COLLECTIF</v>
          </cell>
          <cell r="M810" t="str">
            <v>TSM</v>
          </cell>
          <cell r="N810" t="str">
            <v>D</v>
          </cell>
          <cell r="O810" t="str">
            <v>CDI</v>
          </cell>
          <cell r="P810">
            <v>151.57</v>
          </cell>
          <cell r="Q810">
            <v>2958</v>
          </cell>
          <cell r="R810">
            <v>1163.33</v>
          </cell>
          <cell r="S810">
            <v>0</v>
          </cell>
          <cell r="T810">
            <v>0</v>
          </cell>
          <cell r="U810">
            <v>0</v>
          </cell>
          <cell r="V810">
            <v>0</v>
          </cell>
          <cell r="W810">
            <v>240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262.77999999999997</v>
          </cell>
          <cell r="AO810">
            <v>0</v>
          </cell>
          <cell r="AP810">
            <v>0</v>
          </cell>
          <cell r="AQ810">
            <v>1996.95</v>
          </cell>
          <cell r="AR810">
            <v>0</v>
          </cell>
          <cell r="AS810">
            <v>0</v>
          </cell>
          <cell r="AT810">
            <v>0</v>
          </cell>
          <cell r="AU810">
            <v>0</v>
          </cell>
        </row>
        <row r="811">
          <cell r="A811" t="str">
            <v>000BC250</v>
          </cell>
          <cell r="B811" t="str">
            <v>COTTENDIN</v>
          </cell>
          <cell r="C811" t="str">
            <v>FLORENCE</v>
          </cell>
          <cell r="D811" t="str">
            <v>LYON CATN</v>
          </cell>
          <cell r="E811">
            <v>61</v>
          </cell>
          <cell r="F811" t="str">
            <v>NC NUMERICABLE RHONES-ALPES</v>
          </cell>
          <cell r="G811" t="str">
            <v>CATN FIDELISATION</v>
          </cell>
          <cell r="H811" t="str">
            <v>BAYARD</v>
          </cell>
          <cell r="I811" t="str">
            <v>CLIE415001</v>
          </cell>
          <cell r="J811">
            <v>100</v>
          </cell>
          <cell r="K811">
            <v>36192</v>
          </cell>
          <cell r="L811" t="str">
            <v>CHARGE(E)CLIENTELE</v>
          </cell>
          <cell r="M811" t="str">
            <v>EMPLOYE</v>
          </cell>
          <cell r="N811" t="str">
            <v>C</v>
          </cell>
          <cell r="O811" t="str">
            <v>CDI</v>
          </cell>
          <cell r="P811">
            <v>123.77</v>
          </cell>
          <cell r="Q811">
            <v>1020.41</v>
          </cell>
          <cell r="R811">
            <v>1678.87</v>
          </cell>
          <cell r="S811">
            <v>0</v>
          </cell>
          <cell r="T811">
            <v>0</v>
          </cell>
          <cell r="U811">
            <v>0</v>
          </cell>
          <cell r="V811">
            <v>0</v>
          </cell>
          <cell r="W811">
            <v>1799.17</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479.08</v>
          </cell>
          <cell r="AO811">
            <v>0</v>
          </cell>
          <cell r="AP811">
            <v>-125.79</v>
          </cell>
          <cell r="AQ811">
            <v>1785.09</v>
          </cell>
          <cell r="AR811">
            <v>0</v>
          </cell>
          <cell r="AS811">
            <v>0</v>
          </cell>
          <cell r="AT811">
            <v>0</v>
          </cell>
          <cell r="AU811">
            <v>0</v>
          </cell>
        </row>
        <row r="812">
          <cell r="A812" t="str">
            <v>000BM253</v>
          </cell>
          <cell r="B812" t="str">
            <v>MERE</v>
          </cell>
          <cell r="C812" t="str">
            <v>DENIS</v>
          </cell>
          <cell r="D812" t="str">
            <v>LYON CATN</v>
          </cell>
          <cell r="E812">
            <v>61</v>
          </cell>
          <cell r="F812" t="str">
            <v>NC NUMERICABLE RHONES-ALPES</v>
          </cell>
          <cell r="G812" t="str">
            <v>COURRIER</v>
          </cell>
          <cell r="H812" t="str">
            <v>BAYARD</v>
          </cell>
          <cell r="I812" t="str">
            <v>CLIE410001</v>
          </cell>
          <cell r="J812">
            <v>100</v>
          </cell>
          <cell r="K812">
            <v>36898</v>
          </cell>
          <cell r="L812" t="str">
            <v>CHARGE(E)CLIENTELE</v>
          </cell>
          <cell r="M812" t="str">
            <v>EMPLOYE</v>
          </cell>
          <cell r="N812" t="str">
            <v>C</v>
          </cell>
          <cell r="O812" t="str">
            <v>CDI</v>
          </cell>
          <cell r="P812">
            <v>151.57</v>
          </cell>
          <cell r="Q812">
            <v>1634.45</v>
          </cell>
          <cell r="R812">
            <v>766.04</v>
          </cell>
          <cell r="S812">
            <v>0</v>
          </cell>
          <cell r="T812">
            <v>0</v>
          </cell>
          <cell r="U812">
            <v>0</v>
          </cell>
          <cell r="V812">
            <v>0</v>
          </cell>
          <cell r="W812">
            <v>145.32</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194.35</v>
          </cell>
          <cell r="AO812">
            <v>0</v>
          </cell>
          <cell r="AP812">
            <v>0</v>
          </cell>
          <cell r="AQ812">
            <v>1408.17</v>
          </cell>
          <cell r="AR812">
            <v>0</v>
          </cell>
          <cell r="AS812">
            <v>0</v>
          </cell>
          <cell r="AT812">
            <v>0</v>
          </cell>
          <cell r="AU812">
            <v>0</v>
          </cell>
        </row>
        <row r="813">
          <cell r="A813" t="str">
            <v>OOOBA121</v>
          </cell>
          <cell r="B813" t="str">
            <v>ALLARD</v>
          </cell>
          <cell r="C813" t="str">
            <v>FRANCE</v>
          </cell>
          <cell r="D813" t="str">
            <v>LYON CATN</v>
          </cell>
          <cell r="E813">
            <v>61</v>
          </cell>
          <cell r="F813" t="str">
            <v>NC NUMERICABLE RHONES-ALPES</v>
          </cell>
          <cell r="G813" t="str">
            <v>COURRIER</v>
          </cell>
          <cell r="H813" t="str">
            <v>BAYARD</v>
          </cell>
          <cell r="I813" t="str">
            <v>CLIE410001</v>
          </cell>
          <cell r="J813">
            <v>100</v>
          </cell>
          <cell r="K813">
            <v>36192</v>
          </cell>
          <cell r="L813" t="str">
            <v>CHARGE(E)CLIENTELE</v>
          </cell>
          <cell r="M813" t="str">
            <v>EMPLOYE</v>
          </cell>
          <cell r="N813" t="str">
            <v>C</v>
          </cell>
          <cell r="O813" t="str">
            <v>CDI</v>
          </cell>
          <cell r="P813">
            <v>151.57</v>
          </cell>
          <cell r="Q813">
            <v>1552.32</v>
          </cell>
          <cell r="R813">
            <v>484.07</v>
          </cell>
          <cell r="S813">
            <v>0</v>
          </cell>
          <cell r="T813">
            <v>0</v>
          </cell>
          <cell r="U813">
            <v>0</v>
          </cell>
          <cell r="V813">
            <v>0</v>
          </cell>
          <cell r="W813">
            <v>108.82</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187.37</v>
          </cell>
          <cell r="AO813">
            <v>0</v>
          </cell>
          <cell r="AP813">
            <v>0</v>
          </cell>
          <cell r="AQ813">
            <v>1050.8699999999999</v>
          </cell>
          <cell r="AR813">
            <v>0</v>
          </cell>
          <cell r="AS813">
            <v>0</v>
          </cell>
          <cell r="AT813">
            <v>0</v>
          </cell>
          <cell r="AU813">
            <v>0</v>
          </cell>
        </row>
        <row r="814">
          <cell r="A814" t="str">
            <v>000BR153</v>
          </cell>
          <cell r="B814" t="str">
            <v>RANDON</v>
          </cell>
          <cell r="C814" t="str">
            <v>JADE</v>
          </cell>
          <cell r="D814" t="str">
            <v>LYON CATN</v>
          </cell>
          <cell r="E814">
            <v>61</v>
          </cell>
          <cell r="F814" t="str">
            <v>NC NUMERICABLE RHONES-ALPES</v>
          </cell>
          <cell r="G814" t="str">
            <v>CATN 1ERE LIGNE</v>
          </cell>
          <cell r="I814" t="str">
            <v>GENE905001</v>
          </cell>
          <cell r="J814">
            <v>100</v>
          </cell>
          <cell r="K814">
            <v>36192</v>
          </cell>
          <cell r="L814" t="str">
            <v>CHARGE(E)CLIENTELE</v>
          </cell>
          <cell r="M814" t="str">
            <v>EMPLOYE</v>
          </cell>
          <cell r="N814" t="str">
            <v>C</v>
          </cell>
          <cell r="O814" t="str">
            <v>CDI</v>
          </cell>
          <cell r="P814">
            <v>123.77</v>
          </cell>
          <cell r="Q814">
            <v>1182.73</v>
          </cell>
          <cell r="R814">
            <v>235.14</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562.34</v>
          </cell>
          <cell r="AN814">
            <v>127.37</v>
          </cell>
          <cell r="AO814">
            <v>562.34</v>
          </cell>
          <cell r="AP814">
            <v>0</v>
          </cell>
          <cell r="AQ814">
            <v>1182.73</v>
          </cell>
          <cell r="AR814">
            <v>0</v>
          </cell>
          <cell r="AS814">
            <v>0</v>
          </cell>
          <cell r="AT814">
            <v>0</v>
          </cell>
          <cell r="AU814">
            <v>0</v>
          </cell>
        </row>
        <row r="815">
          <cell r="A815" t="str">
            <v>000BS150</v>
          </cell>
          <cell r="B815" t="str">
            <v>SAIDI</v>
          </cell>
          <cell r="C815" t="str">
            <v>SONIA</v>
          </cell>
          <cell r="D815" t="str">
            <v>LYON CATN</v>
          </cell>
          <cell r="E815">
            <v>61</v>
          </cell>
          <cell r="F815" t="str">
            <v>NC NUMERICABLE RHONES-ALPES</v>
          </cell>
          <cell r="G815" t="str">
            <v>CATN 1ERE LIGNE</v>
          </cell>
          <cell r="H815" t="str">
            <v>BAYARD</v>
          </cell>
          <cell r="I815" t="str">
            <v>CLIE411001</v>
          </cell>
          <cell r="J815">
            <v>100</v>
          </cell>
          <cell r="K815">
            <v>36442</v>
          </cell>
          <cell r="L815" t="str">
            <v>CHARGE(E)CLIENTELE</v>
          </cell>
          <cell r="M815" t="str">
            <v>EMPLOYE</v>
          </cell>
          <cell r="N815" t="str">
            <v>C</v>
          </cell>
          <cell r="O815" t="str">
            <v>CDI</v>
          </cell>
          <cell r="P815">
            <v>123.77</v>
          </cell>
          <cell r="Q815">
            <v>1219.0899999999999</v>
          </cell>
          <cell r="R815">
            <v>734.1</v>
          </cell>
          <cell r="S815">
            <v>0</v>
          </cell>
          <cell r="T815">
            <v>0</v>
          </cell>
          <cell r="U815">
            <v>0</v>
          </cell>
          <cell r="V815">
            <v>0</v>
          </cell>
          <cell r="W815">
            <v>228.93</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155.91999999999999</v>
          </cell>
          <cell r="AO815">
            <v>0</v>
          </cell>
          <cell r="AP815">
            <v>0</v>
          </cell>
          <cell r="AQ815">
            <v>1219.0899999999999</v>
          </cell>
          <cell r="AR815">
            <v>0</v>
          </cell>
          <cell r="AS815">
            <v>0</v>
          </cell>
          <cell r="AT815">
            <v>0</v>
          </cell>
          <cell r="AU815">
            <v>0</v>
          </cell>
        </row>
        <row r="816">
          <cell r="A816" t="str">
            <v>000BG200</v>
          </cell>
          <cell r="B816" t="str">
            <v>GRIMA</v>
          </cell>
          <cell r="C816" t="str">
            <v>BRUNO</v>
          </cell>
          <cell r="D816" t="str">
            <v>LYON CATN</v>
          </cell>
          <cell r="E816">
            <v>61</v>
          </cell>
          <cell r="F816" t="str">
            <v>NC NUMERICABLE RHONES-ALPES</v>
          </cell>
          <cell r="G816" t="str">
            <v>CATN 2EME LIGNE</v>
          </cell>
          <cell r="H816" t="str">
            <v>PALLANCHON</v>
          </cell>
          <cell r="I816" t="str">
            <v>GENE905001</v>
          </cell>
          <cell r="J816">
            <v>100</v>
          </cell>
          <cell r="K816">
            <v>36100</v>
          </cell>
          <cell r="L816" t="str">
            <v>CHARGE(E)CLIENTELE</v>
          </cell>
          <cell r="M816" t="str">
            <v>EMPLOYE</v>
          </cell>
          <cell r="N816" t="str">
            <v>C</v>
          </cell>
          <cell r="O816" t="str">
            <v>CDI</v>
          </cell>
          <cell r="P816">
            <v>151.57</v>
          </cell>
          <cell r="Q816">
            <v>1686.17</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10000</v>
          </cell>
          <cell r="AP816">
            <v>0</v>
          </cell>
          <cell r="AQ816">
            <v>0</v>
          </cell>
          <cell r="AR816">
            <v>0</v>
          </cell>
          <cell r="AS816">
            <v>0</v>
          </cell>
          <cell r="AT816">
            <v>0</v>
          </cell>
          <cell r="AU816">
            <v>0</v>
          </cell>
        </row>
        <row r="817">
          <cell r="A817" t="str">
            <v>000BG222</v>
          </cell>
          <cell r="B817" t="str">
            <v>GUEDJ-COUTY</v>
          </cell>
          <cell r="C817" t="str">
            <v>FRANCOISE</v>
          </cell>
          <cell r="D817" t="str">
            <v>LYON CATN</v>
          </cell>
          <cell r="E817">
            <v>61</v>
          </cell>
          <cell r="F817" t="str">
            <v>NC NUMERICABLE RHONES-ALPES</v>
          </cell>
          <cell r="G817" t="str">
            <v>CATN FIDELISATION</v>
          </cell>
          <cell r="H817" t="str">
            <v>BAYARD</v>
          </cell>
          <cell r="I817" t="str">
            <v>CLIE415001</v>
          </cell>
          <cell r="J817">
            <v>100</v>
          </cell>
          <cell r="K817">
            <v>37151</v>
          </cell>
          <cell r="L817" t="str">
            <v>CHARGE(E)CLIENTELE</v>
          </cell>
          <cell r="M817" t="str">
            <v>EMPLOYE</v>
          </cell>
          <cell r="N817" t="str">
            <v>C</v>
          </cell>
          <cell r="O817" t="str">
            <v>CDI</v>
          </cell>
          <cell r="P817">
            <v>151.57</v>
          </cell>
          <cell r="Q817">
            <v>1249.6099999999999</v>
          </cell>
          <cell r="R817">
            <v>1638.55</v>
          </cell>
          <cell r="S817">
            <v>0</v>
          </cell>
          <cell r="T817">
            <v>0</v>
          </cell>
          <cell r="U817">
            <v>0</v>
          </cell>
          <cell r="V817">
            <v>0</v>
          </cell>
          <cell r="W817">
            <v>2056.17</v>
          </cell>
          <cell r="X817">
            <v>0</v>
          </cell>
          <cell r="Y817">
            <v>0</v>
          </cell>
          <cell r="Z817">
            <v>0</v>
          </cell>
          <cell r="AA817">
            <v>0</v>
          </cell>
          <cell r="AB817">
            <v>0</v>
          </cell>
          <cell r="AC817">
            <v>0</v>
          </cell>
          <cell r="AD817">
            <v>0</v>
          </cell>
          <cell r="AE817">
            <v>0</v>
          </cell>
          <cell r="AF817">
            <v>30.92</v>
          </cell>
          <cell r="AG817">
            <v>0</v>
          </cell>
          <cell r="AH817">
            <v>7.73</v>
          </cell>
          <cell r="AI817">
            <v>0</v>
          </cell>
          <cell r="AJ817">
            <v>0</v>
          </cell>
          <cell r="AK817">
            <v>0</v>
          </cell>
          <cell r="AL817">
            <v>0</v>
          </cell>
          <cell r="AM817">
            <v>0</v>
          </cell>
          <cell r="AN817">
            <v>368.86</v>
          </cell>
          <cell r="AO817">
            <v>0</v>
          </cell>
          <cell r="AP817">
            <v>-41.93</v>
          </cell>
          <cell r="AQ817">
            <v>1223.3800000000001</v>
          </cell>
          <cell r="AR817">
            <v>0</v>
          </cell>
          <cell r="AS817">
            <v>0</v>
          </cell>
          <cell r="AT817">
            <v>0</v>
          </cell>
          <cell r="AU817">
            <v>0</v>
          </cell>
        </row>
        <row r="818">
          <cell r="A818" t="str">
            <v>000BM268</v>
          </cell>
          <cell r="B818" t="str">
            <v>MOURGUE</v>
          </cell>
          <cell r="C818" t="str">
            <v>XAVIER</v>
          </cell>
          <cell r="D818" t="str">
            <v>LYON CATN</v>
          </cell>
          <cell r="E818">
            <v>61</v>
          </cell>
          <cell r="F818" t="str">
            <v>NC NUMERICABLE RHONES-ALPES</v>
          </cell>
          <cell r="G818" t="str">
            <v>CATN 1ERE LIGNE</v>
          </cell>
          <cell r="I818" t="str">
            <v>GENE905001</v>
          </cell>
          <cell r="J818">
            <v>100</v>
          </cell>
          <cell r="K818">
            <v>37622</v>
          </cell>
          <cell r="L818" t="str">
            <v>CHARGE(E)CLIENTELE</v>
          </cell>
          <cell r="M818" t="str">
            <v>EMPLOYE</v>
          </cell>
          <cell r="N818" t="str">
            <v>C</v>
          </cell>
          <cell r="O818" t="str">
            <v>CDI</v>
          </cell>
          <cell r="P818">
            <v>151.57</v>
          </cell>
          <cell r="Q818">
            <v>1352.65</v>
          </cell>
          <cell r="R818">
            <v>284.79000000000002</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191.23</v>
          </cell>
          <cell r="AN818">
            <v>141.93</v>
          </cell>
          <cell r="AO818">
            <v>13727.13</v>
          </cell>
          <cell r="AP818">
            <v>0</v>
          </cell>
          <cell r="AQ818">
            <v>124.84</v>
          </cell>
          <cell r="AR818">
            <v>0</v>
          </cell>
          <cell r="AS818">
            <v>0</v>
          </cell>
          <cell r="AT818">
            <v>0</v>
          </cell>
          <cell r="AU818">
            <v>0</v>
          </cell>
        </row>
        <row r="819">
          <cell r="A819" t="str">
            <v>000BC251</v>
          </cell>
          <cell r="B819" t="str">
            <v>CHATAIGNER</v>
          </cell>
          <cell r="C819" t="str">
            <v>ERIC</v>
          </cell>
          <cell r="D819" t="str">
            <v>LYON CATN</v>
          </cell>
          <cell r="E819">
            <v>61</v>
          </cell>
          <cell r="F819" t="str">
            <v>NC NUMERICABLE RHONES-ALPES</v>
          </cell>
          <cell r="G819" t="str">
            <v>CATN 1ERE LIGNE</v>
          </cell>
          <cell r="I819" t="str">
            <v>GENE905001</v>
          </cell>
          <cell r="J819">
            <v>100</v>
          </cell>
          <cell r="K819">
            <v>36283</v>
          </cell>
          <cell r="L819" t="str">
            <v>CHARGE(E)CLIENTELE</v>
          </cell>
          <cell r="M819" t="str">
            <v>EMPLOYE</v>
          </cell>
          <cell r="N819" t="str">
            <v>C</v>
          </cell>
          <cell r="O819" t="str">
            <v>CDI</v>
          </cell>
          <cell r="P819">
            <v>151.57</v>
          </cell>
          <cell r="Q819">
            <v>1375.63</v>
          </cell>
          <cell r="R819">
            <v>346.45</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201.18</v>
          </cell>
          <cell r="AN819">
            <v>148.15</v>
          </cell>
          <cell r="AO819">
            <v>201.18</v>
          </cell>
          <cell r="AP819">
            <v>0</v>
          </cell>
          <cell r="AQ819">
            <v>1375.63</v>
          </cell>
          <cell r="AR819">
            <v>0</v>
          </cell>
          <cell r="AS819">
            <v>0</v>
          </cell>
          <cell r="AT819">
            <v>0</v>
          </cell>
          <cell r="AU819">
            <v>0</v>
          </cell>
        </row>
        <row r="820">
          <cell r="A820" t="str">
            <v>000BD281</v>
          </cell>
          <cell r="B820" t="str">
            <v>DAHEL</v>
          </cell>
          <cell r="C820" t="str">
            <v>RUDY</v>
          </cell>
          <cell r="D820" t="str">
            <v>LYON CATN</v>
          </cell>
          <cell r="E820">
            <v>61</v>
          </cell>
          <cell r="F820" t="str">
            <v>NC NUMERICABLE RHONES-ALPES</v>
          </cell>
          <cell r="G820" t="str">
            <v>CATN 1ERE LIGNE</v>
          </cell>
          <cell r="I820" t="str">
            <v>GENE905001</v>
          </cell>
          <cell r="J820">
            <v>100</v>
          </cell>
          <cell r="K820">
            <v>37634</v>
          </cell>
          <cell r="L820" t="str">
            <v>CHARGE(E)CLIENTELE</v>
          </cell>
          <cell r="M820" t="str">
            <v>EMPLOYE</v>
          </cell>
          <cell r="N820" t="str">
            <v>C</v>
          </cell>
          <cell r="O820" t="str">
            <v>CDI</v>
          </cell>
          <cell r="P820">
            <v>151.57</v>
          </cell>
          <cell r="Q820">
            <v>1266.79</v>
          </cell>
          <cell r="R820">
            <v>284.24</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40.909999999999997</v>
          </cell>
          <cell r="AN820">
            <v>136.41999999999999</v>
          </cell>
          <cell r="AO820">
            <v>40.909999999999997</v>
          </cell>
          <cell r="AP820">
            <v>0</v>
          </cell>
          <cell r="AQ820">
            <v>1266.79</v>
          </cell>
          <cell r="AR820">
            <v>0</v>
          </cell>
          <cell r="AS820">
            <v>0</v>
          </cell>
          <cell r="AT820">
            <v>0</v>
          </cell>
          <cell r="AU820">
            <v>0</v>
          </cell>
        </row>
        <row r="821">
          <cell r="A821">
            <v>944</v>
          </cell>
          <cell r="B821" t="str">
            <v>CHARAS</v>
          </cell>
          <cell r="C821" t="str">
            <v>SAKINA</v>
          </cell>
          <cell r="D821" t="str">
            <v>LYON CATN</v>
          </cell>
          <cell r="E821">
            <v>61</v>
          </cell>
          <cell r="F821" t="str">
            <v>NC NUMERICABLE RHONES-ALPES</v>
          </cell>
          <cell r="G821" t="str">
            <v>CATN 1ERE LIGNE</v>
          </cell>
          <cell r="I821" t="str">
            <v>GENE905001</v>
          </cell>
          <cell r="J821">
            <v>100</v>
          </cell>
          <cell r="K821">
            <v>35583</v>
          </cell>
          <cell r="L821" t="str">
            <v>CHARGE(E)CLIENTELE</v>
          </cell>
          <cell r="M821" t="str">
            <v>EMPLOYE</v>
          </cell>
          <cell r="N821" t="str">
            <v>C</v>
          </cell>
          <cell r="O821" t="str">
            <v>CDI</v>
          </cell>
          <cell r="P821">
            <v>123.77</v>
          </cell>
          <cell r="Q821">
            <v>1377.19</v>
          </cell>
          <cell r="R821">
            <v>876.76</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233.67</v>
          </cell>
          <cell r="AG821">
            <v>0</v>
          </cell>
          <cell r="AH821">
            <v>58.42</v>
          </cell>
          <cell r="AI821">
            <v>0</v>
          </cell>
          <cell r="AJ821">
            <v>0</v>
          </cell>
          <cell r="AK821">
            <v>0</v>
          </cell>
          <cell r="AL821">
            <v>0</v>
          </cell>
          <cell r="AM821">
            <v>150.57</v>
          </cell>
          <cell r="AN821">
            <v>142.36000000000001</v>
          </cell>
          <cell r="AO821">
            <v>0</v>
          </cell>
          <cell r="AP821">
            <v>0</v>
          </cell>
          <cell r="AQ821">
            <v>1819.85</v>
          </cell>
          <cell r="AR821">
            <v>0</v>
          </cell>
          <cell r="AS821">
            <v>0</v>
          </cell>
          <cell r="AT821">
            <v>0</v>
          </cell>
          <cell r="AU821">
            <v>0</v>
          </cell>
        </row>
        <row r="822">
          <cell r="A822" t="str">
            <v>000BC252</v>
          </cell>
          <cell r="B822" t="str">
            <v>LAMOURETTE</v>
          </cell>
          <cell r="C822" t="str">
            <v>STEPHANIE</v>
          </cell>
          <cell r="D822" t="str">
            <v>LYON CATN</v>
          </cell>
          <cell r="E822">
            <v>61</v>
          </cell>
          <cell r="F822" t="str">
            <v>NC NUMERICABLE RHONES-ALPES</v>
          </cell>
          <cell r="G822" t="str">
            <v>CATN 1ERE LIGNE</v>
          </cell>
          <cell r="I822" t="str">
            <v>GENE905001</v>
          </cell>
          <cell r="J822">
            <v>100</v>
          </cell>
          <cell r="K822">
            <v>36381</v>
          </cell>
          <cell r="L822" t="str">
            <v>CHARGE(E)CLIENTELE</v>
          </cell>
          <cell r="M822" t="str">
            <v>EMPLOYE</v>
          </cell>
          <cell r="N822" t="str">
            <v>C</v>
          </cell>
          <cell r="O822" t="str">
            <v>CDI</v>
          </cell>
          <cell r="P822">
            <v>151.57</v>
          </cell>
          <cell r="Q822">
            <v>1447.65</v>
          </cell>
          <cell r="R822">
            <v>799.06</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417.42</v>
          </cell>
          <cell r="AN822">
            <v>0</v>
          </cell>
          <cell r="AO822">
            <v>0</v>
          </cell>
          <cell r="AP822">
            <v>0</v>
          </cell>
          <cell r="AQ822">
            <v>1865.07</v>
          </cell>
          <cell r="AR822">
            <v>0</v>
          </cell>
          <cell r="AS822">
            <v>0</v>
          </cell>
          <cell r="AT822">
            <v>0</v>
          </cell>
          <cell r="AU822">
            <v>0</v>
          </cell>
        </row>
        <row r="823">
          <cell r="A823" t="str">
            <v>000BD271</v>
          </cell>
          <cell r="B823" t="str">
            <v>DRISS</v>
          </cell>
          <cell r="C823" t="str">
            <v>MORAD</v>
          </cell>
          <cell r="D823" t="str">
            <v>LYON CATN</v>
          </cell>
          <cell r="E823">
            <v>61</v>
          </cell>
          <cell r="F823" t="str">
            <v>NC NUMERICABLE RHONES-ALPES</v>
          </cell>
          <cell r="G823" t="str">
            <v>CATN VENTES</v>
          </cell>
          <cell r="I823" t="str">
            <v>GENE905001</v>
          </cell>
          <cell r="J823">
            <v>100</v>
          </cell>
          <cell r="K823">
            <v>37104</v>
          </cell>
          <cell r="L823" t="str">
            <v>TELECONSEILLER.COM</v>
          </cell>
          <cell r="M823" t="str">
            <v>EMPLOYE</v>
          </cell>
          <cell r="N823" t="str">
            <v>C</v>
          </cell>
          <cell r="O823" t="str">
            <v>CDI</v>
          </cell>
          <cell r="P823">
            <v>123.77</v>
          </cell>
          <cell r="Q823">
            <v>1020.41</v>
          </cell>
          <cell r="R823">
            <v>761.16</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2923.36</v>
          </cell>
          <cell r="AN823">
            <v>109.88</v>
          </cell>
          <cell r="AO823">
            <v>2923.36</v>
          </cell>
          <cell r="AP823">
            <v>0</v>
          </cell>
          <cell r="AQ823">
            <v>1020.41</v>
          </cell>
          <cell r="AR823">
            <v>0</v>
          </cell>
          <cell r="AS823">
            <v>0</v>
          </cell>
          <cell r="AT823">
            <v>0</v>
          </cell>
          <cell r="AU823">
            <v>0</v>
          </cell>
        </row>
        <row r="824">
          <cell r="A824" t="str">
            <v>000BP185</v>
          </cell>
          <cell r="B824" t="str">
            <v>PHILIPPON</v>
          </cell>
          <cell r="C824" t="str">
            <v>ALAIN</v>
          </cell>
          <cell r="D824" t="str">
            <v>LYON CATN</v>
          </cell>
          <cell r="E824">
            <v>61</v>
          </cell>
          <cell r="F824" t="str">
            <v>NC NUMERICABLE RHONES-ALPES</v>
          </cell>
          <cell r="G824" t="str">
            <v>CATN 2EME LIGNE</v>
          </cell>
          <cell r="H824" t="str">
            <v>BAYARD</v>
          </cell>
          <cell r="I824" t="str">
            <v>CLIE411001</v>
          </cell>
          <cell r="J824">
            <v>100</v>
          </cell>
          <cell r="K824">
            <v>36696</v>
          </cell>
          <cell r="L824" t="str">
            <v>CHARGE(E)CLIENTELE</v>
          </cell>
          <cell r="M824" t="str">
            <v>EMPLOYE</v>
          </cell>
          <cell r="N824" t="str">
            <v>C</v>
          </cell>
          <cell r="O824" t="str">
            <v>CDI</v>
          </cell>
          <cell r="P824">
            <v>151.57</v>
          </cell>
          <cell r="Q824">
            <v>1701.86</v>
          </cell>
          <cell r="R824">
            <v>1075.68</v>
          </cell>
          <cell r="S824">
            <v>0</v>
          </cell>
          <cell r="T824">
            <v>0</v>
          </cell>
          <cell r="U824">
            <v>0</v>
          </cell>
          <cell r="V824">
            <v>0</v>
          </cell>
          <cell r="W824">
            <v>171</v>
          </cell>
          <cell r="X824">
            <v>95</v>
          </cell>
          <cell r="Y824">
            <v>0</v>
          </cell>
          <cell r="Z824">
            <v>192</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235.2</v>
          </cell>
          <cell r="AO824">
            <v>0</v>
          </cell>
          <cell r="AP824">
            <v>0</v>
          </cell>
          <cell r="AQ824">
            <v>1623.32</v>
          </cell>
          <cell r="AR824">
            <v>287</v>
          </cell>
          <cell r="AS824">
            <v>0</v>
          </cell>
          <cell r="AT824">
            <v>0</v>
          </cell>
          <cell r="AU824">
            <v>0</v>
          </cell>
        </row>
        <row r="825">
          <cell r="A825" t="str">
            <v>000BG213</v>
          </cell>
          <cell r="B825" t="str">
            <v>GUILLEREY</v>
          </cell>
          <cell r="C825" t="str">
            <v>ARNAUD</v>
          </cell>
          <cell r="D825" t="str">
            <v>LYON CATN</v>
          </cell>
          <cell r="E825">
            <v>61</v>
          </cell>
          <cell r="F825" t="str">
            <v>NC NUMERICABLE RHONES-ALPES</v>
          </cell>
          <cell r="G825" t="str">
            <v>CATN VENTES</v>
          </cell>
          <cell r="I825" t="str">
            <v>GENE905001</v>
          </cell>
          <cell r="J825">
            <v>100</v>
          </cell>
          <cell r="K825">
            <v>36442</v>
          </cell>
          <cell r="L825" t="str">
            <v>TELECONSEILLER.COM</v>
          </cell>
          <cell r="M825" t="str">
            <v>EMPLOYE</v>
          </cell>
          <cell r="N825" t="str">
            <v>C</v>
          </cell>
          <cell r="O825" t="str">
            <v>CDI</v>
          </cell>
          <cell r="P825">
            <v>123.77</v>
          </cell>
          <cell r="Q825">
            <v>1020.41</v>
          </cell>
          <cell r="R825">
            <v>706.05</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2702.05</v>
          </cell>
          <cell r="AN825">
            <v>109.9</v>
          </cell>
          <cell r="AO825">
            <v>2702.05</v>
          </cell>
          <cell r="AP825">
            <v>0</v>
          </cell>
          <cell r="AQ825">
            <v>1020.41</v>
          </cell>
          <cell r="AR825">
            <v>0</v>
          </cell>
          <cell r="AS825">
            <v>0</v>
          </cell>
          <cell r="AT825">
            <v>0</v>
          </cell>
          <cell r="AU825">
            <v>0</v>
          </cell>
        </row>
        <row r="826">
          <cell r="A826" t="str">
            <v>000BC268</v>
          </cell>
          <cell r="B826" t="str">
            <v>CARACO</v>
          </cell>
          <cell r="C826" t="str">
            <v>DENYS</v>
          </cell>
          <cell r="D826" t="str">
            <v>LYON CATN</v>
          </cell>
          <cell r="E826">
            <v>61</v>
          </cell>
          <cell r="F826" t="str">
            <v>NC NUMERICABLE RHONES-ALPES</v>
          </cell>
          <cell r="G826" t="str">
            <v>CATN 1ERE LIGNE</v>
          </cell>
          <cell r="H826" t="str">
            <v>BAYARD</v>
          </cell>
          <cell r="I826" t="str">
            <v>CLIE411001</v>
          </cell>
          <cell r="J826">
            <v>100</v>
          </cell>
          <cell r="K826">
            <v>37073</v>
          </cell>
          <cell r="L826" t="str">
            <v>CHARGE(E)CLIENTELE</v>
          </cell>
          <cell r="M826" t="str">
            <v>EMPLOYE</v>
          </cell>
          <cell r="N826" t="str">
            <v>C</v>
          </cell>
          <cell r="O826" t="str">
            <v>CDI</v>
          </cell>
          <cell r="P826">
            <v>151.57</v>
          </cell>
          <cell r="Q826">
            <v>1308.7</v>
          </cell>
          <cell r="R826">
            <v>523.69000000000005</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140.94</v>
          </cell>
          <cell r="AO826">
            <v>0</v>
          </cell>
          <cell r="AP826">
            <v>0</v>
          </cell>
          <cell r="AQ826">
            <v>1308.7</v>
          </cell>
          <cell r="AR826">
            <v>0</v>
          </cell>
          <cell r="AS826">
            <v>0</v>
          </cell>
          <cell r="AT826">
            <v>0</v>
          </cell>
          <cell r="AU826">
            <v>0</v>
          </cell>
        </row>
        <row r="827">
          <cell r="A827" t="str">
            <v>000BM180</v>
          </cell>
          <cell r="B827" t="str">
            <v>DEGY</v>
          </cell>
          <cell r="C827" t="str">
            <v>GARLONE</v>
          </cell>
          <cell r="D827" t="str">
            <v>LYON CATN</v>
          </cell>
          <cell r="E827">
            <v>61</v>
          </cell>
          <cell r="F827" t="str">
            <v>NC NUMERICABLE RHONES-ALPES</v>
          </cell>
          <cell r="G827" t="str">
            <v>CATN VENTES</v>
          </cell>
          <cell r="I827" t="str">
            <v>GENE905001</v>
          </cell>
          <cell r="J827">
            <v>100</v>
          </cell>
          <cell r="K827">
            <v>35551</v>
          </cell>
          <cell r="L827" t="str">
            <v>TELECONSEILLER.COM</v>
          </cell>
          <cell r="M827" t="str">
            <v>EMPLOYE</v>
          </cell>
          <cell r="N827" t="str">
            <v>C</v>
          </cell>
          <cell r="O827" t="str">
            <v>CDI</v>
          </cell>
          <cell r="P827">
            <v>123.77</v>
          </cell>
          <cell r="Q827">
            <v>1262.33</v>
          </cell>
          <cell r="R827">
            <v>604.54</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2031.04</v>
          </cell>
          <cell r="AN827">
            <v>135.94999999999999</v>
          </cell>
          <cell r="AO827">
            <v>2031.04</v>
          </cell>
          <cell r="AP827">
            <v>0</v>
          </cell>
          <cell r="AQ827">
            <v>1262.33</v>
          </cell>
          <cell r="AR827">
            <v>0</v>
          </cell>
          <cell r="AS827">
            <v>0</v>
          </cell>
          <cell r="AT827">
            <v>0</v>
          </cell>
          <cell r="AU827">
            <v>0</v>
          </cell>
        </row>
        <row r="828">
          <cell r="A828" t="str">
            <v>000BC277</v>
          </cell>
          <cell r="B828" t="str">
            <v>CHARPENET</v>
          </cell>
          <cell r="C828" t="str">
            <v>PIERRE</v>
          </cell>
          <cell r="D828" t="str">
            <v>LYON CATN</v>
          </cell>
          <cell r="E828">
            <v>61</v>
          </cell>
          <cell r="F828" t="str">
            <v>NC NUMERICABLE RHONES-ALPES</v>
          </cell>
          <cell r="G828" t="str">
            <v>CATN 1ERE LIGNE</v>
          </cell>
          <cell r="H828" t="str">
            <v>BAYARD</v>
          </cell>
          <cell r="I828" t="str">
            <v>CLIE411001</v>
          </cell>
          <cell r="J828">
            <v>100</v>
          </cell>
          <cell r="K828">
            <v>37697</v>
          </cell>
          <cell r="L828" t="str">
            <v>CHARGE(E)CLIENTELE</v>
          </cell>
          <cell r="M828" t="str">
            <v>EMPLOYE</v>
          </cell>
          <cell r="N828" t="str">
            <v>C</v>
          </cell>
          <cell r="O828" t="str">
            <v>CDI</v>
          </cell>
          <cell r="P828">
            <v>151.57</v>
          </cell>
          <cell r="Q828">
            <v>1606.85</v>
          </cell>
          <cell r="R828">
            <v>1060.94</v>
          </cell>
          <cell r="S828">
            <v>0</v>
          </cell>
          <cell r="T828">
            <v>0</v>
          </cell>
          <cell r="U828">
            <v>0</v>
          </cell>
          <cell r="V828">
            <v>0</v>
          </cell>
          <cell r="W828">
            <v>145.35</v>
          </cell>
          <cell r="X828">
            <v>95</v>
          </cell>
          <cell r="Y828">
            <v>0</v>
          </cell>
          <cell r="Z828">
            <v>192</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216.3</v>
          </cell>
          <cell r="AO828">
            <v>0</v>
          </cell>
          <cell r="AP828">
            <v>0</v>
          </cell>
          <cell r="AQ828">
            <v>1576.97</v>
          </cell>
          <cell r="AR828">
            <v>287</v>
          </cell>
          <cell r="AS828">
            <v>0</v>
          </cell>
          <cell r="AT828">
            <v>0</v>
          </cell>
          <cell r="AU828">
            <v>0</v>
          </cell>
        </row>
        <row r="829">
          <cell r="A829" t="str">
            <v>000BB379</v>
          </cell>
          <cell r="B829" t="str">
            <v>BOURINET</v>
          </cell>
          <cell r="C829" t="str">
            <v>DELPHINE</v>
          </cell>
          <cell r="D829" t="str">
            <v>LYON CATN</v>
          </cell>
          <cell r="E829">
            <v>61</v>
          </cell>
          <cell r="F829" t="str">
            <v>NC NUMERICABLE RHONES-ALPES</v>
          </cell>
          <cell r="G829" t="str">
            <v>CATN FIDELISATION</v>
          </cell>
          <cell r="H829" t="str">
            <v>BAYARD</v>
          </cell>
          <cell r="I829" t="str">
            <v>CLIE415001</v>
          </cell>
          <cell r="J829">
            <v>100</v>
          </cell>
          <cell r="K829">
            <v>36836</v>
          </cell>
          <cell r="L829" t="str">
            <v>CHARGE(E)CLIENTELE</v>
          </cell>
          <cell r="M829" t="str">
            <v>EMPLOYE</v>
          </cell>
          <cell r="N829" t="str">
            <v>C</v>
          </cell>
          <cell r="O829" t="str">
            <v>CDI</v>
          </cell>
          <cell r="P829">
            <v>123.77</v>
          </cell>
          <cell r="Q829">
            <v>1020.41</v>
          </cell>
          <cell r="R829">
            <v>1257.6099999999999</v>
          </cell>
          <cell r="S829">
            <v>0</v>
          </cell>
          <cell r="T829">
            <v>0</v>
          </cell>
          <cell r="U829">
            <v>0</v>
          </cell>
          <cell r="V829">
            <v>0</v>
          </cell>
          <cell r="W829">
            <v>1816.5</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419.14</v>
          </cell>
          <cell r="AO829">
            <v>0</v>
          </cell>
          <cell r="AP829">
            <v>0</v>
          </cell>
          <cell r="AQ829">
            <v>690.78</v>
          </cell>
          <cell r="AR829">
            <v>0</v>
          </cell>
          <cell r="AS829">
            <v>0</v>
          </cell>
          <cell r="AT829">
            <v>0</v>
          </cell>
          <cell r="AU829">
            <v>0</v>
          </cell>
        </row>
        <row r="830">
          <cell r="A830" t="str">
            <v>000BB005</v>
          </cell>
          <cell r="B830" t="str">
            <v>BATAILLE</v>
          </cell>
          <cell r="C830" t="str">
            <v>SYLVIE</v>
          </cell>
          <cell r="D830" t="str">
            <v>LYON CATN</v>
          </cell>
          <cell r="E830">
            <v>61</v>
          </cell>
          <cell r="F830" t="str">
            <v>NC NUMERICABLE RHONES-ALPES</v>
          </cell>
          <cell r="G830" t="str">
            <v>COURRIER</v>
          </cell>
          <cell r="H830" t="str">
            <v>BAYARD</v>
          </cell>
          <cell r="I830" t="str">
            <v>CLIE410001</v>
          </cell>
          <cell r="J830">
            <v>100</v>
          </cell>
          <cell r="K830">
            <v>33484</v>
          </cell>
          <cell r="L830" t="str">
            <v>CHARGE(E)CLIENTELE</v>
          </cell>
          <cell r="M830" t="str">
            <v>EMPLOYE</v>
          </cell>
          <cell r="N830" t="str">
            <v>C</v>
          </cell>
          <cell r="O830" t="str">
            <v>CDI</v>
          </cell>
          <cell r="P830">
            <v>123.77</v>
          </cell>
          <cell r="Q830">
            <v>1672.18</v>
          </cell>
          <cell r="R830">
            <v>810.13</v>
          </cell>
          <cell r="S830">
            <v>0</v>
          </cell>
          <cell r="T830">
            <v>0</v>
          </cell>
          <cell r="U830">
            <v>0</v>
          </cell>
          <cell r="V830">
            <v>0</v>
          </cell>
          <cell r="W830">
            <v>156.75</v>
          </cell>
          <cell r="X830">
            <v>0</v>
          </cell>
          <cell r="Y830">
            <v>0</v>
          </cell>
          <cell r="Z830">
            <v>0</v>
          </cell>
          <cell r="AA830">
            <v>0</v>
          </cell>
          <cell r="AB830">
            <v>0</v>
          </cell>
          <cell r="AC830">
            <v>0</v>
          </cell>
          <cell r="AD830">
            <v>0</v>
          </cell>
          <cell r="AE830">
            <v>0</v>
          </cell>
          <cell r="AF830">
            <v>96.6</v>
          </cell>
          <cell r="AG830">
            <v>14.52</v>
          </cell>
          <cell r="AH830">
            <v>16.89</v>
          </cell>
          <cell r="AI830">
            <v>0</v>
          </cell>
          <cell r="AJ830">
            <v>0</v>
          </cell>
          <cell r="AK830">
            <v>0</v>
          </cell>
          <cell r="AL830">
            <v>0</v>
          </cell>
          <cell r="AM830">
            <v>0</v>
          </cell>
          <cell r="AN830">
            <v>218.8</v>
          </cell>
          <cell r="AO830">
            <v>0</v>
          </cell>
          <cell r="AP830">
            <v>0</v>
          </cell>
          <cell r="AQ830">
            <v>1414.36</v>
          </cell>
          <cell r="AR830">
            <v>0</v>
          </cell>
          <cell r="AS830">
            <v>0</v>
          </cell>
          <cell r="AT830">
            <v>0</v>
          </cell>
          <cell r="AU830">
            <v>0</v>
          </cell>
        </row>
        <row r="831">
          <cell r="A831" t="str">
            <v>000BM238</v>
          </cell>
          <cell r="B831" t="str">
            <v>ABD-RABI</v>
          </cell>
          <cell r="C831" t="str">
            <v>MILOUD</v>
          </cell>
          <cell r="D831" t="str">
            <v>LYON CATN</v>
          </cell>
          <cell r="E831">
            <v>61</v>
          </cell>
          <cell r="F831" t="str">
            <v>NC NUMERICABLE RHONES-ALPES</v>
          </cell>
          <cell r="G831" t="str">
            <v>CATN VENTES</v>
          </cell>
          <cell r="I831" t="str">
            <v>GENE905001</v>
          </cell>
          <cell r="J831">
            <v>100</v>
          </cell>
          <cell r="K831">
            <v>36346</v>
          </cell>
          <cell r="L831" t="str">
            <v>TELECONSEILLER.COM</v>
          </cell>
          <cell r="M831" t="str">
            <v>EMPLOYE</v>
          </cell>
          <cell r="N831" t="str">
            <v>C</v>
          </cell>
          <cell r="O831" t="str">
            <v>CDI</v>
          </cell>
          <cell r="P831">
            <v>123.77</v>
          </cell>
          <cell r="Q831">
            <v>1020.41</v>
          </cell>
          <cell r="R831">
            <v>747.13</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2867.08</v>
          </cell>
          <cell r="AN831">
            <v>109.89</v>
          </cell>
          <cell r="AO831">
            <v>2867.08</v>
          </cell>
          <cell r="AP831">
            <v>0</v>
          </cell>
          <cell r="AQ831">
            <v>1020.41</v>
          </cell>
          <cell r="AR831">
            <v>0</v>
          </cell>
          <cell r="AS831">
            <v>0</v>
          </cell>
          <cell r="AT831">
            <v>0</v>
          </cell>
          <cell r="AU831">
            <v>0</v>
          </cell>
        </row>
        <row r="832">
          <cell r="A832" t="str">
            <v>000BBB38</v>
          </cell>
          <cell r="B832" t="str">
            <v>BONNEL</v>
          </cell>
          <cell r="C832" t="str">
            <v>PIERRE</v>
          </cell>
          <cell r="D832" t="str">
            <v>LYON CATN</v>
          </cell>
          <cell r="E832">
            <v>61</v>
          </cell>
          <cell r="F832" t="str">
            <v>NC NUMERICABLE RHONES-ALPES</v>
          </cell>
          <cell r="G832" t="str">
            <v>CATN 2EME LIGNE</v>
          </cell>
          <cell r="H832" t="str">
            <v>BAYARD</v>
          </cell>
          <cell r="I832" t="str">
            <v>CLIE411001</v>
          </cell>
          <cell r="J832">
            <v>100</v>
          </cell>
          <cell r="K832">
            <v>36898</v>
          </cell>
          <cell r="L832" t="str">
            <v>CHARGE(E)CLIENTELE</v>
          </cell>
          <cell r="M832" t="str">
            <v>EMPLOYE</v>
          </cell>
          <cell r="N832" t="str">
            <v>C</v>
          </cell>
          <cell r="O832" t="str">
            <v>CDI</v>
          </cell>
          <cell r="P832">
            <v>151.57</v>
          </cell>
          <cell r="Q832">
            <v>1627.41</v>
          </cell>
          <cell r="R832">
            <v>1094.79</v>
          </cell>
          <cell r="S832">
            <v>0</v>
          </cell>
          <cell r="T832">
            <v>0</v>
          </cell>
          <cell r="U832">
            <v>0</v>
          </cell>
          <cell r="V832">
            <v>0</v>
          </cell>
          <cell r="W832">
            <v>171</v>
          </cell>
          <cell r="X832">
            <v>95</v>
          </cell>
          <cell r="Y832">
            <v>0</v>
          </cell>
          <cell r="Z832">
            <v>192</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224.59</v>
          </cell>
          <cell r="AO832">
            <v>0</v>
          </cell>
          <cell r="AP832">
            <v>0</v>
          </cell>
          <cell r="AQ832">
            <v>1627.41</v>
          </cell>
          <cell r="AR832">
            <v>287</v>
          </cell>
          <cell r="AS832">
            <v>0</v>
          </cell>
          <cell r="AT832">
            <v>0</v>
          </cell>
          <cell r="AU832">
            <v>0</v>
          </cell>
        </row>
        <row r="833">
          <cell r="A833" t="str">
            <v>000BS155</v>
          </cell>
          <cell r="B833" t="str">
            <v>SOUMIREU-MOURAT</v>
          </cell>
          <cell r="C833" t="str">
            <v>ISABELLE</v>
          </cell>
          <cell r="D833" t="str">
            <v>LYON CATN</v>
          </cell>
          <cell r="E833">
            <v>61</v>
          </cell>
          <cell r="F833" t="str">
            <v>NC NUMERICABLE RHONES-ALPES</v>
          </cell>
          <cell r="G833" t="str">
            <v>CATN 1ERE LIGNE</v>
          </cell>
          <cell r="H833" t="str">
            <v>BAYARD</v>
          </cell>
          <cell r="I833" t="str">
            <v>CLIE411001</v>
          </cell>
          <cell r="J833">
            <v>100</v>
          </cell>
          <cell r="K833">
            <v>36787</v>
          </cell>
          <cell r="L833" t="str">
            <v>CONSEILLER RECLAMATION</v>
          </cell>
          <cell r="M833" t="str">
            <v>EMPLOYE</v>
          </cell>
          <cell r="N833" t="str">
            <v>C</v>
          </cell>
          <cell r="O833" t="str">
            <v>CDI</v>
          </cell>
          <cell r="P833">
            <v>121.33</v>
          </cell>
          <cell r="Q833">
            <v>1678.99</v>
          </cell>
          <cell r="R833">
            <v>638.96</v>
          </cell>
          <cell r="S833">
            <v>0</v>
          </cell>
          <cell r="T833">
            <v>0</v>
          </cell>
          <cell r="U833">
            <v>0</v>
          </cell>
          <cell r="V833">
            <v>0</v>
          </cell>
          <cell r="W833">
            <v>161.5</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163.76</v>
          </cell>
          <cell r="AO833">
            <v>0</v>
          </cell>
          <cell r="AP833">
            <v>0</v>
          </cell>
          <cell r="AQ833">
            <v>1044.8599999999999</v>
          </cell>
          <cell r="AR833">
            <v>0</v>
          </cell>
          <cell r="AS833">
            <v>0</v>
          </cell>
          <cell r="AT833">
            <v>0</v>
          </cell>
          <cell r="AU833">
            <v>0</v>
          </cell>
        </row>
        <row r="834">
          <cell r="A834" t="str">
            <v>000BT085</v>
          </cell>
          <cell r="B834" t="str">
            <v>TRABELSI</v>
          </cell>
          <cell r="C834" t="str">
            <v>RAJA</v>
          </cell>
          <cell r="D834" t="str">
            <v>LYON CATN</v>
          </cell>
          <cell r="E834">
            <v>61</v>
          </cell>
          <cell r="F834" t="str">
            <v>NC NUMERICABLE RHONES-ALPES</v>
          </cell>
          <cell r="G834" t="str">
            <v>CATN 1ERE LIGNE</v>
          </cell>
          <cell r="I834" t="str">
            <v>GENE905001</v>
          </cell>
          <cell r="J834">
            <v>100</v>
          </cell>
          <cell r="K834">
            <v>36787</v>
          </cell>
          <cell r="L834" t="str">
            <v>CHARGE(E)CLIENTELE</v>
          </cell>
          <cell r="M834" t="str">
            <v>EMPLOYE</v>
          </cell>
          <cell r="N834" t="str">
            <v>C</v>
          </cell>
          <cell r="O834" t="str">
            <v>CDI</v>
          </cell>
          <cell r="P834">
            <v>123.77</v>
          </cell>
          <cell r="Q834">
            <v>1152.82</v>
          </cell>
          <cell r="R834">
            <v>125.29</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-25.27</v>
          </cell>
          <cell r="AN834">
            <v>0</v>
          </cell>
          <cell r="AO834">
            <v>-25.27</v>
          </cell>
          <cell r="AP834">
            <v>0</v>
          </cell>
          <cell r="AQ834">
            <v>1152.82</v>
          </cell>
          <cell r="AR834">
            <v>0</v>
          </cell>
          <cell r="AS834">
            <v>0</v>
          </cell>
          <cell r="AT834">
            <v>0</v>
          </cell>
          <cell r="AU834">
            <v>0</v>
          </cell>
        </row>
        <row r="835">
          <cell r="A835" t="str">
            <v>000BV076</v>
          </cell>
          <cell r="B835" t="str">
            <v>VITALLI</v>
          </cell>
          <cell r="C835" t="str">
            <v>BEATRICE</v>
          </cell>
          <cell r="D835" t="str">
            <v>LYON CATN</v>
          </cell>
          <cell r="E835">
            <v>61</v>
          </cell>
          <cell r="F835" t="str">
            <v>NC NUMERICABLE RHONES-ALPES</v>
          </cell>
          <cell r="G835" t="str">
            <v>CATN GENERALISTE</v>
          </cell>
          <cell r="I835" t="str">
            <v>GENE905001</v>
          </cell>
          <cell r="J835">
            <v>100</v>
          </cell>
          <cell r="K835">
            <v>35577</v>
          </cell>
          <cell r="L835" t="str">
            <v>CHARGE(E)CLIENTELE</v>
          </cell>
          <cell r="M835" t="str">
            <v>EMPLOYE</v>
          </cell>
          <cell r="N835" t="str">
            <v>C</v>
          </cell>
          <cell r="O835" t="str">
            <v>CDI</v>
          </cell>
          <cell r="P835">
            <v>151.57</v>
          </cell>
          <cell r="Q835">
            <v>2030.91</v>
          </cell>
          <cell r="R835">
            <v>395.92</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624.6</v>
          </cell>
          <cell r="AN835">
            <v>218.72</v>
          </cell>
          <cell r="AO835">
            <v>624.6</v>
          </cell>
          <cell r="AP835">
            <v>0</v>
          </cell>
          <cell r="AQ835">
            <v>2030.91</v>
          </cell>
          <cell r="AR835">
            <v>0</v>
          </cell>
          <cell r="AS835">
            <v>0</v>
          </cell>
          <cell r="AT835">
            <v>0</v>
          </cell>
          <cell r="AU835">
            <v>0</v>
          </cell>
        </row>
        <row r="836">
          <cell r="A836" t="str">
            <v>000BC260</v>
          </cell>
          <cell r="B836" t="str">
            <v>COLLONGEAT</v>
          </cell>
          <cell r="C836" t="str">
            <v>RENE</v>
          </cell>
          <cell r="D836" t="str">
            <v>LYON CATN</v>
          </cell>
          <cell r="E836">
            <v>61</v>
          </cell>
          <cell r="F836" t="str">
            <v>NC NUMERICABLE RHONES-ALPES</v>
          </cell>
          <cell r="G836" t="str">
            <v>CATN 2EME LIGNE</v>
          </cell>
          <cell r="I836" t="str">
            <v>GENE905001</v>
          </cell>
          <cell r="J836">
            <v>100</v>
          </cell>
          <cell r="K836">
            <v>36620</v>
          </cell>
          <cell r="L836" t="str">
            <v>CHARGE(E)CLIENTELE</v>
          </cell>
          <cell r="M836" t="str">
            <v>EMPLOYE</v>
          </cell>
          <cell r="N836" t="str">
            <v>C</v>
          </cell>
          <cell r="O836" t="str">
            <v>CDI</v>
          </cell>
          <cell r="P836">
            <v>151.57</v>
          </cell>
          <cell r="Q836">
            <v>1627.41</v>
          </cell>
          <cell r="R836">
            <v>258</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257.43</v>
          </cell>
          <cell r="AN836">
            <v>175.27</v>
          </cell>
          <cell r="AO836">
            <v>257.43</v>
          </cell>
          <cell r="AP836">
            <v>0</v>
          </cell>
          <cell r="AQ836">
            <v>1627.41</v>
          </cell>
          <cell r="AR836">
            <v>0</v>
          </cell>
          <cell r="AS836">
            <v>0</v>
          </cell>
          <cell r="AT836">
            <v>0</v>
          </cell>
          <cell r="AU836">
            <v>0</v>
          </cell>
        </row>
        <row r="837">
          <cell r="A837" t="str">
            <v>000BP199</v>
          </cell>
          <cell r="B837" t="str">
            <v>POZO</v>
          </cell>
          <cell r="C837" t="str">
            <v>ERIC</v>
          </cell>
          <cell r="D837" t="str">
            <v>LYON CATN</v>
          </cell>
          <cell r="E837">
            <v>61</v>
          </cell>
          <cell r="F837" t="str">
            <v>NC NUMERICABLE RHONES-ALPES</v>
          </cell>
          <cell r="G837" t="str">
            <v>CATN 2EME LIGNE</v>
          </cell>
          <cell r="H837" t="str">
            <v>BAYARD</v>
          </cell>
          <cell r="I837" t="str">
            <v>CLIE411001</v>
          </cell>
          <cell r="J837">
            <v>100</v>
          </cell>
          <cell r="K837">
            <v>37186</v>
          </cell>
          <cell r="L837" t="str">
            <v>CHARGE(E)CLIENTELE</v>
          </cell>
          <cell r="M837" t="str">
            <v>EMPLOYE</v>
          </cell>
          <cell r="N837" t="str">
            <v>C</v>
          </cell>
          <cell r="O837" t="str">
            <v>CDI</v>
          </cell>
          <cell r="P837">
            <v>151.57</v>
          </cell>
          <cell r="Q837">
            <v>2292.67</v>
          </cell>
          <cell r="R837">
            <v>876.94</v>
          </cell>
          <cell r="S837">
            <v>0</v>
          </cell>
          <cell r="T837">
            <v>0</v>
          </cell>
          <cell r="U837">
            <v>0</v>
          </cell>
          <cell r="V837">
            <v>0</v>
          </cell>
          <cell r="W837">
            <v>128.25</v>
          </cell>
          <cell r="X837">
            <v>95</v>
          </cell>
          <cell r="Y837">
            <v>0</v>
          </cell>
          <cell r="Z837">
            <v>128</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218.32</v>
          </cell>
          <cell r="AO837">
            <v>0</v>
          </cell>
          <cell r="AP837">
            <v>0</v>
          </cell>
          <cell r="AQ837">
            <v>1304.6600000000001</v>
          </cell>
          <cell r="AR837">
            <v>223</v>
          </cell>
          <cell r="AS837">
            <v>0</v>
          </cell>
          <cell r="AT837">
            <v>0</v>
          </cell>
          <cell r="AU837">
            <v>0</v>
          </cell>
        </row>
        <row r="838">
          <cell r="A838" t="str">
            <v>000BM014</v>
          </cell>
          <cell r="B838" t="str">
            <v>CARTON</v>
          </cell>
          <cell r="C838" t="str">
            <v>SANDRINE</v>
          </cell>
          <cell r="D838" t="str">
            <v>LYON GARIBALDI</v>
          </cell>
          <cell r="E838">
            <v>61</v>
          </cell>
          <cell r="F838" t="str">
            <v>NC NUMERICABLE RHONES-ALPES</v>
          </cell>
          <cell r="G838" t="str">
            <v>DIRECTION REGIONALE</v>
          </cell>
          <cell r="H838" t="str">
            <v>DONT</v>
          </cell>
          <cell r="I838" t="str">
            <v>RHON520001</v>
          </cell>
          <cell r="J838">
            <v>100</v>
          </cell>
          <cell r="K838">
            <v>32510</v>
          </cell>
          <cell r="L838" t="str">
            <v>ASSISTANT(E) NIV. 2</v>
          </cell>
          <cell r="M838" t="str">
            <v>TSM</v>
          </cell>
          <cell r="N838" t="str">
            <v>D</v>
          </cell>
          <cell r="O838" t="str">
            <v>CDI</v>
          </cell>
          <cell r="P838">
            <v>151.57</v>
          </cell>
          <cell r="Q838">
            <v>1914.27</v>
          </cell>
          <cell r="R838">
            <v>1026.82</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206.16</v>
          </cell>
          <cell r="AO838">
            <v>0</v>
          </cell>
          <cell r="AP838">
            <v>0</v>
          </cell>
          <cell r="AQ838">
            <v>1914.27</v>
          </cell>
          <cell r="AR838">
            <v>0</v>
          </cell>
          <cell r="AS838">
            <v>0</v>
          </cell>
          <cell r="AT838">
            <v>0</v>
          </cell>
          <cell r="AU838">
            <v>0</v>
          </cell>
        </row>
        <row r="839">
          <cell r="A839" t="str">
            <v>000BC265</v>
          </cell>
          <cell r="B839" t="str">
            <v>COIFFET</v>
          </cell>
          <cell r="C839" t="str">
            <v>YANN</v>
          </cell>
          <cell r="D839" t="str">
            <v>LYON CATN</v>
          </cell>
          <cell r="E839">
            <v>61</v>
          </cell>
          <cell r="F839" t="str">
            <v>NC NUMERICABLE RHONES-ALPES</v>
          </cell>
          <cell r="G839" t="str">
            <v>CATN FIDELISATION</v>
          </cell>
          <cell r="H839" t="str">
            <v>BAYARD</v>
          </cell>
          <cell r="I839" t="str">
            <v>CLIE415001</v>
          </cell>
          <cell r="J839">
            <v>100</v>
          </cell>
          <cell r="K839">
            <v>36815</v>
          </cell>
          <cell r="L839" t="str">
            <v>CHARGE(E)CLIENTELE</v>
          </cell>
          <cell r="M839" t="str">
            <v>EMPLOYE</v>
          </cell>
          <cell r="N839" t="str">
            <v>C</v>
          </cell>
          <cell r="O839" t="str">
            <v>CDI</v>
          </cell>
          <cell r="P839">
            <v>123.77</v>
          </cell>
          <cell r="Q839">
            <v>1020.41</v>
          </cell>
          <cell r="R839">
            <v>743.65</v>
          </cell>
          <cell r="S839">
            <v>0</v>
          </cell>
          <cell r="T839">
            <v>0</v>
          </cell>
          <cell r="U839">
            <v>0</v>
          </cell>
          <cell r="V839">
            <v>0</v>
          </cell>
          <cell r="W839">
            <v>786.25</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278.32</v>
          </cell>
          <cell r="AO839">
            <v>0</v>
          </cell>
          <cell r="AP839">
            <v>-209.65</v>
          </cell>
          <cell r="AQ839">
            <v>701.9</v>
          </cell>
          <cell r="AR839">
            <v>0</v>
          </cell>
          <cell r="AS839">
            <v>0</v>
          </cell>
          <cell r="AT839">
            <v>0</v>
          </cell>
          <cell r="AU839">
            <v>0</v>
          </cell>
        </row>
        <row r="840">
          <cell r="A840" t="str">
            <v>000BA117</v>
          </cell>
          <cell r="B840" t="str">
            <v>ANDRIANO</v>
          </cell>
          <cell r="C840" t="str">
            <v>LUIGI</v>
          </cell>
          <cell r="D840" t="str">
            <v>LYON CATN</v>
          </cell>
          <cell r="E840">
            <v>61</v>
          </cell>
          <cell r="F840" t="str">
            <v>NC NUMERICABLE RHONES-ALPES</v>
          </cell>
          <cell r="G840" t="str">
            <v>CATN VENTES</v>
          </cell>
          <cell r="I840" t="str">
            <v>GENE905001</v>
          </cell>
          <cell r="J840">
            <v>100</v>
          </cell>
          <cell r="K840">
            <v>35982</v>
          </cell>
          <cell r="L840" t="str">
            <v>TELECONSEILLER.COM</v>
          </cell>
          <cell r="M840" t="str">
            <v>EMPLOYE</v>
          </cell>
          <cell r="N840" t="str">
            <v>C</v>
          </cell>
          <cell r="O840" t="str">
            <v>CDI</v>
          </cell>
          <cell r="P840">
            <v>123.77</v>
          </cell>
          <cell r="Q840">
            <v>1020.41</v>
          </cell>
          <cell r="R840">
            <v>704.64</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2696.44</v>
          </cell>
          <cell r="AN840">
            <v>109.89</v>
          </cell>
          <cell r="AO840">
            <v>2696.44</v>
          </cell>
          <cell r="AP840">
            <v>0</v>
          </cell>
          <cell r="AQ840">
            <v>1020.41</v>
          </cell>
          <cell r="AR840">
            <v>0</v>
          </cell>
          <cell r="AS840">
            <v>0</v>
          </cell>
          <cell r="AT840">
            <v>0</v>
          </cell>
          <cell r="AU840">
            <v>0</v>
          </cell>
        </row>
        <row r="841">
          <cell r="A841" t="str">
            <v>000BA141</v>
          </cell>
          <cell r="B841" t="str">
            <v>ATHUIL</v>
          </cell>
          <cell r="C841" t="str">
            <v>DAVY</v>
          </cell>
          <cell r="D841" t="str">
            <v>LYON CATN</v>
          </cell>
          <cell r="E841">
            <v>61</v>
          </cell>
          <cell r="F841" t="str">
            <v>NC NUMERICABLE RHONES-ALPES</v>
          </cell>
          <cell r="G841" t="str">
            <v>CATN 1ERE LIGNE</v>
          </cell>
          <cell r="I841" t="str">
            <v>GENE905001</v>
          </cell>
          <cell r="J841">
            <v>100</v>
          </cell>
          <cell r="K841">
            <v>37431</v>
          </cell>
          <cell r="L841" t="str">
            <v>CHARGE(E)CLIENTELE</v>
          </cell>
          <cell r="M841" t="str">
            <v>EMPLOYE</v>
          </cell>
          <cell r="N841" t="str">
            <v>C</v>
          </cell>
          <cell r="O841" t="str">
            <v>CDI</v>
          </cell>
          <cell r="P841">
            <v>151.57</v>
          </cell>
          <cell r="Q841">
            <v>1359.12</v>
          </cell>
          <cell r="R841">
            <v>921.93</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71.739999999999995</v>
          </cell>
          <cell r="AG841">
            <v>0</v>
          </cell>
          <cell r="AH841">
            <v>17.940000000000001</v>
          </cell>
          <cell r="AI841">
            <v>0</v>
          </cell>
          <cell r="AJ841">
            <v>0</v>
          </cell>
          <cell r="AK841">
            <v>0</v>
          </cell>
          <cell r="AL841">
            <v>0</v>
          </cell>
          <cell r="AM841">
            <v>607.83000000000004</v>
          </cell>
          <cell r="AN841">
            <v>9.65</v>
          </cell>
          <cell r="AO841">
            <v>0</v>
          </cell>
          <cell r="AP841">
            <v>0</v>
          </cell>
          <cell r="AQ841">
            <v>2056.63</v>
          </cell>
          <cell r="AR841">
            <v>0</v>
          </cell>
          <cell r="AS841">
            <v>0</v>
          </cell>
          <cell r="AT841">
            <v>0</v>
          </cell>
          <cell r="AU841">
            <v>0</v>
          </cell>
        </row>
        <row r="842">
          <cell r="A842" t="str">
            <v>000BB020</v>
          </cell>
          <cell r="B842" t="str">
            <v>BIZDIKIAN</v>
          </cell>
          <cell r="C842" t="str">
            <v>CHRYSTEL</v>
          </cell>
          <cell r="D842" t="str">
            <v>LYON CATN</v>
          </cell>
          <cell r="E842">
            <v>61</v>
          </cell>
          <cell r="F842" t="str">
            <v>NC NUMERICABLE RHONES-ALPES</v>
          </cell>
          <cell r="G842" t="str">
            <v>CATN 1ERE LIGNE</v>
          </cell>
          <cell r="I842" t="str">
            <v>GENE905001</v>
          </cell>
          <cell r="J842">
            <v>100</v>
          </cell>
          <cell r="K842">
            <v>32965</v>
          </cell>
          <cell r="L842" t="str">
            <v>CHARGE(E)CLIENTELE</v>
          </cell>
          <cell r="M842" t="str">
            <v>EMPLOYE</v>
          </cell>
          <cell r="N842" t="str">
            <v>C</v>
          </cell>
          <cell r="O842" t="str">
            <v>CDI</v>
          </cell>
          <cell r="P842">
            <v>121.33</v>
          </cell>
          <cell r="Q842">
            <v>1593.97</v>
          </cell>
          <cell r="R842">
            <v>223.39</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-34.9</v>
          </cell>
          <cell r="AN842">
            <v>171.66</v>
          </cell>
          <cell r="AO842">
            <v>-34.9</v>
          </cell>
          <cell r="AP842">
            <v>0</v>
          </cell>
          <cell r="AQ842">
            <v>1593.97</v>
          </cell>
          <cell r="AR842">
            <v>0</v>
          </cell>
          <cell r="AS842">
            <v>0</v>
          </cell>
          <cell r="AT842">
            <v>0</v>
          </cell>
          <cell r="AU842">
            <v>0</v>
          </cell>
        </row>
        <row r="843">
          <cell r="A843" t="str">
            <v>000BC249</v>
          </cell>
          <cell r="B843" t="str">
            <v>CHANTIN</v>
          </cell>
          <cell r="C843" t="str">
            <v>STEPHANE</v>
          </cell>
          <cell r="D843" t="str">
            <v>LYON CATN</v>
          </cell>
          <cell r="E843">
            <v>61</v>
          </cell>
          <cell r="F843" t="str">
            <v>NC NUMERICABLE RHONES-ALPES</v>
          </cell>
          <cell r="G843" t="str">
            <v>CATN 2EME LIGNE</v>
          </cell>
          <cell r="H843" t="str">
            <v>BAYARD</v>
          </cell>
          <cell r="I843" t="str">
            <v>CLIE411001</v>
          </cell>
          <cell r="J843">
            <v>100</v>
          </cell>
          <cell r="K843">
            <v>36192</v>
          </cell>
          <cell r="L843" t="str">
            <v>CHARGE(E)CLIENTELE</v>
          </cell>
          <cell r="M843" t="str">
            <v>EMPLOYE</v>
          </cell>
          <cell r="N843" t="str">
            <v>C</v>
          </cell>
          <cell r="O843" t="str">
            <v>CDI</v>
          </cell>
          <cell r="P843">
            <v>151.57</v>
          </cell>
          <cell r="Q843">
            <v>1621.47</v>
          </cell>
          <cell r="R843">
            <v>1024.58</v>
          </cell>
          <cell r="S843">
            <v>0</v>
          </cell>
          <cell r="T843">
            <v>0</v>
          </cell>
          <cell r="U843">
            <v>0</v>
          </cell>
          <cell r="V843">
            <v>0</v>
          </cell>
          <cell r="W843">
            <v>171</v>
          </cell>
          <cell r="X843">
            <v>95</v>
          </cell>
          <cell r="Y843">
            <v>0</v>
          </cell>
          <cell r="Z843">
            <v>128</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219.33</v>
          </cell>
          <cell r="AO843">
            <v>0</v>
          </cell>
          <cell r="AP843">
            <v>0</v>
          </cell>
          <cell r="AQ843">
            <v>1546.64</v>
          </cell>
          <cell r="AR843">
            <v>223</v>
          </cell>
          <cell r="AS843">
            <v>0</v>
          </cell>
          <cell r="AT843">
            <v>0</v>
          </cell>
          <cell r="AU843">
            <v>0</v>
          </cell>
        </row>
        <row r="844">
          <cell r="A844" t="str">
            <v>000BM225</v>
          </cell>
          <cell r="B844" t="str">
            <v>MNEMONIDE</v>
          </cell>
          <cell r="C844" t="str">
            <v>MAX</v>
          </cell>
          <cell r="D844" t="str">
            <v>LYON CATN</v>
          </cell>
          <cell r="E844">
            <v>61</v>
          </cell>
          <cell r="F844" t="str">
            <v>NC NUMERICABLE RHONES-ALPES</v>
          </cell>
          <cell r="G844" t="str">
            <v>CATN VENTES</v>
          </cell>
          <cell r="I844" t="str">
            <v>GENE905001</v>
          </cell>
          <cell r="J844">
            <v>100</v>
          </cell>
          <cell r="K844">
            <v>35982</v>
          </cell>
          <cell r="L844" t="str">
            <v>TELECONSEILLER.COM</v>
          </cell>
          <cell r="M844" t="str">
            <v>EMPLOYE</v>
          </cell>
          <cell r="N844" t="str">
            <v>C</v>
          </cell>
          <cell r="O844" t="str">
            <v>CDI</v>
          </cell>
          <cell r="P844">
            <v>123.77</v>
          </cell>
          <cell r="Q844">
            <v>1020.41</v>
          </cell>
          <cell r="R844">
            <v>621.54999999999995</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2364.0100000000002</v>
          </cell>
          <cell r="AN844">
            <v>109.89</v>
          </cell>
          <cell r="AO844">
            <v>2364.0100000000002</v>
          </cell>
          <cell r="AP844">
            <v>0</v>
          </cell>
          <cell r="AQ844">
            <v>1020.41</v>
          </cell>
          <cell r="AR844">
            <v>0</v>
          </cell>
          <cell r="AS844">
            <v>0</v>
          </cell>
          <cell r="AT844">
            <v>0</v>
          </cell>
          <cell r="AU844">
            <v>0</v>
          </cell>
        </row>
        <row r="845">
          <cell r="A845" t="str">
            <v>000BB374</v>
          </cell>
          <cell r="B845" t="str">
            <v>BOISSET</v>
          </cell>
          <cell r="C845" t="str">
            <v>NICOLAS</v>
          </cell>
          <cell r="D845" t="str">
            <v>LYON CATN</v>
          </cell>
          <cell r="E845">
            <v>61</v>
          </cell>
          <cell r="F845" t="str">
            <v>NC NUMERICABLE RHONES-ALPES</v>
          </cell>
          <cell r="G845" t="str">
            <v>CATN 1ERE LIGNE</v>
          </cell>
          <cell r="I845" t="str">
            <v>GENE905001</v>
          </cell>
          <cell r="J845">
            <v>100</v>
          </cell>
          <cell r="K845">
            <v>36724</v>
          </cell>
          <cell r="L845" t="str">
            <v>CHARGE(E)CLIENTELE</v>
          </cell>
          <cell r="M845" t="str">
            <v>EMPLOYE</v>
          </cell>
          <cell r="N845" t="str">
            <v>C</v>
          </cell>
          <cell r="O845" t="str">
            <v>CDI</v>
          </cell>
          <cell r="P845">
            <v>151.57</v>
          </cell>
          <cell r="Q845">
            <v>1440.73</v>
          </cell>
          <cell r="R845">
            <v>765.06</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437.34</v>
          </cell>
          <cell r="AN845">
            <v>0</v>
          </cell>
          <cell r="AO845">
            <v>0</v>
          </cell>
          <cell r="AP845">
            <v>-157.57</v>
          </cell>
          <cell r="AQ845">
            <v>1847.71</v>
          </cell>
          <cell r="AR845">
            <v>0</v>
          </cell>
          <cell r="AS845">
            <v>0</v>
          </cell>
          <cell r="AT845">
            <v>0</v>
          </cell>
          <cell r="AU845">
            <v>0</v>
          </cell>
        </row>
        <row r="846">
          <cell r="A846" t="str">
            <v>000BD270</v>
          </cell>
          <cell r="B846" t="str">
            <v>DES HAULLES</v>
          </cell>
          <cell r="C846" t="str">
            <v>VALERIE</v>
          </cell>
          <cell r="D846" t="str">
            <v>LYON CATN</v>
          </cell>
          <cell r="E846">
            <v>61</v>
          </cell>
          <cell r="F846" t="str">
            <v>NC NUMERICABLE RHONES-ALPES</v>
          </cell>
          <cell r="G846" t="str">
            <v>CATN 1ERE LIGNE</v>
          </cell>
          <cell r="I846" t="str">
            <v>GENE905001</v>
          </cell>
          <cell r="J846">
            <v>100</v>
          </cell>
          <cell r="K846">
            <v>37298</v>
          </cell>
          <cell r="L846" t="str">
            <v>CHARGE(E)CLIENTELE</v>
          </cell>
          <cell r="M846" t="str">
            <v>EMPLOYE</v>
          </cell>
          <cell r="N846" t="str">
            <v>C</v>
          </cell>
          <cell r="O846" t="str">
            <v>CDI</v>
          </cell>
          <cell r="P846">
            <v>151.57</v>
          </cell>
          <cell r="Q846">
            <v>1606.85</v>
          </cell>
          <cell r="R846">
            <v>237.53</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116.95</v>
          </cell>
          <cell r="AN846">
            <v>173.06</v>
          </cell>
          <cell r="AO846">
            <v>116.95</v>
          </cell>
          <cell r="AP846">
            <v>0</v>
          </cell>
          <cell r="AQ846">
            <v>1606.85</v>
          </cell>
          <cell r="AR846">
            <v>0</v>
          </cell>
          <cell r="AS846">
            <v>0</v>
          </cell>
          <cell r="AT846">
            <v>0</v>
          </cell>
          <cell r="AU846">
            <v>0</v>
          </cell>
        </row>
        <row r="847">
          <cell r="A847" t="str">
            <v>000BV092</v>
          </cell>
          <cell r="B847" t="str">
            <v>VIEUXCHANGE</v>
          </cell>
          <cell r="C847" t="str">
            <v>PIERRICK</v>
          </cell>
          <cell r="D847" t="str">
            <v>LYON CATN</v>
          </cell>
          <cell r="E847">
            <v>61</v>
          </cell>
          <cell r="F847" t="str">
            <v>NC NUMERICABLE RHONES-ALPES</v>
          </cell>
          <cell r="G847" t="str">
            <v>CATN 1ERE LIGNE</v>
          </cell>
          <cell r="I847" t="str">
            <v>GENE905001</v>
          </cell>
          <cell r="J847">
            <v>100</v>
          </cell>
          <cell r="K847">
            <v>37104</v>
          </cell>
          <cell r="L847" t="str">
            <v>CHARGE(E)CLIENTELE</v>
          </cell>
          <cell r="M847" t="str">
            <v>EMPLOYE</v>
          </cell>
          <cell r="N847" t="str">
            <v>C</v>
          </cell>
          <cell r="O847" t="str">
            <v>CDI</v>
          </cell>
          <cell r="P847">
            <v>151.57</v>
          </cell>
          <cell r="Q847">
            <v>1309.71</v>
          </cell>
          <cell r="R847">
            <v>186.05</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-57.24</v>
          </cell>
          <cell r="AN847">
            <v>141.05000000000001</v>
          </cell>
          <cell r="AO847">
            <v>-57.24</v>
          </cell>
          <cell r="AP847">
            <v>0</v>
          </cell>
          <cell r="AQ847">
            <v>1309.71</v>
          </cell>
          <cell r="AR847">
            <v>0</v>
          </cell>
          <cell r="AS847">
            <v>0</v>
          </cell>
          <cell r="AT847">
            <v>0</v>
          </cell>
          <cell r="AU847">
            <v>0</v>
          </cell>
        </row>
        <row r="848">
          <cell r="A848" t="str">
            <v>000BL152</v>
          </cell>
          <cell r="B848" t="str">
            <v>LAFON DE RIBEYROLLES</v>
          </cell>
          <cell r="C848" t="str">
            <v>CYRIL</v>
          </cell>
          <cell r="D848" t="str">
            <v>LYON CATN</v>
          </cell>
          <cell r="E848">
            <v>61</v>
          </cell>
          <cell r="F848" t="str">
            <v>NC NUMERICABLE RHONES-ALPES</v>
          </cell>
          <cell r="G848" t="str">
            <v>COURRIER</v>
          </cell>
          <cell r="I848" t="str">
            <v>GENE905001</v>
          </cell>
          <cell r="J848">
            <v>100</v>
          </cell>
          <cell r="K848">
            <v>36045</v>
          </cell>
          <cell r="L848" t="str">
            <v>CHARGE(E)CLIENTELE</v>
          </cell>
          <cell r="M848" t="str">
            <v>EMPLOYE</v>
          </cell>
          <cell r="N848" t="str">
            <v>C</v>
          </cell>
          <cell r="O848" t="str">
            <v>CDI</v>
          </cell>
          <cell r="P848">
            <v>151.57</v>
          </cell>
          <cell r="Q848">
            <v>1708.5</v>
          </cell>
          <cell r="R848">
            <v>243.41</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22.29</v>
          </cell>
          <cell r="AN848">
            <v>183.99</v>
          </cell>
          <cell r="AO848">
            <v>22.29</v>
          </cell>
          <cell r="AP848">
            <v>0</v>
          </cell>
          <cell r="AQ848">
            <v>1708.5</v>
          </cell>
          <cell r="AR848">
            <v>0</v>
          </cell>
          <cell r="AS848">
            <v>0</v>
          </cell>
          <cell r="AT848">
            <v>0</v>
          </cell>
          <cell r="AU848">
            <v>0</v>
          </cell>
        </row>
        <row r="849">
          <cell r="A849" t="str">
            <v>000BM051</v>
          </cell>
          <cell r="B849" t="str">
            <v>MAUPAS</v>
          </cell>
          <cell r="C849" t="str">
            <v>MICHELE</v>
          </cell>
          <cell r="D849" t="str">
            <v>LYON CATN</v>
          </cell>
          <cell r="E849">
            <v>61</v>
          </cell>
          <cell r="F849" t="str">
            <v>NC NUMERICABLE RHONES-ALPES</v>
          </cell>
          <cell r="G849" t="str">
            <v>COURRIER</v>
          </cell>
          <cell r="I849" t="str">
            <v>GENE905001</v>
          </cell>
          <cell r="J849">
            <v>100</v>
          </cell>
          <cell r="K849">
            <v>34029</v>
          </cell>
          <cell r="L849" t="str">
            <v>CHARGE(E)CLIENTELE</v>
          </cell>
          <cell r="M849" t="str">
            <v>EMPLOYE</v>
          </cell>
          <cell r="N849" t="str">
            <v>C</v>
          </cell>
          <cell r="O849" t="str">
            <v>CDI</v>
          </cell>
          <cell r="P849">
            <v>123.77</v>
          </cell>
          <cell r="Q849">
            <v>1663.4</v>
          </cell>
          <cell r="R849">
            <v>970.85</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125.79</v>
          </cell>
          <cell r="AN849">
            <v>343.88</v>
          </cell>
          <cell r="AO849">
            <v>0</v>
          </cell>
          <cell r="AP849">
            <v>0</v>
          </cell>
          <cell r="AQ849">
            <v>1789.19</v>
          </cell>
          <cell r="AR849">
            <v>0</v>
          </cell>
          <cell r="AS849">
            <v>0</v>
          </cell>
          <cell r="AT849">
            <v>0</v>
          </cell>
          <cell r="AU849">
            <v>0</v>
          </cell>
        </row>
        <row r="850">
          <cell r="A850" t="str">
            <v>000BK041</v>
          </cell>
          <cell r="B850" t="str">
            <v>KHALOUTA</v>
          </cell>
          <cell r="C850" t="str">
            <v>MOHAMED</v>
          </cell>
          <cell r="D850" t="str">
            <v>LYON CATN</v>
          </cell>
          <cell r="E850">
            <v>61</v>
          </cell>
          <cell r="F850" t="str">
            <v>NC NUMERICABLE RHONES-ALPES</v>
          </cell>
          <cell r="G850" t="str">
            <v>CATN VENTES</v>
          </cell>
          <cell r="H850" t="str">
            <v>POURRET</v>
          </cell>
          <cell r="I850" t="str">
            <v>GENE905001</v>
          </cell>
          <cell r="J850">
            <v>100</v>
          </cell>
          <cell r="K850">
            <v>36192</v>
          </cell>
          <cell r="L850" t="str">
            <v>TELECONSEILLER.COM</v>
          </cell>
          <cell r="M850" t="str">
            <v>EMPLOYE</v>
          </cell>
          <cell r="N850" t="str">
            <v>C</v>
          </cell>
          <cell r="O850" t="str">
            <v>CDI</v>
          </cell>
          <cell r="P850">
            <v>123.77</v>
          </cell>
          <cell r="Q850">
            <v>1020.41</v>
          </cell>
          <cell r="R850">
            <v>600.58000000000004</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2279.8000000000002</v>
          </cell>
          <cell r="AN850">
            <v>109.9</v>
          </cell>
          <cell r="AO850">
            <v>2279.8000000000002</v>
          </cell>
          <cell r="AP850">
            <v>0</v>
          </cell>
          <cell r="AQ850">
            <v>1020.41</v>
          </cell>
          <cell r="AR850">
            <v>0</v>
          </cell>
          <cell r="AS850">
            <v>0</v>
          </cell>
          <cell r="AT850">
            <v>0</v>
          </cell>
          <cell r="AU850">
            <v>0</v>
          </cell>
        </row>
        <row r="851">
          <cell r="A851" t="str">
            <v>000BM220</v>
          </cell>
          <cell r="B851" t="str">
            <v>MARSAIS MERLE</v>
          </cell>
          <cell r="C851" t="str">
            <v>BRIGITTE</v>
          </cell>
          <cell r="D851" t="str">
            <v>LYON CATN</v>
          </cell>
          <cell r="E851">
            <v>61</v>
          </cell>
          <cell r="F851" t="str">
            <v>NC NUMERICABLE RHONES-ALPES</v>
          </cell>
          <cell r="G851" t="str">
            <v>COURRIER</v>
          </cell>
          <cell r="H851" t="str">
            <v>BAYARD</v>
          </cell>
          <cell r="I851" t="str">
            <v>CLIE410001</v>
          </cell>
          <cell r="J851">
            <v>100</v>
          </cell>
          <cell r="K851">
            <v>35797</v>
          </cell>
          <cell r="L851" t="str">
            <v>CHARGE(E)CLIENTELE</v>
          </cell>
          <cell r="M851" t="str">
            <v>EMPLOYE</v>
          </cell>
          <cell r="N851" t="str">
            <v>C</v>
          </cell>
          <cell r="O851" t="str">
            <v>CDI</v>
          </cell>
          <cell r="P851">
            <v>123.77</v>
          </cell>
          <cell r="Q851">
            <v>1659.63</v>
          </cell>
          <cell r="R851">
            <v>557.09</v>
          </cell>
          <cell r="S851">
            <v>0</v>
          </cell>
          <cell r="T851">
            <v>0</v>
          </cell>
          <cell r="U851">
            <v>0</v>
          </cell>
          <cell r="V851">
            <v>0</v>
          </cell>
          <cell r="W851">
            <v>171</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193.45</v>
          </cell>
          <cell r="AO851">
            <v>0</v>
          </cell>
          <cell r="AP851">
            <v>0</v>
          </cell>
          <cell r="AQ851">
            <v>846.03</v>
          </cell>
          <cell r="AR851">
            <v>0</v>
          </cell>
          <cell r="AS851">
            <v>0</v>
          </cell>
          <cell r="AT851">
            <v>0</v>
          </cell>
          <cell r="AU851">
            <v>0</v>
          </cell>
        </row>
        <row r="852">
          <cell r="A852" t="str">
            <v>000BP191</v>
          </cell>
          <cell r="B852" t="str">
            <v>PASINI</v>
          </cell>
          <cell r="C852" t="str">
            <v>FRANCK</v>
          </cell>
          <cell r="D852" t="str">
            <v>LYON CATN</v>
          </cell>
          <cell r="E852">
            <v>61</v>
          </cell>
          <cell r="F852" t="str">
            <v>NC NUMERICABLE RHONES-ALPES</v>
          </cell>
          <cell r="G852" t="str">
            <v>COURRIER</v>
          </cell>
          <cell r="H852" t="str">
            <v>BAYARD</v>
          </cell>
          <cell r="I852" t="str">
            <v>CLIE410001</v>
          </cell>
          <cell r="J852">
            <v>100</v>
          </cell>
          <cell r="K852">
            <v>36898</v>
          </cell>
          <cell r="L852" t="str">
            <v>CHARGE(E)CLIENTELE</v>
          </cell>
          <cell r="M852" t="str">
            <v>EMPLOYE</v>
          </cell>
          <cell r="N852" t="str">
            <v>C</v>
          </cell>
          <cell r="O852" t="str">
            <v>CDI</v>
          </cell>
          <cell r="P852">
            <v>151.57</v>
          </cell>
          <cell r="Q852">
            <v>1659.45</v>
          </cell>
          <cell r="R852">
            <v>812.49</v>
          </cell>
          <cell r="S852">
            <v>0</v>
          </cell>
          <cell r="T852">
            <v>0</v>
          </cell>
          <cell r="U852">
            <v>0</v>
          </cell>
          <cell r="V852">
            <v>0</v>
          </cell>
          <cell r="W852">
            <v>138.43</v>
          </cell>
          <cell r="X852">
            <v>0</v>
          </cell>
          <cell r="Y852">
            <v>0</v>
          </cell>
          <cell r="Z852">
            <v>0</v>
          </cell>
          <cell r="AA852">
            <v>0</v>
          </cell>
          <cell r="AB852">
            <v>0</v>
          </cell>
          <cell r="AC852">
            <v>0</v>
          </cell>
          <cell r="AD852">
            <v>0</v>
          </cell>
          <cell r="AE852">
            <v>0</v>
          </cell>
          <cell r="AF852">
            <v>41.06</v>
          </cell>
          <cell r="AG852">
            <v>0</v>
          </cell>
          <cell r="AH852">
            <v>10.26</v>
          </cell>
          <cell r="AI852">
            <v>0</v>
          </cell>
          <cell r="AJ852">
            <v>0</v>
          </cell>
          <cell r="AK852">
            <v>0</v>
          </cell>
          <cell r="AL852">
            <v>0</v>
          </cell>
          <cell r="AM852">
            <v>0</v>
          </cell>
          <cell r="AN852">
            <v>202.13</v>
          </cell>
          <cell r="AO852">
            <v>0</v>
          </cell>
          <cell r="AP852">
            <v>0</v>
          </cell>
          <cell r="AQ852">
            <v>1481.04</v>
          </cell>
          <cell r="AR852">
            <v>0</v>
          </cell>
          <cell r="AS852">
            <v>0</v>
          </cell>
          <cell r="AT852">
            <v>0</v>
          </cell>
          <cell r="AU852">
            <v>0</v>
          </cell>
        </row>
        <row r="853">
          <cell r="A853" t="str">
            <v>000BK040</v>
          </cell>
          <cell r="B853" t="str">
            <v>KOUPOGBE</v>
          </cell>
          <cell r="C853" t="str">
            <v>CLEMENT</v>
          </cell>
          <cell r="D853" t="str">
            <v>LYON CATN</v>
          </cell>
          <cell r="E853">
            <v>61</v>
          </cell>
          <cell r="F853" t="str">
            <v>NC NUMERICABLE RHONES-ALPES</v>
          </cell>
          <cell r="G853" t="str">
            <v>CATN 2EME LIGNE</v>
          </cell>
          <cell r="H853" t="str">
            <v>BAYARD</v>
          </cell>
          <cell r="I853" t="str">
            <v>CLIE411001</v>
          </cell>
          <cell r="J853">
            <v>100</v>
          </cell>
          <cell r="K853">
            <v>36100</v>
          </cell>
          <cell r="L853" t="str">
            <v>CHARGE(E)CLIENTELE</v>
          </cell>
          <cell r="M853" t="str">
            <v>EMPLOYE</v>
          </cell>
          <cell r="N853" t="str">
            <v>C</v>
          </cell>
          <cell r="O853" t="str">
            <v>CDI</v>
          </cell>
          <cell r="P853">
            <v>151.57</v>
          </cell>
          <cell r="Q853">
            <v>1721.86</v>
          </cell>
          <cell r="R853">
            <v>1090.6400000000001</v>
          </cell>
          <cell r="S853">
            <v>0</v>
          </cell>
          <cell r="T853">
            <v>0</v>
          </cell>
          <cell r="U853">
            <v>0</v>
          </cell>
          <cell r="V853">
            <v>0</v>
          </cell>
          <cell r="W853">
            <v>162.86000000000001</v>
          </cell>
          <cell r="X853">
            <v>95</v>
          </cell>
          <cell r="Y853">
            <v>0</v>
          </cell>
          <cell r="Z853">
            <v>192</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236.52</v>
          </cell>
          <cell r="AO853">
            <v>0</v>
          </cell>
          <cell r="AP853">
            <v>0</v>
          </cell>
          <cell r="AQ853">
            <v>1642.4</v>
          </cell>
          <cell r="AR853">
            <v>287</v>
          </cell>
          <cell r="AS853">
            <v>0</v>
          </cell>
          <cell r="AT853">
            <v>0</v>
          </cell>
          <cell r="AU853">
            <v>0</v>
          </cell>
        </row>
        <row r="854">
          <cell r="A854" t="str">
            <v>000BH072</v>
          </cell>
          <cell r="B854" t="str">
            <v>DESGEORGES</v>
          </cell>
          <cell r="C854" t="str">
            <v>LYDIA</v>
          </cell>
          <cell r="D854" t="str">
            <v>LYON CATN</v>
          </cell>
          <cell r="E854">
            <v>61</v>
          </cell>
          <cell r="F854" t="str">
            <v>NC NUMERICABLE RHONES-ALPES</v>
          </cell>
          <cell r="G854" t="str">
            <v>CATN FIDELISATION</v>
          </cell>
          <cell r="H854" t="str">
            <v>BAYARD</v>
          </cell>
          <cell r="I854" t="str">
            <v>CLIE415001</v>
          </cell>
          <cell r="J854">
            <v>100</v>
          </cell>
          <cell r="K854">
            <v>36442</v>
          </cell>
          <cell r="L854" t="str">
            <v>CHARGE(E)CLIENTELE</v>
          </cell>
          <cell r="M854" t="str">
            <v>EMPLOYE</v>
          </cell>
          <cell r="N854" t="str">
            <v>C</v>
          </cell>
          <cell r="O854" t="str">
            <v>CDI</v>
          </cell>
          <cell r="P854">
            <v>123.77</v>
          </cell>
          <cell r="Q854">
            <v>1020.41</v>
          </cell>
          <cell r="R854">
            <v>1447.74</v>
          </cell>
          <cell r="S854">
            <v>0</v>
          </cell>
          <cell r="T854">
            <v>0</v>
          </cell>
          <cell r="U854">
            <v>0</v>
          </cell>
          <cell r="V854">
            <v>0</v>
          </cell>
          <cell r="W854">
            <v>2058</v>
          </cell>
          <cell r="X854">
            <v>0</v>
          </cell>
          <cell r="Y854">
            <v>0</v>
          </cell>
          <cell r="Z854">
            <v>0</v>
          </cell>
          <cell r="AA854">
            <v>0</v>
          </cell>
          <cell r="AB854">
            <v>0</v>
          </cell>
          <cell r="AC854">
            <v>0</v>
          </cell>
          <cell r="AD854">
            <v>0</v>
          </cell>
          <cell r="AE854">
            <v>47.4</v>
          </cell>
          <cell r="AF854">
            <v>0</v>
          </cell>
          <cell r="AG854">
            <v>0</v>
          </cell>
          <cell r="AH854">
            <v>0</v>
          </cell>
          <cell r="AI854">
            <v>0</v>
          </cell>
          <cell r="AJ854">
            <v>0</v>
          </cell>
          <cell r="AK854">
            <v>0</v>
          </cell>
          <cell r="AL854">
            <v>0</v>
          </cell>
          <cell r="AM854">
            <v>0</v>
          </cell>
          <cell r="AN854">
            <v>469.35</v>
          </cell>
          <cell r="AO854">
            <v>0</v>
          </cell>
          <cell r="AP854">
            <v>-335.44</v>
          </cell>
          <cell r="AQ854">
            <v>1230.31</v>
          </cell>
          <cell r="AR854">
            <v>0</v>
          </cell>
          <cell r="AS854">
            <v>0</v>
          </cell>
          <cell r="AT854">
            <v>0</v>
          </cell>
          <cell r="AU854">
            <v>0</v>
          </cell>
        </row>
        <row r="855">
          <cell r="A855" t="str">
            <v>000BG223</v>
          </cell>
          <cell r="B855" t="str">
            <v>GRAIL</v>
          </cell>
          <cell r="C855" t="str">
            <v>GERALD</v>
          </cell>
          <cell r="D855" t="str">
            <v>LYON CATN</v>
          </cell>
          <cell r="E855">
            <v>61</v>
          </cell>
          <cell r="F855" t="str">
            <v>NC NUMERICABLE RHONES-ALPES</v>
          </cell>
          <cell r="G855" t="str">
            <v>COURRIER</v>
          </cell>
          <cell r="H855" t="str">
            <v>BAYARD</v>
          </cell>
          <cell r="I855" t="str">
            <v>CLIE410001</v>
          </cell>
          <cell r="J855">
            <v>100</v>
          </cell>
          <cell r="K855">
            <v>37186</v>
          </cell>
          <cell r="L855" t="str">
            <v>CHARGE(E)CLIENTELE</v>
          </cell>
          <cell r="M855" t="str">
            <v>EMPLOYE</v>
          </cell>
          <cell r="N855" t="str">
            <v>C</v>
          </cell>
          <cell r="O855" t="str">
            <v>CDI</v>
          </cell>
          <cell r="P855">
            <v>151.57</v>
          </cell>
          <cell r="Q855">
            <v>1649.45</v>
          </cell>
          <cell r="R855">
            <v>796.35</v>
          </cell>
          <cell r="S855">
            <v>0</v>
          </cell>
          <cell r="T855">
            <v>0</v>
          </cell>
          <cell r="U855">
            <v>0</v>
          </cell>
          <cell r="V855">
            <v>0</v>
          </cell>
          <cell r="W855">
            <v>171</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196.05</v>
          </cell>
          <cell r="AO855">
            <v>0</v>
          </cell>
          <cell r="AP855">
            <v>-522.41</v>
          </cell>
          <cell r="AQ855">
            <v>1548.79</v>
          </cell>
          <cell r="AR855">
            <v>0</v>
          </cell>
          <cell r="AS855">
            <v>0</v>
          </cell>
          <cell r="AT855">
            <v>0</v>
          </cell>
          <cell r="AU855">
            <v>0</v>
          </cell>
        </row>
        <row r="856">
          <cell r="A856" t="str">
            <v>000BA123</v>
          </cell>
          <cell r="B856" t="str">
            <v>ALLAIN</v>
          </cell>
          <cell r="C856" t="str">
            <v>SAMANTHA</v>
          </cell>
          <cell r="D856" t="str">
            <v>LYON CATN</v>
          </cell>
          <cell r="E856">
            <v>61</v>
          </cell>
          <cell r="F856" t="str">
            <v>NC NUMERICABLE RHONES-ALPES</v>
          </cell>
          <cell r="G856" t="str">
            <v>CATN 1ERE LIGNE</v>
          </cell>
          <cell r="H856" t="str">
            <v>CARET</v>
          </cell>
          <cell r="I856" t="str">
            <v>CLIE410001</v>
          </cell>
          <cell r="J856">
            <v>100</v>
          </cell>
          <cell r="K856">
            <v>36256</v>
          </cell>
          <cell r="L856" t="str">
            <v>SUPERVISEUR CLT</v>
          </cell>
          <cell r="M856" t="str">
            <v>TSM</v>
          </cell>
          <cell r="N856" t="str">
            <v>D</v>
          </cell>
          <cell r="O856" t="str">
            <v>CDI</v>
          </cell>
          <cell r="P856">
            <v>151.57</v>
          </cell>
          <cell r="Q856">
            <v>2200</v>
          </cell>
          <cell r="R856">
            <v>1298.9000000000001</v>
          </cell>
          <cell r="S856">
            <v>0</v>
          </cell>
          <cell r="T856">
            <v>0</v>
          </cell>
          <cell r="U856">
            <v>0</v>
          </cell>
          <cell r="V856">
            <v>0</v>
          </cell>
          <cell r="W856">
            <v>300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227.41</v>
          </cell>
          <cell r="AO856">
            <v>0</v>
          </cell>
          <cell r="AP856">
            <v>0</v>
          </cell>
          <cell r="AQ856">
            <v>2200</v>
          </cell>
          <cell r="AR856">
            <v>0</v>
          </cell>
          <cell r="AS856">
            <v>0</v>
          </cell>
          <cell r="AT856">
            <v>0</v>
          </cell>
          <cell r="AU856">
            <v>0</v>
          </cell>
        </row>
        <row r="857">
          <cell r="A857" t="str">
            <v>000BA114</v>
          </cell>
          <cell r="B857" t="str">
            <v>ARMODIO</v>
          </cell>
          <cell r="C857" t="str">
            <v>JEAN MARC</v>
          </cell>
          <cell r="D857" t="str">
            <v>LYON GARIBALDI</v>
          </cell>
          <cell r="E857">
            <v>61</v>
          </cell>
          <cell r="F857" t="str">
            <v>NC NUMERICABLE RHONES-ALPES</v>
          </cell>
          <cell r="G857" t="str">
            <v>RACCORDEMENT IMMOB.</v>
          </cell>
          <cell r="H857" t="str">
            <v>FONTAINE T</v>
          </cell>
          <cell r="I857" t="str">
            <v>RHON302001</v>
          </cell>
          <cell r="J857">
            <v>100</v>
          </cell>
          <cell r="K857">
            <v>35827</v>
          </cell>
          <cell r="L857" t="str">
            <v>SUPERV. RACC-SAV</v>
          </cell>
          <cell r="M857" t="str">
            <v>TSM</v>
          </cell>
          <cell r="N857" t="str">
            <v>D</v>
          </cell>
          <cell r="O857" t="str">
            <v>CDI</v>
          </cell>
          <cell r="P857">
            <v>151.57</v>
          </cell>
          <cell r="Q857">
            <v>2136.1999999999998</v>
          </cell>
          <cell r="R857">
            <v>1058.96</v>
          </cell>
          <cell r="S857">
            <v>0</v>
          </cell>
          <cell r="T857">
            <v>0</v>
          </cell>
          <cell r="U857">
            <v>0</v>
          </cell>
          <cell r="V857">
            <v>0</v>
          </cell>
          <cell r="W857">
            <v>220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259.07</v>
          </cell>
          <cell r="AO857">
            <v>0</v>
          </cell>
          <cell r="AP857">
            <v>0</v>
          </cell>
          <cell r="AQ857">
            <v>1840.46</v>
          </cell>
          <cell r="AR857">
            <v>0</v>
          </cell>
          <cell r="AS857">
            <v>0</v>
          </cell>
          <cell r="AT857">
            <v>0</v>
          </cell>
          <cell r="AU857">
            <v>0</v>
          </cell>
        </row>
        <row r="858">
          <cell r="A858" t="str">
            <v>000BC215</v>
          </cell>
          <cell r="B858" t="str">
            <v>COTA</v>
          </cell>
          <cell r="C858" t="str">
            <v>LOUIS PHILIPPE</v>
          </cell>
          <cell r="D858" t="str">
            <v>LYON CATN</v>
          </cell>
          <cell r="E858">
            <v>61</v>
          </cell>
          <cell r="F858" t="str">
            <v>NC NUMERICABLE RHONES-ALPES</v>
          </cell>
          <cell r="G858" t="str">
            <v>COURRIER</v>
          </cell>
          <cell r="H858" t="str">
            <v>MALEYSSON</v>
          </cell>
          <cell r="I858" t="str">
            <v>CLIE410001</v>
          </cell>
          <cell r="J858">
            <v>100</v>
          </cell>
          <cell r="K858">
            <v>35577</v>
          </cell>
          <cell r="L858" t="str">
            <v>SUPERVISEUR CLT</v>
          </cell>
          <cell r="M858" t="str">
            <v>TSM</v>
          </cell>
          <cell r="N858" t="str">
            <v>D</v>
          </cell>
          <cell r="O858" t="str">
            <v>CDI</v>
          </cell>
          <cell r="P858">
            <v>151.57</v>
          </cell>
          <cell r="Q858">
            <v>2335.39</v>
          </cell>
          <cell r="R858">
            <v>1047.1500000000001</v>
          </cell>
          <cell r="S858">
            <v>0</v>
          </cell>
          <cell r="T858">
            <v>0</v>
          </cell>
          <cell r="U858">
            <v>0</v>
          </cell>
          <cell r="V858">
            <v>0</v>
          </cell>
          <cell r="W858">
            <v>300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292.89</v>
          </cell>
          <cell r="AO858">
            <v>0</v>
          </cell>
          <cell r="AP858">
            <v>0</v>
          </cell>
          <cell r="AQ858">
            <v>1796.53</v>
          </cell>
          <cell r="AR858">
            <v>0</v>
          </cell>
          <cell r="AS858">
            <v>0</v>
          </cell>
          <cell r="AT858">
            <v>0</v>
          </cell>
          <cell r="AU858">
            <v>0</v>
          </cell>
        </row>
        <row r="859">
          <cell r="A859" t="str">
            <v>000BD049</v>
          </cell>
          <cell r="B859" t="str">
            <v>DER BAGHDASSARIAN</v>
          </cell>
          <cell r="C859" t="str">
            <v>ARTHUR</v>
          </cell>
          <cell r="D859" t="str">
            <v>LYON CATN</v>
          </cell>
          <cell r="E859">
            <v>61</v>
          </cell>
          <cell r="F859" t="str">
            <v>NC NUMERICABLE RHONES-ALPES</v>
          </cell>
          <cell r="G859" t="str">
            <v>CATN SUPERVISEUR</v>
          </cell>
          <cell r="H859" t="str">
            <v>BRUNEL M</v>
          </cell>
          <cell r="I859" t="str">
            <v>CLIE411001</v>
          </cell>
          <cell r="J859">
            <v>100</v>
          </cell>
          <cell r="K859">
            <v>34086</v>
          </cell>
          <cell r="L859" t="str">
            <v>SUPERVISEUR CLT</v>
          </cell>
          <cell r="M859" t="str">
            <v>TSM</v>
          </cell>
          <cell r="N859" t="str">
            <v>D</v>
          </cell>
          <cell r="O859" t="str">
            <v>CDI</v>
          </cell>
          <cell r="P859">
            <v>151.57</v>
          </cell>
          <cell r="Q859">
            <v>2151.66</v>
          </cell>
          <cell r="R859">
            <v>1436.53</v>
          </cell>
          <cell r="S859">
            <v>0</v>
          </cell>
          <cell r="T859">
            <v>0</v>
          </cell>
          <cell r="U859">
            <v>0</v>
          </cell>
          <cell r="V859">
            <v>0</v>
          </cell>
          <cell r="W859">
            <v>212.81</v>
          </cell>
          <cell r="X859">
            <v>95</v>
          </cell>
          <cell r="Y859">
            <v>0</v>
          </cell>
          <cell r="Z859">
            <v>128</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432.51</v>
          </cell>
          <cell r="AO859">
            <v>0</v>
          </cell>
          <cell r="AP859">
            <v>0</v>
          </cell>
          <cell r="AQ859">
            <v>2653.63</v>
          </cell>
          <cell r="AR859">
            <v>223</v>
          </cell>
          <cell r="AS859">
            <v>0</v>
          </cell>
          <cell r="AT859">
            <v>0</v>
          </cell>
          <cell r="AU859">
            <v>0</v>
          </cell>
        </row>
        <row r="860">
          <cell r="A860" t="str">
            <v>000BB369</v>
          </cell>
          <cell r="B860" t="str">
            <v>BOULA</v>
          </cell>
          <cell r="C860" t="str">
            <v>HAROLD JOSEPH</v>
          </cell>
          <cell r="D860" t="str">
            <v>LYON CATN</v>
          </cell>
          <cell r="E860">
            <v>61</v>
          </cell>
          <cell r="F860" t="str">
            <v>NC NUMERICABLE RHONES-ALPES</v>
          </cell>
          <cell r="G860" t="str">
            <v>CATN 1ERE LIGNE</v>
          </cell>
          <cell r="H860" t="str">
            <v>BAYARD</v>
          </cell>
          <cell r="I860" t="str">
            <v>CLIE411001</v>
          </cell>
          <cell r="J860">
            <v>100</v>
          </cell>
          <cell r="K860">
            <v>36563</v>
          </cell>
          <cell r="L860" t="str">
            <v>CHARGE(E)CLIENTELE</v>
          </cell>
          <cell r="M860" t="str">
            <v>EMPLOYE</v>
          </cell>
          <cell r="N860" t="str">
            <v>C</v>
          </cell>
          <cell r="O860" t="str">
            <v>CDI</v>
          </cell>
          <cell r="P860">
            <v>151.57</v>
          </cell>
          <cell r="Q860">
            <v>1474.79</v>
          </cell>
          <cell r="R860">
            <v>779.11</v>
          </cell>
          <cell r="S860">
            <v>0</v>
          </cell>
          <cell r="T860">
            <v>0</v>
          </cell>
          <cell r="U860">
            <v>0</v>
          </cell>
          <cell r="V860">
            <v>0</v>
          </cell>
          <cell r="W860">
            <v>126</v>
          </cell>
          <cell r="X860">
            <v>285</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211.29</v>
          </cell>
          <cell r="AO860">
            <v>0</v>
          </cell>
          <cell r="AP860">
            <v>0</v>
          </cell>
          <cell r="AQ860">
            <v>1278.17</v>
          </cell>
          <cell r="AR860">
            <v>285</v>
          </cell>
          <cell r="AS860">
            <v>0</v>
          </cell>
          <cell r="AT860">
            <v>0</v>
          </cell>
          <cell r="AU860">
            <v>0</v>
          </cell>
        </row>
        <row r="861">
          <cell r="A861" t="str">
            <v>000BG206</v>
          </cell>
          <cell r="B861" t="str">
            <v>GROULEAU</v>
          </cell>
          <cell r="C861" t="str">
            <v>FLORENCE</v>
          </cell>
          <cell r="D861" t="str">
            <v>LYON CATN</v>
          </cell>
          <cell r="E861">
            <v>61</v>
          </cell>
          <cell r="F861" t="str">
            <v>NC NUMERICABLE RHONES-ALPES</v>
          </cell>
          <cell r="G861" t="str">
            <v>COURRIER</v>
          </cell>
          <cell r="H861" t="str">
            <v>BAYARD</v>
          </cell>
          <cell r="I861" t="str">
            <v>CLIE410001</v>
          </cell>
          <cell r="J861">
            <v>100</v>
          </cell>
          <cell r="K861">
            <v>36192</v>
          </cell>
          <cell r="L861" t="str">
            <v>CHARGE(E)CLIENTELE</v>
          </cell>
          <cell r="M861" t="str">
            <v>EMPLOYE</v>
          </cell>
          <cell r="N861" t="str">
            <v>C</v>
          </cell>
          <cell r="O861" t="str">
            <v>CDI</v>
          </cell>
          <cell r="P861">
            <v>151.57</v>
          </cell>
          <cell r="Q861">
            <v>1691.57</v>
          </cell>
          <cell r="R861">
            <v>967.59</v>
          </cell>
          <cell r="S861">
            <v>0</v>
          </cell>
          <cell r="T861">
            <v>0</v>
          </cell>
          <cell r="U861">
            <v>0</v>
          </cell>
          <cell r="V861">
            <v>0</v>
          </cell>
          <cell r="W861">
            <v>171</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200.59</v>
          </cell>
          <cell r="AO861">
            <v>0</v>
          </cell>
          <cell r="AP861">
            <v>0</v>
          </cell>
          <cell r="AQ861">
            <v>1691.57</v>
          </cell>
          <cell r="AR861">
            <v>0</v>
          </cell>
          <cell r="AS861">
            <v>0</v>
          </cell>
          <cell r="AT861">
            <v>0</v>
          </cell>
          <cell r="AU861">
            <v>0</v>
          </cell>
        </row>
        <row r="862">
          <cell r="A862" t="str">
            <v>000BB359</v>
          </cell>
          <cell r="B862" t="str">
            <v>BALLE</v>
          </cell>
          <cell r="C862" t="str">
            <v>DOMINIQUE</v>
          </cell>
          <cell r="D862" t="str">
            <v>LYON CATN</v>
          </cell>
          <cell r="E862">
            <v>61</v>
          </cell>
          <cell r="F862" t="str">
            <v>NC NUMERICABLE RHONES-ALPES</v>
          </cell>
          <cell r="G862" t="str">
            <v>CATN 1ERE LIGNE</v>
          </cell>
          <cell r="H862" t="str">
            <v>BAYARD</v>
          </cell>
          <cell r="I862" t="str">
            <v>CLIE411001</v>
          </cell>
          <cell r="J862">
            <v>100</v>
          </cell>
          <cell r="K862">
            <v>36256</v>
          </cell>
          <cell r="L862" t="str">
            <v>CHARGE(E)CLIENTELE</v>
          </cell>
          <cell r="M862" t="str">
            <v>EMPLOYE</v>
          </cell>
          <cell r="N862" t="str">
            <v>C</v>
          </cell>
          <cell r="O862" t="str">
            <v>CDI</v>
          </cell>
          <cell r="P862">
            <v>123.77</v>
          </cell>
          <cell r="Q862">
            <v>1344.55</v>
          </cell>
          <cell r="R862">
            <v>661.21</v>
          </cell>
          <cell r="S862">
            <v>0</v>
          </cell>
          <cell r="T862">
            <v>0</v>
          </cell>
          <cell r="U862">
            <v>0</v>
          </cell>
          <cell r="V862">
            <v>0</v>
          </cell>
          <cell r="W862">
            <v>126</v>
          </cell>
          <cell r="X862">
            <v>-95</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148.15</v>
          </cell>
          <cell r="AO862">
            <v>0</v>
          </cell>
          <cell r="AP862">
            <v>0</v>
          </cell>
          <cell r="AQ862">
            <v>1344.55</v>
          </cell>
          <cell r="AR862">
            <v>-95</v>
          </cell>
          <cell r="AS862">
            <v>0</v>
          </cell>
          <cell r="AT862">
            <v>0</v>
          </cell>
          <cell r="AU862">
            <v>0</v>
          </cell>
        </row>
        <row r="863">
          <cell r="A863" t="str">
            <v>000BM251</v>
          </cell>
          <cell r="B863" t="str">
            <v>MONLOUIS- BONNAIRE</v>
          </cell>
          <cell r="C863" t="str">
            <v>JOEL</v>
          </cell>
          <cell r="D863" t="str">
            <v>LYON CATN</v>
          </cell>
          <cell r="E863">
            <v>61</v>
          </cell>
          <cell r="F863" t="str">
            <v>NC NUMERICABLE RHONES-ALPES</v>
          </cell>
          <cell r="G863" t="str">
            <v>CATN 1ERE LIGNE</v>
          </cell>
          <cell r="I863" t="str">
            <v>GENE905001</v>
          </cell>
          <cell r="J863">
            <v>100</v>
          </cell>
          <cell r="K863">
            <v>36816</v>
          </cell>
          <cell r="L863" t="str">
            <v>CHARGE(E)CLIENTELE</v>
          </cell>
          <cell r="M863" t="str">
            <v>EMPLOYE</v>
          </cell>
          <cell r="N863" t="str">
            <v>C</v>
          </cell>
          <cell r="O863" t="str">
            <v>CDI</v>
          </cell>
          <cell r="P863">
            <v>123.77</v>
          </cell>
          <cell r="Q863">
            <v>1164.71</v>
          </cell>
          <cell r="R863">
            <v>168.68</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-53.27</v>
          </cell>
          <cell r="AN863">
            <v>125.44</v>
          </cell>
          <cell r="AO863">
            <v>-53.27</v>
          </cell>
          <cell r="AP863">
            <v>0</v>
          </cell>
          <cell r="AQ863">
            <v>1164.71</v>
          </cell>
          <cell r="AR863">
            <v>0</v>
          </cell>
          <cell r="AS863">
            <v>0</v>
          </cell>
          <cell r="AT863">
            <v>0</v>
          </cell>
          <cell r="AU863">
            <v>0</v>
          </cell>
        </row>
        <row r="864">
          <cell r="A864" t="str">
            <v>000BG203</v>
          </cell>
          <cell r="B864" t="str">
            <v>GIAMBARRESI</v>
          </cell>
          <cell r="C864" t="str">
            <v>PAOLO</v>
          </cell>
          <cell r="D864" t="str">
            <v>LYON CATN</v>
          </cell>
          <cell r="E864">
            <v>61</v>
          </cell>
          <cell r="F864" t="str">
            <v>NC NUMERICABLE RHONES-ALPES</v>
          </cell>
          <cell r="G864" t="str">
            <v>CATN VENTES</v>
          </cell>
          <cell r="I864" t="str">
            <v>GENE905001</v>
          </cell>
          <cell r="J864">
            <v>100</v>
          </cell>
          <cell r="K864">
            <v>36192</v>
          </cell>
          <cell r="L864" t="str">
            <v>TELECONSEILLER.COM</v>
          </cell>
          <cell r="M864" t="str">
            <v>EMPLOYE</v>
          </cell>
          <cell r="N864" t="str">
            <v>C</v>
          </cell>
          <cell r="O864" t="str">
            <v>CDI</v>
          </cell>
          <cell r="P864">
            <v>123.77</v>
          </cell>
          <cell r="Q864">
            <v>1020.41</v>
          </cell>
          <cell r="R864">
            <v>566.79</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2144.6799999999998</v>
          </cell>
          <cell r="AN864">
            <v>109.9</v>
          </cell>
          <cell r="AO864">
            <v>2144.6799999999998</v>
          </cell>
          <cell r="AP864">
            <v>0</v>
          </cell>
          <cell r="AQ864">
            <v>1020.41</v>
          </cell>
          <cell r="AR864">
            <v>0</v>
          </cell>
          <cell r="AS864">
            <v>0</v>
          </cell>
          <cell r="AT864">
            <v>0</v>
          </cell>
          <cell r="AU864">
            <v>0</v>
          </cell>
        </row>
        <row r="865">
          <cell r="A865" t="str">
            <v>000BP186</v>
          </cell>
          <cell r="B865" t="str">
            <v>PERRET</v>
          </cell>
          <cell r="C865" t="str">
            <v>ALAIN</v>
          </cell>
          <cell r="D865" t="str">
            <v>LYON CATN</v>
          </cell>
          <cell r="E865">
            <v>61</v>
          </cell>
          <cell r="F865" t="str">
            <v>NC NUMERICABLE RHONES-ALPES</v>
          </cell>
          <cell r="G865" t="str">
            <v>CATN FIDELISATION</v>
          </cell>
          <cell r="H865" t="str">
            <v>BAYARD</v>
          </cell>
          <cell r="I865" t="str">
            <v>CLIE415001</v>
          </cell>
          <cell r="J865">
            <v>100</v>
          </cell>
          <cell r="K865">
            <v>36724</v>
          </cell>
          <cell r="L865" t="str">
            <v>CHARGE(E)CLIENTELE</v>
          </cell>
          <cell r="M865" t="str">
            <v>EMPLOYE</v>
          </cell>
          <cell r="N865" t="str">
            <v>C</v>
          </cell>
          <cell r="O865" t="str">
            <v>CDI</v>
          </cell>
          <cell r="P865">
            <v>123.77</v>
          </cell>
          <cell r="Q865">
            <v>1020.41</v>
          </cell>
          <cell r="R865">
            <v>1644.38</v>
          </cell>
          <cell r="S865">
            <v>0</v>
          </cell>
          <cell r="T865">
            <v>0</v>
          </cell>
          <cell r="U865">
            <v>0</v>
          </cell>
          <cell r="V865">
            <v>0</v>
          </cell>
          <cell r="W865">
            <v>2106.58</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385.03</v>
          </cell>
          <cell r="AO865">
            <v>0</v>
          </cell>
          <cell r="AP865">
            <v>-209.65</v>
          </cell>
          <cell r="AQ865">
            <v>1199.33</v>
          </cell>
          <cell r="AR865">
            <v>0</v>
          </cell>
          <cell r="AS865">
            <v>0</v>
          </cell>
          <cell r="AT865">
            <v>0</v>
          </cell>
          <cell r="AU865">
            <v>0</v>
          </cell>
        </row>
        <row r="866">
          <cell r="A866" t="str">
            <v>000BB366</v>
          </cell>
          <cell r="B866" t="str">
            <v>BOISSET</v>
          </cell>
          <cell r="C866" t="str">
            <v>PATRICK</v>
          </cell>
          <cell r="D866" t="str">
            <v>LYON CATN</v>
          </cell>
          <cell r="E866">
            <v>61</v>
          </cell>
          <cell r="F866" t="str">
            <v>NC NUMERICABLE RHONES-ALPES</v>
          </cell>
          <cell r="G866" t="str">
            <v>CATN 1ERE LIGNE</v>
          </cell>
          <cell r="I866" t="str">
            <v>GENE905001</v>
          </cell>
          <cell r="J866">
            <v>100</v>
          </cell>
          <cell r="K866">
            <v>36535</v>
          </cell>
          <cell r="L866" t="str">
            <v>CHARGE(E)CLIENTELE</v>
          </cell>
          <cell r="M866" t="str">
            <v>EMPLOYE</v>
          </cell>
          <cell r="N866" t="str">
            <v>C</v>
          </cell>
          <cell r="O866" t="str">
            <v>CDI</v>
          </cell>
          <cell r="P866">
            <v>151.57</v>
          </cell>
          <cell r="Q866">
            <v>1399.09</v>
          </cell>
          <cell r="R866">
            <v>1075.5899999999999</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350.78</v>
          </cell>
          <cell r="AG866">
            <v>0</v>
          </cell>
          <cell r="AH866">
            <v>87.71</v>
          </cell>
          <cell r="AI866">
            <v>0</v>
          </cell>
          <cell r="AJ866">
            <v>0</v>
          </cell>
          <cell r="AK866">
            <v>0</v>
          </cell>
          <cell r="AL866">
            <v>0</v>
          </cell>
          <cell r="AM866">
            <v>554.70000000000005</v>
          </cell>
          <cell r="AN866">
            <v>47.24</v>
          </cell>
          <cell r="AO866">
            <v>0</v>
          </cell>
          <cell r="AP866">
            <v>0</v>
          </cell>
          <cell r="AQ866">
            <v>2392.2800000000002</v>
          </cell>
          <cell r="AR866">
            <v>0</v>
          </cell>
          <cell r="AS866">
            <v>0</v>
          </cell>
          <cell r="AT866">
            <v>0</v>
          </cell>
          <cell r="AU866">
            <v>0</v>
          </cell>
        </row>
        <row r="867">
          <cell r="A867" t="str">
            <v>000BF098</v>
          </cell>
          <cell r="B867" t="str">
            <v>FIEVET</v>
          </cell>
          <cell r="C867" t="str">
            <v>LAURENT</v>
          </cell>
          <cell r="D867" t="str">
            <v>LYON CATN</v>
          </cell>
          <cell r="E867">
            <v>61</v>
          </cell>
          <cell r="F867" t="str">
            <v>NC NUMERICABLE RHONES-ALPES</v>
          </cell>
          <cell r="G867" t="str">
            <v>CATN FIDELISATION</v>
          </cell>
          <cell r="H867" t="str">
            <v>BAYARD</v>
          </cell>
          <cell r="I867" t="str">
            <v>CLIE415001</v>
          </cell>
          <cell r="J867">
            <v>100</v>
          </cell>
          <cell r="K867">
            <v>36787</v>
          </cell>
          <cell r="L867" t="str">
            <v>CHARGE(E)CLIENTELE</v>
          </cell>
          <cell r="M867" t="str">
            <v>EMPLOYE</v>
          </cell>
          <cell r="N867" t="str">
            <v>C</v>
          </cell>
          <cell r="O867" t="str">
            <v>CDI</v>
          </cell>
          <cell r="P867">
            <v>151.57</v>
          </cell>
          <cell r="Q867">
            <v>1249.6099999999999</v>
          </cell>
          <cell r="R867">
            <v>1712.42</v>
          </cell>
          <cell r="S867">
            <v>0</v>
          </cell>
          <cell r="T867">
            <v>0</v>
          </cell>
          <cell r="U867">
            <v>0</v>
          </cell>
          <cell r="V867">
            <v>0</v>
          </cell>
          <cell r="W867">
            <v>2045.04</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354.8</v>
          </cell>
          <cell r="AO867">
            <v>0</v>
          </cell>
          <cell r="AP867">
            <v>0</v>
          </cell>
          <cell r="AQ867">
            <v>1249.6099999999999</v>
          </cell>
          <cell r="AR867">
            <v>0</v>
          </cell>
          <cell r="AS867">
            <v>0</v>
          </cell>
          <cell r="AT867">
            <v>0</v>
          </cell>
          <cell r="AU867">
            <v>0</v>
          </cell>
        </row>
        <row r="868">
          <cell r="A868" t="str">
            <v>000BC208</v>
          </cell>
          <cell r="B868" t="str">
            <v>COURT</v>
          </cell>
          <cell r="C868" t="str">
            <v>PHILIPPE</v>
          </cell>
          <cell r="D868" t="str">
            <v>LYON CATN</v>
          </cell>
          <cell r="E868">
            <v>61</v>
          </cell>
          <cell r="F868" t="str">
            <v>NC NUMERICABLE RHONES-ALPES</v>
          </cell>
          <cell r="G868" t="str">
            <v>CATN VENTES</v>
          </cell>
          <cell r="I868" t="str">
            <v>GENE905001</v>
          </cell>
          <cell r="J868">
            <v>100</v>
          </cell>
          <cell r="K868">
            <v>35551</v>
          </cell>
          <cell r="L868" t="str">
            <v>TELECONSEILLER.COM</v>
          </cell>
          <cell r="M868" t="str">
            <v>EMPLOYE</v>
          </cell>
          <cell r="N868" t="str">
            <v>C</v>
          </cell>
          <cell r="O868" t="str">
            <v>CDI</v>
          </cell>
          <cell r="P868">
            <v>123.77</v>
          </cell>
          <cell r="Q868">
            <v>1046.8800000000001</v>
          </cell>
          <cell r="R868">
            <v>681.37</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2574.3000000000002</v>
          </cell>
          <cell r="AN868">
            <v>112.75</v>
          </cell>
          <cell r="AO868">
            <v>2574.3000000000002</v>
          </cell>
          <cell r="AP868">
            <v>0</v>
          </cell>
          <cell r="AQ868">
            <v>1046.8800000000001</v>
          </cell>
          <cell r="AR868">
            <v>0</v>
          </cell>
          <cell r="AS868">
            <v>0</v>
          </cell>
          <cell r="AT868">
            <v>0</v>
          </cell>
          <cell r="AU868">
            <v>0</v>
          </cell>
        </row>
        <row r="869">
          <cell r="A869" t="str">
            <v>000BH083</v>
          </cell>
          <cell r="B869" t="str">
            <v>HOARAU</v>
          </cell>
          <cell r="C869" t="str">
            <v>STEPHANE</v>
          </cell>
          <cell r="D869" t="str">
            <v>LYON GARIBALDI</v>
          </cell>
          <cell r="E869">
            <v>61</v>
          </cell>
          <cell r="F869" t="str">
            <v>NC NUMERICABLE RHONES-ALPES</v>
          </cell>
          <cell r="G869" t="str">
            <v>RACCORDEMENT IMMOB.</v>
          </cell>
          <cell r="H869" t="str">
            <v>FONTAINE T</v>
          </cell>
          <cell r="I869" t="str">
            <v>RHON302001</v>
          </cell>
          <cell r="J869">
            <v>100</v>
          </cell>
          <cell r="K869">
            <v>37622</v>
          </cell>
          <cell r="L869" t="str">
            <v>SUPERV. RACC-SAV</v>
          </cell>
          <cell r="M869" t="str">
            <v>TSM</v>
          </cell>
          <cell r="N869" t="str">
            <v>D</v>
          </cell>
          <cell r="O869" t="str">
            <v>CDI</v>
          </cell>
          <cell r="P869">
            <v>151.57</v>
          </cell>
          <cell r="Q869">
            <v>2031</v>
          </cell>
          <cell r="R869">
            <v>1194.56</v>
          </cell>
          <cell r="S869">
            <v>0</v>
          </cell>
          <cell r="T869">
            <v>0</v>
          </cell>
          <cell r="U869">
            <v>0</v>
          </cell>
          <cell r="V869">
            <v>0</v>
          </cell>
          <cell r="W869">
            <v>213</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241.67</v>
          </cell>
          <cell r="AO869">
            <v>0</v>
          </cell>
          <cell r="AP869">
            <v>0</v>
          </cell>
          <cell r="AQ869">
            <v>2031</v>
          </cell>
          <cell r="AR869">
            <v>0</v>
          </cell>
          <cell r="AS869">
            <v>0</v>
          </cell>
          <cell r="AT869">
            <v>0</v>
          </cell>
          <cell r="AU869">
            <v>0</v>
          </cell>
        </row>
        <row r="870">
          <cell r="A870" t="str">
            <v>000BB378</v>
          </cell>
          <cell r="B870" t="str">
            <v>BOURGEOIS</v>
          </cell>
          <cell r="C870" t="str">
            <v>ERIC</v>
          </cell>
          <cell r="D870" t="str">
            <v>LYON CATN</v>
          </cell>
          <cell r="E870">
            <v>61</v>
          </cell>
          <cell r="F870" t="str">
            <v>NC NUMERICABLE RHONES-ALPES</v>
          </cell>
          <cell r="G870" t="str">
            <v>CATN 2EME LIGNE</v>
          </cell>
          <cell r="I870" t="str">
            <v>GENE905001</v>
          </cell>
          <cell r="J870">
            <v>100</v>
          </cell>
          <cell r="K870">
            <v>36787</v>
          </cell>
          <cell r="L870" t="str">
            <v>CHARGE(E)CLIENTELE</v>
          </cell>
          <cell r="M870" t="str">
            <v>EMPLOYE</v>
          </cell>
          <cell r="N870" t="str">
            <v>C</v>
          </cell>
          <cell r="O870" t="str">
            <v>CDI</v>
          </cell>
          <cell r="P870">
            <v>151.57</v>
          </cell>
          <cell r="Q870">
            <v>1681.86</v>
          </cell>
          <cell r="R870">
            <v>261.32</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254.31</v>
          </cell>
          <cell r="AN870">
            <v>181.14</v>
          </cell>
          <cell r="AO870">
            <v>254.31</v>
          </cell>
          <cell r="AP870">
            <v>0</v>
          </cell>
          <cell r="AQ870">
            <v>1681.86</v>
          </cell>
          <cell r="AR870">
            <v>0</v>
          </cell>
          <cell r="AS870">
            <v>0</v>
          </cell>
          <cell r="AT870">
            <v>0</v>
          </cell>
          <cell r="AU870">
            <v>0</v>
          </cell>
        </row>
        <row r="871">
          <cell r="A871" t="str">
            <v>000BD200</v>
          </cell>
          <cell r="B871" t="str">
            <v>DIVAY</v>
          </cell>
          <cell r="C871" t="str">
            <v>LIONEL</v>
          </cell>
          <cell r="D871" t="str">
            <v>LYON CATN</v>
          </cell>
          <cell r="E871">
            <v>61</v>
          </cell>
          <cell r="F871" t="str">
            <v>NC NUMERICABLE RHONES-ALPES</v>
          </cell>
          <cell r="G871" t="str">
            <v>CATN 2EME LIGNE</v>
          </cell>
          <cell r="H871" t="str">
            <v>BAYARD</v>
          </cell>
          <cell r="I871" t="str">
            <v>CLIE411001</v>
          </cell>
          <cell r="J871">
            <v>100</v>
          </cell>
          <cell r="K871">
            <v>35821</v>
          </cell>
          <cell r="L871" t="str">
            <v>CHARGE(E)CLIENTELE</v>
          </cell>
          <cell r="M871" t="str">
            <v>EMPLOYE</v>
          </cell>
          <cell r="N871" t="str">
            <v>C</v>
          </cell>
          <cell r="O871" t="str">
            <v>CDI</v>
          </cell>
          <cell r="P871">
            <v>151.57</v>
          </cell>
          <cell r="Q871">
            <v>1779.2</v>
          </cell>
          <cell r="R871">
            <v>1000.33</v>
          </cell>
          <cell r="S871">
            <v>0</v>
          </cell>
          <cell r="T871">
            <v>0</v>
          </cell>
          <cell r="U871">
            <v>0</v>
          </cell>
          <cell r="V871">
            <v>0</v>
          </cell>
          <cell r="W871">
            <v>147.68</v>
          </cell>
          <cell r="X871">
            <v>95</v>
          </cell>
          <cell r="Y871">
            <v>0</v>
          </cell>
          <cell r="Z871">
            <v>192</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245.74</v>
          </cell>
          <cell r="AO871">
            <v>0</v>
          </cell>
          <cell r="AP871">
            <v>0</v>
          </cell>
          <cell r="AQ871">
            <v>1532.89</v>
          </cell>
          <cell r="AR871">
            <v>287</v>
          </cell>
          <cell r="AS871">
            <v>0</v>
          </cell>
          <cell r="AT871">
            <v>0</v>
          </cell>
          <cell r="AU871">
            <v>0</v>
          </cell>
        </row>
        <row r="872">
          <cell r="A872" t="str">
            <v>000BG218</v>
          </cell>
          <cell r="B872" t="str">
            <v>GANZIN</v>
          </cell>
          <cell r="C872" t="str">
            <v>SEVERINE</v>
          </cell>
          <cell r="D872" t="str">
            <v>LYON CATN</v>
          </cell>
          <cell r="E872">
            <v>61</v>
          </cell>
          <cell r="F872" t="str">
            <v>NC NUMERICABLE RHONES-ALPES</v>
          </cell>
          <cell r="G872" t="str">
            <v>CATN VENTES</v>
          </cell>
          <cell r="I872" t="str">
            <v>GENE905001</v>
          </cell>
          <cell r="J872">
            <v>100</v>
          </cell>
          <cell r="K872">
            <v>36754</v>
          </cell>
          <cell r="L872" t="str">
            <v>TELECONSEILLER.COM</v>
          </cell>
          <cell r="M872" t="str">
            <v>EMPLOYE</v>
          </cell>
          <cell r="N872" t="str">
            <v>C</v>
          </cell>
          <cell r="O872" t="str">
            <v>CDI</v>
          </cell>
          <cell r="P872">
            <v>123.77</v>
          </cell>
          <cell r="Q872">
            <v>1020.41</v>
          </cell>
          <cell r="R872">
            <v>3983.63</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496.25</v>
          </cell>
          <cell r="AO872">
            <v>0</v>
          </cell>
          <cell r="AP872">
            <v>0</v>
          </cell>
          <cell r="AQ872">
            <v>4607.99</v>
          </cell>
          <cell r="AR872">
            <v>0</v>
          </cell>
          <cell r="AS872">
            <v>0</v>
          </cell>
          <cell r="AT872">
            <v>0</v>
          </cell>
          <cell r="AU872">
            <v>0</v>
          </cell>
        </row>
        <row r="873">
          <cell r="A873" t="str">
            <v>000BV091</v>
          </cell>
          <cell r="B873" t="str">
            <v>VOGEL</v>
          </cell>
          <cell r="C873" t="str">
            <v>SOPHIE</v>
          </cell>
          <cell r="D873" t="str">
            <v>LYON CATN</v>
          </cell>
          <cell r="E873">
            <v>61</v>
          </cell>
          <cell r="F873" t="str">
            <v>NC NUMERICABLE RHONES-ALPES</v>
          </cell>
          <cell r="G873" t="str">
            <v>CATN VENTES</v>
          </cell>
          <cell r="I873" t="str">
            <v>GENE905001</v>
          </cell>
          <cell r="J873">
            <v>100</v>
          </cell>
          <cell r="K873">
            <v>36787</v>
          </cell>
          <cell r="L873" t="str">
            <v>TELECONSEILLER.COM</v>
          </cell>
          <cell r="M873" t="str">
            <v>EMPLOYE</v>
          </cell>
          <cell r="N873" t="str">
            <v>C</v>
          </cell>
          <cell r="O873" t="str">
            <v>CDI</v>
          </cell>
          <cell r="P873">
            <v>123.77</v>
          </cell>
          <cell r="Q873">
            <v>1020.41</v>
          </cell>
          <cell r="R873">
            <v>839.46</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3237.19</v>
          </cell>
          <cell r="AN873">
            <v>109.9</v>
          </cell>
          <cell r="AO873">
            <v>3237.19</v>
          </cell>
          <cell r="AP873">
            <v>0</v>
          </cell>
          <cell r="AQ873">
            <v>1020.41</v>
          </cell>
          <cell r="AR873">
            <v>0</v>
          </cell>
          <cell r="AS873">
            <v>0</v>
          </cell>
          <cell r="AT873">
            <v>0</v>
          </cell>
          <cell r="AU873">
            <v>0</v>
          </cell>
        </row>
        <row r="874">
          <cell r="A874" t="str">
            <v>000BL174</v>
          </cell>
          <cell r="B874" t="str">
            <v>LE SAGE</v>
          </cell>
          <cell r="C874" t="str">
            <v>CHRISTOPHE</v>
          </cell>
          <cell r="D874" t="str">
            <v>LYON CATN</v>
          </cell>
          <cell r="E874">
            <v>61</v>
          </cell>
          <cell r="F874" t="str">
            <v>NC NUMERICABLE RHONES-ALPES</v>
          </cell>
          <cell r="G874" t="str">
            <v>CLIENTELE</v>
          </cell>
          <cell r="H874" t="str">
            <v>BAYARD</v>
          </cell>
          <cell r="I874" t="str">
            <v>CLIE411001</v>
          </cell>
          <cell r="J874">
            <v>100</v>
          </cell>
          <cell r="K874">
            <v>37572</v>
          </cell>
          <cell r="L874" t="str">
            <v>CHEF DE PROJET OUTILES</v>
          </cell>
          <cell r="M874" t="str">
            <v>CADRE</v>
          </cell>
          <cell r="N874" t="str">
            <v>DB</v>
          </cell>
          <cell r="O874" t="str">
            <v>CDI</v>
          </cell>
          <cell r="P874">
            <v>151.57</v>
          </cell>
          <cell r="Q874">
            <v>2131.87</v>
          </cell>
          <cell r="R874">
            <v>2537.85</v>
          </cell>
          <cell r="S874">
            <v>0</v>
          </cell>
          <cell r="T874">
            <v>0</v>
          </cell>
          <cell r="U874">
            <v>0</v>
          </cell>
          <cell r="V874">
            <v>0</v>
          </cell>
          <cell r="W874">
            <v>293.04000000000002</v>
          </cell>
          <cell r="X874">
            <v>0</v>
          </cell>
          <cell r="Y874">
            <v>0</v>
          </cell>
          <cell r="Z874">
            <v>0</v>
          </cell>
          <cell r="AA874">
            <v>0</v>
          </cell>
          <cell r="AB874">
            <v>0</v>
          </cell>
          <cell r="AC874">
            <v>0</v>
          </cell>
          <cell r="AD874">
            <v>0</v>
          </cell>
          <cell r="AE874">
            <v>0</v>
          </cell>
          <cell r="AF874">
            <v>85.77</v>
          </cell>
          <cell r="AG874">
            <v>0</v>
          </cell>
          <cell r="AH874">
            <v>21.45</v>
          </cell>
          <cell r="AI874">
            <v>0</v>
          </cell>
          <cell r="AJ874">
            <v>0</v>
          </cell>
          <cell r="AK874">
            <v>0</v>
          </cell>
          <cell r="AL874">
            <v>0</v>
          </cell>
          <cell r="AM874">
            <v>0</v>
          </cell>
          <cell r="AN874">
            <v>575.94000000000005</v>
          </cell>
          <cell r="AO874">
            <v>0</v>
          </cell>
          <cell r="AP874">
            <v>0</v>
          </cell>
          <cell r="AQ874">
            <v>4927.8900000000003</v>
          </cell>
          <cell r="AR874">
            <v>0</v>
          </cell>
          <cell r="AS874">
            <v>0</v>
          </cell>
          <cell r="AT874">
            <v>0</v>
          </cell>
          <cell r="AU874">
            <v>0</v>
          </cell>
        </row>
        <row r="875">
          <cell r="A875" t="str">
            <v>000BB367</v>
          </cell>
          <cell r="B875" t="str">
            <v>FONSECA BATISTA</v>
          </cell>
          <cell r="C875" t="str">
            <v>JOSE</v>
          </cell>
          <cell r="D875" t="str">
            <v>LYON CATN</v>
          </cell>
          <cell r="E875">
            <v>61</v>
          </cell>
          <cell r="F875" t="str">
            <v>NC NUMERICABLE RHONES-ALPES</v>
          </cell>
          <cell r="G875" t="str">
            <v>CATN 1ERE LIGNE</v>
          </cell>
          <cell r="I875" t="str">
            <v>GENE905001</v>
          </cell>
          <cell r="J875">
            <v>100</v>
          </cell>
          <cell r="K875">
            <v>37298</v>
          </cell>
          <cell r="L875" t="str">
            <v>CHARGE(E)CLIENTELE</v>
          </cell>
          <cell r="M875" t="str">
            <v>EMPLOYE</v>
          </cell>
          <cell r="N875" t="str">
            <v>C</v>
          </cell>
          <cell r="O875" t="str">
            <v>CDI</v>
          </cell>
          <cell r="P875">
            <v>151.57</v>
          </cell>
          <cell r="Q875">
            <v>1339.12</v>
          </cell>
          <cell r="R875">
            <v>786.85</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433.73</v>
          </cell>
          <cell r="AN875">
            <v>138.41999999999999</v>
          </cell>
          <cell r="AO875">
            <v>0</v>
          </cell>
          <cell r="AP875">
            <v>0</v>
          </cell>
          <cell r="AQ875">
            <v>1772.85</v>
          </cell>
          <cell r="AR875">
            <v>0</v>
          </cell>
          <cell r="AS875">
            <v>0</v>
          </cell>
          <cell r="AT875">
            <v>0</v>
          </cell>
          <cell r="AU875">
            <v>0</v>
          </cell>
        </row>
        <row r="876">
          <cell r="A876" t="str">
            <v xml:space="preserve">   BA116</v>
          </cell>
          <cell r="B876" t="str">
            <v>ALLOUARD</v>
          </cell>
          <cell r="C876" t="str">
            <v>EVE MARIE</v>
          </cell>
          <cell r="D876" t="str">
            <v>LYON CATN</v>
          </cell>
          <cell r="E876">
            <v>61</v>
          </cell>
          <cell r="F876" t="str">
            <v>NC NUMERICABLE RHONES-ALPES</v>
          </cell>
          <cell r="G876" t="str">
            <v>CATN FIDELISATION</v>
          </cell>
          <cell r="H876" t="str">
            <v>BAYARD</v>
          </cell>
          <cell r="I876" t="str">
            <v>CLIE415001</v>
          </cell>
          <cell r="J876">
            <v>100</v>
          </cell>
          <cell r="K876">
            <v>35982</v>
          </cell>
          <cell r="L876" t="str">
            <v>CHARGE(E)CLIENTELE</v>
          </cell>
          <cell r="M876" t="str">
            <v>EMPLOYE</v>
          </cell>
          <cell r="N876" t="str">
            <v>C</v>
          </cell>
          <cell r="O876" t="str">
            <v>CDI</v>
          </cell>
          <cell r="P876">
            <v>151.57</v>
          </cell>
          <cell r="Q876">
            <v>1249.6099999999999</v>
          </cell>
          <cell r="R876">
            <v>1180.4100000000001</v>
          </cell>
          <cell r="S876">
            <v>0</v>
          </cell>
          <cell r="T876">
            <v>0</v>
          </cell>
          <cell r="U876">
            <v>0</v>
          </cell>
          <cell r="V876">
            <v>0</v>
          </cell>
          <cell r="W876">
            <v>1156.52</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306.37</v>
          </cell>
          <cell r="AO876">
            <v>0</v>
          </cell>
          <cell r="AP876">
            <v>0</v>
          </cell>
          <cell r="AQ876">
            <v>1150.97</v>
          </cell>
          <cell r="AR876">
            <v>0</v>
          </cell>
          <cell r="AS876">
            <v>0</v>
          </cell>
          <cell r="AT876">
            <v>0</v>
          </cell>
          <cell r="AU876">
            <v>0</v>
          </cell>
        </row>
        <row r="877">
          <cell r="A877" t="str">
            <v>000BP197</v>
          </cell>
          <cell r="B877" t="str">
            <v>PALMIER</v>
          </cell>
          <cell r="C877" t="str">
            <v>OPHELIE</v>
          </cell>
          <cell r="D877" t="str">
            <v>LYON CATN</v>
          </cell>
          <cell r="E877">
            <v>61</v>
          </cell>
          <cell r="F877" t="str">
            <v>NC NUMERICABLE RHONES-ALPES</v>
          </cell>
          <cell r="G877" t="str">
            <v>CATN VENTES</v>
          </cell>
          <cell r="I877" t="str">
            <v>GENE905001</v>
          </cell>
          <cell r="J877">
            <v>100</v>
          </cell>
          <cell r="K877">
            <v>37151</v>
          </cell>
          <cell r="L877" t="str">
            <v>TELECONSEILLER.COM</v>
          </cell>
          <cell r="M877" t="str">
            <v>EMPLOYE</v>
          </cell>
          <cell r="N877" t="str">
            <v>C</v>
          </cell>
          <cell r="O877" t="str">
            <v>CDI</v>
          </cell>
          <cell r="P877">
            <v>123.77</v>
          </cell>
          <cell r="Q877">
            <v>1020.38</v>
          </cell>
          <cell r="R877">
            <v>46.06</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2880.4</v>
          </cell>
          <cell r="AN877">
            <v>109.89</v>
          </cell>
          <cell r="AO877">
            <v>2880.4</v>
          </cell>
          <cell r="AP877">
            <v>-593.25</v>
          </cell>
          <cell r="AQ877">
            <v>938.84</v>
          </cell>
          <cell r="AR877">
            <v>0</v>
          </cell>
          <cell r="AS877">
            <v>0</v>
          </cell>
          <cell r="AT877">
            <v>0</v>
          </cell>
          <cell r="AU877">
            <v>0</v>
          </cell>
        </row>
        <row r="878">
          <cell r="A878" t="str">
            <v>000BP181</v>
          </cell>
          <cell r="B878" t="str">
            <v>PARIS</v>
          </cell>
          <cell r="C878" t="str">
            <v>PATRICE</v>
          </cell>
          <cell r="D878" t="str">
            <v>LYON CATN</v>
          </cell>
          <cell r="E878">
            <v>61</v>
          </cell>
          <cell r="F878" t="str">
            <v>NC NUMERICABLE RHONES-ALPES</v>
          </cell>
          <cell r="G878" t="str">
            <v>CATN 1ERE LIGNE</v>
          </cell>
          <cell r="H878" t="str">
            <v>BAYARD</v>
          </cell>
          <cell r="I878" t="str">
            <v>CLIE411001</v>
          </cell>
          <cell r="J878">
            <v>100</v>
          </cell>
          <cell r="K878">
            <v>36535</v>
          </cell>
          <cell r="L878" t="str">
            <v>CHARGE(E)CLIENTELE</v>
          </cell>
          <cell r="M878" t="str">
            <v>EMPLOYE</v>
          </cell>
          <cell r="N878" t="str">
            <v>C</v>
          </cell>
          <cell r="O878" t="str">
            <v>CDI</v>
          </cell>
          <cell r="P878">
            <v>151.57</v>
          </cell>
          <cell r="Q878">
            <v>1559</v>
          </cell>
          <cell r="R878">
            <v>1043.56</v>
          </cell>
          <cell r="S878">
            <v>0</v>
          </cell>
          <cell r="T878">
            <v>0</v>
          </cell>
          <cell r="U878">
            <v>0</v>
          </cell>
          <cell r="V878">
            <v>0</v>
          </cell>
          <cell r="W878">
            <v>171</v>
          </cell>
          <cell r="X878">
            <v>95</v>
          </cell>
          <cell r="Y878">
            <v>0</v>
          </cell>
          <cell r="Z878">
            <v>128</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210.31</v>
          </cell>
          <cell r="AO878">
            <v>0</v>
          </cell>
          <cell r="AP878">
            <v>0</v>
          </cell>
          <cell r="AQ878">
            <v>1559</v>
          </cell>
          <cell r="AR878">
            <v>223</v>
          </cell>
          <cell r="AS878">
            <v>0</v>
          </cell>
          <cell r="AT878">
            <v>0</v>
          </cell>
          <cell r="AU878">
            <v>0</v>
          </cell>
        </row>
        <row r="879">
          <cell r="A879" t="str">
            <v>000BG228</v>
          </cell>
          <cell r="B879" t="str">
            <v>GUYONNET</v>
          </cell>
          <cell r="C879" t="str">
            <v>FREDERIC</v>
          </cell>
          <cell r="D879" t="str">
            <v>LYON CATN</v>
          </cell>
          <cell r="E879">
            <v>61</v>
          </cell>
          <cell r="F879" t="str">
            <v>NC NUMERICABLE RHONES-ALPES</v>
          </cell>
          <cell r="G879" t="str">
            <v>CATN 1ERE LIGNE</v>
          </cell>
          <cell r="I879" t="str">
            <v>GENE905001</v>
          </cell>
          <cell r="J879">
            <v>100</v>
          </cell>
          <cell r="K879">
            <v>37634</v>
          </cell>
          <cell r="L879" t="str">
            <v>CHARGE(E)CLIENTELE</v>
          </cell>
          <cell r="M879" t="str">
            <v>EMPLOYE</v>
          </cell>
          <cell r="N879" t="str">
            <v>C</v>
          </cell>
          <cell r="O879" t="str">
            <v>CDI</v>
          </cell>
          <cell r="P879">
            <v>151.57</v>
          </cell>
          <cell r="Q879">
            <v>1286.79</v>
          </cell>
          <cell r="R879">
            <v>303.63</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1062.27</v>
          </cell>
          <cell r="AN879">
            <v>138.58000000000001</v>
          </cell>
          <cell r="AO879">
            <v>1062.27</v>
          </cell>
          <cell r="AP879">
            <v>0</v>
          </cell>
          <cell r="AQ879">
            <v>1286.79</v>
          </cell>
          <cell r="AR879">
            <v>0</v>
          </cell>
          <cell r="AS879">
            <v>0</v>
          </cell>
          <cell r="AT879">
            <v>0</v>
          </cell>
          <cell r="AU879">
            <v>0</v>
          </cell>
        </row>
        <row r="880">
          <cell r="A880" t="str">
            <v>000BR133</v>
          </cell>
          <cell r="B880" t="str">
            <v>RAMDANI</v>
          </cell>
          <cell r="C880" t="str">
            <v>HAFED</v>
          </cell>
          <cell r="D880" t="str">
            <v>LYON CATN</v>
          </cell>
          <cell r="E880">
            <v>61</v>
          </cell>
          <cell r="F880" t="str">
            <v>NC NUMERICABLE RHONES-ALPES</v>
          </cell>
          <cell r="G880" t="str">
            <v>CATN 2EME LIGNE</v>
          </cell>
          <cell r="H880" t="str">
            <v>BAYARD</v>
          </cell>
          <cell r="I880" t="str">
            <v>CLIE411001</v>
          </cell>
          <cell r="J880">
            <v>100</v>
          </cell>
          <cell r="K880">
            <v>35552</v>
          </cell>
          <cell r="L880" t="str">
            <v>CHARGE(E)CLIENTELE</v>
          </cell>
          <cell r="M880" t="str">
            <v>EMPLOYE</v>
          </cell>
          <cell r="N880" t="str">
            <v>C</v>
          </cell>
          <cell r="O880" t="str">
            <v>CDI</v>
          </cell>
          <cell r="P880">
            <v>151.57</v>
          </cell>
          <cell r="Q880">
            <v>1683.9</v>
          </cell>
          <cell r="R880">
            <v>878.67</v>
          </cell>
          <cell r="S880">
            <v>0</v>
          </cell>
          <cell r="T880">
            <v>0</v>
          </cell>
          <cell r="U880">
            <v>0</v>
          </cell>
          <cell r="V880">
            <v>0</v>
          </cell>
          <cell r="W880">
            <v>128.25</v>
          </cell>
          <cell r="X880">
            <v>95</v>
          </cell>
          <cell r="Y880">
            <v>0</v>
          </cell>
          <cell r="Z880">
            <v>64</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221</v>
          </cell>
          <cell r="AO880">
            <v>0</v>
          </cell>
          <cell r="AP880">
            <v>-35.630000000000003</v>
          </cell>
          <cell r="AQ880">
            <v>1560.42</v>
          </cell>
          <cell r="AR880">
            <v>159</v>
          </cell>
          <cell r="AS880">
            <v>0</v>
          </cell>
          <cell r="AT880">
            <v>0</v>
          </cell>
          <cell r="AU880">
            <v>0</v>
          </cell>
        </row>
        <row r="881">
          <cell r="A881" t="str">
            <v>000BR003</v>
          </cell>
          <cell r="B881" t="str">
            <v>RAVIER</v>
          </cell>
          <cell r="C881" t="str">
            <v>DELPHINE</v>
          </cell>
          <cell r="D881" t="str">
            <v>LYON CATN</v>
          </cell>
          <cell r="E881">
            <v>61</v>
          </cell>
          <cell r="F881" t="str">
            <v>NC NUMERICABLE RHONES-ALPES</v>
          </cell>
          <cell r="G881" t="str">
            <v>FACTURATION</v>
          </cell>
          <cell r="H881" t="str">
            <v>ANTONIN</v>
          </cell>
          <cell r="I881" t="str">
            <v>CLIE400001</v>
          </cell>
          <cell r="J881">
            <v>100</v>
          </cell>
          <cell r="K881">
            <v>33161</v>
          </cell>
          <cell r="L881" t="str">
            <v>SUPERVISEUR CLT</v>
          </cell>
          <cell r="M881" t="str">
            <v>TSM</v>
          </cell>
          <cell r="N881" t="str">
            <v>D</v>
          </cell>
          <cell r="O881" t="str">
            <v>CDI</v>
          </cell>
          <cell r="P881">
            <v>151.57</v>
          </cell>
          <cell r="Q881">
            <v>2290.5500000000002</v>
          </cell>
          <cell r="R881">
            <v>1040.6099999999999</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255.56</v>
          </cell>
          <cell r="AO881">
            <v>0</v>
          </cell>
          <cell r="AP881">
            <v>0</v>
          </cell>
          <cell r="AQ881">
            <v>1973.45</v>
          </cell>
          <cell r="AR881">
            <v>0</v>
          </cell>
          <cell r="AS881">
            <v>0</v>
          </cell>
          <cell r="AT881">
            <v>0</v>
          </cell>
          <cell r="AU881">
            <v>0</v>
          </cell>
        </row>
        <row r="882">
          <cell r="A882" t="str">
            <v>000BP001</v>
          </cell>
          <cell r="B882" t="str">
            <v>PALLANCHON</v>
          </cell>
          <cell r="C882" t="str">
            <v>GENEVIEVE</v>
          </cell>
          <cell r="D882" t="str">
            <v>LYON CATN</v>
          </cell>
          <cell r="E882">
            <v>61</v>
          </cell>
          <cell r="F882" t="str">
            <v>NC NUMERICABLE RHONES-ALPES</v>
          </cell>
          <cell r="G882" t="str">
            <v>CLIENTELE</v>
          </cell>
          <cell r="I882" t="str">
            <v>GENE905001</v>
          </cell>
          <cell r="J882">
            <v>100</v>
          </cell>
          <cell r="K882">
            <v>32965</v>
          </cell>
          <cell r="L882" t="str">
            <v>ASSISTANT(E) NIV. 2</v>
          </cell>
          <cell r="M882" t="str">
            <v>TSM</v>
          </cell>
          <cell r="N882" t="str">
            <v>D</v>
          </cell>
          <cell r="O882" t="str">
            <v>CDI</v>
          </cell>
          <cell r="P882">
            <v>151.57</v>
          </cell>
          <cell r="Q882">
            <v>2387</v>
          </cell>
          <cell r="R882">
            <v>56.99</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-242.93</v>
          </cell>
          <cell r="AN882">
            <v>257.06</v>
          </cell>
          <cell r="AO882">
            <v>-242.93</v>
          </cell>
          <cell r="AP882">
            <v>0</v>
          </cell>
          <cell r="AQ882">
            <v>2387</v>
          </cell>
          <cell r="AR882">
            <v>0</v>
          </cell>
          <cell r="AS882">
            <v>0</v>
          </cell>
          <cell r="AT882">
            <v>0</v>
          </cell>
          <cell r="AU882">
            <v>0</v>
          </cell>
        </row>
        <row r="883">
          <cell r="A883" t="str">
            <v>000BS146</v>
          </cell>
          <cell r="B883" t="str">
            <v>SGHAIER</v>
          </cell>
          <cell r="C883" t="str">
            <v>AMEL</v>
          </cell>
          <cell r="D883" t="str">
            <v>LYON CATN</v>
          </cell>
          <cell r="E883">
            <v>61</v>
          </cell>
          <cell r="F883" t="str">
            <v>NC NUMERICABLE RHONES-ALPES</v>
          </cell>
          <cell r="G883" t="str">
            <v>COURRIER</v>
          </cell>
          <cell r="I883" t="str">
            <v>GENE905001</v>
          </cell>
          <cell r="J883">
            <v>100</v>
          </cell>
          <cell r="K883">
            <v>36192</v>
          </cell>
          <cell r="L883" t="str">
            <v>CHARGE(E)CLIENTELE</v>
          </cell>
          <cell r="M883" t="str">
            <v>EMPLOYE</v>
          </cell>
          <cell r="N883" t="str">
            <v>C</v>
          </cell>
          <cell r="O883" t="str">
            <v>CDI</v>
          </cell>
          <cell r="P883">
            <v>151.57</v>
          </cell>
          <cell r="Q883">
            <v>1660.95</v>
          </cell>
          <cell r="R883">
            <v>-67.97</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289.43</v>
          </cell>
          <cell r="AN883">
            <v>194.23</v>
          </cell>
          <cell r="AO883">
            <v>146.86000000000001</v>
          </cell>
          <cell r="AP883">
            <v>0</v>
          </cell>
          <cell r="AQ883">
            <v>1803.52</v>
          </cell>
          <cell r="AR883">
            <v>0</v>
          </cell>
          <cell r="AS883">
            <v>0</v>
          </cell>
          <cell r="AT883">
            <v>0</v>
          </cell>
          <cell r="AU883">
            <v>0</v>
          </cell>
        </row>
        <row r="884">
          <cell r="A884" t="str">
            <v>000BF103</v>
          </cell>
          <cell r="B884" t="str">
            <v>FOURMENT</v>
          </cell>
          <cell r="C884" t="str">
            <v>MARC</v>
          </cell>
          <cell r="D884" t="str">
            <v>TOULOUSE</v>
          </cell>
          <cell r="E884">
            <v>86</v>
          </cell>
          <cell r="F884" t="str">
            <v>NC NUMERICABLE TOULOUSE</v>
          </cell>
          <cell r="G884" t="str">
            <v>RACCORDEMENT IMMOB STC.</v>
          </cell>
          <cell r="H884" t="str">
            <v>RICHARD C</v>
          </cell>
          <cell r="I884" t="str">
            <v>SUOU302002</v>
          </cell>
          <cell r="J884">
            <v>100</v>
          </cell>
          <cell r="K884">
            <v>36864</v>
          </cell>
          <cell r="L884" t="str">
            <v>SUP. TECH. CLIENT</v>
          </cell>
          <cell r="M884" t="str">
            <v>TSM</v>
          </cell>
          <cell r="N884" t="str">
            <v>D</v>
          </cell>
          <cell r="O884" t="str">
            <v>CDI</v>
          </cell>
          <cell r="P884">
            <v>151.57</v>
          </cell>
          <cell r="Q884">
            <v>1947.48</v>
          </cell>
          <cell r="R884">
            <v>1101.9100000000001</v>
          </cell>
          <cell r="S884">
            <v>0</v>
          </cell>
          <cell r="T884">
            <v>0</v>
          </cell>
          <cell r="U884">
            <v>0</v>
          </cell>
          <cell r="V884">
            <v>0</v>
          </cell>
          <cell r="W884">
            <v>380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252.39</v>
          </cell>
          <cell r="AO884">
            <v>0</v>
          </cell>
          <cell r="AP884">
            <v>0</v>
          </cell>
          <cell r="AQ884">
            <v>1767.74</v>
          </cell>
          <cell r="AR884">
            <v>0</v>
          </cell>
          <cell r="AS884">
            <v>0</v>
          </cell>
          <cell r="AT884">
            <v>0</v>
          </cell>
          <cell r="AU884">
            <v>0</v>
          </cell>
        </row>
        <row r="885">
          <cell r="A885" t="str">
            <v>000BA135</v>
          </cell>
          <cell r="B885" t="str">
            <v>ABDESSADOK</v>
          </cell>
          <cell r="C885" t="str">
            <v>MOHAMED</v>
          </cell>
          <cell r="D885" t="str">
            <v>TOULOUSE</v>
          </cell>
          <cell r="E885">
            <v>86</v>
          </cell>
          <cell r="F885" t="str">
            <v>NC NUMERICABLE TOULOUSE</v>
          </cell>
          <cell r="G885" t="str">
            <v>VAD CONSEILLERS</v>
          </cell>
          <cell r="I885" t="str">
            <v>SUOU500001</v>
          </cell>
          <cell r="J885">
            <v>100</v>
          </cell>
          <cell r="K885">
            <v>37039</v>
          </cell>
          <cell r="L885" t="str">
            <v>CONSEILLER(E) COM.</v>
          </cell>
          <cell r="M885" t="str">
            <v>TSM</v>
          </cell>
          <cell r="N885" t="str">
            <v>D</v>
          </cell>
          <cell r="O885" t="str">
            <v>CDI</v>
          </cell>
          <cell r="P885">
            <v>151.57</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row>
        <row r="886">
          <cell r="A886" t="str">
            <v>000BL162</v>
          </cell>
          <cell r="B886" t="str">
            <v>LABARBE</v>
          </cell>
          <cell r="C886" t="str">
            <v>STEPHANE</v>
          </cell>
          <cell r="D886" t="str">
            <v>TOULOUSE</v>
          </cell>
          <cell r="E886">
            <v>86</v>
          </cell>
          <cell r="F886" t="str">
            <v>NC NUMERICABLE TOULOUSE</v>
          </cell>
          <cell r="G886" t="str">
            <v>VAD CONSEILLERS</v>
          </cell>
          <cell r="H886" t="str">
            <v>COMTE</v>
          </cell>
          <cell r="I886" t="str">
            <v>GENE905001</v>
          </cell>
          <cell r="J886">
            <v>100</v>
          </cell>
          <cell r="K886">
            <v>36797</v>
          </cell>
          <cell r="L886" t="str">
            <v>CONSEILLER(E) COM.</v>
          </cell>
          <cell r="M886" t="str">
            <v>TSM</v>
          </cell>
          <cell r="N886" t="str">
            <v>D</v>
          </cell>
          <cell r="O886" t="str">
            <v>CDI</v>
          </cell>
          <cell r="P886">
            <v>151.57</v>
          </cell>
          <cell r="Q886">
            <v>1242</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10000</v>
          </cell>
          <cell r="AP886">
            <v>0</v>
          </cell>
          <cell r="AQ886">
            <v>0</v>
          </cell>
          <cell r="AR886">
            <v>0</v>
          </cell>
          <cell r="AS886">
            <v>0</v>
          </cell>
          <cell r="AT886">
            <v>0</v>
          </cell>
          <cell r="AU886">
            <v>0</v>
          </cell>
        </row>
        <row r="887">
          <cell r="A887" t="str">
            <v>000BM245</v>
          </cell>
          <cell r="B887" t="str">
            <v>MURGA</v>
          </cell>
          <cell r="C887" t="str">
            <v>CHRISTIANE</v>
          </cell>
          <cell r="D887" t="str">
            <v>TOULOUSE</v>
          </cell>
          <cell r="E887">
            <v>86</v>
          </cell>
          <cell r="F887" t="str">
            <v>NC NUMERICABLE TOULOUSE</v>
          </cell>
          <cell r="G887" t="str">
            <v>ADV</v>
          </cell>
          <cell r="I887" t="str">
            <v>GENE905001</v>
          </cell>
          <cell r="J887">
            <v>100</v>
          </cell>
          <cell r="K887">
            <v>36570</v>
          </cell>
          <cell r="L887" t="str">
            <v>SUPERVISEUR COM.</v>
          </cell>
          <cell r="M887" t="str">
            <v>TSM</v>
          </cell>
          <cell r="N887" t="str">
            <v>D</v>
          </cell>
          <cell r="O887" t="str">
            <v>CDI</v>
          </cell>
          <cell r="P887">
            <v>151.57</v>
          </cell>
          <cell r="Q887">
            <v>2091.4299999999998</v>
          </cell>
          <cell r="R887">
            <v>263.88</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-231.79</v>
          </cell>
          <cell r="AN887">
            <v>225.23</v>
          </cell>
          <cell r="AO887">
            <v>-231.79</v>
          </cell>
          <cell r="AP887">
            <v>0</v>
          </cell>
          <cell r="AQ887">
            <v>2091.4299999999998</v>
          </cell>
          <cell r="AR887">
            <v>0</v>
          </cell>
          <cell r="AS887">
            <v>0</v>
          </cell>
          <cell r="AT887">
            <v>0</v>
          </cell>
          <cell r="AU887">
            <v>0</v>
          </cell>
        </row>
        <row r="888">
          <cell r="A888" t="str">
            <v>000BB321</v>
          </cell>
          <cell r="B888" t="str">
            <v>BREGU</v>
          </cell>
          <cell r="C888" t="str">
            <v>MICHEL</v>
          </cell>
          <cell r="D888" t="str">
            <v>TOULOUSE</v>
          </cell>
          <cell r="E888">
            <v>86</v>
          </cell>
          <cell r="F888" t="str">
            <v>NC NUMERICABLE TOULOUSE</v>
          </cell>
          <cell r="G888" t="str">
            <v>VAD CONSEILLERS</v>
          </cell>
          <cell r="I888" t="str">
            <v>GENE905001</v>
          </cell>
          <cell r="J888">
            <v>100</v>
          </cell>
          <cell r="K888">
            <v>35709</v>
          </cell>
          <cell r="L888" t="str">
            <v>CONSEILLER(E) COM.</v>
          </cell>
          <cell r="M888" t="str">
            <v>TSM</v>
          </cell>
          <cell r="N888" t="str">
            <v>D</v>
          </cell>
          <cell r="O888" t="str">
            <v>CDI</v>
          </cell>
          <cell r="P888">
            <v>151.57</v>
          </cell>
          <cell r="Q888">
            <v>1242</v>
          </cell>
          <cell r="R888">
            <v>137.75</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833.24</v>
          </cell>
          <cell r="AN888">
            <v>379.59</v>
          </cell>
          <cell r="AO888">
            <v>47386.879999999997</v>
          </cell>
          <cell r="AP888">
            <v>0</v>
          </cell>
          <cell r="AQ888">
            <v>1057.26</v>
          </cell>
          <cell r="AR888">
            <v>0</v>
          </cell>
          <cell r="AS888">
            <v>0</v>
          </cell>
          <cell r="AT888">
            <v>0</v>
          </cell>
          <cell r="AU888">
            <v>0</v>
          </cell>
        </row>
        <row r="889">
          <cell r="A889">
            <v>451022</v>
          </cell>
          <cell r="B889" t="str">
            <v>LETONDOUX</v>
          </cell>
          <cell r="C889" t="str">
            <v>LUCIE</v>
          </cell>
          <cell r="D889" t="str">
            <v>RENNES</v>
          </cell>
          <cell r="E889">
            <v>1</v>
          </cell>
          <cell r="F889" t="str">
            <v>NUMERICABLE</v>
          </cell>
          <cell r="J889">
            <v>0</v>
          </cell>
          <cell r="K889">
            <v>33970</v>
          </cell>
          <cell r="L889" t="str">
            <v>ASSIST. TECHNIQUE</v>
          </cell>
          <cell r="M889" t="str">
            <v>461C</v>
          </cell>
          <cell r="N889" t="str">
            <v>C</v>
          </cell>
          <cell r="O889" t="str">
            <v>CDI</v>
          </cell>
          <cell r="P889">
            <v>121.33</v>
          </cell>
          <cell r="Q889">
            <v>1463</v>
          </cell>
          <cell r="R889">
            <v>182.23</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743</v>
          </cell>
          <cell r="AT889">
            <v>0</v>
          </cell>
          <cell r="AU889">
            <v>0</v>
          </cell>
        </row>
        <row r="890">
          <cell r="A890">
            <v>503024</v>
          </cell>
          <cell r="B890" t="str">
            <v>MASSIHA</v>
          </cell>
          <cell r="C890" t="str">
            <v>PASCAL</v>
          </cell>
          <cell r="D890" t="str">
            <v>METZ</v>
          </cell>
          <cell r="E890">
            <v>1</v>
          </cell>
          <cell r="F890" t="str">
            <v>NUMERICABLE</v>
          </cell>
          <cell r="I890" t="str">
            <v>FTCN905001</v>
          </cell>
          <cell r="J890">
            <v>100</v>
          </cell>
          <cell r="K890">
            <v>35370</v>
          </cell>
          <cell r="L890" t="str">
            <v>CONSEIL. COMMERCIAL</v>
          </cell>
          <cell r="M890" t="str">
            <v>463E</v>
          </cell>
          <cell r="N890" t="str">
            <v>D</v>
          </cell>
          <cell r="O890" t="str">
            <v>CDI</v>
          </cell>
          <cell r="P890">
            <v>166.83</v>
          </cell>
          <cell r="Q890">
            <v>950</v>
          </cell>
          <cell r="R890">
            <v>727.6</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1653.19</v>
          </cell>
          <cell r="AN890">
            <v>104.56</v>
          </cell>
          <cell r="AO890">
            <v>1557.51</v>
          </cell>
          <cell r="AP890">
            <v>0</v>
          </cell>
          <cell r="AQ890">
            <v>1045.68</v>
          </cell>
          <cell r="AR890">
            <v>0</v>
          </cell>
          <cell r="AS890">
            <v>0</v>
          </cell>
          <cell r="AT890">
            <v>0</v>
          </cell>
          <cell r="AU890">
            <v>0</v>
          </cell>
        </row>
        <row r="891">
          <cell r="A891">
            <v>901015</v>
          </cell>
          <cell r="B891" t="str">
            <v>GOMIZ</v>
          </cell>
          <cell r="C891" t="str">
            <v>VERONIQUE</v>
          </cell>
          <cell r="D891" t="str">
            <v>MONTPELLIER</v>
          </cell>
          <cell r="E891">
            <v>1</v>
          </cell>
          <cell r="F891" t="str">
            <v>NUMERICABLE</v>
          </cell>
          <cell r="I891" t="str">
            <v>FTCN905001</v>
          </cell>
          <cell r="J891">
            <v>100</v>
          </cell>
          <cell r="K891">
            <v>33970</v>
          </cell>
          <cell r="L891" t="str">
            <v>ASSIST. DE DIRECTION</v>
          </cell>
          <cell r="M891">
            <v>461</v>
          </cell>
          <cell r="N891" t="str">
            <v>DB</v>
          </cell>
          <cell r="O891" t="str">
            <v>CDI</v>
          </cell>
          <cell r="P891">
            <v>166.83</v>
          </cell>
          <cell r="Q891">
            <v>2169</v>
          </cell>
          <cell r="R891">
            <v>1125.8900000000001</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208.19</v>
          </cell>
          <cell r="AO891">
            <v>0</v>
          </cell>
          <cell r="AP891">
            <v>0</v>
          </cell>
          <cell r="AQ891">
            <v>2169</v>
          </cell>
          <cell r="AR891">
            <v>0</v>
          </cell>
          <cell r="AS891">
            <v>0</v>
          </cell>
          <cell r="AT891">
            <v>0</v>
          </cell>
          <cell r="AU891">
            <v>0</v>
          </cell>
        </row>
        <row r="892">
          <cell r="A892">
            <v>952060</v>
          </cell>
          <cell r="B892" t="str">
            <v>FORNES</v>
          </cell>
          <cell r="C892" t="str">
            <v>NATHALIE</v>
          </cell>
          <cell r="D892" t="str">
            <v>SIEGE</v>
          </cell>
          <cell r="E892">
            <v>1</v>
          </cell>
          <cell r="F892" t="str">
            <v>NUMERICABLE</v>
          </cell>
          <cell r="G892" t="str">
            <v>MARKETING</v>
          </cell>
          <cell r="H892" t="str">
            <v>VINEL</v>
          </cell>
          <cell r="I892" t="str">
            <v>GENE546001</v>
          </cell>
          <cell r="J892">
            <v>100</v>
          </cell>
          <cell r="K892">
            <v>34747</v>
          </cell>
          <cell r="L892" t="str">
            <v>CHEF DE PROJET MARKETING</v>
          </cell>
          <cell r="M892" t="str">
            <v>388A</v>
          </cell>
          <cell r="N892" t="str">
            <v>F</v>
          </cell>
          <cell r="O892" t="str">
            <v>CDI</v>
          </cell>
          <cell r="P892">
            <v>151.57</v>
          </cell>
          <cell r="Q892">
            <v>5416.67</v>
          </cell>
          <cell r="R892">
            <v>2691.17</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541.15</v>
          </cell>
          <cell r="AO892">
            <v>0</v>
          </cell>
          <cell r="AP892">
            <v>0</v>
          </cell>
          <cell r="AQ892">
            <v>5411.47</v>
          </cell>
          <cell r="AR892">
            <v>0</v>
          </cell>
          <cell r="AS892">
            <v>0</v>
          </cell>
          <cell r="AT892">
            <v>0</v>
          </cell>
          <cell r="AU892">
            <v>0</v>
          </cell>
        </row>
        <row r="893">
          <cell r="A893">
            <v>20000612</v>
          </cell>
          <cell r="B893" t="str">
            <v>CAILLEUX</v>
          </cell>
          <cell r="C893" t="str">
            <v>DIDIER</v>
          </cell>
          <cell r="D893" t="str">
            <v>LA MADELEINE</v>
          </cell>
          <cell r="E893">
            <v>1</v>
          </cell>
          <cell r="F893" t="str">
            <v>NUMERICABLE</v>
          </cell>
          <cell r="I893" t="str">
            <v>FTCN905001</v>
          </cell>
          <cell r="J893">
            <v>100</v>
          </cell>
          <cell r="K893">
            <v>36836</v>
          </cell>
          <cell r="L893" t="str">
            <v>ATTACHE COMMERCIAL</v>
          </cell>
          <cell r="M893" t="str">
            <v>EMPLOYE</v>
          </cell>
          <cell r="N893" t="str">
            <v>D</v>
          </cell>
          <cell r="O893" t="str">
            <v>CDI</v>
          </cell>
          <cell r="P893">
            <v>166.83</v>
          </cell>
          <cell r="Q893">
            <v>1285</v>
          </cell>
          <cell r="R893">
            <v>-970.32</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1315.64</v>
          </cell>
          <cell r="AN893">
            <v>128.51</v>
          </cell>
          <cell r="AO893">
            <v>1315.64</v>
          </cell>
          <cell r="AP893">
            <v>0</v>
          </cell>
          <cell r="AQ893">
            <v>1285</v>
          </cell>
          <cell r="AR893">
            <v>0</v>
          </cell>
          <cell r="AS893">
            <v>0</v>
          </cell>
          <cell r="AT893">
            <v>0</v>
          </cell>
          <cell r="AU893">
            <v>0</v>
          </cell>
        </row>
        <row r="894">
          <cell r="A894" t="str">
            <v>000A1692</v>
          </cell>
          <cell r="B894" t="str">
            <v>EL ASRI</v>
          </cell>
          <cell r="C894" t="str">
            <v>MUSTAPHA</v>
          </cell>
          <cell r="D894" t="str">
            <v>RENNES</v>
          </cell>
          <cell r="E894">
            <v>3</v>
          </cell>
          <cell r="F894" t="str">
            <v>NUMERICABLE</v>
          </cell>
          <cell r="G894" t="str">
            <v>BOUTIQUE</v>
          </cell>
          <cell r="H894" t="str">
            <v>JAUD</v>
          </cell>
          <cell r="I894" t="str">
            <v>OUES507001</v>
          </cell>
          <cell r="J894">
            <v>100</v>
          </cell>
          <cell r="K894">
            <v>38808</v>
          </cell>
          <cell r="L894" t="str">
            <v>CONSEILLER TECHNIQUE BOUTIQUE</v>
          </cell>
          <cell r="M894" t="str">
            <v>462E</v>
          </cell>
          <cell r="N894" t="str">
            <v>C</v>
          </cell>
          <cell r="O894" t="str">
            <v>CDI</v>
          </cell>
          <cell r="P894">
            <v>166.83</v>
          </cell>
          <cell r="Q894">
            <v>0</v>
          </cell>
          <cell r="R894">
            <v>246.64</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1340</v>
          </cell>
          <cell r="AR894">
            <v>0</v>
          </cell>
          <cell r="AS894">
            <v>0</v>
          </cell>
          <cell r="AT894">
            <v>0</v>
          </cell>
          <cell r="AU894">
            <v>0</v>
          </cell>
        </row>
        <row r="895">
          <cell r="A895">
            <v>1361</v>
          </cell>
          <cell r="B895" t="str">
            <v>HACHAICHI</v>
          </cell>
          <cell r="C895" t="str">
            <v>SAMIRA</v>
          </cell>
          <cell r="D895" t="str">
            <v>SAINT MARTIN D'HERES</v>
          </cell>
          <cell r="E895">
            <v>1</v>
          </cell>
          <cell r="F895" t="str">
            <v>NUMERICABLE</v>
          </cell>
          <cell r="G895" t="str">
            <v>BOUTIQUE</v>
          </cell>
          <cell r="H895" t="str">
            <v>MANAI</v>
          </cell>
          <cell r="I895" t="str">
            <v>RHON507001</v>
          </cell>
          <cell r="J895">
            <v>100</v>
          </cell>
          <cell r="K895">
            <v>38626</v>
          </cell>
          <cell r="L895" t="str">
            <v>CONSEILLER CLIENTELE BOUTIQUE</v>
          </cell>
          <cell r="M895" t="str">
            <v>463E</v>
          </cell>
          <cell r="N895" t="str">
            <v>C</v>
          </cell>
          <cell r="O895" t="str">
            <v>CDI</v>
          </cell>
          <cell r="P895">
            <v>166.83</v>
          </cell>
          <cell r="Q895">
            <v>1500</v>
          </cell>
          <cell r="R895">
            <v>1469.76</v>
          </cell>
          <cell r="S895">
            <v>0</v>
          </cell>
          <cell r="T895">
            <v>1202</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270.2</v>
          </cell>
          <cell r="AO895">
            <v>0</v>
          </cell>
          <cell r="AP895">
            <v>0</v>
          </cell>
          <cell r="AQ895">
            <v>1500</v>
          </cell>
          <cell r="AR895">
            <v>0</v>
          </cell>
          <cell r="AS895">
            <v>0</v>
          </cell>
          <cell r="AT895">
            <v>0</v>
          </cell>
          <cell r="AU895">
            <v>0</v>
          </cell>
        </row>
        <row r="896">
          <cell r="A896" t="str">
            <v>000A1510</v>
          </cell>
          <cell r="B896" t="str">
            <v>BOULAY</v>
          </cell>
          <cell r="C896" t="str">
            <v>JEAN CLAUDE</v>
          </cell>
          <cell r="D896" t="str">
            <v>METZ</v>
          </cell>
          <cell r="E896">
            <v>19</v>
          </cell>
          <cell r="F896" t="str">
            <v>NUMERICABLE  (TCC)</v>
          </cell>
          <cell r="G896" t="str">
            <v>TECHNIQUE</v>
          </cell>
          <cell r="I896" t="str">
            <v>FTCN905001</v>
          </cell>
          <cell r="J896">
            <v>100</v>
          </cell>
          <cell r="K896">
            <v>38626</v>
          </cell>
          <cell r="L896" t="str">
            <v>TECH. EXP. NIV. 1</v>
          </cell>
          <cell r="M896" t="str">
            <v>EMPLOYE</v>
          </cell>
          <cell r="N896" t="str">
            <v>C</v>
          </cell>
          <cell r="O896" t="str">
            <v>CDI</v>
          </cell>
          <cell r="P896">
            <v>151.57</v>
          </cell>
          <cell r="Q896">
            <v>2000</v>
          </cell>
          <cell r="R896">
            <v>327.01</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-80.75</v>
          </cell>
          <cell r="AN896">
            <v>0</v>
          </cell>
          <cell r="AO896">
            <v>-80.75</v>
          </cell>
          <cell r="AP896">
            <v>0</v>
          </cell>
          <cell r="AQ896">
            <v>2000</v>
          </cell>
          <cell r="AR896">
            <v>0</v>
          </cell>
          <cell r="AS896">
            <v>0</v>
          </cell>
          <cell r="AT896">
            <v>0</v>
          </cell>
          <cell r="AU896">
            <v>0</v>
          </cell>
        </row>
        <row r="897">
          <cell r="A897">
            <v>1339</v>
          </cell>
          <cell r="B897" t="str">
            <v>PERRONNIN</v>
          </cell>
          <cell r="C897" t="str">
            <v>PHILIPPE</v>
          </cell>
          <cell r="D897" t="str">
            <v>TOURS</v>
          </cell>
          <cell r="E897">
            <v>1</v>
          </cell>
          <cell r="F897" t="str">
            <v>NUMERICABLE</v>
          </cell>
          <cell r="G897" t="str">
            <v>BOUTIQUE</v>
          </cell>
          <cell r="H897" t="str">
            <v>JAUD</v>
          </cell>
          <cell r="I897" t="str">
            <v>OUES507001</v>
          </cell>
          <cell r="J897">
            <v>100</v>
          </cell>
          <cell r="K897">
            <v>38488</v>
          </cell>
          <cell r="L897" t="str">
            <v>VENDEUR POINT DE VENTE</v>
          </cell>
          <cell r="M897" t="str">
            <v>463E</v>
          </cell>
          <cell r="N897" t="str">
            <v>C</v>
          </cell>
          <cell r="O897" t="str">
            <v>CDI</v>
          </cell>
          <cell r="P897">
            <v>166.83</v>
          </cell>
          <cell r="Q897">
            <v>1356</v>
          </cell>
          <cell r="R897">
            <v>761.53</v>
          </cell>
          <cell r="S897">
            <v>0</v>
          </cell>
          <cell r="T897">
            <v>0</v>
          </cell>
          <cell r="U897">
            <v>0</v>
          </cell>
          <cell r="V897">
            <v>0</v>
          </cell>
          <cell r="W897">
            <v>339</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169.76</v>
          </cell>
          <cell r="AO897">
            <v>0</v>
          </cell>
          <cell r="AP897">
            <v>0</v>
          </cell>
          <cell r="AQ897">
            <v>1356</v>
          </cell>
          <cell r="AR897">
            <v>0</v>
          </cell>
          <cell r="AS897">
            <v>0</v>
          </cell>
          <cell r="AT897">
            <v>0</v>
          </cell>
          <cell r="AU897">
            <v>0</v>
          </cell>
        </row>
        <row r="898">
          <cell r="A898">
            <v>1374</v>
          </cell>
          <cell r="B898" t="str">
            <v>ELIEZER-VANEROT</v>
          </cell>
          <cell r="C898" t="str">
            <v>CHARLY</v>
          </cell>
          <cell r="D898" t="str">
            <v>SAINT QUENTIN EN YVE</v>
          </cell>
          <cell r="E898">
            <v>3</v>
          </cell>
          <cell r="F898" t="str">
            <v>NUMERICABLE</v>
          </cell>
          <cell r="G898" t="str">
            <v>BOUTIQUE</v>
          </cell>
          <cell r="H898" t="str">
            <v>ZERFAINE</v>
          </cell>
          <cell r="I898" t="str">
            <v>IDFR507001</v>
          </cell>
          <cell r="J898">
            <v>100</v>
          </cell>
          <cell r="K898">
            <v>38687</v>
          </cell>
          <cell r="L898" t="str">
            <v>CONSEILLER CLIENTELE BOUTIQUE</v>
          </cell>
          <cell r="M898" t="str">
            <v>463E</v>
          </cell>
          <cell r="N898" t="str">
            <v>C</v>
          </cell>
          <cell r="O898" t="str">
            <v>CDI</v>
          </cell>
          <cell r="P898">
            <v>166.83</v>
          </cell>
          <cell r="Q898">
            <v>1300</v>
          </cell>
          <cell r="R898">
            <v>1239.1300000000001</v>
          </cell>
          <cell r="S898">
            <v>0</v>
          </cell>
          <cell r="T898">
            <v>932</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223.2</v>
          </cell>
          <cell r="AO898">
            <v>50.65</v>
          </cell>
          <cell r="AP898">
            <v>0</v>
          </cell>
          <cell r="AQ898">
            <v>1300</v>
          </cell>
          <cell r="AR898">
            <v>0</v>
          </cell>
          <cell r="AS898">
            <v>0</v>
          </cell>
          <cell r="AT898">
            <v>0</v>
          </cell>
          <cell r="AU898">
            <v>0</v>
          </cell>
        </row>
        <row r="899">
          <cell r="A899">
            <v>155</v>
          </cell>
          <cell r="B899" t="str">
            <v>LE GUEVEL</v>
          </cell>
          <cell r="C899" t="str">
            <v>GISELE</v>
          </cell>
          <cell r="D899" t="str">
            <v>RENNES</v>
          </cell>
          <cell r="E899">
            <v>1</v>
          </cell>
          <cell r="F899" t="str">
            <v>NUMERICABLE</v>
          </cell>
          <cell r="I899" t="str">
            <v>FTCN905001</v>
          </cell>
          <cell r="J899">
            <v>100</v>
          </cell>
          <cell r="K899">
            <v>36404</v>
          </cell>
          <cell r="L899" t="str">
            <v>ATTACHE COMMERCIAL</v>
          </cell>
          <cell r="M899" t="str">
            <v>EMPLOYE</v>
          </cell>
          <cell r="N899" t="str">
            <v>D</v>
          </cell>
          <cell r="O899" t="str">
            <v>CDI</v>
          </cell>
          <cell r="P899">
            <v>166.83</v>
          </cell>
          <cell r="Q899">
            <v>1285</v>
          </cell>
          <cell r="R899">
            <v>-803.17</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430.81</v>
          </cell>
          <cell r="AN899">
            <v>188.33</v>
          </cell>
          <cell r="AO899">
            <v>0</v>
          </cell>
          <cell r="AP899">
            <v>-3448.2</v>
          </cell>
          <cell r="AQ899">
            <v>1137.02</v>
          </cell>
          <cell r="AR899">
            <v>0</v>
          </cell>
          <cell r="AS899">
            <v>0</v>
          </cell>
          <cell r="AT899">
            <v>0</v>
          </cell>
          <cell r="AU899">
            <v>0</v>
          </cell>
        </row>
        <row r="900">
          <cell r="A900">
            <v>411</v>
          </cell>
          <cell r="B900" t="str">
            <v>LAURICELLA-PICI</v>
          </cell>
          <cell r="C900" t="str">
            <v>SABINE</v>
          </cell>
          <cell r="D900" t="str">
            <v>AVIGNON</v>
          </cell>
          <cell r="E900">
            <v>1</v>
          </cell>
          <cell r="F900" t="str">
            <v>NUMERICABLE</v>
          </cell>
          <cell r="I900" t="str">
            <v>FTCN905001</v>
          </cell>
          <cell r="J900">
            <v>100</v>
          </cell>
          <cell r="K900">
            <v>36617</v>
          </cell>
          <cell r="L900" t="str">
            <v>CONSEILLER CLIENT</v>
          </cell>
          <cell r="M900" t="str">
            <v>462E</v>
          </cell>
          <cell r="N900" t="str">
            <v>C</v>
          </cell>
          <cell r="O900" t="str">
            <v>CDI</v>
          </cell>
          <cell r="P900">
            <v>166.83</v>
          </cell>
          <cell r="Q900">
            <v>1557.13</v>
          </cell>
          <cell r="R900">
            <v>638.05999999999995</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149.46</v>
          </cell>
          <cell r="AO900">
            <v>0</v>
          </cell>
          <cell r="AP900">
            <v>0</v>
          </cell>
          <cell r="AQ900">
            <v>1557.13</v>
          </cell>
          <cell r="AR900">
            <v>0</v>
          </cell>
          <cell r="AS900">
            <v>0</v>
          </cell>
          <cell r="AT900">
            <v>0</v>
          </cell>
          <cell r="AU900">
            <v>0</v>
          </cell>
        </row>
        <row r="901">
          <cell r="A901">
            <v>481</v>
          </cell>
          <cell r="B901" t="str">
            <v>MOLINIE</v>
          </cell>
          <cell r="C901" t="str">
            <v>FABRICE</v>
          </cell>
          <cell r="D901" t="str">
            <v>SAINT MARTIN D'HERES</v>
          </cell>
          <cell r="E901">
            <v>1</v>
          </cell>
          <cell r="F901" t="str">
            <v>NUMERICABLE</v>
          </cell>
          <cell r="G901" t="str">
            <v>VAD CONSEILLERS</v>
          </cell>
          <cell r="H901" t="str">
            <v>LAGUEREMA</v>
          </cell>
          <cell r="I901" t="str">
            <v>RHON500001</v>
          </cell>
          <cell r="J901">
            <v>100</v>
          </cell>
          <cell r="K901">
            <v>37685</v>
          </cell>
          <cell r="L901" t="str">
            <v>ATTACHE COMMERCIAL</v>
          </cell>
          <cell r="M901" t="str">
            <v>CADRE</v>
          </cell>
          <cell r="N901" t="str">
            <v>D</v>
          </cell>
          <cell r="O901" t="str">
            <v>CDI</v>
          </cell>
          <cell r="P901">
            <v>166.83</v>
          </cell>
          <cell r="Q901">
            <v>1100</v>
          </cell>
          <cell r="R901">
            <v>1498</v>
          </cell>
          <cell r="S901">
            <v>0</v>
          </cell>
          <cell r="T901">
            <v>2107.83</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320.79000000000002</v>
          </cell>
          <cell r="AO901">
            <v>0</v>
          </cell>
          <cell r="AP901">
            <v>0</v>
          </cell>
          <cell r="AQ901">
            <v>1100</v>
          </cell>
          <cell r="AR901">
            <v>0</v>
          </cell>
          <cell r="AS901">
            <v>0</v>
          </cell>
          <cell r="AT901">
            <v>0</v>
          </cell>
          <cell r="AU901">
            <v>0</v>
          </cell>
        </row>
        <row r="902">
          <cell r="A902">
            <v>685</v>
          </cell>
          <cell r="B902" t="str">
            <v>GOUESNARD</v>
          </cell>
          <cell r="C902" t="str">
            <v>CELINE</v>
          </cell>
          <cell r="D902" t="str">
            <v>RENNES</v>
          </cell>
          <cell r="E902">
            <v>1</v>
          </cell>
          <cell r="F902" t="str">
            <v>NUMERICABLE</v>
          </cell>
          <cell r="G902" t="str">
            <v>BOUTIQUE</v>
          </cell>
          <cell r="H902" t="str">
            <v>JAUD</v>
          </cell>
          <cell r="I902" t="str">
            <v>OUES507001</v>
          </cell>
          <cell r="J902">
            <v>100</v>
          </cell>
          <cell r="K902">
            <v>36923</v>
          </cell>
          <cell r="L902" t="str">
            <v>ANIMATEUR POINT DE VENTES</v>
          </cell>
          <cell r="M902" t="str">
            <v>463E</v>
          </cell>
          <cell r="N902" t="str">
            <v>DB</v>
          </cell>
          <cell r="O902" t="str">
            <v>CDI</v>
          </cell>
          <cell r="P902">
            <v>166.83</v>
          </cell>
          <cell r="Q902">
            <v>1779</v>
          </cell>
          <cell r="R902">
            <v>1017.29</v>
          </cell>
          <cell r="S902">
            <v>0</v>
          </cell>
          <cell r="T902">
            <v>230.09</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203.24</v>
          </cell>
          <cell r="AO902">
            <v>0</v>
          </cell>
          <cell r="AP902">
            <v>0</v>
          </cell>
          <cell r="AQ902">
            <v>1614.81</v>
          </cell>
          <cell r="AR902">
            <v>0</v>
          </cell>
          <cell r="AS902">
            <v>0</v>
          </cell>
          <cell r="AT902">
            <v>0</v>
          </cell>
          <cell r="AU902">
            <v>0</v>
          </cell>
        </row>
        <row r="903">
          <cell r="A903">
            <v>40171</v>
          </cell>
          <cell r="B903" t="str">
            <v>MIRANDA</v>
          </cell>
          <cell r="C903" t="str">
            <v>PAUL</v>
          </cell>
          <cell r="D903" t="str">
            <v>ROUEN</v>
          </cell>
          <cell r="E903">
            <v>1</v>
          </cell>
          <cell r="F903" t="str">
            <v>NUMERICABLE</v>
          </cell>
          <cell r="G903" t="str">
            <v>BOUTIQUE</v>
          </cell>
          <cell r="H903" t="str">
            <v>THOREL</v>
          </cell>
          <cell r="I903" t="str">
            <v>OUES507001</v>
          </cell>
          <cell r="J903">
            <v>100</v>
          </cell>
          <cell r="K903">
            <v>35695</v>
          </cell>
          <cell r="L903" t="str">
            <v>CONSEIL. COMMERCIAL</v>
          </cell>
          <cell r="M903" t="str">
            <v>463E</v>
          </cell>
          <cell r="N903" t="str">
            <v>C</v>
          </cell>
          <cell r="O903" t="str">
            <v>CDI</v>
          </cell>
          <cell r="P903">
            <v>166.83</v>
          </cell>
          <cell r="Q903">
            <v>1532</v>
          </cell>
          <cell r="R903">
            <v>1388.96</v>
          </cell>
          <cell r="S903">
            <v>0</v>
          </cell>
          <cell r="T903">
            <v>1051.21</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290.3</v>
          </cell>
          <cell r="AO903">
            <v>0</v>
          </cell>
          <cell r="AP903">
            <v>0</v>
          </cell>
          <cell r="AQ903">
            <v>1603.83</v>
          </cell>
          <cell r="AR903">
            <v>0</v>
          </cell>
          <cell r="AS903">
            <v>0</v>
          </cell>
          <cell r="AT903">
            <v>0</v>
          </cell>
          <cell r="AU903">
            <v>0</v>
          </cell>
        </row>
        <row r="904">
          <cell r="A904">
            <v>240031</v>
          </cell>
          <cell r="B904" t="str">
            <v>PLELAN</v>
          </cell>
          <cell r="C904" t="str">
            <v>LUDOVIC</v>
          </cell>
          <cell r="D904" t="str">
            <v>AVIGNON</v>
          </cell>
          <cell r="E904">
            <v>1</v>
          </cell>
          <cell r="F904" t="str">
            <v>NUMERICABLE</v>
          </cell>
          <cell r="I904" t="str">
            <v>FTCN905001</v>
          </cell>
          <cell r="J904">
            <v>100</v>
          </cell>
          <cell r="K904">
            <v>35135</v>
          </cell>
          <cell r="L904" t="str">
            <v>ASSIST. CHARGE PROJETS</v>
          </cell>
          <cell r="M904" t="str">
            <v>462E</v>
          </cell>
          <cell r="N904" t="str">
            <v>DB</v>
          </cell>
          <cell r="O904" t="str">
            <v>CDI</v>
          </cell>
          <cell r="P904">
            <v>166.83</v>
          </cell>
          <cell r="Q904">
            <v>1907.2</v>
          </cell>
          <cell r="R904">
            <v>1503.93</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158.52000000000001</v>
          </cell>
          <cell r="AN904">
            <v>205.15</v>
          </cell>
          <cell r="AO904">
            <v>14.38</v>
          </cell>
          <cell r="AP904">
            <v>0</v>
          </cell>
          <cell r="AQ904">
            <v>2051.34</v>
          </cell>
          <cell r="AR904">
            <v>0</v>
          </cell>
          <cell r="AS904">
            <v>0</v>
          </cell>
          <cell r="AT904">
            <v>0</v>
          </cell>
          <cell r="AU904">
            <v>0</v>
          </cell>
        </row>
        <row r="905">
          <cell r="A905">
            <v>301087</v>
          </cell>
          <cell r="B905" t="str">
            <v>BOUGHITA</v>
          </cell>
          <cell r="C905" t="str">
            <v>YOUCEF</v>
          </cell>
          <cell r="D905" t="str">
            <v>HAUBOURDIN</v>
          </cell>
          <cell r="E905">
            <v>1</v>
          </cell>
          <cell r="F905" t="str">
            <v>NUMERICABLE</v>
          </cell>
          <cell r="J905">
            <v>0</v>
          </cell>
          <cell r="K905">
            <v>35570</v>
          </cell>
          <cell r="L905" t="str">
            <v>CONSEILLER CLIENT</v>
          </cell>
          <cell r="M905" t="str">
            <v>462E</v>
          </cell>
          <cell r="N905">
            <v>0</v>
          </cell>
          <cell r="O905" t="str">
            <v>CDI</v>
          </cell>
          <cell r="P905">
            <v>166.83</v>
          </cell>
          <cell r="Q905">
            <v>2001</v>
          </cell>
          <cell r="R905">
            <v>6742.51</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13613</v>
          </cell>
          <cell r="AT905">
            <v>0</v>
          </cell>
          <cell r="AU905">
            <v>0</v>
          </cell>
        </row>
        <row r="906">
          <cell r="A906">
            <v>503001</v>
          </cell>
          <cell r="B906" t="str">
            <v>BAUER</v>
          </cell>
          <cell r="C906" t="str">
            <v>ROMUALD</v>
          </cell>
          <cell r="D906" t="str">
            <v>METZ</v>
          </cell>
          <cell r="E906">
            <v>1</v>
          </cell>
          <cell r="F906" t="str">
            <v>NUMERICABLE</v>
          </cell>
          <cell r="G906" t="str">
            <v>TECHNIQUE</v>
          </cell>
          <cell r="I906" t="str">
            <v>FTCN905001</v>
          </cell>
          <cell r="J906">
            <v>100</v>
          </cell>
          <cell r="K906">
            <v>35370</v>
          </cell>
          <cell r="L906" t="str">
            <v>EMPLY.SCE TECHNIQUE</v>
          </cell>
          <cell r="M906" t="str">
            <v>633B</v>
          </cell>
          <cell r="N906" t="str">
            <v>C</v>
          </cell>
          <cell r="O906" t="str">
            <v>CDI</v>
          </cell>
          <cell r="P906">
            <v>102.57</v>
          </cell>
          <cell r="Q906">
            <v>910.02</v>
          </cell>
          <cell r="R906">
            <v>39.299999999999997</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87.34</v>
          </cell>
          <cell r="AO906">
            <v>0</v>
          </cell>
          <cell r="AP906">
            <v>0</v>
          </cell>
          <cell r="AQ906">
            <v>0</v>
          </cell>
          <cell r="AR906">
            <v>0</v>
          </cell>
          <cell r="AS906">
            <v>0</v>
          </cell>
          <cell r="AT906">
            <v>0</v>
          </cell>
          <cell r="AU906">
            <v>0</v>
          </cell>
        </row>
        <row r="907">
          <cell r="A907">
            <v>952014</v>
          </cell>
          <cell r="B907" t="str">
            <v>DIDIER</v>
          </cell>
          <cell r="C907" t="str">
            <v>GISELE</v>
          </cell>
          <cell r="D907" t="str">
            <v>MARSEILLE</v>
          </cell>
          <cell r="E907">
            <v>1</v>
          </cell>
          <cell r="F907" t="str">
            <v>NUMERICABLE</v>
          </cell>
          <cell r="G907" t="str">
            <v>DIRECTION REGIONALE</v>
          </cell>
          <cell r="H907" t="str">
            <v>VIVIN</v>
          </cell>
          <cell r="I907" t="str">
            <v>SUES520001</v>
          </cell>
          <cell r="J907">
            <v>100</v>
          </cell>
          <cell r="K907">
            <v>34747</v>
          </cell>
          <cell r="L907" t="str">
            <v>ASSISTANTE COMMERCIALE</v>
          </cell>
          <cell r="M907" t="str">
            <v>461C</v>
          </cell>
          <cell r="N907" t="str">
            <v>D</v>
          </cell>
          <cell r="O907" t="str">
            <v>CDI</v>
          </cell>
          <cell r="P907">
            <v>166.83</v>
          </cell>
          <cell r="Q907">
            <v>1912</v>
          </cell>
          <cell r="R907">
            <v>1452.73</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472.76</v>
          </cell>
          <cell r="AO907">
            <v>0</v>
          </cell>
          <cell r="AP907">
            <v>0</v>
          </cell>
          <cell r="AQ907">
            <v>2300</v>
          </cell>
          <cell r="AR907">
            <v>0</v>
          </cell>
          <cell r="AS907">
            <v>0</v>
          </cell>
          <cell r="AT907">
            <v>0</v>
          </cell>
          <cell r="AU907">
            <v>0</v>
          </cell>
        </row>
        <row r="908">
          <cell r="A908">
            <v>954035</v>
          </cell>
          <cell r="B908" t="str">
            <v>TRANCHAT</v>
          </cell>
          <cell r="C908" t="str">
            <v>CHRISTINE</v>
          </cell>
          <cell r="D908" t="str">
            <v>AVIGNON</v>
          </cell>
          <cell r="E908">
            <v>1</v>
          </cell>
          <cell r="F908" t="str">
            <v>NUMERICABLE</v>
          </cell>
          <cell r="G908" t="str">
            <v>BOUTIQUE</v>
          </cell>
          <cell r="H908" t="str">
            <v>STEINMETZ</v>
          </cell>
          <cell r="I908" t="str">
            <v>SUES507001</v>
          </cell>
          <cell r="J908">
            <v>100</v>
          </cell>
          <cell r="K908">
            <v>35583</v>
          </cell>
          <cell r="L908" t="str">
            <v>VENDEUR POINT DE VENTE</v>
          </cell>
          <cell r="M908" t="str">
            <v>463E</v>
          </cell>
          <cell r="N908" t="str">
            <v>C</v>
          </cell>
          <cell r="O908" t="str">
            <v>CDI</v>
          </cell>
          <cell r="P908">
            <v>166.83</v>
          </cell>
          <cell r="Q908">
            <v>1600</v>
          </cell>
          <cell r="R908">
            <v>943.64</v>
          </cell>
          <cell r="S908">
            <v>0</v>
          </cell>
          <cell r="T908">
            <v>361.74</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201.93</v>
          </cell>
          <cell r="AO908">
            <v>0</v>
          </cell>
          <cell r="AP908">
            <v>0</v>
          </cell>
          <cell r="AQ908">
            <v>1378.49</v>
          </cell>
          <cell r="AR908">
            <v>0</v>
          </cell>
          <cell r="AS908">
            <v>0</v>
          </cell>
          <cell r="AT908">
            <v>0</v>
          </cell>
          <cell r="AU908">
            <v>0</v>
          </cell>
        </row>
        <row r="909">
          <cell r="A909">
            <v>1002109</v>
          </cell>
          <cell r="B909" t="str">
            <v>BERTON</v>
          </cell>
          <cell r="C909" t="str">
            <v>ERIC</v>
          </cell>
          <cell r="D909" t="str">
            <v>LA MADELEINE</v>
          </cell>
          <cell r="E909">
            <v>1</v>
          </cell>
          <cell r="F909" t="str">
            <v>NUMERICABLE</v>
          </cell>
          <cell r="I909" t="str">
            <v>FTCN905001</v>
          </cell>
          <cell r="J909">
            <v>100</v>
          </cell>
          <cell r="K909">
            <v>36069</v>
          </cell>
          <cell r="L909" t="str">
            <v>DIRECTEUR DE SITE</v>
          </cell>
          <cell r="M909" t="str">
            <v>232A</v>
          </cell>
          <cell r="N909" t="str">
            <v>F</v>
          </cell>
          <cell r="O909" t="str">
            <v>CDI</v>
          </cell>
          <cell r="P909">
            <v>151.57</v>
          </cell>
          <cell r="Q909">
            <v>4803.68</v>
          </cell>
          <cell r="R909">
            <v>3642.18</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2840.44</v>
          </cell>
          <cell r="AN909">
            <v>764.41</v>
          </cell>
          <cell r="AO909">
            <v>0</v>
          </cell>
          <cell r="AP909">
            <v>0</v>
          </cell>
          <cell r="AQ909">
            <v>7644.12</v>
          </cell>
          <cell r="AR909">
            <v>0</v>
          </cell>
          <cell r="AS909">
            <v>0</v>
          </cell>
          <cell r="AT909">
            <v>0</v>
          </cell>
          <cell r="AU909">
            <v>0</v>
          </cell>
        </row>
        <row r="910">
          <cell r="A910" t="str">
            <v>000A1524</v>
          </cell>
          <cell r="B910" t="str">
            <v>HACKENHEIMER</v>
          </cell>
          <cell r="C910" t="str">
            <v>LAURENT</v>
          </cell>
          <cell r="D910" t="str">
            <v>METZ</v>
          </cell>
          <cell r="E910">
            <v>19</v>
          </cell>
          <cell r="F910" t="str">
            <v>NUMERICABLE  (TCC)</v>
          </cell>
          <cell r="G910" t="str">
            <v>TRAVAUX</v>
          </cell>
          <cell r="H910" t="str">
            <v>TAILLON</v>
          </cell>
          <cell r="I910" t="str">
            <v>ESTR300001</v>
          </cell>
          <cell r="J910">
            <v>100</v>
          </cell>
          <cell r="K910">
            <v>31656</v>
          </cell>
          <cell r="L910" t="str">
            <v>SUPERVISEUR TRAVAUX</v>
          </cell>
          <cell r="M910" t="str">
            <v>TSM</v>
          </cell>
          <cell r="N910" t="str">
            <v>D</v>
          </cell>
          <cell r="O910" t="str">
            <v>CDI</v>
          </cell>
          <cell r="P910">
            <v>151.57</v>
          </cell>
          <cell r="Q910">
            <v>2299.17</v>
          </cell>
          <cell r="R910">
            <v>1409.55</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211</v>
          </cell>
          <cell r="AM910">
            <v>0</v>
          </cell>
          <cell r="AN910">
            <v>220.69</v>
          </cell>
          <cell r="AO910">
            <v>0</v>
          </cell>
          <cell r="AP910">
            <v>0</v>
          </cell>
          <cell r="AQ910">
            <v>2299.17</v>
          </cell>
          <cell r="AR910">
            <v>211</v>
          </cell>
          <cell r="AS910">
            <v>0</v>
          </cell>
          <cell r="AT910">
            <v>0</v>
          </cell>
          <cell r="AU910">
            <v>0</v>
          </cell>
        </row>
        <row r="911">
          <cell r="A911" t="str">
            <v>000A1536</v>
          </cell>
          <cell r="B911" t="str">
            <v>PRESTA</v>
          </cell>
          <cell r="C911" t="str">
            <v>HUGO</v>
          </cell>
          <cell r="D911" t="str">
            <v>METZ</v>
          </cell>
          <cell r="E911">
            <v>19</v>
          </cell>
          <cell r="F911" t="str">
            <v>NUMERICABLE  (TCC)</v>
          </cell>
          <cell r="G911" t="str">
            <v>MAINTENANCE RESEAU</v>
          </cell>
          <cell r="H911" t="str">
            <v>SCHWEITZER</v>
          </cell>
          <cell r="I911" t="str">
            <v>ESTR300001</v>
          </cell>
          <cell r="J911">
            <v>100</v>
          </cell>
          <cell r="K911">
            <v>33049</v>
          </cell>
          <cell r="L911" t="str">
            <v>TECH. EXP. NIV. 1</v>
          </cell>
          <cell r="M911" t="str">
            <v>EMPLOYE</v>
          </cell>
          <cell r="N911" t="str">
            <v>C</v>
          </cell>
          <cell r="O911" t="str">
            <v>CDI</v>
          </cell>
          <cell r="P911">
            <v>151.57</v>
          </cell>
          <cell r="Q911">
            <v>1750</v>
          </cell>
          <cell r="R911">
            <v>1931.62</v>
          </cell>
          <cell r="S911">
            <v>0</v>
          </cell>
          <cell r="T911">
            <v>0</v>
          </cell>
          <cell r="U911">
            <v>0</v>
          </cell>
          <cell r="V911">
            <v>0</v>
          </cell>
          <cell r="W911">
            <v>0</v>
          </cell>
          <cell r="X911">
            <v>0</v>
          </cell>
          <cell r="Y911">
            <v>0</v>
          </cell>
          <cell r="Z911">
            <v>0</v>
          </cell>
          <cell r="AA911">
            <v>0</v>
          </cell>
          <cell r="AB911">
            <v>0</v>
          </cell>
          <cell r="AC911">
            <v>0</v>
          </cell>
          <cell r="AD911">
            <v>412.5</v>
          </cell>
          <cell r="AE911">
            <v>0</v>
          </cell>
          <cell r="AF911">
            <v>292.08999999999997</v>
          </cell>
          <cell r="AG911">
            <v>0</v>
          </cell>
          <cell r="AH911">
            <v>73.040000000000006</v>
          </cell>
          <cell r="AI911">
            <v>0</v>
          </cell>
          <cell r="AJ911">
            <v>0</v>
          </cell>
          <cell r="AK911">
            <v>1147.5</v>
          </cell>
          <cell r="AL911">
            <v>183</v>
          </cell>
          <cell r="AM911">
            <v>0</v>
          </cell>
          <cell r="AN911">
            <v>167.98</v>
          </cell>
          <cell r="AO911">
            <v>0</v>
          </cell>
          <cell r="AP911">
            <v>0</v>
          </cell>
          <cell r="AQ911">
            <v>2115.13</v>
          </cell>
          <cell r="AR911">
            <v>595.5</v>
          </cell>
          <cell r="AS911">
            <v>1147.5</v>
          </cell>
          <cell r="AT911">
            <v>0</v>
          </cell>
          <cell r="AU911">
            <v>0</v>
          </cell>
        </row>
        <row r="912">
          <cell r="A912">
            <v>1240</v>
          </cell>
          <cell r="B912" t="str">
            <v>CERNADAS</v>
          </cell>
          <cell r="C912" t="str">
            <v>LOUIS</v>
          </cell>
          <cell r="D912" t="str">
            <v>AVIGNON</v>
          </cell>
          <cell r="E912">
            <v>1</v>
          </cell>
          <cell r="F912" t="str">
            <v>NUMERICABLE</v>
          </cell>
          <cell r="I912" t="str">
            <v>FTCN905001</v>
          </cell>
          <cell r="J912">
            <v>100</v>
          </cell>
          <cell r="K912">
            <v>38090</v>
          </cell>
          <cell r="L912" t="str">
            <v>CONSEILLER TECHNIQUE</v>
          </cell>
          <cell r="M912" t="str">
            <v>478D</v>
          </cell>
          <cell r="N912" t="str">
            <v>C</v>
          </cell>
          <cell r="O912" t="str">
            <v>CDI</v>
          </cell>
          <cell r="P912">
            <v>166.83</v>
          </cell>
          <cell r="Q912">
            <v>1410</v>
          </cell>
          <cell r="R912">
            <v>-333.61</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171.32</v>
          </cell>
          <cell r="AN912">
            <v>142.31</v>
          </cell>
          <cell r="AO912">
            <v>158.30000000000001</v>
          </cell>
          <cell r="AP912">
            <v>0</v>
          </cell>
          <cell r="AQ912">
            <v>1423.02</v>
          </cell>
          <cell r="AR912">
            <v>0</v>
          </cell>
          <cell r="AS912">
            <v>0</v>
          </cell>
          <cell r="AT912">
            <v>0</v>
          </cell>
          <cell r="AU912">
            <v>0</v>
          </cell>
        </row>
        <row r="913">
          <cell r="A913" t="str">
            <v>000A1694</v>
          </cell>
          <cell r="B913" t="str">
            <v>HOINVILLE FURNELL</v>
          </cell>
          <cell r="C913" t="str">
            <v>BRICE</v>
          </cell>
          <cell r="D913" t="str">
            <v>ROUEN</v>
          </cell>
          <cell r="E913">
            <v>3</v>
          </cell>
          <cell r="F913" t="str">
            <v>NUMERICABLE</v>
          </cell>
          <cell r="G913" t="str">
            <v>BOUTIQUE</v>
          </cell>
          <cell r="H913" t="str">
            <v>THOREL</v>
          </cell>
          <cell r="I913" t="str">
            <v>OUES507001</v>
          </cell>
          <cell r="J913">
            <v>100</v>
          </cell>
          <cell r="K913">
            <v>38808</v>
          </cell>
          <cell r="L913" t="str">
            <v>CONSEILLER CLIENTELE BOUTIQUE</v>
          </cell>
          <cell r="M913" t="str">
            <v>463E</v>
          </cell>
          <cell r="N913" t="str">
            <v>C</v>
          </cell>
          <cell r="O913" t="str">
            <v>CDI</v>
          </cell>
          <cell r="P913">
            <v>166.83</v>
          </cell>
          <cell r="Q913">
            <v>0</v>
          </cell>
          <cell r="R913">
            <v>561.09</v>
          </cell>
          <cell r="S913">
            <v>0</v>
          </cell>
          <cell r="T913">
            <v>377.08</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1400</v>
          </cell>
          <cell r="AR913">
            <v>0</v>
          </cell>
          <cell r="AS913">
            <v>0</v>
          </cell>
          <cell r="AT913">
            <v>0</v>
          </cell>
          <cell r="AU913">
            <v>0</v>
          </cell>
        </row>
        <row r="914">
          <cell r="A914" t="str">
            <v>000A1508</v>
          </cell>
          <cell r="B914" t="str">
            <v>BORNEQUE</v>
          </cell>
          <cell r="C914" t="str">
            <v>JEAN PAUL</v>
          </cell>
          <cell r="D914" t="str">
            <v>MARSEILLE</v>
          </cell>
          <cell r="E914">
            <v>19</v>
          </cell>
          <cell r="F914" t="str">
            <v>NUMERICABLE  (TCC)</v>
          </cell>
          <cell r="G914" t="str">
            <v>MAINTENANCE RESEAU</v>
          </cell>
          <cell r="I914" t="str">
            <v>FTCN905001</v>
          </cell>
          <cell r="J914">
            <v>100</v>
          </cell>
          <cell r="K914">
            <v>38626</v>
          </cell>
          <cell r="L914" t="str">
            <v>TECH. EXP. NIV. 1</v>
          </cell>
          <cell r="M914" t="str">
            <v>EMPLOYE</v>
          </cell>
          <cell r="N914" t="str">
            <v>C</v>
          </cell>
          <cell r="O914" t="str">
            <v>CDI</v>
          </cell>
          <cell r="P914">
            <v>151.57</v>
          </cell>
          <cell r="Q914">
            <v>1750</v>
          </cell>
          <cell r="R914">
            <v>938.19</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175</v>
          </cell>
          <cell r="AO914">
            <v>0</v>
          </cell>
          <cell r="AP914">
            <v>0</v>
          </cell>
          <cell r="AQ914">
            <v>1750</v>
          </cell>
          <cell r="AR914">
            <v>0</v>
          </cell>
          <cell r="AS914">
            <v>0</v>
          </cell>
          <cell r="AT914">
            <v>0</v>
          </cell>
          <cell r="AU914">
            <v>0</v>
          </cell>
        </row>
        <row r="915">
          <cell r="A915">
            <v>8011</v>
          </cell>
          <cell r="B915" t="str">
            <v>GARAND</v>
          </cell>
          <cell r="C915" t="str">
            <v>CHRISTIANE</v>
          </cell>
          <cell r="D915" t="str">
            <v>BAB</v>
          </cell>
          <cell r="E915">
            <v>1</v>
          </cell>
          <cell r="F915" t="str">
            <v>NUMERICABLE</v>
          </cell>
          <cell r="I915" t="str">
            <v>FTCN905001</v>
          </cell>
          <cell r="J915">
            <v>100</v>
          </cell>
          <cell r="K915">
            <v>33294</v>
          </cell>
          <cell r="L915" t="str">
            <v>RESP. CELLULE RH PAIE NATIONALE</v>
          </cell>
          <cell r="M915" t="str">
            <v>372C</v>
          </cell>
          <cell r="N915" t="str">
            <v>E</v>
          </cell>
          <cell r="O915" t="str">
            <v>CDI</v>
          </cell>
          <cell r="P915">
            <v>151.57</v>
          </cell>
          <cell r="Q915">
            <v>3062</v>
          </cell>
          <cell r="R915">
            <v>1797.33</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607.80999999999995</v>
          </cell>
          <cell r="AN915">
            <v>293.91000000000003</v>
          </cell>
          <cell r="AO915">
            <v>0</v>
          </cell>
          <cell r="AP915">
            <v>0</v>
          </cell>
          <cell r="AQ915">
            <v>3669.81</v>
          </cell>
          <cell r="AR915">
            <v>0</v>
          </cell>
          <cell r="AS915">
            <v>0</v>
          </cell>
          <cell r="AT915">
            <v>0</v>
          </cell>
          <cell r="AU915">
            <v>0</v>
          </cell>
        </row>
        <row r="916">
          <cell r="A916">
            <v>502002</v>
          </cell>
          <cell r="B916" t="str">
            <v>WALBROU</v>
          </cell>
          <cell r="C916" t="str">
            <v>CAROLE</v>
          </cell>
          <cell r="D916" t="str">
            <v>LA MADELEINE</v>
          </cell>
          <cell r="E916">
            <v>1</v>
          </cell>
          <cell r="F916" t="str">
            <v>NUMERICABLE</v>
          </cell>
          <cell r="G916" t="str">
            <v>DIRECTION REGIONALE</v>
          </cell>
          <cell r="H916" t="str">
            <v>LOTT</v>
          </cell>
          <cell r="I916" t="str">
            <v>NPCA520001</v>
          </cell>
          <cell r="J916">
            <v>100</v>
          </cell>
          <cell r="K916">
            <v>35370</v>
          </cell>
          <cell r="L916" t="str">
            <v>CONTROLEUR GESTION</v>
          </cell>
          <cell r="M916" t="str">
            <v>373C</v>
          </cell>
          <cell r="N916" t="str">
            <v>DB</v>
          </cell>
          <cell r="O916" t="str">
            <v>CDI</v>
          </cell>
          <cell r="P916">
            <v>166.83</v>
          </cell>
          <cell r="Q916">
            <v>2386</v>
          </cell>
          <cell r="R916">
            <v>1282.28</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238.61</v>
          </cell>
          <cell r="AO916">
            <v>0</v>
          </cell>
          <cell r="AP916">
            <v>0</v>
          </cell>
          <cell r="AQ916">
            <v>2386</v>
          </cell>
          <cell r="AR916">
            <v>0</v>
          </cell>
          <cell r="AS916">
            <v>0</v>
          </cell>
          <cell r="AT916">
            <v>0</v>
          </cell>
          <cell r="AU916">
            <v>0</v>
          </cell>
        </row>
        <row r="917">
          <cell r="A917">
            <v>952049</v>
          </cell>
          <cell r="B917" t="str">
            <v>IPPERTI</v>
          </cell>
          <cell r="C917" t="str">
            <v>PATRICIA</v>
          </cell>
          <cell r="D917" t="str">
            <v>MARSEILLE</v>
          </cell>
          <cell r="E917">
            <v>1</v>
          </cell>
          <cell r="F917" t="str">
            <v>NUMERICABLE</v>
          </cell>
          <cell r="I917" t="str">
            <v>FTCN905001</v>
          </cell>
          <cell r="J917">
            <v>100</v>
          </cell>
          <cell r="K917">
            <v>34747</v>
          </cell>
          <cell r="L917" t="str">
            <v>RESP. COMM.&amp; MARKET.</v>
          </cell>
          <cell r="M917" t="str">
            <v>375B</v>
          </cell>
          <cell r="N917" t="str">
            <v>E</v>
          </cell>
          <cell r="O917" t="str">
            <v>CDI</v>
          </cell>
          <cell r="P917">
            <v>151.57</v>
          </cell>
          <cell r="Q917">
            <v>2295</v>
          </cell>
          <cell r="R917">
            <v>6138.15</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223.04</v>
          </cell>
          <cell r="AO917">
            <v>0</v>
          </cell>
          <cell r="AP917">
            <v>0</v>
          </cell>
          <cell r="AQ917">
            <v>0</v>
          </cell>
          <cell r="AR917">
            <v>0</v>
          </cell>
          <cell r="AS917">
            <v>13285</v>
          </cell>
          <cell r="AT917">
            <v>0</v>
          </cell>
          <cell r="AU917">
            <v>0</v>
          </cell>
        </row>
        <row r="918">
          <cell r="A918" t="str">
            <v>000A1500</v>
          </cell>
          <cell r="B918" t="str">
            <v>COUPEZ</v>
          </cell>
          <cell r="C918" t="str">
            <v>FRANCOIS</v>
          </cell>
          <cell r="D918" t="str">
            <v>DUNKERQUE</v>
          </cell>
          <cell r="E918">
            <v>19</v>
          </cell>
          <cell r="F918" t="str">
            <v>NUMERICABLE  (TCC)</v>
          </cell>
          <cell r="G918" t="str">
            <v>MAINTENANCE RESEAU</v>
          </cell>
          <cell r="I918" t="str">
            <v>FTCN905001</v>
          </cell>
          <cell r="J918">
            <v>100</v>
          </cell>
          <cell r="K918">
            <v>36206</v>
          </cell>
          <cell r="L918" t="str">
            <v>TECH.SUPP.NIV.1</v>
          </cell>
          <cell r="M918" t="str">
            <v>EMPLOYE</v>
          </cell>
          <cell r="N918" t="str">
            <v>C</v>
          </cell>
          <cell r="O918" t="str">
            <v>CDI</v>
          </cell>
          <cell r="P918">
            <v>151.57</v>
          </cell>
          <cell r="Q918">
            <v>1560</v>
          </cell>
          <cell r="R918">
            <v>1036.55</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483.66</v>
          </cell>
          <cell r="AN918">
            <v>149.74</v>
          </cell>
          <cell r="AO918">
            <v>0</v>
          </cell>
          <cell r="AP918">
            <v>0</v>
          </cell>
          <cell r="AQ918">
            <v>2043.66</v>
          </cell>
          <cell r="AR918">
            <v>0</v>
          </cell>
          <cell r="AS918">
            <v>0</v>
          </cell>
          <cell r="AT918">
            <v>0</v>
          </cell>
          <cell r="AU918">
            <v>0</v>
          </cell>
        </row>
        <row r="919">
          <cell r="A919" t="str">
            <v>000A1506</v>
          </cell>
          <cell r="B919" t="str">
            <v>ARBANE</v>
          </cell>
          <cell r="C919" t="str">
            <v>MARC</v>
          </cell>
          <cell r="D919" t="str">
            <v>GRENOBLE</v>
          </cell>
          <cell r="E919">
            <v>19</v>
          </cell>
          <cell r="F919" t="str">
            <v>NUMERICABLE  (TCC)</v>
          </cell>
          <cell r="G919" t="str">
            <v>RACCORDEMENT IMMOB.</v>
          </cell>
          <cell r="H919" t="str">
            <v>FONTAINE T</v>
          </cell>
          <cell r="I919" t="str">
            <v>RHON300001</v>
          </cell>
          <cell r="J919">
            <v>100</v>
          </cell>
          <cell r="K919">
            <v>38626</v>
          </cell>
          <cell r="L919" t="str">
            <v>SUPERV. RACC-SAV</v>
          </cell>
          <cell r="M919" t="str">
            <v>TSM</v>
          </cell>
          <cell r="N919" t="str">
            <v>D</v>
          </cell>
          <cell r="O919" t="str">
            <v>CDI</v>
          </cell>
          <cell r="P919">
            <v>151.57</v>
          </cell>
          <cell r="Q919">
            <v>1580</v>
          </cell>
          <cell r="R919">
            <v>2626.1</v>
          </cell>
          <cell r="S919">
            <v>0</v>
          </cell>
          <cell r="T919">
            <v>0</v>
          </cell>
          <cell r="U919">
            <v>0</v>
          </cell>
          <cell r="V919">
            <v>0</v>
          </cell>
          <cell r="W919">
            <v>154</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151.66</v>
          </cell>
          <cell r="AO919">
            <v>0</v>
          </cell>
          <cell r="AP919">
            <v>0</v>
          </cell>
          <cell r="AQ919">
            <v>5393.6</v>
          </cell>
          <cell r="AR919">
            <v>0</v>
          </cell>
          <cell r="AS919">
            <v>0</v>
          </cell>
          <cell r="AT919">
            <v>0</v>
          </cell>
          <cell r="AU919">
            <v>0</v>
          </cell>
        </row>
        <row r="920">
          <cell r="A920">
            <v>1367</v>
          </cell>
          <cell r="B920" t="str">
            <v>REY</v>
          </cell>
          <cell r="C920" t="str">
            <v>ANGELIQUE</v>
          </cell>
          <cell r="D920" t="str">
            <v>MONTPELLIER</v>
          </cell>
          <cell r="E920">
            <v>1</v>
          </cell>
          <cell r="F920" t="str">
            <v>NUMERICABLE</v>
          </cell>
          <cell r="G920" t="str">
            <v>BOUTIQUE</v>
          </cell>
          <cell r="H920" t="str">
            <v>KERANGUEVEN</v>
          </cell>
          <cell r="I920" t="str">
            <v>SUES507001</v>
          </cell>
          <cell r="J920">
            <v>100</v>
          </cell>
          <cell r="K920">
            <v>38637</v>
          </cell>
          <cell r="L920" t="str">
            <v>CONSEILLER CLIENTELE BOUTIQUE</v>
          </cell>
          <cell r="M920" t="str">
            <v>463E</v>
          </cell>
          <cell r="N920" t="str">
            <v>C</v>
          </cell>
          <cell r="O920" t="str">
            <v>CDI</v>
          </cell>
          <cell r="P920">
            <v>166.83</v>
          </cell>
          <cell r="Q920">
            <v>1450</v>
          </cell>
          <cell r="R920">
            <v>1211.6199999999999</v>
          </cell>
          <cell r="S920">
            <v>0</v>
          </cell>
          <cell r="T920">
            <v>791</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224.1</v>
          </cell>
          <cell r="AO920">
            <v>0</v>
          </cell>
          <cell r="AP920">
            <v>0</v>
          </cell>
          <cell r="AQ920">
            <v>1450</v>
          </cell>
          <cell r="AR920">
            <v>0</v>
          </cell>
          <cell r="AS920">
            <v>0</v>
          </cell>
          <cell r="AT920">
            <v>0</v>
          </cell>
          <cell r="AU920">
            <v>0</v>
          </cell>
        </row>
        <row r="921">
          <cell r="A921" t="str">
            <v>000A1652</v>
          </cell>
          <cell r="B921" t="str">
            <v>ROUPPERT</v>
          </cell>
          <cell r="C921" t="str">
            <v>STEPHANE</v>
          </cell>
          <cell r="D921" t="str">
            <v>BORDEAUX</v>
          </cell>
          <cell r="E921">
            <v>3</v>
          </cell>
          <cell r="F921" t="str">
            <v>NUMERICABLE</v>
          </cell>
          <cell r="G921" t="str">
            <v>COLLECTIF</v>
          </cell>
          <cell r="I921" t="str">
            <v>SUOU510001</v>
          </cell>
          <cell r="J921">
            <v>100</v>
          </cell>
          <cell r="K921">
            <v>38789</v>
          </cell>
          <cell r="L921" t="str">
            <v>ATTACHE COMMERCIAL</v>
          </cell>
          <cell r="N921" t="str">
            <v>DB</v>
          </cell>
          <cell r="O921" t="str">
            <v>CDI</v>
          </cell>
          <cell r="P921">
            <v>166.83</v>
          </cell>
          <cell r="Q921">
            <v>0</v>
          </cell>
          <cell r="R921">
            <v>1534.46</v>
          </cell>
          <cell r="S921">
            <v>0</v>
          </cell>
          <cell r="T921">
            <v>1000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2083.33</v>
          </cell>
          <cell r="AR921">
            <v>0</v>
          </cell>
          <cell r="AS921">
            <v>0</v>
          </cell>
          <cell r="AT921">
            <v>0</v>
          </cell>
          <cell r="AU921">
            <v>0</v>
          </cell>
        </row>
        <row r="922">
          <cell r="A922" t="str">
            <v>000A1541</v>
          </cell>
          <cell r="B922" t="str">
            <v>TIQUET</v>
          </cell>
          <cell r="C922" t="str">
            <v>PATRICK</v>
          </cell>
          <cell r="D922" t="str">
            <v>METZ</v>
          </cell>
          <cell r="E922">
            <v>19</v>
          </cell>
          <cell r="F922" t="str">
            <v>NUMERICABLE  (TCC)</v>
          </cell>
          <cell r="G922" t="str">
            <v>MAINTENANCE RESEAU</v>
          </cell>
          <cell r="H922" t="str">
            <v>SCHWEITZER</v>
          </cell>
          <cell r="I922" t="str">
            <v>ESTR300001</v>
          </cell>
          <cell r="J922">
            <v>100</v>
          </cell>
          <cell r="K922">
            <v>38626</v>
          </cell>
          <cell r="L922" t="str">
            <v>TECHNICIEN NIV 2</v>
          </cell>
          <cell r="M922" t="str">
            <v>EMPLOYE</v>
          </cell>
          <cell r="N922" t="str">
            <v>C</v>
          </cell>
          <cell r="O922" t="str">
            <v>CDI</v>
          </cell>
          <cell r="P922">
            <v>151.57</v>
          </cell>
          <cell r="Q922">
            <v>1740</v>
          </cell>
          <cell r="R922">
            <v>1871.98</v>
          </cell>
          <cell r="S922">
            <v>0</v>
          </cell>
          <cell r="T922">
            <v>0</v>
          </cell>
          <cell r="U922">
            <v>0</v>
          </cell>
          <cell r="V922">
            <v>0</v>
          </cell>
          <cell r="W922">
            <v>0</v>
          </cell>
          <cell r="X922">
            <v>0</v>
          </cell>
          <cell r="Y922">
            <v>0</v>
          </cell>
          <cell r="Z922">
            <v>0</v>
          </cell>
          <cell r="AA922">
            <v>0</v>
          </cell>
          <cell r="AB922">
            <v>0</v>
          </cell>
          <cell r="AC922">
            <v>0</v>
          </cell>
          <cell r="AD922">
            <v>437.5</v>
          </cell>
          <cell r="AE922">
            <v>0</v>
          </cell>
          <cell r="AF922">
            <v>308.55</v>
          </cell>
          <cell r="AG922">
            <v>6.05</v>
          </cell>
          <cell r="AH922">
            <v>74.12</v>
          </cell>
          <cell r="AI922">
            <v>0</v>
          </cell>
          <cell r="AJ922">
            <v>0</v>
          </cell>
          <cell r="AK922">
            <v>1147.5</v>
          </cell>
          <cell r="AL922">
            <v>253</v>
          </cell>
          <cell r="AM922">
            <v>0</v>
          </cell>
          <cell r="AN922">
            <v>167.01</v>
          </cell>
          <cell r="AO922">
            <v>0</v>
          </cell>
          <cell r="AP922">
            <v>0</v>
          </cell>
          <cell r="AQ922">
            <v>1968.13</v>
          </cell>
          <cell r="AR922">
            <v>690.5</v>
          </cell>
          <cell r="AS922">
            <v>1147.5</v>
          </cell>
          <cell r="AT922">
            <v>0</v>
          </cell>
          <cell r="AU922">
            <v>0</v>
          </cell>
        </row>
        <row r="923">
          <cell r="A923" t="str">
            <v>000A1742</v>
          </cell>
          <cell r="B923" t="str">
            <v>GOULON</v>
          </cell>
          <cell r="C923" t="str">
            <v>SERGE</v>
          </cell>
          <cell r="D923" t="str">
            <v>METZ</v>
          </cell>
          <cell r="E923">
            <v>19</v>
          </cell>
          <cell r="F923" t="str">
            <v>NUMERICABLE  (TCC)</v>
          </cell>
          <cell r="I923" t="str">
            <v>FTCN905001</v>
          </cell>
          <cell r="J923">
            <v>100</v>
          </cell>
          <cell r="K923">
            <v>38626</v>
          </cell>
          <cell r="L923" t="str">
            <v>RESPONSABLE PROJET CABLE</v>
          </cell>
          <cell r="M923" t="str">
            <v>CADRE</v>
          </cell>
          <cell r="N923" t="str">
            <v>DB</v>
          </cell>
          <cell r="P923">
            <v>151.57</v>
          </cell>
          <cell r="Q923">
            <v>0</v>
          </cell>
          <cell r="R923">
            <v>2170.59</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4672</v>
          </cell>
          <cell r="AT923">
            <v>0</v>
          </cell>
          <cell r="AU923">
            <v>0</v>
          </cell>
        </row>
        <row r="924">
          <cell r="A924">
            <v>40</v>
          </cell>
          <cell r="B924" t="str">
            <v>DESARCON</v>
          </cell>
          <cell r="C924" t="str">
            <v>KARINE</v>
          </cell>
          <cell r="D924" t="str">
            <v>BORDEAUX</v>
          </cell>
          <cell r="E924">
            <v>1</v>
          </cell>
          <cell r="F924" t="str">
            <v>NUMERICABLE</v>
          </cell>
          <cell r="I924" t="str">
            <v>FTCN905001</v>
          </cell>
          <cell r="J924">
            <v>100</v>
          </cell>
          <cell r="K924">
            <v>32751</v>
          </cell>
          <cell r="L924" t="str">
            <v>ADJ. DIRECTEUR SCE CLT REGION</v>
          </cell>
          <cell r="M924" t="str">
            <v>374C</v>
          </cell>
          <cell r="N924" t="str">
            <v>E</v>
          </cell>
          <cell r="O924" t="str">
            <v>CDI</v>
          </cell>
          <cell r="P924">
            <v>151.57</v>
          </cell>
          <cell r="Q924">
            <v>2801.67</v>
          </cell>
          <cell r="R924">
            <v>794.33</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861.66</v>
          </cell>
          <cell r="AN924">
            <v>280.17</v>
          </cell>
          <cell r="AO924">
            <v>861.66</v>
          </cell>
          <cell r="AP924">
            <v>0</v>
          </cell>
          <cell r="AQ924">
            <v>2801.67</v>
          </cell>
          <cell r="AR924">
            <v>0</v>
          </cell>
          <cell r="AS924">
            <v>0</v>
          </cell>
          <cell r="AT924">
            <v>0</v>
          </cell>
          <cell r="AU924">
            <v>0</v>
          </cell>
        </row>
        <row r="925">
          <cell r="A925">
            <v>97</v>
          </cell>
          <cell r="B925" t="str">
            <v>ANGLADE</v>
          </cell>
          <cell r="C925" t="str">
            <v>VALERIE</v>
          </cell>
          <cell r="D925" t="str">
            <v>BORDEAUX</v>
          </cell>
          <cell r="E925">
            <v>1</v>
          </cell>
          <cell r="F925" t="str">
            <v>NUMERICABLE</v>
          </cell>
          <cell r="I925" t="str">
            <v>FTCN905001</v>
          </cell>
          <cell r="J925">
            <v>100</v>
          </cell>
          <cell r="K925">
            <v>32602</v>
          </cell>
          <cell r="L925" t="str">
            <v>CONSEILLER ADMINISTRATIF</v>
          </cell>
          <cell r="M925" t="str">
            <v>462E</v>
          </cell>
          <cell r="N925" t="str">
            <v>C</v>
          </cell>
          <cell r="O925" t="str">
            <v>CDI</v>
          </cell>
          <cell r="P925">
            <v>121.33</v>
          </cell>
          <cell r="Q925">
            <v>1255.3499999999999</v>
          </cell>
          <cell r="R925">
            <v>192.73</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-30.81</v>
          </cell>
          <cell r="AN925">
            <v>125.54</v>
          </cell>
          <cell r="AO925">
            <v>-30.81</v>
          </cell>
          <cell r="AP925">
            <v>0</v>
          </cell>
          <cell r="AQ925">
            <v>1255.3499999999999</v>
          </cell>
          <cell r="AR925">
            <v>0</v>
          </cell>
          <cell r="AS925">
            <v>0</v>
          </cell>
          <cell r="AT925">
            <v>0</v>
          </cell>
          <cell r="AU925">
            <v>0</v>
          </cell>
        </row>
        <row r="926">
          <cell r="A926">
            <v>130</v>
          </cell>
          <cell r="B926" t="str">
            <v>BRONNER</v>
          </cell>
          <cell r="C926" t="str">
            <v>ARIELLE</v>
          </cell>
          <cell r="D926" t="str">
            <v>SIEGE</v>
          </cell>
          <cell r="E926">
            <v>1</v>
          </cell>
          <cell r="F926" t="str">
            <v>NUMERICABLE</v>
          </cell>
          <cell r="I926" t="str">
            <v>FTCN905001</v>
          </cell>
          <cell r="J926">
            <v>100</v>
          </cell>
          <cell r="K926">
            <v>36367</v>
          </cell>
          <cell r="L926" t="str">
            <v>ASSIST. CHARGE PROJETS</v>
          </cell>
          <cell r="M926" t="str">
            <v>462E</v>
          </cell>
          <cell r="N926" t="str">
            <v>DB</v>
          </cell>
          <cell r="O926" t="str">
            <v>CDI</v>
          </cell>
          <cell r="P926">
            <v>166.83</v>
          </cell>
          <cell r="Q926">
            <v>2190</v>
          </cell>
          <cell r="R926">
            <v>1190.01</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65.53</v>
          </cell>
          <cell r="AN926">
            <v>225.57</v>
          </cell>
          <cell r="AO926">
            <v>50.65</v>
          </cell>
          <cell r="AP926">
            <v>0</v>
          </cell>
          <cell r="AQ926">
            <v>2255.5300000000002</v>
          </cell>
          <cell r="AR926">
            <v>0</v>
          </cell>
          <cell r="AS926">
            <v>0</v>
          </cell>
          <cell r="AT926">
            <v>0</v>
          </cell>
          <cell r="AU926">
            <v>0</v>
          </cell>
        </row>
        <row r="927">
          <cell r="A927">
            <v>729</v>
          </cell>
          <cell r="B927" t="str">
            <v>FERNANDEZ</v>
          </cell>
          <cell r="C927" t="str">
            <v>ANTOINE</v>
          </cell>
          <cell r="D927" t="str">
            <v>BORDEAUX</v>
          </cell>
          <cell r="E927">
            <v>1</v>
          </cell>
          <cell r="F927" t="str">
            <v>NUMERICABLE</v>
          </cell>
          <cell r="G927" t="str">
            <v>VAD ANIMATEURS</v>
          </cell>
          <cell r="H927" t="str">
            <v>COMINARDI</v>
          </cell>
          <cell r="I927" t="str">
            <v>SUOU500001</v>
          </cell>
          <cell r="J927">
            <v>100</v>
          </cell>
          <cell r="K927">
            <v>36970</v>
          </cell>
          <cell r="L927" t="str">
            <v>ATTACHE COMMERCIAL</v>
          </cell>
          <cell r="M927" t="str">
            <v>CADRE</v>
          </cell>
          <cell r="N927" t="str">
            <v>D</v>
          </cell>
          <cell r="O927" t="str">
            <v>CDI</v>
          </cell>
          <cell r="P927">
            <v>166.83</v>
          </cell>
          <cell r="Q927">
            <v>1285</v>
          </cell>
          <cell r="R927">
            <v>2776.27</v>
          </cell>
          <cell r="S927">
            <v>0</v>
          </cell>
          <cell r="T927">
            <v>1300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367.44</v>
          </cell>
          <cell r="AO927">
            <v>0</v>
          </cell>
          <cell r="AP927">
            <v>0</v>
          </cell>
          <cell r="AQ927">
            <v>1820.06</v>
          </cell>
          <cell r="AR927">
            <v>0</v>
          </cell>
          <cell r="AS927">
            <v>2970.27</v>
          </cell>
          <cell r="AT927">
            <v>0</v>
          </cell>
          <cell r="AU927">
            <v>0</v>
          </cell>
        </row>
        <row r="928">
          <cell r="A928">
            <v>80124</v>
          </cell>
          <cell r="B928" t="str">
            <v>BARDOU</v>
          </cell>
          <cell r="C928" t="str">
            <v>NOIRA</v>
          </cell>
          <cell r="D928" t="str">
            <v>BAB</v>
          </cell>
          <cell r="E928">
            <v>1</v>
          </cell>
          <cell r="F928" t="str">
            <v>NUMERICABLE</v>
          </cell>
          <cell r="G928" t="str">
            <v>BOUTIQUE</v>
          </cell>
          <cell r="H928" t="str">
            <v>COMINARDI</v>
          </cell>
          <cell r="I928" t="str">
            <v>SUOU507001</v>
          </cell>
          <cell r="J928">
            <v>100</v>
          </cell>
          <cell r="K928">
            <v>34731</v>
          </cell>
          <cell r="L928" t="str">
            <v>ANIMATEUR POINT DE VENTES</v>
          </cell>
          <cell r="M928" t="str">
            <v>463E</v>
          </cell>
          <cell r="N928" t="str">
            <v>DB</v>
          </cell>
          <cell r="O928" t="str">
            <v>CDI</v>
          </cell>
          <cell r="P928">
            <v>166.83</v>
          </cell>
          <cell r="Q928">
            <v>1805</v>
          </cell>
          <cell r="R928">
            <v>1237.17</v>
          </cell>
          <cell r="S928">
            <v>0</v>
          </cell>
          <cell r="T928">
            <v>548.82000000000005</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235.37</v>
          </cell>
          <cell r="AO928">
            <v>0</v>
          </cell>
          <cell r="AP928">
            <v>0</v>
          </cell>
          <cell r="AQ928">
            <v>1805</v>
          </cell>
          <cell r="AR928">
            <v>0</v>
          </cell>
          <cell r="AS928">
            <v>0</v>
          </cell>
          <cell r="AT928">
            <v>0</v>
          </cell>
          <cell r="AU928">
            <v>0</v>
          </cell>
        </row>
        <row r="929">
          <cell r="A929">
            <v>80151</v>
          </cell>
          <cell r="B929" t="str">
            <v>GARBAY</v>
          </cell>
          <cell r="C929" t="str">
            <v>LILIANE</v>
          </cell>
          <cell r="D929" t="str">
            <v>BAB</v>
          </cell>
          <cell r="E929">
            <v>1</v>
          </cell>
          <cell r="F929" t="str">
            <v>NUMERICABLE</v>
          </cell>
          <cell r="G929" t="str">
            <v>BOUTIQUE</v>
          </cell>
          <cell r="H929" t="str">
            <v>BARDOU</v>
          </cell>
          <cell r="I929" t="str">
            <v>SUOU507001</v>
          </cell>
          <cell r="J929">
            <v>100</v>
          </cell>
          <cell r="K929">
            <v>35576</v>
          </cell>
          <cell r="L929" t="str">
            <v>VENDEUR POINT DE VENTE</v>
          </cell>
          <cell r="M929" t="str">
            <v>463E</v>
          </cell>
          <cell r="N929" t="str">
            <v>C</v>
          </cell>
          <cell r="O929" t="str">
            <v>CDI</v>
          </cell>
          <cell r="P929">
            <v>166.83</v>
          </cell>
          <cell r="Q929">
            <v>1500</v>
          </cell>
          <cell r="R929">
            <v>1059.8800000000001</v>
          </cell>
          <cell r="S929">
            <v>0</v>
          </cell>
          <cell r="T929">
            <v>548.82000000000005</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226.08</v>
          </cell>
          <cell r="AO929">
            <v>0</v>
          </cell>
          <cell r="AP929">
            <v>0</v>
          </cell>
          <cell r="AQ929">
            <v>1257.73</v>
          </cell>
          <cell r="AR929">
            <v>228.67</v>
          </cell>
          <cell r="AS929">
            <v>0</v>
          </cell>
          <cell r="AT929">
            <v>0</v>
          </cell>
          <cell r="AU929">
            <v>0</v>
          </cell>
        </row>
        <row r="930">
          <cell r="A930">
            <v>452010</v>
          </cell>
          <cell r="B930" t="str">
            <v>BONNEAU</v>
          </cell>
          <cell r="C930" t="str">
            <v>LAURENT</v>
          </cell>
          <cell r="D930" t="str">
            <v>SIEGE</v>
          </cell>
          <cell r="E930">
            <v>1</v>
          </cell>
          <cell r="F930" t="str">
            <v>NUMERICABLE</v>
          </cell>
          <cell r="I930" t="str">
            <v>FTCN905001</v>
          </cell>
          <cell r="J930">
            <v>100</v>
          </cell>
          <cell r="K930">
            <v>34700</v>
          </cell>
          <cell r="L930" t="str">
            <v>DEVELOP. FORM. EN LIGNE</v>
          </cell>
          <cell r="M930" t="str">
            <v>478D</v>
          </cell>
          <cell r="N930" t="str">
            <v>DB</v>
          </cell>
          <cell r="O930" t="str">
            <v>CDI</v>
          </cell>
          <cell r="P930">
            <v>166.83</v>
          </cell>
          <cell r="Q930">
            <v>2106</v>
          </cell>
          <cell r="R930">
            <v>404.02</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53.1</v>
          </cell>
          <cell r="AN930">
            <v>210.6</v>
          </cell>
          <cell r="AO930">
            <v>53.1</v>
          </cell>
          <cell r="AP930">
            <v>0</v>
          </cell>
          <cell r="AQ930">
            <v>2106</v>
          </cell>
          <cell r="AR930">
            <v>0</v>
          </cell>
          <cell r="AS930">
            <v>0</v>
          </cell>
          <cell r="AT930">
            <v>0</v>
          </cell>
          <cell r="AU930">
            <v>0</v>
          </cell>
        </row>
        <row r="931">
          <cell r="A931">
            <v>952062</v>
          </cell>
          <cell r="B931" t="str">
            <v>LE NABEC</v>
          </cell>
          <cell r="C931" t="str">
            <v>NELLY</v>
          </cell>
          <cell r="D931" t="str">
            <v>MARSEILLE</v>
          </cell>
          <cell r="E931">
            <v>1</v>
          </cell>
          <cell r="F931" t="str">
            <v>NUMERICABLE</v>
          </cell>
          <cell r="G931" t="str">
            <v>MAINTENANCE RESEAU</v>
          </cell>
          <cell r="H931" t="str">
            <v>CHAPELAT</v>
          </cell>
          <cell r="I931" t="str">
            <v>SUES302001</v>
          </cell>
          <cell r="J931">
            <v>100</v>
          </cell>
          <cell r="K931">
            <v>34747</v>
          </cell>
          <cell r="L931" t="str">
            <v>RESP DEPLOIEMENT NVLLES TECH/ABO</v>
          </cell>
          <cell r="M931" t="str">
            <v>383C</v>
          </cell>
          <cell r="N931" t="str">
            <v>E</v>
          </cell>
          <cell r="O931" t="str">
            <v>CDI</v>
          </cell>
          <cell r="P931">
            <v>151.57</v>
          </cell>
          <cell r="Q931">
            <v>4183</v>
          </cell>
          <cell r="R931">
            <v>2764.17</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128.04</v>
          </cell>
          <cell r="AL931">
            <v>0</v>
          </cell>
          <cell r="AM931">
            <v>0</v>
          </cell>
          <cell r="AN931">
            <v>548</v>
          </cell>
          <cell r="AO931">
            <v>0</v>
          </cell>
          <cell r="AP931">
            <v>0</v>
          </cell>
          <cell r="AQ931">
            <v>5352</v>
          </cell>
          <cell r="AR931">
            <v>0</v>
          </cell>
          <cell r="AS931">
            <v>128.04</v>
          </cell>
          <cell r="AT931">
            <v>0</v>
          </cell>
          <cell r="AU931">
            <v>0</v>
          </cell>
        </row>
        <row r="932">
          <cell r="A932">
            <v>953024</v>
          </cell>
          <cell r="B932" t="str">
            <v>JURY</v>
          </cell>
          <cell r="C932" t="str">
            <v>JULIETTE</v>
          </cell>
          <cell r="D932" t="str">
            <v>VALENCE</v>
          </cell>
          <cell r="E932">
            <v>1</v>
          </cell>
          <cell r="F932" t="str">
            <v>NUMERICABLE</v>
          </cell>
          <cell r="G932" t="str">
            <v>DIRECTION RESS HUM</v>
          </cell>
          <cell r="I932" t="str">
            <v>FTCN905001</v>
          </cell>
          <cell r="J932">
            <v>100</v>
          </cell>
          <cell r="K932">
            <v>34700</v>
          </cell>
          <cell r="L932" t="str">
            <v>CORRESPONDANT RH</v>
          </cell>
          <cell r="M932" t="str">
            <v>372C</v>
          </cell>
          <cell r="N932" t="str">
            <v>DB</v>
          </cell>
          <cell r="O932" t="str">
            <v>CDI</v>
          </cell>
          <cell r="P932">
            <v>151.57</v>
          </cell>
          <cell r="Q932">
            <v>2563.75</v>
          </cell>
          <cell r="R932">
            <v>1255.4100000000001</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150.56</v>
          </cell>
          <cell r="AN932">
            <v>271.43</v>
          </cell>
          <cell r="AO932">
            <v>0</v>
          </cell>
          <cell r="AP932">
            <v>0</v>
          </cell>
          <cell r="AQ932">
            <v>2714.31</v>
          </cell>
          <cell r="AR932">
            <v>0</v>
          </cell>
          <cell r="AS932">
            <v>0</v>
          </cell>
          <cell r="AT932">
            <v>0</v>
          </cell>
          <cell r="AU932">
            <v>0</v>
          </cell>
        </row>
        <row r="933">
          <cell r="A933">
            <v>953025</v>
          </cell>
          <cell r="B933" t="str">
            <v>BRAHIMI</v>
          </cell>
          <cell r="C933" t="str">
            <v>MALYKA</v>
          </cell>
          <cell r="D933" t="str">
            <v>VALENCE</v>
          </cell>
          <cell r="E933">
            <v>1</v>
          </cell>
          <cell r="F933" t="str">
            <v>NUMERICABLE</v>
          </cell>
          <cell r="G933" t="str">
            <v>BOUTIQUE</v>
          </cell>
          <cell r="H933" t="str">
            <v>SILVESTRE</v>
          </cell>
          <cell r="I933" t="str">
            <v>SUOU507001</v>
          </cell>
          <cell r="J933">
            <v>100</v>
          </cell>
          <cell r="K933">
            <v>34700</v>
          </cell>
          <cell r="L933" t="str">
            <v>ANIMATEUR POINT DE VENTES</v>
          </cell>
          <cell r="M933" t="str">
            <v>463E</v>
          </cell>
          <cell r="N933" t="str">
            <v>DB</v>
          </cell>
          <cell r="O933" t="str">
            <v>CDI</v>
          </cell>
          <cell r="P933">
            <v>166.83</v>
          </cell>
          <cell r="Q933">
            <v>1758</v>
          </cell>
          <cell r="R933">
            <v>1505.43</v>
          </cell>
          <cell r="S933">
            <v>0</v>
          </cell>
          <cell r="T933">
            <v>1059</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285.05</v>
          </cell>
          <cell r="AO933">
            <v>0</v>
          </cell>
          <cell r="AP933">
            <v>0</v>
          </cell>
          <cell r="AQ933">
            <v>1791.61</v>
          </cell>
          <cell r="AR933">
            <v>0</v>
          </cell>
          <cell r="AS933">
            <v>0</v>
          </cell>
          <cell r="AT933">
            <v>0</v>
          </cell>
          <cell r="AU933">
            <v>0</v>
          </cell>
        </row>
        <row r="934">
          <cell r="A934">
            <v>1002114</v>
          </cell>
          <cell r="B934" t="str">
            <v>ROCHAT</v>
          </cell>
          <cell r="C934" t="str">
            <v>PATRICE</v>
          </cell>
          <cell r="D934" t="str">
            <v>TOURS</v>
          </cell>
          <cell r="E934">
            <v>1</v>
          </cell>
          <cell r="F934" t="str">
            <v>NUMERICABLE</v>
          </cell>
          <cell r="I934" t="str">
            <v>FTCN905001</v>
          </cell>
          <cell r="J934">
            <v>100</v>
          </cell>
          <cell r="K934">
            <v>36100</v>
          </cell>
          <cell r="L934" t="str">
            <v>DIRECTEUR DE SITE</v>
          </cell>
          <cell r="M934" t="str">
            <v>232A</v>
          </cell>
          <cell r="N934" t="str">
            <v>F</v>
          </cell>
          <cell r="O934" t="str">
            <v>CDI</v>
          </cell>
          <cell r="P934">
            <v>151.57</v>
          </cell>
          <cell r="Q934">
            <v>4150</v>
          </cell>
          <cell r="R934">
            <v>2999.92</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2040.32</v>
          </cell>
          <cell r="AN934">
            <v>619.02</v>
          </cell>
          <cell r="AO934">
            <v>0</v>
          </cell>
          <cell r="AP934">
            <v>0</v>
          </cell>
          <cell r="AQ934">
            <v>6190.32</v>
          </cell>
          <cell r="AR934">
            <v>0</v>
          </cell>
          <cell r="AS934">
            <v>0</v>
          </cell>
          <cell r="AT934">
            <v>0</v>
          </cell>
          <cell r="AU934">
            <v>0</v>
          </cell>
        </row>
        <row r="935">
          <cell r="A935">
            <v>20000085</v>
          </cell>
          <cell r="B935" t="str">
            <v>RICHARD</v>
          </cell>
          <cell r="C935" t="str">
            <v>CHRISTELE</v>
          </cell>
          <cell r="D935" t="str">
            <v>BORDEAUX</v>
          </cell>
          <cell r="E935">
            <v>1</v>
          </cell>
          <cell r="F935" t="str">
            <v>NUMERICABLE</v>
          </cell>
          <cell r="G935" t="str">
            <v>RACCORDEMENT IMMOB.</v>
          </cell>
          <cell r="H935" t="str">
            <v>GALERA</v>
          </cell>
          <cell r="I935" t="str">
            <v>SUOU302001</v>
          </cell>
          <cell r="J935">
            <v>100</v>
          </cell>
          <cell r="K935">
            <v>33154</v>
          </cell>
          <cell r="L935" t="str">
            <v>RESP TECHNIQUE CLIENT REGIONAL</v>
          </cell>
          <cell r="M935" t="str">
            <v>383C</v>
          </cell>
          <cell r="N935" t="str">
            <v>DB</v>
          </cell>
          <cell r="O935" t="str">
            <v>CDI</v>
          </cell>
          <cell r="P935">
            <v>166.83</v>
          </cell>
          <cell r="Q935">
            <v>2350</v>
          </cell>
          <cell r="R935">
            <v>1168.23</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235</v>
          </cell>
          <cell r="AO935">
            <v>0</v>
          </cell>
          <cell r="AP935">
            <v>0</v>
          </cell>
          <cell r="AQ935">
            <v>2024.66</v>
          </cell>
          <cell r="AR935">
            <v>0</v>
          </cell>
          <cell r="AS935">
            <v>0</v>
          </cell>
          <cell r="AT935">
            <v>0</v>
          </cell>
          <cell r="AU935">
            <v>0</v>
          </cell>
        </row>
        <row r="936">
          <cell r="A936">
            <v>779</v>
          </cell>
          <cell r="B936" t="str">
            <v>KALOUSTIAN</v>
          </cell>
          <cell r="C936" t="str">
            <v>DIDIER</v>
          </cell>
          <cell r="D936" t="str">
            <v>MARSEILLE</v>
          </cell>
          <cell r="E936">
            <v>3</v>
          </cell>
          <cell r="F936" t="str">
            <v>NUMERICABLE</v>
          </cell>
          <cell r="G936" t="str">
            <v>VAD CONSEILLERS</v>
          </cell>
          <cell r="I936" t="str">
            <v>GENE905001</v>
          </cell>
          <cell r="J936">
            <v>100</v>
          </cell>
          <cell r="K936">
            <v>38808</v>
          </cell>
          <cell r="L936" t="str">
            <v>ATTACHE COMMERCIAL</v>
          </cell>
          <cell r="M936" t="str">
            <v>EMPLOYE</v>
          </cell>
          <cell r="N936" t="str">
            <v>D</v>
          </cell>
          <cell r="P936">
            <v>166.83</v>
          </cell>
          <cell r="Q936">
            <v>0</v>
          </cell>
          <cell r="R936">
            <v>4303.99</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1285</v>
          </cell>
          <cell r="AR936">
            <v>0</v>
          </cell>
          <cell r="AS936">
            <v>8752</v>
          </cell>
          <cell r="AT936">
            <v>0</v>
          </cell>
          <cell r="AU936">
            <v>0</v>
          </cell>
        </row>
        <row r="937">
          <cell r="A937" t="str">
            <v>000A1647</v>
          </cell>
          <cell r="B937" t="str">
            <v>TORCQ</v>
          </cell>
          <cell r="C937" t="str">
            <v>DAVID</v>
          </cell>
          <cell r="D937" t="str">
            <v>MARSEILLE</v>
          </cell>
          <cell r="E937">
            <v>3</v>
          </cell>
          <cell r="F937" t="str">
            <v>NUMERICABLE</v>
          </cell>
          <cell r="G937" t="str">
            <v>TECHNIQUE</v>
          </cell>
          <cell r="H937" t="str">
            <v>TUGLER</v>
          </cell>
          <cell r="I937" t="str">
            <v>SUES302001</v>
          </cell>
          <cell r="J937">
            <v>100</v>
          </cell>
          <cell r="K937">
            <v>38777</v>
          </cell>
          <cell r="L937" t="str">
            <v>SUPERV. RAC-SAV</v>
          </cell>
          <cell r="M937" t="str">
            <v>EMPLOYE</v>
          </cell>
          <cell r="N937" t="str">
            <v>D</v>
          </cell>
          <cell r="O937" t="str">
            <v>CDI</v>
          </cell>
          <cell r="P937">
            <v>166.83</v>
          </cell>
          <cell r="Q937">
            <v>0</v>
          </cell>
          <cell r="R937">
            <v>985.99</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360</v>
          </cell>
          <cell r="AO937">
            <v>0</v>
          </cell>
          <cell r="AP937">
            <v>0</v>
          </cell>
          <cell r="AQ937">
            <v>1800</v>
          </cell>
          <cell r="AR937">
            <v>0</v>
          </cell>
          <cell r="AS937">
            <v>0</v>
          </cell>
          <cell r="AT937">
            <v>0</v>
          </cell>
          <cell r="AU937">
            <v>0</v>
          </cell>
        </row>
        <row r="938">
          <cell r="A938">
            <v>71</v>
          </cell>
          <cell r="B938" t="str">
            <v>PETIT</v>
          </cell>
          <cell r="C938" t="str">
            <v>RICHARD</v>
          </cell>
          <cell r="D938" t="str">
            <v>BORDEAUX</v>
          </cell>
          <cell r="E938">
            <v>1</v>
          </cell>
          <cell r="F938" t="str">
            <v>NUMERICABLE</v>
          </cell>
          <cell r="G938" t="str">
            <v>DISTRIBUTEUR</v>
          </cell>
          <cell r="H938" t="str">
            <v>DELANNOY</v>
          </cell>
          <cell r="I938" t="str">
            <v>SUOU506001</v>
          </cell>
          <cell r="J938">
            <v>100</v>
          </cell>
          <cell r="K938">
            <v>33735</v>
          </cell>
          <cell r="L938" t="str">
            <v>ANIMATEUR RESEAU DAC</v>
          </cell>
          <cell r="M938" t="str">
            <v>374C</v>
          </cell>
          <cell r="N938" t="str">
            <v>DB</v>
          </cell>
          <cell r="O938" t="str">
            <v>CDI</v>
          </cell>
          <cell r="P938">
            <v>166.83</v>
          </cell>
          <cell r="Q938">
            <v>1694.98</v>
          </cell>
          <cell r="R938">
            <v>1396.87</v>
          </cell>
          <cell r="S938">
            <v>0</v>
          </cell>
          <cell r="T938">
            <v>1433.02</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333.78</v>
          </cell>
          <cell r="AO938">
            <v>0</v>
          </cell>
          <cell r="AP938">
            <v>0</v>
          </cell>
          <cell r="AQ938">
            <v>1303.8900000000001</v>
          </cell>
          <cell r="AR938">
            <v>0</v>
          </cell>
          <cell r="AS938">
            <v>0</v>
          </cell>
          <cell r="AT938">
            <v>0</v>
          </cell>
          <cell r="AU938">
            <v>0</v>
          </cell>
        </row>
        <row r="939">
          <cell r="A939">
            <v>83</v>
          </cell>
          <cell r="B939" t="str">
            <v>GAUCHER</v>
          </cell>
          <cell r="C939" t="str">
            <v>JEAN-LOUIS</v>
          </cell>
          <cell r="D939" t="str">
            <v>BORDEAUX</v>
          </cell>
          <cell r="E939">
            <v>1</v>
          </cell>
          <cell r="F939" t="str">
            <v>NUMERICABLE</v>
          </cell>
          <cell r="G939" t="str">
            <v>VENTE</v>
          </cell>
          <cell r="H939" t="str">
            <v>DARME</v>
          </cell>
          <cell r="I939" t="str">
            <v>SUOU500001</v>
          </cell>
          <cell r="J939">
            <v>100</v>
          </cell>
          <cell r="K939">
            <v>36311</v>
          </cell>
          <cell r="L939" t="str">
            <v>CONSEIL.COMMER.COLL</v>
          </cell>
          <cell r="M939" t="str">
            <v>463E</v>
          </cell>
          <cell r="N939" t="str">
            <v>DB</v>
          </cell>
          <cell r="O939" t="str">
            <v>CDI</v>
          </cell>
          <cell r="P939">
            <v>166.83</v>
          </cell>
          <cell r="Q939">
            <v>1747</v>
          </cell>
          <cell r="R939">
            <v>2355.94</v>
          </cell>
          <cell r="S939">
            <v>0</v>
          </cell>
          <cell r="T939">
            <v>3000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474.7</v>
          </cell>
          <cell r="AO939">
            <v>0</v>
          </cell>
          <cell r="AP939">
            <v>0</v>
          </cell>
          <cell r="AQ939">
            <v>1747</v>
          </cell>
          <cell r="AR939">
            <v>228.67</v>
          </cell>
          <cell r="AS939">
            <v>0</v>
          </cell>
          <cell r="AT939">
            <v>0</v>
          </cell>
          <cell r="AU939">
            <v>0</v>
          </cell>
        </row>
        <row r="940">
          <cell r="A940">
            <v>192</v>
          </cell>
          <cell r="B940" t="str">
            <v>DEVEY</v>
          </cell>
          <cell r="C940" t="str">
            <v>DOMINIQUE</v>
          </cell>
          <cell r="D940" t="str">
            <v>AVIGNON</v>
          </cell>
          <cell r="E940">
            <v>1</v>
          </cell>
          <cell r="F940" t="str">
            <v>NUMERICABLE</v>
          </cell>
          <cell r="I940" t="str">
            <v>FTCN905001</v>
          </cell>
          <cell r="J940">
            <v>100</v>
          </cell>
          <cell r="K940">
            <v>36444</v>
          </cell>
          <cell r="L940" t="str">
            <v>ADJOINT DIRECT. SERV. CLIENT</v>
          </cell>
          <cell r="M940" t="str">
            <v>374C</v>
          </cell>
          <cell r="N940" t="str">
            <v>E</v>
          </cell>
          <cell r="O940" t="str">
            <v>CDI</v>
          </cell>
          <cell r="P940">
            <v>151.57</v>
          </cell>
          <cell r="Q940">
            <v>2271</v>
          </cell>
          <cell r="R940">
            <v>1572.79</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431.33</v>
          </cell>
          <cell r="AN940">
            <v>270.24</v>
          </cell>
          <cell r="AO940">
            <v>0</v>
          </cell>
          <cell r="AP940">
            <v>0</v>
          </cell>
          <cell r="AQ940">
            <v>2702.33</v>
          </cell>
          <cell r="AR940">
            <v>0</v>
          </cell>
          <cell r="AS940">
            <v>0</v>
          </cell>
          <cell r="AT940">
            <v>0</v>
          </cell>
          <cell r="AU940">
            <v>0</v>
          </cell>
        </row>
        <row r="941">
          <cell r="A941">
            <v>730</v>
          </cell>
          <cell r="B941" t="str">
            <v>GEOFFROY</v>
          </cell>
          <cell r="C941" t="str">
            <v>HERVE</v>
          </cell>
          <cell r="D941" t="str">
            <v>BORDEAUX</v>
          </cell>
          <cell r="E941">
            <v>1</v>
          </cell>
          <cell r="F941" t="str">
            <v>NUMERICABLE</v>
          </cell>
          <cell r="G941" t="str">
            <v>BOUTIQUE</v>
          </cell>
          <cell r="H941" t="str">
            <v>COMINARDI</v>
          </cell>
          <cell r="I941" t="str">
            <v>SUOU507001</v>
          </cell>
          <cell r="J941">
            <v>100</v>
          </cell>
          <cell r="K941">
            <v>36970</v>
          </cell>
          <cell r="L941" t="str">
            <v>RESPONSABLE BOUTIQUE</v>
          </cell>
          <cell r="M941" t="str">
            <v>TSM</v>
          </cell>
          <cell r="N941" t="str">
            <v>D</v>
          </cell>
          <cell r="O941" t="str">
            <v>CDI</v>
          </cell>
          <cell r="P941">
            <v>166.83</v>
          </cell>
          <cell r="Q941">
            <v>1460.41</v>
          </cell>
          <cell r="R941">
            <v>1043.0999999999999</v>
          </cell>
          <cell r="S941">
            <v>0</v>
          </cell>
          <cell r="T941">
            <v>320.14</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240</v>
          </cell>
          <cell r="AM941">
            <v>0</v>
          </cell>
          <cell r="AN941">
            <v>178.06</v>
          </cell>
          <cell r="AO941">
            <v>0</v>
          </cell>
          <cell r="AP941">
            <v>0</v>
          </cell>
          <cell r="AQ941">
            <v>1460.41</v>
          </cell>
          <cell r="AR941">
            <v>240</v>
          </cell>
          <cell r="AS941">
            <v>0</v>
          </cell>
          <cell r="AT941">
            <v>0</v>
          </cell>
          <cell r="AU941">
            <v>0</v>
          </cell>
        </row>
        <row r="942">
          <cell r="A942">
            <v>80146</v>
          </cell>
          <cell r="B942" t="str">
            <v>BELFORT</v>
          </cell>
          <cell r="C942" t="str">
            <v>ERIC</v>
          </cell>
          <cell r="D942" t="str">
            <v>BORDEAUX</v>
          </cell>
          <cell r="E942">
            <v>1</v>
          </cell>
          <cell r="F942" t="str">
            <v>NUMERICABLE</v>
          </cell>
          <cell r="G942" t="str">
            <v>MAINTENANCE RESEAU</v>
          </cell>
          <cell r="H942" t="str">
            <v>GALERA</v>
          </cell>
          <cell r="I942" t="str">
            <v>SUOU300001</v>
          </cell>
          <cell r="J942">
            <v>100</v>
          </cell>
          <cell r="K942">
            <v>35521</v>
          </cell>
          <cell r="L942" t="str">
            <v>COORDINATEUR REGIONAL EXPL</v>
          </cell>
          <cell r="M942" t="str">
            <v>393C</v>
          </cell>
          <cell r="N942" t="str">
            <v>E</v>
          </cell>
          <cell r="O942" t="str">
            <v>CDI</v>
          </cell>
          <cell r="P942">
            <v>151.57</v>
          </cell>
          <cell r="Q942">
            <v>3337.5</v>
          </cell>
          <cell r="R942">
            <v>1844.9</v>
          </cell>
          <cell r="S942">
            <v>0</v>
          </cell>
          <cell r="T942">
            <v>179.87</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353.97</v>
          </cell>
          <cell r="AO942">
            <v>0</v>
          </cell>
          <cell r="AP942">
            <v>0</v>
          </cell>
          <cell r="AQ942">
            <v>3359.85</v>
          </cell>
          <cell r="AR942">
            <v>0</v>
          </cell>
          <cell r="AS942">
            <v>0</v>
          </cell>
          <cell r="AT942">
            <v>0</v>
          </cell>
          <cell r="AU942">
            <v>0</v>
          </cell>
        </row>
        <row r="943">
          <cell r="A943">
            <v>80149</v>
          </cell>
          <cell r="B943" t="str">
            <v>FONTAINE</v>
          </cell>
          <cell r="C943" t="str">
            <v>ERIC</v>
          </cell>
          <cell r="D943" t="str">
            <v>BAB</v>
          </cell>
          <cell r="E943">
            <v>1</v>
          </cell>
          <cell r="F943" t="str">
            <v>NUMERICABLE</v>
          </cell>
          <cell r="G943" t="str">
            <v>COLLECTIF</v>
          </cell>
          <cell r="I943" t="str">
            <v>FTCN905001</v>
          </cell>
          <cell r="J943">
            <v>100</v>
          </cell>
          <cell r="K943">
            <v>35571</v>
          </cell>
          <cell r="L943" t="str">
            <v>RESPONSABLE CONTRATS COLLECTIFS</v>
          </cell>
          <cell r="M943" t="str">
            <v>478D</v>
          </cell>
          <cell r="N943" t="str">
            <v>DB</v>
          </cell>
          <cell r="O943" t="str">
            <v>CDI</v>
          </cell>
          <cell r="P943">
            <v>151.57</v>
          </cell>
          <cell r="Q943">
            <v>1645</v>
          </cell>
          <cell r="R943">
            <v>1655.26</v>
          </cell>
          <cell r="S943">
            <v>0</v>
          </cell>
          <cell r="T943">
            <v>1500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314.5</v>
          </cell>
          <cell r="AO943">
            <v>0</v>
          </cell>
          <cell r="AP943">
            <v>0</v>
          </cell>
          <cell r="AQ943">
            <v>1645</v>
          </cell>
          <cell r="AR943">
            <v>228.67</v>
          </cell>
          <cell r="AS943">
            <v>0</v>
          </cell>
          <cell r="AT943">
            <v>0</v>
          </cell>
          <cell r="AU943">
            <v>0</v>
          </cell>
        </row>
        <row r="944">
          <cell r="A944">
            <v>240059</v>
          </cell>
          <cell r="B944" t="str">
            <v>GASSELIN</v>
          </cell>
          <cell r="C944" t="str">
            <v>PHILIPPE</v>
          </cell>
          <cell r="D944" t="str">
            <v>SIEGE</v>
          </cell>
          <cell r="E944">
            <v>1</v>
          </cell>
          <cell r="F944" t="str">
            <v>NUMERICABLE</v>
          </cell>
          <cell r="I944" t="str">
            <v>FTCN905001</v>
          </cell>
          <cell r="J944">
            <v>100</v>
          </cell>
          <cell r="K944">
            <v>36165</v>
          </cell>
          <cell r="L944" t="str">
            <v>ASSIST. CHARGE PROJETS</v>
          </cell>
          <cell r="M944" t="str">
            <v>462E</v>
          </cell>
          <cell r="N944" t="str">
            <v>DB</v>
          </cell>
          <cell r="O944" t="str">
            <v>CDI</v>
          </cell>
          <cell r="P944">
            <v>166.83</v>
          </cell>
          <cell r="Q944">
            <v>2489</v>
          </cell>
          <cell r="R944">
            <v>1327.86</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33.299999999999997</v>
          </cell>
          <cell r="AN944">
            <v>252.23</v>
          </cell>
          <cell r="AO944">
            <v>25.75</v>
          </cell>
          <cell r="AP944">
            <v>0</v>
          </cell>
          <cell r="AQ944">
            <v>2522.3000000000002</v>
          </cell>
          <cell r="AR944">
            <v>0</v>
          </cell>
          <cell r="AS944">
            <v>0</v>
          </cell>
          <cell r="AT944">
            <v>0</v>
          </cell>
          <cell r="AU944">
            <v>0</v>
          </cell>
        </row>
        <row r="945">
          <cell r="A945">
            <v>901008</v>
          </cell>
          <cell r="B945" t="str">
            <v>SAEZ</v>
          </cell>
          <cell r="C945" t="str">
            <v>MONIQUE</v>
          </cell>
          <cell r="D945" t="str">
            <v>MONTPELLIER</v>
          </cell>
          <cell r="E945">
            <v>1</v>
          </cell>
          <cell r="F945" t="str">
            <v>NUMERICABLE</v>
          </cell>
          <cell r="I945" t="str">
            <v>FTCN905001</v>
          </cell>
          <cell r="J945">
            <v>100</v>
          </cell>
          <cell r="K945">
            <v>33970</v>
          </cell>
          <cell r="L945" t="str">
            <v>CONTROLEUR GESTION</v>
          </cell>
          <cell r="M945" t="str">
            <v>373C</v>
          </cell>
          <cell r="N945" t="str">
            <v>E</v>
          </cell>
          <cell r="O945" t="str">
            <v>CDI</v>
          </cell>
          <cell r="P945">
            <v>151.57</v>
          </cell>
          <cell r="Q945">
            <v>3000</v>
          </cell>
          <cell r="R945">
            <v>68.430000000000007</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300</v>
          </cell>
          <cell r="AO945">
            <v>0</v>
          </cell>
          <cell r="AP945">
            <v>0</v>
          </cell>
          <cell r="AQ945">
            <v>0</v>
          </cell>
          <cell r="AR945">
            <v>0</v>
          </cell>
          <cell r="AS945">
            <v>0</v>
          </cell>
          <cell r="AT945">
            <v>0</v>
          </cell>
          <cell r="AU945">
            <v>0</v>
          </cell>
        </row>
        <row r="946">
          <cell r="A946">
            <v>952247</v>
          </cell>
          <cell r="B946" t="str">
            <v>BELKHIR</v>
          </cell>
          <cell r="C946" t="str">
            <v>ABDERRAZAK</v>
          </cell>
          <cell r="D946" t="str">
            <v>MARSEILLE</v>
          </cell>
          <cell r="E946">
            <v>1</v>
          </cell>
          <cell r="F946" t="str">
            <v>NUMERICABLE</v>
          </cell>
          <cell r="G946" t="str">
            <v>VAD ANIMATEURS</v>
          </cell>
          <cell r="H946" t="str">
            <v>VIVIN</v>
          </cell>
          <cell r="I946" t="str">
            <v>SUES500001</v>
          </cell>
          <cell r="J946">
            <v>100</v>
          </cell>
          <cell r="K946">
            <v>35296</v>
          </cell>
          <cell r="L946" t="str">
            <v>ANIMATEUR COMMERCIAL</v>
          </cell>
          <cell r="M946" t="str">
            <v>463E</v>
          </cell>
          <cell r="N946" t="str">
            <v>DB</v>
          </cell>
          <cell r="O946" t="str">
            <v>CDI</v>
          </cell>
          <cell r="P946">
            <v>151.57</v>
          </cell>
          <cell r="Q946">
            <v>1800</v>
          </cell>
          <cell r="R946">
            <v>2433.41</v>
          </cell>
          <cell r="S946">
            <v>0</v>
          </cell>
          <cell r="T946">
            <v>1400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343.11</v>
          </cell>
          <cell r="AO946">
            <v>0</v>
          </cell>
          <cell r="AP946">
            <v>0</v>
          </cell>
          <cell r="AQ946">
            <v>2030.95</v>
          </cell>
          <cell r="AR946">
            <v>0</v>
          </cell>
          <cell r="AS946">
            <v>1411.03</v>
          </cell>
          <cell r="AT946">
            <v>0</v>
          </cell>
          <cell r="AU946">
            <v>0</v>
          </cell>
        </row>
        <row r="947">
          <cell r="A947">
            <v>953082</v>
          </cell>
          <cell r="B947" t="str">
            <v>PAPUCCI</v>
          </cell>
          <cell r="C947" t="str">
            <v>KARINE</v>
          </cell>
          <cell r="D947" t="str">
            <v>MARSEILLE</v>
          </cell>
          <cell r="E947">
            <v>1</v>
          </cell>
          <cell r="F947" t="str">
            <v>NUMERICABLE</v>
          </cell>
          <cell r="G947" t="str">
            <v>DIRECTION REGIONALE</v>
          </cell>
          <cell r="H947" t="str">
            <v>CHAPELAT</v>
          </cell>
          <cell r="I947" t="str">
            <v>SUES520001</v>
          </cell>
          <cell r="J947">
            <v>100</v>
          </cell>
          <cell r="K947">
            <v>35842</v>
          </cell>
          <cell r="L947" t="str">
            <v>ASSIST. ADMINISTRAT.</v>
          </cell>
          <cell r="M947" t="str">
            <v>461C</v>
          </cell>
          <cell r="N947" t="str">
            <v>DB</v>
          </cell>
          <cell r="O947" t="str">
            <v>CDI</v>
          </cell>
          <cell r="P947">
            <v>166.83</v>
          </cell>
          <cell r="Q947">
            <v>2530</v>
          </cell>
          <cell r="R947">
            <v>1472.63</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253</v>
          </cell>
          <cell r="AO947">
            <v>0</v>
          </cell>
          <cell r="AP947">
            <v>0</v>
          </cell>
          <cell r="AQ947">
            <v>2530</v>
          </cell>
          <cell r="AR947">
            <v>0</v>
          </cell>
          <cell r="AS947">
            <v>0</v>
          </cell>
          <cell r="AT947">
            <v>0</v>
          </cell>
          <cell r="AU947">
            <v>0</v>
          </cell>
        </row>
        <row r="948">
          <cell r="A948">
            <v>20000518</v>
          </cell>
          <cell r="B948" t="str">
            <v>DAVID</v>
          </cell>
          <cell r="C948" t="str">
            <v>FABIENNE</v>
          </cell>
          <cell r="D948" t="str">
            <v>ROUEN</v>
          </cell>
          <cell r="E948">
            <v>1</v>
          </cell>
          <cell r="F948" t="str">
            <v>NUMERICABLE</v>
          </cell>
          <cell r="I948" t="str">
            <v>FTCN905001</v>
          </cell>
          <cell r="J948">
            <v>100</v>
          </cell>
          <cell r="K948">
            <v>36717</v>
          </cell>
          <cell r="L948" t="str">
            <v>CONTROLEUR GESTION</v>
          </cell>
          <cell r="M948" t="str">
            <v>373C</v>
          </cell>
          <cell r="N948" t="str">
            <v>E</v>
          </cell>
          <cell r="O948" t="str">
            <v>CDI</v>
          </cell>
          <cell r="P948">
            <v>151.57</v>
          </cell>
          <cell r="Q948">
            <v>2560</v>
          </cell>
          <cell r="R948">
            <v>1126</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246.68</v>
          </cell>
          <cell r="AN948">
            <v>245.72</v>
          </cell>
          <cell r="AO948">
            <v>0</v>
          </cell>
          <cell r="AP948">
            <v>0</v>
          </cell>
          <cell r="AQ948">
            <v>2806.68</v>
          </cell>
          <cell r="AR948">
            <v>0</v>
          </cell>
          <cell r="AS948">
            <v>0</v>
          </cell>
          <cell r="AT948">
            <v>0</v>
          </cell>
          <cell r="AU948">
            <v>0</v>
          </cell>
        </row>
        <row r="949">
          <cell r="A949" t="str">
            <v>000A1543</v>
          </cell>
          <cell r="B949" t="str">
            <v>VAUDELEAU</v>
          </cell>
          <cell r="C949" t="str">
            <v>CATHERINE</v>
          </cell>
          <cell r="D949" t="str">
            <v>METZ</v>
          </cell>
          <cell r="E949">
            <v>19</v>
          </cell>
          <cell r="F949" t="str">
            <v>NUMERICABLE  (TCC)</v>
          </cell>
          <cell r="I949" t="str">
            <v>FTCN905001</v>
          </cell>
          <cell r="J949">
            <v>100</v>
          </cell>
          <cell r="K949">
            <v>35674</v>
          </cell>
          <cell r="L949" t="str">
            <v>ASSISTANTE DE DIRECTION NIV 1</v>
          </cell>
          <cell r="M949" t="str">
            <v>CADRE</v>
          </cell>
          <cell r="N949" t="str">
            <v>DB</v>
          </cell>
          <cell r="O949" t="str">
            <v>CDI</v>
          </cell>
          <cell r="P949">
            <v>151.57</v>
          </cell>
          <cell r="Q949">
            <v>2480</v>
          </cell>
          <cell r="R949">
            <v>18.73</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-123.95</v>
          </cell>
          <cell r="AQ949">
            <v>0</v>
          </cell>
          <cell r="AR949">
            <v>0</v>
          </cell>
          <cell r="AS949">
            <v>0</v>
          </cell>
          <cell r="AT949">
            <v>0</v>
          </cell>
          <cell r="AU949">
            <v>0</v>
          </cell>
        </row>
        <row r="950">
          <cell r="A950" t="str">
            <v>000A1640</v>
          </cell>
          <cell r="B950" t="str">
            <v>DESHOUX</v>
          </cell>
          <cell r="C950" t="str">
            <v>CEDRIC</v>
          </cell>
          <cell r="D950" t="str">
            <v>RENNES</v>
          </cell>
          <cell r="E950">
            <v>3</v>
          </cell>
          <cell r="F950" t="str">
            <v>NUMERICABLE</v>
          </cell>
          <cell r="I950" t="str">
            <v>OUES302001</v>
          </cell>
          <cell r="J950">
            <v>100</v>
          </cell>
          <cell r="K950">
            <v>38777</v>
          </cell>
          <cell r="L950" t="str">
            <v>SUPERV. RAC-SAV</v>
          </cell>
          <cell r="M950" t="str">
            <v>EMPLOYE</v>
          </cell>
          <cell r="N950" t="str">
            <v>D</v>
          </cell>
          <cell r="O950" t="str">
            <v>CDI</v>
          </cell>
          <cell r="P950">
            <v>166.83</v>
          </cell>
          <cell r="Q950">
            <v>0</v>
          </cell>
          <cell r="R950">
            <v>938.08</v>
          </cell>
          <cell r="S950">
            <v>0</v>
          </cell>
          <cell r="T950">
            <v>240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358</v>
          </cell>
          <cell r="AO950">
            <v>0</v>
          </cell>
          <cell r="AP950">
            <v>0</v>
          </cell>
          <cell r="AQ950">
            <v>1670</v>
          </cell>
          <cell r="AR950">
            <v>0</v>
          </cell>
          <cell r="AS950">
            <v>0</v>
          </cell>
          <cell r="AT950">
            <v>0</v>
          </cell>
          <cell r="AU950">
            <v>0</v>
          </cell>
        </row>
        <row r="951">
          <cell r="A951" t="str">
            <v>000A1405</v>
          </cell>
          <cell r="B951" t="str">
            <v>PINO</v>
          </cell>
          <cell r="C951" t="str">
            <v>ALBERT</v>
          </cell>
          <cell r="D951" t="str">
            <v>MARSEILLE</v>
          </cell>
          <cell r="E951">
            <v>3</v>
          </cell>
          <cell r="F951" t="str">
            <v>NUMERICABLE</v>
          </cell>
          <cell r="G951" t="str">
            <v>VENTE</v>
          </cell>
          <cell r="I951" t="str">
            <v>FTCN905001</v>
          </cell>
          <cell r="J951">
            <v>100</v>
          </cell>
          <cell r="K951">
            <v>38701</v>
          </cell>
          <cell r="L951" t="str">
            <v>ANIMATEUR POINT DE VENTES</v>
          </cell>
          <cell r="M951" t="str">
            <v>463E</v>
          </cell>
          <cell r="N951" t="str">
            <v>DB</v>
          </cell>
          <cell r="O951" t="str">
            <v>CDI</v>
          </cell>
          <cell r="P951">
            <v>166.83</v>
          </cell>
          <cell r="Q951">
            <v>2145</v>
          </cell>
          <cell r="R951">
            <v>531.61</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383.52</v>
          </cell>
          <cell r="AN951">
            <v>214.5</v>
          </cell>
          <cell r="AO951">
            <v>383.52</v>
          </cell>
          <cell r="AP951">
            <v>0</v>
          </cell>
          <cell r="AQ951">
            <v>2145</v>
          </cell>
          <cell r="AR951">
            <v>0</v>
          </cell>
          <cell r="AS951">
            <v>0</v>
          </cell>
          <cell r="AT951">
            <v>0</v>
          </cell>
          <cell r="AU951">
            <v>0</v>
          </cell>
        </row>
        <row r="952">
          <cell r="A952">
            <v>1368</v>
          </cell>
          <cell r="B952" t="str">
            <v>EUSTACHI</v>
          </cell>
          <cell r="C952" t="str">
            <v>MAGALI</v>
          </cell>
          <cell r="D952" t="str">
            <v>METZ</v>
          </cell>
          <cell r="E952">
            <v>1</v>
          </cell>
          <cell r="F952" t="str">
            <v>NUMERICABLE</v>
          </cell>
          <cell r="G952" t="str">
            <v>BOUTIQUE</v>
          </cell>
          <cell r="H952" t="str">
            <v>BEKHALED</v>
          </cell>
          <cell r="I952" t="str">
            <v>ESTR507001</v>
          </cell>
          <cell r="J952">
            <v>100</v>
          </cell>
          <cell r="K952">
            <v>38628</v>
          </cell>
          <cell r="L952" t="str">
            <v>CONSEILLER CLIENTELE BOUTIQUE</v>
          </cell>
          <cell r="M952" t="str">
            <v>463E</v>
          </cell>
          <cell r="N952" t="str">
            <v>C</v>
          </cell>
          <cell r="O952" t="str">
            <v>CDI</v>
          </cell>
          <cell r="P952">
            <v>166.83</v>
          </cell>
          <cell r="Q952">
            <v>1400</v>
          </cell>
          <cell r="R952">
            <v>1237.52</v>
          </cell>
          <cell r="S952">
            <v>0</v>
          </cell>
          <cell r="T952">
            <v>0</v>
          </cell>
          <cell r="U952">
            <v>0</v>
          </cell>
          <cell r="V952">
            <v>0</v>
          </cell>
          <cell r="W952">
            <v>896</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220.26</v>
          </cell>
          <cell r="AO952">
            <v>0</v>
          </cell>
          <cell r="AP952">
            <v>0</v>
          </cell>
          <cell r="AQ952">
            <v>1306.67</v>
          </cell>
          <cell r="AR952">
            <v>0</v>
          </cell>
          <cell r="AS952">
            <v>0</v>
          </cell>
          <cell r="AT952">
            <v>0</v>
          </cell>
          <cell r="AU952">
            <v>0</v>
          </cell>
        </row>
        <row r="953">
          <cell r="A953" t="str">
            <v>000A1463</v>
          </cell>
          <cell r="B953" t="str">
            <v>RECHARD</v>
          </cell>
          <cell r="C953" t="str">
            <v>TONY</v>
          </cell>
          <cell r="D953" t="str">
            <v>SAINT QUENTIN EN YVE</v>
          </cell>
          <cell r="E953">
            <v>3</v>
          </cell>
          <cell r="F953" t="str">
            <v>NUMERICABLE</v>
          </cell>
          <cell r="G953" t="str">
            <v>BOUTIQUE</v>
          </cell>
          <cell r="H953" t="str">
            <v>ELIEZER-VANEROT</v>
          </cell>
          <cell r="I953" t="str">
            <v>IDFR507001</v>
          </cell>
          <cell r="J953">
            <v>100</v>
          </cell>
          <cell r="K953">
            <v>38741</v>
          </cell>
          <cell r="L953" t="str">
            <v>CONSEILLER TECHNIQUE BOUTIQUE</v>
          </cell>
          <cell r="M953" t="str">
            <v>462E</v>
          </cell>
          <cell r="N953" t="str">
            <v>C</v>
          </cell>
          <cell r="O953" t="str">
            <v>CDD</v>
          </cell>
          <cell r="P953">
            <v>166.83</v>
          </cell>
          <cell r="Q953">
            <v>1646.66</v>
          </cell>
          <cell r="R953">
            <v>1321.86</v>
          </cell>
          <cell r="S953">
            <v>0</v>
          </cell>
          <cell r="T953">
            <v>604</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288.57</v>
          </cell>
          <cell r="AO953">
            <v>0</v>
          </cell>
          <cell r="AP953">
            <v>0</v>
          </cell>
          <cell r="AQ953">
            <v>1786.96</v>
          </cell>
          <cell r="AR953">
            <v>0</v>
          </cell>
          <cell r="AS953">
            <v>0</v>
          </cell>
          <cell r="AT953">
            <v>0</v>
          </cell>
          <cell r="AU953">
            <v>0</v>
          </cell>
        </row>
        <row r="954">
          <cell r="A954" t="str">
            <v>000A1528</v>
          </cell>
          <cell r="B954" t="str">
            <v>LAHEURTE</v>
          </cell>
          <cell r="C954" t="str">
            <v>NICOLAS</v>
          </cell>
          <cell r="D954" t="str">
            <v>METZ</v>
          </cell>
          <cell r="E954">
            <v>19</v>
          </cell>
          <cell r="F954" t="str">
            <v>NUMERICABLE  (TCC)</v>
          </cell>
          <cell r="G954" t="str">
            <v>TECHNIQUE</v>
          </cell>
          <cell r="I954" t="str">
            <v>FTCN905001</v>
          </cell>
          <cell r="J954">
            <v>100</v>
          </cell>
          <cell r="K954">
            <v>38626</v>
          </cell>
          <cell r="L954" t="str">
            <v>TECH. EXP. NIV. 1</v>
          </cell>
          <cell r="M954" t="str">
            <v>EMPLOYE</v>
          </cell>
          <cell r="N954" t="str">
            <v>C</v>
          </cell>
          <cell r="O954" t="str">
            <v>CDI</v>
          </cell>
          <cell r="P954">
            <v>151.57</v>
          </cell>
          <cell r="Q954">
            <v>1580</v>
          </cell>
          <cell r="R954">
            <v>385.65</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715.36</v>
          </cell>
          <cell r="AN954">
            <v>0</v>
          </cell>
          <cell r="AO954">
            <v>715.36</v>
          </cell>
          <cell r="AP954">
            <v>0</v>
          </cell>
          <cell r="AQ954">
            <v>1580</v>
          </cell>
          <cell r="AR954">
            <v>0</v>
          </cell>
          <cell r="AS954">
            <v>0</v>
          </cell>
          <cell r="AT954">
            <v>0</v>
          </cell>
          <cell r="AU954">
            <v>0</v>
          </cell>
        </row>
        <row r="955">
          <cell r="A955" t="str">
            <v>000A1751</v>
          </cell>
          <cell r="B955" t="str">
            <v>GAJEAN</v>
          </cell>
          <cell r="C955" t="str">
            <v>HERVE</v>
          </cell>
          <cell r="D955" t="str">
            <v>AVIGNON</v>
          </cell>
          <cell r="E955">
            <v>3</v>
          </cell>
          <cell r="F955" t="str">
            <v>NUMERICABLE</v>
          </cell>
          <cell r="G955" t="str">
            <v>MAINTENANCE RESEAU</v>
          </cell>
          <cell r="I955" t="str">
            <v>SUES302001</v>
          </cell>
          <cell r="J955">
            <v>100</v>
          </cell>
          <cell r="K955">
            <v>38796</v>
          </cell>
          <cell r="L955" t="str">
            <v>SUPERV. RAC-SAV</v>
          </cell>
          <cell r="M955" t="str">
            <v>EMPLOYE</v>
          </cell>
          <cell r="N955" t="str">
            <v>D</v>
          </cell>
          <cell r="O955" t="str">
            <v>CDD</v>
          </cell>
          <cell r="P955">
            <v>166.83</v>
          </cell>
          <cell r="Q955">
            <v>0</v>
          </cell>
          <cell r="R955">
            <v>1290.51</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2460</v>
          </cell>
          <cell r="AR955">
            <v>0</v>
          </cell>
          <cell r="AS955">
            <v>0</v>
          </cell>
          <cell r="AT955">
            <v>0</v>
          </cell>
          <cell r="AU955">
            <v>0</v>
          </cell>
        </row>
        <row r="956">
          <cell r="A956">
            <v>36</v>
          </cell>
          <cell r="B956" t="str">
            <v>DELPEUCH</v>
          </cell>
          <cell r="C956" t="str">
            <v>ERIC</v>
          </cell>
          <cell r="D956" t="str">
            <v>BORDEAUX</v>
          </cell>
          <cell r="E956">
            <v>1</v>
          </cell>
          <cell r="F956" t="str">
            <v>NUMERICABLE</v>
          </cell>
          <cell r="G956" t="str">
            <v>RACCORDEMENT IMMOB.</v>
          </cell>
          <cell r="H956" t="str">
            <v>RICHARD C</v>
          </cell>
          <cell r="I956" t="str">
            <v>SUOU302001</v>
          </cell>
          <cell r="J956">
            <v>100</v>
          </cell>
          <cell r="K956">
            <v>34304</v>
          </cell>
          <cell r="L956" t="str">
            <v>SUPERVIS RACCORDEMENTS SAV</v>
          </cell>
          <cell r="M956" t="str">
            <v>EMPLOYE</v>
          </cell>
          <cell r="N956" t="str">
            <v>C</v>
          </cell>
          <cell r="O956" t="str">
            <v>CDI</v>
          </cell>
          <cell r="P956">
            <v>166.83</v>
          </cell>
          <cell r="Q956">
            <v>1904</v>
          </cell>
          <cell r="R956">
            <v>1171.49</v>
          </cell>
          <cell r="S956">
            <v>0</v>
          </cell>
          <cell r="T956">
            <v>0</v>
          </cell>
          <cell r="U956">
            <v>0</v>
          </cell>
          <cell r="V956">
            <v>0</v>
          </cell>
          <cell r="W956">
            <v>240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214.2</v>
          </cell>
          <cell r="AO956">
            <v>0</v>
          </cell>
          <cell r="AP956">
            <v>0</v>
          </cell>
          <cell r="AQ956">
            <v>1913.85</v>
          </cell>
          <cell r="AR956">
            <v>0</v>
          </cell>
          <cell r="AS956">
            <v>0</v>
          </cell>
          <cell r="AT956">
            <v>0</v>
          </cell>
          <cell r="AU956">
            <v>0</v>
          </cell>
        </row>
        <row r="957">
          <cell r="A957">
            <v>243</v>
          </cell>
          <cell r="B957" t="str">
            <v>CAGNAT</v>
          </cell>
          <cell r="C957" t="str">
            <v>JEREMY</v>
          </cell>
          <cell r="D957" t="str">
            <v>BORDEAUX</v>
          </cell>
          <cell r="E957">
            <v>1</v>
          </cell>
          <cell r="F957" t="str">
            <v>NUMERICABLE</v>
          </cell>
          <cell r="I957" t="str">
            <v>FTCN905001</v>
          </cell>
          <cell r="J957">
            <v>100</v>
          </cell>
          <cell r="K957">
            <v>36451</v>
          </cell>
          <cell r="L957" t="str">
            <v>CONSEILLER COMMERCIAL</v>
          </cell>
          <cell r="M957" t="str">
            <v>463E</v>
          </cell>
          <cell r="N957" t="str">
            <v>C</v>
          </cell>
          <cell r="O957" t="str">
            <v>CDI</v>
          </cell>
          <cell r="P957">
            <v>166.83</v>
          </cell>
          <cell r="Q957">
            <v>3205.99</v>
          </cell>
          <cell r="R957">
            <v>436.64</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1119.99</v>
          </cell>
          <cell r="AN957">
            <v>161.80000000000001</v>
          </cell>
          <cell r="AO957">
            <v>1119.99</v>
          </cell>
          <cell r="AP957">
            <v>0</v>
          </cell>
          <cell r="AQ957">
            <v>1618</v>
          </cell>
          <cell r="AR957">
            <v>0</v>
          </cell>
          <cell r="AS957">
            <v>0</v>
          </cell>
          <cell r="AT957">
            <v>0</v>
          </cell>
          <cell r="AU957">
            <v>0</v>
          </cell>
        </row>
        <row r="958">
          <cell r="A958">
            <v>1084</v>
          </cell>
          <cell r="B958" t="str">
            <v>SCHNELLER</v>
          </cell>
          <cell r="C958" t="str">
            <v>MARC</v>
          </cell>
          <cell r="D958" t="str">
            <v>BORDEAUX</v>
          </cell>
          <cell r="E958">
            <v>1</v>
          </cell>
          <cell r="F958" t="str">
            <v>NUMERICABLE</v>
          </cell>
          <cell r="I958" t="str">
            <v>FTCN905001</v>
          </cell>
          <cell r="J958">
            <v>100</v>
          </cell>
          <cell r="K958">
            <v>37564</v>
          </cell>
          <cell r="L958" t="str">
            <v>CONSEILLER CLIENT ADMINISTRATIF</v>
          </cell>
          <cell r="M958" t="str">
            <v>462E</v>
          </cell>
          <cell r="N958" t="str">
            <v>C</v>
          </cell>
          <cell r="O958" t="str">
            <v>CDI</v>
          </cell>
          <cell r="P958">
            <v>166.83</v>
          </cell>
          <cell r="Q958">
            <v>1331</v>
          </cell>
          <cell r="R958">
            <v>373.59</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-6.41</v>
          </cell>
          <cell r="AN958">
            <v>119.34</v>
          </cell>
          <cell r="AO958">
            <v>-192.99</v>
          </cell>
          <cell r="AP958">
            <v>0</v>
          </cell>
          <cell r="AQ958">
            <v>1517.58</v>
          </cell>
          <cell r="AR958">
            <v>0</v>
          </cell>
          <cell r="AS958">
            <v>0</v>
          </cell>
          <cell r="AT958">
            <v>0</v>
          </cell>
          <cell r="AU958">
            <v>0</v>
          </cell>
        </row>
        <row r="959">
          <cell r="A959">
            <v>8014</v>
          </cell>
          <cell r="B959" t="str">
            <v>ESCOS</v>
          </cell>
          <cell r="C959" t="str">
            <v>NELLY</v>
          </cell>
          <cell r="D959" t="str">
            <v>BAB</v>
          </cell>
          <cell r="E959">
            <v>1</v>
          </cell>
          <cell r="F959" t="str">
            <v>NUMERICABLE</v>
          </cell>
          <cell r="I959" t="str">
            <v>FTCN905001</v>
          </cell>
          <cell r="J959">
            <v>100</v>
          </cell>
          <cell r="K959">
            <v>33239</v>
          </cell>
          <cell r="L959" t="str">
            <v>GEST. ADMIN. TECHNIQUE</v>
          </cell>
          <cell r="M959" t="str">
            <v>478D</v>
          </cell>
          <cell r="N959" t="str">
            <v>C</v>
          </cell>
          <cell r="O959" t="str">
            <v>CDI</v>
          </cell>
          <cell r="P959">
            <v>166.83</v>
          </cell>
          <cell r="Q959">
            <v>1536</v>
          </cell>
          <cell r="R959">
            <v>208.44</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-243.36</v>
          </cell>
          <cell r="AN959">
            <v>153.6</v>
          </cell>
          <cell r="AO959">
            <v>-243.36</v>
          </cell>
          <cell r="AP959">
            <v>0</v>
          </cell>
          <cell r="AQ959">
            <v>1536</v>
          </cell>
          <cell r="AR959">
            <v>0</v>
          </cell>
          <cell r="AS959">
            <v>0</v>
          </cell>
          <cell r="AT959">
            <v>0</v>
          </cell>
          <cell r="AU959">
            <v>0</v>
          </cell>
        </row>
        <row r="960">
          <cell r="A960">
            <v>301037</v>
          </cell>
          <cell r="B960" t="str">
            <v>LOVINY</v>
          </cell>
          <cell r="C960" t="str">
            <v>STEPHANE</v>
          </cell>
          <cell r="D960" t="str">
            <v>LA MADELEINE</v>
          </cell>
          <cell r="E960">
            <v>1</v>
          </cell>
          <cell r="F960" t="str">
            <v>NUMERICABLE</v>
          </cell>
          <cell r="G960" t="str">
            <v>MAINTENANCE RESEAU</v>
          </cell>
          <cell r="H960" t="str">
            <v>STIEVENART</v>
          </cell>
          <cell r="I960" t="str">
            <v>NPCA300001</v>
          </cell>
          <cell r="J960">
            <v>100</v>
          </cell>
          <cell r="K960">
            <v>34640</v>
          </cell>
          <cell r="L960" t="str">
            <v>TECH. EXPLOIT/INTERV</v>
          </cell>
          <cell r="M960" t="str">
            <v>478D</v>
          </cell>
          <cell r="N960" t="str">
            <v>C</v>
          </cell>
          <cell r="O960" t="str">
            <v>CDI</v>
          </cell>
          <cell r="P960">
            <v>166.83</v>
          </cell>
          <cell r="Q960">
            <v>1965</v>
          </cell>
          <cell r="R960">
            <v>1231.31</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39.26</v>
          </cell>
          <cell r="AG960">
            <v>0</v>
          </cell>
          <cell r="AH960">
            <v>9.82</v>
          </cell>
          <cell r="AI960">
            <v>0</v>
          </cell>
          <cell r="AJ960">
            <v>17.829999999999998</v>
          </cell>
          <cell r="AK960">
            <v>219</v>
          </cell>
          <cell r="AL960">
            <v>0</v>
          </cell>
          <cell r="AM960">
            <v>55.55</v>
          </cell>
          <cell r="AN960">
            <v>230.66</v>
          </cell>
          <cell r="AO960">
            <v>0</v>
          </cell>
          <cell r="AP960">
            <v>0</v>
          </cell>
          <cell r="AQ960">
            <v>2069.63</v>
          </cell>
          <cell r="AR960">
            <v>17.829999999999998</v>
          </cell>
          <cell r="AS960">
            <v>219</v>
          </cell>
          <cell r="AT960">
            <v>0</v>
          </cell>
          <cell r="AU960">
            <v>0</v>
          </cell>
        </row>
        <row r="961">
          <cell r="A961">
            <v>502005</v>
          </cell>
          <cell r="B961" t="str">
            <v>GILLES</v>
          </cell>
          <cell r="C961" t="str">
            <v>CHRISTINE</v>
          </cell>
          <cell r="D961" t="str">
            <v>DUNKERQUE</v>
          </cell>
          <cell r="E961">
            <v>1</v>
          </cell>
          <cell r="F961" t="str">
            <v>NUMERICABLE</v>
          </cell>
          <cell r="I961" t="str">
            <v>FTCN905001</v>
          </cell>
          <cell r="J961">
            <v>100</v>
          </cell>
          <cell r="K961">
            <v>35370</v>
          </cell>
          <cell r="L961" t="str">
            <v>ASSIST. SERV.CLIENTS</v>
          </cell>
          <cell r="M961" t="str">
            <v>462E</v>
          </cell>
          <cell r="N961" t="str">
            <v>C</v>
          </cell>
          <cell r="O961" t="str">
            <v>CDI</v>
          </cell>
          <cell r="P961">
            <v>121.33</v>
          </cell>
          <cell r="Q961">
            <v>1183</v>
          </cell>
          <cell r="R961">
            <v>-332.81</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97.02</v>
          </cell>
          <cell r="AN961">
            <v>123.9</v>
          </cell>
          <cell r="AO961">
            <v>41.1</v>
          </cell>
          <cell r="AP961">
            <v>0</v>
          </cell>
          <cell r="AQ961">
            <v>1238.92</v>
          </cell>
          <cell r="AR961">
            <v>0</v>
          </cell>
          <cell r="AS961">
            <v>0</v>
          </cell>
          <cell r="AT961">
            <v>0</v>
          </cell>
          <cell r="AU961">
            <v>0</v>
          </cell>
        </row>
        <row r="962">
          <cell r="A962" t="str">
            <v>000A1501</v>
          </cell>
          <cell r="B962" t="str">
            <v>CRASKE</v>
          </cell>
          <cell r="C962" t="str">
            <v>DIDIER</v>
          </cell>
          <cell r="D962" t="str">
            <v>SIEGE</v>
          </cell>
          <cell r="E962">
            <v>19</v>
          </cell>
          <cell r="F962" t="str">
            <v>NUMERICABLE  (TCC)</v>
          </cell>
          <cell r="G962" t="str">
            <v>TECHNIQUE</v>
          </cell>
          <cell r="H962" t="str">
            <v>PERRAIN</v>
          </cell>
          <cell r="I962" t="str">
            <v>GENE320001</v>
          </cell>
          <cell r="J962">
            <v>100</v>
          </cell>
          <cell r="K962">
            <v>33379</v>
          </cell>
          <cell r="L962" t="str">
            <v>RESP.TECH.EXP.NAT.</v>
          </cell>
          <cell r="M962" t="str">
            <v>CADRE</v>
          </cell>
          <cell r="N962" t="str">
            <v>F</v>
          </cell>
          <cell r="O962" t="str">
            <v>CDI</v>
          </cell>
          <cell r="P962">
            <v>151.57</v>
          </cell>
          <cell r="Q962">
            <v>5417</v>
          </cell>
          <cell r="R962">
            <v>2479.4499999999998</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541.70000000000005</v>
          </cell>
          <cell r="AO962">
            <v>0</v>
          </cell>
          <cell r="AP962">
            <v>0</v>
          </cell>
          <cell r="AQ962">
            <v>5417</v>
          </cell>
          <cell r="AR962">
            <v>0</v>
          </cell>
          <cell r="AS962">
            <v>0</v>
          </cell>
          <cell r="AT962">
            <v>0</v>
          </cell>
          <cell r="AU962">
            <v>0</v>
          </cell>
        </row>
        <row r="963">
          <cell r="A963" t="str">
            <v>000A1517</v>
          </cell>
          <cell r="B963" t="str">
            <v>DEFLANDRE</v>
          </cell>
          <cell r="C963" t="str">
            <v>DOMINIQUE</v>
          </cell>
          <cell r="D963" t="str">
            <v>METZ</v>
          </cell>
          <cell r="E963">
            <v>19</v>
          </cell>
          <cell r="F963" t="str">
            <v>NUMERICABLE  (TCC)</v>
          </cell>
          <cell r="G963" t="str">
            <v>RACCORDEMENT IMMOB.</v>
          </cell>
          <cell r="H963" t="str">
            <v>SCHWEITZER</v>
          </cell>
          <cell r="I963" t="str">
            <v>ESTR300001</v>
          </cell>
          <cell r="J963">
            <v>100</v>
          </cell>
          <cell r="K963">
            <v>33070</v>
          </cell>
          <cell r="L963" t="str">
            <v>TECH. EXP. NIV. 2</v>
          </cell>
          <cell r="M963" t="str">
            <v>TSM</v>
          </cell>
          <cell r="N963" t="str">
            <v>D</v>
          </cell>
          <cell r="O963" t="str">
            <v>CDI</v>
          </cell>
          <cell r="P963">
            <v>151.57</v>
          </cell>
          <cell r="Q963">
            <v>1780</v>
          </cell>
          <cell r="R963">
            <v>626.91</v>
          </cell>
          <cell r="S963">
            <v>0</v>
          </cell>
          <cell r="T963">
            <v>0</v>
          </cell>
          <cell r="U963">
            <v>0</v>
          </cell>
          <cell r="V963">
            <v>0</v>
          </cell>
          <cell r="W963">
            <v>0</v>
          </cell>
          <cell r="X963">
            <v>0</v>
          </cell>
          <cell r="Y963">
            <v>0</v>
          </cell>
          <cell r="Z963">
            <v>0</v>
          </cell>
          <cell r="AA963">
            <v>0</v>
          </cell>
          <cell r="AB963">
            <v>0</v>
          </cell>
          <cell r="AC963">
            <v>0</v>
          </cell>
          <cell r="AD963">
            <v>525</v>
          </cell>
          <cell r="AE963">
            <v>0</v>
          </cell>
          <cell r="AF963">
            <v>0</v>
          </cell>
          <cell r="AG963">
            <v>0</v>
          </cell>
          <cell r="AH963">
            <v>0</v>
          </cell>
          <cell r="AI963">
            <v>0</v>
          </cell>
          <cell r="AJ963">
            <v>0</v>
          </cell>
          <cell r="AK963">
            <v>765</v>
          </cell>
          <cell r="AL963">
            <v>271</v>
          </cell>
          <cell r="AM963">
            <v>0</v>
          </cell>
          <cell r="AN963">
            <v>170.86</v>
          </cell>
          <cell r="AO963">
            <v>0</v>
          </cell>
          <cell r="AP963">
            <v>0</v>
          </cell>
          <cell r="AQ963">
            <v>-109.24</v>
          </cell>
          <cell r="AR963">
            <v>796</v>
          </cell>
          <cell r="AS963">
            <v>765</v>
          </cell>
          <cell r="AT963">
            <v>0</v>
          </cell>
          <cell r="AU963">
            <v>0</v>
          </cell>
        </row>
        <row r="964">
          <cell r="A964">
            <v>560</v>
          </cell>
          <cell r="B964" t="str">
            <v>LAMORELLE</v>
          </cell>
          <cell r="C964" t="str">
            <v>LAURENT</v>
          </cell>
          <cell r="E964">
            <v>1</v>
          </cell>
          <cell r="F964" t="str">
            <v>NUMERICABLE</v>
          </cell>
          <cell r="I964" t="str">
            <v>FTCN905001</v>
          </cell>
          <cell r="J964">
            <v>100</v>
          </cell>
          <cell r="K964">
            <v>38749</v>
          </cell>
          <cell r="P964">
            <v>166.83</v>
          </cell>
          <cell r="Q964">
            <v>0</v>
          </cell>
          <cell r="R964">
            <v>671.12</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1401.23</v>
          </cell>
          <cell r="AO964">
            <v>0</v>
          </cell>
          <cell r="AP964">
            <v>0</v>
          </cell>
          <cell r="AQ964">
            <v>849.23</v>
          </cell>
          <cell r="AR964">
            <v>0</v>
          </cell>
          <cell r="AS964">
            <v>0</v>
          </cell>
          <cell r="AT964">
            <v>0</v>
          </cell>
          <cell r="AU964">
            <v>0</v>
          </cell>
        </row>
        <row r="965">
          <cell r="A965" t="str">
            <v>000A1651</v>
          </cell>
          <cell r="B965" t="str">
            <v>CHEDMAIL</v>
          </cell>
          <cell r="C965" t="str">
            <v>CLAUDE</v>
          </cell>
          <cell r="D965" t="str">
            <v>TOULOUSE</v>
          </cell>
          <cell r="E965">
            <v>3</v>
          </cell>
          <cell r="F965" t="str">
            <v>NUMERICABLE</v>
          </cell>
          <cell r="G965" t="str">
            <v>TRAVAUX</v>
          </cell>
          <cell r="I965" t="str">
            <v>SUOU300001</v>
          </cell>
          <cell r="J965">
            <v>100</v>
          </cell>
          <cell r="K965">
            <v>38777</v>
          </cell>
          <cell r="L965" t="str">
            <v>SUPERVISEUR TRAVAUX</v>
          </cell>
          <cell r="M965" t="str">
            <v>478D</v>
          </cell>
          <cell r="N965" t="str">
            <v>D</v>
          </cell>
          <cell r="O965" t="str">
            <v>CDI</v>
          </cell>
          <cell r="P965">
            <v>166.83</v>
          </cell>
          <cell r="Q965">
            <v>0</v>
          </cell>
          <cell r="R965">
            <v>1544.84</v>
          </cell>
          <cell r="S965">
            <v>0</v>
          </cell>
          <cell r="T965">
            <v>141.37</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514.14</v>
          </cell>
          <cell r="AO965">
            <v>0</v>
          </cell>
          <cell r="AP965">
            <v>0</v>
          </cell>
          <cell r="AQ965">
            <v>2500</v>
          </cell>
          <cell r="AR965">
            <v>0</v>
          </cell>
          <cell r="AS965">
            <v>0</v>
          </cell>
          <cell r="AT965">
            <v>0</v>
          </cell>
          <cell r="AU965">
            <v>0</v>
          </cell>
        </row>
        <row r="966">
          <cell r="A966">
            <v>1377</v>
          </cell>
          <cell r="B966" t="str">
            <v>JARDIN</v>
          </cell>
          <cell r="C966" t="str">
            <v>ELODIE</v>
          </cell>
          <cell r="D966" t="str">
            <v>RENNES</v>
          </cell>
          <cell r="E966">
            <v>1</v>
          </cell>
          <cell r="F966" t="str">
            <v>NUMERICABLE</v>
          </cell>
          <cell r="G966" t="str">
            <v>BOUTIQUE</v>
          </cell>
          <cell r="H966" t="str">
            <v>GOUESNARD</v>
          </cell>
          <cell r="I966" t="str">
            <v>OUES507001</v>
          </cell>
          <cell r="J966">
            <v>100</v>
          </cell>
          <cell r="K966">
            <v>38687</v>
          </cell>
          <cell r="L966" t="str">
            <v>CONSEILLER CLIENTELE BOUTIQUE</v>
          </cell>
          <cell r="M966" t="str">
            <v>463E</v>
          </cell>
          <cell r="N966" t="str">
            <v>C</v>
          </cell>
          <cell r="O966" t="str">
            <v>CDI</v>
          </cell>
          <cell r="P966">
            <v>151.57</v>
          </cell>
          <cell r="Q966">
            <v>1485</v>
          </cell>
          <cell r="R966">
            <v>706.27</v>
          </cell>
          <cell r="S966">
            <v>0</v>
          </cell>
          <cell r="T966">
            <v>163.62</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164.87</v>
          </cell>
          <cell r="AO966">
            <v>0</v>
          </cell>
          <cell r="AP966">
            <v>0</v>
          </cell>
          <cell r="AQ966">
            <v>1485</v>
          </cell>
          <cell r="AR966">
            <v>0</v>
          </cell>
          <cell r="AS966">
            <v>0</v>
          </cell>
          <cell r="AT966">
            <v>0</v>
          </cell>
          <cell r="AU966">
            <v>0</v>
          </cell>
        </row>
        <row r="967">
          <cell r="A967" t="str">
            <v>000A1538</v>
          </cell>
          <cell r="B967" t="str">
            <v>SCHONNE</v>
          </cell>
          <cell r="C967" t="str">
            <v>MARC</v>
          </cell>
          <cell r="D967" t="str">
            <v>METZ</v>
          </cell>
          <cell r="E967">
            <v>19</v>
          </cell>
          <cell r="F967" t="str">
            <v>NUMERICABLE  (TCC)</v>
          </cell>
          <cell r="G967" t="str">
            <v>MAINTENANCE RESEAU</v>
          </cell>
          <cell r="H967" t="str">
            <v>SCHWEITZER</v>
          </cell>
          <cell r="I967" t="str">
            <v>ESTR300001</v>
          </cell>
          <cell r="J967">
            <v>100</v>
          </cell>
          <cell r="K967">
            <v>38626</v>
          </cell>
          <cell r="L967" t="str">
            <v>ADJOINT RESP MAINTENANCE</v>
          </cell>
          <cell r="M967" t="str">
            <v>CADRE</v>
          </cell>
          <cell r="N967" t="str">
            <v>1B</v>
          </cell>
          <cell r="O967" t="str">
            <v>CDI</v>
          </cell>
          <cell r="P967">
            <v>151.57</v>
          </cell>
          <cell r="Q967">
            <v>3050</v>
          </cell>
          <cell r="R967">
            <v>2000.62</v>
          </cell>
          <cell r="S967">
            <v>0</v>
          </cell>
          <cell r="T967">
            <v>0</v>
          </cell>
          <cell r="U967">
            <v>0</v>
          </cell>
          <cell r="V967">
            <v>0</v>
          </cell>
          <cell r="W967">
            <v>0</v>
          </cell>
          <cell r="X967">
            <v>0</v>
          </cell>
          <cell r="Y967">
            <v>0</v>
          </cell>
          <cell r="Z967">
            <v>0</v>
          </cell>
          <cell r="AA967">
            <v>0</v>
          </cell>
          <cell r="AB967">
            <v>0</v>
          </cell>
          <cell r="AC967">
            <v>0</v>
          </cell>
          <cell r="AD967">
            <v>825</v>
          </cell>
          <cell r="AE967">
            <v>0</v>
          </cell>
          <cell r="AF967">
            <v>0</v>
          </cell>
          <cell r="AG967">
            <v>0</v>
          </cell>
          <cell r="AH967">
            <v>0</v>
          </cell>
          <cell r="AI967">
            <v>0</v>
          </cell>
          <cell r="AJ967">
            <v>0</v>
          </cell>
          <cell r="AK967">
            <v>1147.5</v>
          </cell>
          <cell r="AL967">
            <v>285</v>
          </cell>
          <cell r="AM967">
            <v>0</v>
          </cell>
          <cell r="AN967">
            <v>292.75</v>
          </cell>
          <cell r="AO967">
            <v>0</v>
          </cell>
          <cell r="AP967">
            <v>0</v>
          </cell>
          <cell r="AQ967">
            <v>2627.76</v>
          </cell>
          <cell r="AR967">
            <v>1110</v>
          </cell>
          <cell r="AS967">
            <v>1147.5</v>
          </cell>
          <cell r="AT967">
            <v>0</v>
          </cell>
          <cell r="AU967">
            <v>0</v>
          </cell>
        </row>
        <row r="968">
          <cell r="A968" t="str">
            <v>000A1697</v>
          </cell>
          <cell r="B968" t="str">
            <v>LEGENDART</v>
          </cell>
          <cell r="C968" t="str">
            <v>WILLIAM</v>
          </cell>
          <cell r="D968" t="str">
            <v>ANGERS</v>
          </cell>
          <cell r="E968">
            <v>3</v>
          </cell>
          <cell r="F968" t="str">
            <v>NUMERICABLE</v>
          </cell>
          <cell r="G968" t="str">
            <v>RACCORDEMENT IMMOB.</v>
          </cell>
          <cell r="H968" t="str">
            <v>DUCEPT</v>
          </cell>
          <cell r="I968" t="str">
            <v>OUES302001</v>
          </cell>
          <cell r="J968">
            <v>100</v>
          </cell>
          <cell r="K968">
            <v>38825</v>
          </cell>
          <cell r="L968" t="str">
            <v>SUPERV. RACC-SAV</v>
          </cell>
          <cell r="M968" t="str">
            <v>633B</v>
          </cell>
          <cell r="N968" t="str">
            <v>D</v>
          </cell>
          <cell r="O968" t="str">
            <v>CDI</v>
          </cell>
          <cell r="P968">
            <v>166.83</v>
          </cell>
          <cell r="Q968">
            <v>0</v>
          </cell>
          <cell r="R968">
            <v>431.14</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953.34</v>
          </cell>
          <cell r="AR968">
            <v>0</v>
          </cell>
          <cell r="AS968">
            <v>0</v>
          </cell>
          <cell r="AT968">
            <v>0</v>
          </cell>
          <cell r="AU968">
            <v>0</v>
          </cell>
        </row>
        <row r="969">
          <cell r="A969">
            <v>20001378</v>
          </cell>
          <cell r="B969" t="str">
            <v>SAUMABERE</v>
          </cell>
          <cell r="C969" t="str">
            <v>CATHERINE</v>
          </cell>
          <cell r="D969" t="str">
            <v>BORDEAUX</v>
          </cell>
          <cell r="E969">
            <v>1</v>
          </cell>
          <cell r="F969" t="str">
            <v>NUMERICABLE</v>
          </cell>
          <cell r="G969" t="str">
            <v>DIRECTION REGIONALE</v>
          </cell>
          <cell r="H969" t="str">
            <v>GALERA</v>
          </cell>
          <cell r="I969" t="str">
            <v>SUOU520001</v>
          </cell>
          <cell r="J969">
            <v>100</v>
          </cell>
          <cell r="K969">
            <v>38684</v>
          </cell>
          <cell r="L969" t="str">
            <v>ASSISTANTE</v>
          </cell>
          <cell r="M969" t="str">
            <v>542A</v>
          </cell>
          <cell r="N969" t="str">
            <v>C</v>
          </cell>
          <cell r="O969" t="str">
            <v>CDD</v>
          </cell>
          <cell r="P969">
            <v>166.83</v>
          </cell>
          <cell r="Q969">
            <v>1800</v>
          </cell>
          <cell r="R969">
            <v>584.01</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180</v>
          </cell>
          <cell r="AO969">
            <v>0</v>
          </cell>
          <cell r="AP969">
            <v>0</v>
          </cell>
          <cell r="AQ969">
            <v>1800</v>
          </cell>
          <cell r="AR969">
            <v>0</v>
          </cell>
          <cell r="AS969">
            <v>0</v>
          </cell>
          <cell r="AT969">
            <v>0</v>
          </cell>
          <cell r="AU969">
            <v>0</v>
          </cell>
        </row>
        <row r="970">
          <cell r="A970" t="str">
            <v>0000A152</v>
          </cell>
          <cell r="B970" t="str">
            <v>FLORENTIN</v>
          </cell>
          <cell r="C970" t="str">
            <v>DAVID</v>
          </cell>
          <cell r="D970" t="str">
            <v>METZ</v>
          </cell>
          <cell r="E970">
            <v>19</v>
          </cell>
          <cell r="F970" t="str">
            <v>NUMERICABLE  (TCC)</v>
          </cell>
          <cell r="G970" t="str">
            <v>TECHNIQUE</v>
          </cell>
          <cell r="I970" t="str">
            <v>FTCN905001</v>
          </cell>
          <cell r="J970">
            <v>100</v>
          </cell>
          <cell r="K970">
            <v>38626</v>
          </cell>
          <cell r="L970" t="str">
            <v>SUPERVISEUR CLT NIV 2</v>
          </cell>
          <cell r="M970" t="str">
            <v>CADRE</v>
          </cell>
          <cell r="N970" t="str">
            <v>DB</v>
          </cell>
          <cell r="O970" t="str">
            <v>CDI</v>
          </cell>
          <cell r="P970">
            <v>151.57</v>
          </cell>
          <cell r="Q970">
            <v>2510</v>
          </cell>
          <cell r="R970">
            <v>568.02</v>
          </cell>
          <cell r="S970">
            <v>0</v>
          </cell>
          <cell r="T970">
            <v>0</v>
          </cell>
          <cell r="U970">
            <v>0</v>
          </cell>
          <cell r="V970">
            <v>0</v>
          </cell>
          <cell r="W970">
            <v>0</v>
          </cell>
          <cell r="X970">
            <v>0</v>
          </cell>
          <cell r="Y970">
            <v>0</v>
          </cell>
          <cell r="Z970">
            <v>0</v>
          </cell>
          <cell r="AA970">
            <v>0</v>
          </cell>
          <cell r="AB970">
            <v>0</v>
          </cell>
          <cell r="AC970">
            <v>0</v>
          </cell>
          <cell r="AD970">
            <v>617.5</v>
          </cell>
          <cell r="AE970">
            <v>0</v>
          </cell>
          <cell r="AF970">
            <v>0</v>
          </cell>
          <cell r="AG970">
            <v>0</v>
          </cell>
          <cell r="AH970">
            <v>0</v>
          </cell>
          <cell r="AI970">
            <v>0</v>
          </cell>
          <cell r="AJ970">
            <v>0</v>
          </cell>
          <cell r="AK970">
            <v>0</v>
          </cell>
          <cell r="AL970">
            <v>0</v>
          </cell>
          <cell r="AM970">
            <v>-54.33</v>
          </cell>
          <cell r="AN970">
            <v>0</v>
          </cell>
          <cell r="AO970">
            <v>-54.33</v>
          </cell>
          <cell r="AP970">
            <v>0</v>
          </cell>
          <cell r="AQ970">
            <v>2510</v>
          </cell>
          <cell r="AR970">
            <v>617.5</v>
          </cell>
          <cell r="AS970">
            <v>0</v>
          </cell>
          <cell r="AT970">
            <v>0</v>
          </cell>
          <cell r="AU970">
            <v>0</v>
          </cell>
        </row>
        <row r="971">
          <cell r="A971" t="str">
            <v>000A1512</v>
          </cell>
          <cell r="B971" t="str">
            <v>BREARD</v>
          </cell>
          <cell r="C971" t="str">
            <v>STEPHANE</v>
          </cell>
          <cell r="D971" t="str">
            <v>GRENOBLE</v>
          </cell>
          <cell r="E971">
            <v>19</v>
          </cell>
          <cell r="F971" t="str">
            <v>NUMERICABLE  (TCC)</v>
          </cell>
          <cell r="G971" t="str">
            <v>TRAVAUX</v>
          </cell>
          <cell r="H971" t="str">
            <v>MISSIAEN</v>
          </cell>
          <cell r="I971" t="str">
            <v>RHON300001</v>
          </cell>
          <cell r="J971">
            <v>100</v>
          </cell>
          <cell r="K971">
            <v>38626</v>
          </cell>
          <cell r="L971" t="str">
            <v>SUPERVISEUR TRAVAUX</v>
          </cell>
          <cell r="M971" t="str">
            <v>TSM</v>
          </cell>
          <cell r="N971" t="str">
            <v>D</v>
          </cell>
          <cell r="O971" t="str">
            <v>CDI</v>
          </cell>
          <cell r="P971">
            <v>151.57</v>
          </cell>
          <cell r="Q971">
            <v>2765</v>
          </cell>
          <cell r="R971">
            <v>1621.35</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265.39999999999998</v>
          </cell>
          <cell r="AO971">
            <v>0</v>
          </cell>
          <cell r="AP971">
            <v>0</v>
          </cell>
          <cell r="AQ971">
            <v>2968</v>
          </cell>
          <cell r="AR971">
            <v>0</v>
          </cell>
          <cell r="AS971">
            <v>0</v>
          </cell>
          <cell r="AT971">
            <v>0</v>
          </cell>
          <cell r="AU971">
            <v>0</v>
          </cell>
        </row>
        <row r="972">
          <cell r="A972">
            <v>512</v>
          </cell>
          <cell r="B972" t="str">
            <v>HAIOUN</v>
          </cell>
          <cell r="C972" t="str">
            <v>BRUNO</v>
          </cell>
          <cell r="D972" t="str">
            <v>MARSEILLE</v>
          </cell>
          <cell r="E972">
            <v>1</v>
          </cell>
          <cell r="F972" t="str">
            <v>NUMERICABLE</v>
          </cell>
          <cell r="G972" t="str">
            <v>VAD ANIMATEURS</v>
          </cell>
          <cell r="H972" t="str">
            <v>VIVIN</v>
          </cell>
          <cell r="I972" t="str">
            <v>SUES500001</v>
          </cell>
          <cell r="J972">
            <v>100</v>
          </cell>
          <cell r="K972">
            <v>36703</v>
          </cell>
          <cell r="L972" t="str">
            <v>ANIMATEUR COM.</v>
          </cell>
          <cell r="M972" t="str">
            <v>CADRE</v>
          </cell>
          <cell r="N972" t="str">
            <v>DB</v>
          </cell>
          <cell r="O972" t="str">
            <v>CDI</v>
          </cell>
          <cell r="P972">
            <v>166.83</v>
          </cell>
          <cell r="Q972">
            <v>1800</v>
          </cell>
          <cell r="R972">
            <v>2391.17</v>
          </cell>
          <cell r="S972">
            <v>0</v>
          </cell>
          <cell r="T972">
            <v>1700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386.79</v>
          </cell>
          <cell r="AO972">
            <v>0</v>
          </cell>
          <cell r="AP972">
            <v>0</v>
          </cell>
          <cell r="AQ972">
            <v>2167.85</v>
          </cell>
          <cell r="AR972">
            <v>0</v>
          </cell>
          <cell r="AS972">
            <v>901.92</v>
          </cell>
          <cell r="AT972">
            <v>0</v>
          </cell>
          <cell r="AU972">
            <v>0</v>
          </cell>
        </row>
        <row r="973">
          <cell r="A973">
            <v>40124</v>
          </cell>
          <cell r="B973" t="str">
            <v>BOUTEILLER</v>
          </cell>
          <cell r="C973" t="str">
            <v>CHRISTOPHE</v>
          </cell>
          <cell r="D973" t="str">
            <v>ROUEN</v>
          </cell>
          <cell r="E973">
            <v>1</v>
          </cell>
          <cell r="F973" t="str">
            <v>NUMERICABLE</v>
          </cell>
          <cell r="G973" t="str">
            <v>RACCORDEMENT IMMOB.</v>
          </cell>
          <cell r="H973" t="str">
            <v>DUCEPT</v>
          </cell>
          <cell r="I973" t="str">
            <v>OUES302001</v>
          </cell>
          <cell r="J973">
            <v>100</v>
          </cell>
          <cell r="K973">
            <v>34001</v>
          </cell>
          <cell r="L973" t="str">
            <v>SUPERV. RACC-SAV</v>
          </cell>
          <cell r="M973" t="str">
            <v>633B</v>
          </cell>
          <cell r="N973" t="str">
            <v>D</v>
          </cell>
          <cell r="O973" t="str">
            <v>CDI</v>
          </cell>
          <cell r="P973">
            <v>166.83</v>
          </cell>
          <cell r="Q973">
            <v>1929</v>
          </cell>
          <cell r="R973">
            <v>1353.59</v>
          </cell>
          <cell r="S973">
            <v>0</v>
          </cell>
          <cell r="T973">
            <v>422.94</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247.89</v>
          </cell>
          <cell r="AO973">
            <v>0</v>
          </cell>
          <cell r="AP973">
            <v>0</v>
          </cell>
          <cell r="AQ973">
            <v>2056</v>
          </cell>
          <cell r="AR973">
            <v>0</v>
          </cell>
          <cell r="AS973">
            <v>0</v>
          </cell>
          <cell r="AT973">
            <v>0</v>
          </cell>
          <cell r="AU973">
            <v>0</v>
          </cell>
        </row>
        <row r="974">
          <cell r="A974">
            <v>240001</v>
          </cell>
          <cell r="B974" t="str">
            <v>VANDERKELEN</v>
          </cell>
          <cell r="C974" t="str">
            <v>DANIELLE</v>
          </cell>
          <cell r="D974" t="str">
            <v>GUYANCOURT</v>
          </cell>
          <cell r="E974">
            <v>1</v>
          </cell>
          <cell r="F974" t="str">
            <v>NUMERICABLE</v>
          </cell>
          <cell r="I974" t="str">
            <v>FTCN905001</v>
          </cell>
          <cell r="J974">
            <v>100</v>
          </cell>
          <cell r="K974">
            <v>34731</v>
          </cell>
          <cell r="L974" t="str">
            <v>CORRESPONDANT RH</v>
          </cell>
          <cell r="M974" t="str">
            <v>372C</v>
          </cell>
          <cell r="N974" t="str">
            <v>E</v>
          </cell>
          <cell r="O974" t="str">
            <v>CDI</v>
          </cell>
          <cell r="P974">
            <v>151.57</v>
          </cell>
          <cell r="Q974">
            <v>2884</v>
          </cell>
          <cell r="R974">
            <v>721.88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31.23</v>
          </cell>
          <cell r="AN974">
            <v>0</v>
          </cell>
          <cell r="AO974">
            <v>0</v>
          </cell>
          <cell r="AP974">
            <v>0</v>
          </cell>
          <cell r="AQ974">
            <v>1280.97</v>
          </cell>
          <cell r="AR974">
            <v>0</v>
          </cell>
          <cell r="AS974">
            <v>0</v>
          </cell>
          <cell r="AT974">
            <v>0</v>
          </cell>
          <cell r="AU974">
            <v>0</v>
          </cell>
        </row>
        <row r="975">
          <cell r="A975">
            <v>502009</v>
          </cell>
          <cell r="B975" t="str">
            <v>MUDES</v>
          </cell>
          <cell r="C975" t="str">
            <v>MARTINE</v>
          </cell>
          <cell r="D975" t="str">
            <v>DUNKERQUE</v>
          </cell>
          <cell r="E975">
            <v>1</v>
          </cell>
          <cell r="F975" t="str">
            <v>NUMERICABLE</v>
          </cell>
          <cell r="G975" t="str">
            <v>BOUTIQUE</v>
          </cell>
          <cell r="H975" t="str">
            <v>FERNANDEZ M</v>
          </cell>
          <cell r="I975" t="str">
            <v>NPCA507001</v>
          </cell>
          <cell r="J975">
            <v>100</v>
          </cell>
          <cell r="K975">
            <v>35370</v>
          </cell>
          <cell r="L975" t="str">
            <v>ASSIST. SERV.CLIENTS</v>
          </cell>
          <cell r="M975" t="str">
            <v>462E</v>
          </cell>
          <cell r="N975" t="str">
            <v>C</v>
          </cell>
          <cell r="O975" t="str">
            <v>CDI</v>
          </cell>
          <cell r="P975">
            <v>166.83</v>
          </cell>
          <cell r="Q975">
            <v>1457</v>
          </cell>
          <cell r="R975">
            <v>640.72</v>
          </cell>
          <cell r="S975">
            <v>0</v>
          </cell>
          <cell r="T975">
            <v>0</v>
          </cell>
          <cell r="U975">
            <v>0</v>
          </cell>
          <cell r="V975">
            <v>0</v>
          </cell>
          <cell r="W975">
            <v>130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159.54</v>
          </cell>
          <cell r="AO975">
            <v>0</v>
          </cell>
          <cell r="AP975">
            <v>0</v>
          </cell>
          <cell r="AQ975">
            <v>1465.6</v>
          </cell>
          <cell r="AR975">
            <v>0</v>
          </cell>
          <cell r="AS975">
            <v>0</v>
          </cell>
          <cell r="AT975">
            <v>0</v>
          </cell>
          <cell r="AU975">
            <v>0</v>
          </cell>
        </row>
        <row r="976">
          <cell r="A976">
            <v>503009</v>
          </cell>
          <cell r="B976" t="str">
            <v>COUTANT</v>
          </cell>
          <cell r="C976" t="str">
            <v>BERNARD</v>
          </cell>
          <cell r="D976" t="str">
            <v>METZ</v>
          </cell>
          <cell r="E976">
            <v>1</v>
          </cell>
          <cell r="F976" t="str">
            <v>NUMERICABLE</v>
          </cell>
          <cell r="I976" t="str">
            <v>FTCN905001</v>
          </cell>
          <cell r="J976">
            <v>100</v>
          </cell>
          <cell r="K976">
            <v>35370</v>
          </cell>
          <cell r="L976" t="str">
            <v>DIRECTEUR SERVICE CLIENTS</v>
          </cell>
          <cell r="M976" t="str">
            <v>374C</v>
          </cell>
          <cell r="N976" t="str">
            <v>F</v>
          </cell>
          <cell r="O976" t="str">
            <v>CDI</v>
          </cell>
          <cell r="P976">
            <v>151.57</v>
          </cell>
          <cell r="Q976">
            <v>3615</v>
          </cell>
          <cell r="R976">
            <v>2087.0100000000002</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800.27</v>
          </cell>
          <cell r="AN976">
            <v>223.33</v>
          </cell>
          <cell r="AO976">
            <v>0</v>
          </cell>
          <cell r="AP976">
            <v>0</v>
          </cell>
          <cell r="AQ976">
            <v>4415.2700000000004</v>
          </cell>
          <cell r="AR976">
            <v>0</v>
          </cell>
          <cell r="AS976">
            <v>0</v>
          </cell>
          <cell r="AT976">
            <v>0</v>
          </cell>
          <cell r="AU976">
            <v>0</v>
          </cell>
        </row>
        <row r="977">
          <cell r="A977">
            <v>952027</v>
          </cell>
          <cell r="B977" t="str">
            <v>CASSONE</v>
          </cell>
          <cell r="C977" t="str">
            <v>GILBERT</v>
          </cell>
          <cell r="D977" t="str">
            <v>MARSEILLE</v>
          </cell>
          <cell r="E977">
            <v>1</v>
          </cell>
          <cell r="F977" t="str">
            <v>NUMERICABLE</v>
          </cell>
          <cell r="G977" t="str">
            <v>COLLECTIF</v>
          </cell>
          <cell r="I977" t="str">
            <v>FTCN905001</v>
          </cell>
          <cell r="J977">
            <v>100</v>
          </cell>
          <cell r="K977">
            <v>34747</v>
          </cell>
          <cell r="L977" t="str">
            <v>CHARGE D'AFFAIRES</v>
          </cell>
          <cell r="M977" t="str">
            <v>462E</v>
          </cell>
          <cell r="N977" t="str">
            <v>DB</v>
          </cell>
          <cell r="O977" t="str">
            <v>CDI</v>
          </cell>
          <cell r="P977">
            <v>166.83</v>
          </cell>
          <cell r="Q977">
            <v>1483</v>
          </cell>
          <cell r="R977">
            <v>-1194.27</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142.34</v>
          </cell>
          <cell r="AO977">
            <v>0</v>
          </cell>
          <cell r="AP977">
            <v>0</v>
          </cell>
          <cell r="AQ977">
            <v>-49.42</v>
          </cell>
          <cell r="AR977">
            <v>0</v>
          </cell>
          <cell r="AS977">
            <v>0</v>
          </cell>
          <cell r="AT977">
            <v>0</v>
          </cell>
          <cell r="AU977">
            <v>0</v>
          </cell>
        </row>
        <row r="978">
          <cell r="A978">
            <v>952121</v>
          </cell>
          <cell r="B978" t="str">
            <v>RAMBAUD</v>
          </cell>
          <cell r="C978" t="str">
            <v>PIERRE</v>
          </cell>
          <cell r="D978" t="str">
            <v>MARSEILLE</v>
          </cell>
          <cell r="E978">
            <v>1</v>
          </cell>
          <cell r="F978" t="str">
            <v>NUMERICABLE</v>
          </cell>
          <cell r="I978" t="str">
            <v>FTCN905001</v>
          </cell>
          <cell r="J978">
            <v>100</v>
          </cell>
          <cell r="K978">
            <v>34747</v>
          </cell>
          <cell r="L978" t="str">
            <v>CHARGE D'AFF COLLECT</v>
          </cell>
          <cell r="M978" t="str">
            <v>478D</v>
          </cell>
          <cell r="N978" t="str">
            <v>E</v>
          </cell>
          <cell r="O978" t="str">
            <v>CDI</v>
          </cell>
          <cell r="P978">
            <v>151.57</v>
          </cell>
          <cell r="Q978">
            <v>2463</v>
          </cell>
          <cell r="R978">
            <v>1462.99</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325.77</v>
          </cell>
          <cell r="AN978">
            <v>278.88</v>
          </cell>
          <cell r="AO978">
            <v>0</v>
          </cell>
          <cell r="AP978">
            <v>0</v>
          </cell>
          <cell r="AQ978">
            <v>2788.77</v>
          </cell>
          <cell r="AR978">
            <v>0</v>
          </cell>
          <cell r="AS978">
            <v>0</v>
          </cell>
          <cell r="AT978">
            <v>0</v>
          </cell>
          <cell r="AU978">
            <v>0</v>
          </cell>
        </row>
        <row r="979">
          <cell r="A979">
            <v>20000108</v>
          </cell>
          <cell r="B979" t="str">
            <v>GOMMERS</v>
          </cell>
          <cell r="C979" t="str">
            <v>CHRISTIAN</v>
          </cell>
          <cell r="D979" t="str">
            <v>VALENCE</v>
          </cell>
          <cell r="E979">
            <v>1</v>
          </cell>
          <cell r="F979" t="str">
            <v>NUMERICABLE</v>
          </cell>
          <cell r="I979" t="str">
            <v>FTCN905001</v>
          </cell>
          <cell r="J979">
            <v>100</v>
          </cell>
          <cell r="K979">
            <v>36339</v>
          </cell>
          <cell r="L979" t="str">
            <v>ATTACHE COMMERCIAL</v>
          </cell>
          <cell r="M979" t="str">
            <v>CADRE</v>
          </cell>
          <cell r="N979" t="str">
            <v>D</v>
          </cell>
          <cell r="O979" t="str">
            <v>CDI</v>
          </cell>
          <cell r="P979">
            <v>166.83</v>
          </cell>
          <cell r="Q979">
            <v>1285</v>
          </cell>
          <cell r="R979">
            <v>818.07</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591.69000000000005</v>
          </cell>
          <cell r="AN979">
            <v>115.87</v>
          </cell>
          <cell r="AO979">
            <v>0</v>
          </cell>
          <cell r="AP979">
            <v>0</v>
          </cell>
          <cell r="AQ979">
            <v>1876.69</v>
          </cell>
          <cell r="AR979">
            <v>0</v>
          </cell>
          <cell r="AS979">
            <v>0</v>
          </cell>
          <cell r="AT979">
            <v>0</v>
          </cell>
          <cell r="AU979">
            <v>0</v>
          </cell>
        </row>
        <row r="980">
          <cell r="A980" t="str">
            <v>000A1505</v>
          </cell>
          <cell r="B980" t="str">
            <v>SIX</v>
          </cell>
          <cell r="C980" t="str">
            <v>LAETITIA</v>
          </cell>
          <cell r="D980" t="str">
            <v>DUNKERQUE</v>
          </cell>
          <cell r="E980">
            <v>19</v>
          </cell>
          <cell r="F980" t="str">
            <v>NUMERICABLE  (TCC)</v>
          </cell>
          <cell r="G980" t="str">
            <v>TECHNIQUE</v>
          </cell>
          <cell r="I980" t="str">
            <v>FTCN905001</v>
          </cell>
          <cell r="J980">
            <v>100</v>
          </cell>
          <cell r="K980">
            <v>36281</v>
          </cell>
          <cell r="L980" t="str">
            <v>SECRETAIRE TECHNIQUE</v>
          </cell>
          <cell r="M980" t="str">
            <v>EMPLOYE</v>
          </cell>
          <cell r="N980" t="str">
            <v>CB</v>
          </cell>
          <cell r="O980" t="str">
            <v>CDI</v>
          </cell>
          <cell r="P980">
            <v>151.66999999999999</v>
          </cell>
          <cell r="Q980">
            <v>1430</v>
          </cell>
          <cell r="R980">
            <v>356.48</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14.59</v>
          </cell>
          <cell r="AN980">
            <v>146.69999999999999</v>
          </cell>
          <cell r="AO980">
            <v>-22.41</v>
          </cell>
          <cell r="AP980">
            <v>0</v>
          </cell>
          <cell r="AQ980">
            <v>1467</v>
          </cell>
          <cell r="AR980">
            <v>0</v>
          </cell>
          <cell r="AS980">
            <v>0</v>
          </cell>
          <cell r="AT980">
            <v>0</v>
          </cell>
          <cell r="AU980">
            <v>0</v>
          </cell>
        </row>
        <row r="981">
          <cell r="A981">
            <v>1360</v>
          </cell>
          <cell r="B981" t="str">
            <v>MESROPIAN</v>
          </cell>
          <cell r="C981" t="str">
            <v>MESROP</v>
          </cell>
          <cell r="D981" t="str">
            <v>MARSEILLE</v>
          </cell>
          <cell r="E981">
            <v>1</v>
          </cell>
          <cell r="F981" t="str">
            <v>NUMERICABLE</v>
          </cell>
          <cell r="G981" t="str">
            <v>BOUTIQUE</v>
          </cell>
          <cell r="H981" t="str">
            <v>GRAU</v>
          </cell>
          <cell r="I981" t="str">
            <v>SUES507001</v>
          </cell>
          <cell r="J981">
            <v>100</v>
          </cell>
          <cell r="K981">
            <v>38600</v>
          </cell>
          <cell r="L981" t="str">
            <v>VENDEUR POINT DE VENTE</v>
          </cell>
          <cell r="M981" t="str">
            <v>463E</v>
          </cell>
          <cell r="N981" t="str">
            <v>C</v>
          </cell>
          <cell r="O981" t="str">
            <v>CDI</v>
          </cell>
          <cell r="P981">
            <v>166.83</v>
          </cell>
          <cell r="Q981">
            <v>1450</v>
          </cell>
          <cell r="R981">
            <v>887.75</v>
          </cell>
          <cell r="S981">
            <v>0</v>
          </cell>
          <cell r="T981">
            <v>373.2</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180.79</v>
          </cell>
          <cell r="AO981">
            <v>0</v>
          </cell>
          <cell r="AP981">
            <v>0</v>
          </cell>
          <cell r="AQ981">
            <v>1450</v>
          </cell>
          <cell r="AR981">
            <v>0</v>
          </cell>
          <cell r="AS981">
            <v>0</v>
          </cell>
          <cell r="AT981">
            <v>0</v>
          </cell>
          <cell r="AU981">
            <v>0</v>
          </cell>
        </row>
        <row r="982">
          <cell r="A982" t="str">
            <v>000A1637</v>
          </cell>
          <cell r="B982" t="str">
            <v>IMISKINE</v>
          </cell>
          <cell r="C982" t="str">
            <v>TOURIA</v>
          </cell>
          <cell r="D982" t="str">
            <v>LILLE</v>
          </cell>
          <cell r="E982">
            <v>19</v>
          </cell>
          <cell r="F982" t="str">
            <v>NUMERICABLE  (TCC)</v>
          </cell>
          <cell r="H982" t="str">
            <v>DELSART</v>
          </cell>
          <cell r="I982" t="str">
            <v>NPCA507001</v>
          </cell>
          <cell r="J982">
            <v>100</v>
          </cell>
          <cell r="K982">
            <v>38782</v>
          </cell>
          <cell r="L982" t="str">
            <v>CONSEILLER CLIENTELE BOUTIQUE</v>
          </cell>
          <cell r="M982" t="str">
            <v>463E</v>
          </cell>
          <cell r="N982" t="str">
            <v>C</v>
          </cell>
          <cell r="O982" t="str">
            <v>CDD</v>
          </cell>
          <cell r="P982">
            <v>151.57</v>
          </cell>
          <cell r="Q982">
            <v>0</v>
          </cell>
          <cell r="R982">
            <v>1357.32</v>
          </cell>
          <cell r="S982">
            <v>0</v>
          </cell>
          <cell r="T982">
            <v>1103</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343.63</v>
          </cell>
          <cell r="AO982">
            <v>0</v>
          </cell>
          <cell r="AP982">
            <v>0</v>
          </cell>
          <cell r="AQ982">
            <v>1250</v>
          </cell>
          <cell r="AR982">
            <v>0</v>
          </cell>
          <cell r="AS982">
            <v>0</v>
          </cell>
          <cell r="AT982">
            <v>0</v>
          </cell>
          <cell r="AU982">
            <v>0</v>
          </cell>
        </row>
        <row r="983">
          <cell r="A983">
            <v>39</v>
          </cell>
          <cell r="B983" t="str">
            <v>DARME</v>
          </cell>
          <cell r="C983" t="str">
            <v>PATRICK</v>
          </cell>
          <cell r="D983" t="str">
            <v>BORDEAUX</v>
          </cell>
          <cell r="E983">
            <v>1</v>
          </cell>
          <cell r="F983" t="str">
            <v>NUMERICABLE</v>
          </cell>
          <cell r="G983" t="str">
            <v>COLLECTIF</v>
          </cell>
          <cell r="H983" t="str">
            <v>GALERA</v>
          </cell>
          <cell r="I983" t="str">
            <v>SUOU510001</v>
          </cell>
          <cell r="J983">
            <v>100</v>
          </cell>
          <cell r="K983">
            <v>34029</v>
          </cell>
          <cell r="L983" t="str">
            <v>RESP. SCE GRANDS CTES</v>
          </cell>
          <cell r="M983" t="str">
            <v>374C</v>
          </cell>
          <cell r="N983" t="str">
            <v>E</v>
          </cell>
          <cell r="O983" t="str">
            <v>CDI</v>
          </cell>
          <cell r="P983">
            <v>151.57</v>
          </cell>
          <cell r="Q983">
            <v>2221</v>
          </cell>
          <cell r="R983">
            <v>2229.64</v>
          </cell>
          <cell r="S983">
            <v>0</v>
          </cell>
          <cell r="T983">
            <v>1943.95</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416.48</v>
          </cell>
          <cell r="AO983">
            <v>0</v>
          </cell>
          <cell r="AP983">
            <v>0</v>
          </cell>
          <cell r="AQ983">
            <v>2221</v>
          </cell>
          <cell r="AR983">
            <v>228.67</v>
          </cell>
          <cell r="AS983">
            <v>0</v>
          </cell>
          <cell r="AT983">
            <v>0</v>
          </cell>
          <cell r="AU983">
            <v>0</v>
          </cell>
        </row>
        <row r="984">
          <cell r="A984">
            <v>281</v>
          </cell>
          <cell r="B984" t="str">
            <v>VARGIU</v>
          </cell>
          <cell r="C984" t="str">
            <v>JEAN</v>
          </cell>
          <cell r="D984" t="str">
            <v>METZ</v>
          </cell>
          <cell r="E984">
            <v>1</v>
          </cell>
          <cell r="F984" t="str">
            <v>NUMERICABLE</v>
          </cell>
          <cell r="G984" t="str">
            <v>COLLECTIF</v>
          </cell>
          <cell r="H984" t="str">
            <v>BAUER V</v>
          </cell>
          <cell r="I984" t="str">
            <v>ESTR510001</v>
          </cell>
          <cell r="J984">
            <v>100</v>
          </cell>
          <cell r="K984">
            <v>36495</v>
          </cell>
          <cell r="L984" t="str">
            <v>CONSEIL. COMMERCIAL</v>
          </cell>
          <cell r="M984" t="str">
            <v>463E</v>
          </cell>
          <cell r="N984" t="str">
            <v>D</v>
          </cell>
          <cell r="O984" t="str">
            <v>CDI</v>
          </cell>
          <cell r="P984">
            <v>166.83</v>
          </cell>
          <cell r="Q984">
            <v>950</v>
          </cell>
          <cell r="R984">
            <v>1637.76</v>
          </cell>
          <cell r="S984">
            <v>0</v>
          </cell>
          <cell r="T984">
            <v>2058.44</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298.41000000000003</v>
          </cell>
          <cell r="AO984">
            <v>0</v>
          </cell>
          <cell r="AP984">
            <v>0</v>
          </cell>
          <cell r="AQ984">
            <v>950</v>
          </cell>
          <cell r="AR984">
            <v>0</v>
          </cell>
          <cell r="AS984">
            <v>0</v>
          </cell>
          <cell r="AT984">
            <v>0</v>
          </cell>
          <cell r="AU984">
            <v>0</v>
          </cell>
        </row>
        <row r="985">
          <cell r="A985">
            <v>340</v>
          </cell>
          <cell r="B985" t="str">
            <v>VIDEAU</v>
          </cell>
          <cell r="C985" t="str">
            <v>YVETTE</v>
          </cell>
          <cell r="D985" t="str">
            <v>BORDEAUX</v>
          </cell>
          <cell r="E985">
            <v>1</v>
          </cell>
          <cell r="F985" t="str">
            <v>NUMERICABLE</v>
          </cell>
          <cell r="I985" t="str">
            <v>FTCN905001</v>
          </cell>
          <cell r="J985">
            <v>100</v>
          </cell>
          <cell r="K985">
            <v>36549</v>
          </cell>
          <cell r="L985" t="str">
            <v>ATTACHE COMMERCIAL</v>
          </cell>
          <cell r="M985" t="str">
            <v>EMPLOYE</v>
          </cell>
          <cell r="N985" t="str">
            <v>D</v>
          </cell>
          <cell r="O985" t="str">
            <v>CDI</v>
          </cell>
          <cell r="P985">
            <v>166.83</v>
          </cell>
          <cell r="Q985">
            <v>12465.54</v>
          </cell>
          <cell r="R985">
            <v>-1426.2</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1853.63</v>
          </cell>
          <cell r="AN985">
            <v>14.64</v>
          </cell>
          <cell r="AO985">
            <v>1853.63</v>
          </cell>
          <cell r="AP985">
            <v>0</v>
          </cell>
          <cell r="AQ985">
            <v>146.37</v>
          </cell>
          <cell r="AR985">
            <v>0</v>
          </cell>
          <cell r="AS985">
            <v>0</v>
          </cell>
          <cell r="AT985">
            <v>0</v>
          </cell>
          <cell r="AU985">
            <v>0</v>
          </cell>
        </row>
        <row r="986">
          <cell r="A986">
            <v>546</v>
          </cell>
          <cell r="B986" t="str">
            <v>DOLBEAU</v>
          </cell>
          <cell r="C986" t="str">
            <v>CYRILLE</v>
          </cell>
          <cell r="D986" t="str">
            <v>ANGERS</v>
          </cell>
          <cell r="E986">
            <v>1</v>
          </cell>
          <cell r="F986" t="str">
            <v>NUMERICABLE</v>
          </cell>
          <cell r="I986" t="str">
            <v>FTCN905001</v>
          </cell>
          <cell r="J986">
            <v>100</v>
          </cell>
          <cell r="K986">
            <v>36760</v>
          </cell>
          <cell r="L986" t="str">
            <v>ATTACHE COMMERCIAL</v>
          </cell>
          <cell r="M986" t="str">
            <v>EMPLOYE</v>
          </cell>
          <cell r="N986" t="str">
            <v>D</v>
          </cell>
          <cell r="O986" t="str">
            <v>CDI</v>
          </cell>
          <cell r="P986">
            <v>166.83</v>
          </cell>
          <cell r="Q986">
            <v>1285</v>
          </cell>
          <cell r="R986">
            <v>1924.58</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4109.18</v>
          </cell>
          <cell r="AN986">
            <v>128.49</v>
          </cell>
          <cell r="AO986">
            <v>4109.18</v>
          </cell>
          <cell r="AP986">
            <v>0</v>
          </cell>
          <cell r="AQ986">
            <v>1285</v>
          </cell>
          <cell r="AR986">
            <v>0</v>
          </cell>
          <cell r="AS986">
            <v>0</v>
          </cell>
          <cell r="AT986">
            <v>0</v>
          </cell>
          <cell r="AU986">
            <v>0</v>
          </cell>
        </row>
        <row r="987">
          <cell r="A987">
            <v>1081</v>
          </cell>
          <cell r="B987" t="str">
            <v>RADUREAU</v>
          </cell>
          <cell r="C987" t="str">
            <v>REGIS</v>
          </cell>
          <cell r="D987" t="str">
            <v>TOURS</v>
          </cell>
          <cell r="E987">
            <v>1</v>
          </cell>
          <cell r="F987" t="str">
            <v>NUMERICABLE</v>
          </cell>
          <cell r="J987">
            <v>0</v>
          </cell>
          <cell r="K987">
            <v>37557</v>
          </cell>
          <cell r="L987" t="str">
            <v>ATTACHE COMMERCIAL</v>
          </cell>
          <cell r="M987" t="str">
            <v>CADRE</v>
          </cell>
          <cell r="N987" t="str">
            <v>D</v>
          </cell>
          <cell r="O987" t="str">
            <v>CDI</v>
          </cell>
          <cell r="P987">
            <v>166.83</v>
          </cell>
          <cell r="Q987">
            <v>1100</v>
          </cell>
          <cell r="R987">
            <v>2343.1999999999998</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10210</v>
          </cell>
          <cell r="AT987">
            <v>0</v>
          </cell>
          <cell r="AU987">
            <v>0</v>
          </cell>
        </row>
        <row r="988">
          <cell r="A988">
            <v>40104</v>
          </cell>
          <cell r="B988" t="str">
            <v>DEMARD</v>
          </cell>
          <cell r="C988" t="str">
            <v>DOMINIQUE</v>
          </cell>
          <cell r="D988" t="str">
            <v>ROUEN</v>
          </cell>
          <cell r="E988">
            <v>1</v>
          </cell>
          <cell r="F988" t="str">
            <v>NUMERICABLE</v>
          </cell>
          <cell r="G988" t="str">
            <v>TRAVAUX</v>
          </cell>
          <cell r="H988" t="str">
            <v>DURAND JP</v>
          </cell>
          <cell r="I988" t="str">
            <v>OUES300001</v>
          </cell>
          <cell r="J988">
            <v>100</v>
          </cell>
          <cell r="K988">
            <v>33970</v>
          </cell>
          <cell r="L988" t="str">
            <v>RESP. EXPLOITATION</v>
          </cell>
          <cell r="M988" t="str">
            <v>388A</v>
          </cell>
          <cell r="N988" t="str">
            <v>E</v>
          </cell>
          <cell r="O988" t="str">
            <v>CDI</v>
          </cell>
          <cell r="P988">
            <v>151.57</v>
          </cell>
          <cell r="Q988">
            <v>3000</v>
          </cell>
          <cell r="R988">
            <v>1654.61</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300</v>
          </cell>
          <cell r="AO988">
            <v>0</v>
          </cell>
          <cell r="AP988">
            <v>0</v>
          </cell>
          <cell r="AQ988">
            <v>3000</v>
          </cell>
          <cell r="AR988">
            <v>0</v>
          </cell>
          <cell r="AS988">
            <v>0</v>
          </cell>
          <cell r="AT988">
            <v>0</v>
          </cell>
          <cell r="AU988">
            <v>0</v>
          </cell>
        </row>
        <row r="989">
          <cell r="A989">
            <v>40164</v>
          </cell>
          <cell r="B989" t="str">
            <v>ESTERMANN</v>
          </cell>
          <cell r="C989" t="str">
            <v>STEPHAN</v>
          </cell>
          <cell r="D989" t="str">
            <v>ROUEN</v>
          </cell>
          <cell r="E989">
            <v>1</v>
          </cell>
          <cell r="F989" t="str">
            <v>NUMERICABLE</v>
          </cell>
          <cell r="G989" t="str">
            <v>RACCORDEMENT IMMOB.</v>
          </cell>
          <cell r="H989" t="str">
            <v>DUCEPT</v>
          </cell>
          <cell r="I989" t="str">
            <v>OUES302001</v>
          </cell>
          <cell r="J989">
            <v>100</v>
          </cell>
          <cell r="K989">
            <v>35499</v>
          </cell>
          <cell r="L989" t="str">
            <v>EXPERT TECHNIQUE TDR ET RESEAUX</v>
          </cell>
          <cell r="M989" t="str">
            <v>478D</v>
          </cell>
          <cell r="N989" t="str">
            <v>DB</v>
          </cell>
          <cell r="O989" t="str">
            <v>CDI</v>
          </cell>
          <cell r="P989">
            <v>166.83</v>
          </cell>
          <cell r="Q989">
            <v>2122</v>
          </cell>
          <cell r="R989">
            <v>1544.35</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332.28</v>
          </cell>
          <cell r="AL989">
            <v>0</v>
          </cell>
          <cell r="AM989">
            <v>0</v>
          </cell>
          <cell r="AN989">
            <v>306.98</v>
          </cell>
          <cell r="AO989">
            <v>0</v>
          </cell>
          <cell r="AP989">
            <v>0</v>
          </cell>
          <cell r="AQ989">
            <v>2384.63</v>
          </cell>
          <cell r="AR989">
            <v>0</v>
          </cell>
          <cell r="AS989">
            <v>332.28</v>
          </cell>
          <cell r="AT989">
            <v>0</v>
          </cell>
          <cell r="AU989">
            <v>0</v>
          </cell>
        </row>
        <row r="990">
          <cell r="A990">
            <v>301013</v>
          </cell>
          <cell r="B990" t="str">
            <v>FREBOURG</v>
          </cell>
          <cell r="C990" t="str">
            <v>VALERIE</v>
          </cell>
          <cell r="D990" t="str">
            <v>LA MADELEINE</v>
          </cell>
          <cell r="E990">
            <v>1</v>
          </cell>
          <cell r="F990" t="str">
            <v>NUMERICABLE</v>
          </cell>
          <cell r="I990" t="str">
            <v>FTCN905001</v>
          </cell>
          <cell r="J990">
            <v>100</v>
          </cell>
          <cell r="K990">
            <v>33970</v>
          </cell>
          <cell r="L990" t="str">
            <v>ASSIST. FACTURATION</v>
          </cell>
          <cell r="M990" t="str">
            <v>462E</v>
          </cell>
          <cell r="N990" t="str">
            <v>C</v>
          </cell>
          <cell r="O990" t="str">
            <v>CDI</v>
          </cell>
          <cell r="P990">
            <v>166.83</v>
          </cell>
          <cell r="Q990">
            <v>0</v>
          </cell>
          <cell r="R990">
            <v>490.01</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152</v>
          </cell>
          <cell r="AO990">
            <v>0</v>
          </cell>
          <cell r="AP990">
            <v>0</v>
          </cell>
          <cell r="AQ990">
            <v>1520</v>
          </cell>
          <cell r="AR990">
            <v>0</v>
          </cell>
          <cell r="AS990">
            <v>0</v>
          </cell>
          <cell r="AT990">
            <v>0</v>
          </cell>
          <cell r="AU990">
            <v>0</v>
          </cell>
        </row>
        <row r="991">
          <cell r="A991">
            <v>451157</v>
          </cell>
          <cell r="B991" t="str">
            <v>CHANTREUIL</v>
          </cell>
          <cell r="C991" t="str">
            <v>LAURENCE</v>
          </cell>
          <cell r="D991" t="str">
            <v>RENNES</v>
          </cell>
          <cell r="E991">
            <v>1</v>
          </cell>
          <cell r="F991" t="str">
            <v>NUMERICABLE</v>
          </cell>
          <cell r="G991" t="str">
            <v>BOUTIQUE</v>
          </cell>
          <cell r="H991" t="str">
            <v>GOUESNARD</v>
          </cell>
          <cell r="I991" t="str">
            <v>OUES507001</v>
          </cell>
          <cell r="J991">
            <v>100</v>
          </cell>
          <cell r="K991">
            <v>34834</v>
          </cell>
          <cell r="L991" t="str">
            <v>VENDEUR POINT DE VENTE</v>
          </cell>
          <cell r="M991" t="str">
            <v>463E</v>
          </cell>
          <cell r="N991" t="str">
            <v>C</v>
          </cell>
          <cell r="O991" t="str">
            <v>CDI</v>
          </cell>
          <cell r="P991">
            <v>166.83</v>
          </cell>
          <cell r="Q991">
            <v>1610</v>
          </cell>
          <cell r="R991">
            <v>781.6</v>
          </cell>
          <cell r="S991">
            <v>0</v>
          </cell>
          <cell r="T991">
            <v>235.2</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184.53</v>
          </cell>
          <cell r="AO991">
            <v>0</v>
          </cell>
          <cell r="AP991">
            <v>0</v>
          </cell>
          <cell r="AQ991">
            <v>1610</v>
          </cell>
          <cell r="AR991">
            <v>0</v>
          </cell>
          <cell r="AS991">
            <v>0</v>
          </cell>
          <cell r="AT991">
            <v>0</v>
          </cell>
          <cell r="AU991">
            <v>0</v>
          </cell>
        </row>
        <row r="992">
          <cell r="A992">
            <v>452020</v>
          </cell>
          <cell r="B992" t="str">
            <v>KERARON</v>
          </cell>
          <cell r="C992" t="str">
            <v>FREDERIQUE</v>
          </cell>
          <cell r="D992" t="str">
            <v>ANGERS</v>
          </cell>
          <cell r="E992">
            <v>1</v>
          </cell>
          <cell r="F992" t="str">
            <v>NUMERICABLE</v>
          </cell>
          <cell r="I992" t="str">
            <v>FTCN905001</v>
          </cell>
          <cell r="J992">
            <v>100</v>
          </cell>
          <cell r="K992">
            <v>34700</v>
          </cell>
          <cell r="L992" t="str">
            <v>RESPONS. COMMUNICATION INTRANET</v>
          </cell>
          <cell r="M992" t="str">
            <v>375B</v>
          </cell>
          <cell r="N992" t="str">
            <v>E</v>
          </cell>
          <cell r="O992" t="str">
            <v>CDI</v>
          </cell>
          <cell r="P992">
            <v>151.57</v>
          </cell>
          <cell r="Q992">
            <v>3011.33</v>
          </cell>
          <cell r="R992">
            <v>473.08</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-294.05</v>
          </cell>
          <cell r="AN992">
            <v>301.13</v>
          </cell>
          <cell r="AO992">
            <v>-294.05</v>
          </cell>
          <cell r="AP992">
            <v>0</v>
          </cell>
          <cell r="AQ992">
            <v>3011.33</v>
          </cell>
          <cell r="AR992">
            <v>0</v>
          </cell>
          <cell r="AS992">
            <v>0</v>
          </cell>
          <cell r="AT992">
            <v>0</v>
          </cell>
          <cell r="AU992">
            <v>0</v>
          </cell>
        </row>
        <row r="993">
          <cell r="A993">
            <v>501030</v>
          </cell>
          <cell r="B993" t="str">
            <v>BLOT</v>
          </cell>
          <cell r="C993" t="str">
            <v>RENE</v>
          </cell>
          <cell r="D993" t="str">
            <v>METZ</v>
          </cell>
          <cell r="E993">
            <v>1</v>
          </cell>
          <cell r="F993" t="str">
            <v>NUMERICABLE</v>
          </cell>
          <cell r="I993" t="str">
            <v>FTCN905001</v>
          </cell>
          <cell r="J993">
            <v>100</v>
          </cell>
          <cell r="K993">
            <v>35493</v>
          </cell>
          <cell r="L993" t="str">
            <v>RESP. COMMERCIAL</v>
          </cell>
          <cell r="M993" t="str">
            <v>374C</v>
          </cell>
          <cell r="N993" t="str">
            <v>E</v>
          </cell>
          <cell r="O993" t="str">
            <v>CDI</v>
          </cell>
          <cell r="P993">
            <v>151.57</v>
          </cell>
          <cell r="Q993">
            <v>1932</v>
          </cell>
          <cell r="R993">
            <v>1725.17</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1677.39</v>
          </cell>
          <cell r="AN993">
            <v>0</v>
          </cell>
          <cell r="AO993">
            <v>0</v>
          </cell>
          <cell r="AP993">
            <v>0</v>
          </cell>
          <cell r="AQ993">
            <v>3609.39</v>
          </cell>
          <cell r="AR993">
            <v>0</v>
          </cell>
          <cell r="AS993">
            <v>0</v>
          </cell>
          <cell r="AT993">
            <v>0</v>
          </cell>
          <cell r="AU993">
            <v>0</v>
          </cell>
        </row>
        <row r="994">
          <cell r="A994">
            <v>501056</v>
          </cell>
          <cell r="B994" t="str">
            <v>MOREL</v>
          </cell>
          <cell r="C994" t="str">
            <v>PHILIPPE</v>
          </cell>
          <cell r="D994" t="str">
            <v>METZ</v>
          </cell>
          <cell r="E994">
            <v>1</v>
          </cell>
          <cell r="F994" t="str">
            <v>NUMERICABLE</v>
          </cell>
          <cell r="I994" t="str">
            <v>FTCN905001</v>
          </cell>
          <cell r="J994">
            <v>100</v>
          </cell>
          <cell r="K994">
            <v>36087</v>
          </cell>
          <cell r="L994" t="str">
            <v>ATTACHE COMMERCIAL</v>
          </cell>
          <cell r="M994" t="str">
            <v>CADRE</v>
          </cell>
          <cell r="N994" t="str">
            <v>D</v>
          </cell>
          <cell r="O994" t="str">
            <v>CDI</v>
          </cell>
          <cell r="P994">
            <v>166.83</v>
          </cell>
          <cell r="Q994">
            <v>1285</v>
          </cell>
          <cell r="R994">
            <v>-465.91</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306.83999999999997</v>
          </cell>
          <cell r="AN994">
            <v>128.51</v>
          </cell>
          <cell r="AO994">
            <v>306.83999999999997</v>
          </cell>
          <cell r="AP994">
            <v>0</v>
          </cell>
          <cell r="AQ994">
            <v>1285</v>
          </cell>
          <cell r="AR994">
            <v>0</v>
          </cell>
          <cell r="AS994">
            <v>0</v>
          </cell>
          <cell r="AT994">
            <v>0</v>
          </cell>
          <cell r="AU994">
            <v>0</v>
          </cell>
        </row>
        <row r="995">
          <cell r="A995">
            <v>503035</v>
          </cell>
          <cell r="B995" t="str">
            <v>WATRIN</v>
          </cell>
          <cell r="C995" t="str">
            <v>PATRICIA</v>
          </cell>
          <cell r="D995" t="str">
            <v>METZ</v>
          </cell>
          <cell r="E995">
            <v>1</v>
          </cell>
          <cell r="F995" t="str">
            <v>NUMERICABLE</v>
          </cell>
          <cell r="G995" t="str">
            <v>DIRECTION REGIONALE</v>
          </cell>
          <cell r="I995" t="str">
            <v>FTCN905001</v>
          </cell>
          <cell r="J995">
            <v>100</v>
          </cell>
          <cell r="K995">
            <v>35370</v>
          </cell>
          <cell r="L995" t="str">
            <v>CONTROLEUR GESTION</v>
          </cell>
          <cell r="M995" t="str">
            <v>373C</v>
          </cell>
          <cell r="N995" t="str">
            <v>E</v>
          </cell>
          <cell r="O995" t="str">
            <v>CDI</v>
          </cell>
          <cell r="P995">
            <v>151.57</v>
          </cell>
          <cell r="Q995">
            <v>3705.15</v>
          </cell>
          <cell r="R995">
            <v>2170.9899999999998</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660.55</v>
          </cell>
          <cell r="AN995">
            <v>355.64</v>
          </cell>
          <cell r="AO995">
            <v>0</v>
          </cell>
          <cell r="AP995">
            <v>0</v>
          </cell>
          <cell r="AQ995">
            <v>4365.7</v>
          </cell>
          <cell r="AR995">
            <v>0</v>
          </cell>
          <cell r="AS995">
            <v>0</v>
          </cell>
          <cell r="AT995">
            <v>0</v>
          </cell>
          <cell r="AU995">
            <v>0</v>
          </cell>
        </row>
        <row r="996">
          <cell r="A996" t="str">
            <v>000A1519</v>
          </cell>
          <cell r="B996" t="str">
            <v>DOJLICKI</v>
          </cell>
          <cell r="C996" t="str">
            <v>GEORGES</v>
          </cell>
          <cell r="D996" t="str">
            <v>METZ</v>
          </cell>
          <cell r="E996">
            <v>19</v>
          </cell>
          <cell r="F996" t="str">
            <v>NUMERICABLE  (TCC)</v>
          </cell>
          <cell r="G996" t="str">
            <v>DIRECTION GENERALE</v>
          </cell>
          <cell r="H996" t="str">
            <v>SOTHER</v>
          </cell>
          <cell r="I996" t="str">
            <v>GENE700001</v>
          </cell>
          <cell r="J996">
            <v>100</v>
          </cell>
          <cell r="K996">
            <v>31656</v>
          </cell>
          <cell r="L996" t="str">
            <v>DIRECTEUR</v>
          </cell>
          <cell r="M996" t="str">
            <v>CADRE</v>
          </cell>
          <cell r="N996" t="str">
            <v>F</v>
          </cell>
          <cell r="O996" t="str">
            <v>CDI</v>
          </cell>
          <cell r="P996">
            <v>151.57</v>
          </cell>
          <cell r="Q996">
            <v>8600</v>
          </cell>
          <cell r="R996">
            <v>3538.53</v>
          </cell>
          <cell r="S996">
            <v>0</v>
          </cell>
          <cell r="T996">
            <v>0</v>
          </cell>
          <cell r="U996">
            <v>0</v>
          </cell>
          <cell r="V996">
            <v>0</v>
          </cell>
          <cell r="W996">
            <v>0</v>
          </cell>
          <cell r="X996">
            <v>0</v>
          </cell>
          <cell r="Y996">
            <v>0</v>
          </cell>
          <cell r="Z996">
            <v>0</v>
          </cell>
          <cell r="AA996">
            <v>0</v>
          </cell>
          <cell r="AB996">
            <v>0</v>
          </cell>
          <cell r="AC996">
            <v>0</v>
          </cell>
          <cell r="AD996">
            <v>2750</v>
          </cell>
          <cell r="AE996">
            <v>0</v>
          </cell>
          <cell r="AF996">
            <v>0</v>
          </cell>
          <cell r="AG996">
            <v>0</v>
          </cell>
          <cell r="AH996">
            <v>0</v>
          </cell>
          <cell r="AI996">
            <v>0</v>
          </cell>
          <cell r="AJ996">
            <v>0</v>
          </cell>
          <cell r="AK996">
            <v>0</v>
          </cell>
          <cell r="AL996">
            <v>0</v>
          </cell>
          <cell r="AM996">
            <v>0</v>
          </cell>
          <cell r="AN996">
            <v>825.47</v>
          </cell>
          <cell r="AO996">
            <v>0</v>
          </cell>
          <cell r="AP996">
            <v>0</v>
          </cell>
          <cell r="AQ996">
            <v>8600</v>
          </cell>
          <cell r="AR996">
            <v>2750</v>
          </cell>
          <cell r="AS996">
            <v>0</v>
          </cell>
          <cell r="AT996">
            <v>0</v>
          </cell>
          <cell r="AU996">
            <v>0</v>
          </cell>
        </row>
        <row r="997">
          <cell r="A997">
            <v>1271</v>
          </cell>
          <cell r="B997" t="str">
            <v>CASADO</v>
          </cell>
          <cell r="C997" t="str">
            <v>DAVID</v>
          </cell>
          <cell r="D997" t="str">
            <v>AVIGNON</v>
          </cell>
          <cell r="E997">
            <v>1</v>
          </cell>
          <cell r="F997" t="str">
            <v>NUMERICABLE</v>
          </cell>
          <cell r="I997" t="str">
            <v>FTCN905001</v>
          </cell>
          <cell r="J997">
            <v>100</v>
          </cell>
          <cell r="K997">
            <v>38159</v>
          </cell>
          <cell r="L997" t="str">
            <v>CONSEILLER CLIENT NIVEAU 1</v>
          </cell>
          <cell r="M997" t="str">
            <v>462E</v>
          </cell>
          <cell r="N997" t="str">
            <v>C</v>
          </cell>
          <cell r="O997" t="str">
            <v>CDI</v>
          </cell>
          <cell r="P997">
            <v>166.83</v>
          </cell>
          <cell r="Q997">
            <v>1410</v>
          </cell>
          <cell r="R997">
            <v>-185.36</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127.12</v>
          </cell>
          <cell r="AN997">
            <v>142.19</v>
          </cell>
          <cell r="AO997">
            <v>115.35</v>
          </cell>
          <cell r="AP997">
            <v>0</v>
          </cell>
          <cell r="AQ997">
            <v>1421.77</v>
          </cell>
          <cell r="AR997">
            <v>0</v>
          </cell>
          <cell r="AS997">
            <v>0</v>
          </cell>
          <cell r="AT997">
            <v>0</v>
          </cell>
          <cell r="AU997">
            <v>0</v>
          </cell>
        </row>
        <row r="998">
          <cell r="A998" t="str">
            <v>000A1546</v>
          </cell>
          <cell r="B998" t="str">
            <v>DA SILVA</v>
          </cell>
          <cell r="C998" t="str">
            <v>ANNE LISE</v>
          </cell>
          <cell r="D998" t="str">
            <v>BORDEAUX</v>
          </cell>
          <cell r="E998">
            <v>3</v>
          </cell>
          <cell r="F998" t="str">
            <v>NUMERICABLE</v>
          </cell>
          <cell r="G998" t="str">
            <v>BOUTIQUE</v>
          </cell>
          <cell r="H998" t="str">
            <v>GEOFFROY</v>
          </cell>
          <cell r="I998" t="str">
            <v>SUOU507001</v>
          </cell>
          <cell r="J998">
            <v>100</v>
          </cell>
          <cell r="K998">
            <v>38687</v>
          </cell>
          <cell r="L998" t="str">
            <v>CONSEILLER(E) CLT BOUTIQUE</v>
          </cell>
          <cell r="M998" t="str">
            <v>EMPLOYE</v>
          </cell>
          <cell r="N998" t="str">
            <v>C</v>
          </cell>
          <cell r="O998" t="str">
            <v>CDI</v>
          </cell>
          <cell r="P998">
            <v>166.83</v>
          </cell>
          <cell r="Q998">
            <v>1266</v>
          </cell>
          <cell r="R998">
            <v>866.82</v>
          </cell>
          <cell r="S998">
            <v>0</v>
          </cell>
          <cell r="T998">
            <v>540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207.4</v>
          </cell>
          <cell r="AO998">
            <v>0</v>
          </cell>
          <cell r="AP998">
            <v>0</v>
          </cell>
          <cell r="AQ998">
            <v>1266</v>
          </cell>
          <cell r="AR998">
            <v>0</v>
          </cell>
          <cell r="AS998">
            <v>0</v>
          </cell>
          <cell r="AT998">
            <v>0</v>
          </cell>
          <cell r="AU998">
            <v>0</v>
          </cell>
        </row>
        <row r="999">
          <cell r="A999">
            <v>501</v>
          </cell>
          <cell r="B999" t="str">
            <v>HUALDE</v>
          </cell>
          <cell r="C999" t="str">
            <v>PATRICK</v>
          </cell>
          <cell r="D999" t="str">
            <v>BAB</v>
          </cell>
          <cell r="E999">
            <v>1</v>
          </cell>
          <cell r="F999" t="str">
            <v>NUMERICABLE</v>
          </cell>
          <cell r="I999" t="str">
            <v>FTCN905001</v>
          </cell>
          <cell r="J999">
            <v>100</v>
          </cell>
          <cell r="K999">
            <v>36708</v>
          </cell>
          <cell r="L999" t="str">
            <v>DIRECTEUR DE SITE</v>
          </cell>
          <cell r="M999" t="str">
            <v>232A</v>
          </cell>
          <cell r="N999" t="str">
            <v>F</v>
          </cell>
          <cell r="O999" t="str">
            <v>CDI</v>
          </cell>
          <cell r="P999">
            <v>151.57</v>
          </cell>
          <cell r="Q999">
            <v>4075</v>
          </cell>
          <cell r="R999">
            <v>3192.21</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2579.8000000000002</v>
          </cell>
          <cell r="AN999">
            <v>692.89</v>
          </cell>
          <cell r="AO999">
            <v>0</v>
          </cell>
          <cell r="AP999">
            <v>0</v>
          </cell>
          <cell r="AQ999">
            <v>6654.8</v>
          </cell>
          <cell r="AR999">
            <v>0</v>
          </cell>
          <cell r="AS999">
            <v>0</v>
          </cell>
          <cell r="AT999">
            <v>0</v>
          </cell>
          <cell r="AU999">
            <v>0</v>
          </cell>
        </row>
        <row r="1000">
          <cell r="A1000">
            <v>1177</v>
          </cell>
          <cell r="B1000" t="str">
            <v>MANAI</v>
          </cell>
          <cell r="C1000" t="str">
            <v>HEDIA</v>
          </cell>
          <cell r="D1000" t="str">
            <v>SAINT MARTIN D'HERES</v>
          </cell>
          <cell r="E1000">
            <v>1</v>
          </cell>
          <cell r="F1000" t="str">
            <v>NUMERICABLE</v>
          </cell>
          <cell r="G1000" t="str">
            <v>BOUTIQUE</v>
          </cell>
          <cell r="H1000" t="str">
            <v>SILVESTRE</v>
          </cell>
          <cell r="I1000" t="str">
            <v>RHON507001</v>
          </cell>
          <cell r="J1000">
            <v>100</v>
          </cell>
          <cell r="K1000">
            <v>37907</v>
          </cell>
          <cell r="L1000" t="str">
            <v>RESPONSABLE BOUTIQUE</v>
          </cell>
          <cell r="M1000" t="str">
            <v>463E</v>
          </cell>
          <cell r="N1000" t="str">
            <v>DB</v>
          </cell>
          <cell r="O1000" t="str">
            <v>CDI</v>
          </cell>
          <cell r="P1000">
            <v>166.83</v>
          </cell>
          <cell r="Q1000">
            <v>1600</v>
          </cell>
          <cell r="R1000">
            <v>1598.35</v>
          </cell>
          <cell r="S1000">
            <v>0</v>
          </cell>
          <cell r="T1000">
            <v>1809.5</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340.94</v>
          </cell>
          <cell r="AO1000">
            <v>0</v>
          </cell>
          <cell r="AP1000">
            <v>0</v>
          </cell>
          <cell r="AQ1000">
            <v>1600</v>
          </cell>
          <cell r="AR1000">
            <v>0</v>
          </cell>
          <cell r="AS1000">
            <v>0</v>
          </cell>
          <cell r="AT1000">
            <v>0</v>
          </cell>
          <cell r="AU1000">
            <v>0</v>
          </cell>
        </row>
        <row r="1001">
          <cell r="A1001">
            <v>301029</v>
          </cell>
          <cell r="B1001" t="str">
            <v>HENNON</v>
          </cell>
          <cell r="C1001" t="str">
            <v>SANDRINE</v>
          </cell>
          <cell r="D1001" t="str">
            <v>LA MADELEINE</v>
          </cell>
          <cell r="E1001">
            <v>1</v>
          </cell>
          <cell r="F1001" t="str">
            <v>NUMERICABLE</v>
          </cell>
          <cell r="I1001" t="str">
            <v>FTCN905001</v>
          </cell>
          <cell r="J1001">
            <v>100</v>
          </cell>
          <cell r="K1001">
            <v>34043</v>
          </cell>
          <cell r="L1001" t="str">
            <v>GESTION RACCORDEMENT</v>
          </cell>
          <cell r="M1001" t="str">
            <v>633B</v>
          </cell>
          <cell r="N1001" t="str">
            <v>C</v>
          </cell>
          <cell r="O1001" t="str">
            <v>CDI</v>
          </cell>
          <cell r="P1001">
            <v>121.33</v>
          </cell>
          <cell r="Q1001">
            <v>1414.18</v>
          </cell>
          <cell r="R1001">
            <v>354.76</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171.05</v>
          </cell>
          <cell r="AN1001">
            <v>155.87</v>
          </cell>
          <cell r="AO1001">
            <v>26.55</v>
          </cell>
          <cell r="AP1001">
            <v>0</v>
          </cell>
          <cell r="AQ1001">
            <v>1558.68</v>
          </cell>
          <cell r="AR1001">
            <v>0</v>
          </cell>
          <cell r="AS1001">
            <v>0</v>
          </cell>
          <cell r="AT1001">
            <v>0</v>
          </cell>
          <cell r="AU1001">
            <v>0</v>
          </cell>
        </row>
        <row r="1002">
          <cell r="A1002">
            <v>453089</v>
          </cell>
          <cell r="B1002" t="str">
            <v>DURET</v>
          </cell>
          <cell r="C1002" t="str">
            <v>DANIEL</v>
          </cell>
          <cell r="D1002" t="str">
            <v>TOURS</v>
          </cell>
          <cell r="E1002">
            <v>1</v>
          </cell>
          <cell r="F1002" t="str">
            <v>NUMERICABLE</v>
          </cell>
          <cell r="J1002">
            <v>0</v>
          </cell>
          <cell r="K1002">
            <v>35863</v>
          </cell>
          <cell r="L1002" t="str">
            <v>ATTACHE COMMERCIAL</v>
          </cell>
          <cell r="M1002" t="str">
            <v>CADRE</v>
          </cell>
          <cell r="N1002" t="str">
            <v>D</v>
          </cell>
          <cell r="O1002" t="str">
            <v>CDI</v>
          </cell>
          <cell r="P1002">
            <v>166.83</v>
          </cell>
          <cell r="Q1002">
            <v>1285</v>
          </cell>
          <cell r="R1002">
            <v>3191.21</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13905</v>
          </cell>
          <cell r="AT1002">
            <v>0</v>
          </cell>
          <cell r="AU1002">
            <v>0</v>
          </cell>
        </row>
        <row r="1003">
          <cell r="A1003">
            <v>952176</v>
          </cell>
          <cell r="B1003" t="str">
            <v>CREMIEUX</v>
          </cell>
          <cell r="C1003" t="str">
            <v>LAURENT</v>
          </cell>
          <cell r="D1003" t="str">
            <v>MARSEILLE</v>
          </cell>
          <cell r="E1003">
            <v>1</v>
          </cell>
          <cell r="F1003" t="str">
            <v>NUMERICABLE</v>
          </cell>
          <cell r="I1003" t="str">
            <v>FTCN905001</v>
          </cell>
          <cell r="J1003">
            <v>100</v>
          </cell>
          <cell r="K1003">
            <v>38428</v>
          </cell>
          <cell r="L1003" t="str">
            <v>CONSEIL. FIDELISATION</v>
          </cell>
          <cell r="M1003" t="str">
            <v>462E</v>
          </cell>
          <cell r="N1003" t="str">
            <v>C</v>
          </cell>
          <cell r="O1003" t="str">
            <v>CDI</v>
          </cell>
          <cell r="P1003">
            <v>166.83</v>
          </cell>
          <cell r="Q1003">
            <v>2500</v>
          </cell>
          <cell r="R1003">
            <v>1300.24</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239.97</v>
          </cell>
          <cell r="AO1003">
            <v>0</v>
          </cell>
          <cell r="AP1003">
            <v>0</v>
          </cell>
          <cell r="AQ1003">
            <v>2500</v>
          </cell>
          <cell r="AR1003">
            <v>0</v>
          </cell>
          <cell r="AS1003">
            <v>0</v>
          </cell>
          <cell r="AT1003">
            <v>0</v>
          </cell>
          <cell r="AU1003">
            <v>0</v>
          </cell>
        </row>
        <row r="1004">
          <cell r="A1004">
            <v>953001</v>
          </cell>
          <cell r="B1004" t="str">
            <v>FONTAINE</v>
          </cell>
          <cell r="C1004" t="str">
            <v>THIERRY</v>
          </cell>
          <cell r="D1004" t="str">
            <v>VALENCE</v>
          </cell>
          <cell r="E1004">
            <v>1</v>
          </cell>
          <cell r="F1004" t="str">
            <v>NUMERICABLE</v>
          </cell>
          <cell r="G1004" t="str">
            <v>RACCORDEMENT IMMOB.</v>
          </cell>
          <cell r="H1004" t="str">
            <v>DONT</v>
          </cell>
          <cell r="I1004" t="str">
            <v>RHON302001</v>
          </cell>
          <cell r="J1004">
            <v>100</v>
          </cell>
          <cell r="K1004">
            <v>34700</v>
          </cell>
          <cell r="L1004" t="str">
            <v>RESP TECHNIQUE CLIENT REGIONAL</v>
          </cell>
          <cell r="M1004" t="str">
            <v>383C</v>
          </cell>
          <cell r="N1004" t="str">
            <v>E</v>
          </cell>
          <cell r="O1004" t="str">
            <v>CDI</v>
          </cell>
          <cell r="P1004">
            <v>151.57</v>
          </cell>
          <cell r="Q1004">
            <v>3135</v>
          </cell>
          <cell r="R1004">
            <v>1317.18</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322.79000000000002</v>
          </cell>
          <cell r="AO1004">
            <v>0</v>
          </cell>
          <cell r="AP1004">
            <v>0</v>
          </cell>
          <cell r="AQ1004">
            <v>2556.3200000000002</v>
          </cell>
          <cell r="AR1004">
            <v>0</v>
          </cell>
          <cell r="AS1004">
            <v>0</v>
          </cell>
          <cell r="AT1004">
            <v>0</v>
          </cell>
          <cell r="AU1004">
            <v>0</v>
          </cell>
        </row>
        <row r="1005">
          <cell r="A1005">
            <v>10000990</v>
          </cell>
          <cell r="B1005" t="str">
            <v>BOUTY</v>
          </cell>
          <cell r="C1005" t="str">
            <v>ROMAIN</v>
          </cell>
          <cell r="D1005" t="str">
            <v>BORDEAUX</v>
          </cell>
          <cell r="E1005">
            <v>1</v>
          </cell>
          <cell r="F1005" t="str">
            <v>NUMERICABLE</v>
          </cell>
          <cell r="I1005" t="str">
            <v>FTCN905001</v>
          </cell>
          <cell r="J1005">
            <v>100</v>
          </cell>
          <cell r="K1005">
            <v>37368</v>
          </cell>
          <cell r="L1005" t="str">
            <v>ATTACHE COMMERCIAL</v>
          </cell>
          <cell r="M1005" t="str">
            <v>CADRE</v>
          </cell>
          <cell r="N1005" t="str">
            <v>D</v>
          </cell>
          <cell r="O1005" t="str">
            <v>CDI</v>
          </cell>
          <cell r="P1005">
            <v>166.83</v>
          </cell>
          <cell r="Q1005">
            <v>1285</v>
          </cell>
          <cell r="R1005">
            <v>332.7</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123.34</v>
          </cell>
          <cell r="AO1005">
            <v>0</v>
          </cell>
          <cell r="AP1005">
            <v>0</v>
          </cell>
          <cell r="AQ1005">
            <v>1285</v>
          </cell>
          <cell r="AR1005">
            <v>0</v>
          </cell>
          <cell r="AS1005">
            <v>0</v>
          </cell>
          <cell r="AT1005">
            <v>0</v>
          </cell>
          <cell r="AU1005">
            <v>0</v>
          </cell>
        </row>
        <row r="1006">
          <cell r="A1006" t="str">
            <v>000A1402</v>
          </cell>
          <cell r="B1006" t="str">
            <v>MALLAGRAY</v>
          </cell>
          <cell r="C1006" t="str">
            <v>INGRID</v>
          </cell>
          <cell r="D1006" t="str">
            <v>VALENCE</v>
          </cell>
          <cell r="E1006">
            <v>3</v>
          </cell>
          <cell r="F1006" t="str">
            <v>NUMERICABLE</v>
          </cell>
          <cell r="G1006" t="str">
            <v>BOUTIQUE</v>
          </cell>
          <cell r="H1006" t="str">
            <v>BRAHIMI</v>
          </cell>
          <cell r="I1006" t="str">
            <v>RHON507001</v>
          </cell>
          <cell r="J1006">
            <v>100</v>
          </cell>
          <cell r="K1006">
            <v>38754</v>
          </cell>
          <cell r="L1006" t="str">
            <v>CONSEILLER CLIENTELE BOUTIQUE</v>
          </cell>
          <cell r="M1006" t="str">
            <v>463E</v>
          </cell>
          <cell r="N1006" t="str">
            <v>C</v>
          </cell>
          <cell r="O1006" t="str">
            <v>CDI</v>
          </cell>
          <cell r="P1006">
            <v>166.83</v>
          </cell>
          <cell r="Q1006">
            <v>1300</v>
          </cell>
          <cell r="R1006">
            <v>927.08</v>
          </cell>
          <cell r="S1006">
            <v>0</v>
          </cell>
          <cell r="T1006">
            <v>562.4</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186.25</v>
          </cell>
          <cell r="AO1006">
            <v>0</v>
          </cell>
          <cell r="AP1006">
            <v>0</v>
          </cell>
          <cell r="AQ1006">
            <v>1300</v>
          </cell>
          <cell r="AR1006">
            <v>0</v>
          </cell>
          <cell r="AS1006">
            <v>0</v>
          </cell>
          <cell r="AT1006">
            <v>0</v>
          </cell>
          <cell r="AU1006">
            <v>0</v>
          </cell>
        </row>
        <row r="1007">
          <cell r="A1007">
            <v>1252</v>
          </cell>
          <cell r="B1007" t="str">
            <v>FOUQUET</v>
          </cell>
          <cell r="C1007" t="str">
            <v>SANDRA</v>
          </cell>
          <cell r="D1007" t="str">
            <v>AVIGNON</v>
          </cell>
          <cell r="E1007">
            <v>1</v>
          </cell>
          <cell r="F1007" t="str">
            <v>NUMERICABLE</v>
          </cell>
          <cell r="I1007" t="str">
            <v>FTCN905001</v>
          </cell>
          <cell r="J1007">
            <v>100</v>
          </cell>
          <cell r="K1007">
            <v>38117</v>
          </cell>
          <cell r="L1007" t="str">
            <v>CONSEILLER CLIENT TECHNIQUE</v>
          </cell>
          <cell r="M1007" t="str">
            <v>462E</v>
          </cell>
          <cell r="N1007" t="str">
            <v>C</v>
          </cell>
          <cell r="O1007" t="str">
            <v>CDI</v>
          </cell>
          <cell r="P1007">
            <v>166.83</v>
          </cell>
          <cell r="Q1007">
            <v>2804.03</v>
          </cell>
          <cell r="R1007">
            <v>-1027.1500000000001</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336.24</v>
          </cell>
          <cell r="AN1007">
            <v>140.99</v>
          </cell>
          <cell r="AO1007">
            <v>336.24</v>
          </cell>
          <cell r="AP1007">
            <v>0</v>
          </cell>
          <cell r="AQ1007">
            <v>1410</v>
          </cell>
          <cell r="AR1007">
            <v>0</v>
          </cell>
          <cell r="AS1007">
            <v>0</v>
          </cell>
          <cell r="AT1007">
            <v>0</v>
          </cell>
          <cell r="AU1007">
            <v>0</v>
          </cell>
        </row>
        <row r="1008">
          <cell r="A1008">
            <v>1357</v>
          </cell>
          <cell r="B1008" t="str">
            <v>MOMMERS</v>
          </cell>
          <cell r="C1008" t="str">
            <v>AURELIE</v>
          </cell>
          <cell r="D1008" t="str">
            <v>LA MADELEINE</v>
          </cell>
          <cell r="E1008">
            <v>1</v>
          </cell>
          <cell r="F1008" t="str">
            <v>NUMERICABLE</v>
          </cell>
          <cell r="G1008" t="str">
            <v>BOUTIQUE</v>
          </cell>
          <cell r="H1008" t="str">
            <v>DELSART</v>
          </cell>
          <cell r="I1008" t="str">
            <v>NPCA507001</v>
          </cell>
          <cell r="J1008">
            <v>100</v>
          </cell>
          <cell r="K1008">
            <v>38609</v>
          </cell>
          <cell r="L1008" t="str">
            <v>VENDEUR POINT DE VENTE</v>
          </cell>
          <cell r="M1008" t="str">
            <v>463E</v>
          </cell>
          <cell r="N1008" t="str">
            <v>C</v>
          </cell>
          <cell r="O1008" t="str">
            <v>CDI</v>
          </cell>
          <cell r="P1008">
            <v>166.83</v>
          </cell>
          <cell r="Q1008">
            <v>1400</v>
          </cell>
          <cell r="R1008">
            <v>631.65</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140</v>
          </cell>
          <cell r="AO1008">
            <v>0</v>
          </cell>
          <cell r="AP1008">
            <v>0</v>
          </cell>
          <cell r="AQ1008">
            <v>1400</v>
          </cell>
          <cell r="AR1008">
            <v>0</v>
          </cell>
          <cell r="AS1008">
            <v>0</v>
          </cell>
          <cell r="AT1008">
            <v>0</v>
          </cell>
          <cell r="AU1008">
            <v>0</v>
          </cell>
        </row>
        <row r="1009">
          <cell r="A1009" t="str">
            <v>000A1567</v>
          </cell>
          <cell r="B1009" t="str">
            <v>KHALDI</v>
          </cell>
          <cell r="C1009" t="str">
            <v>SALIMA</v>
          </cell>
          <cell r="D1009" t="str">
            <v>MARSEILLE</v>
          </cell>
          <cell r="E1009">
            <v>3</v>
          </cell>
          <cell r="F1009" t="str">
            <v>NUMERICABLE</v>
          </cell>
          <cell r="G1009" t="str">
            <v>BOUTIQUE</v>
          </cell>
          <cell r="H1009" t="str">
            <v>GRAU</v>
          </cell>
          <cell r="I1009" t="str">
            <v>SUES507001</v>
          </cell>
          <cell r="J1009">
            <v>100</v>
          </cell>
          <cell r="K1009">
            <v>38687</v>
          </cell>
          <cell r="L1009" t="str">
            <v>CONSEILLER(E) CLT BOUTIQUE</v>
          </cell>
          <cell r="M1009" t="str">
            <v>EMPLOYE</v>
          </cell>
          <cell r="N1009" t="str">
            <v>C</v>
          </cell>
          <cell r="O1009" t="str">
            <v>CDI</v>
          </cell>
          <cell r="P1009">
            <v>166.83</v>
          </cell>
          <cell r="Q1009">
            <v>1450</v>
          </cell>
          <cell r="R1009">
            <v>693.66</v>
          </cell>
          <cell r="S1009">
            <v>0</v>
          </cell>
          <cell r="T1009">
            <v>348</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179.8</v>
          </cell>
          <cell r="AO1009">
            <v>0</v>
          </cell>
          <cell r="AP1009">
            <v>0</v>
          </cell>
          <cell r="AQ1009">
            <v>1450</v>
          </cell>
          <cell r="AR1009">
            <v>0</v>
          </cell>
          <cell r="AS1009">
            <v>0</v>
          </cell>
          <cell r="AT1009">
            <v>0</v>
          </cell>
          <cell r="AU1009">
            <v>0</v>
          </cell>
        </row>
        <row r="1010">
          <cell r="A1010" t="str">
            <v>000A1655</v>
          </cell>
          <cell r="B1010" t="str">
            <v>AHKOUK</v>
          </cell>
          <cell r="C1010" t="str">
            <v>MALIKA</v>
          </cell>
          <cell r="D1010" t="str">
            <v>SAINT QUENTIN EN YVE</v>
          </cell>
          <cell r="E1010">
            <v>3</v>
          </cell>
          <cell r="F1010" t="str">
            <v>NUMERICABLE</v>
          </cell>
          <cell r="G1010" t="str">
            <v>CLIENTELE</v>
          </cell>
          <cell r="H1010" t="str">
            <v>ELIEZER-VANEROT</v>
          </cell>
          <cell r="I1010" t="str">
            <v>IDFR507001</v>
          </cell>
          <cell r="J1010">
            <v>100</v>
          </cell>
          <cell r="K1010">
            <v>38767</v>
          </cell>
          <cell r="L1010" t="str">
            <v>CONSEILLER(E) CLT BOUTIQUE</v>
          </cell>
          <cell r="M1010" t="str">
            <v>EMPLOYE</v>
          </cell>
          <cell r="N1010" t="str">
            <v>C</v>
          </cell>
          <cell r="O1010" t="str">
            <v>CDD</v>
          </cell>
          <cell r="P1010">
            <v>166.83</v>
          </cell>
          <cell r="Q1010">
            <v>0</v>
          </cell>
          <cell r="R1010">
            <v>1378.17</v>
          </cell>
          <cell r="S1010">
            <v>0</v>
          </cell>
          <cell r="T1010">
            <v>887</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430.7</v>
          </cell>
          <cell r="AO1010">
            <v>0</v>
          </cell>
          <cell r="AP1010">
            <v>0</v>
          </cell>
          <cell r="AQ1010">
            <v>1300</v>
          </cell>
          <cell r="AR1010">
            <v>0</v>
          </cell>
          <cell r="AS1010">
            <v>0</v>
          </cell>
          <cell r="AT1010">
            <v>0</v>
          </cell>
          <cell r="AU1010">
            <v>0</v>
          </cell>
        </row>
        <row r="1011">
          <cell r="A1011">
            <v>1371</v>
          </cell>
          <cell r="B1011" t="str">
            <v>BENNE</v>
          </cell>
          <cell r="C1011" t="str">
            <v>MICHEL</v>
          </cell>
          <cell r="D1011" t="str">
            <v>MARSEILLE</v>
          </cell>
          <cell r="E1011">
            <v>1</v>
          </cell>
          <cell r="F1011" t="str">
            <v>NUMERICABLE</v>
          </cell>
          <cell r="G1011" t="str">
            <v>TRAVAUX</v>
          </cell>
          <cell r="H1011" t="str">
            <v>SOULIERE</v>
          </cell>
          <cell r="I1011" t="str">
            <v>SUES300001</v>
          </cell>
          <cell r="J1011">
            <v>100</v>
          </cell>
          <cell r="K1011">
            <v>38664</v>
          </cell>
          <cell r="L1011" t="str">
            <v>SUPERVISEUR TRAVAUX</v>
          </cell>
          <cell r="M1011" t="str">
            <v>478D</v>
          </cell>
          <cell r="N1011" t="str">
            <v>D</v>
          </cell>
          <cell r="O1011" t="str">
            <v>CDI</v>
          </cell>
          <cell r="P1011">
            <v>166.83</v>
          </cell>
          <cell r="Q1011">
            <v>2250</v>
          </cell>
          <cell r="R1011">
            <v>1336.81</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245.71</v>
          </cell>
          <cell r="AO1011">
            <v>0</v>
          </cell>
          <cell r="AP1011">
            <v>0</v>
          </cell>
          <cell r="AQ1011">
            <v>2375</v>
          </cell>
          <cell r="AR1011">
            <v>0</v>
          </cell>
          <cell r="AS1011">
            <v>0</v>
          </cell>
          <cell r="AT1011">
            <v>0</v>
          </cell>
          <cell r="AU1011">
            <v>0</v>
          </cell>
        </row>
        <row r="1012">
          <cell r="A1012">
            <v>59</v>
          </cell>
          <cell r="B1012" t="str">
            <v>LARCHE</v>
          </cell>
          <cell r="C1012" t="str">
            <v>CATHERINE</v>
          </cell>
          <cell r="D1012" t="str">
            <v>BORDEAUX</v>
          </cell>
          <cell r="E1012">
            <v>1</v>
          </cell>
          <cell r="F1012" t="str">
            <v>NUMERICABLE</v>
          </cell>
          <cell r="I1012" t="str">
            <v>FTCN905001</v>
          </cell>
          <cell r="J1012">
            <v>100</v>
          </cell>
          <cell r="K1012">
            <v>33196</v>
          </cell>
          <cell r="L1012" t="str">
            <v>ASSIST. MARKETING COMMUNICATION</v>
          </cell>
          <cell r="M1012" t="str">
            <v>462E</v>
          </cell>
          <cell r="N1012" t="str">
            <v>D</v>
          </cell>
          <cell r="O1012" t="str">
            <v>CDI</v>
          </cell>
          <cell r="P1012">
            <v>166.83</v>
          </cell>
          <cell r="Q1012">
            <v>1785</v>
          </cell>
          <cell r="R1012">
            <v>-31.63</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-121.64</v>
          </cell>
          <cell r="AN1012">
            <v>41.95</v>
          </cell>
          <cell r="AO1012">
            <v>-121.64</v>
          </cell>
          <cell r="AP1012">
            <v>0</v>
          </cell>
          <cell r="AQ1012">
            <v>1785</v>
          </cell>
          <cell r="AR1012">
            <v>0</v>
          </cell>
          <cell r="AS1012">
            <v>0</v>
          </cell>
          <cell r="AT1012">
            <v>0</v>
          </cell>
          <cell r="AU1012">
            <v>0</v>
          </cell>
        </row>
        <row r="1013">
          <cell r="A1013">
            <v>323</v>
          </cell>
          <cell r="B1013" t="str">
            <v>COYCO</v>
          </cell>
          <cell r="C1013" t="str">
            <v>SEBASTIEN</v>
          </cell>
          <cell r="D1013" t="str">
            <v>BORDEAUX</v>
          </cell>
          <cell r="E1013">
            <v>1</v>
          </cell>
          <cell r="F1013" t="str">
            <v>NUMERICABLE</v>
          </cell>
          <cell r="I1013" t="str">
            <v>FTCN905001</v>
          </cell>
          <cell r="J1013">
            <v>100</v>
          </cell>
          <cell r="K1013">
            <v>36535</v>
          </cell>
          <cell r="L1013" t="str">
            <v>ATTACHE COMMERCIAL</v>
          </cell>
          <cell r="M1013" t="str">
            <v>CADRE</v>
          </cell>
          <cell r="N1013" t="str">
            <v>D</v>
          </cell>
          <cell r="O1013" t="str">
            <v>CDI</v>
          </cell>
          <cell r="P1013">
            <v>166.83</v>
          </cell>
          <cell r="Q1013">
            <v>1285</v>
          </cell>
          <cell r="R1013">
            <v>1873.61</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2997.42</v>
          </cell>
          <cell r="AN1013">
            <v>0.02</v>
          </cell>
          <cell r="AO1013">
            <v>0</v>
          </cell>
          <cell r="AP1013">
            <v>0</v>
          </cell>
          <cell r="AQ1013">
            <v>4282.42</v>
          </cell>
          <cell r="AR1013">
            <v>0</v>
          </cell>
          <cell r="AS1013">
            <v>0</v>
          </cell>
          <cell r="AT1013">
            <v>0</v>
          </cell>
          <cell r="AU1013">
            <v>0</v>
          </cell>
        </row>
        <row r="1014">
          <cell r="A1014">
            <v>503030</v>
          </cell>
          <cell r="B1014" t="str">
            <v>ROSSI</v>
          </cell>
          <cell r="C1014" t="str">
            <v>DAVID</v>
          </cell>
          <cell r="D1014" t="str">
            <v>METZ</v>
          </cell>
          <cell r="E1014">
            <v>1</v>
          </cell>
          <cell r="F1014" t="str">
            <v>NUMERICABLE</v>
          </cell>
          <cell r="G1014" t="str">
            <v>RACCORDEMENT IMMOB.</v>
          </cell>
          <cell r="H1014" t="str">
            <v>JENCZAK</v>
          </cell>
          <cell r="I1014" t="str">
            <v>ESTR302001</v>
          </cell>
          <cell r="J1014">
            <v>100</v>
          </cell>
          <cell r="K1014">
            <v>35370</v>
          </cell>
          <cell r="L1014" t="str">
            <v>LOGISTICIEN REGIONAL</v>
          </cell>
          <cell r="M1014" t="str">
            <v>EMPLOYE</v>
          </cell>
          <cell r="N1014" t="str">
            <v>D</v>
          </cell>
          <cell r="O1014" t="str">
            <v>CDI</v>
          </cell>
          <cell r="P1014">
            <v>166.83</v>
          </cell>
          <cell r="Q1014">
            <v>2045.5</v>
          </cell>
          <cell r="R1014">
            <v>1227.76</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200</v>
          </cell>
          <cell r="AM1014">
            <v>0</v>
          </cell>
          <cell r="AN1014">
            <v>204.79</v>
          </cell>
          <cell r="AO1014">
            <v>0</v>
          </cell>
          <cell r="AP1014">
            <v>0</v>
          </cell>
          <cell r="AQ1014">
            <v>2047.79</v>
          </cell>
          <cell r="AR1014">
            <v>200</v>
          </cell>
          <cell r="AS1014">
            <v>0</v>
          </cell>
          <cell r="AT1014">
            <v>0</v>
          </cell>
          <cell r="AU1014">
            <v>0</v>
          </cell>
        </row>
        <row r="1015">
          <cell r="A1015">
            <v>952017</v>
          </cell>
          <cell r="B1015" t="str">
            <v>GRAMI</v>
          </cell>
          <cell r="C1015" t="str">
            <v>MOHAMED FAOUZI</v>
          </cell>
          <cell r="D1015" t="str">
            <v>MARSEILLE</v>
          </cell>
          <cell r="E1015">
            <v>1</v>
          </cell>
          <cell r="F1015" t="str">
            <v>NUMERICABLE</v>
          </cell>
          <cell r="I1015" t="str">
            <v>FTCN905001</v>
          </cell>
          <cell r="J1015">
            <v>100</v>
          </cell>
          <cell r="K1015">
            <v>34747</v>
          </cell>
          <cell r="L1015" t="str">
            <v>RESP.QUALIT.COLLECTIF</v>
          </cell>
          <cell r="M1015" t="str">
            <v>375B</v>
          </cell>
          <cell r="N1015" t="str">
            <v>E</v>
          </cell>
          <cell r="O1015" t="str">
            <v>CDI</v>
          </cell>
          <cell r="P1015">
            <v>151.57</v>
          </cell>
          <cell r="Q1015">
            <v>2185</v>
          </cell>
          <cell r="R1015">
            <v>16018.79</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31350</v>
          </cell>
          <cell r="AT1015">
            <v>0</v>
          </cell>
          <cell r="AU1015">
            <v>0</v>
          </cell>
        </row>
        <row r="1016">
          <cell r="A1016">
            <v>952040</v>
          </cell>
          <cell r="B1016" t="str">
            <v>PANTEL</v>
          </cell>
          <cell r="C1016" t="str">
            <v>MAX</v>
          </cell>
          <cell r="D1016" t="str">
            <v>MARSEILLE</v>
          </cell>
          <cell r="E1016">
            <v>1</v>
          </cell>
          <cell r="F1016" t="str">
            <v>NUMERICABLE</v>
          </cell>
          <cell r="G1016" t="str">
            <v>COLLECTIF</v>
          </cell>
          <cell r="H1016" t="str">
            <v>MARTINEZ B</v>
          </cell>
          <cell r="I1016" t="str">
            <v>SUES510001</v>
          </cell>
          <cell r="J1016">
            <v>100</v>
          </cell>
          <cell r="K1016">
            <v>34747</v>
          </cell>
          <cell r="L1016" t="str">
            <v>CHARGE D'AFFAIRES</v>
          </cell>
          <cell r="M1016" t="str">
            <v>462E</v>
          </cell>
          <cell r="N1016" t="str">
            <v>DB</v>
          </cell>
          <cell r="O1016" t="str">
            <v>CDI</v>
          </cell>
          <cell r="P1016">
            <v>151.57</v>
          </cell>
          <cell r="Q1016">
            <v>1633</v>
          </cell>
          <cell r="R1016">
            <v>1470.44</v>
          </cell>
          <cell r="S1016">
            <v>0</v>
          </cell>
          <cell r="T1016">
            <v>613.33000000000004</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229.9</v>
          </cell>
          <cell r="AO1016">
            <v>0</v>
          </cell>
          <cell r="AP1016">
            <v>0</v>
          </cell>
          <cell r="AQ1016">
            <v>1685.66</v>
          </cell>
          <cell r="AR1016">
            <v>382</v>
          </cell>
          <cell r="AS1016">
            <v>0</v>
          </cell>
          <cell r="AT1016">
            <v>0</v>
          </cell>
          <cell r="AU1016">
            <v>0</v>
          </cell>
        </row>
        <row r="1017">
          <cell r="A1017">
            <v>1201005</v>
          </cell>
          <cell r="B1017" t="str">
            <v>OSMANIAN</v>
          </cell>
          <cell r="C1017" t="str">
            <v>CLAUDE</v>
          </cell>
          <cell r="D1017" t="str">
            <v>AVIGNON</v>
          </cell>
          <cell r="E1017">
            <v>1</v>
          </cell>
          <cell r="F1017" t="str">
            <v>NUMERICABLE</v>
          </cell>
          <cell r="I1017" t="str">
            <v>SUES500001</v>
          </cell>
          <cell r="J1017">
            <v>100</v>
          </cell>
          <cell r="K1017">
            <v>36090</v>
          </cell>
          <cell r="L1017" t="str">
            <v>RESP. COMMERC. REG.</v>
          </cell>
          <cell r="M1017" t="str">
            <v>374C</v>
          </cell>
          <cell r="N1017" t="str">
            <v>DB</v>
          </cell>
          <cell r="O1017" t="str">
            <v>CDI</v>
          </cell>
          <cell r="P1017">
            <v>166.83</v>
          </cell>
          <cell r="Q1017">
            <v>2006</v>
          </cell>
          <cell r="R1017">
            <v>5815.3</v>
          </cell>
          <cell r="S1017">
            <v>0</v>
          </cell>
          <cell r="T1017">
            <v>375</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10891</v>
          </cell>
          <cell r="AT1017">
            <v>0</v>
          </cell>
          <cell r="AU1017">
            <v>0</v>
          </cell>
        </row>
        <row r="1018">
          <cell r="A1018">
            <v>20000084</v>
          </cell>
          <cell r="B1018" t="str">
            <v>GELAS</v>
          </cell>
          <cell r="C1018" t="str">
            <v>KLEBER</v>
          </cell>
          <cell r="D1018" t="str">
            <v>TRAPPES</v>
          </cell>
          <cell r="E1018">
            <v>1</v>
          </cell>
          <cell r="F1018" t="str">
            <v>NUMERICABLE</v>
          </cell>
          <cell r="I1018" t="str">
            <v>FTCN905001</v>
          </cell>
          <cell r="J1018">
            <v>100</v>
          </cell>
          <cell r="K1018">
            <v>36314</v>
          </cell>
          <cell r="L1018" t="str">
            <v>ATTACHE COMMERCIAL</v>
          </cell>
          <cell r="M1018" t="str">
            <v>EMPLOYE</v>
          </cell>
          <cell r="N1018" t="str">
            <v>D</v>
          </cell>
          <cell r="O1018" t="str">
            <v>CDI</v>
          </cell>
          <cell r="P1018">
            <v>166.83</v>
          </cell>
          <cell r="Q1018">
            <v>1285</v>
          </cell>
          <cell r="R1018">
            <v>-624.66999999999996</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2152.67</v>
          </cell>
          <cell r="AN1018">
            <v>128.51</v>
          </cell>
          <cell r="AO1018">
            <v>2152.67</v>
          </cell>
          <cell r="AP1018">
            <v>0</v>
          </cell>
          <cell r="AQ1018">
            <v>1285</v>
          </cell>
          <cell r="AR1018">
            <v>0</v>
          </cell>
          <cell r="AS1018">
            <v>0</v>
          </cell>
          <cell r="AT1018">
            <v>0</v>
          </cell>
          <cell r="AU1018">
            <v>0</v>
          </cell>
        </row>
        <row r="1019">
          <cell r="A1019">
            <v>103</v>
          </cell>
          <cell r="B1019" t="str">
            <v>FIQUET</v>
          </cell>
          <cell r="C1019" t="str">
            <v>NELCIE</v>
          </cell>
          <cell r="D1019" t="str">
            <v>BORDEAUX</v>
          </cell>
          <cell r="E1019">
            <v>1</v>
          </cell>
          <cell r="F1019" t="str">
            <v>NUMERICABLE</v>
          </cell>
          <cell r="I1019" t="str">
            <v>FTCN905001</v>
          </cell>
          <cell r="J1019">
            <v>100</v>
          </cell>
          <cell r="K1019">
            <v>36434</v>
          </cell>
          <cell r="L1019" t="str">
            <v>CONSEILLER ADMINISTRATIF</v>
          </cell>
          <cell r="M1019" t="str">
            <v>462E</v>
          </cell>
          <cell r="N1019" t="str">
            <v>C</v>
          </cell>
          <cell r="O1019" t="str">
            <v>CDI</v>
          </cell>
          <cell r="P1019">
            <v>166.83</v>
          </cell>
          <cell r="Q1019">
            <v>1577.17</v>
          </cell>
          <cell r="R1019">
            <v>242.82</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-33.61</v>
          </cell>
          <cell r="AN1019">
            <v>157.72999999999999</v>
          </cell>
          <cell r="AO1019">
            <v>-33.61</v>
          </cell>
          <cell r="AP1019">
            <v>0</v>
          </cell>
          <cell r="AQ1019">
            <v>1577.17</v>
          </cell>
          <cell r="AR1019">
            <v>0</v>
          </cell>
          <cell r="AS1019">
            <v>0</v>
          </cell>
          <cell r="AT1019">
            <v>0</v>
          </cell>
          <cell r="AU1019">
            <v>0</v>
          </cell>
        </row>
        <row r="1020">
          <cell r="A1020" t="str">
            <v>000A1532</v>
          </cell>
          <cell r="B1020" t="str">
            <v>PERROT</v>
          </cell>
          <cell r="C1020" t="str">
            <v>ALAIN</v>
          </cell>
          <cell r="D1020" t="str">
            <v>METZ</v>
          </cell>
          <cell r="E1020">
            <v>19</v>
          </cell>
          <cell r="F1020" t="str">
            <v>NUMERICABLE  (TCC)</v>
          </cell>
          <cell r="G1020" t="str">
            <v>TRAVAUX</v>
          </cell>
          <cell r="H1020" t="str">
            <v>TAILLON</v>
          </cell>
          <cell r="I1020" t="str">
            <v>ESTR300001</v>
          </cell>
          <cell r="J1020">
            <v>100</v>
          </cell>
          <cell r="K1020">
            <v>31432</v>
          </cell>
          <cell r="L1020" t="str">
            <v>SUPERVISEUR TRAVAUX</v>
          </cell>
          <cell r="M1020" t="str">
            <v>TSM</v>
          </cell>
          <cell r="N1020" t="str">
            <v>D</v>
          </cell>
          <cell r="O1020" t="str">
            <v>CDI</v>
          </cell>
          <cell r="P1020">
            <v>151.57</v>
          </cell>
          <cell r="Q1020">
            <v>2373.5100000000002</v>
          </cell>
          <cell r="R1020">
            <v>1212.0999999999999</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150</v>
          </cell>
          <cell r="AM1020">
            <v>0</v>
          </cell>
          <cell r="AN1020">
            <v>196.21</v>
          </cell>
          <cell r="AO1020">
            <v>0</v>
          </cell>
          <cell r="AP1020">
            <v>0</v>
          </cell>
          <cell r="AQ1020">
            <v>2044.17</v>
          </cell>
          <cell r="AR1020">
            <v>150</v>
          </cell>
          <cell r="AS1020">
            <v>0</v>
          </cell>
          <cell r="AT1020">
            <v>0</v>
          </cell>
          <cell r="AU1020">
            <v>0</v>
          </cell>
        </row>
        <row r="1021">
          <cell r="A1021" t="str">
            <v>000A1540</v>
          </cell>
          <cell r="B1021" t="str">
            <v>TAILLON</v>
          </cell>
          <cell r="C1021" t="str">
            <v>BERNARD</v>
          </cell>
          <cell r="D1021" t="str">
            <v>METZ</v>
          </cell>
          <cell r="E1021">
            <v>19</v>
          </cell>
          <cell r="F1021" t="str">
            <v>NUMERICABLE  (TCC)</v>
          </cell>
          <cell r="G1021" t="str">
            <v>TRAVAUX</v>
          </cell>
          <cell r="H1021" t="str">
            <v>BAUER V</v>
          </cell>
          <cell r="I1021" t="str">
            <v>ESTR300001</v>
          </cell>
          <cell r="J1021">
            <v>100</v>
          </cell>
          <cell r="K1021">
            <v>38626</v>
          </cell>
          <cell r="L1021" t="str">
            <v>RESP SERV INGENIERIE</v>
          </cell>
          <cell r="M1021" t="str">
            <v>CADRE</v>
          </cell>
          <cell r="N1021" t="str">
            <v>F</v>
          </cell>
          <cell r="O1021" t="str">
            <v>CDI</v>
          </cell>
          <cell r="P1021">
            <v>151.57</v>
          </cell>
          <cell r="Q1021">
            <v>4250</v>
          </cell>
          <cell r="R1021">
            <v>1421.95</v>
          </cell>
          <cell r="S1021">
            <v>0</v>
          </cell>
          <cell r="T1021">
            <v>0</v>
          </cell>
          <cell r="U1021">
            <v>0</v>
          </cell>
          <cell r="V1021">
            <v>0</v>
          </cell>
          <cell r="W1021">
            <v>0</v>
          </cell>
          <cell r="X1021">
            <v>0</v>
          </cell>
          <cell r="Y1021">
            <v>0</v>
          </cell>
          <cell r="Z1021">
            <v>0</v>
          </cell>
          <cell r="AA1021">
            <v>0</v>
          </cell>
          <cell r="AB1021">
            <v>0</v>
          </cell>
          <cell r="AC1021">
            <v>0</v>
          </cell>
          <cell r="AD1021">
            <v>1000</v>
          </cell>
          <cell r="AE1021">
            <v>0</v>
          </cell>
          <cell r="AF1021">
            <v>0</v>
          </cell>
          <cell r="AG1021">
            <v>0</v>
          </cell>
          <cell r="AH1021">
            <v>0</v>
          </cell>
          <cell r="AI1021">
            <v>0</v>
          </cell>
          <cell r="AJ1021">
            <v>0</v>
          </cell>
          <cell r="AK1021">
            <v>0</v>
          </cell>
          <cell r="AL1021">
            <v>285</v>
          </cell>
          <cell r="AM1021">
            <v>0</v>
          </cell>
          <cell r="AN1021">
            <v>407.95</v>
          </cell>
          <cell r="AO1021">
            <v>0</v>
          </cell>
          <cell r="AP1021">
            <v>0</v>
          </cell>
          <cell r="AQ1021">
            <v>3465.5</v>
          </cell>
          <cell r="AR1021">
            <v>1285</v>
          </cell>
          <cell r="AS1021">
            <v>0</v>
          </cell>
          <cell r="AT1021">
            <v>0</v>
          </cell>
          <cell r="AU1021">
            <v>0</v>
          </cell>
        </row>
        <row r="1022">
          <cell r="A1022" t="str">
            <v>000A1464</v>
          </cell>
          <cell r="B1022" t="str">
            <v>LE BECHENNEC</v>
          </cell>
          <cell r="C1022" t="str">
            <v>ANTHONY</v>
          </cell>
          <cell r="D1022" t="str">
            <v>SAINT QUENTIN EN YVE</v>
          </cell>
          <cell r="E1022">
            <v>3</v>
          </cell>
          <cell r="F1022" t="str">
            <v>NUMERICABLE</v>
          </cell>
          <cell r="G1022" t="str">
            <v>BOUTIQUE</v>
          </cell>
          <cell r="H1022" t="str">
            <v>ELIEZER-VANEROT</v>
          </cell>
          <cell r="I1022" t="str">
            <v>IDFR507001</v>
          </cell>
          <cell r="J1022">
            <v>100</v>
          </cell>
          <cell r="K1022">
            <v>38740</v>
          </cell>
          <cell r="L1022" t="str">
            <v>CONSEILLER CLIENTELE BOUTIQUE</v>
          </cell>
          <cell r="M1022" t="str">
            <v>463E</v>
          </cell>
          <cell r="N1022" t="str">
            <v>C</v>
          </cell>
          <cell r="O1022" t="str">
            <v>CDD</v>
          </cell>
          <cell r="P1022">
            <v>166.83</v>
          </cell>
          <cell r="Q1022">
            <v>1690</v>
          </cell>
          <cell r="R1022">
            <v>1005.91</v>
          </cell>
          <cell r="S1022">
            <v>0</v>
          </cell>
          <cell r="T1022">
            <v>604</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190.4</v>
          </cell>
          <cell r="AO1022">
            <v>50.65</v>
          </cell>
          <cell r="AP1022">
            <v>0</v>
          </cell>
          <cell r="AQ1022">
            <v>1300</v>
          </cell>
          <cell r="AR1022">
            <v>0</v>
          </cell>
          <cell r="AS1022">
            <v>0</v>
          </cell>
          <cell r="AT1022">
            <v>0</v>
          </cell>
          <cell r="AU1022">
            <v>0</v>
          </cell>
        </row>
        <row r="1023">
          <cell r="A1023">
            <v>1304</v>
          </cell>
          <cell r="B1023" t="str">
            <v>BONHOMME</v>
          </cell>
          <cell r="C1023" t="str">
            <v>OLIVIER</v>
          </cell>
          <cell r="D1023" t="str">
            <v>SIEGE</v>
          </cell>
          <cell r="E1023">
            <v>1</v>
          </cell>
          <cell r="F1023" t="str">
            <v>NUMERICABLE</v>
          </cell>
          <cell r="G1023" t="str">
            <v>DIRECTION RESS HUM</v>
          </cell>
          <cell r="H1023" t="str">
            <v>LUCIANI</v>
          </cell>
          <cell r="I1023" t="str">
            <v>GENE703001</v>
          </cell>
          <cell r="J1023">
            <v>100</v>
          </cell>
          <cell r="K1023">
            <v>38285</v>
          </cell>
          <cell r="L1023" t="str">
            <v>RESP. R.H. REGIONS</v>
          </cell>
          <cell r="M1023" t="str">
            <v>372C</v>
          </cell>
          <cell r="N1023" t="str">
            <v>E</v>
          </cell>
          <cell r="O1023" t="str">
            <v>CDI</v>
          </cell>
          <cell r="P1023">
            <v>151.57</v>
          </cell>
          <cell r="Q1023">
            <v>2625</v>
          </cell>
          <cell r="R1023">
            <v>1027.01</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262.45999999999998</v>
          </cell>
          <cell r="AO1023">
            <v>11.65</v>
          </cell>
          <cell r="AP1023">
            <v>0</v>
          </cell>
          <cell r="AQ1023">
            <v>2018.99</v>
          </cell>
          <cell r="AR1023">
            <v>0</v>
          </cell>
          <cell r="AS1023">
            <v>0</v>
          </cell>
          <cell r="AT1023">
            <v>0</v>
          </cell>
          <cell r="AU1023">
            <v>0</v>
          </cell>
        </row>
        <row r="1024">
          <cell r="A1024" t="str">
            <v>000A1534</v>
          </cell>
          <cell r="B1024" t="str">
            <v>PIERETTI</v>
          </cell>
          <cell r="C1024" t="str">
            <v>FABRICE</v>
          </cell>
          <cell r="D1024" t="str">
            <v>METZ</v>
          </cell>
          <cell r="E1024">
            <v>19</v>
          </cell>
          <cell r="F1024" t="str">
            <v>NUMERICABLE  (TCC)</v>
          </cell>
          <cell r="I1024" t="str">
            <v>FTCN905001</v>
          </cell>
          <cell r="J1024">
            <v>100</v>
          </cell>
          <cell r="K1024">
            <v>38626</v>
          </cell>
          <cell r="L1024" t="str">
            <v>CONDUCTEUR TRAVAUX</v>
          </cell>
          <cell r="M1024" t="str">
            <v>EMPLOYE</v>
          </cell>
          <cell r="N1024" t="str">
            <v>D</v>
          </cell>
          <cell r="O1024" t="str">
            <v>CDI</v>
          </cell>
          <cell r="P1024">
            <v>151.57</v>
          </cell>
          <cell r="Q1024">
            <v>2680</v>
          </cell>
          <cell r="R1024">
            <v>2438.1799999999998</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90.54</v>
          </cell>
          <cell r="AN1024">
            <v>257.24</v>
          </cell>
          <cell r="AO1024">
            <v>-28.34</v>
          </cell>
          <cell r="AP1024">
            <v>0</v>
          </cell>
          <cell r="AQ1024">
            <v>2798.88</v>
          </cell>
          <cell r="AR1024">
            <v>0</v>
          </cell>
          <cell r="AS1024">
            <v>0</v>
          </cell>
          <cell r="AT1024">
            <v>0</v>
          </cell>
          <cell r="AU1024">
            <v>0</v>
          </cell>
        </row>
        <row r="1025">
          <cell r="A1025" t="str">
            <v>000A1533</v>
          </cell>
          <cell r="B1025" t="str">
            <v>PETIT</v>
          </cell>
          <cell r="C1025" t="str">
            <v>VINCENT</v>
          </cell>
          <cell r="D1025" t="str">
            <v>SIEGE</v>
          </cell>
          <cell r="E1025">
            <v>19</v>
          </cell>
          <cell r="F1025" t="str">
            <v>NUMERICABLE  (TCC)</v>
          </cell>
          <cell r="G1025" t="str">
            <v>B TO B</v>
          </cell>
          <cell r="H1025" t="str">
            <v>PRADERE</v>
          </cell>
          <cell r="I1025" t="str">
            <v>IDFR504001</v>
          </cell>
          <cell r="J1025">
            <v>100</v>
          </cell>
          <cell r="K1025">
            <v>38626</v>
          </cell>
          <cell r="L1025" t="str">
            <v>RESPONSABLE  COMMERCIAL</v>
          </cell>
          <cell r="M1025" t="str">
            <v>CADRE</v>
          </cell>
          <cell r="N1025" t="str">
            <v>F</v>
          </cell>
          <cell r="O1025" t="str">
            <v>CDI</v>
          </cell>
          <cell r="P1025">
            <v>151.57</v>
          </cell>
          <cell r="Q1025">
            <v>5300</v>
          </cell>
          <cell r="R1025">
            <v>2165.38</v>
          </cell>
          <cell r="S1025">
            <v>0</v>
          </cell>
          <cell r="T1025">
            <v>0</v>
          </cell>
          <cell r="U1025">
            <v>0</v>
          </cell>
          <cell r="V1025">
            <v>0</v>
          </cell>
          <cell r="W1025">
            <v>0</v>
          </cell>
          <cell r="X1025">
            <v>0</v>
          </cell>
          <cell r="Y1025">
            <v>0</v>
          </cell>
          <cell r="Z1025">
            <v>0</v>
          </cell>
          <cell r="AA1025">
            <v>0</v>
          </cell>
          <cell r="AB1025">
            <v>0</v>
          </cell>
          <cell r="AC1025">
            <v>0</v>
          </cell>
          <cell r="AD1025">
            <v>1325</v>
          </cell>
          <cell r="AE1025">
            <v>0</v>
          </cell>
          <cell r="AF1025">
            <v>0</v>
          </cell>
          <cell r="AG1025">
            <v>0</v>
          </cell>
          <cell r="AH1025">
            <v>0</v>
          </cell>
          <cell r="AI1025">
            <v>0</v>
          </cell>
          <cell r="AJ1025">
            <v>0</v>
          </cell>
          <cell r="AK1025">
            <v>0</v>
          </cell>
          <cell r="AL1025">
            <v>0</v>
          </cell>
          <cell r="AM1025">
            <v>0</v>
          </cell>
          <cell r="AN1025">
            <v>508.72</v>
          </cell>
          <cell r="AO1025">
            <v>0</v>
          </cell>
          <cell r="AP1025">
            <v>0</v>
          </cell>
          <cell r="AQ1025">
            <v>5300</v>
          </cell>
          <cell r="AR1025">
            <v>1325</v>
          </cell>
          <cell r="AS1025">
            <v>0</v>
          </cell>
          <cell r="AT1025">
            <v>0</v>
          </cell>
          <cell r="AU1025">
            <v>0</v>
          </cell>
        </row>
        <row r="1026">
          <cell r="A1026" t="str">
            <v>000A1747</v>
          </cell>
          <cell r="B1026" t="str">
            <v>RIOND</v>
          </cell>
          <cell r="C1026" t="str">
            <v>CHRISTOPHE</v>
          </cell>
          <cell r="D1026" t="str">
            <v>MONTPELLIER</v>
          </cell>
          <cell r="E1026">
            <v>3</v>
          </cell>
          <cell r="F1026" t="str">
            <v>NUMERICABLE</v>
          </cell>
          <cell r="G1026" t="str">
            <v>CLIENTELE</v>
          </cell>
          <cell r="I1026" t="str">
            <v>SUES507001</v>
          </cell>
          <cell r="J1026">
            <v>100</v>
          </cell>
          <cell r="K1026">
            <v>38824</v>
          </cell>
          <cell r="L1026" t="str">
            <v>CONSEILLER CLIENTELE BOUTIQUE</v>
          </cell>
          <cell r="M1026" t="str">
            <v>463E</v>
          </cell>
          <cell r="N1026" t="str">
            <v>C</v>
          </cell>
          <cell r="O1026" t="str">
            <v>CDI</v>
          </cell>
          <cell r="P1026">
            <v>166.83</v>
          </cell>
          <cell r="Q1026">
            <v>0</v>
          </cell>
          <cell r="R1026">
            <v>171.59</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606.66999999999996</v>
          </cell>
          <cell r="AR1026">
            <v>0</v>
          </cell>
          <cell r="AS1026">
            <v>0</v>
          </cell>
          <cell r="AT1026">
            <v>0</v>
          </cell>
          <cell r="AU1026">
            <v>0</v>
          </cell>
        </row>
        <row r="1027">
          <cell r="A1027">
            <v>42</v>
          </cell>
          <cell r="B1027" t="str">
            <v>EHRMANN</v>
          </cell>
          <cell r="C1027" t="str">
            <v>PASCAL</v>
          </cell>
          <cell r="D1027" t="str">
            <v>BORDEAUX</v>
          </cell>
          <cell r="E1027">
            <v>1</v>
          </cell>
          <cell r="F1027" t="str">
            <v>NUMERICABLE</v>
          </cell>
          <cell r="I1027" t="str">
            <v>FTCN905001</v>
          </cell>
          <cell r="J1027">
            <v>100</v>
          </cell>
          <cell r="K1027">
            <v>34260</v>
          </cell>
          <cell r="L1027" t="str">
            <v>ANIMATEUR DES VENTES VAD</v>
          </cell>
          <cell r="M1027" t="str">
            <v>463E</v>
          </cell>
          <cell r="N1027" t="str">
            <v>DB</v>
          </cell>
          <cell r="O1027" t="str">
            <v>CDI</v>
          </cell>
          <cell r="P1027">
            <v>166.83</v>
          </cell>
          <cell r="Q1027">
            <v>1850</v>
          </cell>
          <cell r="R1027">
            <v>1396.49</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1163.19</v>
          </cell>
          <cell r="AN1027">
            <v>-0.01</v>
          </cell>
          <cell r="AO1027">
            <v>0</v>
          </cell>
          <cell r="AP1027">
            <v>0</v>
          </cell>
          <cell r="AQ1027">
            <v>3013.19</v>
          </cell>
          <cell r="AR1027">
            <v>0</v>
          </cell>
          <cell r="AS1027">
            <v>0</v>
          </cell>
          <cell r="AT1027">
            <v>0</v>
          </cell>
          <cell r="AU1027">
            <v>0</v>
          </cell>
        </row>
        <row r="1028">
          <cell r="A1028">
            <v>657</v>
          </cell>
          <cell r="B1028" t="str">
            <v>RIBES</v>
          </cell>
          <cell r="C1028" t="str">
            <v>FABIEN</v>
          </cell>
          <cell r="D1028" t="str">
            <v>AVIGNON</v>
          </cell>
          <cell r="E1028">
            <v>1</v>
          </cell>
          <cell r="F1028" t="str">
            <v>NUMERICABLE</v>
          </cell>
          <cell r="I1028" t="str">
            <v>FTCN905001</v>
          </cell>
          <cell r="J1028">
            <v>100</v>
          </cell>
          <cell r="K1028">
            <v>36893</v>
          </cell>
          <cell r="L1028" t="str">
            <v>CONSEIL. COMMERCIAL</v>
          </cell>
          <cell r="M1028" t="str">
            <v>463E</v>
          </cell>
          <cell r="N1028" t="str">
            <v>C</v>
          </cell>
          <cell r="O1028" t="str">
            <v>CDI</v>
          </cell>
          <cell r="P1028">
            <v>166.83</v>
          </cell>
          <cell r="Q1028">
            <v>1610.36</v>
          </cell>
          <cell r="R1028">
            <v>-661.95</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144.91</v>
          </cell>
          <cell r="AN1028">
            <v>161.05000000000001</v>
          </cell>
          <cell r="AO1028">
            <v>144.91</v>
          </cell>
          <cell r="AP1028">
            <v>0</v>
          </cell>
          <cell r="AQ1028">
            <v>1610.36</v>
          </cell>
          <cell r="AR1028">
            <v>0</v>
          </cell>
          <cell r="AS1028">
            <v>0</v>
          </cell>
          <cell r="AT1028">
            <v>0</v>
          </cell>
          <cell r="AU1028">
            <v>0</v>
          </cell>
        </row>
        <row r="1029">
          <cell r="A1029">
            <v>720</v>
          </cell>
          <cell r="B1029" t="str">
            <v>LOIE</v>
          </cell>
          <cell r="C1029" t="str">
            <v>YANN</v>
          </cell>
          <cell r="D1029" t="str">
            <v>RENNES</v>
          </cell>
          <cell r="E1029">
            <v>1</v>
          </cell>
          <cell r="F1029" t="str">
            <v>NUMERICABLE</v>
          </cell>
          <cell r="I1029" t="str">
            <v>FTCN905001</v>
          </cell>
          <cell r="J1029">
            <v>100</v>
          </cell>
          <cell r="K1029">
            <v>36971</v>
          </cell>
          <cell r="L1029" t="str">
            <v>ATTACHE COMMERCIAL</v>
          </cell>
          <cell r="M1029" t="str">
            <v>EMPLOYE</v>
          </cell>
          <cell r="N1029" t="str">
            <v>D</v>
          </cell>
          <cell r="O1029" t="str">
            <v>CDI</v>
          </cell>
          <cell r="P1029">
            <v>166.83</v>
          </cell>
          <cell r="Q1029">
            <v>1285</v>
          </cell>
          <cell r="R1029">
            <v>958.4</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894</v>
          </cell>
          <cell r="AN1029">
            <v>123.34</v>
          </cell>
          <cell r="AO1029">
            <v>0</v>
          </cell>
          <cell r="AP1029">
            <v>0</v>
          </cell>
          <cell r="AQ1029">
            <v>2179</v>
          </cell>
          <cell r="AR1029">
            <v>0</v>
          </cell>
          <cell r="AS1029">
            <v>0</v>
          </cell>
          <cell r="AT1029">
            <v>0</v>
          </cell>
          <cell r="AU1029">
            <v>0</v>
          </cell>
        </row>
        <row r="1030">
          <cell r="A1030">
            <v>1068</v>
          </cell>
          <cell r="B1030" t="str">
            <v>PAULUSI</v>
          </cell>
          <cell r="C1030" t="str">
            <v>KCREASCENCE</v>
          </cell>
          <cell r="D1030" t="str">
            <v>TRAPPES</v>
          </cell>
          <cell r="E1030">
            <v>1</v>
          </cell>
          <cell r="F1030" t="str">
            <v>NUMERICABLE</v>
          </cell>
          <cell r="I1030" t="str">
            <v>FTCN905001</v>
          </cell>
          <cell r="J1030">
            <v>100</v>
          </cell>
          <cell r="K1030">
            <v>37508</v>
          </cell>
          <cell r="L1030" t="str">
            <v>ATTACHE COMMERCIAL</v>
          </cell>
          <cell r="M1030" t="str">
            <v>EMPLOYE</v>
          </cell>
          <cell r="N1030" t="str">
            <v>D</v>
          </cell>
          <cell r="O1030" t="str">
            <v>CDI</v>
          </cell>
          <cell r="P1030">
            <v>166.83</v>
          </cell>
          <cell r="Q1030">
            <v>1100</v>
          </cell>
          <cell r="R1030">
            <v>1531.7</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2227.89</v>
          </cell>
          <cell r="AN1030">
            <v>-0.01</v>
          </cell>
          <cell r="AO1030">
            <v>0</v>
          </cell>
          <cell r="AP1030">
            <v>0</v>
          </cell>
          <cell r="AQ1030">
            <v>3327.89</v>
          </cell>
          <cell r="AR1030">
            <v>0</v>
          </cell>
          <cell r="AS1030">
            <v>0</v>
          </cell>
          <cell r="AT1030">
            <v>0</v>
          </cell>
          <cell r="AU1030">
            <v>0</v>
          </cell>
        </row>
        <row r="1031">
          <cell r="A1031">
            <v>451010</v>
          </cell>
          <cell r="B1031" t="str">
            <v>MICHEL</v>
          </cell>
          <cell r="C1031" t="str">
            <v>DANIEL</v>
          </cell>
          <cell r="D1031" t="str">
            <v>RENNES</v>
          </cell>
          <cell r="E1031">
            <v>1</v>
          </cell>
          <cell r="F1031" t="str">
            <v>NUMERICABLE</v>
          </cell>
          <cell r="I1031" t="str">
            <v>FTCN905001</v>
          </cell>
          <cell r="J1031">
            <v>100</v>
          </cell>
          <cell r="K1031">
            <v>33970</v>
          </cell>
          <cell r="L1031" t="str">
            <v>DIRECTEUR TECHNIQUE</v>
          </cell>
          <cell r="M1031" t="str">
            <v>380A</v>
          </cell>
          <cell r="N1031" t="str">
            <v>E</v>
          </cell>
          <cell r="O1031" t="str">
            <v>CDI</v>
          </cell>
          <cell r="P1031">
            <v>151.57</v>
          </cell>
          <cell r="Q1031">
            <v>3738</v>
          </cell>
          <cell r="R1031">
            <v>4624.42</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140.80000000000001</v>
          </cell>
          <cell r="AN1031">
            <v>342.16</v>
          </cell>
          <cell r="AO1031">
            <v>-86.23</v>
          </cell>
          <cell r="AP1031">
            <v>0</v>
          </cell>
          <cell r="AQ1031">
            <v>3965.03</v>
          </cell>
          <cell r="AR1031">
            <v>0</v>
          </cell>
          <cell r="AS1031">
            <v>0</v>
          </cell>
          <cell r="AT1031">
            <v>0</v>
          </cell>
          <cell r="AU1031">
            <v>0</v>
          </cell>
        </row>
        <row r="1032">
          <cell r="A1032">
            <v>901005</v>
          </cell>
          <cell r="B1032" t="str">
            <v>SEBELON</v>
          </cell>
          <cell r="C1032" t="str">
            <v>CLAUDE</v>
          </cell>
          <cell r="D1032" t="str">
            <v>MONTPELLIER</v>
          </cell>
          <cell r="E1032">
            <v>1</v>
          </cell>
          <cell r="F1032" t="str">
            <v>NUMERICABLE</v>
          </cell>
          <cell r="G1032" t="str">
            <v>DIRECTION REGIONALE</v>
          </cell>
          <cell r="H1032" t="str">
            <v>LUCIANI</v>
          </cell>
          <cell r="I1032" t="str">
            <v>SUES500001</v>
          </cell>
          <cell r="J1032">
            <v>100</v>
          </cell>
          <cell r="K1032">
            <v>33970</v>
          </cell>
          <cell r="L1032" t="str">
            <v>ASSIST. COMMERCIAL</v>
          </cell>
          <cell r="M1032" t="str">
            <v>461C</v>
          </cell>
          <cell r="N1032" t="str">
            <v>DB</v>
          </cell>
          <cell r="O1032" t="str">
            <v>CDI</v>
          </cell>
          <cell r="P1032">
            <v>166.83</v>
          </cell>
          <cell r="Q1032">
            <v>4164.38</v>
          </cell>
          <cell r="R1032">
            <v>1238.5899999999999</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292.57</v>
          </cell>
          <cell r="AO1032">
            <v>0</v>
          </cell>
          <cell r="AP1032">
            <v>0</v>
          </cell>
          <cell r="AQ1032">
            <v>2207.0300000000002</v>
          </cell>
          <cell r="AR1032">
            <v>228.67</v>
          </cell>
          <cell r="AS1032">
            <v>0</v>
          </cell>
          <cell r="AT1032">
            <v>0</v>
          </cell>
          <cell r="AU1032">
            <v>0</v>
          </cell>
        </row>
        <row r="1033">
          <cell r="A1033">
            <v>901138</v>
          </cell>
          <cell r="B1033" t="str">
            <v>GINOUX</v>
          </cell>
          <cell r="C1033" t="str">
            <v>PATRICK</v>
          </cell>
          <cell r="D1033" t="str">
            <v>MONTPELLIER</v>
          </cell>
          <cell r="E1033">
            <v>1</v>
          </cell>
          <cell r="F1033" t="str">
            <v>NUMERICABLE</v>
          </cell>
          <cell r="I1033" t="str">
            <v>FTCN905001</v>
          </cell>
          <cell r="J1033">
            <v>100</v>
          </cell>
          <cell r="K1033">
            <v>36069</v>
          </cell>
          <cell r="L1033" t="str">
            <v>CHARGE DE CLIENTELE</v>
          </cell>
          <cell r="M1033" t="str">
            <v>462E</v>
          </cell>
          <cell r="N1033" t="str">
            <v>C</v>
          </cell>
          <cell r="O1033" t="str">
            <v>CDI</v>
          </cell>
          <cell r="P1033">
            <v>166.83</v>
          </cell>
          <cell r="Q1033">
            <v>1326.36</v>
          </cell>
          <cell r="R1033">
            <v>100.22</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1955.26</v>
          </cell>
          <cell r="AN1033">
            <v>144.68</v>
          </cell>
          <cell r="AO1033">
            <v>1834.85</v>
          </cell>
          <cell r="AP1033">
            <v>0</v>
          </cell>
          <cell r="AQ1033">
            <v>1446.77</v>
          </cell>
          <cell r="AR1033">
            <v>0</v>
          </cell>
          <cell r="AS1033">
            <v>0</v>
          </cell>
          <cell r="AT1033">
            <v>0</v>
          </cell>
          <cell r="AU1033">
            <v>0</v>
          </cell>
        </row>
        <row r="1034">
          <cell r="A1034">
            <v>952050</v>
          </cell>
          <cell r="B1034" t="str">
            <v>CHOQUELL</v>
          </cell>
          <cell r="C1034" t="str">
            <v>LAURENCE</v>
          </cell>
          <cell r="D1034" t="str">
            <v>MARSEILLE</v>
          </cell>
          <cell r="E1034">
            <v>1</v>
          </cell>
          <cell r="F1034" t="str">
            <v>NUMERICABLE</v>
          </cell>
          <cell r="G1034" t="str">
            <v>RACCORDEMENT IMMOB.</v>
          </cell>
          <cell r="H1034" t="str">
            <v>TUGLER</v>
          </cell>
          <cell r="I1034" t="str">
            <v>SUES302001</v>
          </cell>
          <cell r="J1034">
            <v>100</v>
          </cell>
          <cell r="K1034">
            <v>34747</v>
          </cell>
          <cell r="L1034" t="str">
            <v>SUPERV. RACC-SAV</v>
          </cell>
          <cell r="M1034" t="str">
            <v>TSM</v>
          </cell>
          <cell r="N1034" t="str">
            <v>D</v>
          </cell>
          <cell r="O1034" t="str">
            <v>CDI</v>
          </cell>
          <cell r="P1034">
            <v>166.83</v>
          </cell>
          <cell r="Q1034">
            <v>1900</v>
          </cell>
          <cell r="R1034">
            <v>1112.58</v>
          </cell>
          <cell r="S1034">
            <v>0</v>
          </cell>
          <cell r="T1034">
            <v>120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202.53</v>
          </cell>
          <cell r="AO1034">
            <v>0</v>
          </cell>
          <cell r="AP1034">
            <v>0</v>
          </cell>
          <cell r="AQ1034">
            <v>1905.36</v>
          </cell>
          <cell r="AR1034">
            <v>0</v>
          </cell>
          <cell r="AS1034">
            <v>0</v>
          </cell>
          <cell r="AT1034">
            <v>0</v>
          </cell>
          <cell r="AU1034">
            <v>0</v>
          </cell>
        </row>
        <row r="1035">
          <cell r="A1035">
            <v>952322</v>
          </cell>
          <cell r="B1035" t="str">
            <v>GUINOLAS</v>
          </cell>
          <cell r="C1035" t="str">
            <v>LAURENCE</v>
          </cell>
          <cell r="D1035" t="str">
            <v>MARSEILLE</v>
          </cell>
          <cell r="E1035">
            <v>1</v>
          </cell>
          <cell r="F1035" t="str">
            <v>NUMERICABLE</v>
          </cell>
          <cell r="I1035" t="str">
            <v>FTCN905001</v>
          </cell>
          <cell r="J1035">
            <v>100</v>
          </cell>
          <cell r="K1035">
            <v>35779</v>
          </cell>
          <cell r="L1035" t="str">
            <v>CHARGE DE CLIENTELE</v>
          </cell>
          <cell r="M1035" t="str">
            <v>462E</v>
          </cell>
          <cell r="N1035" t="str">
            <v>C</v>
          </cell>
          <cell r="O1035" t="str">
            <v>CDI</v>
          </cell>
          <cell r="P1035">
            <v>166.83</v>
          </cell>
          <cell r="Q1035">
            <v>1506</v>
          </cell>
          <cell r="R1035">
            <v>214.34</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878.5</v>
          </cell>
          <cell r="AR1035">
            <v>0</v>
          </cell>
          <cell r="AS1035">
            <v>0</v>
          </cell>
          <cell r="AT1035">
            <v>0</v>
          </cell>
          <cell r="AU1035">
            <v>0</v>
          </cell>
        </row>
        <row r="1036">
          <cell r="A1036" t="str">
            <v>000A1523</v>
          </cell>
          <cell r="B1036" t="str">
            <v>GUITTIN</v>
          </cell>
          <cell r="C1036" t="str">
            <v>PASCAL</v>
          </cell>
          <cell r="D1036" t="str">
            <v>METZ</v>
          </cell>
          <cell r="E1036">
            <v>19</v>
          </cell>
          <cell r="F1036" t="str">
            <v>NUMERICABLE  (TCC)</v>
          </cell>
          <cell r="G1036" t="str">
            <v>TECHNIQUE</v>
          </cell>
          <cell r="I1036" t="str">
            <v>FTCN905001</v>
          </cell>
          <cell r="J1036">
            <v>100</v>
          </cell>
          <cell r="K1036">
            <v>34973</v>
          </cell>
          <cell r="L1036" t="str">
            <v>TECH. EXP. NIV. 1</v>
          </cell>
          <cell r="M1036" t="str">
            <v>EMPLOYE</v>
          </cell>
          <cell r="N1036" t="str">
            <v>C</v>
          </cell>
          <cell r="O1036" t="str">
            <v>CDI</v>
          </cell>
          <cell r="P1036">
            <v>151.57</v>
          </cell>
          <cell r="Q1036">
            <v>1750</v>
          </cell>
          <cell r="R1036">
            <v>156.26</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148.63</v>
          </cell>
          <cell r="AN1036">
            <v>167.97</v>
          </cell>
          <cell r="AO1036">
            <v>68.38</v>
          </cell>
          <cell r="AP1036">
            <v>0</v>
          </cell>
          <cell r="AQ1036">
            <v>1830.25</v>
          </cell>
          <cell r="AR1036">
            <v>0</v>
          </cell>
          <cell r="AS1036">
            <v>0</v>
          </cell>
          <cell r="AT1036">
            <v>0</v>
          </cell>
          <cell r="AU1036">
            <v>0</v>
          </cell>
        </row>
        <row r="1037">
          <cell r="A1037">
            <v>220</v>
          </cell>
          <cell r="B1037" t="str">
            <v>PAMA DJOBO</v>
          </cell>
          <cell r="C1037" t="str">
            <v>BEUGRE HYACINTHE</v>
          </cell>
          <cell r="D1037" t="str">
            <v>SAINT MARTIN D'HERES</v>
          </cell>
          <cell r="E1037">
            <v>1</v>
          </cell>
          <cell r="F1037" t="str">
            <v>NUMERICABLE</v>
          </cell>
          <cell r="I1037" t="str">
            <v>FTCN905001</v>
          </cell>
          <cell r="J1037">
            <v>100</v>
          </cell>
          <cell r="K1037">
            <v>36416</v>
          </cell>
          <cell r="L1037" t="str">
            <v>ATTACHE COMMERCIAL</v>
          </cell>
          <cell r="M1037" t="str">
            <v>CADRE</v>
          </cell>
          <cell r="N1037" t="str">
            <v>D</v>
          </cell>
          <cell r="O1037" t="str">
            <v>CDI</v>
          </cell>
          <cell r="P1037">
            <v>166.83</v>
          </cell>
          <cell r="Q1037">
            <v>1285</v>
          </cell>
          <cell r="R1037">
            <v>96.37</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2526.81</v>
          </cell>
          <cell r="AN1037">
            <v>128.5</v>
          </cell>
          <cell r="AO1037">
            <v>2526.81</v>
          </cell>
          <cell r="AP1037">
            <v>0</v>
          </cell>
          <cell r="AQ1037">
            <v>1285</v>
          </cell>
          <cell r="AR1037">
            <v>0</v>
          </cell>
          <cell r="AS1037">
            <v>0</v>
          </cell>
          <cell r="AT1037">
            <v>0</v>
          </cell>
          <cell r="AU1037">
            <v>0</v>
          </cell>
        </row>
        <row r="1038">
          <cell r="A1038">
            <v>20000940</v>
          </cell>
          <cell r="B1038" t="str">
            <v>MINCARELLI</v>
          </cell>
          <cell r="C1038" t="str">
            <v>MARC</v>
          </cell>
          <cell r="D1038" t="str">
            <v>MARSEILLE</v>
          </cell>
          <cell r="E1038">
            <v>1</v>
          </cell>
          <cell r="F1038" t="str">
            <v>NUMERICABLE</v>
          </cell>
          <cell r="I1038" t="str">
            <v>FTCN905001</v>
          </cell>
          <cell r="J1038">
            <v>100</v>
          </cell>
          <cell r="K1038">
            <v>37270</v>
          </cell>
          <cell r="L1038" t="str">
            <v>ATTACHE COMMERCIAL</v>
          </cell>
          <cell r="M1038" t="str">
            <v>EMPLOYE</v>
          </cell>
          <cell r="N1038" t="str">
            <v>D</v>
          </cell>
          <cell r="O1038" t="str">
            <v>CDI</v>
          </cell>
          <cell r="P1038">
            <v>166.83</v>
          </cell>
          <cell r="Q1038">
            <v>2964.74</v>
          </cell>
          <cell r="R1038">
            <v>-1058.2</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873.2</v>
          </cell>
          <cell r="AN1038">
            <v>112.69</v>
          </cell>
          <cell r="AO1038">
            <v>873.2</v>
          </cell>
          <cell r="AP1038">
            <v>0</v>
          </cell>
          <cell r="AQ1038">
            <v>1126.8</v>
          </cell>
          <cell r="AR1038">
            <v>0</v>
          </cell>
          <cell r="AS1038">
            <v>0</v>
          </cell>
          <cell r="AT1038">
            <v>0</v>
          </cell>
          <cell r="AU1038">
            <v>0</v>
          </cell>
        </row>
        <row r="1039">
          <cell r="A1039" t="str">
            <v>000A1622</v>
          </cell>
          <cell r="B1039" t="str">
            <v>FRANCISCO</v>
          </cell>
          <cell r="C1039" t="str">
            <v>ALEXANDRE</v>
          </cell>
          <cell r="D1039" t="str">
            <v>SAINT QUENTIN EN YVE</v>
          </cell>
          <cell r="E1039">
            <v>3</v>
          </cell>
          <cell r="F1039" t="str">
            <v>NUMERICABLE</v>
          </cell>
          <cell r="G1039" t="str">
            <v>BOUTIQUE</v>
          </cell>
          <cell r="H1039" t="str">
            <v>ELIEZER-VANEROT</v>
          </cell>
          <cell r="I1039" t="str">
            <v>IDFR507001</v>
          </cell>
          <cell r="J1039">
            <v>100</v>
          </cell>
          <cell r="K1039">
            <v>38783</v>
          </cell>
          <cell r="L1039" t="str">
            <v>CONSEILLER CLIENTELE BOUTIQUE</v>
          </cell>
          <cell r="M1039" t="str">
            <v>463E</v>
          </cell>
          <cell r="N1039" t="str">
            <v>C</v>
          </cell>
          <cell r="O1039" t="str">
            <v>CDD</v>
          </cell>
          <cell r="P1039">
            <v>166.83</v>
          </cell>
          <cell r="Q1039">
            <v>0</v>
          </cell>
          <cell r="R1039">
            <v>904.53</v>
          </cell>
          <cell r="S1039">
            <v>0</v>
          </cell>
          <cell r="T1039">
            <v>604</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34.049999999999997</v>
          </cell>
          <cell r="AP1039">
            <v>0</v>
          </cell>
          <cell r="AQ1039">
            <v>1300</v>
          </cell>
          <cell r="AR1039">
            <v>0</v>
          </cell>
          <cell r="AS1039">
            <v>0</v>
          </cell>
          <cell r="AT1039">
            <v>0</v>
          </cell>
          <cell r="AU1039">
            <v>0</v>
          </cell>
        </row>
        <row r="1040">
          <cell r="A1040" t="str">
            <v>000A1557</v>
          </cell>
          <cell r="B1040" t="str">
            <v>VIRIOT</v>
          </cell>
          <cell r="C1040" t="str">
            <v>SANDRINE</v>
          </cell>
          <cell r="D1040" t="str">
            <v>BORDEAUX</v>
          </cell>
          <cell r="E1040">
            <v>3</v>
          </cell>
          <cell r="F1040" t="str">
            <v>NUMERICABLE</v>
          </cell>
          <cell r="G1040" t="str">
            <v>BOUTIQUE</v>
          </cell>
          <cell r="H1040" t="str">
            <v>GUILLO</v>
          </cell>
          <cell r="I1040" t="str">
            <v>SUOU507001</v>
          </cell>
          <cell r="J1040">
            <v>100</v>
          </cell>
          <cell r="K1040">
            <v>38687</v>
          </cell>
          <cell r="L1040" t="str">
            <v>CONSEILLER(E) CLT</v>
          </cell>
          <cell r="M1040" t="str">
            <v>EMPLOYE</v>
          </cell>
          <cell r="N1040" t="str">
            <v>C</v>
          </cell>
          <cell r="O1040" t="str">
            <v>CDI</v>
          </cell>
          <cell r="P1040">
            <v>166.83</v>
          </cell>
          <cell r="Q1040">
            <v>1266</v>
          </cell>
          <cell r="R1040">
            <v>802.58</v>
          </cell>
          <cell r="S1040">
            <v>0</v>
          </cell>
          <cell r="T1040">
            <v>540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180.6</v>
          </cell>
          <cell r="AO1040">
            <v>0</v>
          </cell>
          <cell r="AP1040">
            <v>0</v>
          </cell>
          <cell r="AQ1040">
            <v>1266</v>
          </cell>
          <cell r="AR1040">
            <v>0</v>
          </cell>
          <cell r="AS1040">
            <v>0</v>
          </cell>
          <cell r="AT1040">
            <v>0</v>
          </cell>
          <cell r="AU1040">
            <v>0</v>
          </cell>
        </row>
        <row r="1041">
          <cell r="A1041" t="str">
            <v>000A1527</v>
          </cell>
          <cell r="B1041" t="str">
            <v>KOBERSI</v>
          </cell>
          <cell r="C1041" t="str">
            <v>MANSOUR</v>
          </cell>
          <cell r="D1041" t="str">
            <v>METZ</v>
          </cell>
          <cell r="E1041">
            <v>19</v>
          </cell>
          <cell r="F1041" t="str">
            <v>NUMERICABLE  (TCC)</v>
          </cell>
          <cell r="G1041" t="str">
            <v>TECHNIQUE</v>
          </cell>
          <cell r="I1041" t="str">
            <v>FTCN905001</v>
          </cell>
          <cell r="J1041">
            <v>100</v>
          </cell>
          <cell r="K1041">
            <v>38626</v>
          </cell>
          <cell r="L1041" t="str">
            <v>TECH. EXP. NIV. 1</v>
          </cell>
          <cell r="M1041" t="str">
            <v>EMPLOYE</v>
          </cell>
          <cell r="N1041" t="str">
            <v>C</v>
          </cell>
          <cell r="O1041" t="str">
            <v>CDI</v>
          </cell>
          <cell r="P1041">
            <v>151.57</v>
          </cell>
          <cell r="Q1041">
            <v>2150</v>
          </cell>
          <cell r="R1041">
            <v>-422.46</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191.02</v>
          </cell>
          <cell r="AN1041">
            <v>206.37</v>
          </cell>
          <cell r="AO1041">
            <v>191.02</v>
          </cell>
          <cell r="AP1041">
            <v>0</v>
          </cell>
          <cell r="AQ1041">
            <v>2150</v>
          </cell>
          <cell r="AR1041">
            <v>0</v>
          </cell>
          <cell r="AS1041">
            <v>0</v>
          </cell>
          <cell r="AT1041">
            <v>0</v>
          </cell>
          <cell r="AU1041">
            <v>0</v>
          </cell>
        </row>
        <row r="1042">
          <cell r="A1042" t="str">
            <v>000A1531</v>
          </cell>
          <cell r="B1042" t="str">
            <v>PAIRON</v>
          </cell>
          <cell r="C1042" t="str">
            <v>RAYNALD</v>
          </cell>
          <cell r="D1042" t="str">
            <v>METZ</v>
          </cell>
          <cell r="E1042">
            <v>19</v>
          </cell>
          <cell r="F1042" t="str">
            <v>NUMERICABLE  (TCC)</v>
          </cell>
          <cell r="G1042" t="str">
            <v>TECHNIQUE</v>
          </cell>
          <cell r="I1042" t="str">
            <v>FTCN905001</v>
          </cell>
          <cell r="J1042">
            <v>100</v>
          </cell>
          <cell r="K1042">
            <v>38626</v>
          </cell>
          <cell r="L1042" t="str">
            <v>TECHN SUP EN ELECTRONIQUE</v>
          </cell>
          <cell r="M1042" t="str">
            <v>EMPLOYE</v>
          </cell>
          <cell r="N1042" t="str">
            <v>D</v>
          </cell>
          <cell r="O1042" t="str">
            <v>CDI</v>
          </cell>
          <cell r="P1042">
            <v>151.57</v>
          </cell>
          <cell r="Q1042">
            <v>3050</v>
          </cell>
          <cell r="R1042">
            <v>1733.64</v>
          </cell>
          <cell r="S1042">
            <v>0</v>
          </cell>
          <cell r="T1042">
            <v>0</v>
          </cell>
          <cell r="U1042">
            <v>0</v>
          </cell>
          <cell r="V1042">
            <v>0</v>
          </cell>
          <cell r="W1042">
            <v>0</v>
          </cell>
          <cell r="X1042">
            <v>0</v>
          </cell>
          <cell r="Y1042">
            <v>0</v>
          </cell>
          <cell r="Z1042">
            <v>0</v>
          </cell>
          <cell r="AA1042">
            <v>0</v>
          </cell>
          <cell r="AB1042">
            <v>0</v>
          </cell>
          <cell r="AC1042">
            <v>0</v>
          </cell>
          <cell r="AD1042">
            <v>437.5</v>
          </cell>
          <cell r="AE1042">
            <v>0</v>
          </cell>
          <cell r="AF1042">
            <v>0</v>
          </cell>
          <cell r="AG1042">
            <v>0</v>
          </cell>
          <cell r="AH1042">
            <v>0</v>
          </cell>
          <cell r="AI1042">
            <v>0</v>
          </cell>
          <cell r="AJ1042">
            <v>0</v>
          </cell>
          <cell r="AK1042">
            <v>0</v>
          </cell>
          <cell r="AL1042">
            <v>0</v>
          </cell>
          <cell r="AM1042">
            <v>0</v>
          </cell>
          <cell r="AN1042">
            <v>292.75</v>
          </cell>
          <cell r="AO1042">
            <v>0</v>
          </cell>
          <cell r="AP1042">
            <v>0</v>
          </cell>
          <cell r="AQ1042">
            <v>3050</v>
          </cell>
          <cell r="AR1042">
            <v>437.5</v>
          </cell>
          <cell r="AS1042">
            <v>0</v>
          </cell>
          <cell r="AT1042">
            <v>0</v>
          </cell>
          <cell r="AU1042">
            <v>0</v>
          </cell>
        </row>
        <row r="1043">
          <cell r="A1043">
            <v>28</v>
          </cell>
          <cell r="B1043" t="str">
            <v>BULLIDO</v>
          </cell>
          <cell r="C1043" t="str">
            <v>ROBERT</v>
          </cell>
          <cell r="D1043" t="str">
            <v>BORDEAUX</v>
          </cell>
          <cell r="E1043">
            <v>1</v>
          </cell>
          <cell r="F1043" t="str">
            <v>NUMERICABLE</v>
          </cell>
          <cell r="G1043" t="str">
            <v>TRAVAUX</v>
          </cell>
          <cell r="H1043" t="str">
            <v>DUPEBE</v>
          </cell>
          <cell r="I1043" t="str">
            <v>SUOU300001</v>
          </cell>
          <cell r="J1043">
            <v>100</v>
          </cell>
          <cell r="K1043">
            <v>32540</v>
          </cell>
          <cell r="L1043" t="str">
            <v>SUPERVISEUR TRAVAUX</v>
          </cell>
          <cell r="M1043" t="str">
            <v>478D</v>
          </cell>
          <cell r="N1043" t="str">
            <v>E</v>
          </cell>
          <cell r="O1043" t="str">
            <v>CDI</v>
          </cell>
          <cell r="P1043">
            <v>151.57</v>
          </cell>
          <cell r="Q1043">
            <v>2495</v>
          </cell>
          <cell r="R1043">
            <v>1629.32</v>
          </cell>
          <cell r="S1043">
            <v>0</v>
          </cell>
          <cell r="T1043">
            <v>581.92999999999995</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298.19</v>
          </cell>
          <cell r="AO1043">
            <v>0</v>
          </cell>
          <cell r="AP1043">
            <v>0</v>
          </cell>
          <cell r="AQ1043">
            <v>2495.29</v>
          </cell>
          <cell r="AR1043">
            <v>0</v>
          </cell>
          <cell r="AS1043">
            <v>0</v>
          </cell>
          <cell r="AT1043">
            <v>0</v>
          </cell>
          <cell r="AU1043">
            <v>0</v>
          </cell>
        </row>
        <row r="1044">
          <cell r="A1044">
            <v>1072</v>
          </cell>
          <cell r="B1044" t="str">
            <v>MAISONNIER</v>
          </cell>
          <cell r="C1044" t="str">
            <v>FREDERIC</v>
          </cell>
          <cell r="D1044" t="str">
            <v>TOURS</v>
          </cell>
          <cell r="E1044">
            <v>1</v>
          </cell>
          <cell r="F1044" t="str">
            <v>NUMERICABLE</v>
          </cell>
          <cell r="G1044" t="str">
            <v>BOUTIQUE</v>
          </cell>
          <cell r="H1044" t="str">
            <v>JAUD</v>
          </cell>
          <cell r="I1044" t="str">
            <v>OUES507001</v>
          </cell>
          <cell r="J1044">
            <v>100</v>
          </cell>
          <cell r="K1044">
            <v>37543</v>
          </cell>
          <cell r="L1044" t="str">
            <v>VENDEUR POINT DE VENTE</v>
          </cell>
          <cell r="M1044" t="str">
            <v>463E</v>
          </cell>
          <cell r="N1044" t="str">
            <v>C</v>
          </cell>
          <cell r="O1044" t="str">
            <v>CDI</v>
          </cell>
          <cell r="P1044">
            <v>166.83</v>
          </cell>
          <cell r="Q1044">
            <v>1386</v>
          </cell>
          <cell r="R1044">
            <v>854.23</v>
          </cell>
          <cell r="S1044">
            <v>0</v>
          </cell>
          <cell r="T1044">
            <v>0</v>
          </cell>
          <cell r="U1044">
            <v>0</v>
          </cell>
          <cell r="V1044">
            <v>0</v>
          </cell>
          <cell r="W1044">
            <v>388</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180.24</v>
          </cell>
          <cell r="AO1044">
            <v>0</v>
          </cell>
          <cell r="AP1044">
            <v>-148.25</v>
          </cell>
          <cell r="AQ1044">
            <v>1381.98</v>
          </cell>
          <cell r="AR1044">
            <v>0</v>
          </cell>
          <cell r="AS1044">
            <v>0</v>
          </cell>
          <cell r="AT1044">
            <v>0</v>
          </cell>
          <cell r="AU1044">
            <v>0</v>
          </cell>
        </row>
        <row r="1045">
          <cell r="A1045">
            <v>80138</v>
          </cell>
          <cell r="B1045" t="str">
            <v>HERAULT</v>
          </cell>
          <cell r="C1045" t="str">
            <v>STELLA</v>
          </cell>
          <cell r="D1045" t="str">
            <v>BAB</v>
          </cell>
          <cell r="E1045">
            <v>1</v>
          </cell>
          <cell r="F1045" t="str">
            <v>NUMERICABLE</v>
          </cell>
          <cell r="I1045" t="str">
            <v>FTCN905001</v>
          </cell>
          <cell r="J1045">
            <v>100</v>
          </cell>
          <cell r="K1045">
            <v>35164</v>
          </cell>
          <cell r="L1045" t="str">
            <v>ASSIST. MARKETING COMMUNICATION</v>
          </cell>
          <cell r="M1045" t="str">
            <v>462E</v>
          </cell>
          <cell r="N1045" t="str">
            <v>D</v>
          </cell>
          <cell r="O1045" t="str">
            <v>CDI</v>
          </cell>
          <cell r="P1045">
            <v>166.83</v>
          </cell>
          <cell r="Q1045">
            <v>1805</v>
          </cell>
          <cell r="R1045">
            <v>802.65</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19.64</v>
          </cell>
          <cell r="AN1045">
            <v>173.25</v>
          </cell>
          <cell r="AO1045">
            <v>0</v>
          </cell>
          <cell r="AP1045">
            <v>0</v>
          </cell>
          <cell r="AQ1045">
            <v>1824.64</v>
          </cell>
          <cell r="AR1045">
            <v>0</v>
          </cell>
          <cell r="AS1045">
            <v>0</v>
          </cell>
          <cell r="AT1045">
            <v>0</v>
          </cell>
          <cell r="AU1045">
            <v>0</v>
          </cell>
        </row>
        <row r="1046">
          <cell r="A1046">
            <v>502004</v>
          </cell>
          <cell r="B1046" t="str">
            <v>FERNANDEZ</v>
          </cell>
          <cell r="C1046" t="str">
            <v>MANUEL</v>
          </cell>
          <cell r="D1046" t="str">
            <v>DUNKERQUE</v>
          </cell>
          <cell r="E1046">
            <v>1</v>
          </cell>
          <cell r="F1046" t="str">
            <v>NUMERICABLE</v>
          </cell>
          <cell r="G1046" t="str">
            <v>VAD ANIMATEURS</v>
          </cell>
          <cell r="H1046" t="str">
            <v>GUIONNET</v>
          </cell>
          <cell r="I1046" t="str">
            <v>NPCA500001</v>
          </cell>
          <cell r="J1046">
            <v>100</v>
          </cell>
          <cell r="K1046">
            <v>35370</v>
          </cell>
          <cell r="L1046" t="str">
            <v>RESPONSABLE AGENCE</v>
          </cell>
          <cell r="M1046" t="str">
            <v>462E</v>
          </cell>
          <cell r="N1046" t="str">
            <v>E</v>
          </cell>
          <cell r="O1046" t="str">
            <v>CDI</v>
          </cell>
          <cell r="P1046">
            <v>151.57</v>
          </cell>
          <cell r="Q1046">
            <v>2809</v>
          </cell>
          <cell r="R1046">
            <v>3029.58</v>
          </cell>
          <cell r="S1046">
            <v>0</v>
          </cell>
          <cell r="T1046">
            <v>2700</v>
          </cell>
          <cell r="U1046">
            <v>0</v>
          </cell>
          <cell r="V1046">
            <v>0</v>
          </cell>
          <cell r="W1046">
            <v>0</v>
          </cell>
          <cell r="X1046">
            <v>0</v>
          </cell>
          <cell r="Y1046">
            <v>0</v>
          </cell>
          <cell r="Z1046">
            <v>0</v>
          </cell>
          <cell r="AA1046">
            <v>0</v>
          </cell>
          <cell r="AB1046">
            <v>600</v>
          </cell>
          <cell r="AC1046">
            <v>0</v>
          </cell>
          <cell r="AD1046">
            <v>0</v>
          </cell>
          <cell r="AE1046">
            <v>0</v>
          </cell>
          <cell r="AF1046">
            <v>0</v>
          </cell>
          <cell r="AG1046">
            <v>0</v>
          </cell>
          <cell r="AH1046">
            <v>0</v>
          </cell>
          <cell r="AI1046">
            <v>0</v>
          </cell>
          <cell r="AJ1046">
            <v>0</v>
          </cell>
          <cell r="AK1046">
            <v>0</v>
          </cell>
          <cell r="AL1046">
            <v>0</v>
          </cell>
          <cell r="AM1046">
            <v>0</v>
          </cell>
          <cell r="AN1046">
            <v>610.9</v>
          </cell>
          <cell r="AO1046">
            <v>0</v>
          </cell>
          <cell r="AP1046">
            <v>0</v>
          </cell>
          <cell r="AQ1046">
            <v>2809</v>
          </cell>
          <cell r="AR1046">
            <v>350</v>
          </cell>
          <cell r="AS1046">
            <v>0</v>
          </cell>
          <cell r="AT1046">
            <v>0</v>
          </cell>
          <cell r="AU1046">
            <v>0</v>
          </cell>
        </row>
        <row r="1047">
          <cell r="A1047">
            <v>503008</v>
          </cell>
          <cell r="B1047" t="str">
            <v>COQUERON</v>
          </cell>
          <cell r="C1047" t="str">
            <v>CAROLE</v>
          </cell>
          <cell r="D1047" t="str">
            <v>METZ</v>
          </cell>
          <cell r="E1047">
            <v>1</v>
          </cell>
          <cell r="F1047" t="str">
            <v>NUMERICABLE</v>
          </cell>
          <cell r="I1047" t="str">
            <v>FTCN905001</v>
          </cell>
          <cell r="J1047">
            <v>100</v>
          </cell>
          <cell r="K1047">
            <v>35370</v>
          </cell>
          <cell r="L1047" t="str">
            <v>CHARGE COMMUNICATION</v>
          </cell>
          <cell r="M1047" t="str">
            <v>375B</v>
          </cell>
          <cell r="N1047" t="str">
            <v>DB</v>
          </cell>
          <cell r="O1047" t="str">
            <v>CDI</v>
          </cell>
          <cell r="P1047">
            <v>166.83</v>
          </cell>
          <cell r="Q1047">
            <v>1857</v>
          </cell>
          <cell r="R1047">
            <v>572.87</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178.24</v>
          </cell>
          <cell r="AO1047">
            <v>0</v>
          </cell>
          <cell r="AP1047">
            <v>0</v>
          </cell>
          <cell r="AQ1047">
            <v>1880.88</v>
          </cell>
          <cell r="AR1047">
            <v>0</v>
          </cell>
          <cell r="AS1047">
            <v>0</v>
          </cell>
          <cell r="AT1047">
            <v>0</v>
          </cell>
          <cell r="AU1047">
            <v>0</v>
          </cell>
        </row>
        <row r="1048">
          <cell r="A1048">
            <v>1002119</v>
          </cell>
          <cell r="B1048" t="str">
            <v>GEFFARD</v>
          </cell>
          <cell r="C1048" t="str">
            <v>BRUNO</v>
          </cell>
          <cell r="D1048" t="str">
            <v>TOURS</v>
          </cell>
          <cell r="E1048">
            <v>1</v>
          </cell>
          <cell r="F1048" t="str">
            <v>NUMERICABLE</v>
          </cell>
          <cell r="I1048" t="str">
            <v>FTCN905001</v>
          </cell>
          <cell r="J1048">
            <v>100</v>
          </cell>
          <cell r="K1048">
            <v>36161</v>
          </cell>
          <cell r="L1048" t="str">
            <v>RESP. COLLECTIF</v>
          </cell>
          <cell r="M1048" t="str">
            <v>374C</v>
          </cell>
          <cell r="N1048" t="str">
            <v>E</v>
          </cell>
          <cell r="O1048" t="str">
            <v>CDI</v>
          </cell>
          <cell r="P1048">
            <v>151.57</v>
          </cell>
          <cell r="Q1048">
            <v>3287</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10000</v>
          </cell>
          <cell r="AU1048">
            <v>0</v>
          </cell>
        </row>
        <row r="1049">
          <cell r="A1049">
            <v>20000900</v>
          </cell>
          <cell r="B1049" t="str">
            <v>FICHTENBAUM</v>
          </cell>
          <cell r="C1049" t="str">
            <v>CELINE</v>
          </cell>
          <cell r="D1049" t="str">
            <v>MARSEILLE</v>
          </cell>
          <cell r="E1049">
            <v>1</v>
          </cell>
          <cell r="F1049" t="str">
            <v>NUMERICABLE</v>
          </cell>
          <cell r="I1049" t="str">
            <v>FTCN905001</v>
          </cell>
          <cell r="J1049">
            <v>100</v>
          </cell>
          <cell r="K1049">
            <v>37226</v>
          </cell>
          <cell r="L1049" t="str">
            <v>RESP QUALIF. RECETTE</v>
          </cell>
          <cell r="M1049" t="str">
            <v>388A</v>
          </cell>
          <cell r="N1049" t="str">
            <v>E</v>
          </cell>
          <cell r="O1049" t="str">
            <v>CDI</v>
          </cell>
          <cell r="P1049">
            <v>151.57</v>
          </cell>
          <cell r="Q1049">
            <v>3466</v>
          </cell>
          <cell r="R1049">
            <v>553.22</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-346.63</v>
          </cell>
          <cell r="AN1049">
            <v>0</v>
          </cell>
          <cell r="AO1049">
            <v>-346.63</v>
          </cell>
          <cell r="AP1049">
            <v>0</v>
          </cell>
          <cell r="AQ1049">
            <v>3466</v>
          </cell>
          <cell r="AR1049">
            <v>0</v>
          </cell>
          <cell r="AS1049">
            <v>0</v>
          </cell>
          <cell r="AT1049">
            <v>0</v>
          </cell>
          <cell r="AU1049">
            <v>0</v>
          </cell>
        </row>
        <row r="1050">
          <cell r="A1050">
            <v>1274</v>
          </cell>
          <cell r="B1050" t="str">
            <v>GAUDU</v>
          </cell>
          <cell r="C1050" t="str">
            <v>CHARLOTTE</v>
          </cell>
          <cell r="D1050" t="str">
            <v>BAB</v>
          </cell>
          <cell r="E1050">
            <v>1</v>
          </cell>
          <cell r="F1050" t="str">
            <v>NUMERICABLE</v>
          </cell>
          <cell r="G1050" t="str">
            <v>BOUTIQUE</v>
          </cell>
          <cell r="H1050" t="str">
            <v>BARDOU</v>
          </cell>
          <cell r="I1050" t="str">
            <v>SUOU507001</v>
          </cell>
          <cell r="J1050">
            <v>100</v>
          </cell>
          <cell r="K1050">
            <v>38150</v>
          </cell>
          <cell r="L1050" t="str">
            <v>CONSEILLER CLIENTELE BOUTIQUE</v>
          </cell>
          <cell r="M1050" t="str">
            <v>463E</v>
          </cell>
          <cell r="N1050" t="str">
            <v>C</v>
          </cell>
          <cell r="O1050" t="str">
            <v>CDI</v>
          </cell>
          <cell r="P1050">
            <v>166.83</v>
          </cell>
          <cell r="Q1050">
            <v>1356</v>
          </cell>
          <cell r="R1050">
            <v>969.03</v>
          </cell>
          <cell r="S1050">
            <v>0</v>
          </cell>
          <cell r="T1050">
            <v>548.82000000000005</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190.23</v>
          </cell>
          <cell r="AO1050">
            <v>0</v>
          </cell>
          <cell r="AP1050">
            <v>0</v>
          </cell>
          <cell r="AQ1050">
            <v>1366.12</v>
          </cell>
          <cell r="AR1050">
            <v>0</v>
          </cell>
          <cell r="AS1050">
            <v>0</v>
          </cell>
          <cell r="AT1050">
            <v>0</v>
          </cell>
          <cell r="AU1050">
            <v>0</v>
          </cell>
        </row>
        <row r="1051">
          <cell r="A1051" t="str">
            <v>000A1511</v>
          </cell>
          <cell r="B1051" t="str">
            <v>BOURGER</v>
          </cell>
          <cell r="C1051" t="str">
            <v>ALAIN</v>
          </cell>
          <cell r="D1051" t="str">
            <v>METZ</v>
          </cell>
          <cell r="E1051">
            <v>19</v>
          </cell>
          <cell r="F1051" t="str">
            <v>NUMERICABLE  (TCC)</v>
          </cell>
          <cell r="G1051" t="str">
            <v>MAINTENANCE RESEAU</v>
          </cell>
          <cell r="I1051" t="str">
            <v>FTCN905001</v>
          </cell>
          <cell r="J1051">
            <v>100</v>
          </cell>
          <cell r="K1051">
            <v>38626</v>
          </cell>
          <cell r="L1051" t="str">
            <v>TECH. EXP. NIV. 1</v>
          </cell>
          <cell r="M1051" t="str">
            <v>EMPLOYE</v>
          </cell>
          <cell r="N1051" t="str">
            <v>C</v>
          </cell>
          <cell r="O1051" t="str">
            <v>CDI</v>
          </cell>
          <cell r="P1051">
            <v>151.57</v>
          </cell>
          <cell r="Q1051">
            <v>1630</v>
          </cell>
          <cell r="R1051">
            <v>720.02</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156.44999999999999</v>
          </cell>
          <cell r="AO1051">
            <v>0</v>
          </cell>
          <cell r="AP1051">
            <v>0</v>
          </cell>
          <cell r="AQ1051">
            <v>1630</v>
          </cell>
          <cell r="AR1051">
            <v>0</v>
          </cell>
          <cell r="AS1051">
            <v>0</v>
          </cell>
          <cell r="AT1051">
            <v>0</v>
          </cell>
          <cell r="AU1051">
            <v>0</v>
          </cell>
        </row>
        <row r="1052">
          <cell r="A1052" t="str">
            <v>000A1560</v>
          </cell>
          <cell r="B1052" t="str">
            <v>ROUMET</v>
          </cell>
          <cell r="C1052" t="str">
            <v>PASCAL</v>
          </cell>
          <cell r="D1052" t="str">
            <v>MARSEILLE</v>
          </cell>
          <cell r="E1052">
            <v>3</v>
          </cell>
          <cell r="F1052" t="str">
            <v>NUMERICABLE</v>
          </cell>
          <cell r="G1052" t="str">
            <v>RACCORDEMENT IMMOB.</v>
          </cell>
          <cell r="H1052" t="str">
            <v>TUGLER</v>
          </cell>
          <cell r="I1052" t="str">
            <v>SUES302001</v>
          </cell>
          <cell r="J1052">
            <v>100</v>
          </cell>
          <cell r="K1052">
            <v>38684</v>
          </cell>
          <cell r="L1052" t="str">
            <v>SUPERV. RAC-SAV</v>
          </cell>
          <cell r="M1052" t="str">
            <v>EMPLOYE</v>
          </cell>
          <cell r="N1052" t="str">
            <v>D</v>
          </cell>
          <cell r="O1052" t="str">
            <v>CDI</v>
          </cell>
          <cell r="P1052">
            <v>166.83</v>
          </cell>
          <cell r="Q1052">
            <v>1800</v>
          </cell>
          <cell r="R1052">
            <v>573.12</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180</v>
          </cell>
          <cell r="AO1052">
            <v>0</v>
          </cell>
          <cell r="AP1052">
            <v>0</v>
          </cell>
          <cell r="AQ1052">
            <v>1800</v>
          </cell>
          <cell r="AR1052">
            <v>0</v>
          </cell>
          <cell r="AS1052">
            <v>0</v>
          </cell>
          <cell r="AT1052">
            <v>0</v>
          </cell>
          <cell r="AU1052">
            <v>0</v>
          </cell>
        </row>
        <row r="1053">
          <cell r="A1053">
            <v>26</v>
          </cell>
          <cell r="B1053" t="str">
            <v>BOUILLOT</v>
          </cell>
          <cell r="C1053" t="str">
            <v>PATRICE</v>
          </cell>
          <cell r="D1053" t="str">
            <v>BORDEAUX</v>
          </cell>
          <cell r="E1053">
            <v>1</v>
          </cell>
          <cell r="F1053" t="str">
            <v>NUMERICABLE</v>
          </cell>
          <cell r="I1053" t="str">
            <v>FTCN905001</v>
          </cell>
          <cell r="J1053">
            <v>100</v>
          </cell>
          <cell r="K1053">
            <v>33511</v>
          </cell>
          <cell r="L1053" t="str">
            <v>TECH. INTERVENTION ABONNES</v>
          </cell>
          <cell r="M1053" t="str">
            <v>478D</v>
          </cell>
          <cell r="N1053" t="str">
            <v>C</v>
          </cell>
          <cell r="O1053" t="str">
            <v>CDI</v>
          </cell>
          <cell r="P1053">
            <v>166.83</v>
          </cell>
          <cell r="Q1053">
            <v>1741</v>
          </cell>
          <cell r="R1053">
            <v>-974.7</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-52.39</v>
          </cell>
          <cell r="AN1053">
            <v>174.09</v>
          </cell>
          <cell r="AO1053">
            <v>-52.39</v>
          </cell>
          <cell r="AP1053">
            <v>0</v>
          </cell>
          <cell r="AQ1053">
            <v>1741</v>
          </cell>
          <cell r="AR1053">
            <v>0</v>
          </cell>
          <cell r="AS1053">
            <v>0</v>
          </cell>
          <cell r="AT1053">
            <v>0</v>
          </cell>
          <cell r="AU1053">
            <v>0</v>
          </cell>
        </row>
        <row r="1054">
          <cell r="A1054">
            <v>819</v>
          </cell>
          <cell r="B1054" t="str">
            <v>JOUSSET</v>
          </cell>
          <cell r="C1054" t="str">
            <v>GERALDINE</v>
          </cell>
          <cell r="D1054" t="str">
            <v>ANGERS</v>
          </cell>
          <cell r="E1054">
            <v>1</v>
          </cell>
          <cell r="F1054" t="str">
            <v>NUMERICABLE</v>
          </cell>
          <cell r="G1054" t="str">
            <v>BOUTIQUE</v>
          </cell>
          <cell r="H1054" t="str">
            <v>PAVAGEAU</v>
          </cell>
          <cell r="I1054" t="str">
            <v>OUES507001</v>
          </cell>
          <cell r="J1054">
            <v>100</v>
          </cell>
          <cell r="K1054">
            <v>37131</v>
          </cell>
          <cell r="L1054" t="str">
            <v>VENDEUR POINT DE VENTE</v>
          </cell>
          <cell r="M1054" t="str">
            <v>463E</v>
          </cell>
          <cell r="N1054" t="str">
            <v>C</v>
          </cell>
          <cell r="O1054" t="str">
            <v>CDI</v>
          </cell>
          <cell r="P1054">
            <v>166.83</v>
          </cell>
          <cell r="Q1054">
            <v>1581</v>
          </cell>
          <cell r="R1054">
            <v>-87.17</v>
          </cell>
          <cell r="S1054">
            <v>0</v>
          </cell>
          <cell r="T1054">
            <v>310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166.99</v>
          </cell>
          <cell r="AO1054">
            <v>0</v>
          </cell>
          <cell r="AP1054">
            <v>0</v>
          </cell>
          <cell r="AQ1054">
            <v>154.06</v>
          </cell>
          <cell r="AR1054">
            <v>0</v>
          </cell>
          <cell r="AS1054">
            <v>0</v>
          </cell>
          <cell r="AT1054">
            <v>0</v>
          </cell>
          <cell r="AU1054">
            <v>0</v>
          </cell>
        </row>
        <row r="1055">
          <cell r="A1055">
            <v>1121</v>
          </cell>
          <cell r="B1055" t="str">
            <v>DUHAMEL</v>
          </cell>
          <cell r="C1055" t="str">
            <v>CHRISTOPHE</v>
          </cell>
          <cell r="D1055" t="str">
            <v>BORDEAUX</v>
          </cell>
          <cell r="E1055">
            <v>1</v>
          </cell>
          <cell r="F1055" t="str">
            <v>NUMERICABLE</v>
          </cell>
          <cell r="I1055" t="str">
            <v>FTCN905001</v>
          </cell>
          <cell r="J1055">
            <v>100</v>
          </cell>
          <cell r="K1055">
            <v>37823</v>
          </cell>
          <cell r="L1055" t="str">
            <v>CONSEILLER CLIENT COMMERCIAL</v>
          </cell>
          <cell r="M1055" t="str">
            <v>462E</v>
          </cell>
          <cell r="N1055" t="str">
            <v>G</v>
          </cell>
          <cell r="O1055" t="str">
            <v>CDI</v>
          </cell>
          <cell r="P1055">
            <v>166.83</v>
          </cell>
          <cell r="Q1055">
            <v>1356</v>
          </cell>
          <cell r="R1055">
            <v>236.44</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177.84</v>
          </cell>
          <cell r="AN1055">
            <v>135.59</v>
          </cell>
          <cell r="AO1055">
            <v>177.84</v>
          </cell>
          <cell r="AP1055">
            <v>0</v>
          </cell>
          <cell r="AQ1055">
            <v>1356</v>
          </cell>
          <cell r="AR1055">
            <v>0</v>
          </cell>
          <cell r="AS1055">
            <v>0</v>
          </cell>
          <cell r="AT1055">
            <v>0</v>
          </cell>
          <cell r="AU1055">
            <v>0</v>
          </cell>
        </row>
        <row r="1056">
          <cell r="A1056">
            <v>40173</v>
          </cell>
          <cell r="B1056" t="str">
            <v>THOREL</v>
          </cell>
          <cell r="C1056" t="str">
            <v>YANN</v>
          </cell>
          <cell r="D1056" t="str">
            <v>ROUEN</v>
          </cell>
          <cell r="E1056">
            <v>1</v>
          </cell>
          <cell r="F1056" t="str">
            <v>NUMERICABLE</v>
          </cell>
          <cell r="G1056" t="str">
            <v>BOUTIQUE</v>
          </cell>
          <cell r="H1056" t="str">
            <v>JAUD</v>
          </cell>
          <cell r="I1056" t="str">
            <v>OUES507001</v>
          </cell>
          <cell r="J1056">
            <v>100</v>
          </cell>
          <cell r="K1056">
            <v>35709</v>
          </cell>
          <cell r="L1056" t="str">
            <v>RESPONSABLE BOUTIQUE</v>
          </cell>
          <cell r="M1056" t="str">
            <v>TSM</v>
          </cell>
          <cell r="N1056" t="str">
            <v>D</v>
          </cell>
          <cell r="O1056" t="str">
            <v>CDI</v>
          </cell>
          <cell r="P1056">
            <v>166.83</v>
          </cell>
          <cell r="Q1056">
            <v>1532</v>
          </cell>
          <cell r="R1056">
            <v>1255.77</v>
          </cell>
          <cell r="S1056">
            <v>0</v>
          </cell>
          <cell r="T1056">
            <v>795.1</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317.06</v>
          </cell>
          <cell r="AO1056">
            <v>0</v>
          </cell>
          <cell r="AP1056">
            <v>0</v>
          </cell>
          <cell r="AQ1056">
            <v>1782.21</v>
          </cell>
          <cell r="AR1056">
            <v>0</v>
          </cell>
          <cell r="AS1056">
            <v>0</v>
          </cell>
          <cell r="AT1056">
            <v>0</v>
          </cell>
          <cell r="AU1056">
            <v>0</v>
          </cell>
        </row>
        <row r="1057">
          <cell r="A1057">
            <v>451140</v>
          </cell>
          <cell r="B1057" t="str">
            <v>BRETON</v>
          </cell>
          <cell r="C1057" t="str">
            <v>CHRISTIANE</v>
          </cell>
          <cell r="D1057" t="str">
            <v>RENNES</v>
          </cell>
          <cell r="E1057">
            <v>1</v>
          </cell>
          <cell r="F1057" t="str">
            <v>NUMERICABLE</v>
          </cell>
          <cell r="G1057" t="str">
            <v>VAD CONSEILLERS</v>
          </cell>
          <cell r="I1057" t="str">
            <v>GENE905001</v>
          </cell>
          <cell r="J1057">
            <v>100</v>
          </cell>
          <cell r="K1057">
            <v>33970</v>
          </cell>
          <cell r="L1057" t="str">
            <v>CONSEIL. COMMERCIAL</v>
          </cell>
          <cell r="M1057" t="str">
            <v>463E</v>
          </cell>
          <cell r="N1057" t="str">
            <v>C</v>
          </cell>
          <cell r="O1057" t="str">
            <v>CDI</v>
          </cell>
          <cell r="P1057">
            <v>166.83</v>
          </cell>
          <cell r="Q1057">
            <v>950</v>
          </cell>
          <cell r="R1057">
            <v>1749.6</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3766.01</v>
          </cell>
          <cell r="AN1057">
            <v>1351.46</v>
          </cell>
          <cell r="AO1057">
            <v>81005.63</v>
          </cell>
          <cell r="AP1057">
            <v>0</v>
          </cell>
          <cell r="AQ1057">
            <v>4146</v>
          </cell>
          <cell r="AR1057">
            <v>0</v>
          </cell>
          <cell r="AS1057">
            <v>0</v>
          </cell>
          <cell r="AT1057">
            <v>0</v>
          </cell>
          <cell r="AU1057">
            <v>0</v>
          </cell>
        </row>
        <row r="1058">
          <cell r="A1058">
            <v>503012</v>
          </cell>
          <cell r="B1058" t="str">
            <v>DUFOUR</v>
          </cell>
          <cell r="C1058" t="str">
            <v>LAURENCE</v>
          </cell>
          <cell r="D1058" t="str">
            <v>METZ</v>
          </cell>
          <cell r="E1058">
            <v>1</v>
          </cell>
          <cell r="F1058" t="str">
            <v>NUMERICABLE</v>
          </cell>
          <cell r="I1058" t="str">
            <v>FTCN905001</v>
          </cell>
          <cell r="J1058">
            <v>100</v>
          </cell>
          <cell r="K1058">
            <v>35370</v>
          </cell>
          <cell r="L1058" t="str">
            <v>ASSIST. COMMERCIAL</v>
          </cell>
          <cell r="M1058" t="str">
            <v>461C</v>
          </cell>
          <cell r="N1058" t="str">
            <v>DB</v>
          </cell>
          <cell r="O1058" t="str">
            <v>CDI</v>
          </cell>
          <cell r="P1058">
            <v>166.83</v>
          </cell>
          <cell r="Q1058">
            <v>2088</v>
          </cell>
          <cell r="R1058">
            <v>-354.98</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-183.72</v>
          </cell>
          <cell r="AN1058">
            <v>141.38</v>
          </cell>
          <cell r="AO1058">
            <v>-184.58</v>
          </cell>
          <cell r="AP1058">
            <v>0</v>
          </cell>
          <cell r="AQ1058">
            <v>2088.86</v>
          </cell>
          <cell r="AR1058">
            <v>0</v>
          </cell>
          <cell r="AS1058">
            <v>0</v>
          </cell>
          <cell r="AT1058">
            <v>0</v>
          </cell>
          <cell r="AU1058">
            <v>0</v>
          </cell>
        </row>
        <row r="1059">
          <cell r="A1059">
            <v>503025</v>
          </cell>
          <cell r="B1059" t="str">
            <v>MASSON</v>
          </cell>
          <cell r="C1059" t="str">
            <v>MARC</v>
          </cell>
          <cell r="D1059" t="str">
            <v>METZ</v>
          </cell>
          <cell r="E1059">
            <v>1</v>
          </cell>
          <cell r="F1059" t="str">
            <v>NUMERICABLE</v>
          </cell>
          <cell r="G1059" t="str">
            <v>COLLECTIF</v>
          </cell>
          <cell r="H1059" t="str">
            <v>BAUER V</v>
          </cell>
          <cell r="I1059" t="str">
            <v>ESTR510001</v>
          </cell>
          <cell r="J1059">
            <v>100</v>
          </cell>
          <cell r="K1059">
            <v>35370</v>
          </cell>
          <cell r="L1059" t="str">
            <v>RESP. DE MISSION</v>
          </cell>
          <cell r="M1059" t="str">
            <v>373C</v>
          </cell>
          <cell r="N1059" t="str">
            <v>E</v>
          </cell>
          <cell r="O1059" t="str">
            <v>CDI</v>
          </cell>
          <cell r="P1059">
            <v>151.57</v>
          </cell>
          <cell r="Q1059">
            <v>2861</v>
          </cell>
          <cell r="R1059">
            <v>1588.29</v>
          </cell>
          <cell r="S1059">
            <v>0</v>
          </cell>
          <cell r="T1059">
            <v>850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382.89</v>
          </cell>
          <cell r="AO1059">
            <v>0</v>
          </cell>
          <cell r="AP1059">
            <v>0</v>
          </cell>
          <cell r="AQ1059">
            <v>2200.87</v>
          </cell>
          <cell r="AR1059">
            <v>0</v>
          </cell>
          <cell r="AS1059">
            <v>0</v>
          </cell>
          <cell r="AT1059">
            <v>0</v>
          </cell>
          <cell r="AU1059">
            <v>0</v>
          </cell>
        </row>
        <row r="1060">
          <cell r="A1060">
            <v>503026</v>
          </cell>
          <cell r="B1060" t="str">
            <v>NERRAULT</v>
          </cell>
          <cell r="C1060" t="str">
            <v>PATRICK</v>
          </cell>
          <cell r="D1060" t="str">
            <v>METZ</v>
          </cell>
          <cell r="E1060">
            <v>1</v>
          </cell>
          <cell r="F1060" t="str">
            <v>NUMERICABLE</v>
          </cell>
          <cell r="I1060" t="str">
            <v>FTCN905001</v>
          </cell>
          <cell r="J1060">
            <v>100</v>
          </cell>
          <cell r="K1060">
            <v>35370</v>
          </cell>
          <cell r="L1060" t="str">
            <v>DIRECTEUR DE SITE</v>
          </cell>
          <cell r="M1060" t="str">
            <v>232A</v>
          </cell>
          <cell r="N1060" t="str">
            <v>F</v>
          </cell>
          <cell r="O1060" t="str">
            <v>CDI</v>
          </cell>
          <cell r="P1060">
            <v>151.57</v>
          </cell>
          <cell r="Q1060">
            <v>4850</v>
          </cell>
          <cell r="R1060">
            <v>3619.99</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2736.93</v>
          </cell>
          <cell r="AN1060">
            <v>758.68</v>
          </cell>
          <cell r="AO1060">
            <v>0</v>
          </cell>
          <cell r="AP1060">
            <v>0</v>
          </cell>
          <cell r="AQ1060">
            <v>7586.93</v>
          </cell>
          <cell r="AR1060">
            <v>0</v>
          </cell>
          <cell r="AS1060">
            <v>0</v>
          </cell>
          <cell r="AT1060">
            <v>0</v>
          </cell>
          <cell r="AU1060">
            <v>0</v>
          </cell>
        </row>
        <row r="1061">
          <cell r="A1061">
            <v>952266</v>
          </cell>
          <cell r="B1061" t="str">
            <v>ZAMORA</v>
          </cell>
          <cell r="C1061" t="str">
            <v>REMY</v>
          </cell>
          <cell r="D1061" t="str">
            <v>MARSEILLE</v>
          </cell>
          <cell r="E1061">
            <v>1</v>
          </cell>
          <cell r="F1061" t="str">
            <v>NUMERICABLE</v>
          </cell>
          <cell r="G1061" t="str">
            <v>VAD ANIMATEURS</v>
          </cell>
          <cell r="H1061" t="str">
            <v>VIVIN</v>
          </cell>
          <cell r="I1061" t="str">
            <v>SUES500001</v>
          </cell>
          <cell r="J1061">
            <v>100</v>
          </cell>
          <cell r="K1061">
            <v>35324</v>
          </cell>
          <cell r="L1061" t="str">
            <v>ANIMATEUR COM.</v>
          </cell>
          <cell r="M1061" t="str">
            <v>CADRE</v>
          </cell>
          <cell r="N1061" t="str">
            <v>DB</v>
          </cell>
          <cell r="O1061" t="str">
            <v>CDI</v>
          </cell>
          <cell r="P1061">
            <v>166.83</v>
          </cell>
          <cell r="Q1061">
            <v>1800</v>
          </cell>
          <cell r="R1061">
            <v>1768.11</v>
          </cell>
          <cell r="S1061">
            <v>0</v>
          </cell>
          <cell r="T1061">
            <v>1350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315</v>
          </cell>
          <cell r="AO1061">
            <v>0</v>
          </cell>
          <cell r="AP1061">
            <v>0</v>
          </cell>
          <cell r="AQ1061">
            <v>1800</v>
          </cell>
          <cell r="AR1061">
            <v>0</v>
          </cell>
          <cell r="AS1061">
            <v>0</v>
          </cell>
          <cell r="AT1061">
            <v>0</v>
          </cell>
          <cell r="AU1061">
            <v>0</v>
          </cell>
        </row>
        <row r="1062">
          <cell r="A1062">
            <v>952299</v>
          </cell>
          <cell r="B1062" t="str">
            <v>WIEDENHOFER</v>
          </cell>
          <cell r="C1062" t="str">
            <v>OLIVIER</v>
          </cell>
          <cell r="D1062" t="str">
            <v>MARSEILLE</v>
          </cell>
          <cell r="E1062">
            <v>1</v>
          </cell>
          <cell r="F1062" t="str">
            <v>NUMERICABLE</v>
          </cell>
          <cell r="I1062" t="str">
            <v>FTCN905001</v>
          </cell>
          <cell r="J1062">
            <v>100</v>
          </cell>
          <cell r="K1062">
            <v>35521</v>
          </cell>
          <cell r="L1062" t="str">
            <v>CHARGE D'AFFAIRES</v>
          </cell>
          <cell r="M1062" t="str">
            <v>462E</v>
          </cell>
          <cell r="N1062" t="str">
            <v>D</v>
          </cell>
          <cell r="O1062" t="str">
            <v>CDI</v>
          </cell>
          <cell r="P1062">
            <v>166.83</v>
          </cell>
          <cell r="Q1062">
            <v>1356</v>
          </cell>
          <cell r="R1062">
            <v>-566.78</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1664.7</v>
          </cell>
          <cell r="AN1062">
            <v>135.59</v>
          </cell>
          <cell r="AO1062">
            <v>1664.7</v>
          </cell>
          <cell r="AP1062">
            <v>0</v>
          </cell>
          <cell r="AQ1062">
            <v>1356</v>
          </cell>
          <cell r="AR1062">
            <v>0</v>
          </cell>
          <cell r="AS1062">
            <v>0</v>
          </cell>
          <cell r="AT1062">
            <v>0</v>
          </cell>
          <cell r="AU1062">
            <v>0</v>
          </cell>
        </row>
        <row r="1063">
          <cell r="A1063">
            <v>954018</v>
          </cell>
          <cell r="B1063" t="str">
            <v>MARTINEZ</v>
          </cell>
          <cell r="C1063" t="str">
            <v>PATRICK</v>
          </cell>
          <cell r="D1063" t="str">
            <v>AVIGNON</v>
          </cell>
          <cell r="E1063">
            <v>1</v>
          </cell>
          <cell r="F1063" t="str">
            <v>NUMERICABLE</v>
          </cell>
          <cell r="I1063" t="str">
            <v>FTCN905001</v>
          </cell>
          <cell r="J1063">
            <v>100</v>
          </cell>
          <cell r="K1063">
            <v>35326</v>
          </cell>
          <cell r="L1063" t="str">
            <v>CHARGE DE RECOUVREMENT</v>
          </cell>
          <cell r="M1063" t="str">
            <v>462E</v>
          </cell>
          <cell r="N1063" t="str">
            <v>D</v>
          </cell>
          <cell r="O1063" t="str">
            <v>CDI</v>
          </cell>
          <cell r="P1063">
            <v>166.83</v>
          </cell>
          <cell r="Q1063">
            <v>1356</v>
          </cell>
          <cell r="R1063">
            <v>1715.21</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2662.31</v>
          </cell>
          <cell r="AN1063">
            <v>-67.8</v>
          </cell>
          <cell r="AO1063">
            <v>0</v>
          </cell>
          <cell r="AP1063">
            <v>0</v>
          </cell>
          <cell r="AQ1063">
            <v>4018.31</v>
          </cell>
          <cell r="AR1063">
            <v>0</v>
          </cell>
          <cell r="AS1063">
            <v>0</v>
          </cell>
          <cell r="AT1063">
            <v>0</v>
          </cell>
          <cell r="AU1063">
            <v>0</v>
          </cell>
        </row>
        <row r="1064">
          <cell r="A1064">
            <v>954020</v>
          </cell>
          <cell r="B1064" t="str">
            <v>BESSEGE</v>
          </cell>
          <cell r="C1064" t="str">
            <v>HERVE</v>
          </cell>
          <cell r="D1064" t="str">
            <v>MARSEILLE</v>
          </cell>
          <cell r="E1064">
            <v>1</v>
          </cell>
          <cell r="F1064" t="str">
            <v>NUMERICABLE</v>
          </cell>
          <cell r="I1064" t="str">
            <v>FTCN905001</v>
          </cell>
          <cell r="J1064">
            <v>100</v>
          </cell>
          <cell r="K1064">
            <v>35309</v>
          </cell>
          <cell r="L1064" t="str">
            <v>DIRECTEUR DE SITE ADJOINT</v>
          </cell>
          <cell r="M1064" t="str">
            <v>232A</v>
          </cell>
          <cell r="N1064" t="str">
            <v>E</v>
          </cell>
          <cell r="O1064" t="str">
            <v>CDI</v>
          </cell>
          <cell r="P1064">
            <v>151.57</v>
          </cell>
          <cell r="Q1064">
            <v>3749.66</v>
          </cell>
          <cell r="R1064">
            <v>2384.1</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1311.36</v>
          </cell>
          <cell r="AN1064">
            <v>226.11</v>
          </cell>
          <cell r="AO1064">
            <v>0</v>
          </cell>
          <cell r="AP1064">
            <v>0</v>
          </cell>
          <cell r="AQ1064">
            <v>5061.0200000000004</v>
          </cell>
          <cell r="AR1064">
            <v>0</v>
          </cell>
          <cell r="AS1064">
            <v>0</v>
          </cell>
          <cell r="AT1064">
            <v>0</v>
          </cell>
          <cell r="AU1064">
            <v>0</v>
          </cell>
        </row>
        <row r="1065">
          <cell r="A1065">
            <v>954060</v>
          </cell>
          <cell r="B1065" t="str">
            <v>MAGNON</v>
          </cell>
          <cell r="C1065" t="str">
            <v>FLORE-HELENE</v>
          </cell>
          <cell r="D1065" t="str">
            <v>MARSEILLE</v>
          </cell>
          <cell r="E1065">
            <v>1</v>
          </cell>
          <cell r="F1065" t="str">
            <v>NUMERICABLE</v>
          </cell>
          <cell r="G1065" t="str">
            <v>DIRECTION RESS HUM</v>
          </cell>
          <cell r="I1065" t="str">
            <v>FTCN905001</v>
          </cell>
          <cell r="J1065">
            <v>100</v>
          </cell>
          <cell r="K1065">
            <v>36281</v>
          </cell>
          <cell r="L1065" t="str">
            <v>CORRESPONDANT RH</v>
          </cell>
          <cell r="M1065" t="str">
            <v>372C</v>
          </cell>
          <cell r="N1065" t="str">
            <v>DB</v>
          </cell>
          <cell r="O1065" t="str">
            <v>CDI</v>
          </cell>
          <cell r="P1065">
            <v>166.83</v>
          </cell>
          <cell r="Q1065">
            <v>2346.17</v>
          </cell>
          <cell r="R1065">
            <v>1218.1600000000001</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354.79</v>
          </cell>
          <cell r="AN1065">
            <v>113.91</v>
          </cell>
          <cell r="AO1065">
            <v>0</v>
          </cell>
          <cell r="AP1065">
            <v>-167.16</v>
          </cell>
          <cell r="AQ1065">
            <v>2667.52</v>
          </cell>
          <cell r="AR1065">
            <v>0</v>
          </cell>
          <cell r="AS1065">
            <v>0</v>
          </cell>
          <cell r="AT1065">
            <v>0</v>
          </cell>
          <cell r="AU1065">
            <v>0</v>
          </cell>
        </row>
        <row r="1066">
          <cell r="A1066">
            <v>20000082</v>
          </cell>
          <cell r="B1066" t="str">
            <v>GUILLO</v>
          </cell>
          <cell r="C1066" t="str">
            <v>RUTE</v>
          </cell>
          <cell r="D1066" t="str">
            <v>BORDEAUX</v>
          </cell>
          <cell r="E1066">
            <v>1</v>
          </cell>
          <cell r="F1066" t="str">
            <v>NUMERICABLE</v>
          </cell>
          <cell r="G1066" t="str">
            <v>BOUTIQUE</v>
          </cell>
          <cell r="H1066" t="str">
            <v>COMINARDI</v>
          </cell>
          <cell r="I1066" t="str">
            <v>SUOU507001</v>
          </cell>
          <cell r="J1066">
            <v>100</v>
          </cell>
          <cell r="K1066">
            <v>35954</v>
          </cell>
          <cell r="L1066" t="str">
            <v>ANIMATEUR POINT DE VENTES</v>
          </cell>
          <cell r="M1066" t="str">
            <v>463E</v>
          </cell>
          <cell r="N1066" t="str">
            <v>DB</v>
          </cell>
          <cell r="O1066" t="str">
            <v>CDI</v>
          </cell>
          <cell r="P1066">
            <v>166.83</v>
          </cell>
          <cell r="Q1066">
            <v>1652.5</v>
          </cell>
          <cell r="R1066">
            <v>-447.69</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148.74</v>
          </cell>
          <cell r="AO1066">
            <v>0</v>
          </cell>
          <cell r="AP1066">
            <v>0</v>
          </cell>
          <cell r="AQ1066">
            <v>1487.25</v>
          </cell>
          <cell r="AR1066">
            <v>0</v>
          </cell>
          <cell r="AS1066">
            <v>0</v>
          </cell>
          <cell r="AT1066">
            <v>0</v>
          </cell>
          <cell r="AU1066">
            <v>0</v>
          </cell>
        </row>
        <row r="1067">
          <cell r="A1067" t="str">
            <v>000A1657</v>
          </cell>
          <cell r="B1067" t="str">
            <v>VARAILHON DE LA FILOLIE</v>
          </cell>
          <cell r="C1067" t="str">
            <v>BENOIT</v>
          </cell>
          <cell r="D1067" t="str">
            <v>METZ</v>
          </cell>
          <cell r="I1067" t="str">
            <v>FTCN905001</v>
          </cell>
          <cell r="J1067">
            <v>100</v>
          </cell>
          <cell r="K1067">
            <v>36923</v>
          </cell>
          <cell r="L1067" t="str">
            <v>RESPONSABLE  COMMERCIAL</v>
          </cell>
          <cell r="M1067" t="str">
            <v>CADRE</v>
          </cell>
          <cell r="N1067" t="str">
            <v>F</v>
          </cell>
          <cell r="O1067" t="str">
            <v>CDI</v>
          </cell>
          <cell r="P1067">
            <v>151.66999999999999</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35122.5</v>
          </cell>
          <cell r="AP1067">
            <v>0</v>
          </cell>
          <cell r="AQ1067">
            <v>0</v>
          </cell>
          <cell r="AR1067">
            <v>0</v>
          </cell>
          <cell r="AS1067">
            <v>0</v>
          </cell>
          <cell r="AT1067">
            <v>0</v>
          </cell>
          <cell r="AU1067">
            <v>0</v>
          </cell>
        </row>
        <row r="1068">
          <cell r="A1068">
            <v>20000527</v>
          </cell>
          <cell r="B1068" t="str">
            <v>GRIMONPON</v>
          </cell>
          <cell r="C1068" t="str">
            <v>LAURENCE</v>
          </cell>
          <cell r="D1068" t="str">
            <v>HAUBOURDIN</v>
          </cell>
          <cell r="E1068">
            <v>1</v>
          </cell>
          <cell r="F1068" t="str">
            <v>NUMERICABLE</v>
          </cell>
          <cell r="I1068" t="str">
            <v>FTCN905001</v>
          </cell>
          <cell r="J1068">
            <v>100</v>
          </cell>
          <cell r="K1068">
            <v>36731</v>
          </cell>
          <cell r="L1068" t="str">
            <v>RESP. SERVICE CLIENTS</v>
          </cell>
          <cell r="M1068" t="str">
            <v>462E</v>
          </cell>
          <cell r="N1068" t="str">
            <v>E</v>
          </cell>
          <cell r="O1068" t="str">
            <v>CDI</v>
          </cell>
          <cell r="P1068">
            <v>151.57</v>
          </cell>
          <cell r="Q1068">
            <v>2800</v>
          </cell>
          <cell r="R1068">
            <v>1203.3800000000001</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100.3</v>
          </cell>
          <cell r="AN1068">
            <v>273.14999999999998</v>
          </cell>
          <cell r="AO1068">
            <v>31845.5</v>
          </cell>
          <cell r="AP1068">
            <v>0</v>
          </cell>
          <cell r="AQ1068">
            <v>1277.98</v>
          </cell>
          <cell r="AR1068">
            <v>0</v>
          </cell>
          <cell r="AS1068">
            <v>0</v>
          </cell>
          <cell r="AT1068">
            <v>0</v>
          </cell>
          <cell r="AU1068">
            <v>0</v>
          </cell>
        </row>
        <row r="1069">
          <cell r="A1069" t="str">
            <v>000A1695</v>
          </cell>
          <cell r="B1069" t="str">
            <v>PARIS</v>
          </cell>
          <cell r="C1069" t="str">
            <v>ALEXANDRA</v>
          </cell>
          <cell r="D1069" t="str">
            <v>TOURS</v>
          </cell>
          <cell r="E1069">
            <v>3</v>
          </cell>
          <cell r="F1069" t="str">
            <v>NUMERICABLE</v>
          </cell>
          <cell r="G1069" t="str">
            <v>BOUTIQUE</v>
          </cell>
          <cell r="H1069" t="str">
            <v>JAUD</v>
          </cell>
          <cell r="I1069" t="str">
            <v>OUES507001</v>
          </cell>
          <cell r="J1069">
            <v>100</v>
          </cell>
          <cell r="K1069">
            <v>38810</v>
          </cell>
          <cell r="L1069" t="str">
            <v>RESPONSABLE BOUTIQUE</v>
          </cell>
          <cell r="M1069" t="str">
            <v>TSM</v>
          </cell>
          <cell r="N1069" t="str">
            <v>D</v>
          </cell>
          <cell r="O1069" t="str">
            <v>CDI</v>
          </cell>
          <cell r="P1069">
            <v>166.83</v>
          </cell>
          <cell r="Q1069">
            <v>0</v>
          </cell>
          <cell r="R1069">
            <v>527.80999999999995</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1446.67</v>
          </cell>
          <cell r="AR1069">
            <v>0</v>
          </cell>
          <cell r="AS1069">
            <v>0</v>
          </cell>
          <cell r="AT1069">
            <v>0</v>
          </cell>
          <cell r="AU1069">
            <v>0</v>
          </cell>
        </row>
        <row r="1070">
          <cell r="A1070" t="str">
            <v>000A1737</v>
          </cell>
          <cell r="B1070" t="str">
            <v>HARRAT</v>
          </cell>
          <cell r="C1070" t="str">
            <v>FAROUK</v>
          </cell>
          <cell r="D1070" t="str">
            <v>SAINT MARTIN D'HERES</v>
          </cell>
          <cell r="E1070">
            <v>3</v>
          </cell>
          <cell r="F1070" t="str">
            <v>NUMERICABLE</v>
          </cell>
          <cell r="I1070" t="str">
            <v>SUES507001</v>
          </cell>
          <cell r="J1070">
            <v>100</v>
          </cell>
          <cell r="K1070">
            <v>38803</v>
          </cell>
          <cell r="L1070" t="str">
            <v>CONSEILLER CLIENTELE BOUTIQUE</v>
          </cell>
          <cell r="M1070" t="str">
            <v>463E</v>
          </cell>
          <cell r="N1070" t="str">
            <v>C</v>
          </cell>
          <cell r="O1070" t="str">
            <v>CDD</v>
          </cell>
          <cell r="P1070">
            <v>166.83</v>
          </cell>
          <cell r="Q1070">
            <v>0</v>
          </cell>
          <cell r="R1070">
            <v>732.77</v>
          </cell>
          <cell r="S1070">
            <v>0</v>
          </cell>
          <cell r="T1070">
            <v>135.04</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1516.67</v>
          </cell>
          <cell r="AR1070">
            <v>0</v>
          </cell>
          <cell r="AS1070">
            <v>0</v>
          </cell>
          <cell r="AT1070">
            <v>0</v>
          </cell>
          <cell r="AU1070">
            <v>0</v>
          </cell>
        </row>
        <row r="1071">
          <cell r="A1071" t="str">
            <v>000A1693</v>
          </cell>
          <cell r="B1071" t="str">
            <v>GARRIDO</v>
          </cell>
          <cell r="C1071" t="str">
            <v>LUC</v>
          </cell>
          <cell r="D1071" t="str">
            <v>TOURS</v>
          </cell>
          <cell r="E1071">
            <v>3</v>
          </cell>
          <cell r="F1071" t="str">
            <v>NUMERICABLE</v>
          </cell>
          <cell r="G1071" t="str">
            <v>BOUTIQUE</v>
          </cell>
          <cell r="H1071" t="str">
            <v>JAUD</v>
          </cell>
          <cell r="I1071" t="str">
            <v>OUES507001</v>
          </cell>
          <cell r="J1071">
            <v>100</v>
          </cell>
          <cell r="K1071">
            <v>38808</v>
          </cell>
          <cell r="L1071" t="str">
            <v>CONSEILLER TECHNIQUE BOUTIQUE</v>
          </cell>
          <cell r="M1071" t="str">
            <v>462E</v>
          </cell>
          <cell r="N1071" t="str">
            <v>C</v>
          </cell>
          <cell r="O1071" t="str">
            <v>CDI</v>
          </cell>
          <cell r="P1071">
            <v>166.83</v>
          </cell>
          <cell r="Q1071">
            <v>0</v>
          </cell>
          <cell r="R1071">
            <v>246.64</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1340</v>
          </cell>
          <cell r="AR1071">
            <v>0</v>
          </cell>
          <cell r="AS1071">
            <v>0</v>
          </cell>
          <cell r="AT1071">
            <v>0</v>
          </cell>
          <cell r="AU1071">
            <v>0</v>
          </cell>
        </row>
        <row r="1072">
          <cell r="A1072">
            <v>70</v>
          </cell>
          <cell r="B1072" t="str">
            <v>PERROT MAZZEGA</v>
          </cell>
          <cell r="C1072" t="str">
            <v>ALEXANDRA</v>
          </cell>
          <cell r="D1072" t="str">
            <v>BORDEAUX</v>
          </cell>
          <cell r="E1072">
            <v>1</v>
          </cell>
          <cell r="F1072" t="str">
            <v>NUMERICABLE</v>
          </cell>
          <cell r="I1072" t="str">
            <v>FTCN905001</v>
          </cell>
          <cell r="J1072">
            <v>100</v>
          </cell>
          <cell r="K1072">
            <v>34323</v>
          </cell>
          <cell r="L1072" t="str">
            <v>ASSIST. GESTION</v>
          </cell>
          <cell r="M1072" t="str">
            <v>543B</v>
          </cell>
          <cell r="N1072" t="str">
            <v>C</v>
          </cell>
          <cell r="O1072" t="str">
            <v>CDI</v>
          </cell>
          <cell r="P1072">
            <v>166.83</v>
          </cell>
          <cell r="Q1072">
            <v>1579</v>
          </cell>
          <cell r="R1072">
            <v>129.53</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-103.66</v>
          </cell>
          <cell r="AN1072">
            <v>11.73</v>
          </cell>
          <cell r="AO1072">
            <v>-103.66</v>
          </cell>
          <cell r="AP1072">
            <v>0</v>
          </cell>
          <cell r="AQ1072">
            <v>1579</v>
          </cell>
          <cell r="AR1072">
            <v>0</v>
          </cell>
          <cell r="AS1072">
            <v>0</v>
          </cell>
          <cell r="AT1072">
            <v>0</v>
          </cell>
          <cell r="AU1072">
            <v>0</v>
          </cell>
        </row>
        <row r="1073">
          <cell r="A1073">
            <v>72</v>
          </cell>
          <cell r="B1073" t="str">
            <v>MALLET</v>
          </cell>
          <cell r="C1073" t="str">
            <v>CARINE</v>
          </cell>
          <cell r="D1073" t="str">
            <v>BORDEAUX</v>
          </cell>
          <cell r="E1073">
            <v>1</v>
          </cell>
          <cell r="F1073" t="str">
            <v>NUMERICABLE</v>
          </cell>
          <cell r="G1073" t="str">
            <v>DIRECTION REGIONALE</v>
          </cell>
          <cell r="H1073" t="str">
            <v>GALERA</v>
          </cell>
          <cell r="I1073" t="str">
            <v>SUOU520001</v>
          </cell>
          <cell r="J1073">
            <v>100</v>
          </cell>
          <cell r="K1073">
            <v>34921</v>
          </cell>
          <cell r="L1073" t="str">
            <v>ASSIST. ADMINISTRAT.</v>
          </cell>
          <cell r="M1073" t="str">
            <v>461C</v>
          </cell>
          <cell r="N1073" t="str">
            <v>DB</v>
          </cell>
          <cell r="O1073" t="str">
            <v>CDI</v>
          </cell>
          <cell r="P1073">
            <v>166.83</v>
          </cell>
          <cell r="Q1073">
            <v>2900</v>
          </cell>
          <cell r="R1073">
            <v>1557.96</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290</v>
          </cell>
          <cell r="AO1073">
            <v>0</v>
          </cell>
          <cell r="AP1073">
            <v>0</v>
          </cell>
          <cell r="AQ1073">
            <v>2900</v>
          </cell>
          <cell r="AR1073">
            <v>0</v>
          </cell>
          <cell r="AS1073">
            <v>0</v>
          </cell>
          <cell r="AT1073">
            <v>0</v>
          </cell>
          <cell r="AU1073">
            <v>0</v>
          </cell>
        </row>
        <row r="1074">
          <cell r="A1074">
            <v>76</v>
          </cell>
          <cell r="B1074" t="str">
            <v>RABECHAULT</v>
          </cell>
          <cell r="C1074" t="str">
            <v>CATHERINE</v>
          </cell>
          <cell r="D1074" t="str">
            <v>BORDEAUX</v>
          </cell>
          <cell r="E1074">
            <v>1</v>
          </cell>
          <cell r="F1074" t="str">
            <v>NUMERICABLE</v>
          </cell>
          <cell r="I1074" t="str">
            <v>FTCN905001</v>
          </cell>
          <cell r="J1074">
            <v>100</v>
          </cell>
          <cell r="K1074">
            <v>32540</v>
          </cell>
          <cell r="L1074" t="str">
            <v>RESP. ADMIN. DES VENTES</v>
          </cell>
          <cell r="M1074" t="str">
            <v>462E</v>
          </cell>
          <cell r="N1074" t="str">
            <v>E</v>
          </cell>
          <cell r="O1074" t="str">
            <v>CDI</v>
          </cell>
          <cell r="P1074">
            <v>151.57</v>
          </cell>
          <cell r="Q1074">
            <v>2146</v>
          </cell>
          <cell r="R1074">
            <v>1148.56</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205.99</v>
          </cell>
          <cell r="AO1074">
            <v>0</v>
          </cell>
          <cell r="AP1074">
            <v>0</v>
          </cell>
          <cell r="AQ1074">
            <v>2146</v>
          </cell>
          <cell r="AR1074">
            <v>0</v>
          </cell>
          <cell r="AS1074">
            <v>0</v>
          </cell>
          <cell r="AT1074">
            <v>0</v>
          </cell>
          <cell r="AU1074">
            <v>0</v>
          </cell>
        </row>
        <row r="1075">
          <cell r="A1075">
            <v>81</v>
          </cell>
          <cell r="B1075" t="str">
            <v>THOMASSIN</v>
          </cell>
          <cell r="C1075" t="str">
            <v>YAN</v>
          </cell>
          <cell r="D1075" t="str">
            <v>BORDEAUX</v>
          </cell>
          <cell r="E1075">
            <v>1</v>
          </cell>
          <cell r="F1075" t="str">
            <v>NUMERICABLE</v>
          </cell>
          <cell r="G1075" t="str">
            <v>TRAVAUX</v>
          </cell>
          <cell r="H1075" t="str">
            <v>DUPEBE</v>
          </cell>
          <cell r="I1075" t="str">
            <v>SUOU300001</v>
          </cell>
          <cell r="J1075">
            <v>100</v>
          </cell>
          <cell r="K1075">
            <v>32797</v>
          </cell>
          <cell r="L1075" t="str">
            <v>SUPERVISEUR TRAVAUX</v>
          </cell>
          <cell r="M1075" t="str">
            <v>478D</v>
          </cell>
          <cell r="N1075" t="str">
            <v>DB</v>
          </cell>
          <cell r="O1075" t="str">
            <v>CDI</v>
          </cell>
          <cell r="P1075">
            <v>166.83</v>
          </cell>
          <cell r="Q1075">
            <v>2331.66</v>
          </cell>
          <cell r="R1075">
            <v>1509.69</v>
          </cell>
          <cell r="S1075">
            <v>0</v>
          </cell>
          <cell r="T1075">
            <v>486.06</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281.48</v>
          </cell>
          <cell r="AO1075">
            <v>0</v>
          </cell>
          <cell r="AP1075">
            <v>0</v>
          </cell>
          <cell r="AQ1075">
            <v>2328.66</v>
          </cell>
          <cell r="AR1075">
            <v>0</v>
          </cell>
          <cell r="AS1075">
            <v>0</v>
          </cell>
          <cell r="AT1075">
            <v>0</v>
          </cell>
          <cell r="AU1075">
            <v>0</v>
          </cell>
        </row>
        <row r="1076">
          <cell r="A1076">
            <v>298</v>
          </cell>
          <cell r="B1076" t="str">
            <v>LECLANCHE</v>
          </cell>
          <cell r="C1076" t="str">
            <v>CHRISTIAN</v>
          </cell>
          <cell r="D1076" t="str">
            <v>MARSEILLE</v>
          </cell>
          <cell r="E1076">
            <v>1</v>
          </cell>
          <cell r="F1076" t="str">
            <v>NUMERICABLE</v>
          </cell>
          <cell r="I1076" t="str">
            <v>FTCN905001</v>
          </cell>
          <cell r="J1076">
            <v>100</v>
          </cell>
          <cell r="K1076">
            <v>36521</v>
          </cell>
          <cell r="L1076" t="str">
            <v>ATTACHE COMMERCIAL</v>
          </cell>
          <cell r="M1076" t="str">
            <v>EMPLOYE</v>
          </cell>
          <cell r="N1076" t="str">
            <v>D</v>
          </cell>
          <cell r="O1076" t="str">
            <v>CDI</v>
          </cell>
          <cell r="P1076">
            <v>166.83</v>
          </cell>
          <cell r="Q1076">
            <v>3114.32</v>
          </cell>
          <cell r="R1076">
            <v>-2200.1</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2291.54</v>
          </cell>
          <cell r="AN1076">
            <v>128.49</v>
          </cell>
          <cell r="AO1076">
            <v>2291.54</v>
          </cell>
          <cell r="AP1076">
            <v>0</v>
          </cell>
          <cell r="AQ1076">
            <v>1285</v>
          </cell>
          <cell r="AR1076">
            <v>0</v>
          </cell>
          <cell r="AS1076">
            <v>0</v>
          </cell>
          <cell r="AT1076">
            <v>0</v>
          </cell>
          <cell r="AU1076">
            <v>0</v>
          </cell>
        </row>
        <row r="1077">
          <cell r="A1077">
            <v>487</v>
          </cell>
          <cell r="B1077" t="str">
            <v>ORONOS</v>
          </cell>
          <cell r="C1077" t="str">
            <v>PANTXO</v>
          </cell>
          <cell r="D1077" t="str">
            <v>BAB</v>
          </cell>
          <cell r="E1077">
            <v>1</v>
          </cell>
          <cell r="F1077" t="str">
            <v>NUMERICABLE</v>
          </cell>
          <cell r="G1077" t="str">
            <v>TRAVAUX</v>
          </cell>
          <cell r="H1077" t="str">
            <v>DUPEBE</v>
          </cell>
          <cell r="I1077" t="str">
            <v>SUOU300001</v>
          </cell>
          <cell r="J1077">
            <v>100</v>
          </cell>
          <cell r="K1077">
            <v>36678</v>
          </cell>
          <cell r="L1077" t="str">
            <v>RESP. TECHNIQUE</v>
          </cell>
          <cell r="M1077" t="str">
            <v>383C</v>
          </cell>
          <cell r="N1077" t="str">
            <v>E</v>
          </cell>
          <cell r="O1077" t="str">
            <v>CDI</v>
          </cell>
          <cell r="P1077">
            <v>151.57</v>
          </cell>
          <cell r="Q1077">
            <v>2520</v>
          </cell>
          <cell r="R1077">
            <v>1281.6300000000001</v>
          </cell>
          <cell r="S1077">
            <v>0</v>
          </cell>
          <cell r="T1077">
            <v>264.45</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279.19</v>
          </cell>
          <cell r="AO1077">
            <v>0</v>
          </cell>
          <cell r="AP1077">
            <v>0</v>
          </cell>
          <cell r="AQ1077">
            <v>2407.48</v>
          </cell>
          <cell r="AR1077">
            <v>0</v>
          </cell>
          <cell r="AS1077">
            <v>0</v>
          </cell>
          <cell r="AT1077">
            <v>0</v>
          </cell>
          <cell r="AU1077">
            <v>0</v>
          </cell>
        </row>
        <row r="1078">
          <cell r="A1078">
            <v>903</v>
          </cell>
          <cell r="B1078" t="str">
            <v>DEGELDER</v>
          </cell>
          <cell r="C1078" t="str">
            <v>FRANCK</v>
          </cell>
          <cell r="D1078" t="str">
            <v>LA MADELEINE</v>
          </cell>
          <cell r="E1078">
            <v>1</v>
          </cell>
          <cell r="F1078" t="str">
            <v>NUMERICABLE</v>
          </cell>
          <cell r="I1078" t="str">
            <v>FTCN905001</v>
          </cell>
          <cell r="J1078">
            <v>100</v>
          </cell>
          <cell r="K1078">
            <v>37228</v>
          </cell>
          <cell r="L1078" t="str">
            <v>ATTACHE COMMERCIAL</v>
          </cell>
          <cell r="M1078" t="str">
            <v>EMPLOYE</v>
          </cell>
          <cell r="N1078" t="str">
            <v>D</v>
          </cell>
          <cell r="O1078" t="str">
            <v>CDI</v>
          </cell>
          <cell r="P1078">
            <v>166.83</v>
          </cell>
          <cell r="Q1078">
            <v>1285</v>
          </cell>
          <cell r="R1078">
            <v>482.58</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1586.63</v>
          </cell>
          <cell r="AN1078">
            <v>128.49</v>
          </cell>
          <cell r="AO1078">
            <v>1586.63</v>
          </cell>
          <cell r="AP1078">
            <v>0</v>
          </cell>
          <cell r="AQ1078">
            <v>1285</v>
          </cell>
          <cell r="AR1078">
            <v>0</v>
          </cell>
          <cell r="AS1078">
            <v>0</v>
          </cell>
          <cell r="AT1078">
            <v>0</v>
          </cell>
          <cell r="AU1078">
            <v>0</v>
          </cell>
        </row>
        <row r="1079">
          <cell r="A1079">
            <v>1004</v>
          </cell>
          <cell r="B1079" t="str">
            <v>RACHID</v>
          </cell>
          <cell r="C1079" t="str">
            <v>CHERIF</v>
          </cell>
          <cell r="D1079" t="str">
            <v>AVIGNON</v>
          </cell>
          <cell r="E1079">
            <v>1</v>
          </cell>
          <cell r="F1079" t="str">
            <v>NUMERICABLE</v>
          </cell>
          <cell r="I1079" t="str">
            <v>FTCN905001</v>
          </cell>
          <cell r="J1079">
            <v>100</v>
          </cell>
          <cell r="K1079">
            <v>37398</v>
          </cell>
          <cell r="L1079" t="str">
            <v>ATTACHE COMMERCIAL</v>
          </cell>
          <cell r="M1079" t="str">
            <v>CADRE</v>
          </cell>
          <cell r="N1079" t="str">
            <v>D</v>
          </cell>
          <cell r="O1079" t="str">
            <v>CDI</v>
          </cell>
          <cell r="P1079">
            <v>166.83</v>
          </cell>
          <cell r="Q1079">
            <v>4730.8999999999996</v>
          </cell>
          <cell r="R1079">
            <v>-2661.34</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4730.09</v>
          </cell>
          <cell r="AN1079">
            <v>128.51</v>
          </cell>
          <cell r="AO1079">
            <v>4730.09</v>
          </cell>
          <cell r="AP1079">
            <v>0</v>
          </cell>
          <cell r="AQ1079">
            <v>1285</v>
          </cell>
          <cell r="AR1079">
            <v>0</v>
          </cell>
          <cell r="AS1079">
            <v>0</v>
          </cell>
          <cell r="AT1079">
            <v>0</v>
          </cell>
          <cell r="AU1079">
            <v>0</v>
          </cell>
        </row>
        <row r="1080">
          <cell r="A1080">
            <v>240064</v>
          </cell>
          <cell r="B1080" t="str">
            <v>AOUSTIN</v>
          </cell>
          <cell r="C1080" t="str">
            <v>CAROLE</v>
          </cell>
          <cell r="D1080" t="str">
            <v>TRAPPES</v>
          </cell>
          <cell r="E1080">
            <v>1</v>
          </cell>
          <cell r="F1080" t="str">
            <v>NUMERICABLE</v>
          </cell>
          <cell r="I1080" t="str">
            <v>FTCN905001</v>
          </cell>
          <cell r="J1080">
            <v>100</v>
          </cell>
          <cell r="K1080">
            <v>36283</v>
          </cell>
          <cell r="L1080" t="str">
            <v>PLANIFICATEUR</v>
          </cell>
          <cell r="M1080" t="str">
            <v>387B</v>
          </cell>
          <cell r="N1080" t="str">
            <v>C</v>
          </cell>
          <cell r="O1080" t="str">
            <v>CDI</v>
          </cell>
          <cell r="P1080">
            <v>166.83</v>
          </cell>
          <cell r="Q1080">
            <v>1566</v>
          </cell>
          <cell r="R1080">
            <v>633.36</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95.81</v>
          </cell>
          <cell r="AN1080">
            <v>113.34</v>
          </cell>
          <cell r="AO1080">
            <v>0</v>
          </cell>
          <cell r="AP1080">
            <v>0</v>
          </cell>
          <cell r="AQ1080">
            <v>1661.81</v>
          </cell>
          <cell r="AR1080">
            <v>0</v>
          </cell>
          <cell r="AS1080">
            <v>0</v>
          </cell>
          <cell r="AT1080">
            <v>0</v>
          </cell>
          <cell r="AU1080">
            <v>0</v>
          </cell>
        </row>
        <row r="1081">
          <cell r="A1081">
            <v>301049</v>
          </cell>
          <cell r="B1081" t="str">
            <v>CHAOUCH</v>
          </cell>
          <cell r="C1081" t="str">
            <v>MAHMOUD</v>
          </cell>
          <cell r="D1081" t="str">
            <v>LA MADELEINE</v>
          </cell>
          <cell r="E1081">
            <v>1</v>
          </cell>
          <cell r="F1081" t="str">
            <v>NUMERICABLE</v>
          </cell>
          <cell r="I1081" t="str">
            <v>FTCN905001</v>
          </cell>
          <cell r="J1081">
            <v>100</v>
          </cell>
          <cell r="K1081">
            <v>34484</v>
          </cell>
          <cell r="L1081" t="str">
            <v>ATTACHE COMMERCIAL</v>
          </cell>
          <cell r="M1081" t="str">
            <v>EMPLOYE</v>
          </cell>
          <cell r="N1081" t="str">
            <v>D</v>
          </cell>
          <cell r="O1081" t="str">
            <v>CDI</v>
          </cell>
          <cell r="P1081">
            <v>166.83</v>
          </cell>
          <cell r="Q1081">
            <v>1285</v>
          </cell>
          <cell r="R1081">
            <v>932.93</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3433.85</v>
          </cell>
          <cell r="AN1081">
            <v>128.49</v>
          </cell>
          <cell r="AO1081">
            <v>3433.85</v>
          </cell>
          <cell r="AP1081">
            <v>0</v>
          </cell>
          <cell r="AQ1081">
            <v>1285</v>
          </cell>
          <cell r="AR1081">
            <v>0</v>
          </cell>
          <cell r="AS1081">
            <v>0</v>
          </cell>
          <cell r="AT1081">
            <v>0</v>
          </cell>
          <cell r="AU1081">
            <v>0</v>
          </cell>
        </row>
        <row r="1082">
          <cell r="A1082">
            <v>453061</v>
          </cell>
          <cell r="B1082" t="str">
            <v>BASTARD</v>
          </cell>
          <cell r="C1082" t="str">
            <v>ERIC</v>
          </cell>
          <cell r="D1082" t="str">
            <v>TOURS</v>
          </cell>
          <cell r="E1082">
            <v>1</v>
          </cell>
          <cell r="F1082" t="str">
            <v>NUMERICABLE</v>
          </cell>
          <cell r="G1082" t="str">
            <v>DISTRIBUTEUR</v>
          </cell>
          <cell r="H1082" t="str">
            <v>TUTTOLOMONDO</v>
          </cell>
          <cell r="I1082" t="str">
            <v>OUES506001</v>
          </cell>
          <cell r="J1082">
            <v>100</v>
          </cell>
          <cell r="K1082">
            <v>34700</v>
          </cell>
          <cell r="L1082" t="str">
            <v>ANIMATEUR RESEAU DAC</v>
          </cell>
          <cell r="M1082" t="str">
            <v>374C</v>
          </cell>
          <cell r="N1082" t="str">
            <v>D</v>
          </cell>
          <cell r="O1082" t="str">
            <v>CDI</v>
          </cell>
          <cell r="P1082">
            <v>166.83</v>
          </cell>
          <cell r="Q1082">
            <v>1501</v>
          </cell>
          <cell r="R1082">
            <v>854.7</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150.1</v>
          </cell>
          <cell r="AO1082">
            <v>0</v>
          </cell>
          <cell r="AP1082">
            <v>0</v>
          </cell>
          <cell r="AQ1082">
            <v>1501</v>
          </cell>
          <cell r="AR1082">
            <v>228.67</v>
          </cell>
          <cell r="AS1082">
            <v>0</v>
          </cell>
          <cell r="AT1082">
            <v>0</v>
          </cell>
          <cell r="AU1082">
            <v>0</v>
          </cell>
        </row>
        <row r="1083">
          <cell r="A1083">
            <v>503002</v>
          </cell>
          <cell r="B1083" t="str">
            <v>BAYSSAT</v>
          </cell>
          <cell r="C1083" t="str">
            <v>JEAN-MICHEL</v>
          </cell>
          <cell r="D1083" t="str">
            <v>METZ</v>
          </cell>
          <cell r="E1083">
            <v>1</v>
          </cell>
          <cell r="F1083" t="str">
            <v>NUMERICABLE</v>
          </cell>
          <cell r="I1083" t="str">
            <v>FTCN905001</v>
          </cell>
          <cell r="J1083">
            <v>100</v>
          </cell>
          <cell r="K1083">
            <v>35370</v>
          </cell>
          <cell r="L1083" t="str">
            <v>TECHNICIEN</v>
          </cell>
          <cell r="M1083" t="str">
            <v>478D</v>
          </cell>
          <cell r="N1083" t="str">
            <v>C</v>
          </cell>
          <cell r="O1083" t="str">
            <v>CDI</v>
          </cell>
          <cell r="P1083">
            <v>166.83</v>
          </cell>
          <cell r="Q1083">
            <v>2026</v>
          </cell>
          <cell r="R1083">
            <v>-506.46</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-127.75</v>
          </cell>
          <cell r="AN1083">
            <v>202.91</v>
          </cell>
          <cell r="AO1083">
            <v>-130.85</v>
          </cell>
          <cell r="AP1083">
            <v>0</v>
          </cell>
          <cell r="AQ1083">
            <v>2029.1</v>
          </cell>
          <cell r="AR1083">
            <v>0</v>
          </cell>
          <cell r="AS1083">
            <v>0</v>
          </cell>
          <cell r="AT1083">
            <v>0</v>
          </cell>
          <cell r="AU1083">
            <v>0</v>
          </cell>
        </row>
        <row r="1084">
          <cell r="A1084">
            <v>503049</v>
          </cell>
          <cell r="B1084" t="str">
            <v>ETTINGER</v>
          </cell>
          <cell r="C1084" t="str">
            <v>JEAN LOUIS</v>
          </cell>
          <cell r="D1084" t="str">
            <v>MONTPELLIER</v>
          </cell>
          <cell r="E1084">
            <v>3</v>
          </cell>
          <cell r="F1084" t="str">
            <v>NUMERICABLE</v>
          </cell>
          <cell r="G1084" t="str">
            <v>RACCORDEMENT IMMOB.</v>
          </cell>
          <cell r="H1084" t="str">
            <v>TUGLER</v>
          </cell>
          <cell r="I1084" t="str">
            <v>SUES302001</v>
          </cell>
          <cell r="J1084">
            <v>100</v>
          </cell>
          <cell r="K1084">
            <v>35856</v>
          </cell>
          <cell r="L1084" t="str">
            <v>SUPERV. RACC-SAV</v>
          </cell>
          <cell r="M1084" t="str">
            <v>633B</v>
          </cell>
          <cell r="N1084" t="str">
            <v>D</v>
          </cell>
          <cell r="O1084" t="str">
            <v>CDI</v>
          </cell>
          <cell r="P1084">
            <v>166.83</v>
          </cell>
          <cell r="Q1084">
            <v>2268.44</v>
          </cell>
          <cell r="R1084">
            <v>1093.82</v>
          </cell>
          <cell r="S1084">
            <v>0</v>
          </cell>
          <cell r="T1084">
            <v>120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208.59</v>
          </cell>
          <cell r="AO1084">
            <v>0</v>
          </cell>
          <cell r="AP1084">
            <v>0</v>
          </cell>
          <cell r="AQ1084">
            <v>1965.86</v>
          </cell>
          <cell r="AR1084">
            <v>0</v>
          </cell>
          <cell r="AS1084">
            <v>0</v>
          </cell>
          <cell r="AT1084">
            <v>0</v>
          </cell>
          <cell r="AU1084">
            <v>0</v>
          </cell>
        </row>
        <row r="1085">
          <cell r="A1085">
            <v>952042</v>
          </cell>
          <cell r="B1085" t="str">
            <v>ROUVERAND</v>
          </cell>
          <cell r="C1085" t="str">
            <v>GILLES</v>
          </cell>
          <cell r="D1085" t="str">
            <v>MARSEILLE</v>
          </cell>
          <cell r="E1085">
            <v>1</v>
          </cell>
          <cell r="F1085" t="str">
            <v>NUMERICABLE</v>
          </cell>
          <cell r="I1085" t="str">
            <v>FTCN905001</v>
          </cell>
          <cell r="J1085">
            <v>100</v>
          </cell>
          <cell r="K1085">
            <v>36800</v>
          </cell>
          <cell r="L1085" t="str">
            <v>ATTACHE COMMERCIAL</v>
          </cell>
          <cell r="M1085" t="str">
            <v>CADRE</v>
          </cell>
          <cell r="N1085" t="str">
            <v>D</v>
          </cell>
          <cell r="O1085" t="str">
            <v>CDI</v>
          </cell>
          <cell r="P1085">
            <v>166.83</v>
          </cell>
          <cell r="Q1085">
            <v>3052.43</v>
          </cell>
          <cell r="R1085">
            <v>-703.76</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3642.59</v>
          </cell>
          <cell r="AN1085">
            <v>128.5</v>
          </cell>
          <cell r="AO1085">
            <v>3642.59</v>
          </cell>
          <cell r="AP1085">
            <v>0</v>
          </cell>
          <cell r="AQ1085">
            <v>1285</v>
          </cell>
          <cell r="AR1085">
            <v>0</v>
          </cell>
          <cell r="AS1085">
            <v>0</v>
          </cell>
          <cell r="AT1085">
            <v>0</v>
          </cell>
          <cell r="AU1085">
            <v>0</v>
          </cell>
        </row>
        <row r="1086">
          <cell r="A1086">
            <v>1243</v>
          </cell>
          <cell r="B1086" t="str">
            <v>CABALE</v>
          </cell>
          <cell r="C1086" t="str">
            <v>THIERRY</v>
          </cell>
          <cell r="D1086" t="str">
            <v>BORDEAUX</v>
          </cell>
          <cell r="E1086">
            <v>1</v>
          </cell>
          <cell r="F1086" t="str">
            <v>NUMERICABLE</v>
          </cell>
          <cell r="G1086" t="str">
            <v>RACCORDEMENT IMMOB.</v>
          </cell>
          <cell r="H1086" t="str">
            <v>RICHARD C</v>
          </cell>
          <cell r="I1086" t="str">
            <v>SUOU302001</v>
          </cell>
          <cell r="J1086">
            <v>100</v>
          </cell>
          <cell r="K1086">
            <v>38687</v>
          </cell>
          <cell r="L1086" t="str">
            <v>SUPERV. RAC-SAV</v>
          </cell>
          <cell r="M1086" t="str">
            <v>EMPLOYE</v>
          </cell>
          <cell r="N1086" t="str">
            <v>D</v>
          </cell>
          <cell r="O1086" t="str">
            <v>CDD</v>
          </cell>
          <cell r="P1086">
            <v>166.83</v>
          </cell>
          <cell r="Q1086">
            <v>1800</v>
          </cell>
          <cell r="R1086">
            <v>1083.57</v>
          </cell>
          <cell r="S1086">
            <v>0</v>
          </cell>
          <cell r="T1086">
            <v>0</v>
          </cell>
          <cell r="U1086">
            <v>0</v>
          </cell>
          <cell r="V1086">
            <v>0</v>
          </cell>
          <cell r="W1086">
            <v>240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204</v>
          </cell>
          <cell r="AO1086">
            <v>0</v>
          </cell>
          <cell r="AP1086">
            <v>0</v>
          </cell>
          <cell r="AQ1086">
            <v>1800</v>
          </cell>
          <cell r="AR1086">
            <v>0</v>
          </cell>
          <cell r="AS1086">
            <v>0</v>
          </cell>
          <cell r="AT1086">
            <v>0</v>
          </cell>
          <cell r="AU1086">
            <v>0</v>
          </cell>
        </row>
        <row r="1087">
          <cell r="A1087">
            <v>1346</v>
          </cell>
          <cell r="B1087" t="str">
            <v>LE GUILLOU</v>
          </cell>
          <cell r="C1087" t="str">
            <v>CHARLES HENRI</v>
          </cell>
          <cell r="D1087" t="str">
            <v>BAB</v>
          </cell>
          <cell r="E1087">
            <v>1</v>
          </cell>
          <cell r="F1087" t="str">
            <v>NUMERICABLE</v>
          </cell>
          <cell r="G1087" t="str">
            <v>BOUTIQUE</v>
          </cell>
          <cell r="H1087" t="str">
            <v>BARDOU</v>
          </cell>
          <cell r="I1087" t="str">
            <v>SUOU507001</v>
          </cell>
          <cell r="J1087">
            <v>100</v>
          </cell>
          <cell r="K1087">
            <v>38533</v>
          </cell>
          <cell r="L1087" t="str">
            <v>CONSEILLER TECHNIQUE BOUTIQUE</v>
          </cell>
          <cell r="M1087" t="str">
            <v>462E</v>
          </cell>
          <cell r="N1087" t="str">
            <v>C</v>
          </cell>
          <cell r="O1087" t="str">
            <v>CDI</v>
          </cell>
          <cell r="P1087">
            <v>166.83</v>
          </cell>
          <cell r="Q1087">
            <v>1350</v>
          </cell>
          <cell r="R1087">
            <v>893.69</v>
          </cell>
          <cell r="S1087">
            <v>0</v>
          </cell>
          <cell r="T1087">
            <v>548.82000000000005</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168.76</v>
          </cell>
          <cell r="AO1087">
            <v>0</v>
          </cell>
          <cell r="AP1087">
            <v>0</v>
          </cell>
          <cell r="AQ1087">
            <v>1287.7</v>
          </cell>
          <cell r="AR1087">
            <v>0</v>
          </cell>
          <cell r="AS1087">
            <v>0</v>
          </cell>
          <cell r="AT1087">
            <v>0</v>
          </cell>
          <cell r="AU1087">
            <v>0</v>
          </cell>
        </row>
        <row r="1088">
          <cell r="A1088" t="str">
            <v>000A1507</v>
          </cell>
          <cell r="B1088" t="str">
            <v>ARGUEROLLES</v>
          </cell>
          <cell r="C1088" t="str">
            <v>JEAN MICHEL</v>
          </cell>
          <cell r="D1088" t="str">
            <v>METZ</v>
          </cell>
          <cell r="E1088">
            <v>19</v>
          </cell>
          <cell r="F1088" t="str">
            <v>NUMERICABLE  (TCC)</v>
          </cell>
          <cell r="G1088" t="str">
            <v>MAINTENANCE RESEAU</v>
          </cell>
          <cell r="I1088" t="str">
            <v>FTCN905001</v>
          </cell>
          <cell r="J1088">
            <v>100</v>
          </cell>
          <cell r="K1088">
            <v>38626</v>
          </cell>
          <cell r="L1088" t="str">
            <v>TECH. EXP. NIV. 2</v>
          </cell>
          <cell r="M1088" t="str">
            <v>TSM</v>
          </cell>
          <cell r="N1088" t="str">
            <v>D</v>
          </cell>
          <cell r="O1088" t="str">
            <v>CDI</v>
          </cell>
          <cell r="P1088">
            <v>151.57</v>
          </cell>
          <cell r="Q1088">
            <v>2800</v>
          </cell>
          <cell r="R1088">
            <v>1462.43</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268.76</v>
          </cell>
          <cell r="AO1088">
            <v>0</v>
          </cell>
          <cell r="AP1088">
            <v>0</v>
          </cell>
          <cell r="AQ1088">
            <v>2800</v>
          </cell>
          <cell r="AR1088">
            <v>0</v>
          </cell>
          <cell r="AS1088">
            <v>0</v>
          </cell>
          <cell r="AT1088">
            <v>0</v>
          </cell>
          <cell r="AU1088">
            <v>0</v>
          </cell>
        </row>
        <row r="1089">
          <cell r="A1089" t="str">
            <v>000A1646</v>
          </cell>
          <cell r="B1089" t="str">
            <v>AYACHI</v>
          </cell>
          <cell r="C1089" t="str">
            <v>BARDED</v>
          </cell>
          <cell r="D1089" t="str">
            <v>MONTPELLIER</v>
          </cell>
          <cell r="E1089">
            <v>3</v>
          </cell>
          <cell r="F1089" t="str">
            <v>NUMERICABLE</v>
          </cell>
          <cell r="G1089" t="str">
            <v>TECHNIQUE</v>
          </cell>
          <cell r="H1089" t="str">
            <v>TUGLER</v>
          </cell>
          <cell r="I1089" t="str">
            <v>SUES302001</v>
          </cell>
          <cell r="J1089">
            <v>100</v>
          </cell>
          <cell r="K1089">
            <v>38777</v>
          </cell>
          <cell r="L1089" t="str">
            <v>SUPERV. RAC-SAV</v>
          </cell>
          <cell r="M1089" t="str">
            <v>EMPLOYE</v>
          </cell>
          <cell r="N1089" t="str">
            <v>D</v>
          </cell>
          <cell r="O1089" t="str">
            <v>CDD</v>
          </cell>
          <cell r="P1089">
            <v>166.83</v>
          </cell>
          <cell r="Q1089">
            <v>0</v>
          </cell>
          <cell r="R1089">
            <v>-781.82</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-1800</v>
          </cell>
          <cell r="AR1089">
            <v>0</v>
          </cell>
          <cell r="AS1089">
            <v>0</v>
          </cell>
          <cell r="AT1089">
            <v>0</v>
          </cell>
          <cell r="AU1089">
            <v>0</v>
          </cell>
        </row>
        <row r="1090">
          <cell r="A1090">
            <v>80155</v>
          </cell>
          <cell r="B1090" t="str">
            <v>TIMMERMANS</v>
          </cell>
          <cell r="C1090" t="str">
            <v>STEPHANE</v>
          </cell>
          <cell r="D1090" t="str">
            <v>BAB</v>
          </cell>
          <cell r="E1090">
            <v>1</v>
          </cell>
          <cell r="F1090" t="str">
            <v>NUMERICABLE</v>
          </cell>
          <cell r="G1090" t="str">
            <v>RACCORDEMENT IMMOB.</v>
          </cell>
          <cell r="H1090" t="str">
            <v>RICHARD C</v>
          </cell>
          <cell r="I1090" t="str">
            <v>SUOU302001</v>
          </cell>
          <cell r="J1090">
            <v>100</v>
          </cell>
          <cell r="K1090">
            <v>35604</v>
          </cell>
          <cell r="L1090" t="str">
            <v>SUPERV. RAC-SAV</v>
          </cell>
          <cell r="M1090" t="str">
            <v>EMPLOYE</v>
          </cell>
          <cell r="N1090" t="str">
            <v>D</v>
          </cell>
          <cell r="O1090" t="str">
            <v>CDI</v>
          </cell>
          <cell r="P1090">
            <v>166.83</v>
          </cell>
          <cell r="Q1090">
            <v>1840</v>
          </cell>
          <cell r="R1090">
            <v>1181.96</v>
          </cell>
          <cell r="S1090">
            <v>0</v>
          </cell>
          <cell r="T1090">
            <v>0</v>
          </cell>
          <cell r="U1090">
            <v>0</v>
          </cell>
          <cell r="V1090">
            <v>0</v>
          </cell>
          <cell r="W1090">
            <v>240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207.99</v>
          </cell>
          <cell r="AO1090">
            <v>0</v>
          </cell>
          <cell r="AP1090">
            <v>0</v>
          </cell>
          <cell r="AQ1090">
            <v>1840</v>
          </cell>
          <cell r="AR1090">
            <v>38.94</v>
          </cell>
          <cell r="AS1090">
            <v>38.94</v>
          </cell>
          <cell r="AT1090">
            <v>0</v>
          </cell>
          <cell r="AU1090">
            <v>0</v>
          </cell>
        </row>
        <row r="1091">
          <cell r="A1091">
            <v>301035</v>
          </cell>
          <cell r="B1091" t="str">
            <v>ABED</v>
          </cell>
          <cell r="C1091" t="str">
            <v>PATRICK</v>
          </cell>
          <cell r="D1091" t="str">
            <v>LA MADELEINE</v>
          </cell>
          <cell r="E1091">
            <v>1</v>
          </cell>
          <cell r="F1091" t="str">
            <v>NUMERICABLE</v>
          </cell>
          <cell r="G1091" t="str">
            <v>COLLECTIF</v>
          </cell>
          <cell r="H1091" t="str">
            <v>PERRET-GENTIL</v>
          </cell>
          <cell r="I1091" t="str">
            <v>NPCA510001</v>
          </cell>
          <cell r="J1091">
            <v>100</v>
          </cell>
          <cell r="K1091">
            <v>34136</v>
          </cell>
          <cell r="L1091" t="str">
            <v>RESP. COLLECTIF</v>
          </cell>
          <cell r="M1091" t="str">
            <v>374C</v>
          </cell>
          <cell r="N1091" t="str">
            <v>E</v>
          </cell>
          <cell r="O1091" t="str">
            <v>CDI</v>
          </cell>
          <cell r="P1091">
            <v>151.57</v>
          </cell>
          <cell r="Q1091">
            <v>2886</v>
          </cell>
          <cell r="R1091">
            <v>1776.23</v>
          </cell>
          <cell r="S1091">
            <v>0</v>
          </cell>
          <cell r="T1091">
            <v>462.5</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352.3</v>
          </cell>
          <cell r="AO1091">
            <v>0</v>
          </cell>
          <cell r="AP1091">
            <v>0</v>
          </cell>
          <cell r="AQ1091">
            <v>3060.58</v>
          </cell>
          <cell r="AR1091">
            <v>0</v>
          </cell>
          <cell r="AS1091">
            <v>0</v>
          </cell>
          <cell r="AT1091">
            <v>0</v>
          </cell>
          <cell r="AU1091">
            <v>0</v>
          </cell>
        </row>
        <row r="1092">
          <cell r="A1092">
            <v>301108</v>
          </cell>
          <cell r="B1092" t="str">
            <v>MESSIANT</v>
          </cell>
          <cell r="C1092" t="str">
            <v>BRUNO</v>
          </cell>
          <cell r="D1092" t="str">
            <v>LA MADELEINE</v>
          </cell>
          <cell r="E1092">
            <v>1</v>
          </cell>
          <cell r="F1092" t="str">
            <v>NUMERICABLE</v>
          </cell>
          <cell r="I1092" t="str">
            <v>FTCN905001</v>
          </cell>
          <cell r="J1092">
            <v>100</v>
          </cell>
          <cell r="K1092">
            <v>36192</v>
          </cell>
          <cell r="L1092" t="str">
            <v>RESP. TECHNIQUE</v>
          </cell>
          <cell r="M1092" t="str">
            <v>383C</v>
          </cell>
          <cell r="N1092" t="str">
            <v>E</v>
          </cell>
          <cell r="O1092" t="str">
            <v>CDI</v>
          </cell>
          <cell r="P1092">
            <v>151.57</v>
          </cell>
          <cell r="Q1092">
            <v>3302</v>
          </cell>
          <cell r="R1092">
            <v>1671.02</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550.77</v>
          </cell>
          <cell r="AN1092">
            <v>604.24</v>
          </cell>
          <cell r="AO1092">
            <v>86522.52</v>
          </cell>
          <cell r="AP1092">
            <v>0</v>
          </cell>
          <cell r="AQ1092">
            <v>1485.14</v>
          </cell>
          <cell r="AR1092">
            <v>0</v>
          </cell>
          <cell r="AS1092">
            <v>0</v>
          </cell>
          <cell r="AT1092">
            <v>0</v>
          </cell>
          <cell r="AU1092">
            <v>0</v>
          </cell>
        </row>
        <row r="1093">
          <cell r="A1093">
            <v>453009</v>
          </cell>
          <cell r="B1093" t="str">
            <v>CROSNIER</v>
          </cell>
          <cell r="C1093" t="str">
            <v>CHRISTIAN</v>
          </cell>
          <cell r="D1093" t="str">
            <v>TOURS</v>
          </cell>
          <cell r="E1093">
            <v>1</v>
          </cell>
          <cell r="F1093" t="str">
            <v>NUMERICABLE</v>
          </cell>
          <cell r="I1093" t="str">
            <v>FTCN905001</v>
          </cell>
          <cell r="J1093">
            <v>100</v>
          </cell>
          <cell r="K1093">
            <v>34700</v>
          </cell>
          <cell r="L1093" t="str">
            <v>TECHNICIEN RESEAU</v>
          </cell>
          <cell r="M1093" t="str">
            <v>478D</v>
          </cell>
          <cell r="N1093" t="str">
            <v>C</v>
          </cell>
          <cell r="O1093" t="str">
            <v>CDI</v>
          </cell>
          <cell r="P1093">
            <v>166.83</v>
          </cell>
          <cell r="Q1093">
            <v>1785</v>
          </cell>
          <cell r="R1093">
            <v>933.63</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-30.74</v>
          </cell>
          <cell r="AN1093">
            <v>225.07</v>
          </cell>
          <cell r="AO1093">
            <v>42885.98</v>
          </cell>
          <cell r="AP1093">
            <v>0</v>
          </cell>
          <cell r="AQ1093">
            <v>1196.72</v>
          </cell>
          <cell r="AR1093">
            <v>0</v>
          </cell>
          <cell r="AS1093">
            <v>0</v>
          </cell>
          <cell r="AT1093">
            <v>10000</v>
          </cell>
          <cell r="AU1093">
            <v>0</v>
          </cell>
        </row>
        <row r="1094">
          <cell r="A1094">
            <v>503033</v>
          </cell>
          <cell r="B1094" t="str">
            <v>SIETZEN</v>
          </cell>
          <cell r="C1094" t="str">
            <v>GUY</v>
          </cell>
          <cell r="D1094" t="str">
            <v>METZ</v>
          </cell>
          <cell r="E1094">
            <v>1</v>
          </cell>
          <cell r="F1094" t="str">
            <v>NUMERICABLE</v>
          </cell>
          <cell r="G1094" t="str">
            <v>RACCORDEMENT IMMOB.</v>
          </cell>
          <cell r="H1094" t="str">
            <v>JENCZAK</v>
          </cell>
          <cell r="I1094" t="str">
            <v>ESTR302001</v>
          </cell>
          <cell r="J1094">
            <v>100</v>
          </cell>
          <cell r="K1094">
            <v>35370</v>
          </cell>
          <cell r="L1094" t="str">
            <v>GESTION RACCORDEMENT</v>
          </cell>
          <cell r="M1094" t="str">
            <v>633B</v>
          </cell>
          <cell r="N1094" t="str">
            <v>DB</v>
          </cell>
          <cell r="O1094" t="str">
            <v>CDI</v>
          </cell>
          <cell r="P1094">
            <v>166.83</v>
          </cell>
          <cell r="Q1094">
            <v>2210</v>
          </cell>
          <cell r="R1094">
            <v>1502.51</v>
          </cell>
          <cell r="S1094">
            <v>0</v>
          </cell>
          <cell r="T1094">
            <v>0</v>
          </cell>
          <cell r="U1094">
            <v>0</v>
          </cell>
          <cell r="V1094">
            <v>0</v>
          </cell>
          <cell r="W1094">
            <v>270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200</v>
          </cell>
          <cell r="AM1094">
            <v>0</v>
          </cell>
          <cell r="AN1094">
            <v>249.41</v>
          </cell>
          <cell r="AO1094">
            <v>0</v>
          </cell>
          <cell r="AP1094">
            <v>0</v>
          </cell>
          <cell r="AQ1094">
            <v>2224.29</v>
          </cell>
          <cell r="AR1094">
            <v>200</v>
          </cell>
          <cell r="AS1094">
            <v>0</v>
          </cell>
          <cell r="AT1094">
            <v>0</v>
          </cell>
          <cell r="AU1094">
            <v>0</v>
          </cell>
        </row>
        <row r="1095">
          <cell r="A1095">
            <v>952023</v>
          </cell>
          <cell r="B1095" t="str">
            <v>BONNARD</v>
          </cell>
          <cell r="C1095" t="str">
            <v>FRANCK</v>
          </cell>
          <cell r="D1095" t="str">
            <v>MARSEILLE</v>
          </cell>
          <cell r="E1095">
            <v>1</v>
          </cell>
          <cell r="F1095" t="str">
            <v>NUMERICABLE</v>
          </cell>
          <cell r="I1095" t="str">
            <v>FTCN905001</v>
          </cell>
          <cell r="J1095">
            <v>100</v>
          </cell>
          <cell r="K1095">
            <v>34747</v>
          </cell>
          <cell r="L1095" t="str">
            <v>RESP. COMMERCIAL</v>
          </cell>
          <cell r="M1095" t="str">
            <v>374C</v>
          </cell>
          <cell r="N1095" t="str">
            <v>E</v>
          </cell>
          <cell r="O1095" t="str">
            <v>CDI</v>
          </cell>
          <cell r="P1095">
            <v>151.57</v>
          </cell>
          <cell r="Q1095">
            <v>2000</v>
          </cell>
          <cell r="R1095">
            <v>1367.46</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2667.17</v>
          </cell>
          <cell r="AN1095">
            <v>466.72</v>
          </cell>
          <cell r="AO1095">
            <v>0</v>
          </cell>
          <cell r="AP1095">
            <v>0</v>
          </cell>
          <cell r="AQ1095">
            <v>4667.17</v>
          </cell>
          <cell r="AR1095">
            <v>0</v>
          </cell>
          <cell r="AS1095">
            <v>0</v>
          </cell>
          <cell r="AT1095">
            <v>0</v>
          </cell>
          <cell r="AU1095">
            <v>0</v>
          </cell>
        </row>
        <row r="1096">
          <cell r="A1096">
            <v>1002108</v>
          </cell>
          <cell r="B1096" t="str">
            <v>HADJI</v>
          </cell>
          <cell r="C1096" t="str">
            <v>MOHAMED</v>
          </cell>
          <cell r="D1096" t="str">
            <v>SIEGE</v>
          </cell>
          <cell r="E1096">
            <v>1</v>
          </cell>
          <cell r="F1096" t="str">
            <v>NUMERICABLE</v>
          </cell>
          <cell r="G1096" t="str">
            <v>MARKETING</v>
          </cell>
          <cell r="H1096" t="str">
            <v>VINEL</v>
          </cell>
          <cell r="I1096" t="str">
            <v>GENE546001</v>
          </cell>
          <cell r="J1096">
            <v>100</v>
          </cell>
          <cell r="K1096">
            <v>36039</v>
          </cell>
          <cell r="L1096" t="str">
            <v>RESP. PARTENARIAT</v>
          </cell>
          <cell r="M1096" t="str">
            <v>CADRE</v>
          </cell>
          <cell r="N1096" t="str">
            <v>F</v>
          </cell>
          <cell r="O1096" t="str">
            <v>CDI</v>
          </cell>
          <cell r="P1096">
            <v>151.57</v>
          </cell>
          <cell r="Q1096">
            <v>4501</v>
          </cell>
          <cell r="R1096">
            <v>3204.22</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1272.82</v>
          </cell>
          <cell r="AO1096">
            <v>25.75</v>
          </cell>
          <cell r="AP1096">
            <v>0</v>
          </cell>
          <cell r="AQ1096">
            <v>5873.88</v>
          </cell>
          <cell r="AR1096">
            <v>0</v>
          </cell>
          <cell r="AS1096">
            <v>0</v>
          </cell>
          <cell r="AT1096">
            <v>0</v>
          </cell>
          <cell r="AU1096">
            <v>0</v>
          </cell>
        </row>
        <row r="1097">
          <cell r="A1097" t="str">
            <v>000A1696</v>
          </cell>
          <cell r="B1097" t="str">
            <v>DEROCQ</v>
          </cell>
          <cell r="C1097" t="str">
            <v>ALAIN</v>
          </cell>
          <cell r="D1097" t="str">
            <v>TOURS</v>
          </cell>
          <cell r="E1097">
            <v>3</v>
          </cell>
          <cell r="F1097" t="str">
            <v>NUMERICABLE</v>
          </cell>
          <cell r="G1097" t="str">
            <v>RACCORDEMENT IMMOB.</v>
          </cell>
          <cell r="H1097" t="str">
            <v>DUCEPT</v>
          </cell>
          <cell r="I1097" t="str">
            <v>OUES302001</v>
          </cell>
          <cell r="J1097">
            <v>100</v>
          </cell>
          <cell r="K1097">
            <v>38817</v>
          </cell>
          <cell r="L1097" t="str">
            <v>SUPERV. RACC-SAV</v>
          </cell>
          <cell r="M1097" t="str">
            <v>633B</v>
          </cell>
          <cell r="N1097" t="str">
            <v>D</v>
          </cell>
          <cell r="O1097" t="str">
            <v>CDI</v>
          </cell>
          <cell r="P1097">
            <v>166.83</v>
          </cell>
          <cell r="Q1097">
            <v>0</v>
          </cell>
          <cell r="R1097">
            <v>854.07</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1680</v>
          </cell>
          <cell r="AR1097">
            <v>0</v>
          </cell>
          <cell r="AS1097">
            <v>0</v>
          </cell>
          <cell r="AT1097">
            <v>0</v>
          </cell>
          <cell r="AU1097">
            <v>0</v>
          </cell>
        </row>
        <row r="1098">
          <cell r="A1098">
            <v>1348</v>
          </cell>
          <cell r="B1098" t="str">
            <v>RASOLOMALALA</v>
          </cell>
          <cell r="C1098" t="str">
            <v>ALLEN</v>
          </cell>
          <cell r="D1098" t="str">
            <v>BORDEAUX</v>
          </cell>
          <cell r="E1098">
            <v>1</v>
          </cell>
          <cell r="F1098" t="str">
            <v>NUMERICABLE</v>
          </cell>
          <cell r="G1098" t="str">
            <v>BOUTIQUE</v>
          </cell>
          <cell r="H1098" t="str">
            <v>GEOFFROY</v>
          </cell>
          <cell r="I1098" t="str">
            <v>SUOU507001</v>
          </cell>
          <cell r="J1098">
            <v>100</v>
          </cell>
          <cell r="K1098">
            <v>38534</v>
          </cell>
          <cell r="L1098" t="str">
            <v>CONSEILLER CLIENTELE BOUTIQUE</v>
          </cell>
          <cell r="M1098" t="str">
            <v>463E</v>
          </cell>
          <cell r="N1098" t="str">
            <v>C</v>
          </cell>
          <cell r="O1098" t="str">
            <v>CDI</v>
          </cell>
          <cell r="P1098">
            <v>166.83</v>
          </cell>
          <cell r="Q1098">
            <v>1301</v>
          </cell>
          <cell r="R1098">
            <v>862.82</v>
          </cell>
          <cell r="S1098">
            <v>0</v>
          </cell>
          <cell r="T1098">
            <v>540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183.02</v>
          </cell>
          <cell r="AO1098">
            <v>0</v>
          </cell>
          <cell r="AP1098">
            <v>0</v>
          </cell>
          <cell r="AQ1098">
            <v>1301</v>
          </cell>
          <cell r="AR1098">
            <v>0</v>
          </cell>
          <cell r="AS1098">
            <v>0</v>
          </cell>
          <cell r="AT1098">
            <v>0</v>
          </cell>
          <cell r="AU1098">
            <v>0</v>
          </cell>
        </row>
        <row r="1099">
          <cell r="A1099">
            <v>1255</v>
          </cell>
          <cell r="B1099" t="str">
            <v>RUIZ</v>
          </cell>
          <cell r="C1099" t="str">
            <v>DANIEL</v>
          </cell>
          <cell r="D1099" t="str">
            <v>AVIGNON</v>
          </cell>
          <cell r="E1099">
            <v>1</v>
          </cell>
          <cell r="F1099" t="str">
            <v>NUMERICABLE</v>
          </cell>
          <cell r="G1099" t="str">
            <v>BOUTIQUE</v>
          </cell>
          <cell r="H1099" t="str">
            <v>STEINMETZ</v>
          </cell>
          <cell r="I1099" t="str">
            <v>SUES507001</v>
          </cell>
          <cell r="J1099">
            <v>100</v>
          </cell>
          <cell r="K1099">
            <v>38117</v>
          </cell>
          <cell r="L1099" t="str">
            <v>CONSEILLER CLIENTELE BOUTIQUE</v>
          </cell>
          <cell r="M1099" t="str">
            <v>463E</v>
          </cell>
          <cell r="N1099" t="str">
            <v>C</v>
          </cell>
          <cell r="O1099" t="str">
            <v>CDI</v>
          </cell>
          <cell r="P1099">
            <v>166.83</v>
          </cell>
          <cell r="Q1099">
            <v>1410</v>
          </cell>
          <cell r="R1099">
            <v>552.23</v>
          </cell>
          <cell r="S1099">
            <v>0</v>
          </cell>
          <cell r="T1099">
            <v>286.89999999999998</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176.23</v>
          </cell>
          <cell r="AO1099">
            <v>0</v>
          </cell>
          <cell r="AP1099">
            <v>0</v>
          </cell>
          <cell r="AQ1099">
            <v>1084.6600000000001</v>
          </cell>
          <cell r="AR1099">
            <v>0</v>
          </cell>
          <cell r="AS1099">
            <v>0</v>
          </cell>
          <cell r="AT1099">
            <v>0</v>
          </cell>
          <cell r="AU1099">
            <v>0</v>
          </cell>
        </row>
        <row r="1100">
          <cell r="A1100">
            <v>1379</v>
          </cell>
          <cell r="B1100" t="str">
            <v>SIADOUS</v>
          </cell>
          <cell r="C1100" t="str">
            <v>PHILIPPE</v>
          </cell>
          <cell r="D1100" t="str">
            <v>SAINT QUENTIN EN YVE</v>
          </cell>
          <cell r="E1100">
            <v>3</v>
          </cell>
          <cell r="F1100" t="str">
            <v>NUMERICABLE</v>
          </cell>
          <cell r="G1100" t="str">
            <v>BOUTIQUE</v>
          </cell>
          <cell r="H1100" t="str">
            <v>ELIEZER-VANEROT</v>
          </cell>
          <cell r="I1100" t="str">
            <v>IDFR507001</v>
          </cell>
          <cell r="J1100">
            <v>100</v>
          </cell>
          <cell r="K1100">
            <v>38684</v>
          </cell>
          <cell r="L1100" t="str">
            <v>CONSEILLER CLIENTELE BOUTIQUE</v>
          </cell>
          <cell r="M1100" t="str">
            <v>463E</v>
          </cell>
          <cell r="N1100" t="str">
            <v>C</v>
          </cell>
          <cell r="O1100" t="str">
            <v>CDI</v>
          </cell>
          <cell r="P1100">
            <v>166.83</v>
          </cell>
          <cell r="Q1100">
            <v>1477.27</v>
          </cell>
          <cell r="R1100">
            <v>1231.52</v>
          </cell>
          <cell r="S1100">
            <v>0</v>
          </cell>
          <cell r="T1100">
            <v>944</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224.4</v>
          </cell>
          <cell r="AO1100">
            <v>23.35</v>
          </cell>
          <cell r="AP1100">
            <v>0</v>
          </cell>
          <cell r="AQ1100">
            <v>1300</v>
          </cell>
          <cell r="AR1100">
            <v>0</v>
          </cell>
          <cell r="AS1100">
            <v>0</v>
          </cell>
          <cell r="AT1100">
            <v>0</v>
          </cell>
          <cell r="AU1100">
            <v>0</v>
          </cell>
        </row>
        <row r="1101">
          <cell r="A1101" t="str">
            <v>000A1509</v>
          </cell>
          <cell r="B1101" t="str">
            <v>BAUER</v>
          </cell>
          <cell r="C1101" t="str">
            <v>VALERIE</v>
          </cell>
          <cell r="D1101" t="str">
            <v>METZ</v>
          </cell>
          <cell r="E1101">
            <v>19</v>
          </cell>
          <cell r="F1101" t="str">
            <v>NUMERICABLE  (TCC)</v>
          </cell>
          <cell r="G1101" t="str">
            <v>DIRECTION REGIONALE</v>
          </cell>
          <cell r="H1101" t="str">
            <v>BAUER V</v>
          </cell>
          <cell r="I1101" t="str">
            <v>ESTR520001</v>
          </cell>
          <cell r="J1101">
            <v>100</v>
          </cell>
          <cell r="K1101">
            <v>38626</v>
          </cell>
          <cell r="L1101" t="str">
            <v>ASSISTANT(E) NIV. 1</v>
          </cell>
          <cell r="M1101" t="str">
            <v>EMPLOYE</v>
          </cell>
          <cell r="N1101" t="str">
            <v>C</v>
          </cell>
          <cell r="O1101" t="str">
            <v>CDI</v>
          </cell>
          <cell r="P1101">
            <v>151.57</v>
          </cell>
          <cell r="Q1101">
            <v>2300</v>
          </cell>
          <cell r="R1101">
            <v>1149.8900000000001</v>
          </cell>
          <cell r="S1101">
            <v>0</v>
          </cell>
          <cell r="T1101">
            <v>0</v>
          </cell>
          <cell r="U1101">
            <v>0</v>
          </cell>
          <cell r="V1101">
            <v>0</v>
          </cell>
          <cell r="W1101">
            <v>0</v>
          </cell>
          <cell r="X1101">
            <v>0</v>
          </cell>
          <cell r="Y1101">
            <v>0</v>
          </cell>
          <cell r="Z1101">
            <v>0</v>
          </cell>
          <cell r="AA1101">
            <v>0</v>
          </cell>
          <cell r="AB1101">
            <v>0</v>
          </cell>
          <cell r="AC1101">
            <v>0</v>
          </cell>
          <cell r="AD1101">
            <v>375</v>
          </cell>
          <cell r="AE1101">
            <v>0</v>
          </cell>
          <cell r="AF1101">
            <v>0</v>
          </cell>
          <cell r="AG1101">
            <v>0</v>
          </cell>
          <cell r="AH1101">
            <v>0</v>
          </cell>
          <cell r="AI1101">
            <v>0</v>
          </cell>
          <cell r="AJ1101">
            <v>0</v>
          </cell>
          <cell r="AK1101">
            <v>0</v>
          </cell>
          <cell r="AL1101">
            <v>285</v>
          </cell>
          <cell r="AM1101">
            <v>0</v>
          </cell>
          <cell r="AN1101">
            <v>220.78</v>
          </cell>
          <cell r="AO1101">
            <v>0</v>
          </cell>
          <cell r="AP1101">
            <v>0</v>
          </cell>
          <cell r="AQ1101">
            <v>1663.17</v>
          </cell>
          <cell r="AR1101">
            <v>660</v>
          </cell>
          <cell r="AS1101">
            <v>0</v>
          </cell>
          <cell r="AT1101">
            <v>0</v>
          </cell>
          <cell r="AU1101">
            <v>0</v>
          </cell>
        </row>
        <row r="1102">
          <cell r="A1102">
            <v>337</v>
          </cell>
          <cell r="B1102" t="str">
            <v>PAVAGEAU</v>
          </cell>
          <cell r="C1102" t="str">
            <v>VIRGINIE</v>
          </cell>
          <cell r="D1102" t="str">
            <v>ANGERS</v>
          </cell>
          <cell r="E1102">
            <v>1</v>
          </cell>
          <cell r="F1102" t="str">
            <v>NUMERICABLE</v>
          </cell>
          <cell r="G1102" t="str">
            <v>BOUTIQUE</v>
          </cell>
          <cell r="H1102" t="str">
            <v>JAUD</v>
          </cell>
          <cell r="I1102" t="str">
            <v>OUES507001</v>
          </cell>
          <cell r="J1102">
            <v>100</v>
          </cell>
          <cell r="K1102">
            <v>36557</v>
          </cell>
          <cell r="L1102" t="str">
            <v>ANIMATEUR POINT DE VENTES</v>
          </cell>
          <cell r="M1102" t="str">
            <v>463E</v>
          </cell>
          <cell r="N1102" t="str">
            <v>DB</v>
          </cell>
          <cell r="O1102" t="str">
            <v>CDI</v>
          </cell>
          <cell r="P1102">
            <v>166.83</v>
          </cell>
          <cell r="Q1102">
            <v>1886</v>
          </cell>
          <cell r="R1102">
            <v>781.26</v>
          </cell>
          <cell r="S1102">
            <v>0</v>
          </cell>
          <cell r="T1102">
            <v>372</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230.52</v>
          </cell>
          <cell r="AO1102">
            <v>0</v>
          </cell>
          <cell r="AP1102">
            <v>-800.52</v>
          </cell>
          <cell r="AQ1102">
            <v>1439.53</v>
          </cell>
          <cell r="AR1102">
            <v>0</v>
          </cell>
          <cell r="AS1102">
            <v>0</v>
          </cell>
          <cell r="AT1102">
            <v>0</v>
          </cell>
          <cell r="AU1102">
            <v>0</v>
          </cell>
        </row>
        <row r="1103">
          <cell r="A1103">
            <v>399</v>
          </cell>
          <cell r="B1103" t="str">
            <v>BERENGER</v>
          </cell>
          <cell r="C1103" t="str">
            <v>GERARD</v>
          </cell>
          <cell r="D1103" t="str">
            <v>MARSEILLE</v>
          </cell>
          <cell r="E1103">
            <v>1</v>
          </cell>
          <cell r="F1103" t="str">
            <v>NUMERICABLE</v>
          </cell>
          <cell r="I1103" t="str">
            <v>FTCN905001</v>
          </cell>
          <cell r="J1103">
            <v>100</v>
          </cell>
          <cell r="K1103">
            <v>36605</v>
          </cell>
          <cell r="L1103" t="str">
            <v>ATTACHE COMMERCIAL</v>
          </cell>
          <cell r="M1103" t="str">
            <v>EMPLOYE</v>
          </cell>
          <cell r="N1103" t="str">
            <v>D</v>
          </cell>
          <cell r="O1103" t="str">
            <v>CDI</v>
          </cell>
          <cell r="P1103">
            <v>166.83</v>
          </cell>
          <cell r="Q1103">
            <v>3069.87</v>
          </cell>
          <cell r="R1103">
            <v>-867.76</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1699.79</v>
          </cell>
          <cell r="AN1103">
            <v>97.13</v>
          </cell>
          <cell r="AO1103">
            <v>1699.79</v>
          </cell>
          <cell r="AP1103">
            <v>0</v>
          </cell>
          <cell r="AQ1103">
            <v>971.31</v>
          </cell>
          <cell r="AR1103">
            <v>0</v>
          </cell>
          <cell r="AS1103">
            <v>0</v>
          </cell>
          <cell r="AT1103">
            <v>0</v>
          </cell>
          <cell r="AU1103">
            <v>0</v>
          </cell>
        </row>
        <row r="1104">
          <cell r="A1104">
            <v>771</v>
          </cell>
          <cell r="B1104" t="str">
            <v>KIRIOW</v>
          </cell>
          <cell r="C1104" t="str">
            <v>MICHEL</v>
          </cell>
          <cell r="D1104" t="str">
            <v>MARSEILLE</v>
          </cell>
          <cell r="E1104">
            <v>1</v>
          </cell>
          <cell r="F1104" t="str">
            <v>NUMERICABLE</v>
          </cell>
          <cell r="I1104" t="str">
            <v>FTCN905001</v>
          </cell>
          <cell r="J1104">
            <v>100</v>
          </cell>
          <cell r="K1104">
            <v>37060</v>
          </cell>
          <cell r="L1104" t="str">
            <v>VENDEUR POINT DE VENTE</v>
          </cell>
          <cell r="M1104" t="str">
            <v>463E</v>
          </cell>
          <cell r="N1104" t="str">
            <v>C</v>
          </cell>
          <cell r="O1104" t="str">
            <v>CDI</v>
          </cell>
          <cell r="P1104">
            <v>166.83</v>
          </cell>
          <cell r="Q1104">
            <v>1350</v>
          </cell>
          <cell r="R1104">
            <v>-542.08000000000004</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-189.8</v>
          </cell>
          <cell r="AN1104">
            <v>75.56</v>
          </cell>
          <cell r="AO1104">
            <v>12316.51</v>
          </cell>
          <cell r="AP1104">
            <v>0</v>
          </cell>
          <cell r="AQ1104">
            <v>43.01</v>
          </cell>
          <cell r="AR1104">
            <v>0</v>
          </cell>
          <cell r="AS1104">
            <v>0</v>
          </cell>
          <cell r="AT1104">
            <v>0</v>
          </cell>
          <cell r="AU1104">
            <v>0</v>
          </cell>
        </row>
        <row r="1105">
          <cell r="A1105">
            <v>8016</v>
          </cell>
          <cell r="B1105" t="str">
            <v>LARRANDABURU</v>
          </cell>
          <cell r="C1105" t="str">
            <v>SANDRINE</v>
          </cell>
          <cell r="D1105" t="str">
            <v>BAB</v>
          </cell>
          <cell r="E1105">
            <v>1</v>
          </cell>
          <cell r="F1105" t="str">
            <v>NUMERICABLE</v>
          </cell>
          <cell r="I1105" t="str">
            <v>FTCN905001</v>
          </cell>
          <cell r="J1105">
            <v>100</v>
          </cell>
          <cell r="K1105">
            <v>33318</v>
          </cell>
          <cell r="L1105" t="str">
            <v>ADJOINTE RESP. CELLULE PAIE</v>
          </cell>
          <cell r="M1105" t="str">
            <v>461E</v>
          </cell>
          <cell r="N1105" t="str">
            <v>DB</v>
          </cell>
          <cell r="O1105" t="str">
            <v>CDI</v>
          </cell>
          <cell r="P1105">
            <v>151.57</v>
          </cell>
          <cell r="Q1105">
            <v>2591</v>
          </cell>
          <cell r="R1105">
            <v>1863.22</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773.4</v>
          </cell>
          <cell r="AN1105">
            <v>248.7</v>
          </cell>
          <cell r="AO1105">
            <v>0</v>
          </cell>
          <cell r="AP1105">
            <v>0</v>
          </cell>
          <cell r="AQ1105">
            <v>3364.4</v>
          </cell>
          <cell r="AR1105">
            <v>0</v>
          </cell>
          <cell r="AS1105">
            <v>0</v>
          </cell>
          <cell r="AT1105">
            <v>0</v>
          </cell>
          <cell r="AU1105">
            <v>0</v>
          </cell>
        </row>
        <row r="1106">
          <cell r="A1106">
            <v>301021</v>
          </cell>
          <cell r="B1106" t="str">
            <v>LESSCHAVE</v>
          </cell>
          <cell r="C1106" t="str">
            <v>MARTIAL</v>
          </cell>
          <cell r="D1106" t="str">
            <v>LA MADELEINE</v>
          </cell>
          <cell r="E1106">
            <v>1</v>
          </cell>
          <cell r="F1106" t="str">
            <v>NUMERICABLE</v>
          </cell>
          <cell r="G1106" t="str">
            <v>VAD ANIMATEURS</v>
          </cell>
          <cell r="H1106" t="str">
            <v>GUIONNET</v>
          </cell>
          <cell r="I1106" t="str">
            <v>NPCA500001</v>
          </cell>
          <cell r="J1106">
            <v>100</v>
          </cell>
          <cell r="K1106">
            <v>33970</v>
          </cell>
          <cell r="L1106" t="str">
            <v>ANIMATEUR COMMERCIAL</v>
          </cell>
          <cell r="M1106" t="str">
            <v>463E</v>
          </cell>
          <cell r="N1106" t="str">
            <v>DB</v>
          </cell>
          <cell r="O1106" t="str">
            <v>CDI</v>
          </cell>
          <cell r="P1106">
            <v>166.83</v>
          </cell>
          <cell r="Q1106">
            <v>1285</v>
          </cell>
          <cell r="R1106">
            <v>1190.46</v>
          </cell>
          <cell r="S1106">
            <v>0</v>
          </cell>
          <cell r="T1106">
            <v>300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288.27</v>
          </cell>
          <cell r="AO1106">
            <v>0</v>
          </cell>
          <cell r="AP1106">
            <v>0</v>
          </cell>
          <cell r="AQ1106">
            <v>1384.68</v>
          </cell>
          <cell r="AR1106">
            <v>0</v>
          </cell>
          <cell r="AS1106">
            <v>719.26</v>
          </cell>
          <cell r="AT1106">
            <v>0</v>
          </cell>
          <cell r="AU1106">
            <v>0</v>
          </cell>
        </row>
        <row r="1107">
          <cell r="A1107">
            <v>452057</v>
          </cell>
          <cell r="B1107" t="str">
            <v>FALCONIS</v>
          </cell>
          <cell r="C1107" t="str">
            <v>EMMANUEL</v>
          </cell>
          <cell r="D1107" t="str">
            <v>ROUEN</v>
          </cell>
          <cell r="E1107">
            <v>1</v>
          </cell>
          <cell r="F1107" t="str">
            <v>NUMERICABLE</v>
          </cell>
          <cell r="I1107" t="str">
            <v>FTCN905001</v>
          </cell>
          <cell r="J1107">
            <v>100</v>
          </cell>
          <cell r="K1107">
            <v>35323</v>
          </cell>
          <cell r="L1107" t="str">
            <v>RESP. COMMERCIAL</v>
          </cell>
          <cell r="M1107" t="str">
            <v>374C</v>
          </cell>
          <cell r="N1107" t="str">
            <v>E</v>
          </cell>
          <cell r="O1107" t="str">
            <v>CDI</v>
          </cell>
          <cell r="P1107">
            <v>151.57</v>
          </cell>
          <cell r="Q1107">
            <v>3286</v>
          </cell>
          <cell r="R1107">
            <v>1971.8</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831.34</v>
          </cell>
          <cell r="AN1107">
            <v>318.83999999999997</v>
          </cell>
          <cell r="AO1107">
            <v>0</v>
          </cell>
          <cell r="AP1107">
            <v>0</v>
          </cell>
          <cell r="AQ1107">
            <v>4117.34</v>
          </cell>
          <cell r="AR1107">
            <v>0</v>
          </cell>
          <cell r="AS1107">
            <v>0</v>
          </cell>
          <cell r="AT1107">
            <v>0</v>
          </cell>
          <cell r="AU1107">
            <v>0</v>
          </cell>
        </row>
        <row r="1108">
          <cell r="A1108">
            <v>453067</v>
          </cell>
          <cell r="B1108" t="str">
            <v>MOUGIN</v>
          </cell>
          <cell r="C1108" t="str">
            <v>JOCELYNE</v>
          </cell>
          <cell r="D1108" t="str">
            <v>TOURS</v>
          </cell>
          <cell r="E1108">
            <v>1</v>
          </cell>
          <cell r="F1108" t="str">
            <v>NUMERICABLE</v>
          </cell>
          <cell r="I1108" t="str">
            <v>FTCN905001</v>
          </cell>
          <cell r="J1108">
            <v>100</v>
          </cell>
          <cell r="K1108">
            <v>35492</v>
          </cell>
          <cell r="L1108" t="str">
            <v>GEST. TECHN. ABONNES</v>
          </cell>
          <cell r="M1108" t="str">
            <v>478D</v>
          </cell>
          <cell r="N1108" t="str">
            <v>C</v>
          </cell>
          <cell r="O1108" t="str">
            <v>CDI</v>
          </cell>
          <cell r="P1108">
            <v>166.83</v>
          </cell>
          <cell r="Q1108">
            <v>1635</v>
          </cell>
          <cell r="R1108">
            <v>-323.79000000000002</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-154.77000000000001</v>
          </cell>
          <cell r="AN1108">
            <v>163.5</v>
          </cell>
          <cell r="AO1108">
            <v>-154.77000000000001</v>
          </cell>
          <cell r="AP1108">
            <v>0</v>
          </cell>
          <cell r="AQ1108">
            <v>1635</v>
          </cell>
          <cell r="AR1108">
            <v>0</v>
          </cell>
          <cell r="AS1108">
            <v>0</v>
          </cell>
          <cell r="AT1108">
            <v>0</v>
          </cell>
          <cell r="AU1108">
            <v>0</v>
          </cell>
        </row>
        <row r="1109">
          <cell r="A1109">
            <v>501046</v>
          </cell>
          <cell r="B1109" t="str">
            <v>NOVELLA</v>
          </cell>
          <cell r="C1109" t="str">
            <v>PIERRE</v>
          </cell>
          <cell r="D1109" t="str">
            <v>SAINT MARTIN D'HERES</v>
          </cell>
          <cell r="E1109">
            <v>1</v>
          </cell>
          <cell r="F1109" t="str">
            <v>NUMERICABLE</v>
          </cell>
          <cell r="I1109" t="str">
            <v>FTCN905001</v>
          </cell>
          <cell r="J1109">
            <v>100</v>
          </cell>
          <cell r="K1109">
            <v>35765</v>
          </cell>
          <cell r="L1109" t="str">
            <v>ATTACHE COMMERCIAL</v>
          </cell>
          <cell r="N1109" t="str">
            <v>DB</v>
          </cell>
          <cell r="O1109" t="str">
            <v>CDI</v>
          </cell>
          <cell r="P1109">
            <v>166.83</v>
          </cell>
          <cell r="Q1109">
            <v>1285</v>
          </cell>
          <cell r="R1109">
            <v>-645.92999999999995</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-1362.36</v>
          </cell>
          <cell r="AQ1109">
            <v>0</v>
          </cell>
          <cell r="AR1109">
            <v>0</v>
          </cell>
          <cell r="AS1109">
            <v>0</v>
          </cell>
          <cell r="AT1109">
            <v>0</v>
          </cell>
          <cell r="AU1109">
            <v>0</v>
          </cell>
        </row>
        <row r="1110">
          <cell r="A1110">
            <v>953022</v>
          </cell>
          <cell r="B1110" t="str">
            <v>DA SILVA</v>
          </cell>
          <cell r="C1110" t="str">
            <v>ALICE</v>
          </cell>
          <cell r="D1110" t="str">
            <v>VALENCE</v>
          </cell>
          <cell r="E1110">
            <v>1</v>
          </cell>
          <cell r="F1110" t="str">
            <v>NUMERICABLE</v>
          </cell>
          <cell r="I1110" t="str">
            <v>FTCN905001</v>
          </cell>
          <cell r="J1110">
            <v>100</v>
          </cell>
          <cell r="K1110">
            <v>34700</v>
          </cell>
          <cell r="L1110" t="str">
            <v>EMPLYE DE SERVICE</v>
          </cell>
          <cell r="M1110" t="str">
            <v>564B</v>
          </cell>
          <cell r="N1110" t="str">
            <v>B</v>
          </cell>
          <cell r="O1110" t="str">
            <v>CDI</v>
          </cell>
          <cell r="P1110">
            <v>99.66</v>
          </cell>
          <cell r="Q1110">
            <v>503.74</v>
          </cell>
          <cell r="R1110">
            <v>136.71</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61.68</v>
          </cell>
          <cell r="AO1110">
            <v>0</v>
          </cell>
          <cell r="AP1110">
            <v>0</v>
          </cell>
          <cell r="AQ1110">
            <v>503.74</v>
          </cell>
          <cell r="AR1110">
            <v>0</v>
          </cell>
          <cell r="AS1110">
            <v>0</v>
          </cell>
          <cell r="AT1110">
            <v>0</v>
          </cell>
          <cell r="AU1110">
            <v>0</v>
          </cell>
        </row>
        <row r="1111">
          <cell r="A1111">
            <v>954052</v>
          </cell>
          <cell r="B1111" t="str">
            <v>BAUDET</v>
          </cell>
          <cell r="C1111" t="str">
            <v>MARIE LINE</v>
          </cell>
          <cell r="D1111" t="str">
            <v>AVIGNON</v>
          </cell>
          <cell r="E1111">
            <v>1</v>
          </cell>
          <cell r="F1111" t="str">
            <v>NUMERICABLE</v>
          </cell>
          <cell r="G1111" t="str">
            <v>BOUTIQUE</v>
          </cell>
          <cell r="H1111" t="str">
            <v>STEINMETZ</v>
          </cell>
          <cell r="I1111" t="str">
            <v>SUES507001</v>
          </cell>
          <cell r="J1111">
            <v>100</v>
          </cell>
          <cell r="K1111">
            <v>36236</v>
          </cell>
          <cell r="L1111" t="str">
            <v>CONSEILLER CLIENTELE BOUTIQUE</v>
          </cell>
          <cell r="M1111" t="str">
            <v>463E</v>
          </cell>
          <cell r="N1111" t="str">
            <v>C</v>
          </cell>
          <cell r="O1111" t="str">
            <v>CDI</v>
          </cell>
          <cell r="P1111">
            <v>136.5</v>
          </cell>
          <cell r="Q1111">
            <v>1380.31</v>
          </cell>
          <cell r="R1111">
            <v>739.84</v>
          </cell>
          <cell r="S1111">
            <v>0</v>
          </cell>
          <cell r="T1111">
            <v>379.84</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185.93</v>
          </cell>
          <cell r="AO1111">
            <v>0</v>
          </cell>
          <cell r="AP1111">
            <v>0</v>
          </cell>
          <cell r="AQ1111">
            <v>1061.82</v>
          </cell>
          <cell r="AR1111">
            <v>0</v>
          </cell>
          <cell r="AS1111">
            <v>0</v>
          </cell>
          <cell r="AT1111">
            <v>0</v>
          </cell>
          <cell r="AU1111">
            <v>0</v>
          </cell>
        </row>
        <row r="1112">
          <cell r="A1112">
            <v>1002027</v>
          </cell>
          <cell r="B1112" t="str">
            <v>CHAZOT</v>
          </cell>
          <cell r="C1112" t="str">
            <v>AXEL</v>
          </cell>
          <cell r="D1112" t="str">
            <v>MONTPELLIER</v>
          </cell>
          <cell r="E1112">
            <v>1</v>
          </cell>
          <cell r="F1112" t="str">
            <v>NUMERICABLE</v>
          </cell>
          <cell r="I1112" t="str">
            <v>FTCN905001</v>
          </cell>
          <cell r="J1112">
            <v>100</v>
          </cell>
          <cell r="K1112">
            <v>34622</v>
          </cell>
          <cell r="L1112" t="str">
            <v>RESPONSABLE DES VENTES INTERNET</v>
          </cell>
          <cell r="M1112" t="str">
            <v>374C</v>
          </cell>
          <cell r="N1112" t="str">
            <v>E</v>
          </cell>
          <cell r="O1112" t="str">
            <v>CDI</v>
          </cell>
          <cell r="P1112">
            <v>151.57</v>
          </cell>
          <cell r="Q1112">
            <v>3688</v>
          </cell>
          <cell r="R1112">
            <v>1849.9</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26.66</v>
          </cell>
          <cell r="AN1112">
            <v>353.99</v>
          </cell>
          <cell r="AO1112">
            <v>0</v>
          </cell>
          <cell r="AP1112">
            <v>0</v>
          </cell>
          <cell r="AQ1112">
            <v>3714.66</v>
          </cell>
          <cell r="AR1112">
            <v>0</v>
          </cell>
          <cell r="AS1112">
            <v>0</v>
          </cell>
          <cell r="AT1112">
            <v>0</v>
          </cell>
          <cell r="AU1112">
            <v>0</v>
          </cell>
        </row>
        <row r="1113">
          <cell r="A1113">
            <v>20000986</v>
          </cell>
          <cell r="B1113" t="str">
            <v>NICOLAS</v>
          </cell>
          <cell r="C1113" t="str">
            <v>ALAIN</v>
          </cell>
          <cell r="D1113" t="str">
            <v>METZ</v>
          </cell>
          <cell r="E1113">
            <v>1</v>
          </cell>
          <cell r="F1113" t="str">
            <v>NUMERICABLE</v>
          </cell>
          <cell r="I1113" t="str">
            <v>FTCN905001</v>
          </cell>
          <cell r="J1113">
            <v>100</v>
          </cell>
          <cell r="K1113">
            <v>37378</v>
          </cell>
          <cell r="L1113" t="str">
            <v>CONSEIL. COMMERCIAL</v>
          </cell>
          <cell r="M1113" t="str">
            <v>463E</v>
          </cell>
          <cell r="N1113" t="str">
            <v>D</v>
          </cell>
          <cell r="O1113" t="str">
            <v>CDI</v>
          </cell>
          <cell r="P1113">
            <v>166.83</v>
          </cell>
          <cell r="Q1113">
            <v>950</v>
          </cell>
          <cell r="R1113">
            <v>626.91</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2225.35</v>
          </cell>
          <cell r="AN1113">
            <v>95</v>
          </cell>
          <cell r="AO1113">
            <v>2225.35</v>
          </cell>
          <cell r="AP1113">
            <v>0</v>
          </cell>
          <cell r="AQ1113">
            <v>950</v>
          </cell>
          <cell r="AR1113">
            <v>0</v>
          </cell>
          <cell r="AS1113">
            <v>0</v>
          </cell>
          <cell r="AT1113">
            <v>0</v>
          </cell>
          <cell r="AU1113">
            <v>0</v>
          </cell>
        </row>
        <row r="1114">
          <cell r="A1114">
            <v>1238</v>
          </cell>
          <cell r="B1114" t="str">
            <v>BEKHALED</v>
          </cell>
          <cell r="C1114" t="str">
            <v>ZAHRA</v>
          </cell>
          <cell r="D1114" t="str">
            <v>METZ</v>
          </cell>
          <cell r="E1114">
            <v>1</v>
          </cell>
          <cell r="F1114" t="str">
            <v>NUMERICABLE</v>
          </cell>
          <cell r="G1114" t="str">
            <v>BOUTIQUE</v>
          </cell>
          <cell r="H1114" t="str">
            <v>BAUER V</v>
          </cell>
          <cell r="I1114" t="str">
            <v>ESTR507001</v>
          </cell>
          <cell r="J1114">
            <v>100</v>
          </cell>
          <cell r="K1114">
            <v>38079</v>
          </cell>
          <cell r="L1114" t="str">
            <v>RESPONSABLE BOUTIQUE</v>
          </cell>
          <cell r="M1114" t="str">
            <v>TSM</v>
          </cell>
          <cell r="N1114" t="str">
            <v>D</v>
          </cell>
          <cell r="O1114" t="str">
            <v>CDI</v>
          </cell>
          <cell r="P1114">
            <v>166.83</v>
          </cell>
          <cell r="Q1114">
            <v>1310</v>
          </cell>
          <cell r="R1114">
            <v>1698.75</v>
          </cell>
          <cell r="S1114">
            <v>0</v>
          </cell>
          <cell r="T1114">
            <v>0</v>
          </cell>
          <cell r="U1114">
            <v>0</v>
          </cell>
          <cell r="V1114">
            <v>0</v>
          </cell>
          <cell r="W1114">
            <v>1403</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320.3</v>
          </cell>
          <cell r="AO1114">
            <v>0</v>
          </cell>
          <cell r="AP1114">
            <v>0</v>
          </cell>
          <cell r="AQ1114">
            <v>1800</v>
          </cell>
          <cell r="AR1114">
            <v>0</v>
          </cell>
          <cell r="AS1114">
            <v>0</v>
          </cell>
          <cell r="AT1114">
            <v>0</v>
          </cell>
          <cell r="AU1114">
            <v>0</v>
          </cell>
        </row>
        <row r="1115">
          <cell r="A1115" t="str">
            <v>000A1552</v>
          </cell>
          <cell r="B1115" t="str">
            <v>CARTON</v>
          </cell>
          <cell r="C1115" t="str">
            <v>ALAIN</v>
          </cell>
          <cell r="D1115" t="str">
            <v>SIEGE</v>
          </cell>
          <cell r="E1115">
            <v>3</v>
          </cell>
          <cell r="F1115" t="str">
            <v>NUMERICABLE</v>
          </cell>
          <cell r="G1115" t="str">
            <v>TECHNIQUE</v>
          </cell>
          <cell r="H1115" t="str">
            <v>DELEBARRE JL</v>
          </cell>
          <cell r="I1115" t="str">
            <v>GENE306001</v>
          </cell>
          <cell r="J1115">
            <v>100</v>
          </cell>
          <cell r="K1115">
            <v>38733</v>
          </cell>
          <cell r="L1115" t="str">
            <v>RESP. EXPL.TECHNIQUE</v>
          </cell>
          <cell r="M1115" t="str">
            <v>CADRE</v>
          </cell>
          <cell r="N1115" t="str">
            <v>E</v>
          </cell>
          <cell r="O1115" t="str">
            <v>CDD</v>
          </cell>
          <cell r="P1115">
            <v>151.57</v>
          </cell>
          <cell r="Q1115">
            <v>5000</v>
          </cell>
          <cell r="R1115">
            <v>2724.41</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499.99</v>
          </cell>
          <cell r="AO1115">
            <v>0</v>
          </cell>
          <cell r="AP1115">
            <v>0</v>
          </cell>
          <cell r="AQ1115">
            <v>5000</v>
          </cell>
          <cell r="AR1115">
            <v>0</v>
          </cell>
          <cell r="AS1115">
            <v>0</v>
          </cell>
          <cell r="AT1115">
            <v>0</v>
          </cell>
          <cell r="AU1115">
            <v>0</v>
          </cell>
        </row>
        <row r="1116">
          <cell r="A1116" t="str">
            <v>000A1639</v>
          </cell>
          <cell r="B1116" t="str">
            <v>SIMON</v>
          </cell>
          <cell r="C1116" t="str">
            <v>PHILIPPE</v>
          </cell>
          <cell r="D1116" t="str">
            <v>ANGERS</v>
          </cell>
          <cell r="E1116">
            <v>3</v>
          </cell>
          <cell r="F1116" t="str">
            <v>NUMERICABLE</v>
          </cell>
          <cell r="G1116" t="str">
            <v>PLATEFORME LOGISTIQU</v>
          </cell>
          <cell r="H1116" t="str">
            <v>DUCEPT</v>
          </cell>
          <cell r="I1116" t="str">
            <v>OUES300001</v>
          </cell>
          <cell r="J1116">
            <v>100</v>
          </cell>
          <cell r="K1116">
            <v>38777</v>
          </cell>
          <cell r="L1116" t="str">
            <v>LOGISTICIEN REGIONAL</v>
          </cell>
          <cell r="M1116" t="str">
            <v>478D</v>
          </cell>
          <cell r="N1116" t="str">
            <v>D</v>
          </cell>
          <cell r="O1116" t="str">
            <v>CDI</v>
          </cell>
          <cell r="P1116">
            <v>166.83</v>
          </cell>
          <cell r="Q1116">
            <v>0</v>
          </cell>
          <cell r="R1116">
            <v>470.36</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1160</v>
          </cell>
          <cell r="AR1116">
            <v>0</v>
          </cell>
          <cell r="AS1116">
            <v>0</v>
          </cell>
          <cell r="AT1116">
            <v>0</v>
          </cell>
          <cell r="AU1116">
            <v>0</v>
          </cell>
        </row>
        <row r="1117">
          <cell r="A1117" t="str">
            <v>000A1649</v>
          </cell>
          <cell r="B1117" t="str">
            <v>TABOURET</v>
          </cell>
          <cell r="C1117" t="str">
            <v>VINCENT</v>
          </cell>
          <cell r="D1117" t="str">
            <v>BORDEAUX</v>
          </cell>
          <cell r="E1117">
            <v>3</v>
          </cell>
          <cell r="F1117" t="str">
            <v>NUMERICABLE</v>
          </cell>
          <cell r="G1117" t="str">
            <v>COLLECTIF</v>
          </cell>
          <cell r="I1117" t="str">
            <v>SUOU510001</v>
          </cell>
          <cell r="J1117">
            <v>100</v>
          </cell>
          <cell r="K1117">
            <v>38777</v>
          </cell>
          <cell r="L1117" t="str">
            <v>ATTACHE COMMERCIAL</v>
          </cell>
          <cell r="N1117" t="str">
            <v>DB</v>
          </cell>
          <cell r="O1117" t="str">
            <v>CDI</v>
          </cell>
          <cell r="P1117">
            <v>166.83</v>
          </cell>
          <cell r="Q1117">
            <v>0</v>
          </cell>
          <cell r="R1117">
            <v>503.09</v>
          </cell>
          <cell r="S1117">
            <v>0</v>
          </cell>
          <cell r="T1117">
            <v>1000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-235.02</v>
          </cell>
          <cell r="AR1117">
            <v>0</v>
          </cell>
          <cell r="AS1117">
            <v>0</v>
          </cell>
          <cell r="AT1117">
            <v>0</v>
          </cell>
          <cell r="AU1117">
            <v>0</v>
          </cell>
        </row>
        <row r="1118">
          <cell r="A1118">
            <v>57</v>
          </cell>
          <cell r="B1118" t="str">
            <v>LABAUDINIERE</v>
          </cell>
          <cell r="C1118" t="str">
            <v>AMELIE</v>
          </cell>
          <cell r="D1118" t="str">
            <v>BORDEAUX</v>
          </cell>
          <cell r="E1118">
            <v>1</v>
          </cell>
          <cell r="F1118" t="str">
            <v>NUMERICABLE</v>
          </cell>
          <cell r="I1118" t="str">
            <v>FTCN905001</v>
          </cell>
          <cell r="J1118">
            <v>100</v>
          </cell>
          <cell r="K1118">
            <v>33637</v>
          </cell>
          <cell r="L1118" t="str">
            <v>RESP. EQUIPE CONSEIL. CLIENT</v>
          </cell>
          <cell r="M1118" t="str">
            <v>462E</v>
          </cell>
          <cell r="N1118" t="str">
            <v>DB</v>
          </cell>
          <cell r="O1118" t="str">
            <v>CDI</v>
          </cell>
          <cell r="P1118">
            <v>166.83</v>
          </cell>
          <cell r="Q1118">
            <v>1948.67</v>
          </cell>
          <cell r="R1118">
            <v>468.6</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503.74</v>
          </cell>
          <cell r="AN1118">
            <v>194.86</v>
          </cell>
          <cell r="AO1118">
            <v>503.74</v>
          </cell>
          <cell r="AP1118">
            <v>0</v>
          </cell>
          <cell r="AQ1118">
            <v>1948.67</v>
          </cell>
          <cell r="AR1118">
            <v>0</v>
          </cell>
          <cell r="AS1118">
            <v>0</v>
          </cell>
          <cell r="AT1118">
            <v>0</v>
          </cell>
          <cell r="AU1118">
            <v>0</v>
          </cell>
        </row>
        <row r="1119">
          <cell r="A1119">
            <v>442</v>
          </cell>
          <cell r="B1119" t="str">
            <v>REBUFIE</v>
          </cell>
          <cell r="C1119" t="str">
            <v>BRUNO</v>
          </cell>
          <cell r="D1119" t="str">
            <v>BORDEAUX</v>
          </cell>
          <cell r="E1119">
            <v>1</v>
          </cell>
          <cell r="F1119" t="str">
            <v>NUMERICABLE</v>
          </cell>
          <cell r="G1119" t="str">
            <v>MAINTENANCE RESEAU</v>
          </cell>
          <cell r="I1119" t="str">
            <v>FTCN905001</v>
          </cell>
          <cell r="J1119">
            <v>100</v>
          </cell>
          <cell r="K1119">
            <v>36647</v>
          </cell>
          <cell r="L1119" t="str">
            <v>GESTIONNAIRE DE STOCK</v>
          </cell>
          <cell r="M1119" t="str">
            <v>478D</v>
          </cell>
          <cell r="N1119" t="str">
            <v>C</v>
          </cell>
          <cell r="O1119" t="str">
            <v>CDI</v>
          </cell>
          <cell r="P1119">
            <v>166.83</v>
          </cell>
          <cell r="Q1119">
            <v>1502.5</v>
          </cell>
          <cell r="R1119">
            <v>481.99</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12.24</v>
          </cell>
          <cell r="AN1119">
            <v>144.21</v>
          </cell>
          <cell r="AO1119">
            <v>0</v>
          </cell>
          <cell r="AP1119">
            <v>0</v>
          </cell>
          <cell r="AQ1119">
            <v>1514.74</v>
          </cell>
          <cell r="AR1119">
            <v>0</v>
          </cell>
          <cell r="AS1119">
            <v>0</v>
          </cell>
          <cell r="AT1119">
            <v>0</v>
          </cell>
          <cell r="AU1119">
            <v>0</v>
          </cell>
        </row>
        <row r="1120">
          <cell r="A1120">
            <v>772</v>
          </cell>
          <cell r="B1120" t="str">
            <v>DE CUETOS</v>
          </cell>
          <cell r="C1120" t="str">
            <v>CLAUDE</v>
          </cell>
          <cell r="D1120" t="str">
            <v>MARSEILLE</v>
          </cell>
          <cell r="E1120">
            <v>1</v>
          </cell>
          <cell r="F1120" t="str">
            <v>NUMERICABLE</v>
          </cell>
          <cell r="I1120" t="str">
            <v>FTCN905001</v>
          </cell>
          <cell r="J1120">
            <v>100</v>
          </cell>
          <cell r="K1120">
            <v>37060</v>
          </cell>
          <cell r="L1120" t="str">
            <v>ATTACHE COMMERCIAL</v>
          </cell>
          <cell r="M1120" t="str">
            <v>EMPLOYE</v>
          </cell>
          <cell r="N1120" t="str">
            <v>D</v>
          </cell>
          <cell r="O1120" t="str">
            <v>CDI</v>
          </cell>
          <cell r="P1120">
            <v>166.83</v>
          </cell>
          <cell r="Q1120">
            <v>2417.4299999999998</v>
          </cell>
          <cell r="R1120">
            <v>-1231.98</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2722.43</v>
          </cell>
          <cell r="AN1120">
            <v>128.51</v>
          </cell>
          <cell r="AO1120">
            <v>2722.43</v>
          </cell>
          <cell r="AP1120">
            <v>0</v>
          </cell>
          <cell r="AQ1120">
            <v>1285</v>
          </cell>
          <cell r="AR1120">
            <v>0</v>
          </cell>
          <cell r="AS1120">
            <v>0</v>
          </cell>
          <cell r="AT1120">
            <v>0</v>
          </cell>
          <cell r="AU1120">
            <v>0</v>
          </cell>
        </row>
        <row r="1121">
          <cell r="A1121">
            <v>240007</v>
          </cell>
          <cell r="B1121" t="str">
            <v>MARECHAL</v>
          </cell>
          <cell r="C1121" t="str">
            <v>MARTINE</v>
          </cell>
          <cell r="D1121" t="str">
            <v>SIEGE</v>
          </cell>
          <cell r="E1121">
            <v>1</v>
          </cell>
          <cell r="F1121" t="str">
            <v>NUMERICABLE</v>
          </cell>
          <cell r="G1121" t="str">
            <v>CONTROLE GESTION</v>
          </cell>
          <cell r="H1121" t="str">
            <v>LE PESQ</v>
          </cell>
          <cell r="I1121" t="str">
            <v>GENE701001</v>
          </cell>
          <cell r="J1121">
            <v>100</v>
          </cell>
          <cell r="K1121">
            <v>34731</v>
          </cell>
          <cell r="L1121" t="str">
            <v>CONTROLEUR GESTION</v>
          </cell>
          <cell r="M1121" t="str">
            <v>373C</v>
          </cell>
          <cell r="N1121" t="str">
            <v>DB</v>
          </cell>
          <cell r="O1121" t="str">
            <v>CDI</v>
          </cell>
          <cell r="P1121">
            <v>166.83</v>
          </cell>
          <cell r="Q1121">
            <v>2761</v>
          </cell>
          <cell r="R1121">
            <v>2049.41</v>
          </cell>
          <cell r="S1121">
            <v>0</v>
          </cell>
          <cell r="T1121">
            <v>0</v>
          </cell>
          <cell r="U1121">
            <v>0</v>
          </cell>
          <cell r="V1121">
            <v>0</v>
          </cell>
          <cell r="W1121">
            <v>1656.6</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442.09</v>
          </cell>
          <cell r="AO1121">
            <v>38.15</v>
          </cell>
          <cell r="AP1121">
            <v>0</v>
          </cell>
          <cell r="AQ1121">
            <v>2764.19</v>
          </cell>
          <cell r="AR1121">
            <v>0</v>
          </cell>
          <cell r="AS1121">
            <v>0</v>
          </cell>
          <cell r="AT1121">
            <v>0</v>
          </cell>
          <cell r="AU1121">
            <v>0</v>
          </cell>
        </row>
        <row r="1122">
          <cell r="A1122">
            <v>452062</v>
          </cell>
          <cell r="B1122" t="str">
            <v>JOUSSE</v>
          </cell>
          <cell r="C1122" t="str">
            <v>BRUNO</v>
          </cell>
          <cell r="D1122" t="str">
            <v>TOURS</v>
          </cell>
          <cell r="E1122">
            <v>1</v>
          </cell>
          <cell r="F1122" t="str">
            <v>NUMERICABLE</v>
          </cell>
          <cell r="I1122" t="str">
            <v>FTCN905001</v>
          </cell>
          <cell r="J1122">
            <v>100</v>
          </cell>
          <cell r="K1122">
            <v>35217</v>
          </cell>
          <cell r="L1122" t="str">
            <v>WEB MASTER</v>
          </cell>
          <cell r="M1122" t="str">
            <v>478B</v>
          </cell>
          <cell r="N1122" t="str">
            <v>DB</v>
          </cell>
          <cell r="O1122" t="str">
            <v>CDI</v>
          </cell>
          <cell r="P1122">
            <v>166.83</v>
          </cell>
          <cell r="Q1122">
            <v>2352</v>
          </cell>
          <cell r="R1122">
            <v>-537.64</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-256.89</v>
          </cell>
          <cell r="AN1122">
            <v>235.2</v>
          </cell>
          <cell r="AO1122">
            <v>-256.89</v>
          </cell>
          <cell r="AP1122">
            <v>0</v>
          </cell>
          <cell r="AQ1122">
            <v>2352</v>
          </cell>
          <cell r="AR1122">
            <v>0</v>
          </cell>
          <cell r="AS1122">
            <v>0</v>
          </cell>
          <cell r="AT1122">
            <v>0</v>
          </cell>
          <cell r="AU1122">
            <v>0</v>
          </cell>
        </row>
        <row r="1123">
          <cell r="A1123">
            <v>952148</v>
          </cell>
          <cell r="B1123" t="str">
            <v>AUZEBY</v>
          </cell>
          <cell r="C1123" t="str">
            <v>CELINE</v>
          </cell>
          <cell r="D1123" t="str">
            <v>AVIGNON</v>
          </cell>
          <cell r="E1123">
            <v>1</v>
          </cell>
          <cell r="F1123" t="str">
            <v>NUMERICABLE</v>
          </cell>
          <cell r="I1123" t="str">
            <v>FTCN905001</v>
          </cell>
          <cell r="J1123">
            <v>100</v>
          </cell>
          <cell r="K1123">
            <v>34897</v>
          </cell>
          <cell r="L1123" t="str">
            <v>DIRECTEUR SERVICE CLIENTS</v>
          </cell>
          <cell r="M1123" t="str">
            <v>374C</v>
          </cell>
          <cell r="N1123" t="str">
            <v>E</v>
          </cell>
          <cell r="O1123" t="str">
            <v>CDI</v>
          </cell>
          <cell r="P1123">
            <v>151.57</v>
          </cell>
          <cell r="Q1123">
            <v>2810</v>
          </cell>
          <cell r="R1123">
            <v>1076.8599999999999</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1009.1</v>
          </cell>
          <cell r="AN1123">
            <v>381.9</v>
          </cell>
          <cell r="AO1123">
            <v>0</v>
          </cell>
          <cell r="AP1123">
            <v>0</v>
          </cell>
          <cell r="AQ1123">
            <v>3819.1</v>
          </cell>
          <cell r="AR1123">
            <v>0</v>
          </cell>
          <cell r="AS1123">
            <v>0</v>
          </cell>
          <cell r="AT1123">
            <v>0</v>
          </cell>
          <cell r="AU1123">
            <v>0</v>
          </cell>
        </row>
        <row r="1124">
          <cell r="A1124">
            <v>952198</v>
          </cell>
          <cell r="B1124" t="str">
            <v>CONIGLIO</v>
          </cell>
          <cell r="C1124" t="str">
            <v>BRUNO</v>
          </cell>
          <cell r="D1124" t="str">
            <v>MARSEILLE</v>
          </cell>
          <cell r="E1124">
            <v>1</v>
          </cell>
          <cell r="F1124" t="str">
            <v>NUMERICABLE</v>
          </cell>
          <cell r="I1124" t="str">
            <v>FTCN905001</v>
          </cell>
          <cell r="J1124">
            <v>100</v>
          </cell>
          <cell r="K1124">
            <v>38428</v>
          </cell>
          <cell r="L1124" t="str">
            <v>CONSEIL. FIDELISATION</v>
          </cell>
          <cell r="M1124" t="str">
            <v>462E</v>
          </cell>
          <cell r="N1124" t="str">
            <v>C</v>
          </cell>
          <cell r="O1124" t="str">
            <v>CDI</v>
          </cell>
          <cell r="P1124">
            <v>166.83</v>
          </cell>
          <cell r="Q1124">
            <v>2500</v>
          </cell>
          <cell r="R1124">
            <v>1300.24</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239.97</v>
          </cell>
          <cell r="AO1124">
            <v>0</v>
          </cell>
          <cell r="AP1124">
            <v>0</v>
          </cell>
          <cell r="AQ1124">
            <v>2500</v>
          </cell>
          <cell r="AR1124">
            <v>0</v>
          </cell>
          <cell r="AS1124">
            <v>0</v>
          </cell>
          <cell r="AT1124">
            <v>0</v>
          </cell>
          <cell r="AU1124">
            <v>0</v>
          </cell>
        </row>
        <row r="1125">
          <cell r="A1125">
            <v>952199</v>
          </cell>
          <cell r="B1125" t="str">
            <v>TCHIFTEYAN</v>
          </cell>
          <cell r="C1125" t="str">
            <v>RICHARD</v>
          </cell>
          <cell r="D1125" t="str">
            <v>MARSEILLE</v>
          </cell>
          <cell r="E1125">
            <v>1</v>
          </cell>
          <cell r="F1125" t="str">
            <v>NUMERICABLE</v>
          </cell>
          <cell r="I1125" t="str">
            <v>FTCN905001</v>
          </cell>
          <cell r="J1125">
            <v>100</v>
          </cell>
          <cell r="K1125">
            <v>35096</v>
          </cell>
          <cell r="L1125" t="str">
            <v>CHARGE D'AFFAIRES</v>
          </cell>
          <cell r="M1125" t="str">
            <v>462E</v>
          </cell>
          <cell r="N1125" t="str">
            <v>D</v>
          </cell>
          <cell r="O1125" t="str">
            <v>CDI</v>
          </cell>
          <cell r="P1125">
            <v>166.83</v>
          </cell>
          <cell r="Q1125">
            <v>2473.37</v>
          </cell>
          <cell r="R1125">
            <v>-1620.61</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1943.1</v>
          </cell>
          <cell r="AN1125">
            <v>135.61000000000001</v>
          </cell>
          <cell r="AO1125">
            <v>1943.1</v>
          </cell>
          <cell r="AP1125">
            <v>0</v>
          </cell>
          <cell r="AQ1125">
            <v>1356</v>
          </cell>
          <cell r="AR1125">
            <v>0</v>
          </cell>
          <cell r="AS1125">
            <v>0</v>
          </cell>
          <cell r="AT1125">
            <v>0</v>
          </cell>
          <cell r="AU1125">
            <v>0</v>
          </cell>
        </row>
        <row r="1126">
          <cell r="A1126">
            <v>952377</v>
          </cell>
          <cell r="B1126" t="str">
            <v>GRAU</v>
          </cell>
          <cell r="C1126" t="str">
            <v>PATRICE</v>
          </cell>
          <cell r="D1126" t="str">
            <v>MARSEILLE</v>
          </cell>
          <cell r="E1126">
            <v>1</v>
          </cell>
          <cell r="F1126" t="str">
            <v>NUMERICABLE</v>
          </cell>
          <cell r="G1126" t="str">
            <v>BOUTIQUE</v>
          </cell>
          <cell r="H1126" t="str">
            <v>VIVIN</v>
          </cell>
          <cell r="I1126" t="str">
            <v>SUES507001</v>
          </cell>
          <cell r="J1126">
            <v>100</v>
          </cell>
          <cell r="K1126">
            <v>36087</v>
          </cell>
          <cell r="L1126" t="str">
            <v>RESPONSABLE BOUTIQUE</v>
          </cell>
          <cell r="M1126" t="str">
            <v>463E</v>
          </cell>
          <cell r="N1126" t="str">
            <v>DB</v>
          </cell>
          <cell r="O1126" t="str">
            <v>CDI</v>
          </cell>
          <cell r="P1126">
            <v>166.83</v>
          </cell>
          <cell r="Q1126">
            <v>2920</v>
          </cell>
          <cell r="R1126">
            <v>1770.01</v>
          </cell>
          <cell r="S1126">
            <v>0</v>
          </cell>
          <cell r="T1126">
            <v>1089.8</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338.98</v>
          </cell>
          <cell r="AO1126">
            <v>0</v>
          </cell>
          <cell r="AP1126">
            <v>0</v>
          </cell>
          <cell r="AQ1126">
            <v>2300</v>
          </cell>
          <cell r="AR1126">
            <v>0</v>
          </cell>
          <cell r="AS1126">
            <v>0</v>
          </cell>
          <cell r="AT1126">
            <v>0</v>
          </cell>
          <cell r="AU1126">
            <v>0</v>
          </cell>
        </row>
        <row r="1127">
          <cell r="A1127" t="str">
            <v>000A1518</v>
          </cell>
          <cell r="B1127" t="str">
            <v>DELPECH</v>
          </cell>
          <cell r="C1127" t="str">
            <v>NATHALIE</v>
          </cell>
          <cell r="D1127" t="str">
            <v>METZ</v>
          </cell>
          <cell r="E1127">
            <v>19</v>
          </cell>
          <cell r="F1127" t="str">
            <v>NUMERICABLE  (TCC)</v>
          </cell>
          <cell r="G1127" t="str">
            <v>TECHNIQUE</v>
          </cell>
          <cell r="I1127" t="str">
            <v>FTCN905001</v>
          </cell>
          <cell r="J1127">
            <v>100</v>
          </cell>
          <cell r="K1127">
            <v>33910</v>
          </cell>
          <cell r="L1127" t="str">
            <v>EMPLOYEE SCE TECHNIQUE NIV 2</v>
          </cell>
          <cell r="M1127" t="str">
            <v>EMPLOYE</v>
          </cell>
          <cell r="N1127" t="str">
            <v>C</v>
          </cell>
          <cell r="O1127" t="str">
            <v>CDI</v>
          </cell>
          <cell r="P1127">
            <v>151.57</v>
          </cell>
          <cell r="Q1127">
            <v>1812.5</v>
          </cell>
          <cell r="R1127">
            <v>311.47000000000003</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-268.5</v>
          </cell>
          <cell r="AN1127">
            <v>0</v>
          </cell>
          <cell r="AO1127">
            <v>-268.5</v>
          </cell>
          <cell r="AP1127">
            <v>0</v>
          </cell>
          <cell r="AQ1127">
            <v>1812.5</v>
          </cell>
          <cell r="AR1127">
            <v>0</v>
          </cell>
          <cell r="AS1127">
            <v>0</v>
          </cell>
          <cell r="AT1127">
            <v>0</v>
          </cell>
          <cell r="AU1127">
            <v>0</v>
          </cell>
        </row>
        <row r="1128">
          <cell r="A1128">
            <v>1044</v>
          </cell>
          <cell r="B1128" t="str">
            <v>LEMAIRE</v>
          </cell>
          <cell r="C1128" t="str">
            <v>MAUREEN</v>
          </cell>
          <cell r="D1128" t="str">
            <v>METZ</v>
          </cell>
          <cell r="E1128">
            <v>1</v>
          </cell>
          <cell r="F1128" t="str">
            <v>NUMERICABLE</v>
          </cell>
          <cell r="I1128" t="str">
            <v>FTCN905001</v>
          </cell>
          <cell r="J1128">
            <v>100</v>
          </cell>
          <cell r="K1128">
            <v>37500</v>
          </cell>
          <cell r="L1128" t="str">
            <v>CONSEILLER CLIENT</v>
          </cell>
          <cell r="M1128" t="str">
            <v>462E</v>
          </cell>
          <cell r="N1128" t="str">
            <v>C</v>
          </cell>
          <cell r="O1128" t="str">
            <v>CDI</v>
          </cell>
          <cell r="P1128">
            <v>166.83</v>
          </cell>
          <cell r="Q1128">
            <v>1787.72</v>
          </cell>
          <cell r="R1128">
            <v>-238.35</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-74.37</v>
          </cell>
          <cell r="AN1128">
            <v>0</v>
          </cell>
          <cell r="AO1128">
            <v>-74.37</v>
          </cell>
          <cell r="AP1128">
            <v>0</v>
          </cell>
          <cell r="AQ1128">
            <v>1787.72</v>
          </cell>
          <cell r="AR1128">
            <v>0</v>
          </cell>
          <cell r="AS1128">
            <v>0</v>
          </cell>
          <cell r="AT1128">
            <v>0</v>
          </cell>
          <cell r="AU1128">
            <v>0</v>
          </cell>
        </row>
        <row r="1129">
          <cell r="A1129">
            <v>952211</v>
          </cell>
          <cell r="B1129" t="str">
            <v>MOUHIEDDINE</v>
          </cell>
          <cell r="C1129" t="str">
            <v>NORDINE</v>
          </cell>
          <cell r="D1129" t="str">
            <v>MARSEILLE</v>
          </cell>
          <cell r="E1129">
            <v>1</v>
          </cell>
          <cell r="F1129" t="str">
            <v>NUMERICABLE</v>
          </cell>
          <cell r="I1129" t="str">
            <v>FTCN905001</v>
          </cell>
          <cell r="J1129">
            <v>100</v>
          </cell>
          <cell r="K1129">
            <v>38749</v>
          </cell>
          <cell r="P1129">
            <v>166.83</v>
          </cell>
          <cell r="Q1129">
            <v>0</v>
          </cell>
          <cell r="R1129">
            <v>7529.03</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15037</v>
          </cell>
          <cell r="AT1129">
            <v>0</v>
          </cell>
          <cell r="AU1129">
            <v>0</v>
          </cell>
        </row>
        <row r="1130">
          <cell r="A1130" t="str">
            <v>000A1636</v>
          </cell>
          <cell r="B1130" t="str">
            <v>BOCAHUT</v>
          </cell>
          <cell r="C1130" t="str">
            <v>YVAN</v>
          </cell>
          <cell r="D1130" t="str">
            <v>LILLE</v>
          </cell>
          <cell r="E1130">
            <v>19</v>
          </cell>
          <cell r="F1130" t="str">
            <v>NUMERICABLE  (TCC)</v>
          </cell>
          <cell r="H1130" t="str">
            <v>DELSART</v>
          </cell>
          <cell r="I1130" t="str">
            <v>NPCA507001</v>
          </cell>
          <cell r="J1130">
            <v>100</v>
          </cell>
          <cell r="K1130">
            <v>38782</v>
          </cell>
          <cell r="L1130" t="str">
            <v>CONSEILLER TECHNIQUE BOUTIQUE</v>
          </cell>
          <cell r="M1130" t="str">
            <v>462E</v>
          </cell>
          <cell r="N1130" t="str">
            <v>C</v>
          </cell>
          <cell r="O1130" t="str">
            <v>CDD</v>
          </cell>
          <cell r="P1130">
            <v>151.57</v>
          </cell>
          <cell r="Q1130">
            <v>0</v>
          </cell>
          <cell r="R1130">
            <v>1277.97</v>
          </cell>
          <cell r="S1130">
            <v>0</v>
          </cell>
          <cell r="T1130">
            <v>947</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328.03</v>
          </cell>
          <cell r="AO1130">
            <v>0</v>
          </cell>
          <cell r="AP1130">
            <v>0</v>
          </cell>
          <cell r="AQ1130">
            <v>1250</v>
          </cell>
          <cell r="AR1130">
            <v>0</v>
          </cell>
          <cell r="AS1130">
            <v>0</v>
          </cell>
          <cell r="AT1130">
            <v>0</v>
          </cell>
          <cell r="AU1130">
            <v>0</v>
          </cell>
        </row>
        <row r="1131">
          <cell r="A1131" t="str">
            <v>000A1551</v>
          </cell>
          <cell r="B1131" t="str">
            <v>FRANCOIS</v>
          </cell>
          <cell r="C1131" t="str">
            <v>ANTHONY</v>
          </cell>
          <cell r="D1131" t="str">
            <v>ANGERS</v>
          </cell>
          <cell r="E1131">
            <v>19</v>
          </cell>
          <cell r="F1131" t="str">
            <v>NUMERICABLE  (TCC)</v>
          </cell>
          <cell r="G1131" t="str">
            <v>BOUTIQUE</v>
          </cell>
          <cell r="H1131" t="str">
            <v>PAVAGEAU</v>
          </cell>
          <cell r="I1131" t="str">
            <v>OUES507001</v>
          </cell>
          <cell r="J1131">
            <v>100</v>
          </cell>
          <cell r="K1131">
            <v>38719</v>
          </cell>
          <cell r="L1131" t="str">
            <v>CONSEILLER(E) CLT</v>
          </cell>
          <cell r="M1131" t="str">
            <v>EMPLOYE</v>
          </cell>
          <cell r="N1131" t="str">
            <v>C</v>
          </cell>
          <cell r="O1131" t="str">
            <v>CDI</v>
          </cell>
          <cell r="P1131">
            <v>166.83</v>
          </cell>
          <cell r="Q1131">
            <v>1300</v>
          </cell>
          <cell r="R1131">
            <v>1514.33</v>
          </cell>
          <cell r="S1131">
            <v>0</v>
          </cell>
          <cell r="T1131">
            <v>1928.7</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322.87</v>
          </cell>
          <cell r="AO1131">
            <v>0</v>
          </cell>
          <cell r="AP1131">
            <v>0</v>
          </cell>
          <cell r="AQ1131">
            <v>1300</v>
          </cell>
          <cell r="AR1131">
            <v>0</v>
          </cell>
          <cell r="AS1131">
            <v>0</v>
          </cell>
          <cell r="AT1131">
            <v>0</v>
          </cell>
          <cell r="AU1131">
            <v>0</v>
          </cell>
        </row>
        <row r="1132">
          <cell r="A1132" t="str">
            <v>000A1650</v>
          </cell>
          <cell r="B1132" t="str">
            <v>COMTE</v>
          </cell>
          <cell r="C1132" t="str">
            <v>LAURENT</v>
          </cell>
          <cell r="D1132" t="str">
            <v>VALENCE</v>
          </cell>
          <cell r="E1132">
            <v>3</v>
          </cell>
          <cell r="F1132" t="str">
            <v>NUMERICABLE</v>
          </cell>
          <cell r="G1132" t="str">
            <v>BOUTIQUE</v>
          </cell>
          <cell r="H1132" t="str">
            <v>BRAHIMI</v>
          </cell>
          <cell r="I1132" t="str">
            <v>SUES507001</v>
          </cell>
          <cell r="J1132">
            <v>100</v>
          </cell>
          <cell r="K1132">
            <v>38782</v>
          </cell>
          <cell r="L1132" t="str">
            <v>CONSEILLER TECHNIQUE BOUTIQUE</v>
          </cell>
          <cell r="M1132" t="str">
            <v>462E</v>
          </cell>
          <cell r="N1132" t="str">
            <v>C</v>
          </cell>
          <cell r="O1132" t="str">
            <v>CDI</v>
          </cell>
          <cell r="P1132">
            <v>166.83</v>
          </cell>
          <cell r="Q1132">
            <v>0</v>
          </cell>
          <cell r="R1132">
            <v>521.02</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242.67</v>
          </cell>
          <cell r="AO1132">
            <v>0</v>
          </cell>
          <cell r="AP1132">
            <v>0</v>
          </cell>
          <cell r="AQ1132">
            <v>1300</v>
          </cell>
          <cell r="AR1132">
            <v>0</v>
          </cell>
          <cell r="AS1132">
            <v>0</v>
          </cell>
          <cell r="AT1132">
            <v>0</v>
          </cell>
          <cell r="AU1132">
            <v>0</v>
          </cell>
        </row>
        <row r="1133">
          <cell r="A1133">
            <v>1363</v>
          </cell>
          <cell r="B1133" t="str">
            <v>LALAUZE</v>
          </cell>
          <cell r="C1133" t="str">
            <v>EMILIE</v>
          </cell>
          <cell r="D1133" t="str">
            <v>VALENCE</v>
          </cell>
          <cell r="E1133">
            <v>1</v>
          </cell>
          <cell r="F1133" t="str">
            <v>NUMERICABLE</v>
          </cell>
          <cell r="G1133" t="str">
            <v>BOUTIQUE</v>
          </cell>
          <cell r="H1133" t="str">
            <v>BRAHIMI</v>
          </cell>
          <cell r="I1133" t="str">
            <v>SUES507001</v>
          </cell>
          <cell r="J1133">
            <v>100</v>
          </cell>
          <cell r="K1133">
            <v>38626</v>
          </cell>
          <cell r="L1133" t="str">
            <v>CONSEILLER CLIENTELE BOUTIQUE</v>
          </cell>
          <cell r="M1133" t="str">
            <v>463E</v>
          </cell>
          <cell r="N1133" t="str">
            <v>C</v>
          </cell>
          <cell r="O1133" t="str">
            <v>CDI</v>
          </cell>
          <cell r="P1133">
            <v>166.83</v>
          </cell>
          <cell r="Q1133">
            <v>1387</v>
          </cell>
          <cell r="R1133">
            <v>1232.1300000000001</v>
          </cell>
          <cell r="S1133">
            <v>0</v>
          </cell>
          <cell r="T1133">
            <v>872</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212.48</v>
          </cell>
          <cell r="AO1133">
            <v>0</v>
          </cell>
          <cell r="AP1133">
            <v>0</v>
          </cell>
          <cell r="AQ1133">
            <v>1387</v>
          </cell>
          <cell r="AR1133">
            <v>0</v>
          </cell>
          <cell r="AS1133">
            <v>0</v>
          </cell>
          <cell r="AT1133">
            <v>0</v>
          </cell>
          <cell r="AU1133">
            <v>0</v>
          </cell>
        </row>
        <row r="1134">
          <cell r="A1134" t="str">
            <v>000A1638</v>
          </cell>
          <cell r="B1134" t="str">
            <v>SANCHEZ</v>
          </cell>
          <cell r="C1134" t="str">
            <v>BRUNO</v>
          </cell>
          <cell r="D1134" t="str">
            <v>TOURS</v>
          </cell>
          <cell r="E1134">
            <v>19</v>
          </cell>
          <cell r="F1134" t="str">
            <v>NUMERICABLE  (TCC)</v>
          </cell>
          <cell r="I1134" t="str">
            <v>OUES510001</v>
          </cell>
          <cell r="J1134">
            <v>100</v>
          </cell>
          <cell r="K1134">
            <v>38782</v>
          </cell>
          <cell r="L1134" t="str">
            <v>ATTACHE COMMERCIAL</v>
          </cell>
          <cell r="N1134" t="str">
            <v>DB</v>
          </cell>
          <cell r="O1134" t="str">
            <v>CDI</v>
          </cell>
          <cell r="P1134">
            <v>166.83</v>
          </cell>
          <cell r="Q1134">
            <v>0</v>
          </cell>
          <cell r="R1134">
            <v>1810.61</v>
          </cell>
          <cell r="S1134">
            <v>0</v>
          </cell>
          <cell r="T1134">
            <v>1000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488.89</v>
          </cell>
          <cell r="AO1134">
            <v>0</v>
          </cell>
          <cell r="AP1134">
            <v>0</v>
          </cell>
          <cell r="AQ1134">
            <v>2083.33</v>
          </cell>
          <cell r="AR1134">
            <v>0</v>
          </cell>
          <cell r="AS1134">
            <v>0</v>
          </cell>
          <cell r="AT1134">
            <v>0</v>
          </cell>
          <cell r="AU1134">
            <v>0</v>
          </cell>
        </row>
        <row r="1135">
          <cell r="A1135" t="str">
            <v>000A1513</v>
          </cell>
          <cell r="B1135" t="str">
            <v>CAPONI</v>
          </cell>
          <cell r="C1135" t="str">
            <v>ALEXANDRE</v>
          </cell>
          <cell r="D1135" t="str">
            <v>METZ</v>
          </cell>
          <cell r="E1135">
            <v>19</v>
          </cell>
          <cell r="F1135" t="str">
            <v>NUMERICABLE  (TCC)</v>
          </cell>
          <cell r="G1135" t="str">
            <v>DIRECTION GENERALE</v>
          </cell>
          <cell r="H1135" t="str">
            <v>LAVELOT</v>
          </cell>
          <cell r="I1135" t="str">
            <v>GENE701001</v>
          </cell>
          <cell r="J1135">
            <v>100</v>
          </cell>
          <cell r="K1135">
            <v>38626</v>
          </cell>
          <cell r="L1135" t="str">
            <v>RESP ADM FINANCIER NIV 2</v>
          </cell>
          <cell r="M1135" t="str">
            <v>CADRE</v>
          </cell>
          <cell r="N1135" t="str">
            <v>F</v>
          </cell>
          <cell r="O1135" t="str">
            <v>CDI</v>
          </cell>
          <cell r="P1135">
            <v>151.57</v>
          </cell>
          <cell r="Q1135">
            <v>4580</v>
          </cell>
          <cell r="R1135">
            <v>1501.73</v>
          </cell>
          <cell r="S1135">
            <v>0</v>
          </cell>
          <cell r="T1135">
            <v>0</v>
          </cell>
          <cell r="U1135">
            <v>0</v>
          </cell>
          <cell r="V1135">
            <v>0</v>
          </cell>
          <cell r="W1135">
            <v>0</v>
          </cell>
          <cell r="X1135">
            <v>0</v>
          </cell>
          <cell r="Y1135">
            <v>0</v>
          </cell>
          <cell r="Z1135">
            <v>0</v>
          </cell>
          <cell r="AA1135">
            <v>0</v>
          </cell>
          <cell r="AB1135">
            <v>0</v>
          </cell>
          <cell r="AC1135">
            <v>0</v>
          </cell>
          <cell r="AD1135">
            <v>950</v>
          </cell>
          <cell r="AE1135">
            <v>0</v>
          </cell>
          <cell r="AF1135">
            <v>0</v>
          </cell>
          <cell r="AG1135">
            <v>0</v>
          </cell>
          <cell r="AH1135">
            <v>0</v>
          </cell>
          <cell r="AI1135">
            <v>0</v>
          </cell>
          <cell r="AJ1135">
            <v>0</v>
          </cell>
          <cell r="AK1135">
            <v>0</v>
          </cell>
          <cell r="AL1135">
            <v>0</v>
          </cell>
          <cell r="AM1135">
            <v>0</v>
          </cell>
          <cell r="AN1135">
            <v>439.61</v>
          </cell>
          <cell r="AO1135">
            <v>0</v>
          </cell>
          <cell r="AP1135">
            <v>0</v>
          </cell>
          <cell r="AQ1135">
            <v>4580</v>
          </cell>
          <cell r="AR1135">
            <v>950</v>
          </cell>
          <cell r="AS1135">
            <v>0</v>
          </cell>
          <cell r="AT1135">
            <v>0</v>
          </cell>
          <cell r="AU1135">
            <v>0</v>
          </cell>
        </row>
        <row r="1136">
          <cell r="A1136">
            <v>1370</v>
          </cell>
          <cell r="B1136" t="str">
            <v>LOURDELET</v>
          </cell>
          <cell r="C1136" t="str">
            <v>MATHEW</v>
          </cell>
          <cell r="D1136" t="str">
            <v>TOULOUSE</v>
          </cell>
          <cell r="E1136">
            <v>1</v>
          </cell>
          <cell r="F1136" t="str">
            <v>NUMERICABLE</v>
          </cell>
          <cell r="G1136" t="str">
            <v>BOUTIQUE</v>
          </cell>
          <cell r="H1136" t="str">
            <v>RANDRIAMIHAMISON</v>
          </cell>
          <cell r="I1136" t="str">
            <v>SUOU507001</v>
          </cell>
          <cell r="J1136">
            <v>100</v>
          </cell>
          <cell r="K1136">
            <v>38642</v>
          </cell>
          <cell r="L1136" t="str">
            <v>CONSEILLER TECHNIQUE BOUTIQUE</v>
          </cell>
          <cell r="M1136" t="str">
            <v>EMPLOYE</v>
          </cell>
          <cell r="N1136" t="str">
            <v>C</v>
          </cell>
          <cell r="O1136" t="str">
            <v>CDI</v>
          </cell>
          <cell r="P1136">
            <v>166.83</v>
          </cell>
          <cell r="Q1136">
            <v>1266</v>
          </cell>
          <cell r="R1136">
            <v>1123.8599999999999</v>
          </cell>
          <cell r="S1136">
            <v>0</v>
          </cell>
          <cell r="T1136">
            <v>547.20000000000005</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212.68</v>
          </cell>
          <cell r="AO1136">
            <v>0</v>
          </cell>
          <cell r="AP1136">
            <v>0</v>
          </cell>
          <cell r="AQ1136">
            <v>1579.6</v>
          </cell>
          <cell r="AR1136">
            <v>0</v>
          </cell>
          <cell r="AS1136">
            <v>0</v>
          </cell>
          <cell r="AT1136">
            <v>0</v>
          </cell>
          <cell r="AU1136">
            <v>0</v>
          </cell>
        </row>
        <row r="1137">
          <cell r="A1137">
            <v>67</v>
          </cell>
          <cell r="B1137" t="str">
            <v>MAZZEGA</v>
          </cell>
          <cell r="C1137" t="str">
            <v>LIONEL</v>
          </cell>
          <cell r="D1137" t="str">
            <v>BORDEAUX</v>
          </cell>
          <cell r="E1137">
            <v>1</v>
          </cell>
          <cell r="F1137" t="str">
            <v>NUMERICABLE</v>
          </cell>
          <cell r="G1137" t="str">
            <v>MAINTENANCE RESEAU</v>
          </cell>
          <cell r="H1137" t="str">
            <v>BELFORT</v>
          </cell>
          <cell r="I1137" t="str">
            <v>SUOU300001</v>
          </cell>
          <cell r="J1137">
            <v>100</v>
          </cell>
          <cell r="K1137">
            <v>33511</v>
          </cell>
          <cell r="L1137" t="str">
            <v>EXPERT TECHNIQUE TDR ET RESEAUX</v>
          </cell>
          <cell r="M1137" t="str">
            <v>CADRE</v>
          </cell>
          <cell r="N1137" t="str">
            <v>E</v>
          </cell>
          <cell r="O1137" t="str">
            <v>CDI</v>
          </cell>
          <cell r="P1137">
            <v>151.57</v>
          </cell>
          <cell r="Q1137">
            <v>2384</v>
          </cell>
          <cell r="R1137">
            <v>1572.84</v>
          </cell>
          <cell r="S1137">
            <v>0</v>
          </cell>
          <cell r="T1137">
            <v>179.87</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346.12</v>
          </cell>
          <cell r="AO1137">
            <v>0</v>
          </cell>
          <cell r="AP1137">
            <v>0</v>
          </cell>
          <cell r="AQ1137">
            <v>3188.01</v>
          </cell>
          <cell r="AR1137">
            <v>0</v>
          </cell>
          <cell r="AS1137">
            <v>0</v>
          </cell>
          <cell r="AT1137">
            <v>0</v>
          </cell>
          <cell r="AU1137">
            <v>0</v>
          </cell>
        </row>
        <row r="1138">
          <cell r="A1138">
            <v>301109</v>
          </cell>
          <cell r="B1138" t="str">
            <v>LAMBERT</v>
          </cell>
          <cell r="C1138" t="str">
            <v>GERY</v>
          </cell>
          <cell r="D1138" t="str">
            <v>LA MADELEINE</v>
          </cell>
          <cell r="E1138">
            <v>1</v>
          </cell>
          <cell r="F1138" t="str">
            <v>NUMERICABLE</v>
          </cell>
          <cell r="G1138" t="str">
            <v>COLLECTIF</v>
          </cell>
          <cell r="H1138" t="str">
            <v>PERRET-GENTIL</v>
          </cell>
          <cell r="I1138" t="str">
            <v>NPCA510001</v>
          </cell>
          <cell r="J1138">
            <v>100</v>
          </cell>
          <cell r="K1138">
            <v>36221</v>
          </cell>
          <cell r="L1138" t="str">
            <v>CONSEIL.COMMER.COLL</v>
          </cell>
          <cell r="M1138" t="str">
            <v>463E</v>
          </cell>
          <cell r="N1138" t="str">
            <v>DB</v>
          </cell>
          <cell r="O1138" t="str">
            <v>CDI</v>
          </cell>
          <cell r="P1138">
            <v>166.83</v>
          </cell>
          <cell r="Q1138">
            <v>1675</v>
          </cell>
          <cell r="R1138">
            <v>1918.45</v>
          </cell>
          <cell r="S1138">
            <v>0</v>
          </cell>
          <cell r="T1138">
            <v>2200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387.51</v>
          </cell>
          <cell r="AO1138">
            <v>0</v>
          </cell>
          <cell r="AP1138">
            <v>0</v>
          </cell>
          <cell r="AQ1138">
            <v>1675</v>
          </cell>
          <cell r="AR1138">
            <v>0</v>
          </cell>
          <cell r="AS1138">
            <v>0</v>
          </cell>
          <cell r="AT1138">
            <v>0</v>
          </cell>
          <cell r="AU1138">
            <v>0</v>
          </cell>
        </row>
        <row r="1139">
          <cell r="A1139">
            <v>452022</v>
          </cell>
          <cell r="B1139" t="str">
            <v>ALLOUCH</v>
          </cell>
          <cell r="C1139" t="str">
            <v>CARINE</v>
          </cell>
          <cell r="D1139" t="str">
            <v>ANGERS</v>
          </cell>
          <cell r="E1139">
            <v>1</v>
          </cell>
          <cell r="F1139" t="str">
            <v>NUMERICABLE</v>
          </cell>
          <cell r="I1139" t="str">
            <v>FTCN905001</v>
          </cell>
          <cell r="J1139">
            <v>100</v>
          </cell>
          <cell r="K1139">
            <v>34700</v>
          </cell>
          <cell r="L1139" t="str">
            <v>ATTACHE COMMERCIAL</v>
          </cell>
          <cell r="M1139" t="str">
            <v>EMPLOYE</v>
          </cell>
          <cell r="N1139" t="str">
            <v>D</v>
          </cell>
          <cell r="O1139" t="str">
            <v>CDI</v>
          </cell>
          <cell r="P1139">
            <v>166.83</v>
          </cell>
          <cell r="Q1139">
            <v>1285</v>
          </cell>
          <cell r="R1139">
            <v>1134.8399999999999</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1602.04</v>
          </cell>
          <cell r="AN1139">
            <v>0.01</v>
          </cell>
          <cell r="AO1139">
            <v>0</v>
          </cell>
          <cell r="AP1139">
            <v>0</v>
          </cell>
          <cell r="AQ1139">
            <v>2887.04</v>
          </cell>
          <cell r="AR1139">
            <v>0</v>
          </cell>
          <cell r="AS1139">
            <v>0</v>
          </cell>
          <cell r="AT1139">
            <v>0</v>
          </cell>
          <cell r="AU1139">
            <v>0</v>
          </cell>
        </row>
        <row r="1140">
          <cell r="A1140">
            <v>952025</v>
          </cell>
          <cell r="B1140" t="str">
            <v>CAMPRETTI</v>
          </cell>
          <cell r="C1140" t="str">
            <v>BERNARD</v>
          </cell>
          <cell r="D1140" t="str">
            <v>MARSEILLE</v>
          </cell>
          <cell r="E1140">
            <v>1</v>
          </cell>
          <cell r="F1140" t="str">
            <v>NUMERICABLE</v>
          </cell>
          <cell r="I1140" t="str">
            <v>FTCN905001</v>
          </cell>
          <cell r="J1140">
            <v>100</v>
          </cell>
          <cell r="K1140">
            <v>34747</v>
          </cell>
          <cell r="L1140" t="str">
            <v>CHARGE D'AFFAIRES</v>
          </cell>
          <cell r="M1140" t="str">
            <v>462E</v>
          </cell>
          <cell r="N1140" t="str">
            <v>DB</v>
          </cell>
          <cell r="O1140" t="str">
            <v>CDI</v>
          </cell>
          <cell r="P1140">
            <v>151.57</v>
          </cell>
          <cell r="Q1140">
            <v>1483</v>
          </cell>
          <cell r="R1140">
            <v>1916.13</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2298.0300000000002</v>
          </cell>
          <cell r="AN1140">
            <v>378.1</v>
          </cell>
          <cell r="AO1140">
            <v>0</v>
          </cell>
          <cell r="AP1140">
            <v>0</v>
          </cell>
          <cell r="AQ1140">
            <v>3781.03</v>
          </cell>
          <cell r="AR1140">
            <v>0</v>
          </cell>
          <cell r="AS1140">
            <v>0</v>
          </cell>
          <cell r="AT1140">
            <v>0</v>
          </cell>
          <cell r="AU1140">
            <v>0</v>
          </cell>
        </row>
        <row r="1141">
          <cell r="A1141">
            <v>952126</v>
          </cell>
          <cell r="B1141" t="str">
            <v>FORLETTA</v>
          </cell>
          <cell r="C1141" t="str">
            <v>CESAR</v>
          </cell>
          <cell r="D1141" t="str">
            <v>MARSEILLE</v>
          </cell>
          <cell r="E1141">
            <v>1</v>
          </cell>
          <cell r="F1141" t="str">
            <v>NUMERICABLE</v>
          </cell>
          <cell r="I1141" t="str">
            <v>FTCN905001</v>
          </cell>
          <cell r="J1141">
            <v>100</v>
          </cell>
          <cell r="K1141">
            <v>34747</v>
          </cell>
          <cell r="L1141" t="str">
            <v>TECH. INTERVENTION</v>
          </cell>
          <cell r="M1141" t="str">
            <v>478D</v>
          </cell>
          <cell r="N1141" t="str">
            <v>C</v>
          </cell>
          <cell r="O1141" t="str">
            <v>CDI</v>
          </cell>
          <cell r="P1141">
            <v>166.83</v>
          </cell>
          <cell r="Q1141">
            <v>1733</v>
          </cell>
          <cell r="R1141">
            <v>-463.5</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-101.06</v>
          </cell>
          <cell r="AN1141">
            <v>173.31</v>
          </cell>
          <cell r="AO1141">
            <v>-101.06</v>
          </cell>
          <cell r="AP1141">
            <v>0</v>
          </cell>
          <cell r="AQ1141">
            <v>1733</v>
          </cell>
          <cell r="AR1141">
            <v>0</v>
          </cell>
          <cell r="AS1141">
            <v>0</v>
          </cell>
          <cell r="AT1141">
            <v>0</v>
          </cell>
          <cell r="AU1141">
            <v>0</v>
          </cell>
        </row>
        <row r="1142">
          <cell r="A1142">
            <v>1002123</v>
          </cell>
          <cell r="B1142" t="str">
            <v>BAUDRIER</v>
          </cell>
          <cell r="C1142" t="str">
            <v>STEPHANE</v>
          </cell>
          <cell r="D1142" t="str">
            <v>SIEGE</v>
          </cell>
          <cell r="E1142">
            <v>1</v>
          </cell>
          <cell r="F1142" t="str">
            <v>NUMERICABLE</v>
          </cell>
          <cell r="G1142" t="str">
            <v>INFORMATIQUE</v>
          </cell>
          <cell r="H1142" t="str">
            <v>DELEBARRE JL</v>
          </cell>
          <cell r="I1142" t="str">
            <v>GENE620001</v>
          </cell>
          <cell r="J1142">
            <v>100</v>
          </cell>
          <cell r="K1142">
            <v>36200</v>
          </cell>
          <cell r="L1142" t="str">
            <v>CHEF DE PROJET</v>
          </cell>
          <cell r="M1142" t="str">
            <v>388A</v>
          </cell>
          <cell r="N1142">
            <v>0</v>
          </cell>
          <cell r="O1142" t="str">
            <v>CDI</v>
          </cell>
          <cell r="P1142">
            <v>166.83</v>
          </cell>
          <cell r="Q1142">
            <v>2405</v>
          </cell>
          <cell r="R1142">
            <v>1142.73</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14.31</v>
          </cell>
          <cell r="AN1142">
            <v>104.56</v>
          </cell>
          <cell r="AO1142">
            <v>25.75</v>
          </cell>
          <cell r="AP1142">
            <v>0</v>
          </cell>
          <cell r="AQ1142">
            <v>2419.31</v>
          </cell>
          <cell r="AR1142">
            <v>0</v>
          </cell>
          <cell r="AS1142">
            <v>0</v>
          </cell>
          <cell r="AT1142">
            <v>0</v>
          </cell>
          <cell r="AU1142">
            <v>0</v>
          </cell>
        </row>
        <row r="1143">
          <cell r="A1143">
            <v>1267</v>
          </cell>
          <cell r="B1143" t="str">
            <v>GOUHIER</v>
          </cell>
          <cell r="C1143" t="str">
            <v>NICOLAS</v>
          </cell>
          <cell r="D1143" t="str">
            <v>MARSEILLE</v>
          </cell>
          <cell r="E1143">
            <v>1</v>
          </cell>
          <cell r="F1143" t="str">
            <v>NUMERICABLE</v>
          </cell>
          <cell r="I1143" t="str">
            <v>FTCN905001</v>
          </cell>
          <cell r="J1143">
            <v>100</v>
          </cell>
          <cell r="K1143">
            <v>38124</v>
          </cell>
          <cell r="L1143" t="str">
            <v>DIRECTEUR DE SITE</v>
          </cell>
          <cell r="M1143" t="str">
            <v>232A</v>
          </cell>
          <cell r="N1143" t="str">
            <v>F</v>
          </cell>
          <cell r="O1143" t="str">
            <v>CDI</v>
          </cell>
          <cell r="P1143">
            <v>151.57</v>
          </cell>
          <cell r="Q1143">
            <v>6250</v>
          </cell>
          <cell r="R1143">
            <v>2098.29</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1901.39</v>
          </cell>
          <cell r="AN1143">
            <v>625</v>
          </cell>
          <cell r="AO1143">
            <v>1901.39</v>
          </cell>
          <cell r="AP1143">
            <v>0</v>
          </cell>
          <cell r="AQ1143">
            <v>6250</v>
          </cell>
          <cell r="AR1143">
            <v>0</v>
          </cell>
          <cell r="AS1143">
            <v>0</v>
          </cell>
          <cell r="AT1143">
            <v>0</v>
          </cell>
          <cell r="AU1143">
            <v>0</v>
          </cell>
        </row>
        <row r="1144">
          <cell r="A1144">
            <v>1372</v>
          </cell>
          <cell r="B1144" t="str">
            <v>DJOUADI</v>
          </cell>
          <cell r="C1144" t="str">
            <v>MADINA</v>
          </cell>
          <cell r="D1144" t="str">
            <v>VALENCE</v>
          </cell>
          <cell r="E1144">
            <v>1</v>
          </cell>
          <cell r="F1144" t="str">
            <v>NUMERICABLE</v>
          </cell>
          <cell r="G1144" t="str">
            <v>BOUTIQUE</v>
          </cell>
          <cell r="H1144" t="str">
            <v>BRAHIMI</v>
          </cell>
          <cell r="I1144" t="str">
            <v>SUES507001</v>
          </cell>
          <cell r="J1144">
            <v>100</v>
          </cell>
          <cell r="K1144">
            <v>38694</v>
          </cell>
          <cell r="L1144" t="str">
            <v>CONSEILLER CLIENTELE BOUTIQUE</v>
          </cell>
          <cell r="M1144" t="str">
            <v>463E</v>
          </cell>
          <cell r="N1144" t="str">
            <v>C</v>
          </cell>
          <cell r="O1144" t="str">
            <v>CDI</v>
          </cell>
          <cell r="P1144">
            <v>166.83</v>
          </cell>
          <cell r="Q1144">
            <v>1516.67</v>
          </cell>
          <cell r="R1144">
            <v>-697.92</v>
          </cell>
          <cell r="S1144">
            <v>0</v>
          </cell>
          <cell r="T1144">
            <v>-2604</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-130.4</v>
          </cell>
          <cell r="AO1144">
            <v>0</v>
          </cell>
          <cell r="AP1144">
            <v>0</v>
          </cell>
          <cell r="AQ1144">
            <v>1300</v>
          </cell>
          <cell r="AR1144">
            <v>0</v>
          </cell>
          <cell r="AS1144">
            <v>0</v>
          </cell>
          <cell r="AT1144">
            <v>0</v>
          </cell>
          <cell r="AU1144">
            <v>0</v>
          </cell>
        </row>
        <row r="1145">
          <cell r="A1145">
            <v>1219</v>
          </cell>
          <cell r="B1145" t="str">
            <v>BOULET</v>
          </cell>
          <cell r="C1145" t="str">
            <v>LYDIE</v>
          </cell>
          <cell r="D1145" t="str">
            <v>BORDEAUX</v>
          </cell>
          <cell r="E1145">
            <v>1</v>
          </cell>
          <cell r="F1145" t="str">
            <v>NUMERICABLE</v>
          </cell>
          <cell r="G1145" t="str">
            <v>BOUTIQUE</v>
          </cell>
          <cell r="H1145" t="str">
            <v>GUILLO</v>
          </cell>
          <cell r="I1145" t="str">
            <v>SUOU507001</v>
          </cell>
          <cell r="J1145">
            <v>100</v>
          </cell>
          <cell r="K1145">
            <v>38687</v>
          </cell>
          <cell r="L1145" t="str">
            <v>CONSEILLER CLIENTELE BOUTIQUE</v>
          </cell>
          <cell r="M1145" t="str">
            <v>463E</v>
          </cell>
          <cell r="N1145" t="str">
            <v>C</v>
          </cell>
          <cell r="O1145" t="str">
            <v>CDI</v>
          </cell>
          <cell r="P1145">
            <v>166.83</v>
          </cell>
          <cell r="Q1145">
            <v>1266</v>
          </cell>
          <cell r="R1145">
            <v>173.06</v>
          </cell>
          <cell r="S1145">
            <v>0</v>
          </cell>
          <cell r="T1145">
            <v>304.89999999999998</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38.92</v>
          </cell>
          <cell r="AO1145">
            <v>0</v>
          </cell>
          <cell r="AP1145">
            <v>0</v>
          </cell>
          <cell r="AQ1145">
            <v>84.4</v>
          </cell>
          <cell r="AR1145">
            <v>0</v>
          </cell>
          <cell r="AS1145">
            <v>0</v>
          </cell>
          <cell r="AT1145">
            <v>0</v>
          </cell>
          <cell r="AU1145">
            <v>0</v>
          </cell>
        </row>
        <row r="1146">
          <cell r="A1146" t="str">
            <v>000A1537</v>
          </cell>
          <cell r="B1146" t="str">
            <v>RYMDZIONEK</v>
          </cell>
          <cell r="C1146" t="str">
            <v>MARC</v>
          </cell>
          <cell r="D1146" t="str">
            <v>METZ</v>
          </cell>
          <cell r="E1146">
            <v>19</v>
          </cell>
          <cell r="F1146" t="str">
            <v>NUMERICABLE  (TCC)</v>
          </cell>
          <cell r="G1146" t="str">
            <v>TECHNIQUE</v>
          </cell>
          <cell r="I1146" t="str">
            <v>FTCN905001</v>
          </cell>
          <cell r="J1146">
            <v>100</v>
          </cell>
          <cell r="K1146">
            <v>38626</v>
          </cell>
          <cell r="L1146" t="str">
            <v>TECH. EXP. NIV. 1</v>
          </cell>
          <cell r="M1146" t="str">
            <v>EMPLOYE</v>
          </cell>
          <cell r="N1146" t="str">
            <v>C</v>
          </cell>
          <cell r="O1146" t="str">
            <v>CDI</v>
          </cell>
          <cell r="P1146">
            <v>151.57</v>
          </cell>
          <cell r="Q1146">
            <v>1950</v>
          </cell>
          <cell r="R1146">
            <v>338.75</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21.69</v>
          </cell>
          <cell r="AN1146">
            <v>0</v>
          </cell>
          <cell r="AO1146">
            <v>21.69</v>
          </cell>
          <cell r="AP1146">
            <v>0</v>
          </cell>
          <cell r="AQ1146">
            <v>1950</v>
          </cell>
          <cell r="AR1146">
            <v>0</v>
          </cell>
          <cell r="AS1146">
            <v>0</v>
          </cell>
          <cell r="AT1146">
            <v>0</v>
          </cell>
          <cell r="AU1146">
            <v>0</v>
          </cell>
        </row>
        <row r="1147">
          <cell r="A1147">
            <v>1344</v>
          </cell>
          <cell r="B1147" t="str">
            <v>MARTINEZ</v>
          </cell>
          <cell r="C1147" t="str">
            <v>VIRGINIE</v>
          </cell>
          <cell r="D1147" t="str">
            <v>AVIGNON</v>
          </cell>
          <cell r="E1147">
            <v>1</v>
          </cell>
          <cell r="F1147" t="str">
            <v>NUMERICABLE</v>
          </cell>
          <cell r="G1147" t="str">
            <v>BOUTIQUE</v>
          </cell>
          <cell r="H1147" t="str">
            <v>STEINMETZ</v>
          </cell>
          <cell r="I1147" t="str">
            <v>SUES507001</v>
          </cell>
          <cell r="J1147">
            <v>100</v>
          </cell>
          <cell r="K1147">
            <v>38695</v>
          </cell>
          <cell r="L1147" t="str">
            <v>CONSEILLER TECHNIQUE BOUTIQUE</v>
          </cell>
          <cell r="M1147" t="str">
            <v>462E</v>
          </cell>
          <cell r="N1147" t="str">
            <v>C</v>
          </cell>
          <cell r="O1147" t="str">
            <v>CDD</v>
          </cell>
          <cell r="P1147">
            <v>166.83</v>
          </cell>
          <cell r="Q1147">
            <v>1400</v>
          </cell>
          <cell r="R1147">
            <v>842.51</v>
          </cell>
          <cell r="S1147">
            <v>0</v>
          </cell>
          <cell r="T1147">
            <v>348.17</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174.82</v>
          </cell>
          <cell r="AO1147">
            <v>0</v>
          </cell>
          <cell r="AP1147">
            <v>0</v>
          </cell>
          <cell r="AQ1147">
            <v>1400</v>
          </cell>
          <cell r="AR1147">
            <v>0</v>
          </cell>
          <cell r="AS1147">
            <v>0</v>
          </cell>
          <cell r="AT1147">
            <v>0</v>
          </cell>
          <cell r="AU1147">
            <v>0</v>
          </cell>
        </row>
        <row r="1148">
          <cell r="A1148">
            <v>135</v>
          </cell>
          <cell r="B1148" t="str">
            <v>BREAN</v>
          </cell>
          <cell r="C1148" t="str">
            <v>PASCALE</v>
          </cell>
          <cell r="D1148" t="str">
            <v>RENNES</v>
          </cell>
          <cell r="E1148">
            <v>1</v>
          </cell>
          <cell r="F1148" t="str">
            <v>NUMERICABLE</v>
          </cell>
          <cell r="G1148" t="str">
            <v>BOUTIQUE</v>
          </cell>
          <cell r="H1148" t="str">
            <v>GOUESNARD</v>
          </cell>
          <cell r="I1148" t="str">
            <v>OUES507001</v>
          </cell>
          <cell r="J1148">
            <v>100</v>
          </cell>
          <cell r="K1148">
            <v>36770</v>
          </cell>
          <cell r="L1148" t="str">
            <v>CHARGE DE CLIENTELE</v>
          </cell>
          <cell r="M1148" t="str">
            <v>462E</v>
          </cell>
          <cell r="N1148" t="str">
            <v>C</v>
          </cell>
          <cell r="O1148" t="str">
            <v>CDI</v>
          </cell>
          <cell r="P1148">
            <v>86.67</v>
          </cell>
          <cell r="Q1148">
            <v>806.98</v>
          </cell>
          <cell r="R1148">
            <v>709.58</v>
          </cell>
          <cell r="S1148">
            <v>0</v>
          </cell>
          <cell r="T1148">
            <v>621.1</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144.77000000000001</v>
          </cell>
          <cell r="AO1148">
            <v>0</v>
          </cell>
          <cell r="AP1148">
            <v>0</v>
          </cell>
          <cell r="AQ1148">
            <v>732.5</v>
          </cell>
          <cell r="AR1148">
            <v>0</v>
          </cell>
          <cell r="AS1148">
            <v>0</v>
          </cell>
          <cell r="AT1148">
            <v>0</v>
          </cell>
          <cell r="AU1148">
            <v>0</v>
          </cell>
        </row>
        <row r="1149">
          <cell r="A1149">
            <v>222</v>
          </cell>
          <cell r="B1149" t="str">
            <v>EL KHARTI</v>
          </cell>
          <cell r="C1149" t="str">
            <v>SAMIRA</v>
          </cell>
          <cell r="D1149" t="str">
            <v>BORDEAUX</v>
          </cell>
          <cell r="E1149">
            <v>1</v>
          </cell>
          <cell r="F1149" t="str">
            <v>NUMERICABLE</v>
          </cell>
          <cell r="I1149" t="str">
            <v>FTCN905001</v>
          </cell>
          <cell r="J1149">
            <v>100</v>
          </cell>
          <cell r="K1149">
            <v>36437</v>
          </cell>
          <cell r="L1149" t="str">
            <v>VENDEUR POINT DE VENTE</v>
          </cell>
          <cell r="M1149" t="str">
            <v>463E</v>
          </cell>
          <cell r="N1149" t="str">
            <v>C</v>
          </cell>
          <cell r="O1149" t="str">
            <v>CDI</v>
          </cell>
          <cell r="P1149">
            <v>166.83</v>
          </cell>
          <cell r="Q1149">
            <v>1451</v>
          </cell>
          <cell r="R1149">
            <v>-1209.6600000000001</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284.98</v>
          </cell>
          <cell r="AN1149">
            <v>145.1</v>
          </cell>
          <cell r="AO1149">
            <v>284.98</v>
          </cell>
          <cell r="AP1149">
            <v>0</v>
          </cell>
          <cell r="AQ1149">
            <v>1451</v>
          </cell>
          <cell r="AR1149">
            <v>0</v>
          </cell>
          <cell r="AS1149">
            <v>0</v>
          </cell>
          <cell r="AT1149">
            <v>0</v>
          </cell>
          <cell r="AU1149">
            <v>0</v>
          </cell>
        </row>
        <row r="1150">
          <cell r="A1150">
            <v>269</v>
          </cell>
          <cell r="B1150" t="str">
            <v>BIZETTE</v>
          </cell>
          <cell r="C1150" t="str">
            <v>CEDRIC</v>
          </cell>
          <cell r="D1150" t="str">
            <v>VANVES</v>
          </cell>
          <cell r="E1150">
            <v>1</v>
          </cell>
          <cell r="F1150" t="str">
            <v>NUMERICABLE</v>
          </cell>
          <cell r="G1150" t="str">
            <v>INFORMATIQUE</v>
          </cell>
          <cell r="H1150" t="str">
            <v>CANAS</v>
          </cell>
          <cell r="I1150" t="str">
            <v>GENE620001</v>
          </cell>
          <cell r="J1150">
            <v>100</v>
          </cell>
          <cell r="K1150">
            <v>36465</v>
          </cell>
          <cell r="L1150" t="str">
            <v>RESPONSABLE BUREAUTIQUE CENTRAL</v>
          </cell>
          <cell r="M1150" t="str">
            <v>TSM</v>
          </cell>
          <cell r="N1150" t="str">
            <v>DB</v>
          </cell>
          <cell r="O1150" t="str">
            <v>CDI</v>
          </cell>
          <cell r="P1150">
            <v>166.83</v>
          </cell>
          <cell r="Q1150">
            <v>2503</v>
          </cell>
          <cell r="R1150">
            <v>1591.68</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525.29999999999995</v>
          </cell>
          <cell r="AO1150">
            <v>0</v>
          </cell>
          <cell r="AP1150">
            <v>0</v>
          </cell>
          <cell r="AQ1150">
            <v>2541.58</v>
          </cell>
          <cell r="AR1150">
            <v>0</v>
          </cell>
          <cell r="AS1150">
            <v>0</v>
          </cell>
          <cell r="AT1150">
            <v>0</v>
          </cell>
          <cell r="AU1150">
            <v>0</v>
          </cell>
        </row>
        <row r="1151">
          <cell r="A1151">
            <v>344</v>
          </cell>
          <cell r="B1151" t="str">
            <v>MAMOU</v>
          </cell>
          <cell r="C1151" t="str">
            <v>MANSOUR</v>
          </cell>
          <cell r="D1151" t="str">
            <v>TOURS</v>
          </cell>
          <cell r="E1151">
            <v>1</v>
          </cell>
          <cell r="F1151" t="str">
            <v>NUMERICABLE</v>
          </cell>
          <cell r="I1151" t="str">
            <v>FTCN905001</v>
          </cell>
          <cell r="J1151">
            <v>100</v>
          </cell>
          <cell r="K1151">
            <v>36536</v>
          </cell>
          <cell r="L1151" t="str">
            <v>ATTACHE COMMERCIAL</v>
          </cell>
          <cell r="M1151" t="str">
            <v>CADRE</v>
          </cell>
          <cell r="N1151" t="str">
            <v>D</v>
          </cell>
          <cell r="O1151" t="str">
            <v>CDI</v>
          </cell>
          <cell r="P1151">
            <v>166.83</v>
          </cell>
          <cell r="Q1151">
            <v>1285</v>
          </cell>
          <cell r="R1151">
            <v>-1540.59</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2780</v>
          </cell>
          <cell r="AN1151">
            <v>128.51</v>
          </cell>
          <cell r="AO1151">
            <v>2780</v>
          </cell>
          <cell r="AP1151">
            <v>0</v>
          </cell>
          <cell r="AQ1151">
            <v>1285</v>
          </cell>
          <cell r="AR1151">
            <v>0</v>
          </cell>
          <cell r="AS1151">
            <v>0</v>
          </cell>
          <cell r="AT1151">
            <v>0</v>
          </cell>
          <cell r="AU1151">
            <v>0</v>
          </cell>
        </row>
        <row r="1152">
          <cell r="A1152">
            <v>346</v>
          </cell>
          <cell r="B1152" t="str">
            <v>SAENGER</v>
          </cell>
          <cell r="C1152" t="str">
            <v>ISABELLE</v>
          </cell>
          <cell r="D1152" t="str">
            <v>LA MADELEINE</v>
          </cell>
          <cell r="E1152">
            <v>1</v>
          </cell>
          <cell r="F1152" t="str">
            <v>NUMERICABLE</v>
          </cell>
          <cell r="I1152" t="str">
            <v>FTCN905001</v>
          </cell>
          <cell r="J1152">
            <v>100</v>
          </cell>
          <cell r="K1152">
            <v>36563</v>
          </cell>
          <cell r="L1152" t="str">
            <v>ASSIST. TECHNIQUE</v>
          </cell>
          <cell r="M1152" t="str">
            <v>461C</v>
          </cell>
          <cell r="N1152" t="str">
            <v>DB</v>
          </cell>
          <cell r="O1152" t="str">
            <v>CDI</v>
          </cell>
          <cell r="P1152">
            <v>166.83</v>
          </cell>
          <cell r="Q1152">
            <v>2030</v>
          </cell>
          <cell r="R1152">
            <v>1418.43</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-195.62</v>
          </cell>
          <cell r="AN1152">
            <v>369.11</v>
          </cell>
          <cell r="AO1152">
            <v>40160.93</v>
          </cell>
          <cell r="AP1152">
            <v>0</v>
          </cell>
          <cell r="AQ1152">
            <v>2888.67</v>
          </cell>
          <cell r="AR1152">
            <v>0</v>
          </cell>
          <cell r="AS1152">
            <v>0</v>
          </cell>
          <cell r="AT1152">
            <v>0</v>
          </cell>
          <cell r="AU1152">
            <v>0</v>
          </cell>
        </row>
        <row r="1153">
          <cell r="A1153">
            <v>452035</v>
          </cell>
          <cell r="B1153" t="str">
            <v>PASQUIER</v>
          </cell>
          <cell r="C1153" t="str">
            <v>LAURENT</v>
          </cell>
          <cell r="D1153" t="str">
            <v>ANGERS</v>
          </cell>
          <cell r="E1153">
            <v>1</v>
          </cell>
          <cell r="F1153" t="str">
            <v>NUMERICABLE</v>
          </cell>
          <cell r="I1153" t="str">
            <v>FTCN905001</v>
          </cell>
          <cell r="J1153">
            <v>100</v>
          </cell>
          <cell r="K1153">
            <v>34753</v>
          </cell>
          <cell r="L1153" t="str">
            <v>RESP. COLLECTIF</v>
          </cell>
          <cell r="M1153" t="str">
            <v>374C</v>
          </cell>
          <cell r="N1153" t="str">
            <v>DB</v>
          </cell>
          <cell r="O1153" t="str">
            <v>CDI</v>
          </cell>
          <cell r="P1153">
            <v>166.83</v>
          </cell>
          <cell r="Q1153">
            <v>1635</v>
          </cell>
          <cell r="R1153">
            <v>1602.51</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1563.72</v>
          </cell>
          <cell r="AN1153">
            <v>292.95999999999998</v>
          </cell>
          <cell r="AO1153">
            <v>0</v>
          </cell>
          <cell r="AP1153">
            <v>0</v>
          </cell>
          <cell r="AQ1153">
            <v>3198.72</v>
          </cell>
          <cell r="AR1153">
            <v>0</v>
          </cell>
          <cell r="AS1153">
            <v>0</v>
          </cell>
          <cell r="AT1153">
            <v>0</v>
          </cell>
          <cell r="AU1153">
            <v>0</v>
          </cell>
        </row>
        <row r="1154">
          <cell r="A1154">
            <v>503027</v>
          </cell>
          <cell r="B1154" t="str">
            <v>PERSON</v>
          </cell>
          <cell r="C1154" t="str">
            <v>ALAIN</v>
          </cell>
          <cell r="D1154" t="str">
            <v>METZ</v>
          </cell>
          <cell r="E1154">
            <v>1</v>
          </cell>
          <cell r="F1154" t="str">
            <v>NUMERICABLE</v>
          </cell>
          <cell r="G1154" t="str">
            <v>DISTRIBUTEUR</v>
          </cell>
          <cell r="H1154" t="str">
            <v>TUTTOLOMONDO</v>
          </cell>
          <cell r="I1154" t="str">
            <v>ESTR506001</v>
          </cell>
          <cell r="J1154">
            <v>100</v>
          </cell>
          <cell r="K1154">
            <v>35370</v>
          </cell>
          <cell r="L1154" t="str">
            <v>ANIMATEUR RESEAU DAC</v>
          </cell>
          <cell r="M1154" t="str">
            <v>374C</v>
          </cell>
          <cell r="N1154" t="str">
            <v>DB</v>
          </cell>
          <cell r="O1154" t="str">
            <v>CDI</v>
          </cell>
          <cell r="P1154">
            <v>166.83</v>
          </cell>
          <cell r="Q1154">
            <v>1629</v>
          </cell>
          <cell r="R1154">
            <v>811.08</v>
          </cell>
          <cell r="S1154">
            <v>0</v>
          </cell>
          <cell r="T1154">
            <v>152.44999999999999</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206.05</v>
          </cell>
          <cell r="AO1154">
            <v>0</v>
          </cell>
          <cell r="AP1154">
            <v>0</v>
          </cell>
          <cell r="AQ1154">
            <v>1403.48</v>
          </cell>
          <cell r="AR1154">
            <v>0</v>
          </cell>
          <cell r="AS1154">
            <v>0</v>
          </cell>
          <cell r="AT1154">
            <v>0</v>
          </cell>
          <cell r="AU1154">
            <v>0</v>
          </cell>
        </row>
        <row r="1155">
          <cell r="A1155">
            <v>952011</v>
          </cell>
          <cell r="B1155" t="str">
            <v>PERASSI</v>
          </cell>
          <cell r="C1155" t="str">
            <v>CAROLE</v>
          </cell>
          <cell r="D1155" t="str">
            <v>MARSEILLE</v>
          </cell>
          <cell r="E1155">
            <v>1</v>
          </cell>
          <cell r="F1155" t="str">
            <v>NUMERICABLE</v>
          </cell>
          <cell r="I1155" t="str">
            <v>FTCN905001</v>
          </cell>
          <cell r="J1155">
            <v>100</v>
          </cell>
          <cell r="K1155">
            <v>34747</v>
          </cell>
          <cell r="L1155" t="str">
            <v>GESTION. CLIENTELE</v>
          </cell>
          <cell r="M1155" t="str">
            <v>462E</v>
          </cell>
          <cell r="N1155" t="str">
            <v>C</v>
          </cell>
          <cell r="O1155" t="str">
            <v>CDI</v>
          </cell>
          <cell r="P1155">
            <v>134.33000000000001</v>
          </cell>
          <cell r="Q1155">
            <v>1390.26</v>
          </cell>
          <cell r="R1155">
            <v>-1251.99</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373.44</v>
          </cell>
          <cell r="AN1155">
            <v>139.02000000000001</v>
          </cell>
          <cell r="AO1155">
            <v>373.44</v>
          </cell>
          <cell r="AP1155">
            <v>0</v>
          </cell>
          <cell r="AQ1155">
            <v>1390.26</v>
          </cell>
          <cell r="AR1155">
            <v>0</v>
          </cell>
          <cell r="AS1155">
            <v>0</v>
          </cell>
          <cell r="AT1155">
            <v>0</v>
          </cell>
          <cell r="AU1155">
            <v>0</v>
          </cell>
        </row>
        <row r="1156">
          <cell r="A1156">
            <v>952291</v>
          </cell>
          <cell r="B1156" t="str">
            <v>GIUDICELLI</v>
          </cell>
          <cell r="C1156" t="str">
            <v>ERIC</v>
          </cell>
          <cell r="D1156" t="str">
            <v>MARSEILLE</v>
          </cell>
          <cell r="E1156">
            <v>1</v>
          </cell>
          <cell r="F1156" t="str">
            <v>NUMERICABLE</v>
          </cell>
          <cell r="G1156" t="str">
            <v>DISTRIBUTEUR</v>
          </cell>
          <cell r="H1156" t="str">
            <v>DELANNOY</v>
          </cell>
          <cell r="I1156" t="str">
            <v>SUES506001</v>
          </cell>
          <cell r="J1156">
            <v>100</v>
          </cell>
          <cell r="K1156">
            <v>35492</v>
          </cell>
          <cell r="L1156" t="str">
            <v>ANIMATEUR RESEAU DAC</v>
          </cell>
          <cell r="M1156" t="str">
            <v>374C</v>
          </cell>
          <cell r="N1156" t="str">
            <v>DB</v>
          </cell>
          <cell r="O1156" t="str">
            <v>CDI</v>
          </cell>
          <cell r="P1156">
            <v>166.83</v>
          </cell>
          <cell r="Q1156">
            <v>1520</v>
          </cell>
          <cell r="R1156">
            <v>1976.63</v>
          </cell>
          <cell r="S1156">
            <v>0</v>
          </cell>
          <cell r="T1156">
            <v>1433.02</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343.24</v>
          </cell>
          <cell r="AO1156">
            <v>0</v>
          </cell>
          <cell r="AP1156">
            <v>0</v>
          </cell>
          <cell r="AQ1156">
            <v>1999.28</v>
          </cell>
          <cell r="AR1156">
            <v>382</v>
          </cell>
          <cell r="AS1156">
            <v>0</v>
          </cell>
          <cell r="AT1156">
            <v>0</v>
          </cell>
          <cell r="AU1156">
            <v>0</v>
          </cell>
        </row>
        <row r="1157">
          <cell r="A1157">
            <v>1002094</v>
          </cell>
          <cell r="B1157" t="str">
            <v>FRANCI</v>
          </cell>
          <cell r="C1157" t="str">
            <v>MARION</v>
          </cell>
          <cell r="D1157" t="str">
            <v>SIEGE</v>
          </cell>
          <cell r="E1157">
            <v>1</v>
          </cell>
          <cell r="F1157" t="str">
            <v>NUMERICABLE</v>
          </cell>
          <cell r="I1157" t="str">
            <v>FTCN905001</v>
          </cell>
          <cell r="J1157">
            <v>100</v>
          </cell>
          <cell r="K1157">
            <v>35886</v>
          </cell>
          <cell r="L1157" t="str">
            <v>ASSIST. DE DIRECTION</v>
          </cell>
          <cell r="M1157">
            <v>461</v>
          </cell>
          <cell r="N1157" t="str">
            <v>D</v>
          </cell>
          <cell r="O1157" t="str">
            <v>CDI</v>
          </cell>
          <cell r="P1157">
            <v>166.83</v>
          </cell>
          <cell r="Q1157">
            <v>2405</v>
          </cell>
          <cell r="R1157">
            <v>391.06</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-266.27</v>
          </cell>
          <cell r="AN1157">
            <v>240.5</v>
          </cell>
          <cell r="AO1157">
            <v>-266.27</v>
          </cell>
          <cell r="AP1157">
            <v>0</v>
          </cell>
          <cell r="AQ1157">
            <v>2405</v>
          </cell>
          <cell r="AR1157">
            <v>0</v>
          </cell>
          <cell r="AS1157">
            <v>0</v>
          </cell>
          <cell r="AT1157">
            <v>0</v>
          </cell>
          <cell r="AU1157">
            <v>0</v>
          </cell>
        </row>
        <row r="1158">
          <cell r="A1158" t="str">
            <v>000A1539</v>
          </cell>
          <cell r="B1158" t="str">
            <v>SCHWEITZER</v>
          </cell>
          <cell r="C1158" t="str">
            <v>HENRI</v>
          </cell>
          <cell r="D1158" t="str">
            <v>METZ</v>
          </cell>
          <cell r="E1158">
            <v>19</v>
          </cell>
          <cell r="F1158" t="str">
            <v>NUMERICABLE  (TCC)</v>
          </cell>
          <cell r="G1158" t="str">
            <v>MAINTENANCE RESEAU</v>
          </cell>
          <cell r="H1158" t="str">
            <v>BAUER V</v>
          </cell>
          <cell r="I1158" t="str">
            <v>ESTR300001</v>
          </cell>
          <cell r="J1158">
            <v>100</v>
          </cell>
          <cell r="K1158">
            <v>28764</v>
          </cell>
          <cell r="L1158" t="str">
            <v>RESPONSABLE TECHNIQUE</v>
          </cell>
          <cell r="M1158" t="str">
            <v>CADRE</v>
          </cell>
          <cell r="N1158" t="str">
            <v>F</v>
          </cell>
          <cell r="O1158" t="str">
            <v>CDI</v>
          </cell>
          <cell r="P1158">
            <v>151.57</v>
          </cell>
          <cell r="Q1158">
            <v>4580</v>
          </cell>
          <cell r="R1158">
            <v>1822.93</v>
          </cell>
          <cell r="S1158">
            <v>0</v>
          </cell>
          <cell r="T1158">
            <v>0</v>
          </cell>
          <cell r="U1158">
            <v>0</v>
          </cell>
          <cell r="V1158">
            <v>0</v>
          </cell>
          <cell r="W1158">
            <v>0</v>
          </cell>
          <cell r="X1158">
            <v>0</v>
          </cell>
          <cell r="Y1158">
            <v>0</v>
          </cell>
          <cell r="Z1158">
            <v>0</v>
          </cell>
          <cell r="AA1158">
            <v>0</v>
          </cell>
          <cell r="AB1158">
            <v>0</v>
          </cell>
          <cell r="AC1158">
            <v>0</v>
          </cell>
          <cell r="AD1158">
            <v>850</v>
          </cell>
          <cell r="AE1158">
            <v>0</v>
          </cell>
          <cell r="AF1158">
            <v>191.1</v>
          </cell>
          <cell r="AG1158">
            <v>15.93</v>
          </cell>
          <cell r="AH1158">
            <v>39.82</v>
          </cell>
          <cell r="AI1158">
            <v>0</v>
          </cell>
          <cell r="AJ1158">
            <v>28.62</v>
          </cell>
          <cell r="AK1158">
            <v>382</v>
          </cell>
          <cell r="AL1158">
            <v>280</v>
          </cell>
          <cell r="AM1158">
            <v>0</v>
          </cell>
          <cell r="AN1158">
            <v>439.61</v>
          </cell>
          <cell r="AO1158">
            <v>0</v>
          </cell>
          <cell r="AP1158">
            <v>0</v>
          </cell>
          <cell r="AQ1158">
            <v>4826.8500000000004</v>
          </cell>
          <cell r="AR1158">
            <v>1158.6199999999999</v>
          </cell>
          <cell r="AS1158">
            <v>382</v>
          </cell>
          <cell r="AT1158">
            <v>0</v>
          </cell>
          <cell r="AU1158">
            <v>0</v>
          </cell>
        </row>
        <row r="1159">
          <cell r="A1159">
            <v>334</v>
          </cell>
          <cell r="B1159" t="str">
            <v>STEINMETZ</v>
          </cell>
          <cell r="C1159" t="str">
            <v>NATHALIE</v>
          </cell>
          <cell r="D1159" t="str">
            <v>AVIGNON</v>
          </cell>
          <cell r="E1159">
            <v>1</v>
          </cell>
          <cell r="F1159" t="str">
            <v>NUMERICABLE</v>
          </cell>
          <cell r="G1159" t="str">
            <v>BOUTIQUE</v>
          </cell>
          <cell r="H1159" t="str">
            <v>VIVIN</v>
          </cell>
          <cell r="I1159" t="str">
            <v>SUES507001</v>
          </cell>
          <cell r="J1159">
            <v>100</v>
          </cell>
          <cell r="K1159">
            <v>36553</v>
          </cell>
          <cell r="L1159" t="str">
            <v>ANIMATEUR POINT DE VENTES</v>
          </cell>
          <cell r="M1159" t="str">
            <v>463E</v>
          </cell>
          <cell r="N1159" t="str">
            <v>DB</v>
          </cell>
          <cell r="O1159" t="str">
            <v>CDI</v>
          </cell>
          <cell r="P1159">
            <v>166.83</v>
          </cell>
          <cell r="Q1159">
            <v>1850</v>
          </cell>
          <cell r="R1159">
            <v>1400.72</v>
          </cell>
          <cell r="S1159">
            <v>0</v>
          </cell>
          <cell r="T1159">
            <v>724.8</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259.51</v>
          </cell>
          <cell r="AO1159">
            <v>0</v>
          </cell>
          <cell r="AP1159">
            <v>0</v>
          </cell>
          <cell r="AQ1159">
            <v>1764.63</v>
          </cell>
          <cell r="AR1159">
            <v>0</v>
          </cell>
          <cell r="AS1159">
            <v>0</v>
          </cell>
          <cell r="AT1159">
            <v>0</v>
          </cell>
          <cell r="AU1159">
            <v>0</v>
          </cell>
        </row>
        <row r="1160">
          <cell r="A1160" t="str">
            <v>000A1404</v>
          </cell>
          <cell r="B1160" t="str">
            <v>GONZALEZ</v>
          </cell>
          <cell r="C1160" t="str">
            <v>JEAN-MICHEL</v>
          </cell>
          <cell r="D1160" t="str">
            <v>MARSEILLE</v>
          </cell>
          <cell r="E1160">
            <v>3</v>
          </cell>
          <cell r="F1160" t="str">
            <v>NUMERICABLE</v>
          </cell>
          <cell r="G1160" t="str">
            <v>BOUTIQUE</v>
          </cell>
          <cell r="H1160" t="str">
            <v>GRAU</v>
          </cell>
          <cell r="I1160" t="str">
            <v>SUES507001</v>
          </cell>
          <cell r="J1160">
            <v>100</v>
          </cell>
          <cell r="K1160">
            <v>38749</v>
          </cell>
          <cell r="L1160" t="str">
            <v>CONSEILLER CLIENTELE BOUTIQUE</v>
          </cell>
          <cell r="M1160" t="str">
            <v>463E</v>
          </cell>
          <cell r="N1160" t="str">
            <v>C</v>
          </cell>
          <cell r="O1160" t="str">
            <v>CDI</v>
          </cell>
          <cell r="P1160">
            <v>166.83</v>
          </cell>
          <cell r="Q1160">
            <v>1450</v>
          </cell>
          <cell r="R1160">
            <v>1338.74</v>
          </cell>
          <cell r="S1160">
            <v>0</v>
          </cell>
          <cell r="T1160">
            <v>965</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241.5</v>
          </cell>
          <cell r="AO1160">
            <v>0</v>
          </cell>
          <cell r="AP1160">
            <v>0</v>
          </cell>
          <cell r="AQ1160">
            <v>1450</v>
          </cell>
          <cell r="AR1160">
            <v>0</v>
          </cell>
          <cell r="AS1160">
            <v>0</v>
          </cell>
          <cell r="AT1160">
            <v>0</v>
          </cell>
          <cell r="AU1160">
            <v>0</v>
          </cell>
        </row>
        <row r="1161">
          <cell r="A1161">
            <v>1364</v>
          </cell>
          <cell r="B1161" t="str">
            <v>KERANGUEVEN</v>
          </cell>
          <cell r="C1161" t="str">
            <v>SONIA</v>
          </cell>
          <cell r="D1161" t="str">
            <v>MONTPELLIER</v>
          </cell>
          <cell r="E1161">
            <v>1</v>
          </cell>
          <cell r="F1161" t="str">
            <v>NUMERICABLE</v>
          </cell>
          <cell r="G1161" t="str">
            <v>BOUTIQUE</v>
          </cell>
          <cell r="H1161" t="str">
            <v>VIVIN</v>
          </cell>
          <cell r="I1161" t="str">
            <v>SUES507001</v>
          </cell>
          <cell r="J1161">
            <v>100</v>
          </cell>
          <cell r="K1161">
            <v>38626</v>
          </cell>
          <cell r="L1161" t="str">
            <v>RESPONSABLE BOUTIQUE</v>
          </cell>
          <cell r="M1161" t="str">
            <v>463E</v>
          </cell>
          <cell r="N1161" t="str">
            <v>DB</v>
          </cell>
          <cell r="O1161" t="str">
            <v>CDI</v>
          </cell>
          <cell r="P1161">
            <v>166.83</v>
          </cell>
          <cell r="Q1161">
            <v>1500</v>
          </cell>
          <cell r="R1161">
            <v>1273.79</v>
          </cell>
          <cell r="S1161">
            <v>0</v>
          </cell>
          <cell r="T1161">
            <v>799.6</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225.01</v>
          </cell>
          <cell r="AO1161">
            <v>0</v>
          </cell>
          <cell r="AP1161">
            <v>0</v>
          </cell>
          <cell r="AQ1161">
            <v>1500</v>
          </cell>
          <cell r="AR1161">
            <v>0</v>
          </cell>
          <cell r="AS1161">
            <v>0</v>
          </cell>
          <cell r="AT1161">
            <v>0</v>
          </cell>
          <cell r="AU1161">
            <v>0</v>
          </cell>
        </row>
        <row r="1162">
          <cell r="A1162">
            <v>844</v>
          </cell>
          <cell r="B1162" t="str">
            <v>MERIGUET</v>
          </cell>
          <cell r="C1162" t="str">
            <v>NICOLAS</v>
          </cell>
          <cell r="D1162" t="str">
            <v>SIEGE</v>
          </cell>
          <cell r="E1162">
            <v>1</v>
          </cell>
          <cell r="F1162" t="str">
            <v>NUMERICABLE</v>
          </cell>
          <cell r="G1162" t="str">
            <v>INFORMATIQUE</v>
          </cell>
          <cell r="H1162" t="str">
            <v>DELEBARRE JL</v>
          </cell>
          <cell r="I1162" t="str">
            <v>GENE620001</v>
          </cell>
          <cell r="J1162">
            <v>100</v>
          </cell>
          <cell r="K1162">
            <v>37172</v>
          </cell>
          <cell r="L1162" t="str">
            <v>ADMINISTRATEUR RESEAUX</v>
          </cell>
          <cell r="M1162" t="str">
            <v>478D</v>
          </cell>
          <cell r="N1162" t="str">
            <v>DB</v>
          </cell>
          <cell r="O1162" t="str">
            <v>CDI</v>
          </cell>
          <cell r="P1162">
            <v>166.83</v>
          </cell>
          <cell r="Q1162">
            <v>4000</v>
          </cell>
          <cell r="R1162">
            <v>1559.29</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397.55</v>
          </cell>
          <cell r="AO1162">
            <v>0</v>
          </cell>
          <cell r="AP1162">
            <v>0</v>
          </cell>
          <cell r="AQ1162">
            <v>3052.52</v>
          </cell>
          <cell r="AR1162">
            <v>0</v>
          </cell>
          <cell r="AS1162">
            <v>0</v>
          </cell>
          <cell r="AT1162">
            <v>0</v>
          </cell>
          <cell r="AU1162">
            <v>0</v>
          </cell>
        </row>
        <row r="1163">
          <cell r="A1163">
            <v>453055</v>
          </cell>
          <cell r="B1163" t="str">
            <v>ROY</v>
          </cell>
          <cell r="C1163" t="str">
            <v>SOPHIE</v>
          </cell>
          <cell r="D1163" t="str">
            <v>TOURS</v>
          </cell>
          <cell r="E1163">
            <v>1</v>
          </cell>
          <cell r="F1163" t="str">
            <v>NUMERICABLE</v>
          </cell>
          <cell r="I1163" t="str">
            <v>FTCN905001</v>
          </cell>
          <cell r="J1163">
            <v>100</v>
          </cell>
          <cell r="K1163">
            <v>35194</v>
          </cell>
          <cell r="L1163" t="str">
            <v>ASSIST. COMMERCIAL</v>
          </cell>
          <cell r="M1163" t="str">
            <v>461C</v>
          </cell>
          <cell r="N1163" t="str">
            <v>D</v>
          </cell>
          <cell r="O1163" t="str">
            <v>CDI</v>
          </cell>
          <cell r="P1163">
            <v>166.83</v>
          </cell>
          <cell r="Q1163">
            <v>1825</v>
          </cell>
          <cell r="R1163">
            <v>1053.18</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4589</v>
          </cell>
          <cell r="AT1163">
            <v>0</v>
          </cell>
          <cell r="AU1163">
            <v>0</v>
          </cell>
        </row>
        <row r="1164">
          <cell r="A1164">
            <v>453070</v>
          </cell>
          <cell r="B1164" t="str">
            <v>LAMANDE</v>
          </cell>
          <cell r="C1164" t="str">
            <v>RONAN</v>
          </cell>
          <cell r="D1164" t="str">
            <v>HAUBOURDIN</v>
          </cell>
          <cell r="E1164">
            <v>1</v>
          </cell>
          <cell r="F1164" t="str">
            <v>NUMERICABLE</v>
          </cell>
          <cell r="I1164" t="str">
            <v>FTCN905001</v>
          </cell>
          <cell r="J1164">
            <v>100</v>
          </cell>
          <cell r="K1164">
            <v>35905</v>
          </cell>
          <cell r="L1164" t="str">
            <v>RESP. EQUIPE CONSEIL. CLIENT</v>
          </cell>
          <cell r="M1164" t="str">
            <v>462E</v>
          </cell>
          <cell r="N1164" t="str">
            <v>DB</v>
          </cell>
          <cell r="O1164" t="str">
            <v>CDI</v>
          </cell>
          <cell r="P1164">
            <v>166.83</v>
          </cell>
          <cell r="Q1164">
            <v>2120</v>
          </cell>
          <cell r="R1164">
            <v>1304.26</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445.66</v>
          </cell>
          <cell r="AN1164">
            <v>203.49</v>
          </cell>
          <cell r="AO1164">
            <v>0</v>
          </cell>
          <cell r="AP1164">
            <v>0</v>
          </cell>
          <cell r="AQ1164">
            <v>2565.66</v>
          </cell>
          <cell r="AR1164">
            <v>0</v>
          </cell>
          <cell r="AS1164">
            <v>0</v>
          </cell>
          <cell r="AT1164">
            <v>0</v>
          </cell>
          <cell r="AU1164">
            <v>0</v>
          </cell>
        </row>
        <row r="1165">
          <cell r="A1165">
            <v>501055</v>
          </cell>
          <cell r="B1165" t="str">
            <v>PREVOT</v>
          </cell>
          <cell r="C1165" t="str">
            <v>BRUNO</v>
          </cell>
          <cell r="D1165" t="str">
            <v>METZ</v>
          </cell>
          <cell r="E1165">
            <v>1</v>
          </cell>
          <cell r="F1165" t="str">
            <v>NUMERICABLE</v>
          </cell>
          <cell r="I1165" t="str">
            <v>FTCN905001</v>
          </cell>
          <cell r="J1165">
            <v>100</v>
          </cell>
          <cell r="K1165">
            <v>36052</v>
          </cell>
          <cell r="L1165" t="str">
            <v>ATTACHE COMMERCIAL</v>
          </cell>
          <cell r="M1165" t="str">
            <v>EMPLOYE</v>
          </cell>
          <cell r="N1165" t="str">
            <v>D</v>
          </cell>
          <cell r="O1165" t="str">
            <v>CDI</v>
          </cell>
          <cell r="P1165">
            <v>166.83</v>
          </cell>
          <cell r="Q1165">
            <v>1285</v>
          </cell>
          <cell r="R1165">
            <v>-476.34</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632.84</v>
          </cell>
          <cell r="AN1165">
            <v>128.49</v>
          </cell>
          <cell r="AO1165">
            <v>632.84</v>
          </cell>
          <cell r="AP1165">
            <v>0</v>
          </cell>
          <cell r="AQ1165">
            <v>1285</v>
          </cell>
          <cell r="AR1165">
            <v>0</v>
          </cell>
          <cell r="AS1165">
            <v>0</v>
          </cell>
          <cell r="AT1165">
            <v>0</v>
          </cell>
          <cell r="AU1165">
            <v>0</v>
          </cell>
        </row>
        <row r="1166">
          <cell r="A1166">
            <v>503018</v>
          </cell>
          <cell r="B1166" t="str">
            <v>JENCZAK</v>
          </cell>
          <cell r="C1166" t="str">
            <v>DIDIER</v>
          </cell>
          <cell r="D1166" t="str">
            <v>METZ</v>
          </cell>
          <cell r="E1166">
            <v>1</v>
          </cell>
          <cell r="F1166" t="str">
            <v>NUMERICABLE</v>
          </cell>
          <cell r="G1166" t="str">
            <v>RACCORDEMENT IMMOB.</v>
          </cell>
          <cell r="H1166" t="str">
            <v>BAUER V</v>
          </cell>
          <cell r="I1166" t="str">
            <v>ESTR302001</v>
          </cell>
          <cell r="J1166">
            <v>100</v>
          </cell>
          <cell r="K1166">
            <v>35370</v>
          </cell>
          <cell r="L1166" t="str">
            <v>RESP. TECHNIQUE</v>
          </cell>
          <cell r="M1166" t="str">
            <v>383C</v>
          </cell>
          <cell r="N1166" t="str">
            <v>E</v>
          </cell>
          <cell r="O1166" t="str">
            <v>CDI</v>
          </cell>
          <cell r="P1166">
            <v>151.57</v>
          </cell>
          <cell r="Q1166">
            <v>3240</v>
          </cell>
          <cell r="R1166">
            <v>1547.22</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344.37</v>
          </cell>
          <cell r="AO1166">
            <v>0</v>
          </cell>
          <cell r="AP1166">
            <v>0</v>
          </cell>
          <cell r="AQ1166">
            <v>2918.82</v>
          </cell>
          <cell r="AR1166">
            <v>0</v>
          </cell>
          <cell r="AS1166">
            <v>0</v>
          </cell>
          <cell r="AT1166">
            <v>0</v>
          </cell>
          <cell r="AU1166">
            <v>0</v>
          </cell>
        </row>
        <row r="1167">
          <cell r="A1167">
            <v>952059</v>
          </cell>
          <cell r="B1167" t="str">
            <v>SAUZE</v>
          </cell>
          <cell r="C1167" t="str">
            <v>MURIEL</v>
          </cell>
          <cell r="D1167" t="str">
            <v>AVIGNON</v>
          </cell>
          <cell r="E1167">
            <v>1</v>
          </cell>
          <cell r="F1167" t="str">
            <v>NUMERICABLE</v>
          </cell>
          <cell r="I1167" t="str">
            <v>FTCN905001</v>
          </cell>
          <cell r="J1167">
            <v>100</v>
          </cell>
          <cell r="K1167">
            <v>34747</v>
          </cell>
          <cell r="L1167" t="str">
            <v>RESP. EQUIPE CONSEIL. COMMERC.</v>
          </cell>
          <cell r="M1167" t="str">
            <v>462E</v>
          </cell>
          <cell r="N1167" t="str">
            <v>DB</v>
          </cell>
          <cell r="O1167" t="str">
            <v>CDI</v>
          </cell>
          <cell r="P1167">
            <v>151.57</v>
          </cell>
          <cell r="Q1167">
            <v>2063.91</v>
          </cell>
          <cell r="R1167">
            <v>1907.72</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352.21</v>
          </cell>
          <cell r="AN1167">
            <v>237.16</v>
          </cell>
          <cell r="AO1167">
            <v>44.62</v>
          </cell>
          <cell r="AP1167">
            <v>0</v>
          </cell>
          <cell r="AQ1167">
            <v>2371.5</v>
          </cell>
          <cell r="AR1167">
            <v>0</v>
          </cell>
          <cell r="AS1167">
            <v>0</v>
          </cell>
          <cell r="AT1167">
            <v>0</v>
          </cell>
          <cell r="AU1167">
            <v>0</v>
          </cell>
        </row>
        <row r="1168">
          <cell r="A1168">
            <v>952205</v>
          </cell>
          <cell r="B1168" t="str">
            <v>BRUSCHI</v>
          </cell>
          <cell r="C1168" t="str">
            <v>CECILE</v>
          </cell>
          <cell r="D1168" t="str">
            <v>AVIGNON</v>
          </cell>
          <cell r="E1168">
            <v>1</v>
          </cell>
          <cell r="F1168" t="str">
            <v>NUMERICABLE</v>
          </cell>
          <cell r="I1168" t="str">
            <v>FTCN905001</v>
          </cell>
          <cell r="J1168">
            <v>100</v>
          </cell>
          <cell r="K1168">
            <v>35114</v>
          </cell>
          <cell r="L1168" t="str">
            <v>RESP. EQUIPE ADMIN. CLIENT</v>
          </cell>
          <cell r="M1168" t="str">
            <v>462E</v>
          </cell>
          <cell r="N1168" t="str">
            <v>DB</v>
          </cell>
          <cell r="O1168" t="str">
            <v>CDI</v>
          </cell>
          <cell r="P1168">
            <v>166.83</v>
          </cell>
          <cell r="Q1168">
            <v>1915</v>
          </cell>
          <cell r="R1168">
            <v>1259.1600000000001</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496.41</v>
          </cell>
          <cell r="AN1168">
            <v>183.81</v>
          </cell>
          <cell r="AO1168">
            <v>0</v>
          </cell>
          <cell r="AP1168">
            <v>0</v>
          </cell>
          <cell r="AQ1168">
            <v>2411.41</v>
          </cell>
          <cell r="AR1168">
            <v>0</v>
          </cell>
          <cell r="AS1168">
            <v>0</v>
          </cell>
          <cell r="AT1168">
            <v>0</v>
          </cell>
          <cell r="AU1168">
            <v>0</v>
          </cell>
        </row>
        <row r="1169">
          <cell r="A1169">
            <v>952276</v>
          </cell>
          <cell r="B1169" t="str">
            <v>LAPAQUE</v>
          </cell>
          <cell r="C1169" t="str">
            <v>CECILE</v>
          </cell>
          <cell r="D1169" t="str">
            <v>AVIGNON</v>
          </cell>
          <cell r="E1169">
            <v>1</v>
          </cell>
          <cell r="F1169" t="str">
            <v>NUMERICABLE</v>
          </cell>
          <cell r="I1169" t="str">
            <v>FTCN905001</v>
          </cell>
          <cell r="J1169">
            <v>100</v>
          </cell>
          <cell r="K1169">
            <v>35432</v>
          </cell>
          <cell r="L1169" t="str">
            <v>GESTIONNAIRE IMPAYES RELANCES</v>
          </cell>
          <cell r="M1169" t="str">
            <v>462E</v>
          </cell>
          <cell r="N1169" t="str">
            <v>C</v>
          </cell>
          <cell r="O1169" t="str">
            <v>CDI</v>
          </cell>
          <cell r="P1169">
            <v>166.83</v>
          </cell>
          <cell r="Q1169">
            <v>1535</v>
          </cell>
          <cell r="R1169">
            <v>640.91</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128.46</v>
          </cell>
          <cell r="AN1169">
            <v>147.33000000000001</v>
          </cell>
          <cell r="AO1169">
            <v>0</v>
          </cell>
          <cell r="AP1169">
            <v>0</v>
          </cell>
          <cell r="AQ1169">
            <v>1663.46</v>
          </cell>
          <cell r="AR1169">
            <v>0</v>
          </cell>
          <cell r="AS1169">
            <v>0</v>
          </cell>
          <cell r="AT1169">
            <v>0</v>
          </cell>
          <cell r="AU1169">
            <v>0</v>
          </cell>
        </row>
        <row r="1170">
          <cell r="A1170">
            <v>953003</v>
          </cell>
          <cell r="B1170" t="str">
            <v>GUICHARD</v>
          </cell>
          <cell r="C1170" t="str">
            <v>PATRICK</v>
          </cell>
          <cell r="D1170" t="str">
            <v>VALENCE</v>
          </cell>
          <cell r="E1170">
            <v>1</v>
          </cell>
          <cell r="F1170" t="str">
            <v>NUMERICABLE</v>
          </cell>
          <cell r="I1170" t="str">
            <v>FTCN905001</v>
          </cell>
          <cell r="J1170">
            <v>100</v>
          </cell>
          <cell r="K1170">
            <v>34700</v>
          </cell>
          <cell r="L1170" t="str">
            <v>PLANIFICATEUR</v>
          </cell>
          <cell r="M1170" t="str">
            <v>387B</v>
          </cell>
          <cell r="N1170" t="str">
            <v>DB</v>
          </cell>
          <cell r="O1170" t="str">
            <v>CDI</v>
          </cell>
          <cell r="P1170">
            <v>151.57</v>
          </cell>
          <cell r="Q1170">
            <v>2158</v>
          </cell>
          <cell r="R1170">
            <v>551.13</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-270.17</v>
          </cell>
          <cell r="AN1170">
            <v>209.31</v>
          </cell>
          <cell r="AO1170">
            <v>-270.17</v>
          </cell>
          <cell r="AP1170">
            <v>0</v>
          </cell>
          <cell r="AQ1170">
            <v>2158</v>
          </cell>
          <cell r="AR1170">
            <v>0</v>
          </cell>
          <cell r="AS1170">
            <v>0</v>
          </cell>
          <cell r="AT1170">
            <v>0</v>
          </cell>
          <cell r="AU1170">
            <v>0</v>
          </cell>
        </row>
        <row r="1171">
          <cell r="A1171" t="str">
            <v>000A1530</v>
          </cell>
          <cell r="B1171" t="str">
            <v>MISSIAEN</v>
          </cell>
          <cell r="C1171" t="str">
            <v>CAMILLE</v>
          </cell>
          <cell r="D1171" t="str">
            <v>LYON GARIBALDI</v>
          </cell>
          <cell r="E1171">
            <v>19</v>
          </cell>
          <cell r="F1171" t="str">
            <v>NUMERICABLE  (TCC)</v>
          </cell>
          <cell r="G1171" t="str">
            <v>TRAVAUX</v>
          </cell>
          <cell r="H1171" t="str">
            <v>DONT</v>
          </cell>
          <cell r="I1171" t="str">
            <v>RHON300001</v>
          </cell>
          <cell r="J1171">
            <v>100</v>
          </cell>
          <cell r="K1171">
            <v>38626</v>
          </cell>
          <cell r="L1171" t="str">
            <v>RESPONSABLE TRAVAUX REGIONAL</v>
          </cell>
          <cell r="M1171" t="str">
            <v>CADRE</v>
          </cell>
          <cell r="N1171" t="str">
            <v>E</v>
          </cell>
          <cell r="O1171" t="str">
            <v>CDI</v>
          </cell>
          <cell r="P1171">
            <v>151.57</v>
          </cell>
          <cell r="Q1171">
            <v>3100</v>
          </cell>
          <cell r="R1171">
            <v>1038.6500000000001</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297.56</v>
          </cell>
          <cell r="AO1171">
            <v>0</v>
          </cell>
          <cell r="AP1171">
            <v>0</v>
          </cell>
          <cell r="AQ1171">
            <v>2813.89</v>
          </cell>
          <cell r="AR1171">
            <v>0</v>
          </cell>
          <cell r="AS1171">
            <v>0</v>
          </cell>
          <cell r="AT1171">
            <v>0</v>
          </cell>
          <cell r="AU1171">
            <v>0</v>
          </cell>
        </row>
        <row r="1172">
          <cell r="A1172">
            <v>12</v>
          </cell>
          <cell r="B1172" t="str">
            <v>N'GARO</v>
          </cell>
          <cell r="C1172" t="str">
            <v>CYRILLE</v>
          </cell>
          <cell r="D1172" t="str">
            <v>TRAPPES</v>
          </cell>
          <cell r="E1172">
            <v>1</v>
          </cell>
          <cell r="F1172" t="str">
            <v>NUMERICABLE</v>
          </cell>
          <cell r="I1172" t="str">
            <v>FTCN905001</v>
          </cell>
          <cell r="J1172">
            <v>100</v>
          </cell>
          <cell r="K1172">
            <v>36283</v>
          </cell>
          <cell r="L1172" t="str">
            <v>ATTACHE COMMERCIAL</v>
          </cell>
          <cell r="M1172" t="str">
            <v>EMPLOYE</v>
          </cell>
          <cell r="N1172" t="str">
            <v>D</v>
          </cell>
          <cell r="O1172" t="str">
            <v>CDI</v>
          </cell>
          <cell r="P1172">
            <v>166.83</v>
          </cell>
          <cell r="Q1172">
            <v>1680</v>
          </cell>
          <cell r="R1172">
            <v>968.92</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325.33</v>
          </cell>
          <cell r="AN1172">
            <v>161.26</v>
          </cell>
          <cell r="AO1172">
            <v>0</v>
          </cell>
          <cell r="AP1172">
            <v>0</v>
          </cell>
          <cell r="AQ1172">
            <v>2005.33</v>
          </cell>
          <cell r="AR1172">
            <v>0</v>
          </cell>
          <cell r="AS1172">
            <v>0</v>
          </cell>
          <cell r="AT1172">
            <v>0</v>
          </cell>
          <cell r="AU1172">
            <v>0</v>
          </cell>
        </row>
        <row r="1173">
          <cell r="A1173">
            <v>16</v>
          </cell>
          <cell r="B1173" t="str">
            <v>AUBINAT</v>
          </cell>
          <cell r="C1173" t="str">
            <v>ALEXANDRE</v>
          </cell>
          <cell r="D1173" t="str">
            <v>BORDEAUX</v>
          </cell>
          <cell r="E1173">
            <v>1</v>
          </cell>
          <cell r="F1173" t="str">
            <v>NUMERICABLE</v>
          </cell>
          <cell r="I1173" t="str">
            <v>FTCN905001</v>
          </cell>
          <cell r="J1173">
            <v>100</v>
          </cell>
          <cell r="K1173">
            <v>35149</v>
          </cell>
          <cell r="L1173" t="str">
            <v>ANIMATEUR POINT DE VENTES</v>
          </cell>
          <cell r="M1173" t="str">
            <v>463E</v>
          </cell>
          <cell r="N1173" t="str">
            <v>DB</v>
          </cell>
          <cell r="O1173" t="str">
            <v>CDI</v>
          </cell>
          <cell r="P1173">
            <v>166.83</v>
          </cell>
          <cell r="Q1173">
            <v>1687.5</v>
          </cell>
          <cell r="R1173">
            <v>1039.92</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361.81</v>
          </cell>
          <cell r="AN1173">
            <v>161.97</v>
          </cell>
          <cell r="AO1173">
            <v>0</v>
          </cell>
          <cell r="AP1173">
            <v>0</v>
          </cell>
          <cell r="AQ1173">
            <v>2049.31</v>
          </cell>
          <cell r="AR1173">
            <v>0</v>
          </cell>
          <cell r="AS1173">
            <v>0</v>
          </cell>
          <cell r="AT1173">
            <v>0</v>
          </cell>
          <cell r="AU1173">
            <v>0</v>
          </cell>
        </row>
        <row r="1174">
          <cell r="A1174">
            <v>731</v>
          </cell>
          <cell r="B1174" t="str">
            <v>HENOCQ</v>
          </cell>
          <cell r="C1174" t="str">
            <v>JEROME</v>
          </cell>
          <cell r="D1174" t="str">
            <v>BORDEAUX</v>
          </cell>
          <cell r="E1174">
            <v>1</v>
          </cell>
          <cell r="F1174" t="str">
            <v>NUMERICABLE</v>
          </cell>
          <cell r="I1174" t="str">
            <v>FTCN905001</v>
          </cell>
          <cell r="J1174">
            <v>100</v>
          </cell>
          <cell r="K1174">
            <v>36970</v>
          </cell>
          <cell r="L1174" t="str">
            <v>ATTACHE COMMERCIAL</v>
          </cell>
          <cell r="M1174" t="str">
            <v>EMPLOYE</v>
          </cell>
          <cell r="N1174" t="str">
            <v>D</v>
          </cell>
          <cell r="O1174" t="str">
            <v>CDI</v>
          </cell>
          <cell r="P1174">
            <v>166.83</v>
          </cell>
          <cell r="Q1174">
            <v>1285</v>
          </cell>
          <cell r="R1174">
            <v>1962.78</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3212.95</v>
          </cell>
          <cell r="AN1174">
            <v>0.01</v>
          </cell>
          <cell r="AO1174">
            <v>0</v>
          </cell>
          <cell r="AP1174">
            <v>0</v>
          </cell>
          <cell r="AQ1174">
            <v>4497.95</v>
          </cell>
          <cell r="AR1174">
            <v>0</v>
          </cell>
          <cell r="AS1174">
            <v>0</v>
          </cell>
          <cell r="AT1174">
            <v>0</v>
          </cell>
          <cell r="AU1174">
            <v>0</v>
          </cell>
        </row>
        <row r="1175">
          <cell r="A1175">
            <v>1001</v>
          </cell>
          <cell r="B1175" t="str">
            <v>MENARD</v>
          </cell>
          <cell r="C1175" t="str">
            <v>JULIEN</v>
          </cell>
          <cell r="D1175" t="str">
            <v>ANGERS</v>
          </cell>
          <cell r="E1175">
            <v>1</v>
          </cell>
          <cell r="F1175" t="str">
            <v>NUMERICABLE</v>
          </cell>
          <cell r="I1175" t="str">
            <v>FTCN905001</v>
          </cell>
          <cell r="J1175">
            <v>100</v>
          </cell>
          <cell r="K1175">
            <v>37403</v>
          </cell>
          <cell r="L1175" t="str">
            <v>ATTACHE COMMERCIAL</v>
          </cell>
          <cell r="M1175" t="str">
            <v>EMPLOYE</v>
          </cell>
          <cell r="N1175" t="str">
            <v>D</v>
          </cell>
          <cell r="O1175" t="str">
            <v>CDI</v>
          </cell>
          <cell r="P1175">
            <v>166.83</v>
          </cell>
          <cell r="Q1175">
            <v>1285</v>
          </cell>
          <cell r="R1175">
            <v>1750.22</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3286.13</v>
          </cell>
          <cell r="AN1175">
            <v>128.51</v>
          </cell>
          <cell r="AO1175">
            <v>3286.13</v>
          </cell>
          <cell r="AP1175">
            <v>0</v>
          </cell>
          <cell r="AQ1175">
            <v>1285</v>
          </cell>
          <cell r="AR1175">
            <v>0</v>
          </cell>
          <cell r="AS1175">
            <v>0</v>
          </cell>
          <cell r="AT1175">
            <v>0</v>
          </cell>
          <cell r="AU1175">
            <v>0</v>
          </cell>
        </row>
        <row r="1176">
          <cell r="A1176">
            <v>451149</v>
          </cell>
          <cell r="B1176" t="str">
            <v>LOUVEL</v>
          </cell>
          <cell r="C1176" t="str">
            <v>JEAN JACQUES</v>
          </cell>
          <cell r="D1176" t="str">
            <v>RENNES</v>
          </cell>
          <cell r="E1176">
            <v>1</v>
          </cell>
          <cell r="F1176" t="str">
            <v>NUMERICABLE</v>
          </cell>
          <cell r="I1176" t="str">
            <v>FTCN905001</v>
          </cell>
          <cell r="J1176">
            <v>100</v>
          </cell>
          <cell r="K1176">
            <v>34288</v>
          </cell>
          <cell r="L1176" t="str">
            <v>ATTACHE COMMERCIAL</v>
          </cell>
          <cell r="M1176" t="str">
            <v>EMPLOYE</v>
          </cell>
          <cell r="N1176" t="str">
            <v>D</v>
          </cell>
          <cell r="O1176" t="str">
            <v>CDI</v>
          </cell>
          <cell r="P1176">
            <v>166.83</v>
          </cell>
          <cell r="Q1176">
            <v>1285</v>
          </cell>
          <cell r="R1176">
            <v>573.79999999999995</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1011.71</v>
          </cell>
          <cell r="AN1176">
            <v>128.5</v>
          </cell>
          <cell r="AO1176">
            <v>1011.71</v>
          </cell>
          <cell r="AP1176">
            <v>0</v>
          </cell>
          <cell r="AQ1176">
            <v>1285</v>
          </cell>
          <cell r="AR1176">
            <v>0</v>
          </cell>
          <cell r="AS1176">
            <v>0</v>
          </cell>
          <cell r="AT1176">
            <v>0</v>
          </cell>
          <cell r="AU1176">
            <v>0</v>
          </cell>
        </row>
        <row r="1177">
          <cell r="A1177">
            <v>452009</v>
          </cell>
          <cell r="B1177" t="str">
            <v>LECLERE</v>
          </cell>
          <cell r="C1177" t="str">
            <v>ALAIN</v>
          </cell>
          <cell r="D1177" t="str">
            <v>ANGERS</v>
          </cell>
          <cell r="E1177">
            <v>1</v>
          </cell>
          <cell r="F1177" t="str">
            <v>NUMERICABLE</v>
          </cell>
          <cell r="G1177" t="str">
            <v>MAINTENANCE RESEAU</v>
          </cell>
          <cell r="I1177" t="str">
            <v>FTCN905001</v>
          </cell>
          <cell r="J1177">
            <v>100</v>
          </cell>
          <cell r="K1177">
            <v>34700</v>
          </cell>
          <cell r="L1177" t="str">
            <v>RESP. EXPLOITATION</v>
          </cell>
          <cell r="M1177" t="str">
            <v>388A</v>
          </cell>
          <cell r="N1177" t="str">
            <v>E</v>
          </cell>
          <cell r="O1177" t="str">
            <v>CDI</v>
          </cell>
          <cell r="P1177">
            <v>151.57</v>
          </cell>
          <cell r="Q1177">
            <v>2845</v>
          </cell>
          <cell r="R1177">
            <v>3961.19</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156.78</v>
          </cell>
          <cell r="AO1177">
            <v>0</v>
          </cell>
          <cell r="AP1177">
            <v>0</v>
          </cell>
          <cell r="AQ1177">
            <v>-1655.89</v>
          </cell>
          <cell r="AR1177">
            <v>0</v>
          </cell>
          <cell r="AS1177">
            <v>8315</v>
          </cell>
          <cell r="AT1177">
            <v>0</v>
          </cell>
          <cell r="AU1177">
            <v>0</v>
          </cell>
        </row>
        <row r="1178">
          <cell r="A1178">
            <v>503031</v>
          </cell>
          <cell r="B1178" t="str">
            <v>SCHMEER</v>
          </cell>
          <cell r="C1178" t="str">
            <v>FRANCOISE</v>
          </cell>
          <cell r="D1178" t="str">
            <v>METZ</v>
          </cell>
          <cell r="E1178">
            <v>1</v>
          </cell>
          <cell r="F1178" t="str">
            <v>NUMERICABLE</v>
          </cell>
          <cell r="I1178" t="str">
            <v>FTCN905001</v>
          </cell>
          <cell r="J1178">
            <v>100</v>
          </cell>
          <cell r="K1178">
            <v>35370</v>
          </cell>
          <cell r="L1178" t="str">
            <v>CONSEILLER CLIENT</v>
          </cell>
          <cell r="M1178" t="str">
            <v>462E</v>
          </cell>
          <cell r="N1178" t="str">
            <v>C</v>
          </cell>
          <cell r="O1178" t="str">
            <v>CDI</v>
          </cell>
          <cell r="P1178">
            <v>166.83</v>
          </cell>
          <cell r="Q1178">
            <v>1679</v>
          </cell>
          <cell r="R1178">
            <v>687.04</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7.26</v>
          </cell>
          <cell r="AN1178">
            <v>161.16</v>
          </cell>
          <cell r="AO1178">
            <v>0</v>
          </cell>
          <cell r="AP1178">
            <v>0</v>
          </cell>
          <cell r="AQ1178">
            <v>1686.26</v>
          </cell>
          <cell r="AR1178">
            <v>0</v>
          </cell>
          <cell r="AS1178">
            <v>0</v>
          </cell>
          <cell r="AT1178">
            <v>0</v>
          </cell>
          <cell r="AU1178">
            <v>0</v>
          </cell>
        </row>
        <row r="1179">
          <cell r="A1179" t="str">
            <v>000A1535</v>
          </cell>
          <cell r="B1179" t="str">
            <v>POUREL</v>
          </cell>
          <cell r="C1179" t="str">
            <v>ALAIN</v>
          </cell>
          <cell r="D1179" t="str">
            <v>METZ</v>
          </cell>
          <cell r="E1179">
            <v>19</v>
          </cell>
          <cell r="F1179" t="str">
            <v>NUMERICABLE  (TCC)</v>
          </cell>
          <cell r="G1179" t="str">
            <v>MAINTENANCE RESEAU</v>
          </cell>
          <cell r="H1179" t="str">
            <v>SCHWEITZER</v>
          </cell>
          <cell r="I1179" t="str">
            <v>ESTR300001</v>
          </cell>
          <cell r="J1179">
            <v>100</v>
          </cell>
          <cell r="K1179">
            <v>32671</v>
          </cell>
          <cell r="L1179" t="str">
            <v>TECH. EXP. NIV. 2</v>
          </cell>
          <cell r="M1179" t="str">
            <v>TSM</v>
          </cell>
          <cell r="N1179" t="str">
            <v>D</v>
          </cell>
          <cell r="O1179" t="str">
            <v>CDI</v>
          </cell>
          <cell r="P1179">
            <v>151.57</v>
          </cell>
          <cell r="Q1179">
            <v>1900</v>
          </cell>
          <cell r="R1179">
            <v>1780.22</v>
          </cell>
          <cell r="S1179">
            <v>0</v>
          </cell>
          <cell r="T1179">
            <v>0</v>
          </cell>
          <cell r="U1179">
            <v>0</v>
          </cell>
          <cell r="V1179">
            <v>0</v>
          </cell>
          <cell r="W1179">
            <v>0</v>
          </cell>
          <cell r="X1179">
            <v>0</v>
          </cell>
          <cell r="Y1179">
            <v>0</v>
          </cell>
          <cell r="Z1179">
            <v>0</v>
          </cell>
          <cell r="AA1179">
            <v>0</v>
          </cell>
          <cell r="AB1179">
            <v>0</v>
          </cell>
          <cell r="AC1179">
            <v>0</v>
          </cell>
          <cell r="AD1179">
            <v>512.5</v>
          </cell>
          <cell r="AE1179">
            <v>0</v>
          </cell>
          <cell r="AF1179">
            <v>462.46</v>
          </cell>
          <cell r="AG1179">
            <v>3.3</v>
          </cell>
          <cell r="AH1179">
            <v>113.95</v>
          </cell>
          <cell r="AI1179">
            <v>0</v>
          </cell>
          <cell r="AJ1179">
            <v>0</v>
          </cell>
          <cell r="AK1179">
            <v>765</v>
          </cell>
          <cell r="AL1179">
            <v>224</v>
          </cell>
          <cell r="AM1179">
            <v>0</v>
          </cell>
          <cell r="AN1179">
            <v>182.38</v>
          </cell>
          <cell r="AO1179">
            <v>0</v>
          </cell>
          <cell r="AP1179">
            <v>0</v>
          </cell>
          <cell r="AQ1179">
            <v>2216.67</v>
          </cell>
          <cell r="AR1179">
            <v>736.5</v>
          </cell>
          <cell r="AS1179">
            <v>765</v>
          </cell>
          <cell r="AT1179">
            <v>0</v>
          </cell>
          <cell r="AU1179">
            <v>0</v>
          </cell>
        </row>
        <row r="1180">
          <cell r="A1180">
            <v>165</v>
          </cell>
          <cell r="B1180" t="str">
            <v>LORIDANT</v>
          </cell>
          <cell r="C1180" t="str">
            <v>PEGGY</v>
          </cell>
          <cell r="D1180" t="str">
            <v>HAUBOURDIN</v>
          </cell>
          <cell r="E1180">
            <v>1</v>
          </cell>
          <cell r="F1180" t="str">
            <v>NUMERICABLE</v>
          </cell>
          <cell r="I1180" t="str">
            <v>FTCN905001</v>
          </cell>
          <cell r="J1180">
            <v>100</v>
          </cell>
          <cell r="K1180">
            <v>36404</v>
          </cell>
          <cell r="L1180" t="str">
            <v>CONSEILLER CLIENT</v>
          </cell>
          <cell r="M1180" t="str">
            <v>462E</v>
          </cell>
          <cell r="N1180" t="str">
            <v>C</v>
          </cell>
          <cell r="O1180" t="str">
            <v>CDI</v>
          </cell>
          <cell r="P1180">
            <v>166.83</v>
          </cell>
          <cell r="Q1180">
            <v>1711</v>
          </cell>
          <cell r="R1180">
            <v>254.86</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-131.83000000000001</v>
          </cell>
          <cell r="AN1180">
            <v>171.09</v>
          </cell>
          <cell r="AO1180">
            <v>-131.83000000000001</v>
          </cell>
          <cell r="AP1180">
            <v>0</v>
          </cell>
          <cell r="AQ1180">
            <v>1711</v>
          </cell>
          <cell r="AR1180">
            <v>0</v>
          </cell>
          <cell r="AS1180">
            <v>0</v>
          </cell>
          <cell r="AT1180">
            <v>0</v>
          </cell>
          <cell r="AU1180">
            <v>0</v>
          </cell>
        </row>
        <row r="1181">
          <cell r="A1181" t="str">
            <v>000A1515</v>
          </cell>
          <cell r="B1181" t="str">
            <v>CHARENNAT</v>
          </cell>
          <cell r="C1181" t="str">
            <v>JEAN</v>
          </cell>
          <cell r="D1181" t="str">
            <v>METZ</v>
          </cell>
          <cell r="E1181">
            <v>19</v>
          </cell>
          <cell r="F1181" t="str">
            <v>NUMERICABLE  (TCC)</v>
          </cell>
          <cell r="G1181" t="str">
            <v>MAINTENANCE RESEAU</v>
          </cell>
          <cell r="I1181" t="str">
            <v>FTCN905001</v>
          </cell>
          <cell r="J1181">
            <v>100</v>
          </cell>
          <cell r="K1181">
            <v>38626</v>
          </cell>
          <cell r="L1181" t="str">
            <v>TECH. EXP. NIV. 1</v>
          </cell>
          <cell r="M1181" t="str">
            <v>EMPLOYE</v>
          </cell>
          <cell r="N1181" t="str">
            <v>C</v>
          </cell>
          <cell r="O1181" t="str">
            <v>CDI</v>
          </cell>
          <cell r="P1181">
            <v>151.57</v>
          </cell>
          <cell r="Q1181">
            <v>1820</v>
          </cell>
          <cell r="R1181">
            <v>1264.03</v>
          </cell>
          <cell r="S1181">
            <v>0</v>
          </cell>
          <cell r="T1181">
            <v>0</v>
          </cell>
          <cell r="U1181">
            <v>0</v>
          </cell>
          <cell r="V1181">
            <v>0</v>
          </cell>
          <cell r="W1181">
            <v>0</v>
          </cell>
          <cell r="X1181">
            <v>0</v>
          </cell>
          <cell r="Y1181">
            <v>0</v>
          </cell>
          <cell r="Z1181">
            <v>0</v>
          </cell>
          <cell r="AA1181">
            <v>0</v>
          </cell>
          <cell r="AB1181">
            <v>0</v>
          </cell>
          <cell r="AC1181">
            <v>0</v>
          </cell>
          <cell r="AD1181">
            <v>510</v>
          </cell>
          <cell r="AE1181">
            <v>0</v>
          </cell>
          <cell r="AF1181">
            <v>0</v>
          </cell>
          <cell r="AG1181">
            <v>0</v>
          </cell>
          <cell r="AH1181">
            <v>0</v>
          </cell>
          <cell r="AI1181">
            <v>0</v>
          </cell>
          <cell r="AJ1181">
            <v>0</v>
          </cell>
          <cell r="AK1181">
            <v>0</v>
          </cell>
          <cell r="AL1181">
            <v>0</v>
          </cell>
          <cell r="AM1181">
            <v>169.98</v>
          </cell>
          <cell r="AN1181">
            <v>174.69</v>
          </cell>
          <cell r="AO1181">
            <v>0</v>
          </cell>
          <cell r="AP1181">
            <v>0</v>
          </cell>
          <cell r="AQ1181">
            <v>1989.98</v>
          </cell>
          <cell r="AR1181">
            <v>510</v>
          </cell>
          <cell r="AS1181">
            <v>0</v>
          </cell>
          <cell r="AT1181">
            <v>0</v>
          </cell>
          <cell r="AU1181">
            <v>0</v>
          </cell>
        </row>
        <row r="1182">
          <cell r="A1182">
            <v>1376</v>
          </cell>
          <cell r="B1182" t="str">
            <v>VUYLSTEKER</v>
          </cell>
          <cell r="C1182" t="str">
            <v>VALERIE</v>
          </cell>
          <cell r="D1182" t="str">
            <v>BORDEAUX</v>
          </cell>
          <cell r="E1182">
            <v>1</v>
          </cell>
          <cell r="F1182" t="str">
            <v>NUMERICABLE</v>
          </cell>
          <cell r="G1182" t="str">
            <v>DIRECTION REGIONALE</v>
          </cell>
          <cell r="H1182" t="str">
            <v>GALERA</v>
          </cell>
          <cell r="I1182" t="str">
            <v>SUOU520001</v>
          </cell>
          <cell r="J1182">
            <v>100</v>
          </cell>
          <cell r="K1182">
            <v>38698</v>
          </cell>
          <cell r="L1182" t="str">
            <v>ASSIST. ADMINISTRAT.</v>
          </cell>
          <cell r="M1182" t="str">
            <v>EMPLOYE</v>
          </cell>
          <cell r="N1182" t="str">
            <v>C</v>
          </cell>
          <cell r="O1182" t="str">
            <v>CDD</v>
          </cell>
          <cell r="P1182">
            <v>166.83</v>
          </cell>
          <cell r="Q1182">
            <v>2000</v>
          </cell>
          <cell r="R1182">
            <v>1051.44</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199.99</v>
          </cell>
          <cell r="AO1182">
            <v>0</v>
          </cell>
          <cell r="AP1182">
            <v>0</v>
          </cell>
          <cell r="AQ1182">
            <v>2000</v>
          </cell>
          <cell r="AR1182">
            <v>0</v>
          </cell>
          <cell r="AS1182">
            <v>0</v>
          </cell>
          <cell r="AT1182">
            <v>0</v>
          </cell>
          <cell r="AU1182">
            <v>0</v>
          </cell>
        </row>
        <row r="1183">
          <cell r="A1183">
            <v>1375</v>
          </cell>
          <cell r="B1183" t="str">
            <v>TURPIN</v>
          </cell>
          <cell r="C1183" t="str">
            <v>ANNE-FRANCOISE</v>
          </cell>
          <cell r="D1183" t="str">
            <v>RENNES</v>
          </cell>
          <cell r="E1183">
            <v>1</v>
          </cell>
          <cell r="F1183" t="str">
            <v>NUMERICABLE</v>
          </cell>
          <cell r="G1183" t="str">
            <v>BOUTIQUE</v>
          </cell>
          <cell r="H1183" t="str">
            <v>GOUESNARD</v>
          </cell>
          <cell r="I1183" t="str">
            <v>OUES507001</v>
          </cell>
          <cell r="J1183">
            <v>100</v>
          </cell>
          <cell r="K1183">
            <v>38687</v>
          </cell>
          <cell r="L1183" t="str">
            <v>CONSEILLER CLIENTELE BOUTIQUE</v>
          </cell>
          <cell r="M1183" t="str">
            <v>463E</v>
          </cell>
          <cell r="N1183" t="str">
            <v>C</v>
          </cell>
          <cell r="O1183" t="str">
            <v>CDI</v>
          </cell>
          <cell r="P1183">
            <v>151.57</v>
          </cell>
          <cell r="Q1183">
            <v>1485</v>
          </cell>
          <cell r="R1183">
            <v>477.77</v>
          </cell>
          <cell r="S1183">
            <v>0</v>
          </cell>
          <cell r="T1183">
            <v>81.81</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23.45</v>
          </cell>
          <cell r="AO1183">
            <v>0</v>
          </cell>
          <cell r="AP1183">
            <v>0</v>
          </cell>
          <cell r="AQ1183">
            <v>1279.42</v>
          </cell>
          <cell r="AR1183">
            <v>0</v>
          </cell>
          <cell r="AS1183">
            <v>0</v>
          </cell>
          <cell r="AT1183">
            <v>0</v>
          </cell>
          <cell r="AU1183">
            <v>0</v>
          </cell>
        </row>
        <row r="1184">
          <cell r="A1184" t="str">
            <v>000A1514</v>
          </cell>
          <cell r="B1184" t="str">
            <v>CHAINTREUIL</v>
          </cell>
          <cell r="C1184" t="str">
            <v>PHILIPPE</v>
          </cell>
          <cell r="D1184" t="str">
            <v>STRASBOURG</v>
          </cell>
          <cell r="E1184">
            <v>19</v>
          </cell>
          <cell r="F1184" t="str">
            <v>NUMERICABLE  (TCC)</v>
          </cell>
          <cell r="G1184" t="str">
            <v>MAINTENANCE RESEAU</v>
          </cell>
          <cell r="I1184" t="str">
            <v>FTCN905001</v>
          </cell>
          <cell r="J1184">
            <v>100</v>
          </cell>
          <cell r="K1184">
            <v>38626</v>
          </cell>
          <cell r="L1184" t="str">
            <v>RESP SITE NIVEAU 2</v>
          </cell>
          <cell r="M1184" t="str">
            <v>CADRE</v>
          </cell>
          <cell r="N1184" t="str">
            <v>E</v>
          </cell>
          <cell r="O1184" t="str">
            <v>CDI</v>
          </cell>
          <cell r="P1184">
            <v>151.57</v>
          </cell>
          <cell r="Q1184">
            <v>3600</v>
          </cell>
          <cell r="R1184">
            <v>1413.33</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33.33</v>
          </cell>
          <cell r="AN1184">
            <v>345.55</v>
          </cell>
          <cell r="AO1184">
            <v>0</v>
          </cell>
          <cell r="AP1184">
            <v>0</v>
          </cell>
          <cell r="AQ1184">
            <v>3633.33</v>
          </cell>
          <cell r="AR1184">
            <v>0</v>
          </cell>
          <cell r="AS1184">
            <v>0</v>
          </cell>
          <cell r="AT1184">
            <v>0</v>
          </cell>
          <cell r="AU1184">
            <v>0</v>
          </cell>
        </row>
        <row r="1185">
          <cell r="A1185">
            <v>80</v>
          </cell>
          <cell r="B1185" t="str">
            <v>SOURROUILLE</v>
          </cell>
          <cell r="C1185" t="str">
            <v>THIERRY</v>
          </cell>
          <cell r="D1185" t="str">
            <v>BORDEAUX</v>
          </cell>
          <cell r="E1185">
            <v>1</v>
          </cell>
          <cell r="F1185" t="str">
            <v>NUMERICABLE</v>
          </cell>
          <cell r="I1185" t="str">
            <v>FTCN905001</v>
          </cell>
          <cell r="J1185">
            <v>100</v>
          </cell>
          <cell r="K1185">
            <v>32888</v>
          </cell>
          <cell r="L1185" t="str">
            <v>ATTACHE COMMERCIAL</v>
          </cell>
          <cell r="N1185" t="str">
            <v>DB</v>
          </cell>
          <cell r="O1185" t="str">
            <v>CDI</v>
          </cell>
          <cell r="P1185">
            <v>166.83</v>
          </cell>
          <cell r="Q1185">
            <v>1285</v>
          </cell>
          <cell r="R1185">
            <v>-1034.22</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3240.65</v>
          </cell>
          <cell r="AN1185">
            <v>128.49</v>
          </cell>
          <cell r="AO1185">
            <v>3240.65</v>
          </cell>
          <cell r="AP1185">
            <v>0</v>
          </cell>
          <cell r="AQ1185">
            <v>1285</v>
          </cell>
          <cell r="AR1185">
            <v>0</v>
          </cell>
          <cell r="AS1185">
            <v>0</v>
          </cell>
          <cell r="AT1185">
            <v>0</v>
          </cell>
          <cell r="AU1185">
            <v>0</v>
          </cell>
        </row>
        <row r="1186">
          <cell r="A1186">
            <v>272</v>
          </cell>
          <cell r="B1186" t="str">
            <v>MEGE</v>
          </cell>
          <cell r="C1186" t="str">
            <v>CYRIL</v>
          </cell>
          <cell r="D1186" t="str">
            <v>METZ</v>
          </cell>
          <cell r="E1186">
            <v>1</v>
          </cell>
          <cell r="F1186" t="str">
            <v>NUMERICABLE</v>
          </cell>
          <cell r="I1186" t="str">
            <v>FTCN905001</v>
          </cell>
          <cell r="J1186">
            <v>100</v>
          </cell>
          <cell r="K1186">
            <v>37258</v>
          </cell>
          <cell r="L1186" t="str">
            <v>CONSEIL. COMMERCIAL</v>
          </cell>
          <cell r="M1186" t="str">
            <v>463E</v>
          </cell>
          <cell r="N1186" t="str">
            <v>D</v>
          </cell>
          <cell r="O1186" t="str">
            <v>CDI</v>
          </cell>
          <cell r="P1186">
            <v>166.83</v>
          </cell>
          <cell r="Q1186">
            <v>950</v>
          </cell>
          <cell r="R1186">
            <v>247.63</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963.43</v>
          </cell>
          <cell r="AN1186">
            <v>122.29</v>
          </cell>
          <cell r="AO1186">
            <v>690.48</v>
          </cell>
          <cell r="AP1186">
            <v>0</v>
          </cell>
          <cell r="AQ1186">
            <v>1222.95</v>
          </cell>
          <cell r="AR1186">
            <v>0</v>
          </cell>
          <cell r="AS1186">
            <v>0</v>
          </cell>
          <cell r="AT1186">
            <v>0</v>
          </cell>
          <cell r="AU1186">
            <v>0</v>
          </cell>
        </row>
        <row r="1187">
          <cell r="A1187">
            <v>666</v>
          </cell>
          <cell r="B1187" t="str">
            <v>COUDEVILLAIN</v>
          </cell>
          <cell r="C1187" t="str">
            <v>JEAN-PIERRE</v>
          </cell>
          <cell r="D1187" t="str">
            <v>RENNES</v>
          </cell>
          <cell r="E1187">
            <v>1</v>
          </cell>
          <cell r="F1187" t="str">
            <v>NUMERICABLE</v>
          </cell>
          <cell r="J1187">
            <v>0</v>
          </cell>
          <cell r="K1187">
            <v>36893</v>
          </cell>
          <cell r="L1187" t="str">
            <v>ATTACHE COMMERCIAL</v>
          </cell>
          <cell r="M1187" t="str">
            <v>CADRE</v>
          </cell>
          <cell r="N1187" t="str">
            <v>D</v>
          </cell>
          <cell r="O1187" t="str">
            <v>CDI</v>
          </cell>
          <cell r="P1187">
            <v>166.83</v>
          </cell>
          <cell r="Q1187">
            <v>1285</v>
          </cell>
          <cell r="R1187">
            <v>4231.7299999999996</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17303</v>
          </cell>
          <cell r="AT1187">
            <v>0</v>
          </cell>
          <cell r="AU1187">
            <v>0</v>
          </cell>
        </row>
        <row r="1188">
          <cell r="A1188">
            <v>452054</v>
          </cell>
          <cell r="B1188" t="str">
            <v>PITHON</v>
          </cell>
          <cell r="C1188" t="str">
            <v>XAVIER</v>
          </cell>
          <cell r="D1188" t="str">
            <v>ANGERS</v>
          </cell>
          <cell r="E1188">
            <v>1</v>
          </cell>
          <cell r="F1188" t="str">
            <v>NUMERICABLE</v>
          </cell>
          <cell r="I1188" t="str">
            <v>FTCN905001</v>
          </cell>
          <cell r="J1188">
            <v>100</v>
          </cell>
          <cell r="K1188">
            <v>35138</v>
          </cell>
          <cell r="L1188" t="str">
            <v>ATTACHE COMMERCIAL</v>
          </cell>
          <cell r="M1188" t="str">
            <v>EMPLOYE</v>
          </cell>
          <cell r="N1188" t="str">
            <v>D</v>
          </cell>
          <cell r="O1188" t="str">
            <v>CDI</v>
          </cell>
          <cell r="P1188">
            <v>166.83</v>
          </cell>
          <cell r="Q1188">
            <v>1285</v>
          </cell>
          <cell r="R1188">
            <v>1485.25</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2932.01</v>
          </cell>
          <cell r="AN1188">
            <v>128.49</v>
          </cell>
          <cell r="AO1188">
            <v>2932.01</v>
          </cell>
          <cell r="AP1188">
            <v>0</v>
          </cell>
          <cell r="AQ1188">
            <v>1285</v>
          </cell>
          <cell r="AR1188">
            <v>0</v>
          </cell>
          <cell r="AS1188">
            <v>0</v>
          </cell>
          <cell r="AT1188">
            <v>0</v>
          </cell>
          <cell r="AU1188">
            <v>0</v>
          </cell>
        </row>
        <row r="1189">
          <cell r="A1189">
            <v>502007</v>
          </cell>
          <cell r="B1189" t="str">
            <v>HOURIEZ</v>
          </cell>
          <cell r="C1189" t="str">
            <v>SOLANGE</v>
          </cell>
          <cell r="D1189" t="str">
            <v>DUNKERQUE</v>
          </cell>
          <cell r="E1189">
            <v>1</v>
          </cell>
          <cell r="F1189" t="str">
            <v>NUMERICABLE</v>
          </cell>
          <cell r="G1189" t="str">
            <v>BOUTIQUE</v>
          </cell>
          <cell r="H1189" t="str">
            <v>FERNANDEZ M</v>
          </cell>
          <cell r="I1189" t="str">
            <v>NPCA507001</v>
          </cell>
          <cell r="J1189">
            <v>100</v>
          </cell>
          <cell r="K1189">
            <v>35370</v>
          </cell>
          <cell r="L1189" t="str">
            <v>ASSIST. SERV.CLIENTS</v>
          </cell>
          <cell r="M1189" t="str">
            <v>462E</v>
          </cell>
          <cell r="N1189" t="str">
            <v>C</v>
          </cell>
          <cell r="O1189" t="str">
            <v>CDI</v>
          </cell>
          <cell r="P1189">
            <v>166.83</v>
          </cell>
          <cell r="Q1189">
            <v>1472</v>
          </cell>
          <cell r="R1189">
            <v>450.71</v>
          </cell>
          <cell r="S1189">
            <v>0</v>
          </cell>
          <cell r="T1189">
            <v>0</v>
          </cell>
          <cell r="U1189">
            <v>0</v>
          </cell>
          <cell r="V1189">
            <v>0</v>
          </cell>
          <cell r="W1189">
            <v>130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165.46</v>
          </cell>
          <cell r="AO1189">
            <v>0</v>
          </cell>
          <cell r="AP1189">
            <v>0</v>
          </cell>
          <cell r="AQ1189">
            <v>1098.4000000000001</v>
          </cell>
          <cell r="AR1189">
            <v>0</v>
          </cell>
          <cell r="AS1189">
            <v>0</v>
          </cell>
          <cell r="AT1189">
            <v>0</v>
          </cell>
          <cell r="AU1189">
            <v>0</v>
          </cell>
        </row>
        <row r="1190">
          <cell r="A1190">
            <v>502020</v>
          </cell>
          <cell r="B1190" t="str">
            <v>TOUSSAINT</v>
          </cell>
          <cell r="C1190" t="str">
            <v>GERAUD</v>
          </cell>
          <cell r="D1190" t="str">
            <v>DUNKERQUE</v>
          </cell>
          <cell r="E1190">
            <v>1</v>
          </cell>
          <cell r="F1190" t="str">
            <v>NUMERICABLE</v>
          </cell>
          <cell r="I1190" t="str">
            <v>FTCN905001</v>
          </cell>
          <cell r="J1190">
            <v>100</v>
          </cell>
          <cell r="K1190">
            <v>37210</v>
          </cell>
          <cell r="L1190" t="str">
            <v>ATTACHE COMMERCIAL</v>
          </cell>
          <cell r="M1190" t="str">
            <v>EMPLOYE</v>
          </cell>
          <cell r="N1190" t="str">
            <v>D</v>
          </cell>
          <cell r="O1190" t="str">
            <v>CDI</v>
          </cell>
          <cell r="P1190">
            <v>166.83</v>
          </cell>
          <cell r="Q1190">
            <v>1285</v>
          </cell>
          <cell r="R1190">
            <v>-1046.1099999999999</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1947.59</v>
          </cell>
          <cell r="AN1190">
            <v>128.51</v>
          </cell>
          <cell r="AO1190">
            <v>1947.59</v>
          </cell>
          <cell r="AP1190">
            <v>0</v>
          </cell>
          <cell r="AQ1190">
            <v>1285</v>
          </cell>
          <cell r="AR1190">
            <v>0</v>
          </cell>
          <cell r="AS1190">
            <v>0</v>
          </cell>
          <cell r="AT1190">
            <v>0</v>
          </cell>
          <cell r="AU1190">
            <v>0</v>
          </cell>
        </row>
        <row r="1191">
          <cell r="A1191">
            <v>503051</v>
          </cell>
          <cell r="B1191" t="str">
            <v>BRUAT</v>
          </cell>
          <cell r="C1191" t="str">
            <v>THIERRY</v>
          </cell>
          <cell r="D1191" t="str">
            <v>METZ</v>
          </cell>
          <cell r="E1191">
            <v>1</v>
          </cell>
          <cell r="F1191" t="str">
            <v>NUMERICABLE</v>
          </cell>
          <cell r="G1191" t="str">
            <v>RACCORDEMENT IMMOB.</v>
          </cell>
          <cell r="H1191" t="str">
            <v>JENCZAK</v>
          </cell>
          <cell r="I1191" t="str">
            <v>ESTR302001</v>
          </cell>
          <cell r="J1191">
            <v>100</v>
          </cell>
          <cell r="K1191">
            <v>35886</v>
          </cell>
          <cell r="L1191" t="str">
            <v>GESTION RACCORDEMENT</v>
          </cell>
          <cell r="M1191" t="str">
            <v>633B</v>
          </cell>
          <cell r="N1191" t="str">
            <v>DB</v>
          </cell>
          <cell r="O1191" t="str">
            <v>CDI</v>
          </cell>
          <cell r="P1191">
            <v>166.83</v>
          </cell>
          <cell r="Q1191">
            <v>2188</v>
          </cell>
          <cell r="R1191">
            <v>1299.72</v>
          </cell>
          <cell r="S1191">
            <v>0</v>
          </cell>
          <cell r="T1191">
            <v>0</v>
          </cell>
          <cell r="U1191">
            <v>0</v>
          </cell>
          <cell r="V1191">
            <v>0</v>
          </cell>
          <cell r="W1191">
            <v>270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200</v>
          </cell>
          <cell r="AM1191">
            <v>0</v>
          </cell>
          <cell r="AN1191">
            <v>246.78</v>
          </cell>
          <cell r="AO1191">
            <v>0</v>
          </cell>
          <cell r="AP1191">
            <v>0</v>
          </cell>
          <cell r="AQ1191">
            <v>1885.09</v>
          </cell>
          <cell r="AR1191">
            <v>200</v>
          </cell>
          <cell r="AS1191">
            <v>0</v>
          </cell>
          <cell r="AT1191">
            <v>0</v>
          </cell>
          <cell r="AU1191">
            <v>0</v>
          </cell>
        </row>
        <row r="1192">
          <cell r="A1192">
            <v>952197</v>
          </cell>
          <cell r="B1192" t="str">
            <v>WUSSLER</v>
          </cell>
          <cell r="C1192" t="str">
            <v>CATHERINE</v>
          </cell>
          <cell r="D1192" t="str">
            <v>MARSEILLE</v>
          </cell>
          <cell r="E1192">
            <v>1</v>
          </cell>
          <cell r="F1192" t="str">
            <v>NUMERICABLE</v>
          </cell>
          <cell r="I1192" t="str">
            <v>SUES520001</v>
          </cell>
          <cell r="J1192">
            <v>100</v>
          </cell>
          <cell r="K1192">
            <v>35100</v>
          </cell>
          <cell r="L1192" t="str">
            <v>RESP. EQUIPE ADMNISTRAT. CLIENTS</v>
          </cell>
          <cell r="M1192" t="str">
            <v>373C</v>
          </cell>
          <cell r="N1192" t="str">
            <v>DB</v>
          </cell>
          <cell r="O1192" t="str">
            <v>CDI</v>
          </cell>
          <cell r="P1192">
            <v>166.83</v>
          </cell>
          <cell r="Q1192">
            <v>1855</v>
          </cell>
          <cell r="R1192">
            <v>3408.78</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6170</v>
          </cell>
          <cell r="AT1192">
            <v>0</v>
          </cell>
          <cell r="AU1192">
            <v>0</v>
          </cell>
        </row>
        <row r="1193">
          <cell r="A1193">
            <v>952330</v>
          </cell>
          <cell r="B1193" t="str">
            <v>VALZ</v>
          </cell>
          <cell r="C1193" t="str">
            <v>BERNARD</v>
          </cell>
          <cell r="D1193" t="str">
            <v>MARSEILLE</v>
          </cell>
          <cell r="E1193">
            <v>1</v>
          </cell>
          <cell r="F1193" t="str">
            <v>NUMERICABLE</v>
          </cell>
          <cell r="I1193" t="str">
            <v>FTCN905001</v>
          </cell>
          <cell r="J1193">
            <v>100</v>
          </cell>
          <cell r="K1193">
            <v>35821</v>
          </cell>
          <cell r="L1193" t="str">
            <v>ATTACHE COMMERCIAL</v>
          </cell>
          <cell r="M1193" t="str">
            <v>EMPLOYE</v>
          </cell>
          <cell r="N1193" t="str">
            <v>D</v>
          </cell>
          <cell r="O1193" t="str">
            <v>CDI</v>
          </cell>
          <cell r="P1193">
            <v>166.83</v>
          </cell>
          <cell r="Q1193">
            <v>1285</v>
          </cell>
          <cell r="R1193">
            <v>2660.91</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4738.13</v>
          </cell>
          <cell r="AN1193">
            <v>0.03</v>
          </cell>
          <cell r="AO1193">
            <v>0</v>
          </cell>
          <cell r="AP1193">
            <v>0</v>
          </cell>
          <cell r="AQ1193">
            <v>6023.13</v>
          </cell>
          <cell r="AR1193">
            <v>0</v>
          </cell>
          <cell r="AS1193">
            <v>0</v>
          </cell>
          <cell r="AT1193">
            <v>0</v>
          </cell>
          <cell r="AU1193">
            <v>0</v>
          </cell>
        </row>
        <row r="1194">
          <cell r="A1194">
            <v>5020014</v>
          </cell>
          <cell r="B1194" t="str">
            <v>SMEECKAERT</v>
          </cell>
          <cell r="C1194" t="str">
            <v>VALERIE</v>
          </cell>
          <cell r="D1194" t="str">
            <v>DUNKERQUE</v>
          </cell>
          <cell r="E1194">
            <v>1</v>
          </cell>
          <cell r="F1194" t="str">
            <v>NUMERICABLE</v>
          </cell>
          <cell r="G1194" t="str">
            <v>BOUTIQUE</v>
          </cell>
          <cell r="H1194" t="str">
            <v>FERNANDEZ M</v>
          </cell>
          <cell r="I1194" t="str">
            <v>NPCA507001</v>
          </cell>
          <cell r="J1194">
            <v>100</v>
          </cell>
          <cell r="K1194">
            <v>36404</v>
          </cell>
          <cell r="L1194" t="str">
            <v>ASSIST. SERV.CLIENTS</v>
          </cell>
          <cell r="M1194" t="str">
            <v>462E</v>
          </cell>
          <cell r="N1194" t="str">
            <v>C</v>
          </cell>
          <cell r="O1194" t="str">
            <v>CDI</v>
          </cell>
          <cell r="P1194">
            <v>121.33</v>
          </cell>
          <cell r="Q1194">
            <v>1117.2</v>
          </cell>
          <cell r="R1194">
            <v>534.07000000000005</v>
          </cell>
          <cell r="S1194">
            <v>0</v>
          </cell>
          <cell r="T1194">
            <v>0</v>
          </cell>
          <cell r="U1194">
            <v>0</v>
          </cell>
          <cell r="V1194">
            <v>0</v>
          </cell>
          <cell r="W1194">
            <v>104</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187.96</v>
          </cell>
          <cell r="AO1194">
            <v>0</v>
          </cell>
          <cell r="AP1194">
            <v>0</v>
          </cell>
          <cell r="AQ1194">
            <v>1129.05</v>
          </cell>
          <cell r="AR1194">
            <v>0</v>
          </cell>
          <cell r="AS1194">
            <v>0</v>
          </cell>
          <cell r="AT1194">
            <v>0</v>
          </cell>
          <cell r="AU1194">
            <v>0</v>
          </cell>
        </row>
        <row r="1195">
          <cell r="A1195">
            <v>20000994</v>
          </cell>
          <cell r="B1195" t="str">
            <v>FALL</v>
          </cell>
          <cell r="C1195" t="str">
            <v>PIERRE LAURENCE</v>
          </cell>
          <cell r="D1195" t="str">
            <v>SAINT MARTIN D'HERES</v>
          </cell>
          <cell r="E1195">
            <v>1</v>
          </cell>
          <cell r="F1195" t="str">
            <v>NUMERICABLE</v>
          </cell>
          <cell r="I1195" t="str">
            <v>FTCN905001</v>
          </cell>
          <cell r="J1195">
            <v>100</v>
          </cell>
          <cell r="K1195">
            <v>37389</v>
          </cell>
          <cell r="L1195" t="str">
            <v>ATTACHE COMMERCIAL</v>
          </cell>
          <cell r="M1195" t="str">
            <v>CADRE</v>
          </cell>
          <cell r="N1195" t="str">
            <v>D</v>
          </cell>
          <cell r="O1195" t="str">
            <v>CDI</v>
          </cell>
          <cell r="P1195">
            <v>166.83</v>
          </cell>
          <cell r="Q1195">
            <v>1285</v>
          </cell>
          <cell r="R1195">
            <v>-89.64</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1713.22</v>
          </cell>
          <cell r="AN1195">
            <v>136.15</v>
          </cell>
          <cell r="AO1195">
            <v>1636.73</v>
          </cell>
          <cell r="AP1195">
            <v>0</v>
          </cell>
          <cell r="AQ1195">
            <v>1361.49</v>
          </cell>
          <cell r="AR1195">
            <v>0</v>
          </cell>
          <cell r="AS1195">
            <v>0</v>
          </cell>
          <cell r="AT1195">
            <v>0</v>
          </cell>
          <cell r="AU1195">
            <v>0</v>
          </cell>
        </row>
        <row r="1196">
          <cell r="A1196">
            <v>600</v>
          </cell>
          <cell r="B1196" t="str">
            <v>BERNA</v>
          </cell>
          <cell r="C1196" t="str">
            <v>PATRICK ISTRAN</v>
          </cell>
          <cell r="D1196" t="str">
            <v>MONTPELLIER</v>
          </cell>
          <cell r="E1196">
            <v>1</v>
          </cell>
          <cell r="F1196" t="str">
            <v>NUMERICABLE</v>
          </cell>
          <cell r="G1196" t="str">
            <v>VAD CONSEILLERS</v>
          </cell>
          <cell r="I1196" t="str">
            <v>SUES500001</v>
          </cell>
          <cell r="J1196">
            <v>100</v>
          </cell>
          <cell r="K1196">
            <v>36822</v>
          </cell>
          <cell r="L1196" t="str">
            <v>ATTACHE COMMERCIAL</v>
          </cell>
          <cell r="M1196" t="str">
            <v>CADRE</v>
          </cell>
          <cell r="N1196" t="str">
            <v>D</v>
          </cell>
          <cell r="O1196" t="str">
            <v>CDI</v>
          </cell>
          <cell r="P1196">
            <v>166.83</v>
          </cell>
          <cell r="Q1196">
            <v>1285</v>
          </cell>
          <cell r="R1196">
            <v>1761.8</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599.67999999999995</v>
          </cell>
          <cell r="AR1196">
            <v>0</v>
          </cell>
          <cell r="AS1196">
            <v>0</v>
          </cell>
          <cell r="AT1196">
            <v>0</v>
          </cell>
          <cell r="AU1196">
            <v>0</v>
          </cell>
        </row>
        <row r="1197">
          <cell r="A1197" t="str">
            <v>000A1520</v>
          </cell>
          <cell r="B1197" t="str">
            <v>DUTEIL</v>
          </cell>
          <cell r="C1197" t="str">
            <v>DANIEL</v>
          </cell>
          <cell r="D1197" t="str">
            <v>METZ</v>
          </cell>
          <cell r="E1197">
            <v>19</v>
          </cell>
          <cell r="F1197" t="str">
            <v>NUMERICABLE  (TCC)</v>
          </cell>
          <cell r="G1197" t="str">
            <v>TECHNIQUE</v>
          </cell>
          <cell r="I1197" t="str">
            <v>FTCN905001</v>
          </cell>
          <cell r="J1197">
            <v>100</v>
          </cell>
          <cell r="K1197">
            <v>38626</v>
          </cell>
          <cell r="L1197" t="str">
            <v>TECH. EXP. NIV. 1</v>
          </cell>
          <cell r="M1197" t="str">
            <v>EMPLOYE</v>
          </cell>
          <cell r="N1197" t="str">
            <v>C</v>
          </cell>
          <cell r="O1197" t="str">
            <v>CDI</v>
          </cell>
          <cell r="P1197">
            <v>151.57</v>
          </cell>
          <cell r="Q1197">
            <v>1690</v>
          </cell>
          <cell r="R1197">
            <v>-536.02</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214.59</v>
          </cell>
          <cell r="AN1197">
            <v>171.57</v>
          </cell>
          <cell r="AO1197">
            <v>26597.51</v>
          </cell>
          <cell r="AP1197">
            <v>0</v>
          </cell>
          <cell r="AQ1197">
            <v>8.3699999999999992</v>
          </cell>
          <cell r="AR1197">
            <v>0</v>
          </cell>
          <cell r="AS1197">
            <v>0</v>
          </cell>
          <cell r="AT1197">
            <v>0</v>
          </cell>
          <cell r="AU1197">
            <v>0</v>
          </cell>
        </row>
        <row r="1198">
          <cell r="A1198" t="str">
            <v>000A1480</v>
          </cell>
          <cell r="B1198" t="str">
            <v>DOSPITAL</v>
          </cell>
          <cell r="C1198" t="str">
            <v>CHRISTOPHE</v>
          </cell>
          <cell r="D1198" t="str">
            <v>BAB</v>
          </cell>
          <cell r="E1198">
            <v>3</v>
          </cell>
          <cell r="F1198" t="str">
            <v>NUMERICABLE</v>
          </cell>
          <cell r="G1198" t="str">
            <v>BOUTIQUE</v>
          </cell>
          <cell r="H1198" t="str">
            <v>BARDOU</v>
          </cell>
          <cell r="I1198" t="str">
            <v>SUOU507001</v>
          </cell>
          <cell r="J1198">
            <v>100</v>
          </cell>
          <cell r="K1198">
            <v>38749</v>
          </cell>
          <cell r="L1198" t="str">
            <v>CONSEILLER CLIENTELE BOUTIQUE</v>
          </cell>
          <cell r="M1198" t="str">
            <v>463E</v>
          </cell>
          <cell r="N1198" t="str">
            <v>C</v>
          </cell>
          <cell r="O1198" t="str">
            <v>CDI</v>
          </cell>
          <cell r="P1198">
            <v>166.83</v>
          </cell>
          <cell r="Q1198">
            <v>1350</v>
          </cell>
          <cell r="R1198">
            <v>1263.5899999999999</v>
          </cell>
          <cell r="S1198">
            <v>0</v>
          </cell>
          <cell r="T1198">
            <v>988.88</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233.89</v>
          </cell>
          <cell r="AO1198">
            <v>0</v>
          </cell>
          <cell r="AP1198">
            <v>0</v>
          </cell>
          <cell r="AQ1198">
            <v>1350</v>
          </cell>
          <cell r="AR1198">
            <v>0</v>
          </cell>
          <cell r="AS1198">
            <v>0</v>
          </cell>
          <cell r="AT1198">
            <v>0</v>
          </cell>
          <cell r="AU1198">
            <v>0</v>
          </cell>
        </row>
        <row r="1199">
          <cell r="A1199">
            <v>1366</v>
          </cell>
          <cell r="B1199" t="str">
            <v>NEIVEYANS</v>
          </cell>
          <cell r="C1199" t="str">
            <v>AURELIE</v>
          </cell>
          <cell r="D1199" t="str">
            <v>LA MADELEINE</v>
          </cell>
          <cell r="E1199">
            <v>1</v>
          </cell>
          <cell r="F1199" t="str">
            <v>NUMERICABLE</v>
          </cell>
          <cell r="G1199" t="str">
            <v>BOUTIQUE</v>
          </cell>
          <cell r="H1199" t="str">
            <v>DELSART</v>
          </cell>
          <cell r="I1199" t="str">
            <v>NPCA507001</v>
          </cell>
          <cell r="J1199">
            <v>100</v>
          </cell>
          <cell r="K1199">
            <v>38617</v>
          </cell>
          <cell r="L1199" t="str">
            <v>VENDEUR POINT DE VENTE</v>
          </cell>
          <cell r="M1199" t="str">
            <v>463E</v>
          </cell>
          <cell r="N1199" t="str">
            <v>C</v>
          </cell>
          <cell r="O1199" t="str">
            <v>CDI</v>
          </cell>
          <cell r="P1199">
            <v>166.83</v>
          </cell>
          <cell r="Q1199">
            <v>1400</v>
          </cell>
          <cell r="R1199">
            <v>69354.62</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95.01</v>
          </cell>
          <cell r="AO1199">
            <v>0</v>
          </cell>
          <cell r="AP1199">
            <v>0</v>
          </cell>
          <cell r="AQ1199">
            <v>1270.79</v>
          </cell>
          <cell r="AR1199">
            <v>0</v>
          </cell>
          <cell r="AS1199">
            <v>0</v>
          </cell>
          <cell r="AT1199">
            <v>0</v>
          </cell>
          <cell r="AU1199">
            <v>0</v>
          </cell>
        </row>
        <row r="1200">
          <cell r="A1200" t="str">
            <v>000A1526</v>
          </cell>
          <cell r="B1200" t="str">
            <v>HAUTIER</v>
          </cell>
          <cell r="C1200" t="str">
            <v>FRANCIS</v>
          </cell>
          <cell r="D1200" t="str">
            <v>METZ</v>
          </cell>
          <cell r="E1200">
            <v>19</v>
          </cell>
          <cell r="F1200" t="str">
            <v>NUMERICABLE  (TCC)</v>
          </cell>
          <cell r="G1200" t="str">
            <v>TECHNIQUE</v>
          </cell>
          <cell r="I1200" t="str">
            <v>FTCN905001</v>
          </cell>
          <cell r="J1200">
            <v>100</v>
          </cell>
          <cell r="K1200">
            <v>38626</v>
          </cell>
          <cell r="L1200" t="str">
            <v>TECH. EXP. NIV. 2</v>
          </cell>
          <cell r="M1200" t="str">
            <v>TSM</v>
          </cell>
          <cell r="N1200" t="str">
            <v>D</v>
          </cell>
          <cell r="O1200" t="str">
            <v>CDI</v>
          </cell>
          <cell r="P1200">
            <v>151.57</v>
          </cell>
          <cell r="Q1200">
            <v>2740</v>
          </cell>
          <cell r="R1200">
            <v>3381.34</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277.52999999999997</v>
          </cell>
          <cell r="AN1200">
            <v>263</v>
          </cell>
          <cell r="AO1200">
            <v>1.73</v>
          </cell>
          <cell r="AP1200">
            <v>0</v>
          </cell>
          <cell r="AQ1200">
            <v>3015.8</v>
          </cell>
          <cell r="AR1200">
            <v>0</v>
          </cell>
          <cell r="AS1200">
            <v>0</v>
          </cell>
          <cell r="AT1200">
            <v>0</v>
          </cell>
          <cell r="AU1200">
            <v>0</v>
          </cell>
        </row>
        <row r="1201">
          <cell r="A1201" t="str">
            <v>000A1403</v>
          </cell>
          <cell r="B1201" t="str">
            <v>HARTMANN</v>
          </cell>
          <cell r="C1201" t="str">
            <v>FABIEN</v>
          </cell>
          <cell r="D1201" t="str">
            <v>MARSEILLE</v>
          </cell>
          <cell r="E1201">
            <v>3</v>
          </cell>
          <cell r="F1201" t="str">
            <v>NUMERICABLE</v>
          </cell>
          <cell r="G1201" t="str">
            <v>BOUTIQUE</v>
          </cell>
          <cell r="H1201" t="str">
            <v>GRAU</v>
          </cell>
          <cell r="I1201" t="str">
            <v>SUES507001</v>
          </cell>
          <cell r="J1201">
            <v>100</v>
          </cell>
          <cell r="K1201">
            <v>38749</v>
          </cell>
          <cell r="L1201" t="str">
            <v>CONSEILLER CLIENTELE BOUTIQUE</v>
          </cell>
          <cell r="M1201" t="str">
            <v>463E</v>
          </cell>
          <cell r="N1201" t="str">
            <v>C</v>
          </cell>
          <cell r="O1201" t="str">
            <v>CDI</v>
          </cell>
          <cell r="P1201">
            <v>166.83</v>
          </cell>
          <cell r="Q1201">
            <v>1450</v>
          </cell>
          <cell r="R1201">
            <v>1310.89</v>
          </cell>
          <cell r="S1201">
            <v>0</v>
          </cell>
          <cell r="T1201">
            <v>909</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235.9</v>
          </cell>
          <cell r="AO1201">
            <v>0</v>
          </cell>
          <cell r="AP1201">
            <v>0</v>
          </cell>
          <cell r="AQ1201">
            <v>1450</v>
          </cell>
          <cell r="AR1201">
            <v>0</v>
          </cell>
          <cell r="AS1201">
            <v>0</v>
          </cell>
          <cell r="AT1201">
            <v>0</v>
          </cell>
          <cell r="AU1201">
            <v>0</v>
          </cell>
        </row>
        <row r="1202">
          <cell r="A1202">
            <v>1332</v>
          </cell>
          <cell r="B1202" t="str">
            <v>MAGDELEINE</v>
          </cell>
          <cell r="C1202" t="str">
            <v>DAVID</v>
          </cell>
          <cell r="D1202" t="str">
            <v>BORDEAUX</v>
          </cell>
          <cell r="E1202">
            <v>1</v>
          </cell>
          <cell r="F1202" t="str">
            <v>NUMERICABLE</v>
          </cell>
          <cell r="G1202" t="str">
            <v>BOUTIQUE</v>
          </cell>
          <cell r="H1202" t="str">
            <v>GUILLO</v>
          </cell>
          <cell r="I1202" t="str">
            <v>SUOU507001</v>
          </cell>
          <cell r="J1202">
            <v>100</v>
          </cell>
          <cell r="K1202">
            <v>38411</v>
          </cell>
          <cell r="L1202" t="str">
            <v>CONSEILLER CLIENTELE BOUTIQUE</v>
          </cell>
          <cell r="M1202" t="str">
            <v>463E</v>
          </cell>
          <cell r="N1202" t="str">
            <v>C</v>
          </cell>
          <cell r="O1202" t="str">
            <v>CDI</v>
          </cell>
          <cell r="P1202">
            <v>166.83</v>
          </cell>
          <cell r="Q1202">
            <v>1266</v>
          </cell>
          <cell r="R1202">
            <v>810.27</v>
          </cell>
          <cell r="S1202">
            <v>0</v>
          </cell>
          <cell r="T1202">
            <v>552</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181.8</v>
          </cell>
          <cell r="AO1202">
            <v>0</v>
          </cell>
          <cell r="AP1202">
            <v>0</v>
          </cell>
          <cell r="AQ1202">
            <v>1266</v>
          </cell>
          <cell r="AR1202">
            <v>0</v>
          </cell>
          <cell r="AS1202">
            <v>0</v>
          </cell>
          <cell r="AT1202">
            <v>0</v>
          </cell>
          <cell r="AU1202">
            <v>0</v>
          </cell>
        </row>
        <row r="1203">
          <cell r="A1203">
            <v>244</v>
          </cell>
          <cell r="B1203" t="str">
            <v>ALLAIN</v>
          </cell>
          <cell r="C1203" t="str">
            <v>GAEL</v>
          </cell>
          <cell r="D1203" t="str">
            <v>ROUEN</v>
          </cell>
          <cell r="E1203">
            <v>1</v>
          </cell>
          <cell r="F1203" t="str">
            <v>NUMERICABLE</v>
          </cell>
          <cell r="G1203" t="str">
            <v>VAD ANIMATEURS</v>
          </cell>
          <cell r="H1203" t="str">
            <v>JAUD</v>
          </cell>
          <cell r="I1203" t="str">
            <v>OUES500001</v>
          </cell>
          <cell r="J1203">
            <v>100</v>
          </cell>
          <cell r="K1203">
            <v>36466</v>
          </cell>
          <cell r="L1203" t="str">
            <v>ANIMATEUR DES VENTES VAD</v>
          </cell>
          <cell r="M1203" t="str">
            <v>463E</v>
          </cell>
          <cell r="N1203" t="str">
            <v>DB</v>
          </cell>
          <cell r="O1203" t="str">
            <v>CDI</v>
          </cell>
          <cell r="P1203">
            <v>166.83</v>
          </cell>
          <cell r="Q1203">
            <v>1800</v>
          </cell>
          <cell r="R1203">
            <v>1784.26</v>
          </cell>
          <cell r="S1203">
            <v>0</v>
          </cell>
          <cell r="T1203">
            <v>1200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326.85000000000002</v>
          </cell>
          <cell r="AO1203">
            <v>0</v>
          </cell>
          <cell r="AP1203">
            <v>0</v>
          </cell>
          <cell r="AQ1203">
            <v>1550.81</v>
          </cell>
          <cell r="AR1203">
            <v>0</v>
          </cell>
          <cell r="AS1203">
            <v>815.74</v>
          </cell>
          <cell r="AT1203">
            <v>0</v>
          </cell>
          <cell r="AU1203">
            <v>0</v>
          </cell>
        </row>
        <row r="1204">
          <cell r="A1204">
            <v>624</v>
          </cell>
          <cell r="B1204" t="str">
            <v>DESCAMPS</v>
          </cell>
          <cell r="C1204" t="str">
            <v>FREDERIC</v>
          </cell>
          <cell r="D1204" t="str">
            <v>LA MADELEINE</v>
          </cell>
          <cell r="E1204">
            <v>1</v>
          </cell>
          <cell r="F1204" t="str">
            <v>NUMERICABLE</v>
          </cell>
          <cell r="I1204" t="str">
            <v>FTCN905001</v>
          </cell>
          <cell r="J1204">
            <v>100</v>
          </cell>
          <cell r="K1204">
            <v>36850</v>
          </cell>
          <cell r="L1204" t="str">
            <v>ATTACHE COMMERCIAL</v>
          </cell>
          <cell r="M1204" t="str">
            <v>EMPLOYE</v>
          </cell>
          <cell r="N1204" t="str">
            <v>D</v>
          </cell>
          <cell r="O1204" t="str">
            <v>CDI</v>
          </cell>
          <cell r="P1204">
            <v>166.83</v>
          </cell>
          <cell r="Q1204">
            <v>1285</v>
          </cell>
          <cell r="R1204">
            <v>381.02</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1204.46</v>
          </cell>
          <cell r="AN1204">
            <v>128.5</v>
          </cell>
          <cell r="AO1204">
            <v>1204.46</v>
          </cell>
          <cell r="AP1204">
            <v>0</v>
          </cell>
          <cell r="AQ1204">
            <v>1285</v>
          </cell>
          <cell r="AR1204">
            <v>0</v>
          </cell>
          <cell r="AS1204">
            <v>0</v>
          </cell>
          <cell r="AT1204">
            <v>0</v>
          </cell>
          <cell r="AU1204">
            <v>0</v>
          </cell>
        </row>
        <row r="1205">
          <cell r="A1205">
            <v>1092</v>
          </cell>
          <cell r="B1205" t="str">
            <v>RUSSIS</v>
          </cell>
          <cell r="C1205" t="str">
            <v>JULIEN</v>
          </cell>
          <cell r="D1205" t="str">
            <v>TRAPPES</v>
          </cell>
          <cell r="E1205">
            <v>1</v>
          </cell>
          <cell r="F1205" t="str">
            <v>NUMERICABLE</v>
          </cell>
          <cell r="I1205" t="str">
            <v>FTCN905001</v>
          </cell>
          <cell r="J1205">
            <v>100</v>
          </cell>
          <cell r="K1205">
            <v>37599</v>
          </cell>
          <cell r="L1205" t="str">
            <v>ATTACHE COMMERCIAL</v>
          </cell>
          <cell r="M1205" t="str">
            <v>EMPLOYE</v>
          </cell>
          <cell r="N1205" t="str">
            <v>D</v>
          </cell>
          <cell r="O1205" t="str">
            <v>CDI</v>
          </cell>
          <cell r="P1205">
            <v>166.83</v>
          </cell>
          <cell r="Q1205">
            <v>1100</v>
          </cell>
          <cell r="R1205">
            <v>601.17999999999995</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1981.42</v>
          </cell>
          <cell r="AN1205">
            <v>110</v>
          </cell>
          <cell r="AO1205">
            <v>1981.42</v>
          </cell>
          <cell r="AP1205">
            <v>0</v>
          </cell>
          <cell r="AQ1205">
            <v>1100</v>
          </cell>
          <cell r="AR1205">
            <v>0</v>
          </cell>
          <cell r="AS1205">
            <v>0</v>
          </cell>
          <cell r="AT1205">
            <v>0</v>
          </cell>
          <cell r="AU1205">
            <v>0</v>
          </cell>
        </row>
        <row r="1206">
          <cell r="A1206">
            <v>452041</v>
          </cell>
          <cell r="B1206" t="str">
            <v>DAVEAU</v>
          </cell>
          <cell r="C1206" t="str">
            <v>LAURENT</v>
          </cell>
          <cell r="D1206" t="str">
            <v>BORDEAUX</v>
          </cell>
          <cell r="E1206">
            <v>1</v>
          </cell>
          <cell r="F1206" t="str">
            <v>NUMERICABLE</v>
          </cell>
          <cell r="I1206" t="str">
            <v>FTCN905001</v>
          </cell>
          <cell r="J1206">
            <v>100</v>
          </cell>
          <cell r="K1206">
            <v>34904</v>
          </cell>
          <cell r="L1206" t="str">
            <v>RESP. EQUIPE ADMIN. CLIENT</v>
          </cell>
          <cell r="M1206" t="str">
            <v>462E</v>
          </cell>
          <cell r="N1206" t="str">
            <v>E</v>
          </cell>
          <cell r="O1206" t="str">
            <v>CDI</v>
          </cell>
          <cell r="P1206">
            <v>151.57</v>
          </cell>
          <cell r="Q1206">
            <v>2493.39</v>
          </cell>
          <cell r="R1206">
            <v>508.97</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106.89</v>
          </cell>
          <cell r="AN1206">
            <v>249.34</v>
          </cell>
          <cell r="AO1206">
            <v>106.89</v>
          </cell>
          <cell r="AP1206">
            <v>0</v>
          </cell>
          <cell r="AQ1206">
            <v>2493.39</v>
          </cell>
          <cell r="AR1206">
            <v>0</v>
          </cell>
          <cell r="AS1206">
            <v>0</v>
          </cell>
          <cell r="AT1206">
            <v>0</v>
          </cell>
          <cell r="AU1206">
            <v>0</v>
          </cell>
        </row>
        <row r="1207">
          <cell r="A1207">
            <v>452043</v>
          </cell>
          <cell r="B1207" t="str">
            <v>FELZINE</v>
          </cell>
          <cell r="C1207" t="str">
            <v>STEPHANIE</v>
          </cell>
          <cell r="D1207" t="str">
            <v>ANGERS</v>
          </cell>
          <cell r="E1207">
            <v>1</v>
          </cell>
          <cell r="F1207" t="str">
            <v>NUMERICABLE</v>
          </cell>
          <cell r="G1207" t="str">
            <v>DIRECTION REGIONALE</v>
          </cell>
          <cell r="I1207" t="str">
            <v>FTCN905001</v>
          </cell>
          <cell r="J1207">
            <v>100</v>
          </cell>
          <cell r="K1207">
            <v>34943</v>
          </cell>
          <cell r="L1207" t="str">
            <v>ASSIST. DE DIRECTION</v>
          </cell>
          <cell r="M1207">
            <v>461</v>
          </cell>
          <cell r="N1207" t="str">
            <v>DB</v>
          </cell>
          <cell r="O1207" t="str">
            <v>CDI</v>
          </cell>
          <cell r="P1207">
            <v>166.83</v>
          </cell>
          <cell r="Q1207">
            <v>2078</v>
          </cell>
          <cell r="R1207">
            <v>1100.81</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21.74</v>
          </cell>
          <cell r="AN1207">
            <v>199.46</v>
          </cell>
          <cell r="AO1207">
            <v>0</v>
          </cell>
          <cell r="AP1207">
            <v>0</v>
          </cell>
          <cell r="AQ1207">
            <v>2099.7399999999998</v>
          </cell>
          <cell r="AR1207">
            <v>0</v>
          </cell>
          <cell r="AS1207">
            <v>0</v>
          </cell>
          <cell r="AT1207">
            <v>0</v>
          </cell>
          <cell r="AU1207">
            <v>0</v>
          </cell>
        </row>
        <row r="1208">
          <cell r="A1208">
            <v>503006</v>
          </cell>
          <cell r="B1208" t="str">
            <v>BOUSSARD</v>
          </cell>
          <cell r="C1208" t="str">
            <v>FLORENCE</v>
          </cell>
          <cell r="D1208" t="str">
            <v>METZ</v>
          </cell>
          <cell r="E1208">
            <v>1</v>
          </cell>
          <cell r="F1208" t="str">
            <v>NUMERICABLE</v>
          </cell>
          <cell r="I1208" t="str">
            <v>FTCN905001</v>
          </cell>
          <cell r="J1208">
            <v>100</v>
          </cell>
          <cell r="K1208">
            <v>35370</v>
          </cell>
          <cell r="L1208" t="str">
            <v>CONSEIL. COMMERCIAL</v>
          </cell>
          <cell r="M1208" t="str">
            <v>463E</v>
          </cell>
          <cell r="N1208" t="str">
            <v>C</v>
          </cell>
          <cell r="O1208" t="str">
            <v>CDI</v>
          </cell>
          <cell r="P1208">
            <v>166.83</v>
          </cell>
          <cell r="Q1208">
            <v>1791</v>
          </cell>
          <cell r="R1208">
            <v>319.52</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-99.36</v>
          </cell>
          <cell r="AN1208">
            <v>179.11</v>
          </cell>
          <cell r="AO1208">
            <v>-99.36</v>
          </cell>
          <cell r="AP1208">
            <v>0</v>
          </cell>
          <cell r="AQ1208">
            <v>1791</v>
          </cell>
          <cell r="AR1208">
            <v>0</v>
          </cell>
          <cell r="AS1208">
            <v>0</v>
          </cell>
          <cell r="AT1208">
            <v>0</v>
          </cell>
          <cell r="AU1208">
            <v>0</v>
          </cell>
        </row>
        <row r="1209">
          <cell r="A1209">
            <v>503032</v>
          </cell>
          <cell r="B1209" t="str">
            <v>SCHNEIDER</v>
          </cell>
          <cell r="C1209" t="str">
            <v>LILIANE</v>
          </cell>
          <cell r="D1209" t="str">
            <v>METZ</v>
          </cell>
          <cell r="E1209">
            <v>1</v>
          </cell>
          <cell r="F1209" t="str">
            <v>NUMERICABLE</v>
          </cell>
          <cell r="I1209" t="str">
            <v>FTCN905001</v>
          </cell>
          <cell r="J1209">
            <v>100</v>
          </cell>
          <cell r="K1209">
            <v>35370</v>
          </cell>
          <cell r="L1209" t="str">
            <v>GESTION. ADMIN. CLIENT</v>
          </cell>
          <cell r="M1209" t="str">
            <v>463E</v>
          </cell>
          <cell r="N1209" t="str">
            <v>C</v>
          </cell>
          <cell r="O1209" t="str">
            <v>CDI</v>
          </cell>
          <cell r="P1209">
            <v>75.83</v>
          </cell>
          <cell r="Q1209">
            <v>848.9</v>
          </cell>
          <cell r="R1209">
            <v>397.48</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8.9499999999999993</v>
          </cell>
          <cell r="AN1209">
            <v>81.48</v>
          </cell>
          <cell r="AO1209">
            <v>0</v>
          </cell>
          <cell r="AP1209">
            <v>0</v>
          </cell>
          <cell r="AQ1209">
            <v>857.85</v>
          </cell>
          <cell r="AR1209">
            <v>0</v>
          </cell>
          <cell r="AS1209">
            <v>0</v>
          </cell>
          <cell r="AT1209">
            <v>0</v>
          </cell>
          <cell r="AU1209">
            <v>0</v>
          </cell>
        </row>
        <row r="1210">
          <cell r="A1210">
            <v>503050</v>
          </cell>
          <cell r="B1210" t="str">
            <v>LOPEZ</v>
          </cell>
          <cell r="C1210" t="str">
            <v>MICHEL</v>
          </cell>
          <cell r="D1210" t="str">
            <v>METZ</v>
          </cell>
          <cell r="E1210">
            <v>1</v>
          </cell>
          <cell r="F1210" t="str">
            <v>NUMERICABLE</v>
          </cell>
          <cell r="G1210" t="str">
            <v>BOUTIQUE</v>
          </cell>
          <cell r="H1210" t="str">
            <v>BEKHALED</v>
          </cell>
          <cell r="I1210" t="str">
            <v>ESTR300001</v>
          </cell>
          <cell r="J1210">
            <v>100</v>
          </cell>
          <cell r="K1210">
            <v>35856</v>
          </cell>
          <cell r="L1210" t="str">
            <v>TECHNICIEN</v>
          </cell>
          <cell r="M1210" t="str">
            <v>478D</v>
          </cell>
          <cell r="N1210" t="str">
            <v>C</v>
          </cell>
          <cell r="O1210" t="str">
            <v>CDI</v>
          </cell>
          <cell r="P1210">
            <v>166.83</v>
          </cell>
          <cell r="Q1210">
            <v>1835</v>
          </cell>
          <cell r="R1210">
            <v>534.19000000000005</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-287</v>
          </cell>
          <cell r="AL1210">
            <v>200</v>
          </cell>
          <cell r="AM1210">
            <v>0</v>
          </cell>
          <cell r="AN1210">
            <v>174.98</v>
          </cell>
          <cell r="AO1210">
            <v>0</v>
          </cell>
          <cell r="AP1210">
            <v>0</v>
          </cell>
          <cell r="AQ1210">
            <v>1835</v>
          </cell>
          <cell r="AR1210">
            <v>200</v>
          </cell>
          <cell r="AS1210">
            <v>-287</v>
          </cell>
          <cell r="AT1210">
            <v>0</v>
          </cell>
          <cell r="AU1210">
            <v>0</v>
          </cell>
        </row>
        <row r="1211">
          <cell r="A1211">
            <v>952058</v>
          </cell>
          <cell r="B1211" t="str">
            <v>CASIMIR</v>
          </cell>
          <cell r="C1211" t="str">
            <v>BRUNO</v>
          </cell>
          <cell r="D1211" t="str">
            <v>MARSEILLE</v>
          </cell>
          <cell r="E1211">
            <v>1</v>
          </cell>
          <cell r="F1211" t="str">
            <v>NUMERICABLE</v>
          </cell>
          <cell r="I1211" t="str">
            <v>FTCN905001</v>
          </cell>
          <cell r="J1211">
            <v>100</v>
          </cell>
          <cell r="K1211">
            <v>34747</v>
          </cell>
          <cell r="L1211" t="str">
            <v>ATTACHE COMMERCIAL</v>
          </cell>
          <cell r="M1211" t="str">
            <v>CADRE</v>
          </cell>
          <cell r="N1211" t="str">
            <v>D</v>
          </cell>
          <cell r="O1211" t="str">
            <v>CDI</v>
          </cell>
          <cell r="P1211">
            <v>166.83</v>
          </cell>
          <cell r="Q1211">
            <v>2655.97</v>
          </cell>
          <cell r="R1211">
            <v>-1937.71</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1190.3</v>
          </cell>
          <cell r="AN1211">
            <v>128.49</v>
          </cell>
          <cell r="AO1211">
            <v>1190.3</v>
          </cell>
          <cell r="AP1211">
            <v>0</v>
          </cell>
          <cell r="AQ1211">
            <v>1285</v>
          </cell>
          <cell r="AR1211">
            <v>0</v>
          </cell>
          <cell r="AS1211">
            <v>0</v>
          </cell>
          <cell r="AT1211">
            <v>0</v>
          </cell>
          <cell r="AU1211">
            <v>0</v>
          </cell>
        </row>
        <row r="1212">
          <cell r="A1212">
            <v>952317</v>
          </cell>
          <cell r="B1212" t="str">
            <v>HOVSEPIAN</v>
          </cell>
          <cell r="C1212" t="str">
            <v>DOMINIQUE</v>
          </cell>
          <cell r="D1212" t="str">
            <v>MARSEILLE</v>
          </cell>
          <cell r="E1212">
            <v>1</v>
          </cell>
          <cell r="F1212" t="str">
            <v>NUMERICABLE</v>
          </cell>
          <cell r="G1212" t="str">
            <v>DIRECTION REGIONALE</v>
          </cell>
          <cell r="H1212" t="str">
            <v>CHAPELAT</v>
          </cell>
          <cell r="I1212" t="str">
            <v>SUES520001</v>
          </cell>
          <cell r="J1212">
            <v>100</v>
          </cell>
          <cell r="K1212">
            <v>35775</v>
          </cell>
          <cell r="L1212" t="str">
            <v>ASSIST. DE DIRECTION</v>
          </cell>
          <cell r="M1212">
            <v>461</v>
          </cell>
          <cell r="N1212" t="str">
            <v>DB</v>
          </cell>
          <cell r="O1212" t="str">
            <v>CDI</v>
          </cell>
          <cell r="P1212">
            <v>166.83</v>
          </cell>
          <cell r="Q1212">
            <v>2350</v>
          </cell>
          <cell r="R1212">
            <v>1503.52</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313.66000000000003</v>
          </cell>
          <cell r="AO1212">
            <v>0</v>
          </cell>
          <cell r="AP1212">
            <v>0</v>
          </cell>
          <cell r="AQ1212">
            <v>2363.69</v>
          </cell>
          <cell r="AR1212">
            <v>0</v>
          </cell>
          <cell r="AS1212">
            <v>0</v>
          </cell>
          <cell r="AT1212">
            <v>0</v>
          </cell>
          <cell r="AU1212">
            <v>0</v>
          </cell>
        </row>
        <row r="1213">
          <cell r="A1213">
            <v>20000943</v>
          </cell>
          <cell r="B1213" t="str">
            <v>GALAND</v>
          </cell>
          <cell r="C1213" t="str">
            <v>NICOLAS</v>
          </cell>
          <cell r="D1213" t="str">
            <v>MARSEILLE</v>
          </cell>
          <cell r="E1213">
            <v>1</v>
          </cell>
          <cell r="F1213" t="str">
            <v>NUMERICABLE</v>
          </cell>
          <cell r="G1213" t="str">
            <v>COLLECTIF</v>
          </cell>
          <cell r="H1213" t="str">
            <v>MARTINEZ B</v>
          </cell>
          <cell r="I1213" t="str">
            <v>SUES510001</v>
          </cell>
          <cell r="J1213">
            <v>100</v>
          </cell>
          <cell r="K1213">
            <v>37277</v>
          </cell>
          <cell r="L1213" t="str">
            <v>ATTACHE COMMERCIAL</v>
          </cell>
          <cell r="N1213" t="str">
            <v>DB</v>
          </cell>
          <cell r="O1213" t="str">
            <v>CDI</v>
          </cell>
          <cell r="P1213">
            <v>166.83</v>
          </cell>
          <cell r="Q1213">
            <v>1800</v>
          </cell>
          <cell r="R1213">
            <v>1968.58</v>
          </cell>
          <cell r="S1213">
            <v>0</v>
          </cell>
          <cell r="T1213">
            <v>1000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633.63</v>
          </cell>
          <cell r="AN1213">
            <v>201.76</v>
          </cell>
          <cell r="AO1213">
            <v>0</v>
          </cell>
          <cell r="AP1213">
            <v>0</v>
          </cell>
          <cell r="AQ1213">
            <v>2433.63</v>
          </cell>
          <cell r="AR1213">
            <v>0</v>
          </cell>
          <cell r="AS1213">
            <v>818.62</v>
          </cell>
          <cell r="AT1213">
            <v>0</v>
          </cell>
          <cell r="AU1213">
            <v>0</v>
          </cell>
        </row>
        <row r="1214">
          <cell r="A1214">
            <v>377</v>
          </cell>
          <cell r="B1214" t="str">
            <v>JEANNEAU</v>
          </cell>
          <cell r="C1214" t="str">
            <v>STEPHANIE</v>
          </cell>
          <cell r="D1214" t="str">
            <v>TOURS</v>
          </cell>
          <cell r="E1214">
            <v>1</v>
          </cell>
          <cell r="F1214" t="str">
            <v>NUMERICABLE</v>
          </cell>
          <cell r="G1214" t="str">
            <v>BOUTIQUE</v>
          </cell>
          <cell r="H1214" t="str">
            <v>JAUD</v>
          </cell>
          <cell r="I1214" t="str">
            <v>OUES507001</v>
          </cell>
          <cell r="J1214">
            <v>100</v>
          </cell>
          <cell r="K1214">
            <v>36586</v>
          </cell>
          <cell r="L1214" t="str">
            <v>VENDEUR POINT DE VENTE</v>
          </cell>
          <cell r="M1214" t="str">
            <v>463E</v>
          </cell>
          <cell r="N1214" t="str">
            <v>C</v>
          </cell>
          <cell r="O1214" t="str">
            <v>CDI</v>
          </cell>
          <cell r="P1214">
            <v>166.83</v>
          </cell>
          <cell r="Q1214">
            <v>1537</v>
          </cell>
          <cell r="R1214">
            <v>816.64</v>
          </cell>
          <cell r="S1214">
            <v>0</v>
          </cell>
          <cell r="T1214">
            <v>0</v>
          </cell>
          <cell r="U1214">
            <v>0</v>
          </cell>
          <cell r="V1214">
            <v>0</v>
          </cell>
          <cell r="W1214">
            <v>384</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198.51</v>
          </cell>
          <cell r="AO1214">
            <v>0</v>
          </cell>
          <cell r="AP1214">
            <v>0</v>
          </cell>
          <cell r="AQ1214">
            <v>1201.1300000000001</v>
          </cell>
          <cell r="AR1214">
            <v>0</v>
          </cell>
          <cell r="AS1214">
            <v>0</v>
          </cell>
          <cell r="AT1214">
            <v>0</v>
          </cell>
          <cell r="AU1214">
            <v>0</v>
          </cell>
        </row>
        <row r="1215">
          <cell r="A1215">
            <v>770</v>
          </cell>
          <cell r="B1215" t="str">
            <v>BENHAMOU</v>
          </cell>
          <cell r="C1215" t="str">
            <v>NISSIM</v>
          </cell>
          <cell r="D1215" t="str">
            <v>MARSEILLE</v>
          </cell>
          <cell r="E1215">
            <v>1</v>
          </cell>
          <cell r="F1215" t="str">
            <v>NUMERICABLE</v>
          </cell>
          <cell r="I1215" t="str">
            <v>FTCN905001</v>
          </cell>
          <cell r="J1215">
            <v>100</v>
          </cell>
          <cell r="K1215">
            <v>37060</v>
          </cell>
          <cell r="L1215" t="str">
            <v>ATTACHE COMMERCIAL</v>
          </cell>
          <cell r="M1215" t="str">
            <v>CADRE</v>
          </cell>
          <cell r="N1215" t="str">
            <v>D</v>
          </cell>
          <cell r="O1215" t="str">
            <v>CDI</v>
          </cell>
          <cell r="P1215">
            <v>166.83</v>
          </cell>
          <cell r="Q1215">
            <v>1285</v>
          </cell>
          <cell r="R1215">
            <v>136.61000000000001</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row>
        <row r="1216">
          <cell r="A1216">
            <v>91</v>
          </cell>
          <cell r="B1216" t="str">
            <v>PANNETRAT</v>
          </cell>
          <cell r="C1216" t="str">
            <v>JEAN PIERRE</v>
          </cell>
          <cell r="D1216" t="str">
            <v>METZ</v>
          </cell>
          <cell r="E1216">
            <v>1</v>
          </cell>
          <cell r="F1216" t="str">
            <v>NUMERICABLE</v>
          </cell>
          <cell r="J1216">
            <v>0</v>
          </cell>
          <cell r="K1216">
            <v>36332</v>
          </cell>
          <cell r="L1216" t="str">
            <v>CONSEIL. COMMERCIAL</v>
          </cell>
          <cell r="M1216" t="str">
            <v>463E</v>
          </cell>
          <cell r="N1216" t="str">
            <v>D</v>
          </cell>
          <cell r="O1216" t="str">
            <v>CDI</v>
          </cell>
          <cell r="P1216">
            <v>166.83</v>
          </cell>
          <cell r="Q1216">
            <v>950</v>
          </cell>
          <cell r="R1216">
            <v>626.62</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2485</v>
          </cell>
          <cell r="AT1216">
            <v>0</v>
          </cell>
          <cell r="AU1216">
            <v>0</v>
          </cell>
        </row>
        <row r="1217">
          <cell r="A1217">
            <v>1358</v>
          </cell>
          <cell r="B1217" t="str">
            <v>DELSART</v>
          </cell>
          <cell r="C1217" t="str">
            <v>AURELIE</v>
          </cell>
          <cell r="D1217" t="str">
            <v>LA MADELEINE</v>
          </cell>
          <cell r="E1217">
            <v>1</v>
          </cell>
          <cell r="F1217" t="str">
            <v>NUMERICABLE</v>
          </cell>
          <cell r="G1217" t="str">
            <v>BOUTIQUE</v>
          </cell>
          <cell r="H1217" t="str">
            <v>GUIONNET</v>
          </cell>
          <cell r="I1217" t="str">
            <v>NPCA507001</v>
          </cell>
          <cell r="J1217">
            <v>100</v>
          </cell>
          <cell r="K1217">
            <v>38603</v>
          </cell>
          <cell r="L1217" t="str">
            <v>VENDEUR POINT DE VENTE</v>
          </cell>
          <cell r="M1217" t="str">
            <v>463E</v>
          </cell>
          <cell r="N1217" t="str">
            <v>C</v>
          </cell>
          <cell r="O1217" t="str">
            <v>CDI</v>
          </cell>
          <cell r="P1217">
            <v>166.83</v>
          </cell>
          <cell r="Q1217">
            <v>1600</v>
          </cell>
          <cell r="R1217">
            <v>1460.94</v>
          </cell>
          <cell r="S1217">
            <v>0</v>
          </cell>
          <cell r="T1217">
            <v>1166.3900000000001</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276.64</v>
          </cell>
          <cell r="AO1217">
            <v>0</v>
          </cell>
          <cell r="AP1217">
            <v>0</v>
          </cell>
          <cell r="AQ1217">
            <v>1600</v>
          </cell>
          <cell r="AR1217">
            <v>0</v>
          </cell>
          <cell r="AS1217">
            <v>0</v>
          </cell>
          <cell r="AT1217">
            <v>0</v>
          </cell>
          <cell r="AU1217">
            <v>0</v>
          </cell>
        </row>
        <row r="1218">
          <cell r="A1218">
            <v>1353</v>
          </cell>
          <cell r="B1218" t="str">
            <v>NEKADI</v>
          </cell>
          <cell r="C1218" t="str">
            <v>ISABELLE</v>
          </cell>
          <cell r="D1218" t="str">
            <v>ANGERS</v>
          </cell>
          <cell r="E1218">
            <v>1</v>
          </cell>
          <cell r="F1218" t="str">
            <v>NUMERICABLE</v>
          </cell>
          <cell r="G1218" t="str">
            <v>BOUTIQUE</v>
          </cell>
          <cell r="H1218" t="str">
            <v>PAVAGEAU</v>
          </cell>
          <cell r="I1218" t="str">
            <v>OUES507001</v>
          </cell>
          <cell r="J1218">
            <v>100</v>
          </cell>
          <cell r="K1218">
            <v>38593</v>
          </cell>
          <cell r="L1218" t="str">
            <v>VENDEUR POINT DE VENTE</v>
          </cell>
          <cell r="M1218" t="str">
            <v>463E</v>
          </cell>
          <cell r="N1218" t="str">
            <v>C</v>
          </cell>
          <cell r="O1218" t="str">
            <v>CDI</v>
          </cell>
          <cell r="P1218">
            <v>166.83</v>
          </cell>
          <cell r="Q1218">
            <v>1465.75</v>
          </cell>
          <cell r="R1218">
            <v>680.36</v>
          </cell>
          <cell r="S1218">
            <v>0</v>
          </cell>
          <cell r="T1218">
            <v>369</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183.47</v>
          </cell>
          <cell r="AO1218">
            <v>0</v>
          </cell>
          <cell r="AP1218">
            <v>-456.15</v>
          </cell>
          <cell r="AQ1218">
            <v>1389.17</v>
          </cell>
          <cell r="AR1218">
            <v>0</v>
          </cell>
          <cell r="AS1218">
            <v>0</v>
          </cell>
          <cell r="AT1218">
            <v>0</v>
          </cell>
          <cell r="AU1218">
            <v>0</v>
          </cell>
        </row>
        <row r="1219">
          <cell r="A1219" t="str">
            <v>000A1521</v>
          </cell>
          <cell r="B1219" t="str">
            <v>FAEDI</v>
          </cell>
          <cell r="C1219" t="str">
            <v>FREDERIQUE</v>
          </cell>
          <cell r="D1219" t="str">
            <v>METZ</v>
          </cell>
          <cell r="E1219">
            <v>19</v>
          </cell>
          <cell r="F1219" t="str">
            <v>NUMERICABLE  (TCC)</v>
          </cell>
          <cell r="G1219" t="str">
            <v>TECHNIQUE</v>
          </cell>
          <cell r="H1219" t="str">
            <v>SCHWEITZER</v>
          </cell>
          <cell r="I1219" t="str">
            <v>ESTR300001</v>
          </cell>
          <cell r="J1219">
            <v>100</v>
          </cell>
          <cell r="K1219">
            <v>38626</v>
          </cell>
          <cell r="L1219" t="str">
            <v>TECH. EXP. NIV. 2</v>
          </cell>
          <cell r="M1219" t="str">
            <v>TSM</v>
          </cell>
          <cell r="N1219" t="str">
            <v>D</v>
          </cell>
          <cell r="O1219" t="str">
            <v>CDI</v>
          </cell>
          <cell r="P1219">
            <v>0</v>
          </cell>
          <cell r="Q1219">
            <v>1500</v>
          </cell>
          <cell r="R1219">
            <v>1556.6</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256.5</v>
          </cell>
          <cell r="AN1219">
            <v>0</v>
          </cell>
          <cell r="AO1219">
            <v>0</v>
          </cell>
          <cell r="AP1219">
            <v>0</v>
          </cell>
          <cell r="AQ1219">
            <v>706.5</v>
          </cell>
          <cell r="AR1219">
            <v>0</v>
          </cell>
          <cell r="AS1219">
            <v>0</v>
          </cell>
          <cell r="AT1219">
            <v>0</v>
          </cell>
          <cell r="AU1219">
            <v>0</v>
          </cell>
        </row>
        <row r="1220">
          <cell r="A1220">
            <v>1365</v>
          </cell>
          <cell r="B1220" t="str">
            <v>BARICHEFF</v>
          </cell>
          <cell r="C1220" t="str">
            <v>GERAUD</v>
          </cell>
          <cell r="D1220" t="str">
            <v>MONTPELLIER</v>
          </cell>
          <cell r="E1220">
            <v>1</v>
          </cell>
          <cell r="F1220" t="str">
            <v>NUMERICABLE</v>
          </cell>
          <cell r="G1220" t="str">
            <v>BOUTIQUE</v>
          </cell>
          <cell r="H1220" t="str">
            <v>KERANGUEVEN</v>
          </cell>
          <cell r="I1220" t="str">
            <v>SUES507001</v>
          </cell>
          <cell r="J1220">
            <v>100</v>
          </cell>
          <cell r="K1220">
            <v>38626</v>
          </cell>
          <cell r="L1220" t="str">
            <v>CONSEILLER TECHNIQUE BOUTIQUE</v>
          </cell>
          <cell r="M1220" t="str">
            <v>462E</v>
          </cell>
          <cell r="N1220" t="str">
            <v>C</v>
          </cell>
          <cell r="O1220" t="str">
            <v>CDD</v>
          </cell>
          <cell r="P1220">
            <v>166.83</v>
          </cell>
          <cell r="Q1220">
            <v>1450</v>
          </cell>
          <cell r="R1220">
            <v>536.13</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145</v>
          </cell>
          <cell r="AO1220">
            <v>0</v>
          </cell>
          <cell r="AP1220">
            <v>0</v>
          </cell>
          <cell r="AQ1220">
            <v>1450</v>
          </cell>
          <cell r="AR1220">
            <v>0</v>
          </cell>
          <cell r="AS1220">
            <v>0</v>
          </cell>
          <cell r="AT1220">
            <v>0</v>
          </cell>
          <cell r="AU1220">
            <v>0</v>
          </cell>
        </row>
        <row r="1221">
          <cell r="A1221">
            <v>1362</v>
          </cell>
          <cell r="B1221" t="str">
            <v>BENAMAR</v>
          </cell>
          <cell r="C1221" t="str">
            <v>SAID</v>
          </cell>
          <cell r="D1221" t="str">
            <v>METZ</v>
          </cell>
          <cell r="E1221">
            <v>1</v>
          </cell>
          <cell r="F1221" t="str">
            <v>NUMERICABLE</v>
          </cell>
          <cell r="G1221" t="str">
            <v>BOUTIQUE</v>
          </cell>
          <cell r="H1221" t="str">
            <v>BEKHALED</v>
          </cell>
          <cell r="I1221" t="str">
            <v>ESTR507001</v>
          </cell>
          <cell r="J1221">
            <v>100</v>
          </cell>
          <cell r="K1221">
            <v>38628</v>
          </cell>
          <cell r="L1221" t="str">
            <v>CONSEILLER(E) CLT BOUTIQUE</v>
          </cell>
          <cell r="M1221" t="str">
            <v>EMPLOYE</v>
          </cell>
          <cell r="N1221" t="str">
            <v>C</v>
          </cell>
          <cell r="O1221" t="str">
            <v>CDI</v>
          </cell>
          <cell r="P1221">
            <v>166.83</v>
          </cell>
          <cell r="Q1221">
            <v>1400</v>
          </cell>
          <cell r="R1221">
            <v>1273.43</v>
          </cell>
          <cell r="S1221">
            <v>0</v>
          </cell>
          <cell r="T1221">
            <v>0</v>
          </cell>
          <cell r="U1221">
            <v>0</v>
          </cell>
          <cell r="V1221">
            <v>0</v>
          </cell>
          <cell r="W1221">
            <v>866</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226.6</v>
          </cell>
          <cell r="AO1221">
            <v>0</v>
          </cell>
          <cell r="AP1221">
            <v>0</v>
          </cell>
          <cell r="AQ1221">
            <v>1400</v>
          </cell>
          <cell r="AR1221">
            <v>0</v>
          </cell>
          <cell r="AS1221">
            <v>0</v>
          </cell>
          <cell r="AT1221">
            <v>0</v>
          </cell>
          <cell r="AU1221">
            <v>0</v>
          </cell>
        </row>
        <row r="1222">
          <cell r="A1222">
            <v>30</v>
          </cell>
          <cell r="B1222" t="str">
            <v>COMINARDI</v>
          </cell>
          <cell r="C1222" t="str">
            <v>BERTRAND</v>
          </cell>
          <cell r="D1222" t="str">
            <v>BORDEAUX</v>
          </cell>
          <cell r="E1222">
            <v>1</v>
          </cell>
          <cell r="F1222" t="str">
            <v>NUMERICABLE</v>
          </cell>
          <cell r="G1222" t="str">
            <v>VAD RGP</v>
          </cell>
          <cell r="H1222" t="str">
            <v>GALERA</v>
          </cell>
          <cell r="I1222" t="str">
            <v>SUOU500001</v>
          </cell>
          <cell r="J1222">
            <v>100</v>
          </cell>
          <cell r="K1222">
            <v>33861</v>
          </cell>
          <cell r="L1222" t="str">
            <v>RESPONSABLE CIAL GRAND PUBLIC</v>
          </cell>
          <cell r="M1222" t="str">
            <v>374C</v>
          </cell>
          <cell r="N1222" t="str">
            <v>E</v>
          </cell>
          <cell r="O1222" t="str">
            <v>CDI</v>
          </cell>
          <cell r="P1222">
            <v>151.57</v>
          </cell>
          <cell r="Q1222">
            <v>3083.33</v>
          </cell>
          <cell r="R1222">
            <v>2842.77</v>
          </cell>
          <cell r="S1222">
            <v>0</v>
          </cell>
          <cell r="T1222">
            <v>2174.46</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588.9</v>
          </cell>
          <cell r="AO1222">
            <v>0</v>
          </cell>
          <cell r="AP1222">
            <v>0</v>
          </cell>
          <cell r="AQ1222">
            <v>3338.49</v>
          </cell>
          <cell r="AR1222">
            <v>0</v>
          </cell>
          <cell r="AS1222">
            <v>0</v>
          </cell>
          <cell r="AT1222">
            <v>0</v>
          </cell>
          <cell r="AU1222">
            <v>0</v>
          </cell>
        </row>
        <row r="1223">
          <cell r="A1223">
            <v>34</v>
          </cell>
          <cell r="B1223" t="str">
            <v>CROCE</v>
          </cell>
          <cell r="C1223" t="str">
            <v>NATHALIE</v>
          </cell>
          <cell r="D1223" t="str">
            <v>BORDEAUX</v>
          </cell>
          <cell r="E1223">
            <v>1</v>
          </cell>
          <cell r="F1223" t="str">
            <v>NUMERICABLE</v>
          </cell>
          <cell r="I1223" t="str">
            <v>FTCN905001</v>
          </cell>
          <cell r="J1223">
            <v>100</v>
          </cell>
          <cell r="K1223">
            <v>34891</v>
          </cell>
          <cell r="L1223" t="str">
            <v>GESTION RACCORDEMENT</v>
          </cell>
          <cell r="M1223" t="str">
            <v>633B</v>
          </cell>
          <cell r="N1223" t="str">
            <v>C</v>
          </cell>
          <cell r="O1223" t="str">
            <v>CDI</v>
          </cell>
          <cell r="P1223">
            <v>166.83</v>
          </cell>
          <cell r="Q1223">
            <v>1537</v>
          </cell>
          <cell r="R1223">
            <v>-679.94</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-156.34</v>
          </cell>
          <cell r="AN1223">
            <v>153.69</v>
          </cell>
          <cell r="AO1223">
            <v>-156.34</v>
          </cell>
          <cell r="AP1223">
            <v>0</v>
          </cell>
          <cell r="AQ1223">
            <v>1537</v>
          </cell>
          <cell r="AR1223">
            <v>0</v>
          </cell>
          <cell r="AS1223">
            <v>0</v>
          </cell>
          <cell r="AT1223">
            <v>0</v>
          </cell>
          <cell r="AU1223">
            <v>0</v>
          </cell>
        </row>
        <row r="1224">
          <cell r="A1224">
            <v>55</v>
          </cell>
          <cell r="B1224" t="str">
            <v>ITHIER</v>
          </cell>
          <cell r="C1224" t="str">
            <v>YANNICK</v>
          </cell>
          <cell r="D1224" t="str">
            <v>BORDEAUX</v>
          </cell>
          <cell r="E1224">
            <v>1</v>
          </cell>
          <cell r="F1224" t="str">
            <v>NUMERICABLE</v>
          </cell>
          <cell r="G1224" t="str">
            <v>COLLECTIF</v>
          </cell>
          <cell r="H1224" t="str">
            <v>DARME</v>
          </cell>
          <cell r="I1224" t="str">
            <v>SUOU510001</v>
          </cell>
          <cell r="J1224">
            <v>100</v>
          </cell>
          <cell r="K1224">
            <v>36185</v>
          </cell>
          <cell r="L1224" t="str">
            <v>CONSEIL.COMMER.COLL</v>
          </cell>
          <cell r="M1224" t="str">
            <v>463E</v>
          </cell>
          <cell r="N1224" t="str">
            <v>DB</v>
          </cell>
          <cell r="O1224" t="str">
            <v>CDI</v>
          </cell>
          <cell r="P1224">
            <v>166.83</v>
          </cell>
          <cell r="Q1224">
            <v>1770.71</v>
          </cell>
          <cell r="R1224">
            <v>1867.89</v>
          </cell>
          <cell r="S1224">
            <v>0</v>
          </cell>
          <cell r="T1224">
            <v>1500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327.07</v>
          </cell>
          <cell r="AO1224">
            <v>0</v>
          </cell>
          <cell r="AP1224">
            <v>0</v>
          </cell>
          <cell r="AQ1224">
            <v>1770.71</v>
          </cell>
          <cell r="AR1224">
            <v>228.67</v>
          </cell>
          <cell r="AS1224">
            <v>0</v>
          </cell>
          <cell r="AT1224">
            <v>0</v>
          </cell>
          <cell r="AU1224">
            <v>0</v>
          </cell>
        </row>
        <row r="1225">
          <cell r="A1225">
            <v>5020013</v>
          </cell>
          <cell r="B1225" t="str">
            <v>VANBALINGHEM</v>
          </cell>
          <cell r="C1225" t="str">
            <v>TONY</v>
          </cell>
          <cell r="D1225" t="str">
            <v>DUNKERQUE</v>
          </cell>
          <cell r="E1225">
            <v>1</v>
          </cell>
          <cell r="F1225" t="str">
            <v>NUMERICABLE</v>
          </cell>
          <cell r="I1225" t="str">
            <v>FTCN905001</v>
          </cell>
          <cell r="J1225">
            <v>100</v>
          </cell>
          <cell r="K1225">
            <v>36311</v>
          </cell>
          <cell r="L1225" t="str">
            <v>ATTACHE COMMERCIAL</v>
          </cell>
          <cell r="M1225" t="str">
            <v>EMPLOYE</v>
          </cell>
          <cell r="N1225" t="str">
            <v>D</v>
          </cell>
          <cell r="O1225" t="str">
            <v>CDI</v>
          </cell>
          <cell r="P1225">
            <v>166.83</v>
          </cell>
          <cell r="Q1225">
            <v>1285</v>
          </cell>
          <cell r="R1225">
            <v>-945.94</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3169.58</v>
          </cell>
          <cell r="AN1225">
            <v>121.65</v>
          </cell>
          <cell r="AO1225">
            <v>3169.58</v>
          </cell>
          <cell r="AP1225">
            <v>0</v>
          </cell>
          <cell r="AQ1225">
            <v>1285</v>
          </cell>
          <cell r="AR1225">
            <v>0</v>
          </cell>
          <cell r="AS1225">
            <v>0</v>
          </cell>
          <cell r="AT1225">
            <v>0</v>
          </cell>
          <cell r="AU1225">
            <v>0</v>
          </cell>
        </row>
        <row r="1226">
          <cell r="A1226">
            <v>20000541</v>
          </cell>
          <cell r="B1226" t="str">
            <v>BEN YAALA</v>
          </cell>
          <cell r="C1226" t="str">
            <v>SAMIR</v>
          </cell>
          <cell r="D1226" t="str">
            <v>SIEGE</v>
          </cell>
          <cell r="E1226">
            <v>1</v>
          </cell>
          <cell r="F1226" t="str">
            <v>NUMERICABLE</v>
          </cell>
          <cell r="G1226" t="str">
            <v>INFORMATIQUE</v>
          </cell>
          <cell r="H1226" t="str">
            <v>DELEBARRE JL</v>
          </cell>
          <cell r="I1226" t="str">
            <v>GENE306001</v>
          </cell>
          <cell r="J1226">
            <v>100</v>
          </cell>
          <cell r="K1226">
            <v>36770</v>
          </cell>
          <cell r="L1226" t="str">
            <v>ADMINISTRATEUR RESEAUX</v>
          </cell>
          <cell r="M1226" t="str">
            <v>478D</v>
          </cell>
          <cell r="N1226" t="str">
            <v>E</v>
          </cell>
          <cell r="O1226" t="str">
            <v>CDI</v>
          </cell>
          <cell r="P1226">
            <v>151.57</v>
          </cell>
          <cell r="Q1226">
            <v>4000</v>
          </cell>
          <cell r="R1226">
            <v>2000.63</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400</v>
          </cell>
          <cell r="AO1226">
            <v>25.75</v>
          </cell>
          <cell r="AP1226">
            <v>0</v>
          </cell>
          <cell r="AQ1226">
            <v>4000</v>
          </cell>
          <cell r="AR1226">
            <v>0</v>
          </cell>
          <cell r="AS1226">
            <v>0</v>
          </cell>
          <cell r="AT1226">
            <v>0</v>
          </cell>
          <cell r="AU1226">
            <v>0</v>
          </cell>
        </row>
        <row r="1227">
          <cell r="A1227" t="str">
            <v>000A1477</v>
          </cell>
          <cell r="B1227" t="str">
            <v>REYNAUD</v>
          </cell>
          <cell r="C1227" t="str">
            <v>THIERRY</v>
          </cell>
          <cell r="D1227" t="str">
            <v>SAINT MARTIN D'HERES</v>
          </cell>
          <cell r="E1227">
            <v>3</v>
          </cell>
          <cell r="F1227" t="str">
            <v>NUMERICABLE</v>
          </cell>
          <cell r="G1227" t="str">
            <v>BOUTIQUE</v>
          </cell>
          <cell r="H1227" t="str">
            <v>MANAI</v>
          </cell>
          <cell r="I1227" t="str">
            <v>RHON507001</v>
          </cell>
          <cell r="J1227">
            <v>100</v>
          </cell>
          <cell r="K1227">
            <v>38747</v>
          </cell>
          <cell r="L1227" t="str">
            <v>CONSEILLER TECHNIQUE BOUTIQUE</v>
          </cell>
          <cell r="M1227" t="str">
            <v>462E</v>
          </cell>
          <cell r="N1227" t="str">
            <v>C</v>
          </cell>
          <cell r="O1227" t="str">
            <v>CDD</v>
          </cell>
          <cell r="P1227">
            <v>166.83</v>
          </cell>
          <cell r="Q1227">
            <v>1386.67</v>
          </cell>
          <cell r="R1227">
            <v>1104.47</v>
          </cell>
          <cell r="S1227">
            <v>0</v>
          </cell>
          <cell r="T1227">
            <v>699.2</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199.92</v>
          </cell>
          <cell r="AO1227">
            <v>0</v>
          </cell>
          <cell r="AP1227">
            <v>0</v>
          </cell>
          <cell r="AQ1227">
            <v>1300</v>
          </cell>
          <cell r="AR1227">
            <v>0</v>
          </cell>
          <cell r="AS1227">
            <v>0</v>
          </cell>
          <cell r="AT1227">
            <v>0</v>
          </cell>
          <cell r="AU1227">
            <v>0</v>
          </cell>
        </row>
        <row r="1228">
          <cell r="A1228" t="str">
            <v>000A1746</v>
          </cell>
          <cell r="B1228" t="str">
            <v>PIGNEAUX DE LAROCHE</v>
          </cell>
          <cell r="C1228" t="str">
            <v>JULIEN</v>
          </cell>
          <cell r="D1228" t="str">
            <v>BORDEAUX</v>
          </cell>
          <cell r="E1228">
            <v>3</v>
          </cell>
          <cell r="F1228" t="str">
            <v>NUMERICABLE</v>
          </cell>
          <cell r="G1228" t="str">
            <v>CLIENTELE</v>
          </cell>
          <cell r="H1228" t="str">
            <v>COMINARDI</v>
          </cell>
          <cell r="I1228" t="str">
            <v>SUOU507001</v>
          </cell>
          <cell r="J1228">
            <v>100</v>
          </cell>
          <cell r="K1228">
            <v>38826</v>
          </cell>
          <cell r="L1228" t="str">
            <v>CONSEILLER CLIENTELE BOUTIQUE</v>
          </cell>
          <cell r="M1228" t="str">
            <v>463E</v>
          </cell>
          <cell r="N1228" t="str">
            <v>C</v>
          </cell>
          <cell r="O1228" t="str">
            <v>CDD</v>
          </cell>
          <cell r="P1228">
            <v>166.83</v>
          </cell>
          <cell r="Q1228">
            <v>0</v>
          </cell>
          <cell r="R1228">
            <v>150.59</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506.4</v>
          </cell>
          <cell r="AR1228">
            <v>0</v>
          </cell>
          <cell r="AS1228">
            <v>0</v>
          </cell>
          <cell r="AT1228">
            <v>0</v>
          </cell>
          <cell r="AU1228">
            <v>0</v>
          </cell>
        </row>
        <row r="1229">
          <cell r="A1229">
            <v>1359</v>
          </cell>
          <cell r="B1229" t="str">
            <v>MARCONE</v>
          </cell>
          <cell r="C1229" t="str">
            <v>CAROLE</v>
          </cell>
          <cell r="D1229" t="str">
            <v>MARSEILLE</v>
          </cell>
          <cell r="E1229">
            <v>1</v>
          </cell>
          <cell r="F1229" t="str">
            <v>NUMERICABLE</v>
          </cell>
          <cell r="G1229" t="str">
            <v>BOUTIQUE</v>
          </cell>
          <cell r="H1229" t="str">
            <v>GRAU</v>
          </cell>
          <cell r="I1229" t="str">
            <v>SUES507001</v>
          </cell>
          <cell r="J1229">
            <v>100</v>
          </cell>
          <cell r="K1229">
            <v>38600</v>
          </cell>
          <cell r="L1229" t="str">
            <v>VENDEUR POINT DE VENTE</v>
          </cell>
          <cell r="M1229" t="str">
            <v>463E</v>
          </cell>
          <cell r="N1229" t="str">
            <v>C</v>
          </cell>
          <cell r="O1229" t="str">
            <v>CDI</v>
          </cell>
          <cell r="P1229">
            <v>166.83</v>
          </cell>
          <cell r="Q1229">
            <v>1450</v>
          </cell>
          <cell r="R1229">
            <v>886.92</v>
          </cell>
          <cell r="S1229">
            <v>0</v>
          </cell>
          <cell r="T1229">
            <v>373.2</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182.31</v>
          </cell>
          <cell r="AO1229">
            <v>0</v>
          </cell>
          <cell r="AP1229">
            <v>0</v>
          </cell>
          <cell r="AQ1229">
            <v>1450</v>
          </cell>
          <cell r="AR1229">
            <v>0</v>
          </cell>
          <cell r="AS1229">
            <v>0</v>
          </cell>
          <cell r="AT1229">
            <v>0</v>
          </cell>
          <cell r="AU1229">
            <v>0</v>
          </cell>
        </row>
        <row r="1230">
          <cell r="A1230" t="str">
            <v>000A1656</v>
          </cell>
          <cell r="B1230" t="str">
            <v>SKURZAK</v>
          </cell>
          <cell r="C1230" t="str">
            <v>LUCILLE</v>
          </cell>
          <cell r="D1230" t="str">
            <v>SAINT MARTIN D'HERES</v>
          </cell>
          <cell r="E1230">
            <v>3</v>
          </cell>
          <cell r="F1230" t="str">
            <v>NUMERICABLE</v>
          </cell>
          <cell r="I1230" t="str">
            <v>RHON507001</v>
          </cell>
          <cell r="J1230">
            <v>100</v>
          </cell>
          <cell r="K1230">
            <v>38775</v>
          </cell>
          <cell r="L1230" t="str">
            <v>CONSEILLER(E) CLT BOUTIQUE</v>
          </cell>
          <cell r="M1230" t="str">
            <v>EMPLOYE</v>
          </cell>
          <cell r="N1230" t="str">
            <v>C</v>
          </cell>
          <cell r="O1230" t="str">
            <v>CDI</v>
          </cell>
          <cell r="P1230">
            <v>166.83</v>
          </cell>
          <cell r="Q1230">
            <v>0</v>
          </cell>
          <cell r="R1230">
            <v>1254.56</v>
          </cell>
          <cell r="S1230">
            <v>0</v>
          </cell>
          <cell r="T1230">
            <v>785</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347.17</v>
          </cell>
          <cell r="AO1230">
            <v>0</v>
          </cell>
          <cell r="AP1230">
            <v>0</v>
          </cell>
          <cell r="AQ1230">
            <v>1300</v>
          </cell>
          <cell r="AR1230">
            <v>0</v>
          </cell>
          <cell r="AS1230">
            <v>0</v>
          </cell>
          <cell r="AT1230">
            <v>0</v>
          </cell>
          <cell r="AU1230">
            <v>0</v>
          </cell>
        </row>
        <row r="1231">
          <cell r="A1231" t="str">
            <v>000A1529</v>
          </cell>
          <cell r="B1231" t="str">
            <v>LOEUILLET</v>
          </cell>
          <cell r="C1231" t="str">
            <v>DENIS</v>
          </cell>
          <cell r="D1231" t="str">
            <v>METZ</v>
          </cell>
          <cell r="E1231">
            <v>19</v>
          </cell>
          <cell r="F1231" t="str">
            <v>NUMERICABLE  (TCC)</v>
          </cell>
          <cell r="I1231" t="str">
            <v>FTCN905001</v>
          </cell>
          <cell r="J1231">
            <v>100</v>
          </cell>
          <cell r="K1231">
            <v>38626</v>
          </cell>
          <cell r="L1231" t="str">
            <v>RESPONSABLE PROJET CABLE</v>
          </cell>
          <cell r="M1231" t="str">
            <v>CADRE</v>
          </cell>
          <cell r="N1231" t="str">
            <v>DB</v>
          </cell>
          <cell r="O1231" t="str">
            <v>CDI</v>
          </cell>
          <cell r="P1231">
            <v>151.57</v>
          </cell>
          <cell r="Q1231">
            <v>3050</v>
          </cell>
          <cell r="R1231">
            <v>-1870.21</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-126.11</v>
          </cell>
          <cell r="AN1231">
            <v>0</v>
          </cell>
          <cell r="AO1231">
            <v>-126.11</v>
          </cell>
          <cell r="AP1231">
            <v>0</v>
          </cell>
          <cell r="AQ1231">
            <v>3050</v>
          </cell>
          <cell r="AR1231">
            <v>0</v>
          </cell>
          <cell r="AS1231">
            <v>0</v>
          </cell>
          <cell r="AT1231">
            <v>0</v>
          </cell>
          <cell r="AU1231">
            <v>0</v>
          </cell>
        </row>
        <row r="1232">
          <cell r="A1232" t="str">
            <v>000A1130</v>
          </cell>
          <cell r="B1232" t="str">
            <v>SOULIERE</v>
          </cell>
          <cell r="C1232" t="str">
            <v>PHILIPPE</v>
          </cell>
          <cell r="D1232" t="str">
            <v>LUDRES</v>
          </cell>
          <cell r="E1232">
            <v>18</v>
          </cell>
          <cell r="F1232" t="str">
            <v>NUMERICABLE</v>
          </cell>
          <cell r="G1232" t="str">
            <v>TRAVAUX</v>
          </cell>
          <cell r="H1232" t="str">
            <v>CHAPELAT</v>
          </cell>
          <cell r="I1232" t="str">
            <v>SUES300001</v>
          </cell>
          <cell r="J1232">
            <v>100</v>
          </cell>
          <cell r="K1232">
            <v>38626</v>
          </cell>
          <cell r="L1232" t="str">
            <v>DIRECTEUR TECH.</v>
          </cell>
          <cell r="M1232" t="str">
            <v>CADRE</v>
          </cell>
          <cell r="N1232" t="str">
            <v>G</v>
          </cell>
          <cell r="O1232" t="str">
            <v>CDI</v>
          </cell>
          <cell r="P1232">
            <v>151.57</v>
          </cell>
          <cell r="Q1232">
            <v>5916.66</v>
          </cell>
          <cell r="R1232">
            <v>2935.65</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682.58</v>
          </cell>
          <cell r="AO1232">
            <v>0</v>
          </cell>
          <cell r="AP1232">
            <v>0</v>
          </cell>
          <cell r="AQ1232">
            <v>5916.66</v>
          </cell>
          <cell r="AR1232">
            <v>0</v>
          </cell>
          <cell r="AS1232">
            <v>0</v>
          </cell>
          <cell r="AT1232">
            <v>0</v>
          </cell>
          <cell r="AU1232">
            <v>0</v>
          </cell>
        </row>
        <row r="1233">
          <cell r="A1233" t="str">
            <v>000A1122</v>
          </cell>
          <cell r="B1233" t="str">
            <v>BOUTON</v>
          </cell>
          <cell r="C1233" t="str">
            <v>SOPHIE</v>
          </cell>
          <cell r="D1233" t="str">
            <v>LUDRES</v>
          </cell>
          <cell r="E1233">
            <v>18</v>
          </cell>
          <cell r="F1233" t="str">
            <v>NUMERICABLE</v>
          </cell>
          <cell r="G1233" t="str">
            <v>TECHNIQUE</v>
          </cell>
          <cell r="H1233" t="str">
            <v>BAUER V</v>
          </cell>
          <cell r="I1233" t="str">
            <v>ESTR300001</v>
          </cell>
          <cell r="J1233">
            <v>100</v>
          </cell>
          <cell r="K1233">
            <v>38626</v>
          </cell>
          <cell r="L1233" t="str">
            <v>ASSISTANT(E) NIV. 1</v>
          </cell>
          <cell r="M1233" t="str">
            <v>EMPLOYE</v>
          </cell>
          <cell r="N1233" t="str">
            <v>C</v>
          </cell>
          <cell r="O1233" t="str">
            <v>CDI</v>
          </cell>
          <cell r="P1233">
            <v>151.57</v>
          </cell>
          <cell r="Q1233">
            <v>1618.92</v>
          </cell>
          <cell r="R1233">
            <v>1226.95</v>
          </cell>
          <cell r="S1233">
            <v>0</v>
          </cell>
          <cell r="T1233">
            <v>0</v>
          </cell>
          <cell r="U1233">
            <v>0</v>
          </cell>
          <cell r="V1233">
            <v>0</v>
          </cell>
          <cell r="W1233">
            <v>863.5</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155.38999999999999</v>
          </cell>
          <cell r="AO1233">
            <v>0</v>
          </cell>
          <cell r="AP1233">
            <v>0</v>
          </cell>
          <cell r="AQ1233">
            <v>1618.92</v>
          </cell>
          <cell r="AR1233">
            <v>0</v>
          </cell>
          <cell r="AS1233">
            <v>0</v>
          </cell>
          <cell r="AT1233">
            <v>0</v>
          </cell>
          <cell r="AU1233">
            <v>0</v>
          </cell>
        </row>
        <row r="1234">
          <cell r="A1234" t="str">
            <v>000A1121</v>
          </cell>
          <cell r="B1234" t="str">
            <v>BOLZER</v>
          </cell>
          <cell r="C1234" t="str">
            <v>JEAN MARC</v>
          </cell>
          <cell r="D1234" t="str">
            <v>LUDRES</v>
          </cell>
          <cell r="E1234">
            <v>18</v>
          </cell>
          <cell r="F1234" t="str">
            <v>NUMERICABLE</v>
          </cell>
          <cell r="G1234" t="str">
            <v>MAINTENANCE RESEAU</v>
          </cell>
          <cell r="H1234" t="str">
            <v>SCHWEITZER</v>
          </cell>
          <cell r="I1234" t="str">
            <v>ESTR300001</v>
          </cell>
          <cell r="J1234">
            <v>100</v>
          </cell>
          <cell r="K1234">
            <v>38626</v>
          </cell>
          <cell r="L1234" t="str">
            <v>TECH.SUPP.NIV.1</v>
          </cell>
          <cell r="M1234" t="str">
            <v>EMPLOYE</v>
          </cell>
          <cell r="N1234" t="str">
            <v>C</v>
          </cell>
          <cell r="O1234" t="str">
            <v>CDI</v>
          </cell>
          <cell r="P1234">
            <v>151.57</v>
          </cell>
          <cell r="Q1234">
            <v>1415.09</v>
          </cell>
          <cell r="R1234">
            <v>522.61</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135.83000000000001</v>
          </cell>
          <cell r="AO1234">
            <v>0</v>
          </cell>
          <cell r="AP1234">
            <v>0</v>
          </cell>
          <cell r="AQ1234">
            <v>1415.09</v>
          </cell>
          <cell r="AR1234">
            <v>0</v>
          </cell>
          <cell r="AS1234">
            <v>0</v>
          </cell>
          <cell r="AT1234">
            <v>0</v>
          </cell>
          <cell r="AU1234">
            <v>0</v>
          </cell>
        </row>
        <row r="1235">
          <cell r="A1235" t="str">
            <v>000A1128</v>
          </cell>
          <cell r="B1235" t="str">
            <v>CYPRE</v>
          </cell>
          <cell r="C1235" t="str">
            <v>LAURENT</v>
          </cell>
          <cell r="D1235" t="str">
            <v>LUDRES</v>
          </cell>
          <cell r="E1235">
            <v>18</v>
          </cell>
          <cell r="F1235" t="str">
            <v>NUMERICABLE</v>
          </cell>
          <cell r="G1235" t="str">
            <v>MAINTENANCE RESEAU</v>
          </cell>
          <cell r="H1235" t="str">
            <v>SCHWEITZER</v>
          </cell>
          <cell r="I1235" t="str">
            <v>ESTR300001</v>
          </cell>
          <cell r="J1235">
            <v>100</v>
          </cell>
          <cell r="K1235">
            <v>38626</v>
          </cell>
          <cell r="L1235" t="str">
            <v>INGENIERISTE</v>
          </cell>
          <cell r="M1235" t="str">
            <v>EMPLOYE</v>
          </cell>
          <cell r="N1235" t="str">
            <v>C</v>
          </cell>
          <cell r="O1235" t="str">
            <v>CDI</v>
          </cell>
          <cell r="P1235">
            <v>151.66</v>
          </cell>
          <cell r="Q1235">
            <v>1476.93</v>
          </cell>
          <cell r="R1235">
            <v>333.09</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6.75</v>
          </cell>
          <cell r="AN1235">
            <v>141.77000000000001</v>
          </cell>
          <cell r="AO1235">
            <v>0</v>
          </cell>
          <cell r="AP1235">
            <v>-274.01</v>
          </cell>
          <cell r="AQ1235">
            <v>1431.13</v>
          </cell>
          <cell r="AR1235">
            <v>0</v>
          </cell>
          <cell r="AS1235">
            <v>0</v>
          </cell>
          <cell r="AT1235">
            <v>0</v>
          </cell>
          <cell r="AU1235">
            <v>0</v>
          </cell>
        </row>
        <row r="1236">
          <cell r="A1236" t="str">
            <v>000A1116</v>
          </cell>
          <cell r="B1236" t="str">
            <v>SCHWARTZ</v>
          </cell>
          <cell r="C1236" t="str">
            <v>SONIA</v>
          </cell>
          <cell r="D1236" t="str">
            <v>LUDRES</v>
          </cell>
          <cell r="E1236">
            <v>18</v>
          </cell>
          <cell r="F1236" t="str">
            <v>NUMERICABLE</v>
          </cell>
          <cell r="G1236" t="str">
            <v>DIRECTION REGIONALE</v>
          </cell>
          <cell r="H1236" t="str">
            <v>BAUER V</v>
          </cell>
          <cell r="I1236" t="str">
            <v>ESTR520001</v>
          </cell>
          <cell r="J1236">
            <v>100</v>
          </cell>
          <cell r="K1236">
            <v>38626</v>
          </cell>
          <cell r="L1236" t="str">
            <v>CONSEILLER COMMERCIAL</v>
          </cell>
          <cell r="M1236" t="str">
            <v>EMPLOYE</v>
          </cell>
          <cell r="N1236" t="str">
            <v>B</v>
          </cell>
          <cell r="O1236" t="str">
            <v>CDI</v>
          </cell>
          <cell r="P1236">
            <v>151.66</v>
          </cell>
          <cell r="Q1236">
            <v>1417.77</v>
          </cell>
          <cell r="R1236">
            <v>997.49</v>
          </cell>
          <cell r="S1236">
            <v>0</v>
          </cell>
          <cell r="T1236">
            <v>0</v>
          </cell>
          <cell r="U1236">
            <v>0</v>
          </cell>
          <cell r="V1236">
            <v>0</v>
          </cell>
          <cell r="W1236">
            <v>554</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186.01</v>
          </cell>
          <cell r="AO1236">
            <v>0</v>
          </cell>
          <cell r="AP1236">
            <v>0</v>
          </cell>
          <cell r="AQ1236">
            <v>1478.59</v>
          </cell>
          <cell r="AR1236">
            <v>0</v>
          </cell>
          <cell r="AS1236">
            <v>0</v>
          </cell>
          <cell r="AT1236">
            <v>0</v>
          </cell>
          <cell r="AU1236">
            <v>0</v>
          </cell>
        </row>
        <row r="1237">
          <cell r="A1237" t="str">
            <v>000A1135</v>
          </cell>
          <cell r="B1237" t="str">
            <v>GREGUOR</v>
          </cell>
          <cell r="C1237" t="str">
            <v>AURELIA</v>
          </cell>
          <cell r="D1237" t="str">
            <v>LUDRES</v>
          </cell>
          <cell r="E1237">
            <v>18</v>
          </cell>
          <cell r="F1237" t="str">
            <v>NUMERICABLE</v>
          </cell>
          <cell r="G1237" t="str">
            <v>VAD CONSEILLERS</v>
          </cell>
          <cell r="I1237" t="str">
            <v>GENE905001</v>
          </cell>
          <cell r="J1237">
            <v>100</v>
          </cell>
          <cell r="K1237">
            <v>38626</v>
          </cell>
          <cell r="L1237" t="str">
            <v>CONSEILLER COMMERCIAL</v>
          </cell>
          <cell r="M1237" t="str">
            <v>EMPLOYE</v>
          </cell>
          <cell r="N1237" t="str">
            <v>B</v>
          </cell>
          <cell r="O1237" t="str">
            <v>CDI</v>
          </cell>
          <cell r="P1237">
            <v>151.66</v>
          </cell>
          <cell r="Q1237">
            <v>462.59</v>
          </cell>
          <cell r="R1237">
            <v>256.05</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1479.7</v>
          </cell>
          <cell r="AN1237">
            <v>46.26</v>
          </cell>
          <cell r="AO1237">
            <v>1479.7</v>
          </cell>
          <cell r="AP1237">
            <v>0</v>
          </cell>
          <cell r="AQ1237">
            <v>462.59</v>
          </cell>
          <cell r="AR1237">
            <v>0</v>
          </cell>
          <cell r="AS1237">
            <v>0</v>
          </cell>
          <cell r="AT1237">
            <v>0</v>
          </cell>
          <cell r="AU1237">
            <v>0</v>
          </cell>
        </row>
        <row r="1238">
          <cell r="A1238" t="str">
            <v>000A1136</v>
          </cell>
          <cell r="B1238" t="str">
            <v>HADAOUI CHADIA</v>
          </cell>
          <cell r="C1238" t="str">
            <v>FRANCOISE</v>
          </cell>
          <cell r="D1238" t="str">
            <v>LUDRES</v>
          </cell>
          <cell r="E1238">
            <v>18</v>
          </cell>
          <cell r="F1238" t="str">
            <v>NUMERICABLE</v>
          </cell>
          <cell r="G1238" t="str">
            <v>ADV</v>
          </cell>
          <cell r="I1238" t="str">
            <v>GENE905001</v>
          </cell>
          <cell r="J1238">
            <v>100</v>
          </cell>
          <cell r="K1238">
            <v>38626</v>
          </cell>
          <cell r="L1238" t="str">
            <v>ASSISTANT(E) NIV. 1</v>
          </cell>
          <cell r="M1238" t="str">
            <v>EMPLOYE</v>
          </cell>
          <cell r="N1238" t="str">
            <v>C</v>
          </cell>
          <cell r="O1238" t="str">
            <v>CDI</v>
          </cell>
          <cell r="P1238">
            <v>151.57</v>
          </cell>
          <cell r="Q1238">
            <v>1417.77</v>
          </cell>
          <cell r="R1238">
            <v>218.71</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-6.96</v>
          </cell>
          <cell r="AN1238">
            <v>141.78</v>
          </cell>
          <cell r="AO1238">
            <v>-6.96</v>
          </cell>
          <cell r="AP1238">
            <v>0</v>
          </cell>
          <cell r="AQ1238">
            <v>1417.77</v>
          </cell>
          <cell r="AR1238">
            <v>0</v>
          </cell>
          <cell r="AS1238">
            <v>0</v>
          </cell>
          <cell r="AT1238">
            <v>0</v>
          </cell>
          <cell r="AU1238">
            <v>0</v>
          </cell>
        </row>
        <row r="1239">
          <cell r="A1239" t="str">
            <v>000A1125</v>
          </cell>
          <cell r="B1239" t="str">
            <v>THOMASSIN</v>
          </cell>
          <cell r="C1239" t="str">
            <v>STEPHANE</v>
          </cell>
          <cell r="D1239" t="str">
            <v>LUDRES</v>
          </cell>
          <cell r="E1239">
            <v>18</v>
          </cell>
          <cell r="F1239" t="str">
            <v>NUMERICABLE</v>
          </cell>
          <cell r="G1239" t="str">
            <v>VAD CONSEILLERS</v>
          </cell>
          <cell r="I1239" t="str">
            <v>GENE905001</v>
          </cell>
          <cell r="J1239">
            <v>100</v>
          </cell>
          <cell r="K1239">
            <v>38626</v>
          </cell>
          <cell r="L1239" t="str">
            <v>CONSEILLER COMMERCIAL</v>
          </cell>
          <cell r="M1239" t="str">
            <v>EMPLOYE</v>
          </cell>
          <cell r="N1239" t="str">
            <v>B</v>
          </cell>
          <cell r="O1239" t="str">
            <v>CDI</v>
          </cell>
          <cell r="P1239">
            <v>151.66999999999999</v>
          </cell>
          <cell r="Q1239">
            <v>462.59</v>
          </cell>
          <cell r="R1239">
            <v>296.11</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1881.31</v>
          </cell>
          <cell r="AN1239">
            <v>46.26</v>
          </cell>
          <cell r="AO1239">
            <v>1881.31</v>
          </cell>
          <cell r="AP1239">
            <v>0</v>
          </cell>
          <cell r="AQ1239">
            <v>462.59</v>
          </cell>
          <cell r="AR1239">
            <v>0</v>
          </cell>
          <cell r="AS1239">
            <v>0</v>
          </cell>
          <cell r="AT1239">
            <v>0</v>
          </cell>
          <cell r="AU1239">
            <v>0</v>
          </cell>
        </row>
        <row r="1240">
          <cell r="A1240" t="str">
            <v>000A1134</v>
          </cell>
          <cell r="B1240" t="str">
            <v>LORANGE</v>
          </cell>
          <cell r="C1240" t="str">
            <v>MARIANNE</v>
          </cell>
          <cell r="D1240" t="str">
            <v>LUDRES</v>
          </cell>
          <cell r="E1240">
            <v>18</v>
          </cell>
          <cell r="F1240" t="str">
            <v>NUMERICABLE</v>
          </cell>
          <cell r="G1240" t="str">
            <v>DIRECTION REGIONALE</v>
          </cell>
          <cell r="I1240" t="str">
            <v>FTCN905001</v>
          </cell>
          <cell r="J1240">
            <v>100</v>
          </cell>
          <cell r="K1240">
            <v>38626</v>
          </cell>
          <cell r="L1240" t="str">
            <v>ASSISTANT(E) NIV. 1</v>
          </cell>
          <cell r="M1240" t="str">
            <v>EMPLOYE</v>
          </cell>
          <cell r="N1240" t="str">
            <v>C</v>
          </cell>
          <cell r="O1240" t="str">
            <v>CDI</v>
          </cell>
          <cell r="P1240">
            <v>151.57</v>
          </cell>
          <cell r="Q1240">
            <v>1417.77</v>
          </cell>
          <cell r="R1240">
            <v>782.23</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380.79</v>
          </cell>
          <cell r="AN1240">
            <v>136.08000000000001</v>
          </cell>
          <cell r="AO1240">
            <v>0</v>
          </cell>
          <cell r="AP1240">
            <v>0</v>
          </cell>
          <cell r="AQ1240">
            <v>1798.56</v>
          </cell>
          <cell r="AR1240">
            <v>0</v>
          </cell>
          <cell r="AS1240">
            <v>0</v>
          </cell>
          <cell r="AT1240">
            <v>0</v>
          </cell>
          <cell r="AU1240">
            <v>0</v>
          </cell>
        </row>
        <row r="1241">
          <cell r="A1241" t="str">
            <v>000A1123</v>
          </cell>
          <cell r="B1241" t="str">
            <v>CERRI</v>
          </cell>
          <cell r="C1241" t="str">
            <v>JEAN PHILIPP</v>
          </cell>
          <cell r="D1241" t="str">
            <v>LUDRES</v>
          </cell>
          <cell r="E1241">
            <v>18</v>
          </cell>
          <cell r="F1241" t="str">
            <v>NUMERICABLE</v>
          </cell>
          <cell r="G1241" t="str">
            <v>COMPTABILITE</v>
          </cell>
          <cell r="I1241" t="str">
            <v>FTCN905001</v>
          </cell>
          <cell r="J1241">
            <v>100</v>
          </cell>
          <cell r="K1241">
            <v>38626</v>
          </cell>
          <cell r="L1241" t="str">
            <v>RESP. GEST. NIV. 2</v>
          </cell>
          <cell r="M1241" t="str">
            <v>CADRE</v>
          </cell>
          <cell r="N1241" t="str">
            <v>F</v>
          </cell>
          <cell r="O1241" t="str">
            <v>CDI</v>
          </cell>
          <cell r="P1241">
            <v>151.57</v>
          </cell>
          <cell r="Q1241">
            <v>3252.09</v>
          </cell>
          <cell r="R1241">
            <v>-1293.31</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393.75</v>
          </cell>
          <cell r="AN1241">
            <v>0</v>
          </cell>
          <cell r="AO1241">
            <v>295.12</v>
          </cell>
          <cell r="AP1241">
            <v>-796.67</v>
          </cell>
          <cell r="AQ1241">
            <v>3216.48</v>
          </cell>
          <cell r="AR1241">
            <v>0</v>
          </cell>
          <cell r="AS1241">
            <v>0</v>
          </cell>
          <cell r="AT1241">
            <v>0</v>
          </cell>
          <cell r="AU1241">
            <v>0</v>
          </cell>
        </row>
        <row r="1242">
          <cell r="A1242" t="str">
            <v>000A1133</v>
          </cell>
          <cell r="B1242" t="str">
            <v>PARISET</v>
          </cell>
          <cell r="C1242" t="str">
            <v>BERNARD</v>
          </cell>
          <cell r="D1242" t="str">
            <v>LUDRES</v>
          </cell>
          <cell r="E1242">
            <v>18</v>
          </cell>
          <cell r="F1242" t="str">
            <v>NUMERICABLE</v>
          </cell>
          <cell r="G1242" t="str">
            <v>MAINTENANCE RESEAU</v>
          </cell>
          <cell r="I1242" t="str">
            <v>FTCN905001</v>
          </cell>
          <cell r="J1242">
            <v>100</v>
          </cell>
          <cell r="K1242">
            <v>38626</v>
          </cell>
          <cell r="L1242" t="str">
            <v>TECHNICIEN MONTEUR CABLEUR</v>
          </cell>
          <cell r="M1242" t="str">
            <v>EMPLOYE</v>
          </cell>
          <cell r="N1242" t="str">
            <v>B</v>
          </cell>
          <cell r="O1242" t="str">
            <v>CDI</v>
          </cell>
          <cell r="P1242">
            <v>151.66</v>
          </cell>
          <cell r="Q1242">
            <v>1373.67</v>
          </cell>
          <cell r="R1242">
            <v>-105.79</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29.46</v>
          </cell>
          <cell r="AN1242">
            <v>0</v>
          </cell>
          <cell r="AO1242">
            <v>29.46</v>
          </cell>
          <cell r="AP1242">
            <v>0</v>
          </cell>
          <cell r="AQ1242">
            <v>1373.67</v>
          </cell>
          <cell r="AR1242">
            <v>0</v>
          </cell>
          <cell r="AS1242">
            <v>0</v>
          </cell>
          <cell r="AT1242">
            <v>0</v>
          </cell>
          <cell r="AU1242">
            <v>0</v>
          </cell>
        </row>
        <row r="1243">
          <cell r="A1243" t="str">
            <v>000A1117</v>
          </cell>
          <cell r="B1243" t="str">
            <v>BELKACEMI</v>
          </cell>
          <cell r="C1243" t="str">
            <v>ALAIN</v>
          </cell>
          <cell r="D1243" t="str">
            <v>LUDRES</v>
          </cell>
          <cell r="E1243">
            <v>18</v>
          </cell>
          <cell r="F1243" t="str">
            <v>NUMERICABLE</v>
          </cell>
          <cell r="G1243" t="str">
            <v>MAINTENANCE RESEAU</v>
          </cell>
          <cell r="I1243" t="str">
            <v>FTCN905001</v>
          </cell>
          <cell r="J1243">
            <v>100</v>
          </cell>
          <cell r="K1243">
            <v>38626</v>
          </cell>
          <cell r="L1243" t="str">
            <v>TECHNICIEN MONTEUR CABLEUR</v>
          </cell>
          <cell r="M1243" t="str">
            <v>EMPLOYE</v>
          </cell>
          <cell r="N1243" t="str">
            <v>B</v>
          </cell>
          <cell r="O1243" t="str">
            <v>CDI</v>
          </cell>
          <cell r="P1243">
            <v>151.66</v>
          </cell>
          <cell r="Q1243">
            <v>1605.23</v>
          </cell>
          <cell r="R1243">
            <v>956.35</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886.96</v>
          </cell>
          <cell r="AN1243">
            <v>154.08000000000001</v>
          </cell>
          <cell r="AO1243">
            <v>0</v>
          </cell>
          <cell r="AP1243">
            <v>-395.64</v>
          </cell>
          <cell r="AQ1243">
            <v>2416.2800000000002</v>
          </cell>
          <cell r="AR1243">
            <v>0</v>
          </cell>
          <cell r="AS1243">
            <v>0</v>
          </cell>
          <cell r="AT1243">
            <v>0</v>
          </cell>
          <cell r="AU1243">
            <v>0</v>
          </cell>
        </row>
        <row r="1244">
          <cell r="A1244" t="str">
            <v>000A1124</v>
          </cell>
          <cell r="B1244" t="str">
            <v>VILLAUME</v>
          </cell>
          <cell r="C1244" t="str">
            <v>JEAN PIERRE</v>
          </cell>
          <cell r="D1244" t="str">
            <v>LUDRES</v>
          </cell>
          <cell r="E1244">
            <v>18</v>
          </cell>
          <cell r="F1244" t="str">
            <v>NUMERICABLE</v>
          </cell>
          <cell r="G1244" t="str">
            <v>TRAVAUX</v>
          </cell>
          <cell r="H1244" t="str">
            <v>TAILLON</v>
          </cell>
          <cell r="I1244" t="str">
            <v>ESTR300001</v>
          </cell>
          <cell r="J1244">
            <v>100</v>
          </cell>
          <cell r="K1244">
            <v>38626</v>
          </cell>
          <cell r="L1244" t="str">
            <v>SUPERVISEUR TRAVAUX</v>
          </cell>
          <cell r="M1244" t="str">
            <v>TSM</v>
          </cell>
          <cell r="N1244" t="str">
            <v>D</v>
          </cell>
          <cell r="O1244" t="str">
            <v>CDI</v>
          </cell>
          <cell r="P1244">
            <v>151.57</v>
          </cell>
          <cell r="Q1244">
            <v>2593.9499999999998</v>
          </cell>
          <cell r="R1244">
            <v>719.1</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253.77</v>
          </cell>
          <cell r="AO1244">
            <v>0</v>
          </cell>
          <cell r="AP1244">
            <v>0</v>
          </cell>
          <cell r="AQ1244">
            <v>1636.33</v>
          </cell>
          <cell r="AR1244">
            <v>0</v>
          </cell>
          <cell r="AS1244">
            <v>0</v>
          </cell>
          <cell r="AT1244">
            <v>0</v>
          </cell>
          <cell r="AU1244">
            <v>0</v>
          </cell>
        </row>
        <row r="1245">
          <cell r="A1245" t="str">
            <v>000A1115</v>
          </cell>
          <cell r="B1245" t="str">
            <v>ARTAUX</v>
          </cell>
          <cell r="C1245" t="str">
            <v>JEAN VALERY</v>
          </cell>
          <cell r="D1245" t="str">
            <v>LUDRES</v>
          </cell>
          <cell r="E1245">
            <v>18</v>
          </cell>
          <cell r="F1245" t="str">
            <v>NUMERICABLE</v>
          </cell>
          <cell r="G1245" t="str">
            <v>MAINTENANCE RESEAU</v>
          </cell>
          <cell r="I1245" t="str">
            <v>FTCN905001</v>
          </cell>
          <cell r="J1245">
            <v>100</v>
          </cell>
          <cell r="K1245">
            <v>38626</v>
          </cell>
          <cell r="L1245" t="str">
            <v>TECH. EXP. NIV. 1</v>
          </cell>
          <cell r="M1245" t="str">
            <v>EMPLOYE</v>
          </cell>
          <cell r="N1245" t="str">
            <v>C</v>
          </cell>
          <cell r="O1245" t="str">
            <v>CDI</v>
          </cell>
          <cell r="P1245">
            <v>151.66</v>
          </cell>
          <cell r="Q1245">
            <v>1612.02</v>
          </cell>
          <cell r="R1245">
            <v>817.03</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217.98</v>
          </cell>
          <cell r="AN1245">
            <v>154.72999999999999</v>
          </cell>
          <cell r="AO1245">
            <v>0</v>
          </cell>
          <cell r="AP1245">
            <v>0</v>
          </cell>
          <cell r="AQ1245">
            <v>1830</v>
          </cell>
          <cell r="AR1245">
            <v>0</v>
          </cell>
          <cell r="AS1245">
            <v>0</v>
          </cell>
          <cell r="AT1245">
            <v>0</v>
          </cell>
          <cell r="AU1245">
            <v>0</v>
          </cell>
        </row>
        <row r="1246">
          <cell r="A1246" t="str">
            <v>000A1017</v>
          </cell>
          <cell r="B1246" t="str">
            <v>BENETTI</v>
          </cell>
          <cell r="C1246" t="str">
            <v>ANGELIQUE</v>
          </cell>
          <cell r="D1246" t="str">
            <v>YPSO</v>
          </cell>
          <cell r="E1246">
            <v>90</v>
          </cell>
          <cell r="F1246" t="str">
            <v>YPSO France SAS</v>
          </cell>
          <cell r="G1246" t="str">
            <v>DIRECTION GENERALE</v>
          </cell>
          <cell r="H1246" t="str">
            <v>BESNIER</v>
          </cell>
          <cell r="I1246" t="str">
            <v>YPSO700001</v>
          </cell>
          <cell r="J1246">
            <v>100</v>
          </cell>
          <cell r="K1246">
            <v>38443</v>
          </cell>
          <cell r="L1246" t="str">
            <v>DIRECTEUR JURIDIQUE</v>
          </cell>
          <cell r="M1246" t="str">
            <v>CADRE</v>
          </cell>
          <cell r="N1246" t="str">
            <v>G</v>
          </cell>
          <cell r="O1246" t="str">
            <v>CDI</v>
          </cell>
          <cell r="P1246">
            <v>151.57</v>
          </cell>
          <cell r="Q1246">
            <v>8833.34</v>
          </cell>
          <cell r="R1246">
            <v>4284.99</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951.29</v>
          </cell>
          <cell r="AO1246">
            <v>0</v>
          </cell>
          <cell r="AP1246">
            <v>0</v>
          </cell>
          <cell r="AQ1246">
            <v>8833.34</v>
          </cell>
          <cell r="AR1246">
            <v>0</v>
          </cell>
          <cell r="AS1246">
            <v>0</v>
          </cell>
          <cell r="AT1246">
            <v>0</v>
          </cell>
          <cell r="AU1246">
            <v>0</v>
          </cell>
        </row>
        <row r="1247">
          <cell r="A1247" t="str">
            <v>000A1019</v>
          </cell>
          <cell r="B1247" t="str">
            <v>CHAPELAT</v>
          </cell>
          <cell r="C1247" t="str">
            <v>GERARD</v>
          </cell>
          <cell r="D1247" t="str">
            <v>YPSO</v>
          </cell>
          <cell r="E1247">
            <v>90</v>
          </cell>
          <cell r="F1247" t="str">
            <v>YPSO France SAS</v>
          </cell>
          <cell r="G1247" t="str">
            <v>DIRECTION GENERALE</v>
          </cell>
          <cell r="H1247" t="str">
            <v>SOTHER</v>
          </cell>
          <cell r="I1247" t="str">
            <v>YPSO700001</v>
          </cell>
          <cell r="J1247">
            <v>100</v>
          </cell>
          <cell r="K1247">
            <v>38443</v>
          </cell>
          <cell r="L1247" t="str">
            <v>DIRECTEUR REGIONAL</v>
          </cell>
          <cell r="M1247" t="str">
            <v>CADRE</v>
          </cell>
          <cell r="N1247" t="str">
            <v>G</v>
          </cell>
          <cell r="O1247" t="str">
            <v>CDI</v>
          </cell>
          <cell r="P1247">
            <v>151.57</v>
          </cell>
          <cell r="Q1247">
            <v>8333.34</v>
          </cell>
          <cell r="R1247">
            <v>4070.04</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897.43</v>
          </cell>
          <cell r="AO1247">
            <v>0</v>
          </cell>
          <cell r="AP1247">
            <v>0</v>
          </cell>
          <cell r="AQ1247">
            <v>7948.78</v>
          </cell>
          <cell r="AR1247">
            <v>0</v>
          </cell>
          <cell r="AS1247">
            <v>0</v>
          </cell>
          <cell r="AT1247">
            <v>0</v>
          </cell>
          <cell r="AU1247">
            <v>0</v>
          </cell>
        </row>
        <row r="1248">
          <cell r="A1248" t="str">
            <v>000A1005</v>
          </cell>
          <cell r="B1248" t="str">
            <v>LUCIANI</v>
          </cell>
          <cell r="C1248" t="str">
            <v>VALERIE</v>
          </cell>
          <cell r="D1248" t="str">
            <v>YPSO</v>
          </cell>
          <cell r="E1248">
            <v>90</v>
          </cell>
          <cell r="F1248" t="str">
            <v>YPSO France SAS</v>
          </cell>
          <cell r="G1248" t="str">
            <v>DIRECTION GENERALE</v>
          </cell>
          <cell r="H1248" t="str">
            <v>DENOYER</v>
          </cell>
          <cell r="I1248" t="str">
            <v>YPSO700001</v>
          </cell>
          <cell r="J1248">
            <v>100</v>
          </cell>
          <cell r="K1248">
            <v>38160</v>
          </cell>
          <cell r="L1248" t="str">
            <v>DIRECTEUR RESS. HUMAINES</v>
          </cell>
          <cell r="M1248" t="str">
            <v>CADRE</v>
          </cell>
          <cell r="N1248" t="str">
            <v>G</v>
          </cell>
          <cell r="O1248" t="str">
            <v>CDI</v>
          </cell>
          <cell r="P1248">
            <v>151.57</v>
          </cell>
          <cell r="Q1248">
            <v>8270.84</v>
          </cell>
          <cell r="R1248">
            <v>25916.05</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67500</v>
          </cell>
          <cell r="AK1248">
            <v>0</v>
          </cell>
          <cell r="AL1248">
            <v>0</v>
          </cell>
          <cell r="AM1248">
            <v>0</v>
          </cell>
          <cell r="AN1248">
            <v>8095.97</v>
          </cell>
          <cell r="AO1248">
            <v>0</v>
          </cell>
          <cell r="AP1248">
            <v>0</v>
          </cell>
          <cell r="AQ1248">
            <v>7500</v>
          </cell>
          <cell r="AR1248">
            <v>67500</v>
          </cell>
          <cell r="AS1248">
            <v>0</v>
          </cell>
          <cell r="AT1248">
            <v>0</v>
          </cell>
          <cell r="AU1248">
            <v>0</v>
          </cell>
        </row>
        <row r="1249">
          <cell r="A1249" t="str">
            <v>000A1028</v>
          </cell>
          <cell r="B1249" t="str">
            <v>VINEL</v>
          </cell>
          <cell r="C1249" t="str">
            <v>EMMANUELLE</v>
          </cell>
          <cell r="D1249" t="str">
            <v>YPSO</v>
          </cell>
          <cell r="E1249">
            <v>90</v>
          </cell>
          <cell r="F1249" t="str">
            <v>YPSO France SAS</v>
          </cell>
          <cell r="G1249" t="str">
            <v>DIRECTION GENERALE</v>
          </cell>
          <cell r="H1249" t="str">
            <v>DENOYER</v>
          </cell>
          <cell r="I1249" t="str">
            <v>YPSO700001</v>
          </cell>
          <cell r="J1249">
            <v>100</v>
          </cell>
          <cell r="K1249">
            <v>38443</v>
          </cell>
          <cell r="L1249" t="str">
            <v>DIRECTEUR MARKETING</v>
          </cell>
          <cell r="M1249" t="str">
            <v>CADRE</v>
          </cell>
          <cell r="N1249" t="str">
            <v>G</v>
          </cell>
          <cell r="O1249" t="str">
            <v>CDI</v>
          </cell>
          <cell r="P1249">
            <v>151.57</v>
          </cell>
          <cell r="Q1249">
            <v>10000</v>
          </cell>
          <cell r="R1249">
            <v>3338.73</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1112</v>
          </cell>
          <cell r="AO1249">
            <v>0</v>
          </cell>
          <cell r="AP1249">
            <v>0</v>
          </cell>
          <cell r="AQ1249">
            <v>10000</v>
          </cell>
          <cell r="AR1249">
            <v>0</v>
          </cell>
          <cell r="AS1249">
            <v>0</v>
          </cell>
          <cell r="AT1249">
            <v>0</v>
          </cell>
          <cell r="AU1249">
            <v>0</v>
          </cell>
        </row>
        <row r="1250">
          <cell r="A1250" t="str">
            <v>000A1026</v>
          </cell>
          <cell r="B1250" t="str">
            <v>PERRAIN</v>
          </cell>
          <cell r="C1250" t="str">
            <v>FRANCK</v>
          </cell>
          <cell r="D1250" t="str">
            <v>YPSO</v>
          </cell>
          <cell r="E1250">
            <v>90</v>
          </cell>
          <cell r="F1250" t="str">
            <v>YPSO France SAS</v>
          </cell>
          <cell r="G1250" t="str">
            <v>DIRECTION GENERALE</v>
          </cell>
          <cell r="H1250" t="str">
            <v>SOTHER</v>
          </cell>
          <cell r="I1250" t="str">
            <v>YPSO700001</v>
          </cell>
          <cell r="J1250">
            <v>100</v>
          </cell>
          <cell r="K1250">
            <v>38443</v>
          </cell>
          <cell r="L1250" t="str">
            <v>DIRECTEUR TECHNIQUE RESEAUX</v>
          </cell>
          <cell r="M1250" t="str">
            <v>CADRE</v>
          </cell>
          <cell r="N1250" t="str">
            <v>G</v>
          </cell>
          <cell r="O1250" t="str">
            <v>CDI</v>
          </cell>
          <cell r="P1250">
            <v>151.57</v>
          </cell>
          <cell r="Q1250">
            <v>8333.34</v>
          </cell>
          <cell r="R1250">
            <v>4197.2299999999996</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917.1</v>
          </cell>
          <cell r="AO1250">
            <v>0</v>
          </cell>
          <cell r="AP1250">
            <v>0</v>
          </cell>
          <cell r="AQ1250">
            <v>8333.34</v>
          </cell>
          <cell r="AR1250">
            <v>0</v>
          </cell>
          <cell r="AS1250">
            <v>0</v>
          </cell>
          <cell r="AT1250">
            <v>0</v>
          </cell>
          <cell r="AU1250">
            <v>0</v>
          </cell>
        </row>
        <row r="1251">
          <cell r="A1251" t="str">
            <v>000A1018</v>
          </cell>
          <cell r="B1251" t="str">
            <v>BESNIER</v>
          </cell>
          <cell r="C1251" t="str">
            <v>PHILIPPE</v>
          </cell>
          <cell r="D1251" t="str">
            <v>YPSO</v>
          </cell>
          <cell r="E1251">
            <v>90</v>
          </cell>
          <cell r="F1251" t="str">
            <v>YPSO France SAS</v>
          </cell>
          <cell r="G1251" t="str">
            <v>DIRECTION GENERALE</v>
          </cell>
          <cell r="H1251" t="str">
            <v>LUCIANI</v>
          </cell>
          <cell r="I1251" t="str">
            <v>YPSO700001</v>
          </cell>
          <cell r="J1251">
            <v>100</v>
          </cell>
          <cell r="K1251">
            <v>38443</v>
          </cell>
          <cell r="L1251" t="str">
            <v>PRESIDENT DIR. GEN.</v>
          </cell>
          <cell r="M1251" t="str">
            <v>CADRE</v>
          </cell>
          <cell r="N1251" t="str">
            <v>G</v>
          </cell>
          <cell r="O1251" t="str">
            <v>CDI</v>
          </cell>
          <cell r="P1251">
            <v>151.57</v>
          </cell>
          <cell r="Q1251">
            <v>18333.34</v>
          </cell>
          <cell r="R1251">
            <v>7332.21</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18333.34</v>
          </cell>
          <cell r="AR1251">
            <v>0</v>
          </cell>
          <cell r="AS1251">
            <v>0</v>
          </cell>
          <cell r="AT1251">
            <v>0</v>
          </cell>
          <cell r="AU1251">
            <v>0</v>
          </cell>
        </row>
        <row r="1252">
          <cell r="A1252" t="str">
            <v>000A1020</v>
          </cell>
          <cell r="B1252" t="str">
            <v>DELEBARRE</v>
          </cell>
          <cell r="C1252" t="str">
            <v>JEAN-LUC</v>
          </cell>
          <cell r="D1252" t="str">
            <v>YPSO</v>
          </cell>
          <cell r="E1252">
            <v>90</v>
          </cell>
          <cell r="F1252" t="str">
            <v>YPSO France SAS</v>
          </cell>
          <cell r="G1252" t="str">
            <v>DIRECTION GENERALE</v>
          </cell>
          <cell r="H1252" t="str">
            <v>DENOYER</v>
          </cell>
          <cell r="I1252" t="str">
            <v>YPSO700001</v>
          </cell>
          <cell r="J1252">
            <v>100</v>
          </cell>
          <cell r="K1252">
            <v>38443</v>
          </cell>
          <cell r="L1252" t="str">
            <v>DIRECTEUR TECHN. PL.FORMES</v>
          </cell>
          <cell r="M1252" t="str">
            <v>CADRE</v>
          </cell>
          <cell r="N1252" t="str">
            <v>G</v>
          </cell>
          <cell r="O1252" t="str">
            <v>CDI</v>
          </cell>
          <cell r="P1252">
            <v>151.57</v>
          </cell>
          <cell r="Q1252">
            <v>10000</v>
          </cell>
          <cell r="R1252">
            <v>4305.17</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1145.83</v>
          </cell>
          <cell r="AO1252">
            <v>0</v>
          </cell>
          <cell r="AP1252">
            <v>0</v>
          </cell>
          <cell r="AQ1252">
            <v>10000</v>
          </cell>
          <cell r="AR1252">
            <v>0</v>
          </cell>
          <cell r="AS1252">
            <v>0</v>
          </cell>
          <cell r="AT1252">
            <v>0</v>
          </cell>
          <cell r="AU1252">
            <v>640</v>
          </cell>
        </row>
        <row r="1253">
          <cell r="A1253" t="str">
            <v>000A1025</v>
          </cell>
          <cell r="B1253" t="str">
            <v>LOTT</v>
          </cell>
          <cell r="C1253" t="str">
            <v>ANDRE</v>
          </cell>
          <cell r="D1253" t="str">
            <v>YPSO</v>
          </cell>
          <cell r="E1253">
            <v>90</v>
          </cell>
          <cell r="F1253" t="str">
            <v>YPSO France SAS</v>
          </cell>
          <cell r="G1253" t="str">
            <v>DIRECTION GENERALE</v>
          </cell>
          <cell r="H1253" t="str">
            <v>SOTHER</v>
          </cell>
          <cell r="I1253" t="str">
            <v>YPSO700001</v>
          </cell>
          <cell r="J1253">
            <v>100</v>
          </cell>
          <cell r="K1253">
            <v>38443</v>
          </cell>
          <cell r="L1253" t="str">
            <v>DIRECTEUR REGIONAL</v>
          </cell>
          <cell r="M1253" t="str">
            <v>CADRE</v>
          </cell>
          <cell r="N1253" t="str">
            <v>G</v>
          </cell>
          <cell r="O1253" t="str">
            <v>CDI</v>
          </cell>
          <cell r="P1253">
            <v>151.57</v>
          </cell>
          <cell r="Q1253">
            <v>8333.34</v>
          </cell>
          <cell r="R1253">
            <v>4253.09</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897.43</v>
          </cell>
          <cell r="AO1253">
            <v>0</v>
          </cell>
          <cell r="AP1253">
            <v>0</v>
          </cell>
          <cell r="AQ1253">
            <v>8333.34</v>
          </cell>
          <cell r="AR1253">
            <v>0</v>
          </cell>
          <cell r="AS1253">
            <v>0</v>
          </cell>
          <cell r="AT1253">
            <v>0</v>
          </cell>
          <cell r="AU1253">
            <v>0</v>
          </cell>
        </row>
        <row r="1254">
          <cell r="A1254">
            <v>87</v>
          </cell>
          <cell r="B1254" t="str">
            <v>BEAURAIN</v>
          </cell>
          <cell r="C1254" t="str">
            <v>ALAIN</v>
          </cell>
          <cell r="D1254" t="str">
            <v>YPSO</v>
          </cell>
          <cell r="E1254">
            <v>90</v>
          </cell>
          <cell r="F1254" t="str">
            <v>YPSO France SAS</v>
          </cell>
          <cell r="G1254" t="str">
            <v>DIRECTION GENERALE</v>
          </cell>
          <cell r="H1254" t="str">
            <v>SOTHER</v>
          </cell>
          <cell r="I1254" t="str">
            <v>YPSO700001</v>
          </cell>
          <cell r="J1254">
            <v>100</v>
          </cell>
          <cell r="K1254">
            <v>36739</v>
          </cell>
          <cell r="L1254" t="str">
            <v>DIRECTEUR REGIONAL</v>
          </cell>
          <cell r="M1254" t="str">
            <v>CADRE</v>
          </cell>
          <cell r="N1254" t="str">
            <v>G</v>
          </cell>
          <cell r="O1254" t="str">
            <v>CDI</v>
          </cell>
          <cell r="P1254">
            <v>151.57</v>
          </cell>
          <cell r="Q1254">
            <v>10978.06</v>
          </cell>
          <cell r="R1254">
            <v>5241.13</v>
          </cell>
          <cell r="S1254">
            <v>0</v>
          </cell>
          <cell r="T1254">
            <v>0</v>
          </cell>
          <cell r="U1254">
            <v>0</v>
          </cell>
          <cell r="V1254">
            <v>0</v>
          </cell>
          <cell r="W1254">
            <v>0</v>
          </cell>
          <cell r="X1254">
            <v>0</v>
          </cell>
          <cell r="Y1254">
            <v>0</v>
          </cell>
          <cell r="Z1254">
            <v>0</v>
          </cell>
          <cell r="AA1254">
            <v>0</v>
          </cell>
          <cell r="AB1254">
            <v>0</v>
          </cell>
          <cell r="AC1254">
            <v>0</v>
          </cell>
          <cell r="AD1254">
            <v>4349</v>
          </cell>
          <cell r="AE1254">
            <v>0</v>
          </cell>
          <cell r="AF1254">
            <v>0</v>
          </cell>
          <cell r="AG1254">
            <v>0</v>
          </cell>
          <cell r="AH1254">
            <v>0</v>
          </cell>
          <cell r="AI1254">
            <v>0</v>
          </cell>
          <cell r="AJ1254">
            <v>0</v>
          </cell>
          <cell r="AK1254">
            <v>0</v>
          </cell>
          <cell r="AL1254">
            <v>0</v>
          </cell>
          <cell r="AM1254">
            <v>0</v>
          </cell>
          <cell r="AN1254">
            <v>1681.57</v>
          </cell>
          <cell r="AO1254">
            <v>0</v>
          </cell>
          <cell r="AP1254">
            <v>0</v>
          </cell>
          <cell r="AQ1254">
            <v>10978.06</v>
          </cell>
          <cell r="AR1254">
            <v>4349</v>
          </cell>
          <cell r="AS1254">
            <v>0</v>
          </cell>
          <cell r="AT1254">
            <v>0</v>
          </cell>
          <cell r="AU1254">
            <v>0</v>
          </cell>
        </row>
        <row r="1255">
          <cell r="A1255" t="str">
            <v>000A1022</v>
          </cell>
          <cell r="B1255" t="str">
            <v>DURAND</v>
          </cell>
          <cell r="C1255" t="str">
            <v>JEAN-PIERRE</v>
          </cell>
          <cell r="D1255" t="str">
            <v>YPSO</v>
          </cell>
          <cell r="E1255">
            <v>90</v>
          </cell>
          <cell r="F1255" t="str">
            <v>YPSO France SAS</v>
          </cell>
          <cell r="G1255" t="str">
            <v>DIRECTION GENERALE</v>
          </cell>
          <cell r="H1255" t="str">
            <v>SOTHER</v>
          </cell>
          <cell r="I1255" t="str">
            <v>YPSO700001</v>
          </cell>
          <cell r="J1255">
            <v>100</v>
          </cell>
          <cell r="K1255">
            <v>38443</v>
          </cell>
          <cell r="L1255" t="str">
            <v>DIRECTEUR REGIONAL</v>
          </cell>
          <cell r="M1255" t="str">
            <v>CADRE</v>
          </cell>
          <cell r="N1255" t="str">
            <v>G</v>
          </cell>
          <cell r="O1255" t="str">
            <v>CDI</v>
          </cell>
          <cell r="P1255">
            <v>151.57</v>
          </cell>
          <cell r="Q1255">
            <v>8333.34</v>
          </cell>
          <cell r="R1255">
            <v>4114.46</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897.43</v>
          </cell>
          <cell r="AO1255">
            <v>0</v>
          </cell>
          <cell r="AP1255">
            <v>0</v>
          </cell>
          <cell r="AQ1255">
            <v>8141.06</v>
          </cell>
          <cell r="AR1255">
            <v>0</v>
          </cell>
          <cell r="AS1255">
            <v>0</v>
          </cell>
          <cell r="AT1255">
            <v>0</v>
          </cell>
          <cell r="AU1255">
            <v>0</v>
          </cell>
        </row>
        <row r="1256">
          <cell r="A1256" t="str">
            <v>000A1024</v>
          </cell>
          <cell r="B1256" t="str">
            <v>LAVELOT</v>
          </cell>
          <cell r="C1256" t="str">
            <v>JACQUES</v>
          </cell>
          <cell r="D1256" t="str">
            <v>YPSO</v>
          </cell>
          <cell r="E1256">
            <v>90</v>
          </cell>
          <cell r="F1256" t="str">
            <v>YPSO France SAS</v>
          </cell>
          <cell r="G1256" t="str">
            <v>DIRECTION GENERALE</v>
          </cell>
          <cell r="H1256" t="str">
            <v>DENOYER</v>
          </cell>
          <cell r="I1256" t="str">
            <v>YPSO700001</v>
          </cell>
          <cell r="J1256">
            <v>100</v>
          </cell>
          <cell r="K1256">
            <v>38443</v>
          </cell>
          <cell r="L1256" t="str">
            <v>DIRECTEUR ADMN. ET FINANCIER</v>
          </cell>
          <cell r="M1256" t="str">
            <v>CADRE</v>
          </cell>
          <cell r="N1256" t="str">
            <v>G</v>
          </cell>
          <cell r="O1256" t="str">
            <v>CDI</v>
          </cell>
          <cell r="P1256">
            <v>151.57</v>
          </cell>
          <cell r="Q1256">
            <v>8333.34</v>
          </cell>
          <cell r="R1256">
            <v>3634.12</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809.24</v>
          </cell>
          <cell r="AO1256">
            <v>0</v>
          </cell>
          <cell r="AP1256">
            <v>0</v>
          </cell>
          <cell r="AQ1256">
            <v>7948.78</v>
          </cell>
          <cell r="AR1256">
            <v>0</v>
          </cell>
          <cell r="AS1256">
            <v>0</v>
          </cell>
          <cell r="AT1256">
            <v>0</v>
          </cell>
          <cell r="AU1256">
            <v>0</v>
          </cell>
        </row>
        <row r="1257">
          <cell r="A1257" t="str">
            <v>000A1027</v>
          </cell>
          <cell r="B1257" t="str">
            <v>SOTHER</v>
          </cell>
          <cell r="C1257" t="str">
            <v>JEAN-PIERRE</v>
          </cell>
          <cell r="D1257" t="str">
            <v>YPSO</v>
          </cell>
          <cell r="E1257">
            <v>90</v>
          </cell>
          <cell r="F1257" t="str">
            <v>YPSO France SAS</v>
          </cell>
          <cell r="G1257" t="str">
            <v>DIRECTION GENERALE</v>
          </cell>
          <cell r="H1257" t="str">
            <v>BESNIER</v>
          </cell>
          <cell r="I1257" t="str">
            <v>YPSO700001</v>
          </cell>
          <cell r="J1257">
            <v>100</v>
          </cell>
          <cell r="K1257">
            <v>38443</v>
          </cell>
          <cell r="L1257" t="str">
            <v>DIRECTEUR GENERAL</v>
          </cell>
          <cell r="M1257" t="str">
            <v>CADRE</v>
          </cell>
          <cell r="N1257" t="str">
            <v>G</v>
          </cell>
          <cell r="O1257" t="str">
            <v>CDI</v>
          </cell>
          <cell r="P1257">
            <v>151.57</v>
          </cell>
          <cell r="Q1257">
            <v>14166.67</v>
          </cell>
          <cell r="R1257">
            <v>12064.65</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1525.63</v>
          </cell>
          <cell r="AO1257">
            <v>0</v>
          </cell>
          <cell r="AP1257">
            <v>0</v>
          </cell>
          <cell r="AQ1257">
            <v>14166.67</v>
          </cell>
          <cell r="AR1257">
            <v>0</v>
          </cell>
          <cell r="AS1257">
            <v>0</v>
          </cell>
          <cell r="AT1257">
            <v>0</v>
          </cell>
          <cell r="AU1257">
            <v>0</v>
          </cell>
        </row>
        <row r="1258">
          <cell r="A1258" t="str">
            <v>000A1021</v>
          </cell>
          <cell r="B1258" t="str">
            <v>DENOYER</v>
          </cell>
          <cell r="C1258" t="str">
            <v>ERIC</v>
          </cell>
          <cell r="D1258" t="str">
            <v>YPSO</v>
          </cell>
          <cell r="E1258">
            <v>90</v>
          </cell>
          <cell r="F1258" t="str">
            <v>YPSO France SAS</v>
          </cell>
          <cell r="G1258" t="str">
            <v>DIRECTION GENERALE</v>
          </cell>
          <cell r="H1258" t="str">
            <v>BESNIER</v>
          </cell>
          <cell r="I1258" t="str">
            <v>YPSO700001</v>
          </cell>
          <cell r="J1258">
            <v>100</v>
          </cell>
          <cell r="K1258">
            <v>38443</v>
          </cell>
          <cell r="L1258" t="str">
            <v>DIRECTEUR GENERAL</v>
          </cell>
          <cell r="M1258" t="str">
            <v>CADRE</v>
          </cell>
          <cell r="N1258" t="str">
            <v>G</v>
          </cell>
          <cell r="O1258" t="str">
            <v>CDI</v>
          </cell>
          <cell r="P1258">
            <v>151.57</v>
          </cell>
          <cell r="Q1258">
            <v>16666.669999999998</v>
          </cell>
          <cell r="R1258">
            <v>8202.9</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1899.76</v>
          </cell>
          <cell r="AO1258">
            <v>0</v>
          </cell>
          <cell r="AP1258">
            <v>0</v>
          </cell>
          <cell r="AQ1258">
            <v>16666.669999999998</v>
          </cell>
          <cell r="AR1258">
            <v>0</v>
          </cell>
          <cell r="AS1258">
            <v>0</v>
          </cell>
          <cell r="AT1258">
            <v>0</v>
          </cell>
          <cell r="AU1258">
            <v>0</v>
          </cell>
        </row>
        <row r="1259">
          <cell r="A1259" t="str">
            <v>000A1023</v>
          </cell>
          <cell r="B1259" t="str">
            <v>GALERA</v>
          </cell>
          <cell r="C1259" t="str">
            <v>JEAN-PIERRE</v>
          </cell>
          <cell r="D1259" t="str">
            <v>YPSO</v>
          </cell>
          <cell r="E1259">
            <v>90</v>
          </cell>
          <cell r="F1259" t="str">
            <v>YPSO France SAS</v>
          </cell>
          <cell r="G1259" t="str">
            <v>DIRECTION GENERALE</v>
          </cell>
          <cell r="H1259" t="str">
            <v>SOTHER</v>
          </cell>
          <cell r="I1259" t="str">
            <v>YPSO700001</v>
          </cell>
          <cell r="J1259">
            <v>100</v>
          </cell>
          <cell r="K1259">
            <v>38443</v>
          </cell>
          <cell r="L1259" t="str">
            <v>DIRECTEUR REGIONAL</v>
          </cell>
          <cell r="M1259" t="str">
            <v>CADRE</v>
          </cell>
          <cell r="N1259" t="str">
            <v>G</v>
          </cell>
          <cell r="O1259" t="str">
            <v>CDI</v>
          </cell>
          <cell r="P1259">
            <v>151.57</v>
          </cell>
          <cell r="Q1259">
            <v>8333.34</v>
          </cell>
          <cell r="R1259">
            <v>4474.22</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958.25</v>
          </cell>
          <cell r="AO1259">
            <v>0</v>
          </cell>
          <cell r="AP1259">
            <v>0</v>
          </cell>
          <cell r="AQ1259">
            <v>8333.34</v>
          </cell>
          <cell r="AR1259">
            <v>0</v>
          </cell>
          <cell r="AS1259">
            <v>0</v>
          </cell>
          <cell r="AT1259">
            <v>0</v>
          </cell>
          <cell r="AU1259">
            <v>0</v>
          </cell>
        </row>
        <row r="1260">
          <cell r="A1260" t="str">
            <v>000A1029</v>
          </cell>
          <cell r="B1260" t="str">
            <v>CARET</v>
          </cell>
          <cell r="C1260" t="str">
            <v>FREDERICK</v>
          </cell>
          <cell r="D1260" t="str">
            <v>YPSO</v>
          </cell>
          <cell r="E1260">
            <v>90</v>
          </cell>
          <cell r="F1260" t="str">
            <v>YPSO France SAS</v>
          </cell>
          <cell r="G1260" t="str">
            <v>DIRECTION GENERALE</v>
          </cell>
          <cell r="H1260" t="str">
            <v>DENOYER</v>
          </cell>
          <cell r="I1260" t="str">
            <v>YPSO700001</v>
          </cell>
          <cell r="J1260">
            <v>100</v>
          </cell>
          <cell r="K1260">
            <v>38534</v>
          </cell>
          <cell r="L1260" t="str">
            <v>DIRECTEUR REGIONAL</v>
          </cell>
          <cell r="M1260" t="str">
            <v>CADRE</v>
          </cell>
          <cell r="N1260" t="str">
            <v>G</v>
          </cell>
          <cell r="O1260" t="str">
            <v>CDI</v>
          </cell>
          <cell r="P1260">
            <v>151.57</v>
          </cell>
          <cell r="Q1260">
            <v>6666.67</v>
          </cell>
          <cell r="R1260">
            <v>3797.62</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777.18</v>
          </cell>
          <cell r="AO1260">
            <v>0</v>
          </cell>
          <cell r="AP1260">
            <v>0</v>
          </cell>
          <cell r="AQ1260">
            <v>6666.67</v>
          </cell>
          <cell r="AR1260">
            <v>0</v>
          </cell>
          <cell r="AS1260">
            <v>0</v>
          </cell>
          <cell r="AT1260">
            <v>0</v>
          </cell>
          <cell r="AU1260">
            <v>550</v>
          </cell>
        </row>
        <row r="1261">
          <cell r="A1261" t="str">
            <v>000A1474</v>
          </cell>
          <cell r="B1261" t="str">
            <v>DEMEYER</v>
          </cell>
          <cell r="C1261" t="str">
            <v>FRANCOIS</v>
          </cell>
          <cell r="D1261" t="str">
            <v>YPSO</v>
          </cell>
          <cell r="E1261">
            <v>90</v>
          </cell>
          <cell r="F1261" t="str">
            <v>YPSO France SAS</v>
          </cell>
          <cell r="G1261" t="str">
            <v>DIRECTION GENERALE</v>
          </cell>
          <cell r="H1261" t="str">
            <v>PRADERE</v>
          </cell>
          <cell r="I1261" t="str">
            <v>YPSO700001</v>
          </cell>
          <cell r="J1261">
            <v>100</v>
          </cell>
          <cell r="K1261">
            <v>38747</v>
          </cell>
          <cell r="L1261" t="str">
            <v>DIRECTEUR MARKETING</v>
          </cell>
          <cell r="M1261" t="str">
            <v>CADRE</v>
          </cell>
          <cell r="N1261" t="str">
            <v>G</v>
          </cell>
          <cell r="O1261" t="str">
            <v>CDI</v>
          </cell>
          <cell r="P1261">
            <v>151.57</v>
          </cell>
          <cell r="Q1261">
            <v>8888.9</v>
          </cell>
          <cell r="R1261">
            <v>4086.21</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897.44</v>
          </cell>
          <cell r="AO1261">
            <v>23.61</v>
          </cell>
          <cell r="AP1261">
            <v>0</v>
          </cell>
          <cell r="AQ1261">
            <v>8333.34</v>
          </cell>
          <cell r="AR1261">
            <v>0</v>
          </cell>
          <cell r="AS1261">
            <v>0</v>
          </cell>
          <cell r="AT1261">
            <v>0</v>
          </cell>
          <cell r="AU1261">
            <v>0</v>
          </cell>
        </row>
        <row r="1262">
          <cell r="A1262" t="str">
            <v>000A1475</v>
          </cell>
          <cell r="B1262" t="str">
            <v>LECOMTE</v>
          </cell>
          <cell r="C1262" t="str">
            <v>DOMINIQUE</v>
          </cell>
          <cell r="D1262" t="str">
            <v>YPSO</v>
          </cell>
          <cell r="E1262">
            <v>90</v>
          </cell>
          <cell r="F1262" t="str">
            <v>YPSO France SAS</v>
          </cell>
          <cell r="G1262" t="str">
            <v>DIRECTION GENERALE</v>
          </cell>
          <cell r="H1262" t="str">
            <v>BESNIER</v>
          </cell>
          <cell r="I1262" t="str">
            <v>YPSO700001</v>
          </cell>
          <cell r="J1262">
            <v>100</v>
          </cell>
          <cell r="K1262">
            <v>38747</v>
          </cell>
          <cell r="L1262" t="str">
            <v>DIRECTEUR MARKETING</v>
          </cell>
          <cell r="M1262" t="str">
            <v>CADRE</v>
          </cell>
          <cell r="N1262" t="str">
            <v>G</v>
          </cell>
          <cell r="O1262" t="str">
            <v>CDI</v>
          </cell>
          <cell r="P1262">
            <v>151.57</v>
          </cell>
          <cell r="Q1262">
            <v>8000</v>
          </cell>
          <cell r="R1262">
            <v>3680.14</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807.69</v>
          </cell>
          <cell r="AO1262">
            <v>0</v>
          </cell>
          <cell r="AP1262">
            <v>0</v>
          </cell>
          <cell r="AQ1262">
            <v>7500</v>
          </cell>
          <cell r="AR1262">
            <v>0</v>
          </cell>
          <cell r="AS1262">
            <v>0</v>
          </cell>
          <cell r="AT1262">
            <v>0</v>
          </cell>
          <cell r="AU1262">
            <v>0</v>
          </cell>
        </row>
        <row r="1263">
          <cell r="A1263">
            <v>7393</v>
          </cell>
          <cell r="B1263" t="str">
            <v>LORCET</v>
          </cell>
          <cell r="C1263" t="str">
            <v>DOMINIQUE</v>
          </cell>
          <cell r="D1263" t="str">
            <v>YPSO</v>
          </cell>
          <cell r="E1263">
            <v>90</v>
          </cell>
          <cell r="F1263" t="str">
            <v>YPSO France SAS</v>
          </cell>
          <cell r="G1263" t="str">
            <v>DIRECTION GENERALE</v>
          </cell>
          <cell r="H1263" t="str">
            <v>SOTHER</v>
          </cell>
          <cell r="I1263" t="str">
            <v>YPSO700001</v>
          </cell>
          <cell r="J1263">
            <v>100</v>
          </cell>
          <cell r="K1263">
            <v>33451</v>
          </cell>
          <cell r="L1263" t="str">
            <v>DIRECTEUR VENTES DIRECTES</v>
          </cell>
          <cell r="M1263" t="str">
            <v>CADRE</v>
          </cell>
          <cell r="N1263" t="str">
            <v>G</v>
          </cell>
          <cell r="O1263" t="str">
            <v>CDI</v>
          </cell>
          <cell r="P1263">
            <v>151.57</v>
          </cell>
          <cell r="Q1263">
            <v>6666.67</v>
          </cell>
          <cell r="R1263">
            <v>3383.8</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747.9</v>
          </cell>
          <cell r="AO1263">
            <v>0</v>
          </cell>
          <cell r="AP1263">
            <v>0</v>
          </cell>
          <cell r="AQ1263">
            <v>6666.67</v>
          </cell>
          <cell r="AR1263">
            <v>0</v>
          </cell>
          <cell r="AS1263">
            <v>0</v>
          </cell>
          <cell r="AT1263">
            <v>0</v>
          </cell>
          <cell r="AU1263">
            <v>0</v>
          </cell>
        </row>
        <row r="1264">
          <cell r="A1264" t="str">
            <v>000A0938</v>
          </cell>
          <cell r="B1264" t="str">
            <v>DONT</v>
          </cell>
          <cell r="C1264" t="str">
            <v>EMERIC</v>
          </cell>
          <cell r="D1264" t="str">
            <v>YPSO</v>
          </cell>
          <cell r="E1264">
            <v>90</v>
          </cell>
          <cell r="F1264" t="str">
            <v>YPSO France SAS</v>
          </cell>
          <cell r="G1264" t="str">
            <v>DIRECTION REGIONALE</v>
          </cell>
          <cell r="H1264" t="str">
            <v>SOTHER</v>
          </cell>
          <cell r="I1264" t="str">
            <v>YPSO700001</v>
          </cell>
          <cell r="J1264">
            <v>100</v>
          </cell>
          <cell r="K1264">
            <v>37397</v>
          </cell>
          <cell r="L1264" t="str">
            <v>DIRECTEUR REGIONAL</v>
          </cell>
          <cell r="M1264" t="str">
            <v>CADRE</v>
          </cell>
          <cell r="N1264" t="str">
            <v>G</v>
          </cell>
          <cell r="O1264" t="str">
            <v>CDI</v>
          </cell>
          <cell r="P1264">
            <v>151.57</v>
          </cell>
          <cell r="Q1264">
            <v>6666.67</v>
          </cell>
          <cell r="R1264">
            <v>4801.74</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1743.47</v>
          </cell>
          <cell r="AO1264">
            <v>0</v>
          </cell>
          <cell r="AP1264">
            <v>0</v>
          </cell>
          <cell r="AQ1264">
            <v>8333.34</v>
          </cell>
          <cell r="AR1264">
            <v>0</v>
          </cell>
          <cell r="AS1264">
            <v>0</v>
          </cell>
          <cell r="AT1264">
            <v>0</v>
          </cell>
          <cell r="AU1264">
            <v>0</v>
          </cell>
        </row>
        <row r="1265">
          <cell r="A1265" t="str">
            <v>000A1569</v>
          </cell>
          <cell r="B1265" t="str">
            <v>PRADERE</v>
          </cell>
          <cell r="C1265" t="str">
            <v>OLIVIER</v>
          </cell>
          <cell r="D1265" t="str">
            <v>YPSO</v>
          </cell>
          <cell r="E1265">
            <v>90</v>
          </cell>
          <cell r="F1265" t="str">
            <v>YPSO France SAS</v>
          </cell>
          <cell r="G1265" t="str">
            <v>DIRECTION GENERALE</v>
          </cell>
          <cell r="H1265" t="str">
            <v>BESNIER</v>
          </cell>
          <cell r="I1265" t="str">
            <v>YPSO700001</v>
          </cell>
          <cell r="J1265">
            <v>100</v>
          </cell>
          <cell r="K1265">
            <v>38719</v>
          </cell>
          <cell r="L1265" t="str">
            <v>DIRECTEUR</v>
          </cell>
          <cell r="M1265" t="str">
            <v>CADRE</v>
          </cell>
          <cell r="N1265" t="str">
            <v>G</v>
          </cell>
          <cell r="O1265" t="str">
            <v>CDI</v>
          </cell>
          <cell r="P1265">
            <v>151.57</v>
          </cell>
          <cell r="Q1265">
            <v>11666.67</v>
          </cell>
          <cell r="R1265">
            <v>5608.46</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1256.4100000000001</v>
          </cell>
          <cell r="AO1265">
            <v>46.43</v>
          </cell>
          <cell r="AP1265">
            <v>0</v>
          </cell>
          <cell r="AQ1265">
            <v>11666.67</v>
          </cell>
          <cell r="AR1265">
            <v>0</v>
          </cell>
          <cell r="AS1265">
            <v>0</v>
          </cell>
          <cell r="AT1265">
            <v>0</v>
          </cell>
          <cell r="AU1265">
            <v>0</v>
          </cell>
        </row>
        <row r="1266">
          <cell r="A1266" t="str">
            <v>000A0952</v>
          </cell>
          <cell r="B1266" t="str">
            <v>PORTE</v>
          </cell>
          <cell r="C1266" t="str">
            <v>RAPHAEL</v>
          </cell>
          <cell r="D1266" t="str">
            <v>YPSO</v>
          </cell>
          <cell r="E1266">
            <v>90</v>
          </cell>
          <cell r="F1266" t="str">
            <v>YPSO France SAS</v>
          </cell>
          <cell r="G1266" t="str">
            <v>DISTRIBUTEUR</v>
          </cell>
          <cell r="H1266" t="str">
            <v>DENOYER</v>
          </cell>
          <cell r="I1266" t="str">
            <v>YPSO700001</v>
          </cell>
          <cell r="J1266">
            <v>100</v>
          </cell>
          <cell r="K1266">
            <v>37501</v>
          </cell>
          <cell r="L1266" t="str">
            <v>DIRECTEUR VENTES INDIRECTES</v>
          </cell>
          <cell r="M1266" t="str">
            <v>CADRE</v>
          </cell>
          <cell r="N1266" t="str">
            <v>G</v>
          </cell>
          <cell r="O1266" t="str">
            <v>CDI</v>
          </cell>
          <cell r="P1266">
            <v>151.57</v>
          </cell>
          <cell r="Q1266">
            <v>7083.34</v>
          </cell>
          <cell r="R1266">
            <v>3382.48</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747.2</v>
          </cell>
          <cell r="AO1266">
            <v>0</v>
          </cell>
          <cell r="AP1266">
            <v>0</v>
          </cell>
          <cell r="AQ1266">
            <v>6666.67</v>
          </cell>
          <cell r="AR1266">
            <v>0</v>
          </cell>
          <cell r="AS1266">
            <v>0</v>
          </cell>
          <cell r="AT1266">
            <v>0</v>
          </cell>
          <cell r="AU1266">
            <v>0</v>
          </cell>
        </row>
        <row r="1267">
          <cell r="A1267" t="str">
            <v>000A1743</v>
          </cell>
          <cell r="B1267" t="str">
            <v>GREZE</v>
          </cell>
          <cell r="C1267" t="str">
            <v>PIERRE</v>
          </cell>
          <cell r="D1267" t="str">
            <v>YPSO</v>
          </cell>
          <cell r="E1267">
            <v>90</v>
          </cell>
          <cell r="F1267" t="str">
            <v>YPSO France SAS</v>
          </cell>
          <cell r="I1267" t="str">
            <v>YPSO700001</v>
          </cell>
          <cell r="J1267">
            <v>100</v>
          </cell>
          <cell r="K1267">
            <v>38803</v>
          </cell>
          <cell r="L1267" t="str">
            <v>DIRECTEUR</v>
          </cell>
          <cell r="M1267" t="str">
            <v>CADRE</v>
          </cell>
          <cell r="N1267" t="str">
            <v>G</v>
          </cell>
          <cell r="O1267" t="str">
            <v>CDI</v>
          </cell>
          <cell r="P1267">
            <v>151.57</v>
          </cell>
          <cell r="Q1267">
            <v>0</v>
          </cell>
          <cell r="R1267">
            <v>4288.3999999999996</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9722.23</v>
          </cell>
          <cell r="AR1267">
            <v>0</v>
          </cell>
          <cell r="AS1267">
            <v>0</v>
          </cell>
          <cell r="AT1267">
            <v>0</v>
          </cell>
          <cell r="AU1267">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Capex"/>
      <sheetName val="cash flow "/>
      <sheetName val="Détail OPEX"/>
      <sheetName val="Elements du cash"/>
      <sheetName val="Feuil1"/>
      <sheetName val="Détail CA"/>
      <sheetName val="Ventes"/>
      <sheetName val="Parcs"/>
      <sheetName val="ARPU"/>
      <sheetName val="Détail parc OLD"/>
      <sheetName val="Détail parc NEW"/>
      <sheetName val="CA FTC Réel"/>
      <sheetName val="CA CdE 04-09 2005"/>
      <sheetName val="CA NCN Réel"/>
      <sheetName val="Plan action"/>
      <sheetName val="Call center"/>
      <sheetName val="CA Individuels"/>
      <sheetName val="CA Internet"/>
      <sheetName val="CA telephone"/>
      <sheetName val="CA Collectifs"/>
      <sheetName val="Bulk"/>
      <sheetName val="TV Cable-Call Center-C+"/>
      <sheetName val="Marketing"/>
      <sheetName val="Masse salaria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ERGISpn"/>
      <sheetName val="BB"/>
      <sheetName val="FS"/>
    </sheetNames>
    <sheetDataSet>
      <sheetData sheetId="0" refreshError="1"/>
      <sheetData sheetId="1" refreshError="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T"/>
      <sheetName val="BTMAIN"/>
      <sheetName val="BB"/>
      <sheetName val="HillSamuel"/>
      <sheetName val="Fixed"/>
      <sheetName val="Acqns"/>
      <sheetName val="Cashflow"/>
      <sheetName val="INTl"/>
      <sheetName val="VALUE"/>
      <sheetName val="ConsDCF"/>
      <sheetName val="Analytics"/>
      <sheetName val="ADSL"/>
      <sheetName val="BTAT&amp;T"/>
      <sheetName val="Charts"/>
      <sheetName val="More charts"/>
      <sheetName val="Charts for report"/>
      <sheetName val="New Summary"/>
      <sheetName val="Consolsummary"/>
      <sheetName val="WS &amp; RT"/>
      <sheetName val="Concert"/>
      <sheetName val="Yell"/>
      <sheetName val="Ignite"/>
      <sheetName val="Openworld"/>
      <sheetName val="Wireless"/>
      <sheetName val="BTCellnet"/>
      <sheetName val="ESAT"/>
      <sheetName val="Revenues"/>
      <sheetName val="P&amp;L-reported"/>
      <sheetName val="P&amp;L-preConcert"/>
      <sheetName val="BTCASH"/>
      <sheetName val="QBYQ-reported"/>
      <sheetName val="Concert rec."/>
      <sheetName val="QBYQ-preConcert"/>
      <sheetName val="BT-QTR"/>
      <sheetName val="SHAREHOLDERS"/>
      <sheetName val="MRS data"/>
      <sheetName val="CoC"/>
      <sheetName val="GRAPHICS"/>
      <sheetName val="Datapage"/>
      <sheetName val="Datapage (EURO)"/>
      <sheetName val="US Partners"/>
      <sheetName val="Internet Ent Grwth"/>
      <sheetName val="Millennium_Equities(BT)"/>
      <sheetName val="Technology"/>
      <sheetName val="Export"/>
      <sheetName val="Comps Export"/>
      <sheetName val="Web output - market forecasts"/>
      <sheetName val="Web - OpComp"/>
      <sheetName val="Web - CoView"/>
      <sheetName val="Interactive Export"/>
      <sheetName val="KP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t;&lt;&lt;&lt;MANAGEMENT&gt;&gt;&gt;&gt;"/>
      <sheetName val="Recaps GROUPE YPSO"/>
      <sheetName val="P&amp;L GROUPE YPSO"/>
      <sheetName val="Recaps FRANCE"/>
      <sheetName val="P&amp;L FRANCE"/>
      <sheetName val="Recaps CODITEL"/>
      <sheetName val="P&amp;L CODITEL"/>
      <sheetName val="&lt;&lt;&lt;&lt;BANQUES&gt;&gt;&gt;&gt;"/>
      <sheetName val="Ypso Group Stat Report"/>
      <sheetName val="Covenants"/>
      <sheetName val="CONSO Q4 2008"/>
      <sheetName val="FRANCE Q4 2008"/>
      <sheetName val="BEL Q4 2008"/>
      <sheetName val="LUX Q4 2008"/>
      <sheetName val="&lt;&lt;&lt;&lt;INVESTORS&gt;&gt;&gt;&gt;"/>
      <sheetName val="Recap Investors YPSO"/>
      <sheetName val="DONNEES 2007"/>
      <sheetName val="Recap Investors Quarter"/>
      <sheetName val="Ypso"/>
      <sheetName val="&lt;&lt;&lt;&lt;STATS REPORT&gt;&gt;&gt;&gt;"/>
      <sheetName val="Noos vs. Numericable"/>
      <sheetName val="NET ADDS REPORT"/>
      <sheetName val="PARC REPORT"/>
      <sheetName val="CHURN REPORT"/>
      <sheetName val="HOMES PASSED REPORT"/>
      <sheetName val="Ajustement Parcs"/>
      <sheetName val="&lt;&lt;&lt;&lt;P&amp;L REPORT&gt;&gt;&gt;&gt;"/>
      <sheetName val="2008 CAPEX"/>
      <sheetName val="2008 NUM"/>
      <sheetName val="2008 YPSO"/>
      <sheetName val="2008 NCN"/>
      <sheetName val="2008 EVC"/>
      <sheetName val="2008 COD BEL"/>
      <sheetName val="2008 COD LUX"/>
      <sheetName val="Estimation Dette Fi"/>
      <sheetName val="Cash Juillet"/>
      <sheetName val="Accrued Interests"/>
      <sheetName val="&lt;&lt;&lt;&lt;BUDGET MANAGEMENT&gt;&gt;&gt;&gt;"/>
      <sheetName val="Budget Churn"/>
      <sheetName val="BUDGET GROUPE YPSO"/>
      <sheetName val="BUDGET FRANCE"/>
      <sheetName val="BUDGET CODITEL"/>
      <sheetName val="BUD BEL"/>
      <sheetName val="BUD LUX"/>
      <sheetName val="&lt;&lt;&lt;&lt;BUDGET BANK&gt;&gt;&gt;&gt;"/>
      <sheetName val="DATA BUDGET BANK"/>
      <sheetName val="DATA BUDGET BANK INVESTORS"/>
      <sheetName val="Paramètres"/>
    </sheetNames>
    <sheetDataSet>
      <sheetData sheetId="0" refreshError="1">
        <row r="1">
          <cell r="B1">
            <v>12</v>
          </cell>
        </row>
        <row r="2">
          <cell r="B2">
            <v>39783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 Quarterly"/>
      <sheetName val="Ypso Group Quarterly reporting"/>
      <sheetName val="Eliminations interco"/>
      <sheetName val="7. ELIM OPERATIONNELLE Quarter"/>
      <sheetName val="6. YpsoNumericable Quarterly"/>
      <sheetName val="AFE CONSO Quarterly xxxxx"/>
      <sheetName val="5. AFE Quarterly"/>
      <sheetName val="4. Noos Quarterly"/>
      <sheetName val="3. EV Quarterly"/>
      <sheetName val="1. LUX Quarterly"/>
      <sheetName val="2. BEL CONSO Quarterly"/>
      <sheetName val="BEL Quarterly"/>
      <sheetName val="ENOBELGIUM Quarterly"/>
      <sheetName val="Numericable Quarterly"/>
      <sheetName val="BP CHURN &amp; ARPU CALCULATION"/>
      <sheetName val="BP INSTAL REVENUE CALCULATION"/>
      <sheetName val="VB ET CC NOOS"/>
      <sheetName val="NOOS"/>
      <sheetName val="DATA N"/>
      <sheetName val="PARAM N"/>
      <sheetName val="DATA  BUDGET N"/>
      <sheetName val="VB ET CC EV"/>
      <sheetName val="ESTVIDEO"/>
      <sheetName val="DATA EV"/>
      <sheetName val="PARAM EV"/>
      <sheetName val="DATA  BUDGET EV"/>
      <sheetName val="VB ET CC LUX"/>
      <sheetName val="CC LUX"/>
      <sheetName val="DATA CC LUX"/>
      <sheetName val="PARAM CC LUX"/>
      <sheetName val="DATA  BUDGET CC LUX"/>
      <sheetName val="VB ET CC BEL"/>
      <sheetName val="CC BEL"/>
      <sheetName val="DATA CC BEL"/>
      <sheetName val="PARAM CC BEL"/>
      <sheetName val="DATA  BUDGET CC BEL"/>
      <sheetName val="VB ET CC NUMERICABLE"/>
      <sheetName val="CC NC"/>
      <sheetName val="DATA NC"/>
      <sheetName val="PARAM NC"/>
      <sheetName val="DATA  BUDGET NC"/>
      <sheetName val="NET ADDS  BUDGET"/>
      <sheetName val="RESIL BUDGET"/>
      <sheetName val="VB"/>
      <sheetName val="VB MTD"/>
      <sheetName val="VB YTD"/>
      <sheetName val="RACCO"/>
      <sheetName val="RACCO MTD"/>
      <sheetName val="RECLAMATIONS"/>
      <sheetName val="CALL CENTER"/>
      <sheetName val="ONCE AND DONE"/>
      <sheetName val="ONCE AND DONE (2)"/>
      <sheetName val="VB ET CC CONSO"/>
      <sheetName val="NET ADDS"/>
      <sheetName val="PARC"/>
      <sheetName val="CHURN"/>
      <sheetName val="PARC CONSO"/>
      <sheetName val="PARC NUMERICABLE"/>
      <sheetName val="PARC NOOS"/>
      <sheetName val="PARC EV"/>
      <sheetName val="PARC BEL"/>
      <sheetName val="PARC LUX"/>
      <sheetName val="VAD"/>
      <sheetName val="LUX"/>
      <sheetName val="DATA LUX"/>
      <sheetName val="PARAM LUX"/>
      <sheetName val="DATA  BUDGET LUX"/>
      <sheetName val="BEL"/>
      <sheetName val="DATA BEL"/>
      <sheetName val="PARAM BEL"/>
      <sheetName val="DATA  BUDGET BEL"/>
      <sheetName val="NUMERIC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0">
          <cell r="C10">
            <v>5.5</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rs"/>
      <sheetName val="Neth. DSL Mkt - LB"/>
      <sheetName val="ARPU - Nx Data"/>
      <sheetName val="Capex - Nx Data"/>
      <sheetName val="Depreciation"/>
      <sheetName val="Working Capital"/>
      <sheetName val="Gross Margin Graph"/>
      <sheetName val="Summary"/>
      <sheetName val="Assump. &amp; Sens."/>
      <sheetName val="Output - Sensitivities"/>
      <sheetName val="DCF"/>
      <sheetName val="Unlevered Model"/>
      <sheetName val="Debt Model"/>
      <sheetName val="Financed Model"/>
      <sheetName val="Capitalization"/>
      <sheetName val="Europe DSL Mkt - LB"/>
      <sheetName val="Salaries"/>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N8">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CIR"/>
      <sheetName val="VAL"/>
    </sheetNames>
    <sheetDataSet>
      <sheetData sheetId="0"/>
      <sheetData sheetId="1"/>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mericable individual tax"/>
      <sheetName val="NCN Individual tax"/>
      <sheetName val="Group tax"/>
      <sheetName val="DEBT MAPPING"/>
      <sheetName val="XX YPSO HOLDING CONSO XX"/>
      <sheetName val="Recap Bank Loans"/>
      <sheetName val="Quarterly  debt"/>
      <sheetName val="X  YPSO FRANCE Conso X"/>
      <sheetName val="STATEMENTS YPSO FRANCE"/>
      <sheetName val="XX CONSOLIDATED OPERATIONS XX"/>
      <sheetName val="Quarterly EBITDA and FCF"/>
      <sheetName val="TrB Margin Ratchet"/>
      <sheetName val="TrA Margin Ratchet"/>
      <sheetName val="QUARTERLY DATA"/>
      <sheetName val="Working capital"/>
      <sheetName val="STATEMENTS YPSO HOLDING"/>
      <sheetName val="STATEMENTS NUMERICABLE CONSO"/>
      <sheetName val="STATEMENTS NUMERICABLE"/>
      <sheetName val="STATEMENTS NCN"/>
      <sheetName val="STATS NUMERICABLE CONSO"/>
      <sheetName val="xxxxxxxxxxxxxxxxxxxxxxxxx"/>
      <sheetName val="STATEMENTS Subgroup2"/>
      <sheetName val="STATS Subgroup2"/>
      <sheetName val="STATEMENTS Subgroup3"/>
      <sheetName val="STATS Subgroup3"/>
      <sheetName val="Recap Bank Loans SECOND TRANCHE"/>
      <sheetName val="Recap Investors Loan"/>
      <sheetName val="Performance fee calculation"/>
      <sheetName val="xxx quarterly figures xxx"/>
      <sheetName val="EBITDA"/>
      <sheetName val="CAPEX"/>
      <sheetName val="TAX AND SOCIAL"/>
      <sheetName val="SEASONALITY FACTORS"/>
      <sheetName val="DAYS&amp;RATES 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7">
          <cell r="AB7">
            <v>0.4</v>
          </cell>
        </row>
      </sheetData>
      <sheetData sheetId="18" refreshError="1">
        <row r="7">
          <cell r="AB7">
            <v>0.6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mericable individual tax"/>
      <sheetName val="NCN Individual tax"/>
      <sheetName val="Group tax"/>
      <sheetName val="DEBT MAPPING"/>
      <sheetName val="XX YPSO HOLDING CONSO XX"/>
      <sheetName val="Recap Bank Loans"/>
      <sheetName val="Quarterly  debt"/>
      <sheetName val="X  YPSO FRANCE Conso X"/>
      <sheetName val="STATEMENTS YPSO FRANCE"/>
      <sheetName val="XX CONSOLIDATED OPERATIONS XX"/>
      <sheetName val="Quarterly EBITDA and FCF"/>
      <sheetName val="TrB Margin Ratchet"/>
      <sheetName val="TrA Margin Ratchet"/>
      <sheetName val="QUARTERLY DATA"/>
      <sheetName val="Working capital"/>
      <sheetName val="STATEMENTS YPSO HOLDING"/>
      <sheetName val="STATEMENTS NUMERICABLE CONSO"/>
      <sheetName val="STATEMENTS NUMERICABLE"/>
      <sheetName val="STATEMENTS NCN"/>
      <sheetName val="Assumptions"/>
      <sheetName val="xxxxxxxxxxxxxxxxxxxxxxxxx"/>
      <sheetName val="STATEMENTS Subgroup2"/>
      <sheetName val="STATS Subgroup2"/>
      <sheetName val="STATEMENTS Subgroup3"/>
      <sheetName val="STATS Subgroup3"/>
      <sheetName val="Recap Bank Loans SECOND TRANCHE"/>
      <sheetName val="Recap Investors Loan"/>
      <sheetName val="Performance fee calculation"/>
      <sheetName val="xxx quarterly figures xxx"/>
      <sheetName val="EBITDA"/>
      <sheetName val="CAPEX"/>
      <sheetName val="TAX AND SOCIAL"/>
      <sheetName val="SEASONALITY FACTORS"/>
      <sheetName val="DAYS&amp;RATES 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2">
          <cell r="AB12">
            <v>0.37235972301983122</v>
          </cell>
        </row>
      </sheetData>
      <sheetData sheetId="18" refreshError="1">
        <row r="11">
          <cell r="AB11">
            <v>0.62764027698016878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ED"/>
      <sheetName val="FIXMOB"/>
      <sheetName val="HillSamuel"/>
      <sheetName val="NEWCASH"/>
      <sheetName val="BB"/>
      <sheetName val="YB"/>
      <sheetName val="BTAT&amp;T"/>
      <sheetName val="INT"/>
      <sheetName val="VALUE"/>
      <sheetName val="Analytics"/>
      <sheetName val="CONSDCF"/>
      <sheetName val="ADSL"/>
      <sheetName val="ISP subs"/>
      <sheetName val="NEWP&amp;L"/>
      <sheetName val="PRICE"/>
      <sheetName val="BTMAIN"/>
      <sheetName val="BTCASH"/>
      <sheetName val="NEWQBYQ"/>
      <sheetName val="REVENUES"/>
      <sheetName val="BT-QTR"/>
      <sheetName val="SHAREHOLDERS"/>
      <sheetName val="MRS data"/>
      <sheetName val="CoC"/>
      <sheetName val="GRAPHICS"/>
      <sheetName val="Datapage"/>
      <sheetName val="Datapage (EURO)"/>
      <sheetName val="Datapage (2)"/>
      <sheetName val="US Partners"/>
      <sheetName val="Internet Ent Grwth"/>
      <sheetName val="Millennium_Equities(BT)"/>
      <sheetName val="Export"/>
      <sheetName val="SofP-Export"/>
      <sheetName val="BUYBACKS"/>
      <sheetName val="ACCOUNTS"/>
      <sheetName val="BTMCI"/>
      <sheetName val="BIDS"/>
      <sheetName val="STATEMENTS NCN"/>
      <sheetName val="STATEMENTS NUMERIC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2006"/>
      <sheetName val="CAPEX 2006 SOCIAL"/>
      <sheetName val="Budget 2006"/>
      <sheetName val="Paramètres"/>
    </sheetNames>
    <sheetDataSet>
      <sheetData sheetId="0"/>
      <sheetData sheetId="1"/>
      <sheetData sheetId="2"/>
      <sheetData sheetId="3"/>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RR"/>
      <sheetName val="SumMeet"/>
      <sheetName val="Revenues"/>
      <sheetName val="Usage"/>
      <sheetName val="Ratios"/>
      <sheetName val="Costs"/>
      <sheetName val="Valuation"/>
      <sheetName val="Normalised FCF 2007"/>
      <sheetName val="EVA"/>
      <sheetName val="Terminal  value DCF"/>
      <sheetName val="Normalised FCF"/>
      <sheetName val="Terminal  value EVA"/>
      <sheetName val="Sensitivity"/>
      <sheetName val="Payback (no disc.)"/>
      <sheetName val="Payback"/>
    </sheetNames>
    <sheetDataSet>
      <sheetData sheetId="0" refreshError="1">
        <row r="3">
          <cell r="D3">
            <v>0</v>
          </cell>
        </row>
        <row r="4">
          <cell r="D4">
            <v>0</v>
          </cell>
        </row>
        <row r="7">
          <cell r="D7">
            <v>0</v>
          </cell>
        </row>
        <row r="8">
          <cell r="D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New Street ResearchV5">
  <a:themeElements>
    <a:clrScheme name="New Street Research Colors">
      <a:dk1>
        <a:sysClr val="windowText" lastClr="000000"/>
      </a:dk1>
      <a:lt1>
        <a:sysClr val="window" lastClr="FFFFFF"/>
      </a:lt1>
      <a:dk2>
        <a:srgbClr val="799098"/>
      </a:dk2>
      <a:lt2>
        <a:srgbClr val="263238"/>
      </a:lt2>
      <a:accent1>
        <a:srgbClr val="C7FE02"/>
      </a:accent1>
      <a:accent2>
        <a:srgbClr val="E3F982"/>
      </a:accent2>
      <a:accent3>
        <a:srgbClr val="F9663E"/>
      </a:accent3>
      <a:accent4>
        <a:srgbClr val="F19375"/>
      </a:accent4>
      <a:accent5>
        <a:srgbClr val="00C994"/>
      </a:accent5>
      <a:accent6>
        <a:srgbClr val="80D4C1"/>
      </a:accent6>
      <a:hlink>
        <a:srgbClr val="0563C1"/>
      </a:hlink>
      <a:folHlink>
        <a:srgbClr val="954F72"/>
      </a:folHlink>
    </a:clrScheme>
    <a:fontScheme name="Custom 22">
      <a:majorFont>
        <a:latin typeface="Euclid Circular A SemiBold"/>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tx1"/>
        </a:solidFill>
        <a:ln>
          <a:no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New Street ResearchV5" id="{309FEEFB-4B36-4387-B648-66809051B3E3}" vid="{BF9357B5-92B1-4FCD-9378-3596CC4A9186}"/>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pageSetUpPr fitToPage="1"/>
  </sheetPr>
  <dimension ref="A2:XFD418"/>
  <sheetViews>
    <sheetView showGridLines="0" tabSelected="1" zoomScale="55" zoomScaleNormal="55" workbookViewId="0">
      <pane xSplit="2" ySplit="3" topLeftCell="C4" activePane="bottomRight" state="frozen"/>
      <selection pane="topRight" activeCell="C1" sqref="C1"/>
      <selection pane="bottomLeft" activeCell="A4" sqref="A4"/>
      <selection pane="bottomRight"/>
    </sheetView>
  </sheetViews>
  <sheetFormatPr defaultColWidth="9.1328125" defaultRowHeight="15.4" outlineLevelRow="1"/>
  <cols>
    <col min="1" max="1" width="2.86328125" style="489" customWidth="1"/>
    <col min="2" max="2" width="37.1328125" style="489" customWidth="1"/>
    <col min="3" max="20" width="11.46484375" style="489" customWidth="1"/>
    <col min="21" max="21" width="10.33203125" style="489" bestFit="1" customWidth="1"/>
    <col min="22" max="22" width="11.33203125" style="489" bestFit="1" customWidth="1"/>
    <col min="23" max="16384" width="9.1328125" style="489"/>
  </cols>
  <sheetData>
    <row r="2" spans="1:26">
      <c r="H2" s="724" t="s">
        <v>1380</v>
      </c>
      <c r="I2" s="724" t="s">
        <v>1381</v>
      </c>
    </row>
    <row r="3" spans="1:26" s="513" customFormat="1">
      <c r="A3" s="722"/>
      <c r="B3" s="513" t="s">
        <v>1385</v>
      </c>
      <c r="C3" s="513">
        <v>2013</v>
      </c>
      <c r="D3" s="513">
        <v>2014</v>
      </c>
      <c r="E3" s="513">
        <v>2015</v>
      </c>
      <c r="F3" s="513">
        <v>2016</v>
      </c>
      <c r="G3" s="513">
        <v>2017</v>
      </c>
      <c r="H3" s="513">
        <v>2018</v>
      </c>
      <c r="I3" s="513">
        <v>2019</v>
      </c>
      <c r="J3" s="513">
        <v>2020</v>
      </c>
      <c r="K3" s="513">
        <v>2021</v>
      </c>
      <c r="L3" s="513">
        <v>2022</v>
      </c>
      <c r="M3" s="513">
        <v>2023</v>
      </c>
      <c r="N3" s="513">
        <v>2024</v>
      </c>
      <c r="O3" s="513">
        <v>2025</v>
      </c>
      <c r="P3" s="722">
        <f>O3+1</f>
        <v>2026</v>
      </c>
      <c r="Q3" s="722">
        <f>P3+1</f>
        <v>2027</v>
      </c>
      <c r="R3" s="722">
        <f>Q3+1</f>
        <v>2028</v>
      </c>
      <c r="S3" s="722">
        <f>R3+1</f>
        <v>2029</v>
      </c>
      <c r="T3" s="722">
        <f>S3+1</f>
        <v>2030</v>
      </c>
      <c r="U3" s="722">
        <f t="shared" ref="U3:Z3" si="0">T3+1</f>
        <v>2031</v>
      </c>
      <c r="V3" s="722">
        <f t="shared" si="0"/>
        <v>2032</v>
      </c>
      <c r="W3" s="722">
        <f t="shared" si="0"/>
        <v>2033</v>
      </c>
      <c r="X3" s="722">
        <f t="shared" si="0"/>
        <v>2034</v>
      </c>
      <c r="Y3" s="722">
        <f t="shared" si="0"/>
        <v>2035</v>
      </c>
      <c r="Z3" s="722">
        <f t="shared" si="0"/>
        <v>2036</v>
      </c>
    </row>
    <row r="4" spans="1:26">
      <c r="P4" s="531"/>
    </row>
    <row r="5" spans="1:26">
      <c r="B5" s="489" t="s">
        <v>93</v>
      </c>
      <c r="C5" s="531">
        <f>Fixed!C179</f>
        <v>144.96100000000001</v>
      </c>
      <c r="D5" s="531">
        <f>Fixed!D179</f>
        <v>142.54256278000003</v>
      </c>
      <c r="E5" s="531">
        <f>Fixed!E179</f>
        <v>172.38632501999999</v>
      </c>
      <c r="F5" s="531">
        <f>Fixed!F179</f>
        <v>259</v>
      </c>
      <c r="G5" s="531">
        <f>Fixed!G179</f>
        <v>256.7</v>
      </c>
      <c r="H5" s="531">
        <f>Fixed!H179</f>
        <v>249.85536539200035</v>
      </c>
      <c r="I5" s="531">
        <f>Fixed!I179</f>
        <v>238.35053718228983</v>
      </c>
      <c r="J5" s="531">
        <f>Fixed!J179</f>
        <v>226.8</v>
      </c>
      <c r="K5" s="531">
        <f>Fixed!K179</f>
        <v>218.23881466958363</v>
      </c>
      <c r="L5" s="531">
        <f>Fixed!L179</f>
        <v>202.52998415548132</v>
      </c>
      <c r="M5" s="531">
        <f>Fixed!M179</f>
        <v>188.7110290691534</v>
      </c>
      <c r="N5" s="531">
        <f ca="1">Fixed!N179</f>
        <v>147.8752560329269</v>
      </c>
      <c r="O5" s="531">
        <f ca="1">Fixed!O179</f>
        <v>123.26951824633576</v>
      </c>
      <c r="P5" s="531">
        <f ca="1">Fixed!P179</f>
        <v>123.63941285987076</v>
      </c>
      <c r="Q5" s="531">
        <f ca="1">Fixed!Q179</f>
        <v>120.54650944736628</v>
      </c>
      <c r="R5" s="531">
        <f ca="1">Fixed!R179</f>
        <v>117.8941871808581</v>
      </c>
      <c r="S5" s="531">
        <f ca="1">Fixed!S179</f>
        <v>115.65756367681243</v>
      </c>
      <c r="T5" s="531">
        <f ca="1">Fixed!T179</f>
        <v>113.62424001572842</v>
      </c>
      <c r="U5" s="531">
        <f ca="1">Fixed!U179</f>
        <v>111.59078845112856</v>
      </c>
      <c r="V5" s="531">
        <f ca="1">Fixed!V179</f>
        <v>109.55358776392953</v>
      </c>
      <c r="W5" s="531">
        <f ca="1">Fixed!W179</f>
        <v>107.50894244546552</v>
      </c>
      <c r="X5" s="531">
        <f ca="1">Fixed!X179</f>
        <v>105.45308144484754</v>
      </c>
      <c r="Y5" s="531">
        <f ca="1">Fixed!Y179</f>
        <v>103.38215689740892</v>
      </c>
      <c r="Z5" s="531">
        <f ca="1">Fixed!Z179</f>
        <v>101.29224283397139</v>
      </c>
    </row>
    <row r="6" spans="1:26">
      <c r="B6" s="489" t="s">
        <v>91</v>
      </c>
      <c r="C6" s="531">
        <f>Fixed!C181</f>
        <v>41.552999999999997</v>
      </c>
      <c r="D6" s="531">
        <f>Fixed!D181</f>
        <v>50.386587310000003</v>
      </c>
      <c r="E6" s="531">
        <f>Fixed!E181</f>
        <v>77.673945809999992</v>
      </c>
      <c r="F6" s="531">
        <f>Fixed!F181</f>
        <v>133.80000000000001</v>
      </c>
      <c r="G6" s="531">
        <f>Fixed!G181</f>
        <v>144.80000000000001</v>
      </c>
      <c r="H6" s="531">
        <f>Fixed!H181</f>
        <v>139.48227615000002</v>
      </c>
      <c r="I6" s="531">
        <f>Fixed!I181</f>
        <v>142.6829013</v>
      </c>
      <c r="J6" s="531">
        <f>Fixed!J181</f>
        <v>146.30000000000001</v>
      </c>
      <c r="K6" s="531">
        <f>Fixed!K181</f>
        <v>150.85983016</v>
      </c>
      <c r="L6" s="531">
        <f>Fixed!L181</f>
        <v>157.54322310999999</v>
      </c>
      <c r="M6" s="531">
        <f>Fixed!M181</f>
        <v>168.13099800000001</v>
      </c>
      <c r="N6" s="531">
        <f ca="1">Fixed!N181</f>
        <v>187.37801335158861</v>
      </c>
      <c r="O6" s="531">
        <f ca="1">Fixed!O181</f>
        <v>208.40147837195119</v>
      </c>
      <c r="P6" s="531">
        <f ca="1">Fixed!P181</f>
        <v>229.76209426355169</v>
      </c>
      <c r="Q6" s="531">
        <f ca="1">Fixed!Q181</f>
        <v>250.8230735013594</v>
      </c>
      <c r="R6" s="531">
        <f ca="1">Fixed!R181</f>
        <v>269.98113644577961</v>
      </c>
      <c r="S6" s="531">
        <f ca="1">Fixed!S181</f>
        <v>289.00720371738117</v>
      </c>
      <c r="T6" s="531">
        <f ca="1">Fixed!T181</f>
        <v>305.16672088094123</v>
      </c>
      <c r="U6" s="531">
        <f ca="1">Fixed!U181</f>
        <v>323.0524347154082</v>
      </c>
      <c r="V6" s="531">
        <f ca="1">Fixed!V181</f>
        <v>341.91694717415845</v>
      </c>
      <c r="W6" s="531">
        <f ca="1">Fixed!W181</f>
        <v>361.81139333583684</v>
      </c>
      <c r="X6" s="531">
        <f ca="1">Fixed!X181</f>
        <v>382.78949094081474</v>
      </c>
      <c r="Y6" s="531">
        <f ca="1">Fixed!Y181</f>
        <v>404.90766750533083</v>
      </c>
      <c r="Z6" s="531">
        <f ca="1">Fixed!Z181</f>
        <v>428.22519356519967</v>
      </c>
    </row>
    <row r="7" spans="1:26">
      <c r="B7" s="618" t="s">
        <v>1513</v>
      </c>
      <c r="C7" s="531"/>
      <c r="D7" s="531"/>
      <c r="E7" s="531"/>
      <c r="F7" s="531"/>
      <c r="G7" s="531"/>
      <c r="H7" s="531">
        <f>Fixed!H183</f>
        <v>48</v>
      </c>
      <c r="I7" s="531">
        <f>Fixed!I183</f>
        <v>56.111999999999995</v>
      </c>
      <c r="J7" s="531">
        <f>Fixed!J183</f>
        <v>61.9</v>
      </c>
      <c r="K7" s="531">
        <f>Fixed!K183</f>
        <v>50.341374009999996</v>
      </c>
      <c r="L7" s="531">
        <f>Fixed!L183</f>
        <v>45.373768670000004</v>
      </c>
      <c r="M7" s="531">
        <f>Fixed!M183</f>
        <v>44.742804710000001</v>
      </c>
      <c r="N7" s="531">
        <f>Fixed!N183</f>
        <v>45.190232757099999</v>
      </c>
      <c r="O7" s="531">
        <f>Fixed!O183</f>
        <v>45.190232757099999</v>
      </c>
      <c r="P7" s="531">
        <f>Fixed!P183</f>
        <v>46.094037412242002</v>
      </c>
      <c r="Q7" s="531">
        <f>Fixed!Q183</f>
        <v>47.015918160486841</v>
      </c>
      <c r="R7" s="531">
        <f>Fixed!R183</f>
        <v>47.956236523696582</v>
      </c>
      <c r="S7" s="531">
        <f>Fixed!S183</f>
        <v>48.915361254170513</v>
      </c>
      <c r="T7" s="531">
        <f>Fixed!T183</f>
        <v>49.893668479253925</v>
      </c>
      <c r="U7" s="531">
        <f>Fixed!U183</f>
        <v>50.891541848839005</v>
      </c>
      <c r="V7" s="531">
        <f>Fixed!V183</f>
        <v>51.909372685815782</v>
      </c>
      <c r="W7" s="531">
        <f>Fixed!W183</f>
        <v>52.947560139532101</v>
      </c>
      <c r="X7" s="531">
        <f>Fixed!X183</f>
        <v>54.006511342322746</v>
      </c>
      <c r="Y7" s="531">
        <f>Fixed!Y183</f>
        <v>55.086641569169203</v>
      </c>
      <c r="Z7" s="531">
        <f>Fixed!Z183</f>
        <v>56.18837440055259</v>
      </c>
    </row>
    <row r="8" spans="1:26">
      <c r="B8" s="489" t="s">
        <v>80</v>
      </c>
      <c r="C8" s="531">
        <f>Fixed!C185</f>
        <v>19.707999999999998</v>
      </c>
      <c r="D8" s="531">
        <f>Fixed!D185</f>
        <v>20.065384519999995</v>
      </c>
      <c r="E8" s="531">
        <f>Fixed!E185</f>
        <v>29.10565549</v>
      </c>
      <c r="F8" s="531">
        <f>Fixed!F185</f>
        <v>85.4</v>
      </c>
      <c r="G8" s="531">
        <f>Fixed!G185</f>
        <v>95.4</v>
      </c>
      <c r="H8" s="531">
        <f>Fixed!H185</f>
        <v>57</v>
      </c>
      <c r="I8" s="531">
        <f>Fixed!I185</f>
        <v>62.259315177710199</v>
      </c>
      <c r="J8" s="531">
        <f>Fixed!J185</f>
        <v>45.000000000000007</v>
      </c>
      <c r="K8" s="531">
        <f>Fixed!K185</f>
        <v>43.403644210416367</v>
      </c>
      <c r="L8" s="531">
        <f>Fixed!L185</f>
        <v>41.089225354518689</v>
      </c>
      <c r="M8" s="531">
        <f>Fixed!M185</f>
        <v>50.476379780846592</v>
      </c>
      <c r="N8" s="531">
        <f ca="1">Fixed!N185</f>
        <v>53.421118404047526</v>
      </c>
      <c r="O8" s="531">
        <f ca="1">Fixed!O185</f>
        <v>57.288307367756289</v>
      </c>
      <c r="P8" s="531">
        <f ca="1">Fixed!P185</f>
        <v>63.326315046344178</v>
      </c>
      <c r="Q8" s="531">
        <f ca="1">Fixed!Q185</f>
        <v>71.47638870132711</v>
      </c>
      <c r="R8" s="531">
        <f ca="1">Fixed!R185</f>
        <v>82.637360806156437</v>
      </c>
      <c r="S8" s="531">
        <f ca="1">Fixed!S185</f>
        <v>98.388117030403208</v>
      </c>
      <c r="T8" s="531">
        <f ca="1">Fixed!T185</f>
        <v>116.65169743562477</v>
      </c>
      <c r="U8" s="531">
        <f ca="1">Fixed!U185</f>
        <v>134.77197045200697</v>
      </c>
      <c r="V8" s="531">
        <f ca="1">Fixed!V185</f>
        <v>152.71159849785812</v>
      </c>
      <c r="W8" s="531">
        <f ca="1">Fixed!W185</f>
        <v>170.43104872297991</v>
      </c>
      <c r="X8" s="531">
        <f ca="1">Fixed!X185</f>
        <v>187.8884990876299</v>
      </c>
      <c r="Y8" s="531">
        <f ca="1">Fixed!Y185</f>
        <v>205.03974102661186</v>
      </c>
      <c r="Z8" s="531">
        <f ca="1">Fixed!Z185</f>
        <v>221.83807858650275</v>
      </c>
    </row>
    <row r="9" spans="1:26" s="58" customFormat="1">
      <c r="B9" s="58" t="s">
        <v>1227</v>
      </c>
      <c r="C9" s="534">
        <f t="shared" ref="C9:T9" si="1">SUM(C5:C8)</f>
        <v>206.22200000000001</v>
      </c>
      <c r="D9" s="534">
        <f t="shared" si="1"/>
        <v>212.99453461000002</v>
      </c>
      <c r="E9" s="534">
        <f t="shared" si="1"/>
        <v>279.16592631999998</v>
      </c>
      <c r="F9" s="534">
        <f t="shared" si="1"/>
        <v>478.20000000000005</v>
      </c>
      <c r="G9" s="534">
        <f t="shared" si="1"/>
        <v>496.9</v>
      </c>
      <c r="H9" s="534">
        <f t="shared" si="1"/>
        <v>494.33764154200037</v>
      </c>
      <c r="I9" s="534">
        <f t="shared" si="1"/>
        <v>499.40475366000004</v>
      </c>
      <c r="J9" s="534">
        <f t="shared" si="1"/>
        <v>480</v>
      </c>
      <c r="K9" s="534">
        <f t="shared" si="1"/>
        <v>462.84366304999998</v>
      </c>
      <c r="L9" s="534">
        <f t="shared" si="1"/>
        <v>446.53620129000001</v>
      </c>
      <c r="M9" s="534">
        <f t="shared" si="1"/>
        <v>452.06121156</v>
      </c>
      <c r="N9" s="534">
        <f t="shared" ca="1" si="1"/>
        <v>433.86462054566306</v>
      </c>
      <c r="O9" s="534">
        <f t="shared" ca="1" si="1"/>
        <v>434.14953674314324</v>
      </c>
      <c r="P9" s="534">
        <f t="shared" ca="1" si="1"/>
        <v>462.82185958200864</v>
      </c>
      <c r="Q9" s="534">
        <f t="shared" ca="1" si="1"/>
        <v>489.86188981053959</v>
      </c>
      <c r="R9" s="534">
        <f t="shared" ca="1" si="1"/>
        <v>518.46892095649082</v>
      </c>
      <c r="S9" s="534">
        <f t="shared" ca="1" si="1"/>
        <v>551.9682456787674</v>
      </c>
      <c r="T9" s="534">
        <f t="shared" ca="1" si="1"/>
        <v>585.33632681154825</v>
      </c>
      <c r="U9" s="534">
        <f t="shared" ref="U9:Z9" ca="1" si="2">SUM(U5:U8)</f>
        <v>620.30673546738274</v>
      </c>
      <c r="V9" s="534">
        <f t="shared" ca="1" si="2"/>
        <v>656.091506121762</v>
      </c>
      <c r="W9" s="534">
        <f t="shared" ca="1" si="2"/>
        <v>692.69894464381434</v>
      </c>
      <c r="X9" s="534">
        <f t="shared" ca="1" si="2"/>
        <v>730.13758281561491</v>
      </c>
      <c r="Y9" s="534">
        <f t="shared" ca="1" si="2"/>
        <v>768.41620699852081</v>
      </c>
      <c r="Z9" s="534">
        <f t="shared" ca="1" si="2"/>
        <v>807.5438893862264</v>
      </c>
    </row>
    <row r="10" spans="1:26">
      <c r="B10" s="536" t="s">
        <v>1382</v>
      </c>
      <c r="C10" s="536"/>
      <c r="D10" s="756">
        <f t="shared" ref="D10:T10" si="3">D9/C9-1</f>
        <v>3.2840989855592584E-2</v>
      </c>
      <c r="E10" s="756">
        <f t="shared" si="3"/>
        <v>0.31067178240588178</v>
      </c>
      <c r="F10" s="756">
        <f t="shared" si="3"/>
        <v>0.71295976662944516</v>
      </c>
      <c r="G10" s="756">
        <f t="shared" si="3"/>
        <v>3.9104976997072161E-2</v>
      </c>
      <c r="H10" s="756">
        <f t="shared" si="3"/>
        <v>-5.1566883839798683E-3</v>
      </c>
      <c r="I10" s="756">
        <f t="shared" si="3"/>
        <v>1.0250306050321623E-2</v>
      </c>
      <c r="J10" s="756">
        <f t="shared" si="3"/>
        <v>-3.8855764823598427E-2</v>
      </c>
      <c r="K10" s="756">
        <f t="shared" si="3"/>
        <v>-3.5742368645833356E-2</v>
      </c>
      <c r="L10" s="756">
        <f t="shared" si="3"/>
        <v>-3.5233196566933023E-2</v>
      </c>
      <c r="M10" s="756">
        <f t="shared" si="3"/>
        <v>1.2373039977584765E-2</v>
      </c>
      <c r="N10" s="756">
        <f t="shared" ca="1" si="3"/>
        <v>-4.0252493576131143E-2</v>
      </c>
      <c r="O10" s="756">
        <f t="shared" ca="1" si="3"/>
        <v>6.5669377955246411E-4</v>
      </c>
      <c r="P10" s="756">
        <f t="shared" ca="1" si="3"/>
        <v>6.6042504741468555E-2</v>
      </c>
      <c r="Q10" s="756">
        <f t="shared" ca="1" si="3"/>
        <v>5.8424272036225355E-2</v>
      </c>
      <c r="R10" s="756">
        <f t="shared" ca="1" si="3"/>
        <v>5.8398156176254767E-2</v>
      </c>
      <c r="S10" s="756">
        <f t="shared" ca="1" si="3"/>
        <v>6.4612020833333172E-2</v>
      </c>
      <c r="T10" s="756">
        <f t="shared" ca="1" si="3"/>
        <v>6.0452899952147421E-2</v>
      </c>
      <c r="U10" s="756">
        <f t="shared" ref="U10" ca="1" si="4">U9/T9-1</f>
        <v>5.9744128382268391E-2</v>
      </c>
      <c r="V10" s="756">
        <f t="shared" ref="V10" ca="1" si="5">V9/U9-1</f>
        <v>5.7688831360853232E-2</v>
      </c>
      <c r="W10" s="756">
        <f t="shared" ref="W10" ca="1" si="6">W9/V9-1</f>
        <v>5.5796239061900677E-2</v>
      </c>
      <c r="X10" s="756">
        <f t="shared" ref="X10" ca="1" si="7">X9/W9-1</f>
        <v>5.4047488394906473E-2</v>
      </c>
      <c r="Y10" s="756">
        <f t="shared" ref="Y10" ca="1" si="8">Y9/X9-1</f>
        <v>5.2426590664313988E-2</v>
      </c>
      <c r="Z10" s="756">
        <f t="shared" ref="Z10" ca="1" si="9">Z9/Y9-1</f>
        <v>5.0919907767875694E-2</v>
      </c>
    </row>
    <row r="11" spans="1:26">
      <c r="F11" s="490"/>
      <c r="M11" s="531"/>
      <c r="N11" s="531"/>
      <c r="O11" s="531"/>
      <c r="P11" s="531"/>
      <c r="Q11" s="531"/>
      <c r="R11" s="531"/>
    </row>
    <row r="12" spans="1:26" s="58" customFormat="1">
      <c r="B12" s="58" t="s">
        <v>28</v>
      </c>
      <c r="C12" s="516">
        <f>Fixed!C8</f>
        <v>88.077000000000055</v>
      </c>
      <c r="D12" s="516">
        <f>Fixed!D8</f>
        <v>98.936668599896052</v>
      </c>
      <c r="E12" s="516">
        <f>Fixed!E8</f>
        <v>140.88094095</v>
      </c>
      <c r="F12" s="516">
        <f>Fixed!F8</f>
        <v>250.1</v>
      </c>
      <c r="G12" s="516">
        <f>Fixed!G8</f>
        <v>264.7</v>
      </c>
      <c r="H12" s="516">
        <f>Fixed!H8</f>
        <v>235.99661195000004</v>
      </c>
      <c r="I12" s="516">
        <f>Fixed!I8</f>
        <v>239.45407107999998</v>
      </c>
      <c r="J12" s="516">
        <f>Fixed!J8</f>
        <v>242.18396066</v>
      </c>
      <c r="K12" s="516">
        <f>Fixed!K8</f>
        <v>226.45299999999997</v>
      </c>
      <c r="L12" s="516">
        <f>Fixed!L8</f>
        <v>181.58300000000003</v>
      </c>
      <c r="M12" s="516">
        <f ca="1">Fixed!M8</f>
        <v>190.85454653151407</v>
      </c>
      <c r="N12" s="516">
        <f ca="1">Fixed!N8</f>
        <v>184.97974954401991</v>
      </c>
      <c r="O12" s="516">
        <f ca="1">Fixed!O8</f>
        <v>192.26576222893047</v>
      </c>
      <c r="P12" s="516">
        <f ca="1">Fixed!P8</f>
        <v>209.68398168306288</v>
      </c>
      <c r="Q12" s="516">
        <f ca="1">Fixed!Q8</f>
        <v>228.62711092244257</v>
      </c>
      <c r="R12" s="516">
        <f ca="1">Fixed!R8</f>
        <v>249.10503433769716</v>
      </c>
      <c r="S12" s="516">
        <f ca="1">Fixed!S8</f>
        <v>273.47661400054051</v>
      </c>
      <c r="T12" s="516">
        <f ca="1">Fixed!T8</f>
        <v>298.79495662173173</v>
      </c>
      <c r="U12" s="516">
        <f ca="1">Fixed!U8</f>
        <v>325.85744290204622</v>
      </c>
      <c r="V12" s="516">
        <f ca="1">Fixed!V8</f>
        <v>352.81269762450358</v>
      </c>
      <c r="W12" s="516">
        <f ca="1">Fixed!W8</f>
        <v>380.78171492757747</v>
      </c>
      <c r="X12" s="516">
        <f ca="1">Fixed!X8</f>
        <v>409.78440490838074</v>
      </c>
      <c r="Y12" s="516">
        <f ca="1">Fixed!Y8</f>
        <v>439.84128577463719</v>
      </c>
      <c r="Z12" s="516">
        <f ca="1">Fixed!Z8</f>
        <v>470.97351969960295</v>
      </c>
    </row>
    <row r="13" spans="1:26">
      <c r="B13" s="536" t="s">
        <v>1382</v>
      </c>
      <c r="C13" s="536"/>
      <c r="D13" s="756">
        <f t="shared" ref="D13:T13" si="10">D12/C12-1</f>
        <v>0.1232974397390465</v>
      </c>
      <c r="E13" s="756">
        <f t="shared" si="10"/>
        <v>0.42395072467750361</v>
      </c>
      <c r="F13" s="756">
        <f t="shared" si="10"/>
        <v>0.77525787600157292</v>
      </c>
      <c r="G13" s="756">
        <f t="shared" si="10"/>
        <v>5.8376649340263764E-2</v>
      </c>
      <c r="H13" s="756">
        <f t="shared" si="10"/>
        <v>-0.10843743124291627</v>
      </c>
      <c r="I13" s="756">
        <f t="shared" si="10"/>
        <v>1.4650460874974236E-2</v>
      </c>
      <c r="J13" s="756">
        <f t="shared" si="10"/>
        <v>1.1400472615426871E-2</v>
      </c>
      <c r="K13" s="756">
        <f t="shared" si="10"/>
        <v>-6.4954593265094784E-2</v>
      </c>
      <c r="L13" s="756">
        <f t="shared" si="10"/>
        <v>-0.19814266094951249</v>
      </c>
      <c r="M13" s="756">
        <f t="shared" ca="1" si="10"/>
        <v>5.1059551453131791E-2</v>
      </c>
      <c r="N13" s="756">
        <f t="shared" ca="1" si="10"/>
        <v>-3.0781540677230379E-2</v>
      </c>
      <c r="O13" s="756">
        <f t="shared" ca="1" si="10"/>
        <v>3.938816385507482E-2</v>
      </c>
      <c r="P13" s="756">
        <f t="shared" ca="1" si="10"/>
        <v>9.0594494059699437E-2</v>
      </c>
      <c r="Q13" s="756">
        <f t="shared" ca="1" si="10"/>
        <v>9.0341327398161475E-2</v>
      </c>
      <c r="R13" s="756">
        <f t="shared" ca="1" si="10"/>
        <v>8.9569094988919851E-2</v>
      </c>
      <c r="S13" s="756">
        <f t="shared" ca="1" si="10"/>
        <v>9.7836560098597758E-2</v>
      </c>
      <c r="T13" s="756">
        <f t="shared" ca="1" si="10"/>
        <v>9.2579552784506802E-2</v>
      </c>
      <c r="U13" s="756">
        <f t="shared" ref="U13" ca="1" si="11">U12/T12-1</f>
        <v>9.0572098626734876E-2</v>
      </c>
      <c r="V13" s="756">
        <f t="shared" ref="V13" ca="1" si="12">V12/U12-1</f>
        <v>8.2721003646248459E-2</v>
      </c>
      <c r="W13" s="756">
        <f t="shared" ref="W13" ca="1" si="13">W12/V12-1</f>
        <v>7.9274406764240579E-2</v>
      </c>
      <c r="X13" s="756">
        <f t="shared" ref="X13" ca="1" si="14">X12/W12-1</f>
        <v>7.6166183521494402E-2</v>
      </c>
      <c r="Y13" s="756">
        <f t="shared" ref="Y13" ca="1" si="15">Y12/X12-1</f>
        <v>7.334803498189868E-2</v>
      </c>
      <c r="Z13" s="756">
        <f t="shared" ref="Z13" ca="1" si="16">Z12/Y12-1</f>
        <v>7.0780608669184897E-2</v>
      </c>
    </row>
    <row r="14" spans="1:26">
      <c r="B14" s="536" t="s">
        <v>1182</v>
      </c>
      <c r="C14" s="756">
        <f t="shared" ref="C14:T14" si="17">C12/C9</f>
        <v>0.42709798178661856</v>
      </c>
      <c r="D14" s="756">
        <f t="shared" si="17"/>
        <v>0.46450332061830762</v>
      </c>
      <c r="E14" s="756">
        <f t="shared" si="17"/>
        <v>0.50464948501097573</v>
      </c>
      <c r="F14" s="756">
        <f t="shared" si="17"/>
        <v>0.52300292764533662</v>
      </c>
      <c r="G14" s="756">
        <f t="shared" si="17"/>
        <v>0.53270275709398274</v>
      </c>
      <c r="H14" s="756">
        <f t="shared" si="17"/>
        <v>0.47739963967512089</v>
      </c>
      <c r="I14" s="756">
        <f t="shared" si="17"/>
        <v>0.47947895835012977</v>
      </c>
      <c r="J14" s="756">
        <f t="shared" si="17"/>
        <v>0.50454991804166671</v>
      </c>
      <c r="K14" s="756">
        <f t="shared" si="17"/>
        <v>0.48926455751331471</v>
      </c>
      <c r="L14" s="756">
        <f t="shared" si="17"/>
        <v>0.40664788090063975</v>
      </c>
      <c r="M14" s="756">
        <f t="shared" ca="1" si="17"/>
        <v>0.42218739774841935</v>
      </c>
      <c r="N14" s="756">
        <f t="shared" ca="1" si="17"/>
        <v>0.42635361535442667</v>
      </c>
      <c r="O14" s="756">
        <f t="shared" ca="1" si="17"/>
        <v>0.44285608058285469</v>
      </c>
      <c r="P14" s="756">
        <f t="shared" ca="1" si="17"/>
        <v>0.45305548418226432</v>
      </c>
      <c r="Q14" s="756">
        <f t="shared" ca="1" si="17"/>
        <v>0.46671748849633321</v>
      </c>
      <c r="R14" s="756">
        <f t="shared" ca="1" si="17"/>
        <v>0.48046280937753971</v>
      </c>
      <c r="S14" s="756">
        <f t="shared" ca="1" si="17"/>
        <v>0.49545715019210995</v>
      </c>
      <c r="T14" s="756">
        <f t="shared" ca="1" si="17"/>
        <v>0.51046713305721436</v>
      </c>
      <c r="U14" s="756">
        <f t="shared" ref="U14:Z14" ca="1" si="18">U12/U9</f>
        <v>0.52531662848465166</v>
      </c>
      <c r="V14" s="756">
        <f t="shared" ca="1" si="18"/>
        <v>0.53774922298571282</v>
      </c>
      <c r="W14" s="756">
        <f t="shared" ca="1" si="18"/>
        <v>0.54970736980604951</v>
      </c>
      <c r="X14" s="756">
        <f t="shared" ca="1" si="18"/>
        <v>0.56124272267719377</v>
      </c>
      <c r="Y14" s="756">
        <f t="shared" ca="1" si="18"/>
        <v>0.5723998033470471</v>
      </c>
      <c r="Z14" s="756">
        <f t="shared" ca="1" si="18"/>
        <v>0.58321724167533018</v>
      </c>
    </row>
    <row r="16" spans="1:26">
      <c r="B16" s="489" t="s">
        <v>85</v>
      </c>
      <c r="C16" s="725">
        <f t="shared" ref="C16:L16" si="19">C17-C12</f>
        <v>3.0889999999999986</v>
      </c>
      <c r="D16" s="725">
        <f t="shared" si="19"/>
        <v>-14.782299819999992</v>
      </c>
      <c r="E16" s="725">
        <f t="shared" si="19"/>
        <v>-68.092404630000104</v>
      </c>
      <c r="F16" s="725">
        <f t="shared" si="19"/>
        <v>-31.299999999999983</v>
      </c>
      <c r="G16" s="725">
        <f t="shared" si="19"/>
        <v>-68</v>
      </c>
      <c r="H16" s="725">
        <f t="shared" si="19"/>
        <v>-46.400786667999625</v>
      </c>
      <c r="I16" s="725">
        <f t="shared" si="19"/>
        <v>-25.323781889999992</v>
      </c>
      <c r="J16" s="725">
        <f t="shared" si="19"/>
        <v>-12.56839205</v>
      </c>
      <c r="K16" s="725">
        <f t="shared" ca="1" si="19"/>
        <v>-24.052999999999969</v>
      </c>
      <c r="L16" s="725">
        <f t="shared" ca="1" si="19"/>
        <v>-18.283000000000015</v>
      </c>
      <c r="M16" s="725">
        <f ca="1">M17-M12</f>
        <v>-47.554546531514063</v>
      </c>
      <c r="N16" s="898">
        <v>-45</v>
      </c>
      <c r="O16" s="898">
        <v>-25</v>
      </c>
      <c r="P16" s="898">
        <v>-20</v>
      </c>
      <c r="Q16" s="898">
        <v>-10</v>
      </c>
      <c r="R16" s="898">
        <v>-10</v>
      </c>
      <c r="S16" s="898">
        <v>-10</v>
      </c>
      <c r="T16" s="898">
        <v>-10</v>
      </c>
      <c r="U16" s="898">
        <v>-10</v>
      </c>
      <c r="V16" s="898">
        <v>-10</v>
      </c>
      <c r="W16" s="898">
        <v>-10</v>
      </c>
      <c r="X16" s="898">
        <v>-10</v>
      </c>
      <c r="Y16" s="898">
        <v>-10</v>
      </c>
      <c r="Z16" s="898">
        <v>0</v>
      </c>
    </row>
    <row r="17" spans="1:26">
      <c r="B17" s="58" t="s">
        <v>27</v>
      </c>
      <c r="C17" s="739">
        <f t="shared" ref="C17:I17" si="20">C60</f>
        <v>91.166000000000054</v>
      </c>
      <c r="D17" s="739">
        <f t="shared" si="20"/>
        <v>84.15436877989606</v>
      </c>
      <c r="E17" s="739">
        <f t="shared" si="20"/>
        <v>72.788536319999892</v>
      </c>
      <c r="F17" s="739">
        <f t="shared" si="20"/>
        <v>218.8</v>
      </c>
      <c r="G17" s="739">
        <f t="shared" si="20"/>
        <v>196.7</v>
      </c>
      <c r="H17" s="739">
        <f t="shared" si="20"/>
        <v>189.59582528200042</v>
      </c>
      <c r="I17" s="739">
        <f t="shared" si="20"/>
        <v>214.13028918999998</v>
      </c>
      <c r="J17" s="739">
        <f>Interims!AS96</f>
        <v>229.61556861</v>
      </c>
      <c r="K17" s="739">
        <f ca="1">Interims!AX96</f>
        <v>202.4</v>
      </c>
      <c r="L17" s="739">
        <f ca="1">Interims!BC96</f>
        <v>163.30000000000001</v>
      </c>
      <c r="M17" s="739">
        <v>143.30000000000001</v>
      </c>
      <c r="N17" s="727">
        <f t="shared" ref="N17:T17" ca="1" si="21">N12+N16</f>
        <v>139.97974954401991</v>
      </c>
      <c r="O17" s="727">
        <f t="shared" ca="1" si="21"/>
        <v>167.26576222893047</v>
      </c>
      <c r="P17" s="727">
        <f t="shared" ca="1" si="21"/>
        <v>189.68398168306288</v>
      </c>
      <c r="Q17" s="727">
        <f t="shared" ca="1" si="21"/>
        <v>218.62711092244257</v>
      </c>
      <c r="R17" s="727">
        <f t="shared" ca="1" si="21"/>
        <v>239.10503433769716</v>
      </c>
      <c r="S17" s="727">
        <f t="shared" ca="1" si="21"/>
        <v>263.47661400054051</v>
      </c>
      <c r="T17" s="727">
        <f t="shared" ca="1" si="21"/>
        <v>288.79495662173173</v>
      </c>
      <c r="U17" s="727">
        <f t="shared" ref="U17:Z17" ca="1" si="22">U12+U16</f>
        <v>315.85744290204622</v>
      </c>
      <c r="V17" s="727">
        <f t="shared" ca="1" si="22"/>
        <v>342.81269762450358</v>
      </c>
      <c r="W17" s="727">
        <f t="shared" ca="1" si="22"/>
        <v>370.78171492757747</v>
      </c>
      <c r="X17" s="727">
        <f t="shared" ca="1" si="22"/>
        <v>399.78440490838074</v>
      </c>
      <c r="Y17" s="727">
        <f t="shared" ca="1" si="22"/>
        <v>429.84128577463719</v>
      </c>
      <c r="Z17" s="727">
        <f t="shared" ca="1" si="22"/>
        <v>470.97351969960295</v>
      </c>
    </row>
    <row r="18" spans="1:26">
      <c r="B18" s="536" t="s">
        <v>1382</v>
      </c>
      <c r="C18" s="536"/>
      <c r="D18" s="756">
        <f t="shared" ref="D18:T18" si="23">D17/C17-1</f>
        <v>-7.6910594082267414E-2</v>
      </c>
      <c r="E18" s="756">
        <f t="shared" si="23"/>
        <v>-0.13505932757481975</v>
      </c>
      <c r="F18" s="756">
        <f t="shared" si="23"/>
        <v>2.0059678496362481</v>
      </c>
      <c r="G18" s="756">
        <f t="shared" si="23"/>
        <v>-0.10100548446069479</v>
      </c>
      <c r="H18" s="756">
        <f t="shared" si="23"/>
        <v>-3.6116800803251525E-2</v>
      </c>
      <c r="I18" s="756">
        <f t="shared" si="23"/>
        <v>0.12940403023910241</v>
      </c>
      <c r="J18" s="756">
        <f t="shared" si="23"/>
        <v>7.2317090116381211E-2</v>
      </c>
      <c r="K18" s="756">
        <f t="shared" ca="1" si="23"/>
        <v>-0.11852666948827584</v>
      </c>
      <c r="L18" s="756">
        <f t="shared" ca="1" si="23"/>
        <v>-0.19318181818181812</v>
      </c>
      <c r="M18" s="756">
        <f t="shared" ca="1" si="23"/>
        <v>-0.12247397428046536</v>
      </c>
      <c r="N18" s="756">
        <f t="shared" ca="1" si="23"/>
        <v>-2.3169926419958853E-2</v>
      </c>
      <c r="O18" s="756">
        <f t="shared" ca="1" si="23"/>
        <v>0.19492828622564318</v>
      </c>
      <c r="P18" s="756">
        <f t="shared" ca="1" si="23"/>
        <v>0.13402754488063984</v>
      </c>
      <c r="Q18" s="756">
        <f t="shared" ca="1" si="23"/>
        <v>0.15258604855596003</v>
      </c>
      <c r="R18" s="756">
        <f t="shared" ca="1" si="23"/>
        <v>9.366598373300139E-2</v>
      </c>
      <c r="S18" s="756">
        <f t="shared" ca="1" si="23"/>
        <v>0.10192834178649046</v>
      </c>
      <c r="T18" s="756">
        <f t="shared" ca="1" si="23"/>
        <v>9.6093320149997385E-2</v>
      </c>
      <c r="U18" s="756">
        <f t="shared" ref="U18" ca="1" si="24">U17/T17-1</f>
        <v>9.3708306394565399E-2</v>
      </c>
      <c r="V18" s="756">
        <f t="shared" ref="V18" ca="1" si="25">V17/U17-1</f>
        <v>8.5339938406380211E-2</v>
      </c>
      <c r="W18" s="756">
        <f t="shared" ref="W18" ca="1" si="26">W17/V17-1</f>
        <v>8.1586876731472469E-2</v>
      </c>
      <c r="X18" s="756">
        <f t="shared" ref="X18" ca="1" si="27">X17/W17-1</f>
        <v>7.8220389013703651E-2</v>
      </c>
      <c r="Y18" s="756">
        <f t="shared" ref="Y18" ca="1" si="28">Y17/X17-1</f>
        <v>7.518272473170784E-2</v>
      </c>
      <c r="Z18" s="756">
        <f t="shared" ref="Z18" ca="1" si="29">Z17/Y17-1</f>
        <v>9.5691678036090577E-2</v>
      </c>
    </row>
    <row r="20" spans="1:26">
      <c r="B20" s="618" t="s">
        <v>1498</v>
      </c>
      <c r="J20" s="898">
        <v>4</v>
      </c>
      <c r="M20" s="725"/>
    </row>
    <row r="21" spans="1:26" s="618" customFormat="1">
      <c r="B21" s="618" t="s">
        <v>1497</v>
      </c>
      <c r="J21" s="899">
        <f>J17+J20</f>
        <v>233.61556861</v>
      </c>
    </row>
    <row r="22" spans="1:26">
      <c r="N22" s="486"/>
    </row>
    <row r="23" spans="1:26" s="58" customFormat="1">
      <c r="B23" s="58" t="s">
        <v>1973</v>
      </c>
      <c r="C23" s="516">
        <f>Fixed!C12</f>
        <v>51.5</v>
      </c>
      <c r="D23" s="516">
        <f>Fixed!D12</f>
        <v>84.1</v>
      </c>
      <c r="E23" s="516">
        <f>Fixed!E12</f>
        <v>113.2</v>
      </c>
      <c r="F23" s="516">
        <f>Fixed!F12</f>
        <v>152.30000000000001</v>
      </c>
      <c r="G23" s="516">
        <f>Fixed!G12</f>
        <v>155.9</v>
      </c>
      <c r="H23" s="516">
        <f>Fixed!H12</f>
        <v>159.03177321999999</v>
      </c>
      <c r="I23" s="516">
        <f>Fixed!I12</f>
        <v>162.0818753543538</v>
      </c>
      <c r="J23" s="516">
        <f>Fixed!J12</f>
        <v>109.13800000000001</v>
      </c>
      <c r="K23" s="516">
        <f>Fixed!K12</f>
        <v>134.16900000000001</v>
      </c>
      <c r="L23" s="516">
        <f>Fixed!L12</f>
        <v>186</v>
      </c>
      <c r="M23" s="516">
        <f>Fixed!M12</f>
        <v>187</v>
      </c>
      <c r="N23" s="516">
        <f ca="1">Fixed!N12</f>
        <v>193.26969502103239</v>
      </c>
      <c r="O23" s="516">
        <f ca="1">Fixed!O12</f>
        <v>187.46621537875632</v>
      </c>
      <c r="P23" s="516">
        <f ca="1">Fixed!P12</f>
        <v>190.60693133023656</v>
      </c>
      <c r="Q23" s="516">
        <f ca="1">Fixed!Q12</f>
        <v>202.94415147376913</v>
      </c>
      <c r="R23" s="516">
        <f ca="1">Fixed!R12</f>
        <v>202.99840863051455</v>
      </c>
      <c r="S23" s="516">
        <f ca="1">Fixed!S12</f>
        <v>231.88698917188097</v>
      </c>
      <c r="T23" s="516">
        <f ca="1">Fixed!T12</f>
        <v>230.4678702221118</v>
      </c>
      <c r="U23" s="516">
        <f ca="1">Fixed!U12</f>
        <v>267.77608347685418</v>
      </c>
      <c r="V23" s="516">
        <f ca="1">Fixed!V12</f>
        <v>268.85975693610794</v>
      </c>
      <c r="W23" s="516">
        <f ca="1">Fixed!W12</f>
        <v>269.94989059987319</v>
      </c>
      <c r="X23" s="516">
        <f ca="1">Fixed!X12</f>
        <v>271.0464844681498</v>
      </c>
      <c r="Y23" s="516">
        <f ca="1">Fixed!Y12</f>
        <v>272.14953854093795</v>
      </c>
      <c r="Z23" s="516">
        <f ca="1">Fixed!Z12</f>
        <v>137.90305281823746</v>
      </c>
    </row>
    <row r="24" spans="1:26">
      <c r="B24" s="536" t="s">
        <v>1382</v>
      </c>
      <c r="C24" s="536"/>
      <c r="D24" s="756">
        <f t="shared" ref="D24:T24" si="30">D23/C23-1</f>
        <v>0.63300970873786389</v>
      </c>
      <c r="E24" s="756">
        <f t="shared" si="30"/>
        <v>0.34601664684898936</v>
      </c>
      <c r="F24" s="756">
        <f t="shared" si="30"/>
        <v>0.34540636042402828</v>
      </c>
      <c r="G24" s="756">
        <f t="shared" si="30"/>
        <v>2.3637557452396596E-2</v>
      </c>
      <c r="H24" s="756">
        <f t="shared" si="30"/>
        <v>2.0088346504169241E-2</v>
      </c>
      <c r="I24" s="756">
        <f t="shared" si="30"/>
        <v>1.9179199681905068E-2</v>
      </c>
      <c r="J24" s="756">
        <f t="shared" si="30"/>
        <v>-0.32664895589716303</v>
      </c>
      <c r="K24" s="756">
        <f t="shared" si="30"/>
        <v>0.22935182979347246</v>
      </c>
      <c r="L24" s="756">
        <f t="shared" si="30"/>
        <v>0.38631129396507369</v>
      </c>
      <c r="M24" s="756">
        <f t="shared" si="30"/>
        <v>5.3763440860215006E-3</v>
      </c>
      <c r="N24" s="756">
        <f t="shared" ca="1" si="30"/>
        <v>3.3527780861135836E-2</v>
      </c>
      <c r="O24" s="756">
        <f t="shared" ca="1" si="30"/>
        <v>-3.0027882238053527E-2</v>
      </c>
      <c r="P24" s="756">
        <f t="shared" ca="1" si="30"/>
        <v>1.6753503798723202E-2</v>
      </c>
      <c r="Q24" s="756">
        <f t="shared" ca="1" si="30"/>
        <v>6.4725978522563121E-2</v>
      </c>
      <c r="R24" s="756">
        <f t="shared" ca="1" si="30"/>
        <v>2.6735018649914899E-4</v>
      </c>
      <c r="S24" s="756">
        <f t="shared" ca="1" si="30"/>
        <v>0.14230939412903321</v>
      </c>
      <c r="T24" s="756">
        <f t="shared" ca="1" si="30"/>
        <v>-6.1198731107646731E-3</v>
      </c>
      <c r="U24" s="756">
        <f t="shared" ref="U24" ca="1" si="31">U23/T23-1</f>
        <v>0.16188032292217946</v>
      </c>
      <c r="V24" s="756">
        <f t="shared" ref="V24" ca="1" si="32">V23/U23-1</f>
        <v>4.0469389393673616E-3</v>
      </c>
      <c r="W24" s="756">
        <f t="shared" ref="W24" ca="1" si="33">W23/V23-1</f>
        <v>4.0546553942779617E-3</v>
      </c>
      <c r="X24" s="756">
        <f t="shared" ref="X24" ca="1" si="34">X23/W23-1</f>
        <v>4.0622126789524593E-3</v>
      </c>
      <c r="Y24" s="756">
        <f t="shared" ref="Y24" ca="1" si="35">Y23/X23-1</f>
        <v>4.0696121735450674E-3</v>
      </c>
      <c r="Z24" s="756">
        <f t="shared" ref="Z24" ca="1" si="36">Z23/Y23-1</f>
        <v>-0.49328206265727892</v>
      </c>
    </row>
    <row r="25" spans="1:26">
      <c r="B25" s="536" t="s">
        <v>1379</v>
      </c>
      <c r="C25" s="536">
        <f t="shared" ref="C25:T25" si="37">C23/C9</f>
        <v>0.24973087255481954</v>
      </c>
      <c r="D25" s="756">
        <f t="shared" si="37"/>
        <v>0.39484581214250336</v>
      </c>
      <c r="E25" s="756">
        <f t="shared" si="37"/>
        <v>0.40549361267765199</v>
      </c>
      <c r="F25" s="756">
        <f t="shared" si="37"/>
        <v>0.31848598912588877</v>
      </c>
      <c r="G25" s="756">
        <f t="shared" si="37"/>
        <v>0.31374522036627089</v>
      </c>
      <c r="H25" s="756">
        <f t="shared" si="37"/>
        <v>0.32170678470676034</v>
      </c>
      <c r="I25" s="756">
        <f t="shared" si="37"/>
        <v>0.32455012525711924</v>
      </c>
      <c r="J25" s="756">
        <f t="shared" si="37"/>
        <v>0.22737083333333336</v>
      </c>
      <c r="K25" s="756">
        <f t="shared" si="37"/>
        <v>0.28987973847555093</v>
      </c>
      <c r="L25" s="756">
        <f t="shared" si="37"/>
        <v>0.41653957610304371</v>
      </c>
      <c r="M25" s="756">
        <f t="shared" si="37"/>
        <v>0.41366079464037436</v>
      </c>
      <c r="N25" s="756">
        <f t="shared" ca="1" si="37"/>
        <v>0.44546083240887646</v>
      </c>
      <c r="O25" s="756">
        <f t="shared" ca="1" si="37"/>
        <v>0.43180102594389574</v>
      </c>
      <c r="P25" s="756">
        <f t="shared" ca="1" si="37"/>
        <v>0.41183649255975219</v>
      </c>
      <c r="Q25" s="756">
        <f t="shared" ca="1" si="37"/>
        <v>0.41428850803694978</v>
      </c>
      <c r="R25" s="756">
        <f t="shared" ca="1" si="37"/>
        <v>0.391534382149687</v>
      </c>
      <c r="S25" s="756">
        <f t="shared" ca="1" si="37"/>
        <v>0.42010929249512258</v>
      </c>
      <c r="T25" s="756">
        <f t="shared" ca="1" si="37"/>
        <v>0.39373580566495747</v>
      </c>
      <c r="U25" s="756">
        <f t="shared" ref="U25:Z25" ca="1" si="38">U23/U9</f>
        <v>0.43168334013831533</v>
      </c>
      <c r="V25" s="756">
        <f t="shared" ca="1" si="38"/>
        <v>0.40979002841443751</v>
      </c>
      <c r="W25" s="756">
        <f t="shared" ca="1" si="38"/>
        <v>0.38970737964482011</v>
      </c>
      <c r="X25" s="756">
        <f t="shared" ca="1" si="38"/>
        <v>0.37122658913532253</v>
      </c>
      <c r="Y25" s="756">
        <f t="shared" ca="1" si="38"/>
        <v>0.35416944106888398</v>
      </c>
      <c r="Z25" s="756">
        <f t="shared" ca="1" si="38"/>
        <v>0.17076849274786865</v>
      </c>
    </row>
    <row r="27" spans="1:26">
      <c r="B27" s="58" t="s">
        <v>1974</v>
      </c>
      <c r="C27" s="516">
        <f t="shared" ref="C27:T27" si="39">C12-C23</f>
        <v>36.577000000000055</v>
      </c>
      <c r="D27" s="516">
        <f t="shared" si="39"/>
        <v>14.836668599896058</v>
      </c>
      <c r="E27" s="516">
        <f t="shared" si="39"/>
        <v>27.680940949999993</v>
      </c>
      <c r="F27" s="516">
        <f t="shared" si="39"/>
        <v>97.799999999999983</v>
      </c>
      <c r="G27" s="516">
        <f t="shared" si="39"/>
        <v>108.79999999999998</v>
      </c>
      <c r="H27" s="516">
        <f t="shared" si="39"/>
        <v>76.964838730000054</v>
      </c>
      <c r="I27" s="516">
        <f t="shared" si="39"/>
        <v>77.372195725646179</v>
      </c>
      <c r="J27" s="516">
        <f t="shared" si="39"/>
        <v>133.04596065999999</v>
      </c>
      <c r="K27" s="516">
        <f t="shared" si="39"/>
        <v>92.283999999999963</v>
      </c>
      <c r="L27" s="516">
        <f t="shared" si="39"/>
        <v>-4.4169999999999732</v>
      </c>
      <c r="M27" s="516">
        <f t="shared" ca="1" si="39"/>
        <v>3.8545465315140746</v>
      </c>
      <c r="N27" s="516">
        <f t="shared" ca="1" si="39"/>
        <v>-8.2899454770124805</v>
      </c>
      <c r="O27" s="516">
        <f t="shared" ca="1" si="39"/>
        <v>4.7995468501741527</v>
      </c>
      <c r="P27" s="516">
        <f t="shared" ca="1" si="39"/>
        <v>19.077050352826319</v>
      </c>
      <c r="Q27" s="516">
        <f t="shared" ca="1" si="39"/>
        <v>25.682959448673444</v>
      </c>
      <c r="R27" s="516">
        <f t="shared" ca="1" si="39"/>
        <v>46.106625707182616</v>
      </c>
      <c r="S27" s="516">
        <f t="shared" ca="1" si="39"/>
        <v>41.589624828659538</v>
      </c>
      <c r="T27" s="516">
        <f t="shared" ca="1" si="39"/>
        <v>68.32708639961993</v>
      </c>
      <c r="U27" s="516">
        <f t="shared" ref="U27:Z27" ca="1" si="40">U12-U23</f>
        <v>58.081359425192034</v>
      </c>
      <c r="V27" s="516">
        <f t="shared" ca="1" si="40"/>
        <v>83.952940688395643</v>
      </c>
      <c r="W27" s="516">
        <f t="shared" ca="1" si="40"/>
        <v>110.83182432770428</v>
      </c>
      <c r="X27" s="516">
        <f t="shared" ca="1" si="40"/>
        <v>138.73792044023094</v>
      </c>
      <c r="Y27" s="516">
        <f t="shared" ca="1" si="40"/>
        <v>167.69174723369923</v>
      </c>
      <c r="Z27" s="516">
        <f t="shared" ca="1" si="40"/>
        <v>333.07046688136552</v>
      </c>
    </row>
    <row r="28" spans="1:26">
      <c r="B28" s="536" t="s">
        <v>1382</v>
      </c>
      <c r="C28" s="536"/>
      <c r="D28" s="756">
        <f t="shared" ref="D28:T28" si="41">D27/C27-1</f>
        <v>-0.59437163791737879</v>
      </c>
      <c r="E28" s="756">
        <f t="shared" si="41"/>
        <v>0.86571134642677938</v>
      </c>
      <c r="F28" s="756">
        <f t="shared" si="41"/>
        <v>2.5331168899444516</v>
      </c>
      <c r="G28" s="756">
        <f t="shared" si="41"/>
        <v>0.11247443762781195</v>
      </c>
      <c r="H28" s="756">
        <f t="shared" si="41"/>
        <v>-0.29260258520220528</v>
      </c>
      <c r="I28" s="756">
        <f t="shared" si="41"/>
        <v>5.292767481462235E-3</v>
      </c>
      <c r="J28" s="756">
        <f t="shared" si="41"/>
        <v>0.71955777411005939</v>
      </c>
      <c r="K28" s="756">
        <f t="shared" si="41"/>
        <v>-0.30637503354323958</v>
      </c>
      <c r="L28" s="756">
        <f t="shared" si="41"/>
        <v>-1.0478631182003377</v>
      </c>
      <c r="M28" s="756">
        <f t="shared" ca="1" si="41"/>
        <v>-1.8726616553122251</v>
      </c>
      <c r="N28" s="756">
        <f t="shared" ca="1" si="41"/>
        <v>-3.1506928011467465</v>
      </c>
      <c r="O28" s="756">
        <f t="shared" ca="1" si="41"/>
        <v>-1.5789600020269141</v>
      </c>
      <c r="P28" s="756">
        <f t="shared" ca="1" si="41"/>
        <v>2.9747607322833205</v>
      </c>
      <c r="Q28" s="756">
        <f t="shared" ca="1" si="41"/>
        <v>0.34627518267615409</v>
      </c>
      <c r="R28" s="756">
        <f t="shared" ca="1" si="41"/>
        <v>0.79522246255635776</v>
      </c>
      <c r="S28" s="756">
        <f t="shared" ca="1" si="41"/>
        <v>-9.7968584975399953E-2</v>
      </c>
      <c r="T28" s="756">
        <f t="shared" ca="1" si="41"/>
        <v>0.64288777985165968</v>
      </c>
      <c r="U28" s="756">
        <f t="shared" ref="U28" ca="1" si="42">U27/T27-1</f>
        <v>-0.14995117623638188</v>
      </c>
      <c r="V28" s="756">
        <f t="shared" ref="V28" ca="1" si="43">V27/U27-1</f>
        <v>0.44543690986650963</v>
      </c>
      <c r="W28" s="756">
        <f t="shared" ref="W28" ca="1" si="44">W27/V27-1</f>
        <v>0.3201660766008636</v>
      </c>
      <c r="X28" s="756">
        <f t="shared" ref="X28" ca="1" si="45">X27/W27-1</f>
        <v>0.25178775393983166</v>
      </c>
      <c r="Y28" s="756">
        <f t="shared" ref="Y28" ca="1" si="46">Y27/X27-1</f>
        <v>0.20869439805349943</v>
      </c>
      <c r="Z28" s="756">
        <f t="shared" ref="Z28" ca="1" si="47">Z27/Y27-1</f>
        <v>0.98620667013022745</v>
      </c>
    </row>
    <row r="29" spans="1:26">
      <c r="B29" s="536" t="s">
        <v>1182</v>
      </c>
      <c r="C29" s="756">
        <f t="shared" ref="C29:T29" si="48">C27/C9</f>
        <v>0.17736710923179899</v>
      </c>
      <c r="D29" s="756">
        <f t="shared" si="48"/>
        <v>6.965750847580425E-2</v>
      </c>
      <c r="E29" s="756">
        <f t="shared" si="48"/>
        <v>9.9155872333323791E-2</v>
      </c>
      <c r="F29" s="756">
        <f t="shared" si="48"/>
        <v>0.20451693851944788</v>
      </c>
      <c r="G29" s="756">
        <f t="shared" si="48"/>
        <v>0.21895753672771179</v>
      </c>
      <c r="H29" s="756">
        <f t="shared" si="48"/>
        <v>0.15569285496836052</v>
      </c>
      <c r="I29" s="756">
        <f t="shared" si="48"/>
        <v>0.1549288330930105</v>
      </c>
      <c r="J29" s="756">
        <f t="shared" si="48"/>
        <v>0.2771790847083333</v>
      </c>
      <c r="K29" s="756">
        <f t="shared" si="48"/>
        <v>0.19938481903776378</v>
      </c>
      <c r="L29" s="756">
        <f t="shared" si="48"/>
        <v>-9.8916952024039398E-3</v>
      </c>
      <c r="M29" s="756">
        <f t="shared" ca="1" si="48"/>
        <v>8.5266031080449781E-3</v>
      </c>
      <c r="N29" s="756">
        <f t="shared" ca="1" si="48"/>
        <v>-1.9107217054449791E-2</v>
      </c>
      <c r="O29" s="756">
        <f t="shared" ca="1" si="48"/>
        <v>1.1055054638958922E-2</v>
      </c>
      <c r="P29" s="756">
        <f t="shared" ca="1" si="48"/>
        <v>4.121899162251217E-2</v>
      </c>
      <c r="Q29" s="756">
        <f t="shared" ca="1" si="48"/>
        <v>5.2428980459383483E-2</v>
      </c>
      <c r="R29" s="756">
        <f t="shared" ca="1" si="48"/>
        <v>8.8928427227852713E-2</v>
      </c>
      <c r="S29" s="756">
        <f t="shared" ca="1" si="48"/>
        <v>7.5347857696987389E-2</v>
      </c>
      <c r="T29" s="756">
        <f t="shared" ca="1" si="48"/>
        <v>0.11673132739225692</v>
      </c>
      <c r="U29" s="756">
        <f t="shared" ref="U29:Z29" ca="1" si="49">U27/U9</f>
        <v>9.3633288346336357E-2</v>
      </c>
      <c r="V29" s="756">
        <f t="shared" ca="1" si="49"/>
        <v>0.12795919457127536</v>
      </c>
      <c r="W29" s="756">
        <f t="shared" ca="1" si="49"/>
        <v>0.1599999901612294</v>
      </c>
      <c r="X29" s="756">
        <f t="shared" ca="1" si="49"/>
        <v>0.19001613354187122</v>
      </c>
      <c r="Y29" s="756">
        <f t="shared" ca="1" si="49"/>
        <v>0.2182303622781632</v>
      </c>
      <c r="Z29" s="756">
        <f t="shared" ca="1" si="49"/>
        <v>0.41244874892746158</v>
      </c>
    </row>
    <row r="32" spans="1:26" s="513" customFormat="1">
      <c r="A32" s="722"/>
      <c r="B32" s="513" t="s">
        <v>1228</v>
      </c>
    </row>
    <row r="34" spans="2:26" hidden="1" outlineLevel="1">
      <c r="B34" s="489" t="s">
        <v>7</v>
      </c>
      <c r="C34" s="739">
        <v>206.22200000000001</v>
      </c>
      <c r="D34" s="739">
        <v>212.99453461000002</v>
      </c>
      <c r="E34" s="739">
        <v>279.166</v>
      </c>
      <c r="F34" s="739">
        <v>478.3</v>
      </c>
      <c r="G34" s="739">
        <v>496.9</v>
      </c>
      <c r="H34" s="739">
        <f>Interims!AI66</f>
        <v>494.33764154200037</v>
      </c>
      <c r="I34" s="739">
        <f>Interims!AN66</f>
        <v>499.40475366000004</v>
      </c>
      <c r="J34" s="725">
        <f t="shared" ref="J34:T34" si="50">J9</f>
        <v>480</v>
      </c>
      <c r="K34" s="725">
        <f t="shared" si="50"/>
        <v>462.84366304999998</v>
      </c>
      <c r="L34" s="725">
        <f t="shared" si="50"/>
        <v>446.53620129000001</v>
      </c>
      <c r="M34" s="725">
        <f t="shared" si="50"/>
        <v>452.06121156</v>
      </c>
      <c r="N34" s="725">
        <f t="shared" ca="1" si="50"/>
        <v>433.86462054566306</v>
      </c>
      <c r="O34" s="725">
        <f t="shared" ca="1" si="50"/>
        <v>434.14953674314324</v>
      </c>
      <c r="P34" s="725">
        <f t="shared" ca="1" si="50"/>
        <v>462.82185958200864</v>
      </c>
      <c r="Q34" s="725">
        <f t="shared" ca="1" si="50"/>
        <v>489.86188981053959</v>
      </c>
      <c r="R34" s="725">
        <f t="shared" ca="1" si="50"/>
        <v>518.46892095649082</v>
      </c>
      <c r="S34" s="725">
        <f t="shared" ca="1" si="50"/>
        <v>551.9682456787674</v>
      </c>
      <c r="T34" s="725">
        <f t="shared" ca="1" si="50"/>
        <v>585.33632681154825</v>
      </c>
      <c r="U34" s="725">
        <f t="shared" ref="U34:Z34" ca="1" si="51">U9</f>
        <v>620.30673546738274</v>
      </c>
      <c r="V34" s="725">
        <f t="shared" ca="1" si="51"/>
        <v>656.091506121762</v>
      </c>
      <c r="W34" s="725">
        <f t="shared" ca="1" si="51"/>
        <v>692.69894464381434</v>
      </c>
      <c r="X34" s="725">
        <f t="shared" ca="1" si="51"/>
        <v>730.13758281561491</v>
      </c>
      <c r="Y34" s="725">
        <f t="shared" ca="1" si="51"/>
        <v>768.41620699852081</v>
      </c>
      <c r="Z34" s="725">
        <f t="shared" ca="1" si="51"/>
        <v>807.5438893862264</v>
      </c>
    </row>
    <row r="35" spans="2:26" hidden="1" outlineLevel="1">
      <c r="B35" s="489" t="s">
        <v>122</v>
      </c>
      <c r="C35" s="739">
        <v>6.8769999999999998</v>
      </c>
      <c r="D35" s="739">
        <v>6.6485026500000002</v>
      </c>
      <c r="E35" s="739">
        <v>13.156000000000001</v>
      </c>
      <c r="F35" s="739">
        <v>18.399999999999999</v>
      </c>
      <c r="G35" s="739">
        <v>17.5</v>
      </c>
      <c r="H35" s="739">
        <v>20.753</v>
      </c>
      <c r="I35" s="739">
        <f>Interims!AN72</f>
        <v>22.59146801</v>
      </c>
      <c r="J35" s="725">
        <f>Fixed!J219</f>
        <v>24.625468220000002</v>
      </c>
      <c r="K35" s="725">
        <f>Fixed!K219</f>
        <v>22.36893603</v>
      </c>
      <c r="L35" s="725">
        <f>Fixed!L219</f>
        <v>21.609451550000003</v>
      </c>
      <c r="M35" s="725">
        <f>Fixed!M219</f>
        <v>27.15610985</v>
      </c>
      <c r="N35" s="725">
        <f ca="1">Fixed!N219</f>
        <v>26.063008712710165</v>
      </c>
      <c r="O35" s="725">
        <f ca="1">Fixed!O219</f>
        <v>26.080124128408222</v>
      </c>
      <c r="P35" s="725">
        <f ca="1">Fixed!P219</f>
        <v>27.802520849816709</v>
      </c>
      <c r="Q35" s="725">
        <f ca="1">Fixed!Q219</f>
        <v>29.426862891239232</v>
      </c>
      <c r="R35" s="725">
        <f ca="1">Fixed!R219</f>
        <v>31.145337426139051</v>
      </c>
      <c r="S35" s="725">
        <f ca="1">Fixed!S219</f>
        <v>33.157700616777937</v>
      </c>
      <c r="T35" s="725">
        <f ca="1">Fixed!T219</f>
        <v>35.162179774807285</v>
      </c>
      <c r="U35" s="725">
        <f ca="1">Fixed!U219</f>
        <v>37.262913557473766</v>
      </c>
      <c r="V35" s="725">
        <f ca="1">Fixed!V219</f>
        <v>39.412567493704913</v>
      </c>
      <c r="W35" s="725">
        <f ca="1">Fixed!W219</f>
        <v>41.611640531626989</v>
      </c>
      <c r="X35" s="725">
        <f ca="1">Fixed!X219</f>
        <v>43.860645190353104</v>
      </c>
      <c r="Y35" s="725">
        <f ca="1">Fixed!Y219</f>
        <v>46.160109282020464</v>
      </c>
      <c r="Z35" s="725">
        <f ca="1">Fixed!Z219</f>
        <v>48.510577789216015</v>
      </c>
    </row>
    <row r="36" spans="2:26" hidden="1" outlineLevel="1">
      <c r="B36" s="536" t="s">
        <v>1379</v>
      </c>
      <c r="C36" s="537">
        <f t="shared" ref="C36:T36" si="52">C35/C$34</f>
        <v>3.3347557486592114E-2</v>
      </c>
      <c r="D36" s="537">
        <f t="shared" si="52"/>
        <v>3.1214428399177596E-2</v>
      </c>
      <c r="E36" s="537">
        <f t="shared" si="52"/>
        <v>4.7126082689152693E-2</v>
      </c>
      <c r="F36" s="537">
        <f t="shared" si="52"/>
        <v>3.846957976165586E-2</v>
      </c>
      <c r="G36" s="537">
        <f t="shared" si="52"/>
        <v>3.5218353793519827E-2</v>
      </c>
      <c r="H36" s="537">
        <f t="shared" si="52"/>
        <v>4.1981427785399109E-2</v>
      </c>
      <c r="I36" s="537">
        <f t="shared" si="52"/>
        <v>4.5236790087465818E-2</v>
      </c>
      <c r="J36" s="537">
        <f t="shared" si="52"/>
        <v>5.1303058791666668E-2</v>
      </c>
      <c r="K36" s="537">
        <f t="shared" si="52"/>
        <v>4.8329355710728474E-2</v>
      </c>
      <c r="L36" s="537">
        <f t="shared" si="52"/>
        <v>4.8393504239012161E-2</v>
      </c>
      <c r="M36" s="537">
        <f t="shared" si="52"/>
        <v>6.0071753903167366E-2</v>
      </c>
      <c r="N36" s="537">
        <f t="shared" ca="1" si="52"/>
        <v>6.0071753903167373E-2</v>
      </c>
      <c r="O36" s="537">
        <f t="shared" ca="1" si="52"/>
        <v>6.0071753903167373E-2</v>
      </c>
      <c r="P36" s="537">
        <f t="shared" ca="1" si="52"/>
        <v>6.0071753903167373E-2</v>
      </c>
      <c r="Q36" s="537">
        <f t="shared" ca="1" si="52"/>
        <v>6.007175390316738E-2</v>
      </c>
      <c r="R36" s="537">
        <f t="shared" ca="1" si="52"/>
        <v>6.0071753903167366E-2</v>
      </c>
      <c r="S36" s="537">
        <f t="shared" ca="1" si="52"/>
        <v>6.0071753903167366E-2</v>
      </c>
      <c r="T36" s="537">
        <f t="shared" ca="1" si="52"/>
        <v>6.0071753903167387E-2</v>
      </c>
      <c r="U36" s="537">
        <f t="shared" ref="U36:Z36" ca="1" si="53">U35/U$34</f>
        <v>6.007175390316738E-2</v>
      </c>
      <c r="V36" s="537">
        <f t="shared" ca="1" si="53"/>
        <v>6.0071753903167366E-2</v>
      </c>
      <c r="W36" s="537">
        <f t="shared" ca="1" si="53"/>
        <v>6.0071753903167394E-2</v>
      </c>
      <c r="X36" s="537">
        <f t="shared" ca="1" si="53"/>
        <v>6.0071753903167373E-2</v>
      </c>
      <c r="Y36" s="537">
        <f t="shared" ca="1" si="53"/>
        <v>6.007175390316738E-2</v>
      </c>
      <c r="Z36" s="537">
        <f t="shared" ca="1" si="53"/>
        <v>6.007175390316738E-2</v>
      </c>
    </row>
    <row r="37" spans="2:26" hidden="1" outlineLevel="1">
      <c r="B37" s="489" t="s">
        <v>79</v>
      </c>
      <c r="C37" s="738">
        <v>10.366</v>
      </c>
      <c r="D37" s="738">
        <v>10.164001979999997</v>
      </c>
      <c r="E37" s="738">
        <v>18.304206369999999</v>
      </c>
      <c r="F37" s="738">
        <v>20.3</v>
      </c>
      <c r="G37" s="738">
        <v>15.8</v>
      </c>
      <c r="H37" s="738">
        <v>20.613176299999999</v>
      </c>
      <c r="I37" s="738">
        <f>Interims!AN73</f>
        <v>9.2774009000000017</v>
      </c>
      <c r="J37" s="486">
        <f>Fixed!J221</f>
        <v>7.1038025299999985</v>
      </c>
      <c r="K37" s="486">
        <f>Fixed!K221</f>
        <v>11.00581124</v>
      </c>
      <c r="L37" s="486">
        <f>Fixed!L221</f>
        <v>11.57725143</v>
      </c>
      <c r="M37" s="486">
        <f>Fixed!M221</f>
        <v>10.059191760000001</v>
      </c>
      <c r="N37" s="486">
        <f ca="1">Fixed!N221</f>
        <v>13.015938616369889</v>
      </c>
      <c r="O37" s="486">
        <f ca="1">Fixed!O221</f>
        <v>9.55128980834915</v>
      </c>
      <c r="P37" s="486">
        <f ca="1">Fixed!P221</f>
        <v>10.182080910804189</v>
      </c>
      <c r="Q37" s="486">
        <f ca="1">Fixed!Q221</f>
        <v>10.776961575831871</v>
      </c>
      <c r="R37" s="486">
        <f ca="1">Fixed!R221</f>
        <v>11.406316261042795</v>
      </c>
      <c r="S37" s="486">
        <f ca="1">Fixed!S221</f>
        <v>12.143301404932879</v>
      </c>
      <c r="T37" s="486">
        <f ca="1">Fixed!T221</f>
        <v>12.877399189854064</v>
      </c>
      <c r="U37" s="486">
        <f ca="1">Fixed!U221</f>
        <v>13.646748180282419</v>
      </c>
      <c r="V37" s="486">
        <f ca="1">Fixed!V221</f>
        <v>14.434013134678761</v>
      </c>
      <c r="W37" s="486">
        <f ca="1">Fixed!W221</f>
        <v>15.239376782163918</v>
      </c>
      <c r="X37" s="486">
        <f ca="1">Fixed!X221</f>
        <v>16.063026821943524</v>
      </c>
      <c r="Y37" s="486">
        <f ca="1">Fixed!Y221</f>
        <v>16.905156553967458</v>
      </c>
      <c r="Z37" s="486">
        <f ca="1">Fixed!Z221</f>
        <v>17.76596556649698</v>
      </c>
    </row>
    <row r="38" spans="2:26" hidden="1" outlineLevel="1">
      <c r="B38" s="536" t="s">
        <v>1379</v>
      </c>
      <c r="C38" s="537">
        <f t="shared" ref="C38:T38" si="54">C37/C$34</f>
        <v>5.026621795928659E-2</v>
      </c>
      <c r="D38" s="537">
        <f t="shared" si="54"/>
        <v>4.7719543595851496E-2</v>
      </c>
      <c r="E38" s="537">
        <f t="shared" si="54"/>
        <v>6.556746297901607E-2</v>
      </c>
      <c r="F38" s="537">
        <f t="shared" si="54"/>
        <v>4.2441982019652935E-2</v>
      </c>
      <c r="G38" s="537">
        <f t="shared" si="54"/>
        <v>3.1797142282149332E-2</v>
      </c>
      <c r="H38" s="537">
        <f t="shared" si="54"/>
        <v>4.169857718239052E-2</v>
      </c>
      <c r="I38" s="537">
        <f t="shared" si="54"/>
        <v>1.8576917484282005E-2</v>
      </c>
      <c r="J38" s="537">
        <f t="shared" si="54"/>
        <v>1.4799588604166664E-2</v>
      </c>
      <c r="K38" s="537">
        <f t="shared" si="54"/>
        <v>2.3778679754358149E-2</v>
      </c>
      <c r="L38" s="537">
        <f t="shared" si="54"/>
        <v>2.5926792489734177E-2</v>
      </c>
      <c r="M38" s="537">
        <f t="shared" si="54"/>
        <v>2.2251835598296826E-2</v>
      </c>
      <c r="N38" s="537">
        <f t="shared" ca="1" si="54"/>
        <v>2.9999999999999992E-2</v>
      </c>
      <c r="O38" s="537">
        <f t="shared" ca="1" si="54"/>
        <v>2.1999999999999995E-2</v>
      </c>
      <c r="P38" s="537">
        <f t="shared" ca="1" si="54"/>
        <v>2.1999999999999995E-2</v>
      </c>
      <c r="Q38" s="537">
        <f t="shared" ca="1" si="54"/>
        <v>2.1999999999999999E-2</v>
      </c>
      <c r="R38" s="537">
        <f t="shared" ca="1" si="54"/>
        <v>2.1999999999999995E-2</v>
      </c>
      <c r="S38" s="537">
        <f t="shared" ca="1" si="54"/>
        <v>2.1999999999999995E-2</v>
      </c>
      <c r="T38" s="537">
        <f t="shared" ca="1" si="54"/>
        <v>2.2000000000000002E-2</v>
      </c>
      <c r="U38" s="537">
        <f t="shared" ref="U38:Z38" ca="1" si="55">U37/U$34</f>
        <v>2.1999999999999999E-2</v>
      </c>
      <c r="V38" s="537">
        <f t="shared" ca="1" si="55"/>
        <v>2.1999999999999995E-2</v>
      </c>
      <c r="W38" s="537">
        <f t="shared" ca="1" si="55"/>
        <v>2.2000000000000002E-2</v>
      </c>
      <c r="X38" s="537">
        <f t="shared" ca="1" si="55"/>
        <v>2.1999999999999995E-2</v>
      </c>
      <c r="Y38" s="537">
        <f t="shared" ca="1" si="55"/>
        <v>2.2000000000000002E-2</v>
      </c>
      <c r="Z38" s="537">
        <f t="shared" ca="1" si="55"/>
        <v>2.1999999999999999E-2</v>
      </c>
    </row>
    <row r="39" spans="2:26" hidden="1" outlineLevel="1">
      <c r="B39" s="58" t="s">
        <v>123</v>
      </c>
      <c r="C39" s="494">
        <f t="shared" ref="C39:T39" si="56">C34+C35+C37</f>
        <v>223.46500000000003</v>
      </c>
      <c r="D39" s="494">
        <f t="shared" si="56"/>
        <v>229.80703924000002</v>
      </c>
      <c r="E39" s="494">
        <f t="shared" si="56"/>
        <v>310.62620636999998</v>
      </c>
      <c r="F39" s="494">
        <f t="shared" si="56"/>
        <v>517</v>
      </c>
      <c r="G39" s="494">
        <f t="shared" si="56"/>
        <v>530.19999999999993</v>
      </c>
      <c r="H39" s="494">
        <f t="shared" si="56"/>
        <v>535.70381784200038</v>
      </c>
      <c r="I39" s="494">
        <f t="shared" si="56"/>
        <v>531.27362257000004</v>
      </c>
      <c r="J39" s="494">
        <f t="shared" si="56"/>
        <v>511.72927075000001</v>
      </c>
      <c r="K39" s="494">
        <f t="shared" si="56"/>
        <v>496.21841031999998</v>
      </c>
      <c r="L39" s="494">
        <f t="shared" si="56"/>
        <v>479.72290427000002</v>
      </c>
      <c r="M39" s="494">
        <f t="shared" si="56"/>
        <v>489.27651316999999</v>
      </c>
      <c r="N39" s="494">
        <f t="shared" ca="1" si="56"/>
        <v>472.94356787474311</v>
      </c>
      <c r="O39" s="494">
        <f t="shared" ca="1" si="56"/>
        <v>469.78095067990063</v>
      </c>
      <c r="P39" s="494">
        <f t="shared" ca="1" si="56"/>
        <v>500.80646134262952</v>
      </c>
      <c r="Q39" s="494">
        <f t="shared" ca="1" si="56"/>
        <v>530.0657142776106</v>
      </c>
      <c r="R39" s="494">
        <f t="shared" ca="1" si="56"/>
        <v>561.0205746436726</v>
      </c>
      <c r="S39" s="494">
        <f t="shared" ca="1" si="56"/>
        <v>597.26924770047822</v>
      </c>
      <c r="T39" s="494">
        <f t="shared" ca="1" si="56"/>
        <v>633.37590577620961</v>
      </c>
      <c r="U39" s="494">
        <f t="shared" ref="U39:Z39" ca="1" si="57">U34+U35+U37</f>
        <v>671.21639720513895</v>
      </c>
      <c r="V39" s="494">
        <f t="shared" ca="1" si="57"/>
        <v>709.93808675014566</v>
      </c>
      <c r="W39" s="494">
        <f t="shared" ca="1" si="57"/>
        <v>749.54996195760532</v>
      </c>
      <c r="X39" s="494">
        <f t="shared" ca="1" si="57"/>
        <v>790.06125482791151</v>
      </c>
      <c r="Y39" s="494">
        <f t="shared" ca="1" si="57"/>
        <v>831.48147283450874</v>
      </c>
      <c r="Z39" s="494">
        <f t="shared" ca="1" si="57"/>
        <v>873.82043274193938</v>
      </c>
    </row>
    <row r="40" spans="2:26" hidden="1" outlineLevel="1">
      <c r="C40" s="486"/>
      <c r="D40" s="486"/>
      <c r="E40" s="486"/>
      <c r="F40" s="486"/>
      <c r="G40" s="486"/>
      <c r="H40" s="486"/>
      <c r="I40" s="486"/>
      <c r="J40" s="486"/>
      <c r="K40" s="486"/>
      <c r="L40" s="486"/>
      <c r="M40" s="486"/>
      <c r="N40" s="486"/>
      <c r="O40" s="486"/>
      <c r="P40" s="486"/>
      <c r="Q40" s="486"/>
      <c r="R40" s="486"/>
      <c r="S40" s="486"/>
      <c r="T40" s="486"/>
      <c r="U40" s="486"/>
      <c r="V40" s="486"/>
      <c r="W40" s="486"/>
      <c r="X40" s="486"/>
      <c r="Y40" s="486"/>
      <c r="Z40" s="486"/>
    </row>
    <row r="41" spans="2:26" hidden="1" outlineLevel="1">
      <c r="B41" s="489" t="s">
        <v>864</v>
      </c>
      <c r="C41" s="739">
        <v>-31.01</v>
      </c>
      <c r="D41" s="739">
        <v>-32.464546590000005</v>
      </c>
      <c r="E41" s="739">
        <v>-36.844562320000001</v>
      </c>
      <c r="F41" s="739">
        <v>-52.3</v>
      </c>
      <c r="G41" s="739">
        <v>-51.6</v>
      </c>
      <c r="H41" s="739">
        <v>-51.645709509999996</v>
      </c>
      <c r="I41" s="739">
        <f>Fixed!I225</f>
        <v>-51.372706000000001</v>
      </c>
      <c r="J41" s="725">
        <f>Fixed!J225</f>
        <v>-35.245298780000006</v>
      </c>
      <c r="K41" s="725">
        <f>Fixed!K225</f>
        <v>-33.9855483179727</v>
      </c>
      <c r="L41" s="725">
        <f>Fixed!L225</f>
        <v>-32.788128813650566</v>
      </c>
      <c r="M41" s="725">
        <f>Fixed!M225</f>
        <v>-33.193817642252064</v>
      </c>
      <c r="N41" s="725">
        <f ca="1">Fixed!N225</f>
        <v>-31.857683710840043</v>
      </c>
      <c r="O41" s="725">
        <f ca="1">Fixed!O225</f>
        <v>-31.878604453563899</v>
      </c>
      <c r="P41" s="725">
        <f ca="1">Fixed!P225</f>
        <v>-33.983947339339792</v>
      </c>
      <c r="Q41" s="725">
        <f ca="1">Fixed!Q225</f>
        <v>-35.969434723558138</v>
      </c>
      <c r="R41" s="725">
        <f ca="1">Fixed!R225</f>
        <v>-38.069983390116086</v>
      </c>
      <c r="S41" s="725">
        <f ca="1">Fixed!S225</f>
        <v>-40.529761950042911</v>
      </c>
      <c r="T41" s="725">
        <f ca="1">Fixed!T225</f>
        <v>-42.979903594293226</v>
      </c>
      <c r="U41" s="725">
        <f ca="1">Fixed!U225</f>
        <v>-45.547700472488188</v>
      </c>
      <c r="V41" s="725">
        <f ca="1">Fixed!V225</f>
        <v>-48.175294083920207</v>
      </c>
      <c r="W41" s="725">
        <f ca="1">Fixed!W225</f>
        <v>-50.863294309504006</v>
      </c>
      <c r="X41" s="725">
        <f ca="1">Fixed!X225</f>
        <v>-53.61232761842362</v>
      </c>
      <c r="Y41" s="725">
        <f ca="1">Fixed!Y225</f>
        <v>-56.423039173035825</v>
      </c>
      <c r="Z41" s="725">
        <f ca="1">Fixed!Z225</f>
        <v>-59.296095123710046</v>
      </c>
    </row>
    <row r="42" spans="2:26" hidden="1" outlineLevel="1">
      <c r="B42" s="536" t="s">
        <v>1379</v>
      </c>
      <c r="C42" s="537">
        <f t="shared" ref="C42:T42" si="58">C41/C$34</f>
        <v>-0.15037192928009621</v>
      </c>
      <c r="D42" s="537">
        <f t="shared" si="58"/>
        <v>-0.15241962264169667</v>
      </c>
      <c r="E42" s="537">
        <f t="shared" si="58"/>
        <v>-0.13198083692140161</v>
      </c>
      <c r="F42" s="537">
        <f t="shared" si="58"/>
        <v>-0.10934559899644573</v>
      </c>
      <c r="G42" s="537">
        <f t="shared" si="58"/>
        <v>-0.10384383175689274</v>
      </c>
      <c r="H42" s="537">
        <f t="shared" si="58"/>
        <v>-0.10447456388087337</v>
      </c>
      <c r="I42" s="537">
        <f t="shared" si="58"/>
        <v>-0.10286787545273363</v>
      </c>
      <c r="J42" s="537">
        <f t="shared" si="58"/>
        <v>-7.3427705791666673E-2</v>
      </c>
      <c r="K42" s="537">
        <f t="shared" si="58"/>
        <v>-7.3427705791666673E-2</v>
      </c>
      <c r="L42" s="537">
        <f t="shared" si="58"/>
        <v>-7.3427705791666673E-2</v>
      </c>
      <c r="M42" s="537">
        <f t="shared" si="58"/>
        <v>-7.3427705791666673E-2</v>
      </c>
      <c r="N42" s="537">
        <f t="shared" ca="1" si="58"/>
        <v>-7.3427705791666659E-2</v>
      </c>
      <c r="O42" s="537">
        <f t="shared" ca="1" si="58"/>
        <v>-7.3427705791666659E-2</v>
      </c>
      <c r="P42" s="537">
        <f t="shared" ca="1" si="58"/>
        <v>-7.3427705791666673E-2</v>
      </c>
      <c r="Q42" s="537">
        <f t="shared" ca="1" si="58"/>
        <v>-7.3427705791666673E-2</v>
      </c>
      <c r="R42" s="537">
        <f t="shared" ca="1" si="58"/>
        <v>-7.3427705791666659E-2</v>
      </c>
      <c r="S42" s="537">
        <f t="shared" ca="1" si="58"/>
        <v>-7.3427705791666659E-2</v>
      </c>
      <c r="T42" s="537">
        <f t="shared" ca="1" si="58"/>
        <v>-7.3427705791666686E-2</v>
      </c>
      <c r="U42" s="537">
        <f t="shared" ref="U42:Z42" ca="1" si="59">U41/U$34</f>
        <v>-7.3427705791666673E-2</v>
      </c>
      <c r="V42" s="537">
        <f t="shared" ca="1" si="59"/>
        <v>-7.3427705791666659E-2</v>
      </c>
      <c r="W42" s="537">
        <f t="shared" ca="1" si="59"/>
        <v>-7.3427705791666686E-2</v>
      </c>
      <c r="X42" s="537">
        <f t="shared" ca="1" si="59"/>
        <v>-7.3427705791666659E-2</v>
      </c>
      <c r="Y42" s="537">
        <f t="shared" ca="1" si="59"/>
        <v>-7.3427705791666673E-2</v>
      </c>
      <c r="Z42" s="537">
        <f t="shared" ca="1" si="59"/>
        <v>-7.3427705791666673E-2</v>
      </c>
    </row>
    <row r="43" spans="2:26" hidden="1" outlineLevel="1">
      <c r="B43" s="489" t="s">
        <v>82</v>
      </c>
      <c r="C43" s="739">
        <v>-51.04</v>
      </c>
      <c r="D43" s="739">
        <v>-38.645773210103989</v>
      </c>
      <c r="E43" s="739">
        <v>-51.686306649999999</v>
      </c>
      <c r="F43" s="739">
        <v>-89.8</v>
      </c>
      <c r="G43" s="739">
        <v>-100</v>
      </c>
      <c r="H43" s="739">
        <f>Interims!AI78</f>
        <v>-119.53266380999999</v>
      </c>
      <c r="I43" s="739">
        <f>Fixed!I227</f>
        <v>-115.93596478000003</v>
      </c>
      <c r="J43" s="725">
        <f>Fixed!J227</f>
        <v>-112.04566483000004</v>
      </c>
      <c r="K43" s="725">
        <f>Fixed!K227</f>
        <v>-108.04088737247868</v>
      </c>
      <c r="L43" s="725">
        <f>Fixed!L227</f>
        <v>-104.23426155041827</v>
      </c>
      <c r="M43" s="725">
        <f>Fixed!M227</f>
        <v>-105.5239562356156</v>
      </c>
      <c r="N43" s="725">
        <f ca="1">Fixed!N227</f>
        <v>-101.27635386511355</v>
      </c>
      <c r="O43" s="725">
        <f ca="1">Fixed!O227</f>
        <v>-101.34286141671251</v>
      </c>
      <c r="P43" s="725">
        <f ca="1">Fixed!P227</f>
        <v>-108.03579782233973</v>
      </c>
      <c r="Q43" s="725">
        <f ca="1">Fixed!Q227</f>
        <v>-114.34771066396276</v>
      </c>
      <c r="R43" s="725">
        <f ca="1">Fixed!R227</f>
        <v>-121.02540612971403</v>
      </c>
      <c r="S43" s="725">
        <f ca="1">Fixed!S227</f>
        <v>-128.84510219192973</v>
      </c>
      <c r="T43" s="725">
        <f ca="1">Fixed!T227</f>
        <v>-136.63416226406272</v>
      </c>
      <c r="U43" s="725">
        <f ca="1">Fixed!U227</f>
        <v>-144.79725119577054</v>
      </c>
      <c r="V43" s="725">
        <f ca="1">Fixed!V227</f>
        <v>-153.15043540151842</v>
      </c>
      <c r="W43" s="725">
        <f ca="1">Fixed!W227</f>
        <v>-161.69565370761578</v>
      </c>
      <c r="X43" s="725">
        <f ca="1">Fixed!X227</f>
        <v>-170.43489767488492</v>
      </c>
      <c r="Y43" s="725">
        <f ca="1">Fixed!Y227</f>
        <v>-179.3702182902004</v>
      </c>
      <c r="Z43" s="725">
        <f ca="1">Fixed!Z227</f>
        <v>-188.50373326184112</v>
      </c>
    </row>
    <row r="44" spans="2:26" hidden="1" outlineLevel="1">
      <c r="B44" s="536" t="s">
        <v>1379</v>
      </c>
      <c r="C44" s="537">
        <f t="shared" ref="C44:T44" si="60">C43/C$34</f>
        <v>-0.24750026670287359</v>
      </c>
      <c r="D44" s="537">
        <f t="shared" si="60"/>
        <v>-0.18144021057096921</v>
      </c>
      <c r="E44" s="537">
        <f t="shared" si="60"/>
        <v>-0.18514542118309535</v>
      </c>
      <c r="F44" s="537">
        <f t="shared" si="60"/>
        <v>-0.1877482751411248</v>
      </c>
      <c r="G44" s="537">
        <f t="shared" si="60"/>
        <v>-0.20124773596297044</v>
      </c>
      <c r="H44" s="537">
        <f t="shared" si="60"/>
        <v>-0.24180368591220086</v>
      </c>
      <c r="I44" s="537">
        <f t="shared" si="60"/>
        <v>-0.23214830041231535</v>
      </c>
      <c r="J44" s="537">
        <f t="shared" si="60"/>
        <v>-0.23342846839583339</v>
      </c>
      <c r="K44" s="537">
        <f t="shared" si="60"/>
        <v>-0.23342846839583339</v>
      </c>
      <c r="L44" s="537">
        <f t="shared" si="60"/>
        <v>-0.23342846839583339</v>
      </c>
      <c r="M44" s="537">
        <f t="shared" si="60"/>
        <v>-0.23342846839583337</v>
      </c>
      <c r="N44" s="537">
        <f t="shared" ca="1" si="60"/>
        <v>-0.23342846839583337</v>
      </c>
      <c r="O44" s="537">
        <f t="shared" ca="1" si="60"/>
        <v>-0.23342846839583337</v>
      </c>
      <c r="P44" s="537">
        <f t="shared" ca="1" si="60"/>
        <v>-0.23342846839583337</v>
      </c>
      <c r="Q44" s="537">
        <f t="shared" ca="1" si="60"/>
        <v>-0.23342846839583339</v>
      </c>
      <c r="R44" s="537">
        <f t="shared" ca="1" si="60"/>
        <v>-0.23342846839583334</v>
      </c>
      <c r="S44" s="537">
        <f t="shared" ca="1" si="60"/>
        <v>-0.23342846839583334</v>
      </c>
      <c r="T44" s="537">
        <f t="shared" ca="1" si="60"/>
        <v>-0.23342846839583345</v>
      </c>
      <c r="U44" s="537">
        <f t="shared" ref="U44:Z44" ca="1" si="61">U43/U$34</f>
        <v>-0.23342846839583339</v>
      </c>
      <c r="V44" s="537">
        <f t="shared" ca="1" si="61"/>
        <v>-0.23342846839583334</v>
      </c>
      <c r="W44" s="537">
        <f t="shared" ca="1" si="61"/>
        <v>-0.23342846839583342</v>
      </c>
      <c r="X44" s="537">
        <f t="shared" ca="1" si="61"/>
        <v>-0.23342846839583337</v>
      </c>
      <c r="Y44" s="537">
        <f t="shared" ca="1" si="61"/>
        <v>-0.23342846839583342</v>
      </c>
      <c r="Z44" s="537">
        <f t="shared" ca="1" si="61"/>
        <v>-0.23342846839583339</v>
      </c>
    </row>
    <row r="45" spans="2:26" hidden="1" outlineLevel="1">
      <c r="C45" s="486"/>
      <c r="D45" s="486"/>
      <c r="E45" s="486"/>
      <c r="F45" s="486"/>
      <c r="G45" s="486"/>
      <c r="H45" s="486"/>
      <c r="I45" s="486"/>
      <c r="J45" s="486"/>
      <c r="K45" s="486"/>
      <c r="L45" s="486"/>
      <c r="M45" s="486"/>
      <c r="N45" s="486"/>
      <c r="O45" s="486"/>
      <c r="P45" s="486"/>
      <c r="Q45" s="486"/>
      <c r="R45" s="486"/>
      <c r="S45" s="486"/>
      <c r="T45" s="486"/>
      <c r="U45" s="486"/>
      <c r="V45" s="486"/>
      <c r="W45" s="486"/>
      <c r="X45" s="486"/>
      <c r="Y45" s="486"/>
      <c r="Z45" s="486"/>
    </row>
    <row r="46" spans="2:26" hidden="1" outlineLevel="1">
      <c r="B46" s="489" t="s">
        <v>181</v>
      </c>
      <c r="C46" s="486">
        <f t="shared" ref="C46:T46" si="62">C39+C41+C43</f>
        <v>141.41500000000005</v>
      </c>
      <c r="D46" s="486">
        <f t="shared" si="62"/>
        <v>158.69671943989604</v>
      </c>
      <c r="E46" s="486">
        <f t="shared" si="62"/>
        <v>222.09533739999995</v>
      </c>
      <c r="F46" s="486">
        <f t="shared" si="62"/>
        <v>374.9</v>
      </c>
      <c r="G46" s="486">
        <f t="shared" si="62"/>
        <v>378.59999999999991</v>
      </c>
      <c r="H46" s="486">
        <f t="shared" si="62"/>
        <v>364.52544452200038</v>
      </c>
      <c r="I46" s="486">
        <f t="shared" si="62"/>
        <v>363.96495178999999</v>
      </c>
      <c r="J46" s="486">
        <f t="shared" si="62"/>
        <v>364.43830714000001</v>
      </c>
      <c r="K46" s="486">
        <f t="shared" si="62"/>
        <v>354.19197462954861</v>
      </c>
      <c r="L46" s="486">
        <f t="shared" si="62"/>
        <v>342.70051390593119</v>
      </c>
      <c r="M46" s="486">
        <f t="shared" si="62"/>
        <v>350.55873929213237</v>
      </c>
      <c r="N46" s="486">
        <f t="shared" ca="1" si="62"/>
        <v>339.80953029878953</v>
      </c>
      <c r="O46" s="486">
        <f t="shared" ca="1" si="62"/>
        <v>336.55948480962422</v>
      </c>
      <c r="P46" s="486">
        <f t="shared" ca="1" si="62"/>
        <v>358.78671618094995</v>
      </c>
      <c r="Q46" s="486">
        <f t="shared" ca="1" si="62"/>
        <v>379.7485688900897</v>
      </c>
      <c r="R46" s="486">
        <f t="shared" ca="1" si="62"/>
        <v>401.92518512384243</v>
      </c>
      <c r="S46" s="486">
        <f t="shared" ca="1" si="62"/>
        <v>427.89438355850552</v>
      </c>
      <c r="T46" s="486">
        <f t="shared" ca="1" si="62"/>
        <v>453.76183991785365</v>
      </c>
      <c r="U46" s="486">
        <f t="shared" ref="U46:Z46" ca="1" si="63">U39+U41+U43</f>
        <v>480.87144553688029</v>
      </c>
      <c r="V46" s="486">
        <f t="shared" ca="1" si="63"/>
        <v>508.61235726470704</v>
      </c>
      <c r="W46" s="486">
        <f t="shared" ca="1" si="63"/>
        <v>536.99101394048557</v>
      </c>
      <c r="X46" s="486">
        <f t="shared" ca="1" si="63"/>
        <v>566.01402953460297</v>
      </c>
      <c r="Y46" s="486">
        <f t="shared" ca="1" si="63"/>
        <v>595.68821537127246</v>
      </c>
      <c r="Z46" s="486">
        <f t="shared" ca="1" si="63"/>
        <v>626.02060435638816</v>
      </c>
    </row>
    <row r="47" spans="2:26" hidden="1" outlineLevel="1">
      <c r="B47" s="536" t="s">
        <v>1182</v>
      </c>
      <c r="C47" s="490">
        <f t="shared" ref="C47:T47" si="64">C46/C34</f>
        <v>0.68574157946290915</v>
      </c>
      <c r="D47" s="490">
        <f t="shared" si="64"/>
        <v>0.74507413878236328</v>
      </c>
      <c r="E47" s="490">
        <f t="shared" si="64"/>
        <v>0.79556728756367157</v>
      </c>
      <c r="F47" s="490">
        <f t="shared" si="64"/>
        <v>0.78381768764373816</v>
      </c>
      <c r="G47" s="490">
        <f t="shared" si="64"/>
        <v>0.7619239283558058</v>
      </c>
      <c r="H47" s="490">
        <f t="shared" si="64"/>
        <v>0.7374017551747154</v>
      </c>
      <c r="I47" s="490">
        <f t="shared" si="64"/>
        <v>0.72879753170669881</v>
      </c>
      <c r="J47" s="490">
        <f t="shared" si="64"/>
        <v>0.75924647320833338</v>
      </c>
      <c r="K47" s="490">
        <f t="shared" si="64"/>
        <v>0.7652518612775866</v>
      </c>
      <c r="L47" s="490">
        <f t="shared" si="64"/>
        <v>0.7674641225412463</v>
      </c>
      <c r="M47" s="490">
        <f t="shared" si="64"/>
        <v>0.77546741531396424</v>
      </c>
      <c r="N47" s="490">
        <f t="shared" ca="1" si="64"/>
        <v>0.78321557971566735</v>
      </c>
      <c r="O47" s="490">
        <f t="shared" ca="1" si="64"/>
        <v>0.77521557971566735</v>
      </c>
      <c r="P47" s="490">
        <f t="shared" ca="1" si="64"/>
        <v>0.77521557971566724</v>
      </c>
      <c r="Q47" s="490">
        <f t="shared" ca="1" si="64"/>
        <v>0.77521557971566712</v>
      </c>
      <c r="R47" s="490">
        <f t="shared" ca="1" si="64"/>
        <v>0.77521557971566712</v>
      </c>
      <c r="S47" s="490">
        <f t="shared" ca="1" si="64"/>
        <v>0.77521557971566724</v>
      </c>
      <c r="T47" s="490">
        <f t="shared" ca="1" si="64"/>
        <v>0.77521557971566724</v>
      </c>
      <c r="U47" s="490">
        <f t="shared" ref="U47:Z47" ca="1" si="65">U46/U34</f>
        <v>0.77521557971566746</v>
      </c>
      <c r="V47" s="490">
        <f t="shared" ca="1" si="65"/>
        <v>0.77521557971566735</v>
      </c>
      <c r="W47" s="490">
        <f t="shared" ca="1" si="65"/>
        <v>0.77521557971566746</v>
      </c>
      <c r="X47" s="490">
        <f t="shared" ca="1" si="65"/>
        <v>0.77521557971566735</v>
      </c>
      <c r="Y47" s="490">
        <f t="shared" ca="1" si="65"/>
        <v>0.77521557971566724</v>
      </c>
      <c r="Z47" s="490">
        <f t="shared" ca="1" si="65"/>
        <v>0.77521557971566724</v>
      </c>
    </row>
    <row r="48" spans="2:26" hidden="1" outlineLevel="1">
      <c r="C48" s="486"/>
      <c r="D48" s="486"/>
      <c r="E48" s="486"/>
      <c r="F48" s="486"/>
      <c r="G48" s="486"/>
      <c r="H48" s="486"/>
      <c r="I48" s="486"/>
      <c r="J48" s="486"/>
      <c r="K48" s="486"/>
      <c r="L48" s="486"/>
      <c r="M48" s="486"/>
      <c r="N48" s="486"/>
      <c r="O48" s="486"/>
      <c r="P48" s="486"/>
      <c r="Q48" s="486"/>
      <c r="R48" s="486"/>
      <c r="S48" s="486"/>
      <c r="T48" s="486"/>
      <c r="U48" s="486"/>
      <c r="V48" s="486"/>
      <c r="W48" s="486"/>
      <c r="X48" s="486"/>
      <c r="Y48" s="486"/>
      <c r="Z48" s="486"/>
    </row>
    <row r="49" spans="2:26" hidden="1" outlineLevel="1">
      <c r="B49" s="489" t="s">
        <v>83</v>
      </c>
      <c r="C49" s="739">
        <v>-28.524999999999999</v>
      </c>
      <c r="D49" s="739">
        <v>-30.586063799999998</v>
      </c>
      <c r="E49" s="739">
        <v>-44.50948893000001</v>
      </c>
      <c r="F49" s="739">
        <v>-73.900000000000006</v>
      </c>
      <c r="G49" s="739">
        <v>-69</v>
      </c>
      <c r="H49" s="739">
        <v>-73.928944340000001</v>
      </c>
      <c r="I49" s="739">
        <f>Fixed!I232</f>
        <v>-74.803869060000011</v>
      </c>
      <c r="J49" s="725">
        <f>Fixed!J232</f>
        <v>-77.052954760000006</v>
      </c>
      <c r="K49" s="725">
        <f>Fixed!K232</f>
        <v>-74.29889964571737</v>
      </c>
      <c r="L49" s="725">
        <f>Fixed!L232</f>
        <v>-71.681111909792975</v>
      </c>
      <c r="M49" s="725">
        <f>Fixed!M232</f>
        <v>-72.568025173090561</v>
      </c>
      <c r="N49" s="725">
        <f ca="1">Fixed!N232</f>
        <v>-69.646981205978207</v>
      </c>
      <c r="O49" s="725">
        <f ca="1">Fixed!O232</f>
        <v>-69.692717945300771</v>
      </c>
      <c r="P49" s="725">
        <f ca="1">Fixed!P232</f>
        <v>-74.295399600649134</v>
      </c>
      <c r="Q49" s="725">
        <f ca="1">Fixed!Q232</f>
        <v>-78.636054237957538</v>
      </c>
      <c r="R49" s="725">
        <f ca="1">Fixed!R232</f>
        <v>-83.228254814430201</v>
      </c>
      <c r="S49" s="725">
        <f ca="1">Fixed!S232</f>
        <v>-88.605800548422138</v>
      </c>
      <c r="T49" s="725">
        <f ca="1">Fixed!T232</f>
        <v>-93.96227814415586</v>
      </c>
      <c r="U49" s="725">
        <f ca="1">Fixed!U232</f>
        <v>-99.5759725526907</v>
      </c>
      <c r="V49" s="725">
        <f ca="1">Fixed!V232</f>
        <v>-105.32039404087581</v>
      </c>
      <c r="W49" s="725">
        <f ca="1">Fixed!W232</f>
        <v>-111.19687592487413</v>
      </c>
      <c r="X49" s="725">
        <f ca="1">Fixed!X232</f>
        <v>-117.20678778597359</v>
      </c>
      <c r="Y49" s="725">
        <f ca="1">Fixed!Y232</f>
        <v>-123.35154007230797</v>
      </c>
      <c r="Z49" s="725">
        <f ca="1">Fixed!Z232</f>
        <v>-129.63258911581531</v>
      </c>
    </row>
    <row r="50" spans="2:26" hidden="1" outlineLevel="1">
      <c r="B50" s="536" t="s">
        <v>1379</v>
      </c>
      <c r="C50" s="537">
        <f t="shared" ref="C50:T50" si="66">C49/C$34</f>
        <v>-0.13832180853643161</v>
      </c>
      <c r="D50" s="537">
        <f t="shared" si="66"/>
        <v>-0.14360022831573629</v>
      </c>
      <c r="E50" s="537">
        <f t="shared" si="66"/>
        <v>-0.15943735601756664</v>
      </c>
      <c r="F50" s="537">
        <f t="shared" si="66"/>
        <v>-0.15450554045578091</v>
      </c>
      <c r="G50" s="537">
        <f t="shared" si="66"/>
        <v>-0.13886093781444958</v>
      </c>
      <c r="H50" s="537">
        <f t="shared" si="66"/>
        <v>-0.14955151727752616</v>
      </c>
      <c r="I50" s="537">
        <f t="shared" si="66"/>
        <v>-0.14978605732481126</v>
      </c>
      <c r="J50" s="537">
        <f t="shared" si="66"/>
        <v>-0.16052698908333335</v>
      </c>
      <c r="K50" s="537">
        <f t="shared" si="66"/>
        <v>-0.16052698908333335</v>
      </c>
      <c r="L50" s="537">
        <f t="shared" si="66"/>
        <v>-0.16052698908333335</v>
      </c>
      <c r="M50" s="537">
        <f t="shared" si="66"/>
        <v>-0.16052698908333332</v>
      </c>
      <c r="N50" s="537">
        <f t="shared" ca="1" si="66"/>
        <v>-0.16052698908333332</v>
      </c>
      <c r="O50" s="537">
        <f t="shared" ca="1" si="66"/>
        <v>-0.16052698908333332</v>
      </c>
      <c r="P50" s="537">
        <f t="shared" ca="1" si="66"/>
        <v>-0.16052698908333332</v>
      </c>
      <c r="Q50" s="537">
        <f t="shared" ca="1" si="66"/>
        <v>-0.16052698908333335</v>
      </c>
      <c r="R50" s="537">
        <f t="shared" ca="1" si="66"/>
        <v>-0.16052698908333329</v>
      </c>
      <c r="S50" s="537">
        <f t="shared" ca="1" si="66"/>
        <v>-0.16052698908333332</v>
      </c>
      <c r="T50" s="537">
        <f t="shared" ca="1" si="66"/>
        <v>-0.16052698908333338</v>
      </c>
      <c r="U50" s="537">
        <f t="shared" ref="U50:Z50" ca="1" si="67">U49/U$34</f>
        <v>-0.16052698908333335</v>
      </c>
      <c r="V50" s="537">
        <f t="shared" ca="1" si="67"/>
        <v>-0.16052698908333332</v>
      </c>
      <c r="W50" s="537">
        <f t="shared" ca="1" si="67"/>
        <v>-0.16052698908333338</v>
      </c>
      <c r="X50" s="537">
        <f t="shared" ca="1" si="67"/>
        <v>-0.16052698908333332</v>
      </c>
      <c r="Y50" s="537">
        <f t="shared" ca="1" si="67"/>
        <v>-0.16052698908333335</v>
      </c>
      <c r="Z50" s="537">
        <f t="shared" ca="1" si="67"/>
        <v>-0.16052698908333332</v>
      </c>
    </row>
    <row r="51" spans="2:26" hidden="1" outlineLevel="1">
      <c r="B51" s="489" t="s">
        <v>84</v>
      </c>
      <c r="C51" s="739">
        <v>-6.8360000000000003</v>
      </c>
      <c r="D51" s="739">
        <v>-8.7443164499999995</v>
      </c>
      <c r="E51" s="739">
        <v>-9.537148010000001</v>
      </c>
      <c r="F51" s="739">
        <v>-9.6999999999999993</v>
      </c>
      <c r="G51" s="739">
        <v>-6.3</v>
      </c>
      <c r="H51" s="739">
        <v>-9.3744906599999975</v>
      </c>
      <c r="I51" s="739">
        <f>Fixed!I234</f>
        <v>-9.91227254</v>
      </c>
      <c r="J51" s="725">
        <f>Fixed!J234</f>
        <v>-10.55880855</v>
      </c>
      <c r="K51" s="725">
        <f>Fixed!K234</f>
        <v>-10.181411722345121</v>
      </c>
      <c r="L51" s="725">
        <f>Fixed!L234</f>
        <v>-9.822688041802861</v>
      </c>
      <c r="M51" s="725">
        <f>Fixed!M234</f>
        <v>-9.9442245536314289</v>
      </c>
      <c r="N51" s="725">
        <f ca="1">Fixed!N234</f>
        <v>-9.5439447186667756</v>
      </c>
      <c r="O51" s="725">
        <f ca="1">Fixed!O234</f>
        <v>-9.5502121677959142</v>
      </c>
      <c r="P51" s="725">
        <f ca="1">Fixed!P234</f>
        <v>-10.180932100169608</v>
      </c>
      <c r="Q51" s="725">
        <f ca="1">Fixed!Q234</f>
        <v>-10.775745646772256</v>
      </c>
      <c r="R51" s="725">
        <f ca="1">Fixed!R234</f>
        <v>-11.405029323968058</v>
      </c>
      <c r="S51" s="725">
        <f ca="1">Fixed!S234</f>
        <v>-12.141931316253059</v>
      </c>
      <c r="T51" s="725">
        <f ca="1">Fixed!T234</f>
        <v>-12.875946275340356</v>
      </c>
      <c r="U51" s="725">
        <f ca="1">Fixed!U234</f>
        <v>-13.645208462657477</v>
      </c>
      <c r="V51" s="725">
        <f ca="1">Fixed!V234</f>
        <v>-14.432384592543409</v>
      </c>
      <c r="W51" s="725">
        <f ca="1">Fixed!W234</f>
        <v>-15.237657373502259</v>
      </c>
      <c r="X51" s="725">
        <f ca="1">Fixed!X234</f>
        <v>-16.061214483562178</v>
      </c>
      <c r="Y51" s="725">
        <f ca="1">Fixed!Y234</f>
        <v>-16.903249200863648</v>
      </c>
      <c r="Z51" s="725">
        <f ca="1">Fixed!Z234</f>
        <v>-17.763961091149046</v>
      </c>
    </row>
    <row r="52" spans="2:26" hidden="1" outlineLevel="1">
      <c r="B52" s="536" t="s">
        <v>1379</v>
      </c>
      <c r="C52" s="537">
        <f t="shared" ref="C52:T52" si="68">C51/C$34</f>
        <v>-3.3148742617179545E-2</v>
      </c>
      <c r="D52" s="537">
        <f t="shared" si="68"/>
        <v>-4.105418228693581E-2</v>
      </c>
      <c r="E52" s="537">
        <f t="shared" si="68"/>
        <v>-3.4162999828059294E-2</v>
      </c>
      <c r="F52" s="537">
        <f t="shared" si="68"/>
        <v>-2.028015889609032E-2</v>
      </c>
      <c r="G52" s="537">
        <f t="shared" si="68"/>
        <v>-1.2678607365667137E-2</v>
      </c>
      <c r="H52" s="537">
        <f t="shared" si="68"/>
        <v>-1.8963740310687049E-2</v>
      </c>
      <c r="I52" s="537">
        <f t="shared" si="68"/>
        <v>-1.9848174186079891E-2</v>
      </c>
      <c r="J52" s="537">
        <f t="shared" si="68"/>
        <v>-2.1997517812499999E-2</v>
      </c>
      <c r="K52" s="537">
        <f t="shared" si="68"/>
        <v>-2.1997517812499999E-2</v>
      </c>
      <c r="L52" s="537">
        <f t="shared" si="68"/>
        <v>-2.1997517812500002E-2</v>
      </c>
      <c r="M52" s="537">
        <f t="shared" si="68"/>
        <v>-2.1997517812499996E-2</v>
      </c>
      <c r="N52" s="537">
        <f t="shared" ca="1" si="68"/>
        <v>-2.1997517812499999E-2</v>
      </c>
      <c r="O52" s="537">
        <f t="shared" ca="1" si="68"/>
        <v>-2.1997517812499996E-2</v>
      </c>
      <c r="P52" s="537">
        <f t="shared" ca="1" si="68"/>
        <v>-2.1997517812499999E-2</v>
      </c>
      <c r="Q52" s="537">
        <f t="shared" ca="1" si="68"/>
        <v>-2.1997517812499999E-2</v>
      </c>
      <c r="R52" s="537">
        <f t="shared" ca="1" si="68"/>
        <v>-2.1997517812499996E-2</v>
      </c>
      <c r="S52" s="537">
        <f t="shared" ca="1" si="68"/>
        <v>-2.1997517812499996E-2</v>
      </c>
      <c r="T52" s="537">
        <f t="shared" ca="1" si="68"/>
        <v>-2.1997517812500002E-2</v>
      </c>
      <c r="U52" s="537">
        <f t="shared" ref="U52:Z52" ca="1" si="69">U51/U$34</f>
        <v>-2.1997517812499999E-2</v>
      </c>
      <c r="V52" s="537">
        <f t="shared" ca="1" si="69"/>
        <v>-2.1997517812499996E-2</v>
      </c>
      <c r="W52" s="537">
        <f t="shared" ca="1" si="69"/>
        <v>-2.1997517812500002E-2</v>
      </c>
      <c r="X52" s="537">
        <f t="shared" ca="1" si="69"/>
        <v>-2.1997517812499996E-2</v>
      </c>
      <c r="Y52" s="537">
        <f t="shared" ca="1" si="69"/>
        <v>-2.1997517812499999E-2</v>
      </c>
      <c r="Z52" s="537">
        <f t="shared" ca="1" si="69"/>
        <v>-2.1997517812500002E-2</v>
      </c>
    </row>
    <row r="53" spans="2:26" hidden="1" outlineLevel="1">
      <c r="B53" s="489" t="s">
        <v>75</v>
      </c>
      <c r="C53" s="739">
        <v>-17.977</v>
      </c>
      <c r="D53" s="739">
        <v>-20.429670590000001</v>
      </c>
      <c r="E53" s="739">
        <v>-27.167834190000008</v>
      </c>
      <c r="F53" s="739">
        <v>-41.1</v>
      </c>
      <c r="G53" s="739">
        <v>-38.5</v>
      </c>
      <c r="H53" s="739">
        <v>-45.333248949999998</v>
      </c>
      <c r="I53" s="739">
        <f>Fixed!I236</f>
        <v>-39.794739109999995</v>
      </c>
      <c r="J53" s="725">
        <f>Fixed!J236</f>
        <v>-34.642583169999966</v>
      </c>
      <c r="K53" s="725">
        <f>Fixed!K236</f>
        <v>-43.258663261486134</v>
      </c>
      <c r="L53" s="725">
        <f>Fixed!L236</f>
        <v>-79.613713954335338</v>
      </c>
      <c r="M53" s="725">
        <f ca="1">Fixed!M236</f>
        <v>-77.191943033896223</v>
      </c>
      <c r="N53" s="725">
        <f ca="1">Fixed!N236</f>
        <v>-75.638854830124586</v>
      </c>
      <c r="O53" s="725">
        <f ca="1">Fixed!O236</f>
        <v>-65.050792467597006</v>
      </c>
      <c r="P53" s="725">
        <f ca="1">Fixed!P236</f>
        <v>-64.626402797068323</v>
      </c>
      <c r="Q53" s="725">
        <f ca="1">Fixed!Q236</f>
        <v>-61.709658082917429</v>
      </c>
      <c r="R53" s="725">
        <f ca="1">Fixed!R236</f>
        <v>-58.186866647747053</v>
      </c>
      <c r="S53" s="725">
        <f ca="1">Fixed!S236</f>
        <v>-53.670037693289771</v>
      </c>
      <c r="T53" s="725">
        <f ca="1">Fixed!T236</f>
        <v>-48.128658876625821</v>
      </c>
      <c r="U53" s="725">
        <f ca="1">Fixed!U236</f>
        <v>-41.792821619485778</v>
      </c>
      <c r="V53" s="725">
        <f ca="1">Fixed!V236</f>
        <v>-36.046881006784133</v>
      </c>
      <c r="W53" s="725">
        <f ca="1">Fixed!W236</f>
        <v>-29.774765714531725</v>
      </c>
      <c r="X53" s="725">
        <f ca="1">Fixed!X236</f>
        <v>-22.961622356686348</v>
      </c>
      <c r="Y53" s="725">
        <f ca="1">Fixed!Y236</f>
        <v>-15.592140323463752</v>
      </c>
      <c r="Z53" s="725">
        <f ca="1">Fixed!Z236</f>
        <v>-7.6505344498209524</v>
      </c>
    </row>
    <row r="54" spans="2:26" hidden="1" outlineLevel="1">
      <c r="B54" s="536" t="s">
        <v>1379</v>
      </c>
      <c r="C54" s="537">
        <f t="shared" ref="C54:T54" si="70">C53/C$34</f>
        <v>-8.7173046522679445E-2</v>
      </c>
      <c r="D54" s="537">
        <f t="shared" si="70"/>
        <v>-9.5916407561383671E-2</v>
      </c>
      <c r="E54" s="537">
        <f t="shared" si="70"/>
        <v>-9.7317847409784886E-2</v>
      </c>
      <c r="F54" s="537">
        <f t="shared" si="70"/>
        <v>-8.5929333054568263E-2</v>
      </c>
      <c r="G54" s="537">
        <f t="shared" si="70"/>
        <v>-7.7480378345743617E-2</v>
      </c>
      <c r="H54" s="537">
        <f t="shared" si="70"/>
        <v>-9.1705031420611233E-2</v>
      </c>
      <c r="I54" s="537">
        <f t="shared" si="70"/>
        <v>-7.9684341845677881E-2</v>
      </c>
      <c r="J54" s="537">
        <f t="shared" si="70"/>
        <v>-7.2172048270833261E-2</v>
      </c>
      <c r="K54" s="537">
        <f t="shared" si="70"/>
        <v>-9.3462796868438489E-2</v>
      </c>
      <c r="L54" s="537">
        <f t="shared" si="70"/>
        <v>-0.17829173474477322</v>
      </c>
      <c r="M54" s="537">
        <f t="shared" ca="1" si="70"/>
        <v>-0.17075551066971137</v>
      </c>
      <c r="N54" s="537">
        <f t="shared" ca="1" si="70"/>
        <v>-0.17433745746540724</v>
      </c>
      <c r="O54" s="537">
        <f t="shared" ca="1" si="70"/>
        <v>-0.14983499223697924</v>
      </c>
      <c r="P54" s="537">
        <f t="shared" ca="1" si="70"/>
        <v>-0.13963558863756953</v>
      </c>
      <c r="Q54" s="537">
        <f t="shared" ca="1" si="70"/>
        <v>-0.12597358432350073</v>
      </c>
      <c r="R54" s="537">
        <f t="shared" ca="1" si="70"/>
        <v>-0.11222826344229418</v>
      </c>
      <c r="S54" s="537">
        <f t="shared" ca="1" si="70"/>
        <v>-9.7233922627723915E-2</v>
      </c>
      <c r="T54" s="537">
        <f t="shared" ca="1" si="70"/>
        <v>-8.2223939762619699E-2</v>
      </c>
      <c r="U54" s="537">
        <f t="shared" ref="U54:Z54" ca="1" si="71">U53/U$34</f>
        <v>-6.7374444335182221E-2</v>
      </c>
      <c r="V54" s="537">
        <f t="shared" ca="1" si="71"/>
        <v>-5.4941849834121009E-2</v>
      </c>
      <c r="W54" s="537">
        <f t="shared" ca="1" si="71"/>
        <v>-4.298370301378459E-2</v>
      </c>
      <c r="X54" s="537">
        <f t="shared" ca="1" si="71"/>
        <v>-3.1448350142640108E-2</v>
      </c>
      <c r="Y54" s="537">
        <f t="shared" ca="1" si="71"/>
        <v>-2.0291269472786859E-2</v>
      </c>
      <c r="Z54" s="537">
        <f t="shared" ca="1" si="71"/>
        <v>-9.4738311445037859E-3</v>
      </c>
    </row>
    <row r="55" spans="2:26" hidden="1" outlineLevel="1">
      <c r="B55" s="536"/>
      <c r="C55" s="486"/>
      <c r="D55" s="486"/>
      <c r="E55" s="486"/>
      <c r="F55" s="486"/>
      <c r="G55" s="486"/>
      <c r="H55" s="486"/>
      <c r="I55" s="486"/>
      <c r="J55" s="486"/>
      <c r="K55" s="486"/>
      <c r="L55" s="486"/>
      <c r="M55" s="486"/>
      <c r="N55" s="486"/>
      <c r="O55" s="486"/>
      <c r="P55" s="486"/>
      <c r="Q55" s="486"/>
      <c r="R55" s="486"/>
      <c r="S55" s="486"/>
      <c r="T55" s="486"/>
      <c r="U55" s="486"/>
      <c r="V55" s="486"/>
      <c r="W55" s="486"/>
      <c r="X55" s="486"/>
      <c r="Y55" s="486"/>
      <c r="Z55" s="486"/>
    </row>
    <row r="56" spans="2:26" s="58" customFormat="1" hidden="1" outlineLevel="1">
      <c r="B56" s="58" t="s">
        <v>28</v>
      </c>
      <c r="C56" s="740">
        <v>88.077000000000055</v>
      </c>
      <c r="D56" s="740">
        <v>98.936668599896052</v>
      </c>
      <c r="E56" s="740">
        <v>140.88094094999988</v>
      </c>
      <c r="F56" s="740">
        <v>250.1</v>
      </c>
      <c r="G56" s="740">
        <v>264.7</v>
      </c>
      <c r="H56" s="740">
        <v>235.99661195000004</v>
      </c>
      <c r="I56" s="740">
        <f t="shared" ref="I56:T56" si="72">I12</f>
        <v>239.45407107999998</v>
      </c>
      <c r="J56" s="728">
        <f t="shared" si="72"/>
        <v>242.18396066</v>
      </c>
      <c r="K56" s="728">
        <f t="shared" si="72"/>
        <v>226.45299999999997</v>
      </c>
      <c r="L56" s="728">
        <f t="shared" si="72"/>
        <v>181.58300000000003</v>
      </c>
      <c r="M56" s="728">
        <f t="shared" ca="1" si="72"/>
        <v>190.85454653151407</v>
      </c>
      <c r="N56" s="728">
        <f t="shared" ca="1" si="72"/>
        <v>184.97974954401991</v>
      </c>
      <c r="O56" s="728">
        <f t="shared" ca="1" si="72"/>
        <v>192.26576222893047</v>
      </c>
      <c r="P56" s="728">
        <f t="shared" ca="1" si="72"/>
        <v>209.68398168306288</v>
      </c>
      <c r="Q56" s="728">
        <f t="shared" ca="1" si="72"/>
        <v>228.62711092244257</v>
      </c>
      <c r="R56" s="728">
        <f t="shared" ca="1" si="72"/>
        <v>249.10503433769716</v>
      </c>
      <c r="S56" s="728">
        <f t="shared" ca="1" si="72"/>
        <v>273.47661400054051</v>
      </c>
      <c r="T56" s="728">
        <f t="shared" ca="1" si="72"/>
        <v>298.79495662173173</v>
      </c>
      <c r="U56" s="728">
        <f t="shared" ref="U56:Z56" ca="1" si="73">U12</f>
        <v>325.85744290204622</v>
      </c>
      <c r="V56" s="728">
        <f t="shared" ca="1" si="73"/>
        <v>352.81269762450358</v>
      </c>
      <c r="W56" s="728">
        <f t="shared" ca="1" si="73"/>
        <v>380.78171492757747</v>
      </c>
      <c r="X56" s="728">
        <f t="shared" ca="1" si="73"/>
        <v>409.78440490838074</v>
      </c>
      <c r="Y56" s="728">
        <f t="shared" ca="1" si="73"/>
        <v>439.84128577463719</v>
      </c>
      <c r="Z56" s="728">
        <f t="shared" ca="1" si="73"/>
        <v>470.97351969960295</v>
      </c>
    </row>
    <row r="57" spans="2:26" hidden="1" outlineLevel="1">
      <c r="B57" s="536" t="s">
        <v>1182</v>
      </c>
      <c r="C57" s="490">
        <f t="shared" ref="C57:T57" si="74">C56/C34</f>
        <v>0.42709798178661856</v>
      </c>
      <c r="D57" s="490">
        <f t="shared" si="74"/>
        <v>0.46450332061830762</v>
      </c>
      <c r="E57" s="490">
        <f t="shared" si="74"/>
        <v>0.50464935181934722</v>
      </c>
      <c r="F57" s="490">
        <f t="shared" si="74"/>
        <v>0.52289358143424625</v>
      </c>
      <c r="G57" s="490">
        <f t="shared" si="74"/>
        <v>0.53270275709398274</v>
      </c>
      <c r="H57" s="490">
        <f t="shared" si="74"/>
        <v>0.47739963967512089</v>
      </c>
      <c r="I57" s="490">
        <f t="shared" si="74"/>
        <v>0.47947895835012977</v>
      </c>
      <c r="J57" s="490">
        <f t="shared" si="74"/>
        <v>0.50454991804166671</v>
      </c>
      <c r="K57" s="490">
        <f t="shared" si="74"/>
        <v>0.48926455751331471</v>
      </c>
      <c r="L57" s="490">
        <f t="shared" si="74"/>
        <v>0.40664788090063975</v>
      </c>
      <c r="M57" s="490">
        <f t="shared" ca="1" si="74"/>
        <v>0.42218739774841935</v>
      </c>
      <c r="N57" s="490">
        <f t="shared" ca="1" si="74"/>
        <v>0.42635361535442667</v>
      </c>
      <c r="O57" s="490">
        <f t="shared" ca="1" si="74"/>
        <v>0.44285608058285469</v>
      </c>
      <c r="P57" s="490">
        <f t="shared" ca="1" si="74"/>
        <v>0.45305548418226432</v>
      </c>
      <c r="Q57" s="490">
        <f t="shared" ca="1" si="74"/>
        <v>0.46671748849633321</v>
      </c>
      <c r="R57" s="490">
        <f t="shared" ca="1" si="74"/>
        <v>0.48046280937753971</v>
      </c>
      <c r="S57" s="490">
        <f t="shared" ca="1" si="74"/>
        <v>0.49545715019210995</v>
      </c>
      <c r="T57" s="490">
        <f t="shared" ca="1" si="74"/>
        <v>0.51046713305721436</v>
      </c>
      <c r="U57" s="490">
        <f t="shared" ref="U57:Z57" ca="1" si="75">U56/U34</f>
        <v>0.52531662848465166</v>
      </c>
      <c r="V57" s="490">
        <f t="shared" ca="1" si="75"/>
        <v>0.53774922298571282</v>
      </c>
      <c r="W57" s="490">
        <f t="shared" ca="1" si="75"/>
        <v>0.54970736980604951</v>
      </c>
      <c r="X57" s="490">
        <f t="shared" ca="1" si="75"/>
        <v>0.56124272267719377</v>
      </c>
      <c r="Y57" s="490">
        <f t="shared" ca="1" si="75"/>
        <v>0.5723998033470471</v>
      </c>
      <c r="Z57" s="490">
        <f t="shared" ca="1" si="75"/>
        <v>0.58321724167533018</v>
      </c>
    </row>
    <row r="58" spans="2:26" hidden="1" outlineLevel="1">
      <c r="C58" s="486"/>
      <c r="D58" s="486"/>
      <c r="E58" s="486"/>
      <c r="F58" s="486"/>
      <c r="G58" s="486"/>
      <c r="H58" s="486"/>
      <c r="I58" s="486"/>
      <c r="J58" s="486"/>
      <c r="K58" s="486"/>
      <c r="L58" s="486"/>
      <c r="M58" s="486"/>
      <c r="N58" s="486"/>
      <c r="O58" s="486"/>
      <c r="P58" s="486"/>
      <c r="Q58" s="486"/>
      <c r="R58" s="486"/>
      <c r="S58" s="486"/>
      <c r="T58" s="486"/>
      <c r="U58" s="486"/>
      <c r="V58" s="486"/>
      <c r="W58" s="486"/>
      <c r="X58" s="486"/>
      <c r="Y58" s="486"/>
      <c r="Z58" s="486"/>
    </row>
    <row r="59" spans="2:26" hidden="1" outlineLevel="1">
      <c r="B59" s="489" t="s">
        <v>85</v>
      </c>
      <c r="C59" s="725">
        <f t="shared" ref="C59:I59" si="76">C60-C56</f>
        <v>3.0889999999999986</v>
      </c>
      <c r="D59" s="725">
        <f t="shared" si="76"/>
        <v>-14.782299819999992</v>
      </c>
      <c r="E59" s="725">
        <f t="shared" si="76"/>
        <v>-68.09240462999999</v>
      </c>
      <c r="F59" s="725">
        <f t="shared" si="76"/>
        <v>-31.299999999999983</v>
      </c>
      <c r="G59" s="725">
        <f t="shared" si="76"/>
        <v>-68</v>
      </c>
      <c r="H59" s="725">
        <f t="shared" si="76"/>
        <v>-46.400786667999625</v>
      </c>
      <c r="I59" s="725">
        <f t="shared" si="76"/>
        <v>-25.323781889999992</v>
      </c>
      <c r="J59" s="725">
        <f>J60-J56</f>
        <v>-19.283960659999991</v>
      </c>
      <c r="K59" s="725">
        <f ca="1">K60-K56</f>
        <v>-24.052999999999969</v>
      </c>
      <c r="L59" s="725">
        <f ca="1">L60-L56</f>
        <v>-18.283000000000015</v>
      </c>
      <c r="M59" s="726">
        <v>-10</v>
      </c>
      <c r="N59" s="726">
        <v>-10</v>
      </c>
      <c r="O59" s="726">
        <v>-10</v>
      </c>
      <c r="P59" s="726">
        <v>-10</v>
      </c>
      <c r="Q59" s="726">
        <v>-10</v>
      </c>
      <c r="R59" s="726">
        <v>-10</v>
      </c>
      <c r="S59" s="726">
        <v>-10</v>
      </c>
      <c r="T59" s="726">
        <v>-10</v>
      </c>
      <c r="U59" s="726">
        <v>-10</v>
      </c>
      <c r="V59" s="726">
        <v>-10</v>
      </c>
      <c r="W59" s="726">
        <v>-10</v>
      </c>
      <c r="X59" s="726">
        <v>-10</v>
      </c>
      <c r="Y59" s="726">
        <v>-10</v>
      </c>
      <c r="Z59" s="726">
        <v>-10</v>
      </c>
    </row>
    <row r="60" spans="2:26" s="58" customFormat="1" hidden="1" outlineLevel="1">
      <c r="B60" s="58" t="s">
        <v>27</v>
      </c>
      <c r="C60" s="741">
        <v>91.166000000000054</v>
      </c>
      <c r="D60" s="741">
        <v>84.15436877989606</v>
      </c>
      <c r="E60" s="741">
        <v>72.788536319999892</v>
      </c>
      <c r="F60" s="741">
        <v>218.8</v>
      </c>
      <c r="G60" s="741">
        <v>196.7</v>
      </c>
      <c r="H60" s="741">
        <f>Interims!AI96</f>
        <v>189.59582528200042</v>
      </c>
      <c r="I60" s="741">
        <f>Interims!AN96</f>
        <v>214.13028918999998</v>
      </c>
      <c r="J60" s="741">
        <v>222.9</v>
      </c>
      <c r="K60" s="741">
        <f ca="1">Interims!AX96</f>
        <v>202.4</v>
      </c>
      <c r="L60" s="741">
        <f ca="1">Interims!BC96</f>
        <v>163.30000000000001</v>
      </c>
      <c r="M60" s="727">
        <f t="shared" ref="M60:T60" ca="1" si="77">M56+M59</f>
        <v>180.85454653151407</v>
      </c>
      <c r="N60" s="727">
        <f t="shared" ca="1" si="77"/>
        <v>174.97974954401991</v>
      </c>
      <c r="O60" s="727">
        <f t="shared" ca="1" si="77"/>
        <v>182.26576222893047</v>
      </c>
      <c r="P60" s="727">
        <f t="shared" ca="1" si="77"/>
        <v>199.68398168306288</v>
      </c>
      <c r="Q60" s="727">
        <f t="shared" ca="1" si="77"/>
        <v>218.62711092244257</v>
      </c>
      <c r="R60" s="727">
        <f t="shared" ca="1" si="77"/>
        <v>239.10503433769716</v>
      </c>
      <c r="S60" s="727">
        <f t="shared" ca="1" si="77"/>
        <v>263.47661400054051</v>
      </c>
      <c r="T60" s="727">
        <f t="shared" ca="1" si="77"/>
        <v>288.79495662173173</v>
      </c>
      <c r="U60" s="727">
        <f t="shared" ref="U60:Z60" ca="1" si="78">U56+U59</f>
        <v>315.85744290204622</v>
      </c>
      <c r="V60" s="727">
        <f t="shared" ca="1" si="78"/>
        <v>342.81269762450358</v>
      </c>
      <c r="W60" s="727">
        <f t="shared" ca="1" si="78"/>
        <v>370.78171492757747</v>
      </c>
      <c r="X60" s="727">
        <f t="shared" ca="1" si="78"/>
        <v>399.78440490838074</v>
      </c>
      <c r="Y60" s="727">
        <f t="shared" ca="1" si="78"/>
        <v>429.84128577463719</v>
      </c>
      <c r="Z60" s="727">
        <f t="shared" ca="1" si="78"/>
        <v>460.97351969960295</v>
      </c>
    </row>
    <row r="61" spans="2:26" hidden="1" outlineLevel="1">
      <c r="B61" s="536" t="s">
        <v>1182</v>
      </c>
      <c r="C61" s="490">
        <f t="shared" ref="C61:T61" si="79">C60/C34</f>
        <v>0.4420769849967513</v>
      </c>
      <c r="D61" s="490">
        <f t="shared" si="79"/>
        <v>0.39510107117999749</v>
      </c>
      <c r="E61" s="490">
        <f t="shared" si="79"/>
        <v>0.26073567812699217</v>
      </c>
      <c r="F61" s="490">
        <f t="shared" si="79"/>
        <v>0.45745348107882083</v>
      </c>
      <c r="G61" s="490">
        <f t="shared" si="79"/>
        <v>0.39585429663916283</v>
      </c>
      <c r="H61" s="490">
        <f t="shared" si="79"/>
        <v>0.38353507673538512</v>
      </c>
      <c r="I61" s="490">
        <f t="shared" si="79"/>
        <v>0.42877102714921717</v>
      </c>
      <c r="J61" s="490">
        <f t="shared" si="79"/>
        <v>0.46437500000000004</v>
      </c>
      <c r="K61" s="490">
        <f t="shared" ca="1" si="79"/>
        <v>0.43729668602621696</v>
      </c>
      <c r="L61" s="490">
        <f t="shared" ca="1" si="79"/>
        <v>0.36570383213777979</v>
      </c>
      <c r="M61" s="490">
        <f t="shared" ca="1" si="79"/>
        <v>0.40006649963930846</v>
      </c>
      <c r="N61" s="490">
        <f t="shared" ca="1" si="79"/>
        <v>0.40330495103276987</v>
      </c>
      <c r="O61" s="490">
        <f t="shared" ca="1" si="79"/>
        <v>0.419822542242547</v>
      </c>
      <c r="P61" s="490">
        <f t="shared" ca="1" si="79"/>
        <v>0.43144889885582499</v>
      </c>
      <c r="Q61" s="490">
        <f t="shared" ca="1" si="79"/>
        <v>0.44630357141479088</v>
      </c>
      <c r="R61" s="490">
        <f t="shared" ca="1" si="79"/>
        <v>0.46117525018970718</v>
      </c>
      <c r="S61" s="490">
        <f t="shared" ca="1" si="79"/>
        <v>0.4773401659664997</v>
      </c>
      <c r="T61" s="490">
        <f t="shared" ca="1" si="79"/>
        <v>0.49338293796808996</v>
      </c>
      <c r="U61" s="490">
        <f t="shared" ref="U61:Z61" ca="1" si="80">U60/U34</f>
        <v>0.50919557187148223</v>
      </c>
      <c r="V61" s="490">
        <f t="shared" ca="1" si="80"/>
        <v>0.5225074466379116</v>
      </c>
      <c r="W61" s="490">
        <f t="shared" ca="1" si="80"/>
        <v>0.53527108391688594</v>
      </c>
      <c r="X61" s="490">
        <f t="shared" ca="1" si="80"/>
        <v>0.5475466738291983</v>
      </c>
      <c r="Y61" s="490">
        <f t="shared" ca="1" si="80"/>
        <v>0.55938602265251891</v>
      </c>
      <c r="Z61" s="490">
        <f t="shared" ca="1" si="80"/>
        <v>0.57083401380198151</v>
      </c>
    </row>
    <row r="62" spans="2:26" hidden="1" outlineLevel="1">
      <c r="C62" s="486"/>
      <c r="D62" s="486"/>
      <c r="E62" s="486"/>
      <c r="F62" s="486"/>
      <c r="G62" s="486"/>
      <c r="H62" s="486"/>
      <c r="I62" s="486"/>
      <c r="J62" s="486"/>
      <c r="K62" s="486"/>
      <c r="L62" s="486"/>
      <c r="M62" s="486"/>
      <c r="N62" s="486"/>
      <c r="O62" s="486"/>
      <c r="P62" s="486"/>
      <c r="Q62" s="486"/>
      <c r="R62" s="486"/>
      <c r="S62" s="486"/>
      <c r="T62" s="486"/>
      <c r="U62" s="486"/>
      <c r="V62" s="486"/>
      <c r="W62" s="486"/>
      <c r="X62" s="486"/>
      <c r="Y62" s="486"/>
      <c r="Z62" s="486"/>
    </row>
    <row r="63" spans="2:26" hidden="1" outlineLevel="1">
      <c r="B63" s="489" t="s">
        <v>29</v>
      </c>
      <c r="C63" s="739">
        <v>-62.832000000000001</v>
      </c>
      <c r="D63" s="739">
        <v>-50.789175909999997</v>
      </c>
      <c r="E63" s="739">
        <v>-75.796081609999987</v>
      </c>
      <c r="F63" s="739">
        <v>-154.65299999999999</v>
      </c>
      <c r="G63" s="739">
        <v>-155.61000000000001</v>
      </c>
      <c r="H63" s="739">
        <v>-282.97531842000001</v>
      </c>
      <c r="I63" s="739">
        <f>Interims!AN105</f>
        <v>-184.17734855000003</v>
      </c>
      <c r="J63" s="739">
        <v>-354.3</v>
      </c>
      <c r="K63" s="739">
        <v>-214.8</v>
      </c>
      <c r="L63" s="739">
        <v>-233.5</v>
      </c>
      <c r="M63" s="725">
        <f t="shared" ref="M63:T63" si="81">-M196</f>
        <v>-187</v>
      </c>
      <c r="N63" s="725">
        <f t="shared" ca="1" si="81"/>
        <v>-193.26969502103239</v>
      </c>
      <c r="O63" s="725">
        <f t="shared" ca="1" si="81"/>
        <v>-187.46621537875632</v>
      </c>
      <c r="P63" s="725">
        <f t="shared" si="81"/>
        <v>0</v>
      </c>
      <c r="Q63" s="725">
        <f t="shared" si="81"/>
        <v>0</v>
      </c>
      <c r="R63" s="725">
        <f t="shared" si="81"/>
        <v>0</v>
      </c>
      <c r="S63" s="725">
        <f t="shared" si="81"/>
        <v>0</v>
      </c>
      <c r="T63" s="725">
        <f t="shared" si="81"/>
        <v>0</v>
      </c>
      <c r="U63" s="725">
        <f t="shared" ref="U63:Z63" si="82">-U196</f>
        <v>0</v>
      </c>
      <c r="V63" s="725">
        <f t="shared" si="82"/>
        <v>0</v>
      </c>
      <c r="W63" s="725">
        <f t="shared" si="82"/>
        <v>0</v>
      </c>
      <c r="X63" s="725">
        <f t="shared" si="82"/>
        <v>0</v>
      </c>
      <c r="Y63" s="725">
        <f t="shared" si="82"/>
        <v>0</v>
      </c>
      <c r="Z63" s="725">
        <f t="shared" si="82"/>
        <v>0</v>
      </c>
    </row>
    <row r="64" spans="2:26" s="58" customFormat="1" hidden="1" outlineLevel="1">
      <c r="B64" s="58" t="s">
        <v>182</v>
      </c>
      <c r="C64" s="728">
        <f t="shared" ref="C64:T64" si="83">C60+C63</f>
        <v>28.334000000000053</v>
      </c>
      <c r="D64" s="728">
        <f t="shared" si="83"/>
        <v>33.365192869896063</v>
      </c>
      <c r="E64" s="728">
        <f t="shared" si="83"/>
        <v>-3.0075452900000954</v>
      </c>
      <c r="F64" s="728">
        <f t="shared" si="83"/>
        <v>64.14700000000002</v>
      </c>
      <c r="G64" s="728">
        <f t="shared" si="83"/>
        <v>41.089999999999975</v>
      </c>
      <c r="H64" s="728">
        <f t="shared" si="83"/>
        <v>-93.379493137999589</v>
      </c>
      <c r="I64" s="728">
        <f t="shared" si="83"/>
        <v>29.952940639999952</v>
      </c>
      <c r="J64" s="728">
        <f t="shared" si="83"/>
        <v>-131.4</v>
      </c>
      <c r="K64" s="728">
        <f t="shared" ca="1" si="83"/>
        <v>-12.400000000000006</v>
      </c>
      <c r="L64" s="728">
        <f t="shared" ca="1" si="83"/>
        <v>-70.199999999999989</v>
      </c>
      <c r="M64" s="728">
        <f t="shared" ca="1" si="83"/>
        <v>-6.1454534684859254</v>
      </c>
      <c r="N64" s="728">
        <f t="shared" ca="1" si="83"/>
        <v>-18.289945477012481</v>
      </c>
      <c r="O64" s="728">
        <f t="shared" ca="1" si="83"/>
        <v>-5.2004531498258473</v>
      </c>
      <c r="P64" s="728">
        <f t="shared" ca="1" si="83"/>
        <v>199.68398168306288</v>
      </c>
      <c r="Q64" s="728">
        <f t="shared" ca="1" si="83"/>
        <v>218.62711092244257</v>
      </c>
      <c r="R64" s="728">
        <f t="shared" ca="1" si="83"/>
        <v>239.10503433769716</v>
      </c>
      <c r="S64" s="728">
        <f t="shared" ca="1" si="83"/>
        <v>263.47661400054051</v>
      </c>
      <c r="T64" s="728">
        <f t="shared" ca="1" si="83"/>
        <v>288.79495662173173</v>
      </c>
      <c r="U64" s="728">
        <f t="shared" ref="U64:Z64" ca="1" si="84">U60+U63</f>
        <v>315.85744290204622</v>
      </c>
      <c r="V64" s="728">
        <f t="shared" ca="1" si="84"/>
        <v>342.81269762450358</v>
      </c>
      <c r="W64" s="728">
        <f t="shared" ca="1" si="84"/>
        <v>370.78171492757747</v>
      </c>
      <c r="X64" s="728">
        <f t="shared" ca="1" si="84"/>
        <v>399.78440490838074</v>
      </c>
      <c r="Y64" s="728">
        <f t="shared" ca="1" si="84"/>
        <v>429.84128577463719</v>
      </c>
      <c r="Z64" s="728">
        <f t="shared" ca="1" si="84"/>
        <v>460.97351969960295</v>
      </c>
    </row>
    <row r="65" spans="2:26" hidden="1" outlineLevel="1">
      <c r="B65" s="536" t="s">
        <v>1182</v>
      </c>
      <c r="C65" s="490">
        <f t="shared" ref="C65:T65" si="85">C64/C34</f>
        <v>0.13739562219355864</v>
      </c>
      <c r="D65" s="490">
        <f t="shared" si="85"/>
        <v>0.15664811743169291</v>
      </c>
      <c r="E65" s="490">
        <f t="shared" si="85"/>
        <v>-1.077332228853118E-2</v>
      </c>
      <c r="F65" s="490">
        <f t="shared" si="85"/>
        <v>0.13411457244407279</v>
      </c>
      <c r="G65" s="490">
        <f t="shared" si="85"/>
        <v>8.2692694707184503E-2</v>
      </c>
      <c r="H65" s="490">
        <f t="shared" si="85"/>
        <v>-0.18889820497326176</v>
      </c>
      <c r="I65" s="490">
        <f t="shared" si="85"/>
        <v>5.9977283797326898E-2</v>
      </c>
      <c r="J65" s="490">
        <f t="shared" si="85"/>
        <v>-0.27374999999999999</v>
      </c>
      <c r="K65" s="490">
        <f t="shared" ca="1" si="85"/>
        <v>-2.6790903689353225E-2</v>
      </c>
      <c r="L65" s="490">
        <f t="shared" ca="1" si="85"/>
        <v>-0.15721009807760034</v>
      </c>
      <c r="M65" s="490">
        <f t="shared" ca="1" si="85"/>
        <v>-1.359429500106595E-2</v>
      </c>
      <c r="N65" s="490">
        <f t="shared" ca="1" si="85"/>
        <v>-4.2155881376106617E-2</v>
      </c>
      <c r="O65" s="490">
        <f t="shared" ca="1" si="85"/>
        <v>-1.1978483701348739E-2</v>
      </c>
      <c r="P65" s="490">
        <f t="shared" ca="1" si="85"/>
        <v>0.43144889885582499</v>
      </c>
      <c r="Q65" s="490">
        <f t="shared" ca="1" si="85"/>
        <v>0.44630357141479088</v>
      </c>
      <c r="R65" s="490">
        <f t="shared" ca="1" si="85"/>
        <v>0.46117525018970718</v>
      </c>
      <c r="S65" s="490">
        <f t="shared" ca="1" si="85"/>
        <v>0.4773401659664997</v>
      </c>
      <c r="T65" s="490">
        <f t="shared" ca="1" si="85"/>
        <v>0.49338293796808996</v>
      </c>
      <c r="U65" s="490">
        <f t="shared" ref="U65:Z65" ca="1" si="86">U64/U34</f>
        <v>0.50919557187148223</v>
      </c>
      <c r="V65" s="490">
        <f t="shared" ca="1" si="86"/>
        <v>0.5225074466379116</v>
      </c>
      <c r="W65" s="490">
        <f t="shared" ca="1" si="86"/>
        <v>0.53527108391688594</v>
      </c>
      <c r="X65" s="490">
        <f t="shared" ca="1" si="86"/>
        <v>0.5475466738291983</v>
      </c>
      <c r="Y65" s="490">
        <f t="shared" ca="1" si="86"/>
        <v>0.55938602265251891</v>
      </c>
      <c r="Z65" s="490">
        <f t="shared" ca="1" si="86"/>
        <v>0.57083401380198151</v>
      </c>
    </row>
    <row r="66" spans="2:26" hidden="1" outlineLevel="1">
      <c r="C66" s="486"/>
      <c r="D66" s="486"/>
      <c r="E66" s="486"/>
      <c r="F66" s="486"/>
      <c r="G66" s="486"/>
      <c r="H66" s="486"/>
      <c r="I66" s="486"/>
      <c r="J66" s="486"/>
      <c r="K66" s="486"/>
      <c r="L66" s="486"/>
      <c r="M66" s="486"/>
      <c r="N66" s="486"/>
      <c r="O66" s="486"/>
      <c r="P66" s="486"/>
      <c r="Q66" s="486"/>
      <c r="R66" s="486"/>
      <c r="S66" s="486"/>
      <c r="T66" s="486"/>
      <c r="U66" s="486"/>
      <c r="V66" s="486"/>
      <c r="W66" s="486"/>
      <c r="X66" s="486"/>
      <c r="Y66" s="486"/>
      <c r="Z66" s="486"/>
    </row>
    <row r="67" spans="2:26" hidden="1" outlineLevel="1">
      <c r="C67" s="486"/>
      <c r="D67" s="486"/>
      <c r="E67" s="486"/>
      <c r="F67" s="486"/>
      <c r="G67" s="486"/>
      <c r="H67" s="486"/>
      <c r="I67" s="486"/>
      <c r="J67" s="486"/>
      <c r="K67" s="486"/>
      <c r="L67" s="486"/>
      <c r="M67" s="486"/>
      <c r="N67" s="486"/>
      <c r="O67" s="486"/>
      <c r="P67" s="486"/>
      <c r="Q67" s="486"/>
      <c r="R67" s="486"/>
      <c r="S67" s="486"/>
      <c r="T67" s="486"/>
      <c r="U67" s="486"/>
      <c r="V67" s="486"/>
      <c r="W67" s="486"/>
      <c r="X67" s="486"/>
      <c r="Y67" s="486"/>
      <c r="Z67" s="486"/>
    </row>
    <row r="68" spans="2:26" hidden="1" outlineLevel="1">
      <c r="B68" s="489" t="s">
        <v>151</v>
      </c>
      <c r="C68" s="739">
        <v>-0.02</v>
      </c>
      <c r="D68" s="739">
        <v>-1.2036379999999888E-2</v>
      </c>
      <c r="E68" s="739">
        <v>1.3829499999999998E-2</v>
      </c>
      <c r="F68" s="739">
        <v>0.1</v>
      </c>
      <c r="G68" s="739">
        <v>0.1</v>
      </c>
      <c r="H68" s="739">
        <f>Interims!AI109</f>
        <v>-4.82301E-3</v>
      </c>
      <c r="I68" s="739">
        <f>Interims!AN109</f>
        <v>-0.16755636999999998</v>
      </c>
      <c r="J68" s="739">
        <f>Interims!AO109</f>
        <v>0</v>
      </c>
      <c r="K68" s="739">
        <f>Interims!AP109</f>
        <v>-2.0512250000000003E-2</v>
      </c>
      <c r="L68" s="739">
        <f>Interims!AQ109</f>
        <v>0</v>
      </c>
      <c r="M68" s="726">
        <v>0</v>
      </c>
      <c r="N68" s="726">
        <v>0</v>
      </c>
      <c r="O68" s="726">
        <v>0</v>
      </c>
      <c r="P68" s="726">
        <v>0</v>
      </c>
      <c r="Q68" s="726">
        <v>0</v>
      </c>
      <c r="R68" s="726">
        <v>0</v>
      </c>
      <c r="S68" s="726">
        <v>0</v>
      </c>
      <c r="T68" s="726">
        <v>0</v>
      </c>
      <c r="U68" s="726">
        <v>0</v>
      </c>
      <c r="V68" s="726">
        <v>0</v>
      </c>
      <c r="W68" s="726">
        <v>0</v>
      </c>
      <c r="X68" s="726">
        <v>0</v>
      </c>
      <c r="Y68" s="726">
        <v>0</v>
      </c>
      <c r="Z68" s="726">
        <v>0</v>
      </c>
    </row>
    <row r="69" spans="2:26" hidden="1" outlineLevel="1">
      <c r="B69" s="489" t="s">
        <v>87</v>
      </c>
      <c r="C69" s="739">
        <v>0.44700000000000001</v>
      </c>
      <c r="D69" s="739">
        <v>0.11227459000000092</v>
      </c>
      <c r="E69" s="739">
        <v>1.0845417900000001</v>
      </c>
      <c r="F69" s="739">
        <v>0.3</v>
      </c>
      <c r="G69" s="739">
        <v>0.1</v>
      </c>
      <c r="H69" s="739">
        <f>Interims!AI110</f>
        <v>0.35078279000000029</v>
      </c>
      <c r="I69" s="739">
        <f>Interims!AN110</f>
        <v>9.1187149999999995E-2</v>
      </c>
      <c r="J69" s="739">
        <f>Interims!AO110</f>
        <v>5.1279129999999992E-2</v>
      </c>
      <c r="K69" s="739">
        <f>Interims!AP110</f>
        <v>2.447044000000001E-2</v>
      </c>
      <c r="L69" s="739">
        <f>Interims!AQ110</f>
        <v>3.178819999999985E-3</v>
      </c>
      <c r="M69" s="725">
        <f t="shared" ref="M69:T69" si="87">M260</f>
        <v>0.20350444025943107</v>
      </c>
      <c r="N69" s="725">
        <f t="shared" ca="1" si="87"/>
        <v>0.19531287908517417</v>
      </c>
      <c r="O69" s="725">
        <f t="shared" ca="1" si="87"/>
        <v>0.19544113983793585</v>
      </c>
      <c r="P69" s="725">
        <f t="shared" si="87"/>
        <v>0</v>
      </c>
      <c r="Q69" s="725">
        <f t="shared" si="87"/>
        <v>0</v>
      </c>
      <c r="R69" s="725">
        <f t="shared" si="87"/>
        <v>0</v>
      </c>
      <c r="S69" s="725">
        <f t="shared" si="87"/>
        <v>0</v>
      </c>
      <c r="T69" s="725">
        <f t="shared" si="87"/>
        <v>0</v>
      </c>
      <c r="U69" s="725">
        <f t="shared" ref="U69:Z69" si="88">U260</f>
        <v>0</v>
      </c>
      <c r="V69" s="725">
        <f t="shared" si="88"/>
        <v>0</v>
      </c>
      <c r="W69" s="725">
        <f t="shared" si="88"/>
        <v>0</v>
      </c>
      <c r="X69" s="725">
        <f t="shared" si="88"/>
        <v>0</v>
      </c>
      <c r="Y69" s="725">
        <f t="shared" si="88"/>
        <v>0</v>
      </c>
      <c r="Z69" s="725">
        <f t="shared" si="88"/>
        <v>0</v>
      </c>
    </row>
    <row r="70" spans="2:26" hidden="1" outlineLevel="1">
      <c r="B70" s="489" t="s">
        <v>88</v>
      </c>
      <c r="C70" s="739">
        <v>-28.321000000000002</v>
      </c>
      <c r="D70" s="739">
        <v>-45.837435287806997</v>
      </c>
      <c r="E70" s="739">
        <v>-46.057433880000005</v>
      </c>
      <c r="F70" s="739">
        <v>-75.8</v>
      </c>
      <c r="G70" s="739">
        <v>-57.6</v>
      </c>
      <c r="H70" s="739">
        <f>Interims!AI111</f>
        <v>-75.610099399999996</v>
      </c>
      <c r="I70" s="739">
        <f>Interims!AN111</f>
        <v>-62.576209759999998</v>
      </c>
      <c r="J70" s="739">
        <v>-47.2</v>
      </c>
      <c r="K70" s="739">
        <v>-82.3</v>
      </c>
      <c r="L70" s="739">
        <v>-58.9</v>
      </c>
      <c r="M70" s="725">
        <f t="shared" ref="M70:T70" si="89">M257</f>
        <v>-47.825710110107565</v>
      </c>
      <c r="N70" s="725">
        <f t="shared" si="89"/>
        <v>-53.612663818220199</v>
      </c>
      <c r="O70" s="725">
        <f t="shared" ca="1" si="89"/>
        <v>-53.29349719912706</v>
      </c>
      <c r="P70" s="725">
        <f t="shared" si="89"/>
        <v>0</v>
      </c>
      <c r="Q70" s="725">
        <f t="shared" si="89"/>
        <v>0</v>
      </c>
      <c r="R70" s="725">
        <f t="shared" si="89"/>
        <v>0</v>
      </c>
      <c r="S70" s="725">
        <f t="shared" si="89"/>
        <v>0</v>
      </c>
      <c r="T70" s="725">
        <f t="shared" si="89"/>
        <v>0</v>
      </c>
      <c r="U70" s="725">
        <f t="shared" ref="U70:Z70" si="90">U257</f>
        <v>0</v>
      </c>
      <c r="V70" s="725">
        <f t="shared" si="90"/>
        <v>0</v>
      </c>
      <c r="W70" s="725">
        <f t="shared" si="90"/>
        <v>0</v>
      </c>
      <c r="X70" s="725">
        <f t="shared" si="90"/>
        <v>0</v>
      </c>
      <c r="Y70" s="725">
        <f t="shared" si="90"/>
        <v>0</v>
      </c>
      <c r="Z70" s="725">
        <f t="shared" si="90"/>
        <v>0</v>
      </c>
    </row>
    <row r="71" spans="2:26" hidden="1" outlineLevel="1">
      <c r="B71" s="489" t="s">
        <v>152</v>
      </c>
      <c r="C71" s="739">
        <v>-0.48499999999999999</v>
      </c>
      <c r="D71" s="739">
        <v>-1.5129999999999999</v>
      </c>
      <c r="E71" s="739">
        <v>-17.509627430000002</v>
      </c>
      <c r="F71" s="739">
        <v>2.9</v>
      </c>
      <c r="G71" s="739">
        <v>-12.3</v>
      </c>
      <c r="H71" s="739">
        <f>Interims!AI112</f>
        <v>-2.4309863199999993</v>
      </c>
      <c r="I71" s="739">
        <f>Interims!AN112</f>
        <v>-4.11178694</v>
      </c>
      <c r="J71" s="739">
        <v>-6</v>
      </c>
      <c r="K71" s="739">
        <v>2</v>
      </c>
      <c r="L71" s="739">
        <v>4</v>
      </c>
      <c r="M71" s="726">
        <v>0</v>
      </c>
      <c r="N71" s="726">
        <v>0</v>
      </c>
      <c r="O71" s="726">
        <v>0</v>
      </c>
      <c r="P71" s="726">
        <v>0</v>
      </c>
      <c r="Q71" s="726">
        <v>0</v>
      </c>
      <c r="R71" s="726">
        <v>0</v>
      </c>
      <c r="S71" s="726">
        <v>0</v>
      </c>
      <c r="T71" s="726">
        <v>0</v>
      </c>
      <c r="U71" s="726">
        <v>0</v>
      </c>
      <c r="V71" s="726">
        <v>0</v>
      </c>
      <c r="W71" s="726">
        <v>0</v>
      </c>
      <c r="X71" s="726">
        <v>0</v>
      </c>
      <c r="Y71" s="726">
        <v>0</v>
      </c>
      <c r="Z71" s="726">
        <v>0</v>
      </c>
    </row>
    <row r="72" spans="2:26" hidden="1" outlineLevel="1">
      <c r="C72" s="725"/>
      <c r="D72" s="725"/>
      <c r="E72" s="725"/>
      <c r="F72" s="725"/>
      <c r="G72" s="725"/>
      <c r="H72" s="725"/>
      <c r="I72" s="725"/>
      <c r="J72" s="725"/>
      <c r="K72" s="725"/>
      <c r="L72" s="725"/>
      <c r="M72" s="725"/>
      <c r="N72" s="725"/>
      <c r="O72" s="725"/>
      <c r="P72" s="725"/>
      <c r="Q72" s="725"/>
      <c r="R72" s="725"/>
      <c r="S72" s="725"/>
      <c r="T72" s="725"/>
      <c r="U72" s="725"/>
      <c r="V72" s="725"/>
      <c r="W72" s="725"/>
      <c r="X72" s="725"/>
      <c r="Y72" s="725"/>
      <c r="Z72" s="725"/>
    </row>
    <row r="73" spans="2:26" s="58" customFormat="1" hidden="1" outlineLevel="1">
      <c r="B73" s="58" t="s">
        <v>183</v>
      </c>
      <c r="C73" s="728">
        <f t="shared" ref="C73:T73" si="91">C64+C68+C69+C70+C71</f>
        <v>-4.499999999994897E-2</v>
      </c>
      <c r="D73" s="728">
        <f t="shared" si="91"/>
        <v>-13.885004207910933</v>
      </c>
      <c r="E73" s="728">
        <f t="shared" si="91"/>
        <v>-65.476235310000106</v>
      </c>
      <c r="F73" s="728">
        <f t="shared" si="91"/>
        <v>-8.3529999999999855</v>
      </c>
      <c r="G73" s="728">
        <f t="shared" si="91"/>
        <v>-28.610000000000024</v>
      </c>
      <c r="H73" s="728">
        <f t="shared" si="91"/>
        <v>-171.07461907799956</v>
      </c>
      <c r="I73" s="728">
        <f t="shared" si="91"/>
        <v>-36.811425280000051</v>
      </c>
      <c r="J73" s="728">
        <f t="shared" si="91"/>
        <v>-184.54872087000001</v>
      </c>
      <c r="K73" s="728">
        <f t="shared" ca="1" si="91"/>
        <v>-92.696041809999997</v>
      </c>
      <c r="L73" s="728">
        <f t="shared" ca="1" si="91"/>
        <v>-125.09682117999998</v>
      </c>
      <c r="M73" s="728">
        <f t="shared" ca="1" si="91"/>
        <v>-53.767659138334061</v>
      </c>
      <c r="N73" s="728">
        <f t="shared" ca="1" si="91"/>
        <v>-71.7072964161475</v>
      </c>
      <c r="O73" s="728">
        <f t="shared" ca="1" si="91"/>
        <v>-58.298509209114968</v>
      </c>
      <c r="P73" s="728">
        <f t="shared" ca="1" si="91"/>
        <v>199.68398168306288</v>
      </c>
      <c r="Q73" s="728">
        <f t="shared" ca="1" si="91"/>
        <v>218.62711092244257</v>
      </c>
      <c r="R73" s="728">
        <f t="shared" ca="1" si="91"/>
        <v>239.10503433769716</v>
      </c>
      <c r="S73" s="728">
        <f t="shared" ca="1" si="91"/>
        <v>263.47661400054051</v>
      </c>
      <c r="T73" s="728">
        <f t="shared" ca="1" si="91"/>
        <v>288.79495662173173</v>
      </c>
      <c r="U73" s="728">
        <f t="shared" ref="U73:Z73" ca="1" si="92">U64+U68+U69+U70+U71</f>
        <v>315.85744290204622</v>
      </c>
      <c r="V73" s="728">
        <f t="shared" ca="1" si="92"/>
        <v>342.81269762450358</v>
      </c>
      <c r="W73" s="728">
        <f t="shared" ca="1" si="92"/>
        <v>370.78171492757747</v>
      </c>
      <c r="X73" s="728">
        <f t="shared" ca="1" si="92"/>
        <v>399.78440490838074</v>
      </c>
      <c r="Y73" s="728">
        <f t="shared" ca="1" si="92"/>
        <v>429.84128577463719</v>
      </c>
      <c r="Z73" s="728">
        <f t="shared" ca="1" si="92"/>
        <v>460.97351969960295</v>
      </c>
    </row>
    <row r="74" spans="2:26" hidden="1" outlineLevel="1">
      <c r="B74" s="536" t="s">
        <v>1182</v>
      </c>
      <c r="C74" s="490">
        <f t="shared" ref="C74:T74" si="93">C73/C34</f>
        <v>-2.1821144203794439E-4</v>
      </c>
      <c r="D74" s="490">
        <f t="shared" si="93"/>
        <v>-6.5189485886738036E-2</v>
      </c>
      <c r="E74" s="490">
        <f t="shared" si="93"/>
        <v>-0.23454229852489239</v>
      </c>
      <c r="F74" s="490">
        <f t="shared" si="93"/>
        <v>-1.7463934768973417E-2</v>
      </c>
      <c r="G74" s="490">
        <f t="shared" si="93"/>
        <v>-5.7576977259005888E-2</v>
      </c>
      <c r="H74" s="490">
        <f t="shared" si="93"/>
        <v>-0.34606836441659999</v>
      </c>
      <c r="I74" s="490">
        <f t="shared" si="93"/>
        <v>-7.3710602492706057E-2</v>
      </c>
      <c r="J74" s="490">
        <f t="shared" si="93"/>
        <v>-0.38447650181250004</v>
      </c>
      <c r="K74" s="490">
        <f t="shared" ca="1" si="93"/>
        <v>-0.20027505875128779</v>
      </c>
      <c r="L74" s="490">
        <f t="shared" ca="1" si="93"/>
        <v>-0.28014933799008307</v>
      </c>
      <c r="M74" s="490">
        <f t="shared" ca="1" si="93"/>
        <v>-0.11893889093644949</v>
      </c>
      <c r="N74" s="490">
        <f t="shared" ca="1" si="93"/>
        <v>-0.16527574045093291</v>
      </c>
      <c r="O74" s="490">
        <f t="shared" ca="1" si="93"/>
        <v>-0.13428209470509289</v>
      </c>
      <c r="P74" s="490">
        <f t="shared" ca="1" si="93"/>
        <v>0.43144889885582499</v>
      </c>
      <c r="Q74" s="490">
        <f t="shared" ca="1" si="93"/>
        <v>0.44630357141479088</v>
      </c>
      <c r="R74" s="490">
        <f t="shared" ca="1" si="93"/>
        <v>0.46117525018970718</v>
      </c>
      <c r="S74" s="490">
        <f t="shared" ca="1" si="93"/>
        <v>0.4773401659664997</v>
      </c>
      <c r="T74" s="490">
        <f t="shared" ca="1" si="93"/>
        <v>0.49338293796808996</v>
      </c>
      <c r="U74" s="490">
        <f t="shared" ref="U74:Z74" ca="1" si="94">U73/U34</f>
        <v>0.50919557187148223</v>
      </c>
      <c r="V74" s="490">
        <f t="shared" ca="1" si="94"/>
        <v>0.5225074466379116</v>
      </c>
      <c r="W74" s="490">
        <f t="shared" ca="1" si="94"/>
        <v>0.53527108391688594</v>
      </c>
      <c r="X74" s="490">
        <f t="shared" ca="1" si="94"/>
        <v>0.5475466738291983</v>
      </c>
      <c r="Y74" s="490">
        <f t="shared" ca="1" si="94"/>
        <v>0.55938602265251891</v>
      </c>
      <c r="Z74" s="490">
        <f t="shared" ca="1" si="94"/>
        <v>0.57083401380198151</v>
      </c>
    </row>
    <row r="75" spans="2:26" hidden="1" outlineLevel="1">
      <c r="C75" s="486"/>
      <c r="D75" s="486"/>
      <c r="E75" s="486"/>
      <c r="F75" s="486"/>
      <c r="G75" s="486"/>
      <c r="H75" s="486"/>
      <c r="I75" s="486"/>
      <c r="J75" s="486"/>
      <c r="K75" s="486"/>
      <c r="L75" s="486"/>
      <c r="M75" s="486"/>
      <c r="N75" s="486"/>
      <c r="O75" s="486"/>
      <c r="P75" s="486"/>
      <c r="Q75" s="486"/>
      <c r="R75" s="486"/>
      <c r="S75" s="486"/>
      <c r="T75" s="486"/>
      <c r="U75" s="486"/>
      <c r="V75" s="486"/>
      <c r="W75" s="486"/>
      <c r="X75" s="486"/>
      <c r="Y75" s="486"/>
      <c r="Z75" s="486"/>
    </row>
    <row r="76" spans="2:26" hidden="1" outlineLevel="1">
      <c r="B76" s="489" t="s">
        <v>86</v>
      </c>
      <c r="C76" s="739">
        <v>-8.593</v>
      </c>
      <c r="D76" s="739">
        <v>-8.0091758100000003</v>
      </c>
      <c r="E76" s="739">
        <v>-0.90429894999999927</v>
      </c>
      <c r="F76" s="739">
        <v>0.4</v>
      </c>
      <c r="G76" s="739">
        <v>12.026999999999999</v>
      </c>
      <c r="H76" s="739">
        <f>Interims!AI116</f>
        <v>9.850471970000001</v>
      </c>
      <c r="I76" s="739">
        <f>Interims!AN116</f>
        <v>1.2612802199999977</v>
      </c>
      <c r="J76" s="739">
        <v>-3</v>
      </c>
      <c r="K76" s="739">
        <v>6.7</v>
      </c>
      <c r="L76" s="739">
        <v>0.2</v>
      </c>
      <c r="M76" s="725">
        <f t="shared" ref="M76:T76" ca="1" si="95">M298</f>
        <v>16.130297741500218</v>
      </c>
      <c r="N76" s="725">
        <f t="shared" ca="1" si="95"/>
        <v>21.512188924844249</v>
      </c>
      <c r="O76" s="725">
        <f t="shared" ca="1" si="95"/>
        <v>17.48955276273449</v>
      </c>
      <c r="P76" s="725">
        <f t="shared" ca="1" si="95"/>
        <v>1</v>
      </c>
      <c r="Q76" s="725">
        <f t="shared" ca="1" si="95"/>
        <v>2</v>
      </c>
      <c r="R76" s="725">
        <f t="shared" ca="1" si="95"/>
        <v>3</v>
      </c>
      <c r="S76" s="725">
        <f t="shared" ca="1" si="95"/>
        <v>4</v>
      </c>
      <c r="T76" s="725">
        <f t="shared" ca="1" si="95"/>
        <v>5</v>
      </c>
      <c r="U76" s="725">
        <f t="shared" ref="U76:Z76" si="96">U298</f>
        <v>0</v>
      </c>
      <c r="V76" s="725">
        <f t="shared" si="96"/>
        <v>0</v>
      </c>
      <c r="W76" s="725">
        <f t="shared" si="96"/>
        <v>0</v>
      </c>
      <c r="X76" s="725">
        <f t="shared" si="96"/>
        <v>0</v>
      </c>
      <c r="Y76" s="725">
        <f t="shared" si="96"/>
        <v>0</v>
      </c>
      <c r="Z76" s="725">
        <f t="shared" si="96"/>
        <v>0</v>
      </c>
    </row>
    <row r="77" spans="2:26" hidden="1" outlineLevel="1">
      <c r="B77" s="618" t="s">
        <v>1527</v>
      </c>
      <c r="C77" s="728">
        <f t="shared" ref="C77:T77" si="97">C73+C76</f>
        <v>-8.6379999999999484</v>
      </c>
      <c r="D77" s="728">
        <f t="shared" si="97"/>
        <v>-21.894180017910934</v>
      </c>
      <c r="E77" s="728">
        <f t="shared" si="97"/>
        <v>-66.380534260000104</v>
      </c>
      <c r="F77" s="728">
        <f t="shared" si="97"/>
        <v>-7.9529999999999852</v>
      </c>
      <c r="G77" s="728">
        <f t="shared" si="97"/>
        <v>-16.583000000000027</v>
      </c>
      <c r="H77" s="728">
        <f t="shared" si="97"/>
        <v>-161.22414710799956</v>
      </c>
      <c r="I77" s="728">
        <f t="shared" si="97"/>
        <v>-35.550145060000055</v>
      </c>
      <c r="J77" s="728">
        <f t="shared" si="97"/>
        <v>-187.54872087000001</v>
      </c>
      <c r="K77" s="728">
        <f t="shared" ca="1" si="97"/>
        <v>-85.996041809999994</v>
      </c>
      <c r="L77" s="728">
        <f t="shared" ca="1" si="97"/>
        <v>-124.89682117999998</v>
      </c>
      <c r="M77" s="728">
        <f t="shared" ca="1" si="97"/>
        <v>-37.637361396833839</v>
      </c>
      <c r="N77" s="728">
        <f t="shared" ca="1" si="97"/>
        <v>-50.195107491303247</v>
      </c>
      <c r="O77" s="728">
        <f t="shared" ca="1" si="97"/>
        <v>-40.808956446380478</v>
      </c>
      <c r="P77" s="728">
        <f t="shared" ca="1" si="97"/>
        <v>200.68398168306288</v>
      </c>
      <c r="Q77" s="728">
        <f t="shared" ca="1" si="97"/>
        <v>220.62711092244257</v>
      </c>
      <c r="R77" s="728">
        <f t="shared" ca="1" si="97"/>
        <v>242.10503433769716</v>
      </c>
      <c r="S77" s="728">
        <f t="shared" ca="1" si="97"/>
        <v>267.47661400054051</v>
      </c>
      <c r="T77" s="728">
        <f t="shared" ca="1" si="97"/>
        <v>293.79495662173173</v>
      </c>
      <c r="U77" s="728">
        <f t="shared" ref="U77:Z77" ca="1" si="98">U73+U76</f>
        <v>315.85744290204622</v>
      </c>
      <c r="V77" s="728">
        <f t="shared" ca="1" si="98"/>
        <v>342.81269762450358</v>
      </c>
      <c r="W77" s="728">
        <f t="shared" ca="1" si="98"/>
        <v>370.78171492757747</v>
      </c>
      <c r="X77" s="728">
        <f t="shared" ca="1" si="98"/>
        <v>399.78440490838074</v>
      </c>
      <c r="Y77" s="728">
        <f t="shared" ca="1" si="98"/>
        <v>429.84128577463719</v>
      </c>
      <c r="Z77" s="728">
        <f t="shared" ca="1" si="98"/>
        <v>460.97351969960295</v>
      </c>
    </row>
    <row r="78" spans="2:26" hidden="1" outlineLevel="1">
      <c r="B78" s="536" t="s">
        <v>1182</v>
      </c>
      <c r="C78" s="490">
        <f t="shared" ref="C78:T78" si="99">C77/C34</f>
        <v>-4.1886898585019774E-2</v>
      </c>
      <c r="D78" s="490">
        <f t="shared" si="99"/>
        <v>-0.10279221510542463</v>
      </c>
      <c r="E78" s="490">
        <f t="shared" si="99"/>
        <v>-0.23778158608139996</v>
      </c>
      <c r="F78" s="490">
        <f t="shared" si="99"/>
        <v>-1.6627639556763506E-2</v>
      </c>
      <c r="G78" s="490">
        <f t="shared" si="99"/>
        <v>-3.337291205473944E-2</v>
      </c>
      <c r="H78" s="490">
        <f t="shared" si="99"/>
        <v>-0.32614175729181544</v>
      </c>
      <c r="I78" s="490">
        <f t="shared" si="99"/>
        <v>-7.1185035383549755E-2</v>
      </c>
      <c r="J78" s="490">
        <f t="shared" si="99"/>
        <v>-0.39072650181250002</v>
      </c>
      <c r="K78" s="490">
        <f t="shared" ca="1" si="99"/>
        <v>-0.18579932853204048</v>
      </c>
      <c r="L78" s="490">
        <f t="shared" ca="1" si="99"/>
        <v>-0.27970144597276797</v>
      </c>
      <c r="M78" s="490">
        <f t="shared" ca="1" si="99"/>
        <v>-8.3257223655514634E-2</v>
      </c>
      <c r="N78" s="490">
        <f t="shared" ca="1" si="99"/>
        <v>-0.11569301831565303</v>
      </c>
      <c r="O78" s="490">
        <f t="shared" ca="1" si="99"/>
        <v>-9.3997466293565021E-2</v>
      </c>
      <c r="P78" s="490">
        <f t="shared" ca="1" si="99"/>
        <v>0.4336095573884689</v>
      </c>
      <c r="Q78" s="490">
        <f t="shared" ca="1" si="99"/>
        <v>0.45038635483109934</v>
      </c>
      <c r="R78" s="490">
        <f t="shared" ca="1" si="99"/>
        <v>0.46696151794605695</v>
      </c>
      <c r="S78" s="490">
        <f t="shared" ca="1" si="99"/>
        <v>0.48458695965674381</v>
      </c>
      <c r="T78" s="490">
        <f t="shared" ca="1" si="99"/>
        <v>0.50192503551265222</v>
      </c>
      <c r="U78" s="490">
        <f t="shared" ref="U78:Z78" ca="1" si="100">U77/U34</f>
        <v>0.50919557187148223</v>
      </c>
      <c r="V78" s="490">
        <f t="shared" ca="1" si="100"/>
        <v>0.5225074466379116</v>
      </c>
      <c r="W78" s="490">
        <f t="shared" ca="1" si="100"/>
        <v>0.53527108391688594</v>
      </c>
      <c r="X78" s="490">
        <f t="shared" ca="1" si="100"/>
        <v>0.5475466738291983</v>
      </c>
      <c r="Y78" s="490">
        <f t="shared" ca="1" si="100"/>
        <v>0.55938602265251891</v>
      </c>
      <c r="Z78" s="490">
        <f t="shared" ca="1" si="100"/>
        <v>0.57083401380198151</v>
      </c>
    </row>
    <row r="79" spans="2:26" hidden="1" outlineLevel="1">
      <c r="C79" s="486"/>
      <c r="D79" s="486"/>
      <c r="E79" s="486"/>
      <c r="F79" s="486"/>
      <c r="G79" s="486"/>
      <c r="H79" s="486"/>
      <c r="I79" s="486"/>
      <c r="J79" s="486"/>
      <c r="K79" s="486"/>
      <c r="L79" s="486"/>
      <c r="M79" s="486"/>
      <c r="N79" s="486"/>
      <c r="O79" s="486"/>
      <c r="P79" s="486"/>
      <c r="Q79" s="486"/>
      <c r="R79" s="486"/>
      <c r="S79" s="486"/>
      <c r="T79" s="486"/>
      <c r="U79" s="486"/>
      <c r="V79" s="486"/>
      <c r="W79" s="486"/>
      <c r="X79" s="486"/>
      <c r="Y79" s="486"/>
      <c r="Z79" s="486"/>
    </row>
    <row r="80" spans="2:26" hidden="1" outlineLevel="1">
      <c r="B80" s="489" t="s">
        <v>89</v>
      </c>
      <c r="C80" s="739">
        <v>-11.962999999999948</v>
      </c>
      <c r="D80" s="739">
        <v>-24.121328598410123</v>
      </c>
      <c r="E80" s="739">
        <v>-68.732791949999992</v>
      </c>
      <c r="F80" s="739">
        <v>-18.399999999999999</v>
      </c>
      <c r="G80" s="739">
        <v>-18.8</v>
      </c>
      <c r="H80" s="739">
        <v>-163.70049945999995</v>
      </c>
      <c r="I80" s="739">
        <f>Interims!AN119</f>
        <v>-37.598651470000057</v>
      </c>
      <c r="J80" s="903">
        <f t="shared" ref="J80:T80" si="101">J77-J81</f>
        <v>-188.34624486000001</v>
      </c>
      <c r="K80" s="903">
        <f t="shared" ca="1" si="101"/>
        <v>-86.353565949999989</v>
      </c>
      <c r="L80" s="903">
        <f t="shared" ca="1" si="101"/>
        <v>-125.46134771999998</v>
      </c>
      <c r="M80" s="903">
        <f t="shared" ca="1" si="101"/>
        <v>-38.201887936833842</v>
      </c>
      <c r="N80" s="903">
        <f t="shared" ca="1" si="101"/>
        <v>-50.75963403130325</v>
      </c>
      <c r="O80" s="903">
        <f t="shared" ca="1" si="101"/>
        <v>-41.37348298638048</v>
      </c>
      <c r="P80" s="903">
        <f t="shared" ca="1" si="101"/>
        <v>200.11945514306288</v>
      </c>
      <c r="Q80" s="903">
        <f t="shared" ca="1" si="101"/>
        <v>220.06258438244257</v>
      </c>
      <c r="R80" s="903">
        <f t="shared" ca="1" si="101"/>
        <v>241.54050779769716</v>
      </c>
      <c r="S80" s="903">
        <f t="shared" ca="1" si="101"/>
        <v>266.91208746054053</v>
      </c>
      <c r="T80" s="903">
        <f t="shared" ca="1" si="101"/>
        <v>293.23043008173175</v>
      </c>
      <c r="U80" s="903">
        <f t="shared" ref="U80:Z80" ca="1" si="102">U77-U81</f>
        <v>315.29291636204624</v>
      </c>
      <c r="V80" s="903">
        <f t="shared" ca="1" si="102"/>
        <v>342.24817108450361</v>
      </c>
      <c r="W80" s="903">
        <f t="shared" ca="1" si="102"/>
        <v>370.21718838757749</v>
      </c>
      <c r="X80" s="903">
        <f t="shared" ca="1" si="102"/>
        <v>399.21987836838076</v>
      </c>
      <c r="Y80" s="903">
        <f t="shared" ca="1" si="102"/>
        <v>429.27675923463721</v>
      </c>
      <c r="Z80" s="903">
        <f t="shared" ca="1" si="102"/>
        <v>460.40899315960297</v>
      </c>
    </row>
    <row r="81" spans="1:26" hidden="1" outlineLevel="1">
      <c r="B81" s="618" t="s">
        <v>90</v>
      </c>
      <c r="C81" s="786">
        <v>3.3250000000000002</v>
      </c>
      <c r="D81" s="786">
        <v>2.2271485804991888</v>
      </c>
      <c r="E81" s="786">
        <v>2.3522576900000001</v>
      </c>
      <c r="F81" s="786">
        <v>2.5</v>
      </c>
      <c r="G81" s="786">
        <v>2.5</v>
      </c>
      <c r="H81" s="786">
        <v>2.48838932</v>
      </c>
      <c r="I81" s="786">
        <f>Interims!AN120</f>
        <v>2.0485064099999999</v>
      </c>
      <c r="J81" s="786">
        <f>Interims!AO120</f>
        <v>0.79752399000000007</v>
      </c>
      <c r="K81" s="786">
        <f>Interims!AP120</f>
        <v>0.35752413999999988</v>
      </c>
      <c r="L81" s="786">
        <f>Interims!AQ120</f>
        <v>0.56452654000000002</v>
      </c>
      <c r="M81" s="903">
        <f t="shared" ref="M81:T81" si="103">L81*(1+M82)</f>
        <v>0.56452654000000002</v>
      </c>
      <c r="N81" s="903">
        <f t="shared" si="103"/>
        <v>0.56452654000000002</v>
      </c>
      <c r="O81" s="903">
        <f t="shared" si="103"/>
        <v>0.56452654000000002</v>
      </c>
      <c r="P81" s="903">
        <f t="shared" si="103"/>
        <v>0.56452654000000002</v>
      </c>
      <c r="Q81" s="903">
        <f t="shared" si="103"/>
        <v>0.56452654000000002</v>
      </c>
      <c r="R81" s="903">
        <f t="shared" si="103"/>
        <v>0.56452654000000002</v>
      </c>
      <c r="S81" s="903">
        <f t="shared" si="103"/>
        <v>0.56452654000000002</v>
      </c>
      <c r="T81" s="903">
        <f t="shared" si="103"/>
        <v>0.56452654000000002</v>
      </c>
      <c r="U81" s="903">
        <f t="shared" ref="U81" si="104">T81*(1+U82)</f>
        <v>0.56452654000000002</v>
      </c>
      <c r="V81" s="903">
        <f t="shared" ref="V81" si="105">U81*(1+V82)</f>
        <v>0.56452654000000002</v>
      </c>
      <c r="W81" s="903">
        <f t="shared" ref="W81" si="106">V81*(1+W82)</f>
        <v>0.56452654000000002</v>
      </c>
      <c r="X81" s="903">
        <f t="shared" ref="X81" si="107">W81*(1+X82)</f>
        <v>0.56452654000000002</v>
      </c>
      <c r="Y81" s="903">
        <f t="shared" ref="Y81" si="108">X81*(1+Y82)</f>
        <v>0.56452654000000002</v>
      </c>
      <c r="Z81" s="903">
        <f t="shared" ref="Z81" si="109">Y81*(1+Z82)</f>
        <v>0.56452654000000002</v>
      </c>
    </row>
    <row r="82" spans="1:26" hidden="1" outlineLevel="1">
      <c r="B82" s="536" t="s">
        <v>1382</v>
      </c>
      <c r="C82" s="490"/>
      <c r="D82" s="490">
        <f t="shared" ref="D82:L82" si="110">D81/C81-1</f>
        <v>-0.33018087804535678</v>
      </c>
      <c r="E82" s="490">
        <f t="shared" si="110"/>
        <v>5.6174568053636298E-2</v>
      </c>
      <c r="F82" s="490">
        <f t="shared" si="110"/>
        <v>6.2808726538800208E-2</v>
      </c>
      <c r="G82" s="490">
        <f t="shared" si="110"/>
        <v>0</v>
      </c>
      <c r="H82" s="490">
        <f t="shared" si="110"/>
        <v>-4.6442719999999493E-3</v>
      </c>
      <c r="I82" s="490">
        <f t="shared" si="110"/>
        <v>-0.1767741512409321</v>
      </c>
      <c r="J82" s="490">
        <f t="shared" si="110"/>
        <v>-0.61068025654847713</v>
      </c>
      <c r="K82" s="490">
        <f t="shared" si="110"/>
        <v>-0.55170735365590717</v>
      </c>
      <c r="L82" s="490">
        <f t="shared" si="110"/>
        <v>0.57898859640638589</v>
      </c>
      <c r="M82" s="515">
        <v>0</v>
      </c>
      <c r="N82" s="515">
        <v>0</v>
      </c>
      <c r="O82" s="515">
        <v>0</v>
      </c>
      <c r="P82" s="515">
        <v>0</v>
      </c>
      <c r="Q82" s="515">
        <v>0</v>
      </c>
      <c r="R82" s="515">
        <v>0</v>
      </c>
      <c r="S82" s="515">
        <v>0</v>
      </c>
      <c r="T82" s="515">
        <v>0</v>
      </c>
      <c r="U82" s="515">
        <v>0</v>
      </c>
      <c r="V82" s="515">
        <v>0</v>
      </c>
      <c r="W82" s="515">
        <v>0</v>
      </c>
      <c r="X82" s="515">
        <v>0</v>
      </c>
      <c r="Y82" s="515">
        <v>0</v>
      </c>
      <c r="Z82" s="515">
        <v>0</v>
      </c>
    </row>
    <row r="83" spans="1:26" hidden="1" outlineLevel="1">
      <c r="C83" s="490"/>
      <c r="D83" s="490"/>
      <c r="E83" s="490"/>
      <c r="F83" s="490"/>
      <c r="G83" s="490"/>
      <c r="H83" s="490"/>
      <c r="I83" s="490"/>
      <c r="J83" s="490"/>
      <c r="K83" s="490"/>
      <c r="L83" s="490"/>
      <c r="M83" s="490"/>
      <c r="N83" s="490"/>
      <c r="O83" s="490"/>
      <c r="P83" s="490"/>
      <c r="Q83" s="490"/>
      <c r="R83" s="490"/>
      <c r="S83" s="490"/>
      <c r="T83" s="490"/>
      <c r="U83" s="490"/>
      <c r="V83" s="490"/>
      <c r="W83" s="490"/>
      <c r="X83" s="490"/>
      <c r="Y83" s="490"/>
      <c r="Z83" s="490"/>
    </row>
    <row r="84" spans="1:26" hidden="1" outlineLevel="1">
      <c r="B84" s="489" t="s">
        <v>1256</v>
      </c>
      <c r="C84" s="755">
        <f t="shared" ref="C84:Z84" si="111">C77/C378</f>
        <v>-0.15234567901234475</v>
      </c>
      <c r="D84" s="755">
        <f t="shared" si="111"/>
        <v>-0.38614074105663021</v>
      </c>
      <c r="E84" s="755">
        <f t="shared" si="111"/>
        <v>-0.52032556739173119</v>
      </c>
      <c r="F84" s="755">
        <f t="shared" si="111"/>
        <v>-6.2339800117577775E-2</v>
      </c>
      <c r="G84" s="755">
        <f t="shared" si="111"/>
        <v>-0.13000564457963582</v>
      </c>
      <c r="H84" s="755">
        <f t="shared" si="111"/>
        <v>-1.2639479687980146</v>
      </c>
      <c r="I84" s="755">
        <f t="shared" si="111"/>
        <v>-0.27870225673429755</v>
      </c>
      <c r="J84" s="755">
        <f t="shared" si="111"/>
        <v>-1.4703245701495815</v>
      </c>
      <c r="K84" s="755">
        <f t="shared" ca="1" si="111"/>
        <v>-0.67418264769983371</v>
      </c>
      <c r="L84" s="755">
        <f t="shared" ca="1" si="111"/>
        <v>-0.9791528519238607</v>
      </c>
      <c r="M84" s="755">
        <f t="shared" ca="1" si="111"/>
        <v>-0.29506539399819559</v>
      </c>
      <c r="N84" s="755">
        <f t="shared" ca="1" si="111"/>
        <v>-0.3935142799343288</v>
      </c>
      <c r="O84" s="755">
        <f t="shared" ca="1" si="111"/>
        <v>-0.31992972848302298</v>
      </c>
      <c r="P84" s="755" t="e">
        <f t="shared" ca="1" si="111"/>
        <v>#DIV/0!</v>
      </c>
      <c r="Q84" s="755" t="e">
        <f t="shared" ca="1" si="111"/>
        <v>#DIV/0!</v>
      </c>
      <c r="R84" s="755" t="e">
        <f t="shared" ca="1" si="111"/>
        <v>#DIV/0!</v>
      </c>
      <c r="S84" s="755" t="e">
        <f t="shared" ca="1" si="111"/>
        <v>#DIV/0!</v>
      </c>
      <c r="T84" s="755" t="e">
        <f t="shared" ca="1" si="111"/>
        <v>#DIV/0!</v>
      </c>
      <c r="U84" s="755" t="e">
        <f t="shared" ca="1" si="111"/>
        <v>#DIV/0!</v>
      </c>
      <c r="V84" s="755" t="e">
        <f t="shared" ca="1" si="111"/>
        <v>#DIV/0!</v>
      </c>
      <c r="W84" s="755" t="e">
        <f t="shared" ca="1" si="111"/>
        <v>#DIV/0!</v>
      </c>
      <c r="X84" s="755" t="e">
        <f t="shared" ca="1" si="111"/>
        <v>#DIV/0!</v>
      </c>
      <c r="Y84" s="755" t="e">
        <f t="shared" ca="1" si="111"/>
        <v>#DIV/0!</v>
      </c>
      <c r="Z84" s="755" t="e">
        <f t="shared" ca="1" si="111"/>
        <v>#DIV/0!</v>
      </c>
    </row>
    <row r="85" spans="1:26" hidden="1" outlineLevel="1"/>
    <row r="86" spans="1:26" collapsed="1"/>
    <row r="87" spans="1:26" s="513" customFormat="1">
      <c r="A87" s="722"/>
      <c r="B87" s="513" t="s">
        <v>1229</v>
      </c>
    </row>
    <row r="88" spans="1:26" hidden="1" outlineLevel="1">
      <c r="C88" s="486"/>
      <c r="D88" s="486"/>
      <c r="E88" s="486"/>
      <c r="F88" s="486"/>
      <c r="G88" s="486"/>
      <c r="H88" s="486"/>
      <c r="I88" s="486"/>
      <c r="J88" s="486"/>
      <c r="K88" s="486"/>
      <c r="L88" s="486"/>
      <c r="M88" s="486"/>
      <c r="N88" s="486"/>
      <c r="O88" s="486"/>
      <c r="P88" s="486"/>
      <c r="Q88" s="486"/>
      <c r="R88" s="486"/>
      <c r="S88" s="486"/>
      <c r="T88" s="486"/>
      <c r="U88" s="486"/>
      <c r="V88" s="486"/>
      <c r="W88" s="486"/>
      <c r="X88" s="486"/>
      <c r="Y88" s="486"/>
      <c r="Z88" s="486"/>
    </row>
    <row r="89" spans="1:26" hidden="1" outlineLevel="1">
      <c r="B89" s="489" t="s">
        <v>1154</v>
      </c>
      <c r="C89" s="739">
        <v>207.8</v>
      </c>
      <c r="D89" s="739">
        <v>209.923</v>
      </c>
      <c r="E89" s="739">
        <v>648.57048144000009</v>
      </c>
      <c r="F89" s="739">
        <v>600.1</v>
      </c>
      <c r="G89" s="739">
        <v>609.9</v>
      </c>
      <c r="H89" s="739">
        <v>639.44044002999999</v>
      </c>
      <c r="I89" s="739">
        <v>669.16620582000007</v>
      </c>
      <c r="J89" s="725">
        <f t="shared" ref="J89:T89" si="112">J203+J215</f>
        <v>640.10195336758602</v>
      </c>
      <c r="K89" s="725">
        <f t="shared" si="112"/>
        <v>650.62622924170773</v>
      </c>
      <c r="L89" s="725">
        <f t="shared" si="112"/>
        <v>694.36400297108764</v>
      </c>
      <c r="M89" s="725">
        <f t="shared" si="112"/>
        <v>742.85580536683267</v>
      </c>
      <c r="N89" s="725">
        <f t="shared" ca="1" si="112"/>
        <v>792.90923136659364</v>
      </c>
      <c r="O89" s="725">
        <f t="shared" ca="1" si="112"/>
        <v>837.50236938369005</v>
      </c>
      <c r="P89" s="725">
        <f t="shared" si="112"/>
        <v>0</v>
      </c>
      <c r="Q89" s="725">
        <f t="shared" si="112"/>
        <v>0</v>
      </c>
      <c r="R89" s="725">
        <f t="shared" si="112"/>
        <v>0</v>
      </c>
      <c r="S89" s="725">
        <f t="shared" si="112"/>
        <v>0</v>
      </c>
      <c r="T89" s="725">
        <f t="shared" si="112"/>
        <v>0</v>
      </c>
      <c r="U89" s="725">
        <f t="shared" ref="U89:Z89" si="113">U203+U215</f>
        <v>0</v>
      </c>
      <c r="V89" s="725">
        <f t="shared" si="113"/>
        <v>0</v>
      </c>
      <c r="W89" s="725">
        <f t="shared" si="113"/>
        <v>0</v>
      </c>
      <c r="X89" s="725">
        <f t="shared" si="113"/>
        <v>0</v>
      </c>
      <c r="Y89" s="725">
        <f t="shared" si="113"/>
        <v>0</v>
      </c>
      <c r="Z89" s="725">
        <f t="shared" si="113"/>
        <v>0</v>
      </c>
    </row>
    <row r="90" spans="1:26" hidden="1" outlineLevel="1">
      <c r="B90" s="489" t="s">
        <v>1155</v>
      </c>
      <c r="C90" s="739">
        <v>372.2</v>
      </c>
      <c r="D90" s="739">
        <v>381.82100000000003</v>
      </c>
      <c r="E90" s="739">
        <v>1378.83639988</v>
      </c>
      <c r="F90" s="739">
        <v>1392.3</v>
      </c>
      <c r="G90" s="739">
        <v>1390</v>
      </c>
      <c r="H90" s="739">
        <v>1258.7341233699999</v>
      </c>
      <c r="I90" s="739">
        <v>1273.9389263800001</v>
      </c>
      <c r="J90" s="725">
        <f t="shared" ref="J90:T90" si="114">J209</f>
        <v>1255.5763761841079</v>
      </c>
      <c r="K90" s="725">
        <f t="shared" si="114"/>
        <v>1249.0248613006866</v>
      </c>
      <c r="L90" s="725">
        <f t="shared" si="114"/>
        <v>1265.3064978501368</v>
      </c>
      <c r="M90" s="725">
        <f t="shared" si="114"/>
        <v>1281.182084479344</v>
      </c>
      <c r="N90" s="725">
        <f t="shared" ca="1" si="114"/>
        <v>1298.9596668373117</v>
      </c>
      <c r="O90" s="725">
        <f t="shared" ca="1" si="114"/>
        <v>1313.3012435176609</v>
      </c>
      <c r="P90" s="725">
        <f t="shared" si="114"/>
        <v>0</v>
      </c>
      <c r="Q90" s="725">
        <f t="shared" si="114"/>
        <v>0</v>
      </c>
      <c r="R90" s="725">
        <f t="shared" si="114"/>
        <v>0</v>
      </c>
      <c r="S90" s="725">
        <f t="shared" si="114"/>
        <v>0</v>
      </c>
      <c r="T90" s="725">
        <f t="shared" si="114"/>
        <v>0</v>
      </c>
      <c r="U90" s="725">
        <f t="shared" ref="U90:Z90" si="115">U209</f>
        <v>0</v>
      </c>
      <c r="V90" s="725">
        <f t="shared" si="115"/>
        <v>0</v>
      </c>
      <c r="W90" s="725">
        <f t="shared" si="115"/>
        <v>0</v>
      </c>
      <c r="X90" s="725">
        <f t="shared" si="115"/>
        <v>0</v>
      </c>
      <c r="Y90" s="725">
        <f t="shared" si="115"/>
        <v>0</v>
      </c>
      <c r="Z90" s="725">
        <f t="shared" si="115"/>
        <v>0</v>
      </c>
    </row>
    <row r="91" spans="1:26" hidden="1" outlineLevel="1">
      <c r="B91" s="489" t="s">
        <v>169</v>
      </c>
      <c r="C91" s="725">
        <f t="shared" ref="C91:I91" si="116">C92-C89-C90</f>
        <v>11.700000000000045</v>
      </c>
      <c r="D91" s="725">
        <f t="shared" si="116"/>
        <v>1.5040000000000191</v>
      </c>
      <c r="E91" s="725">
        <f t="shared" si="116"/>
        <v>5.3976961900000333</v>
      </c>
      <c r="F91" s="725">
        <f t="shared" si="116"/>
        <v>28.100000000000136</v>
      </c>
      <c r="G91" s="725">
        <f t="shared" si="116"/>
        <v>8.8000000000001819</v>
      </c>
      <c r="H91" s="725">
        <f t="shared" si="116"/>
        <v>6.7534244500000113</v>
      </c>
      <c r="I91" s="725">
        <f t="shared" si="116"/>
        <v>10.415487190000249</v>
      </c>
      <c r="J91" s="725">
        <f t="shared" ref="J91:T91" si="117">J274</f>
        <v>10.010785469222398</v>
      </c>
      <c r="K91" s="725">
        <f t="shared" si="117"/>
        <v>9.6529762845470977</v>
      </c>
      <c r="L91" s="725">
        <f t="shared" si="117"/>
        <v>9.3128710736577069</v>
      </c>
      <c r="M91" s="725">
        <f t="shared" si="117"/>
        <v>9.4280995997581662</v>
      </c>
      <c r="N91" s="725">
        <f t="shared" ca="1" si="117"/>
        <v>9.0485950811837768</v>
      </c>
      <c r="O91" s="725">
        <f t="shared" ca="1" si="117"/>
        <v>9.0545372372872794</v>
      </c>
      <c r="P91" s="725">
        <f t="shared" si="117"/>
        <v>0</v>
      </c>
      <c r="Q91" s="725">
        <f t="shared" si="117"/>
        <v>0</v>
      </c>
      <c r="R91" s="725">
        <f t="shared" si="117"/>
        <v>0</v>
      </c>
      <c r="S91" s="725">
        <f t="shared" si="117"/>
        <v>0</v>
      </c>
      <c r="T91" s="725">
        <f t="shared" si="117"/>
        <v>0</v>
      </c>
      <c r="U91" s="725">
        <f t="shared" ref="U91:Z91" si="118">U274</f>
        <v>0</v>
      </c>
      <c r="V91" s="725">
        <f t="shared" si="118"/>
        <v>0</v>
      </c>
      <c r="W91" s="725">
        <f t="shared" si="118"/>
        <v>0</v>
      </c>
      <c r="X91" s="725">
        <f t="shared" si="118"/>
        <v>0</v>
      </c>
      <c r="Y91" s="725">
        <f t="shared" si="118"/>
        <v>0</v>
      </c>
      <c r="Z91" s="725">
        <f t="shared" si="118"/>
        <v>0</v>
      </c>
    </row>
    <row r="92" spans="1:26" s="58" customFormat="1" hidden="1" outlineLevel="1">
      <c r="B92" s="58" t="s">
        <v>8</v>
      </c>
      <c r="C92" s="741">
        <v>591.70000000000005</v>
      </c>
      <c r="D92" s="741">
        <v>593.24800000000005</v>
      </c>
      <c r="E92" s="741">
        <v>2032.8045775100002</v>
      </c>
      <c r="F92" s="741">
        <v>2020.5</v>
      </c>
      <c r="G92" s="741">
        <v>2008.7</v>
      </c>
      <c r="H92" s="741">
        <v>1904.9279878499999</v>
      </c>
      <c r="I92" s="741">
        <v>1953.5206193900003</v>
      </c>
      <c r="J92" s="727">
        <f t="shared" ref="J92:T92" si="119">SUM(J89:J91)</f>
        <v>1905.6891150209162</v>
      </c>
      <c r="K92" s="727">
        <f t="shared" si="119"/>
        <v>1909.3040668269414</v>
      </c>
      <c r="L92" s="727">
        <f t="shared" si="119"/>
        <v>1968.9833718948821</v>
      </c>
      <c r="M92" s="727">
        <f t="shared" si="119"/>
        <v>2033.4659894459348</v>
      </c>
      <c r="N92" s="727">
        <f t="shared" ca="1" si="119"/>
        <v>2100.9174932850892</v>
      </c>
      <c r="O92" s="727">
        <f t="shared" ca="1" si="119"/>
        <v>2159.8581501386379</v>
      </c>
      <c r="P92" s="727">
        <f t="shared" si="119"/>
        <v>0</v>
      </c>
      <c r="Q92" s="727">
        <f t="shared" si="119"/>
        <v>0</v>
      </c>
      <c r="R92" s="727">
        <f t="shared" si="119"/>
        <v>0</v>
      </c>
      <c r="S92" s="727">
        <f t="shared" si="119"/>
        <v>0</v>
      </c>
      <c r="T92" s="727">
        <f t="shared" si="119"/>
        <v>0</v>
      </c>
      <c r="U92" s="727">
        <f t="shared" ref="U92:Z92" si="120">SUM(U89:U91)</f>
        <v>0</v>
      </c>
      <c r="V92" s="727">
        <f t="shared" si="120"/>
        <v>0</v>
      </c>
      <c r="W92" s="727">
        <f t="shared" si="120"/>
        <v>0</v>
      </c>
      <c r="X92" s="727">
        <f t="shared" si="120"/>
        <v>0</v>
      </c>
      <c r="Y92" s="727">
        <f t="shared" si="120"/>
        <v>0</v>
      </c>
      <c r="Z92" s="727">
        <f t="shared" si="120"/>
        <v>0</v>
      </c>
    </row>
    <row r="93" spans="1:26" hidden="1" outlineLevel="1">
      <c r="C93" s="725"/>
      <c r="D93" s="725"/>
      <c r="E93" s="725"/>
      <c r="F93" s="725"/>
      <c r="G93" s="725"/>
      <c r="H93" s="725"/>
      <c r="I93" s="725"/>
      <c r="J93" s="725"/>
      <c r="K93" s="725"/>
      <c r="L93" s="725"/>
      <c r="M93" s="725"/>
      <c r="N93" s="725"/>
      <c r="O93" s="725"/>
      <c r="P93" s="725"/>
      <c r="Q93" s="725"/>
      <c r="R93" s="725"/>
      <c r="S93" s="725"/>
      <c r="T93" s="725"/>
      <c r="U93" s="725"/>
      <c r="V93" s="725"/>
      <c r="W93" s="725"/>
      <c r="X93" s="725"/>
      <c r="Y93" s="725"/>
      <c r="Z93" s="725"/>
    </row>
    <row r="94" spans="1:26" hidden="1" outlineLevel="1">
      <c r="B94" s="489" t="s">
        <v>159</v>
      </c>
      <c r="C94" s="739">
        <v>70.5</v>
      </c>
      <c r="D94" s="739">
        <v>24.440999999999999</v>
      </c>
      <c r="E94" s="739">
        <v>85.177880950000002</v>
      </c>
      <c r="F94" s="739">
        <v>55.2</v>
      </c>
      <c r="G94" s="739">
        <v>31.8</v>
      </c>
      <c r="H94" s="739">
        <v>26.287507739999999</v>
      </c>
      <c r="I94" s="739">
        <v>10.128077169999999</v>
      </c>
      <c r="J94" s="725">
        <f t="shared" ref="J94:T94" si="121">J224</f>
        <v>14.399999999999999</v>
      </c>
      <c r="K94" s="725">
        <f t="shared" si="121"/>
        <v>18.513746521999998</v>
      </c>
      <c r="L94" s="725">
        <f t="shared" si="121"/>
        <v>22.326810064500002</v>
      </c>
      <c r="M94" s="725">
        <f t="shared" si="121"/>
        <v>22.603060578000001</v>
      </c>
      <c r="N94" s="725">
        <f t="shared" ca="1" si="121"/>
        <v>21.693231027283154</v>
      </c>
      <c r="O94" s="725">
        <f t="shared" ca="1" si="121"/>
        <v>21.707476837157163</v>
      </c>
      <c r="P94" s="725">
        <f t="shared" si="121"/>
        <v>0</v>
      </c>
      <c r="Q94" s="725">
        <f t="shared" si="121"/>
        <v>0</v>
      </c>
      <c r="R94" s="725">
        <f t="shared" si="121"/>
        <v>0</v>
      </c>
      <c r="S94" s="725">
        <f t="shared" si="121"/>
        <v>0</v>
      </c>
      <c r="T94" s="725">
        <f t="shared" si="121"/>
        <v>0</v>
      </c>
      <c r="U94" s="725">
        <f t="shared" ref="U94:Z94" si="122">U224</f>
        <v>0</v>
      </c>
      <c r="V94" s="725">
        <f t="shared" si="122"/>
        <v>0</v>
      </c>
      <c r="W94" s="725">
        <f t="shared" si="122"/>
        <v>0</v>
      </c>
      <c r="X94" s="725">
        <f t="shared" si="122"/>
        <v>0</v>
      </c>
      <c r="Y94" s="725">
        <f t="shared" si="122"/>
        <v>0</v>
      </c>
      <c r="Z94" s="725">
        <f t="shared" si="122"/>
        <v>0</v>
      </c>
    </row>
    <row r="95" spans="1:26" hidden="1" outlineLevel="1">
      <c r="B95" s="489" t="s">
        <v>43</v>
      </c>
      <c r="C95" s="739">
        <v>18.899999999999999</v>
      </c>
      <c r="D95" s="739">
        <v>19.115000000000002</v>
      </c>
      <c r="E95" s="739">
        <v>39.592412179999997</v>
      </c>
      <c r="F95" s="739">
        <v>49.8</v>
      </c>
      <c r="G95" s="739">
        <v>54.7</v>
      </c>
      <c r="H95" s="739">
        <v>56.209263840000006</v>
      </c>
      <c r="I95" s="739">
        <v>61.785425049999994</v>
      </c>
      <c r="J95" s="725">
        <f t="shared" ref="J95:T95" si="123">J268</f>
        <v>59.384705104731133</v>
      </c>
      <c r="K95" s="725">
        <f t="shared" si="123"/>
        <v>57.262155082953726</v>
      </c>
      <c r="L95" s="725">
        <f t="shared" si="123"/>
        <v>55.244626317069816</v>
      </c>
      <c r="M95" s="725">
        <f t="shared" si="123"/>
        <v>55.928170287037652</v>
      </c>
      <c r="N95" s="725">
        <f t="shared" ca="1" si="123"/>
        <v>53.676921971833899</v>
      </c>
      <c r="O95" s="725">
        <f t="shared" ca="1" si="123"/>
        <v>53.712171272598319</v>
      </c>
      <c r="P95" s="725">
        <f t="shared" si="123"/>
        <v>0</v>
      </c>
      <c r="Q95" s="725">
        <f t="shared" si="123"/>
        <v>0</v>
      </c>
      <c r="R95" s="725">
        <f t="shared" si="123"/>
        <v>0</v>
      </c>
      <c r="S95" s="725">
        <f t="shared" si="123"/>
        <v>0</v>
      </c>
      <c r="T95" s="725">
        <f t="shared" si="123"/>
        <v>0</v>
      </c>
      <c r="U95" s="725">
        <f t="shared" ref="U95:Z95" si="124">U268</f>
        <v>0</v>
      </c>
      <c r="V95" s="725">
        <f t="shared" si="124"/>
        <v>0</v>
      </c>
      <c r="W95" s="725">
        <f t="shared" si="124"/>
        <v>0</v>
      </c>
      <c r="X95" s="725">
        <f t="shared" si="124"/>
        <v>0</v>
      </c>
      <c r="Y95" s="725">
        <f t="shared" si="124"/>
        <v>0</v>
      </c>
      <c r="Z95" s="725">
        <f t="shared" si="124"/>
        <v>0</v>
      </c>
    </row>
    <row r="96" spans="1:26" hidden="1" outlineLevel="1">
      <c r="B96" s="489" t="s">
        <v>1159</v>
      </c>
      <c r="C96" s="739">
        <v>1.7</v>
      </c>
      <c r="D96" s="739">
        <v>3.3420000000000001</v>
      </c>
      <c r="E96" s="739">
        <v>10.120683319999999</v>
      </c>
      <c r="F96" s="739">
        <v>5.7</v>
      </c>
      <c r="G96" s="739">
        <v>10.9</v>
      </c>
      <c r="H96" s="739">
        <v>8.61490987</v>
      </c>
      <c r="I96" s="739">
        <v>5.5864030300000005</v>
      </c>
      <c r="J96" s="725">
        <f t="shared" ref="J96:T96" si="125">J265</f>
        <v>5.3693390676564832</v>
      </c>
      <c r="K96" s="725">
        <f t="shared" si="125"/>
        <v>5.1774261713158296</v>
      </c>
      <c r="L96" s="725">
        <f t="shared" si="125"/>
        <v>4.9950088973110756</v>
      </c>
      <c r="M96" s="725">
        <f t="shared" si="125"/>
        <v>5.0568123420858972</v>
      </c>
      <c r="N96" s="725">
        <f t="shared" ca="1" si="125"/>
        <v>4.8532630357703841</v>
      </c>
      <c r="O96" s="725">
        <f t="shared" ca="1" si="125"/>
        <v>4.8564501434165059</v>
      </c>
      <c r="P96" s="725">
        <f t="shared" si="125"/>
        <v>0</v>
      </c>
      <c r="Q96" s="725">
        <f t="shared" si="125"/>
        <v>0</v>
      </c>
      <c r="R96" s="725">
        <f t="shared" si="125"/>
        <v>0</v>
      </c>
      <c r="S96" s="725">
        <f t="shared" si="125"/>
        <v>0</v>
      </c>
      <c r="T96" s="725">
        <f t="shared" si="125"/>
        <v>0</v>
      </c>
      <c r="U96" s="725">
        <f t="shared" ref="U96:Z96" si="126">U265</f>
        <v>0</v>
      </c>
      <c r="V96" s="725">
        <f t="shared" si="126"/>
        <v>0</v>
      </c>
      <c r="W96" s="725">
        <f t="shared" si="126"/>
        <v>0</v>
      </c>
      <c r="X96" s="725">
        <f t="shared" si="126"/>
        <v>0</v>
      </c>
      <c r="Y96" s="725">
        <f t="shared" si="126"/>
        <v>0</v>
      </c>
      <c r="Z96" s="725">
        <f t="shared" si="126"/>
        <v>0</v>
      </c>
    </row>
    <row r="97" spans="2:26" hidden="1" outlineLevel="1">
      <c r="B97" s="489" t="s">
        <v>169</v>
      </c>
      <c r="C97" s="725">
        <f t="shared" ref="C97:I97" si="127">C98-C94-C95-C96</f>
        <v>13.600000000000005</v>
      </c>
      <c r="D97" s="725">
        <f t="shared" si="127"/>
        <v>27.019999999999989</v>
      </c>
      <c r="E97" s="725">
        <f t="shared" si="127"/>
        <v>28.058384250000003</v>
      </c>
      <c r="F97" s="725">
        <f t="shared" si="127"/>
        <v>19.8</v>
      </c>
      <c r="G97" s="725">
        <f t="shared" si="127"/>
        <v>27.1</v>
      </c>
      <c r="H97" s="725">
        <f t="shared" si="127"/>
        <v>29.759946649999996</v>
      </c>
      <c r="I97" s="725">
        <f t="shared" si="127"/>
        <v>27.40809589000002</v>
      </c>
      <c r="J97" s="725">
        <f t="shared" ref="J97:T97" si="128">J271</f>
        <v>26.343133361835545</v>
      </c>
      <c r="K97" s="725">
        <f t="shared" si="128"/>
        <v>25.401567377930466</v>
      </c>
      <c r="L97" s="725">
        <f t="shared" si="128"/>
        <v>24.50658896139565</v>
      </c>
      <c r="M97" s="725">
        <f t="shared" si="128"/>
        <v>24.809809966329233</v>
      </c>
      <c r="N97" s="725">
        <f t="shared" ca="1" si="128"/>
        <v>23.811153250034533</v>
      </c>
      <c r="O97" s="725">
        <f t="shared" ca="1" si="128"/>
        <v>23.826789886257799</v>
      </c>
      <c r="P97" s="725">
        <f t="shared" si="128"/>
        <v>0</v>
      </c>
      <c r="Q97" s="725">
        <f t="shared" si="128"/>
        <v>0</v>
      </c>
      <c r="R97" s="725">
        <f t="shared" si="128"/>
        <v>0</v>
      </c>
      <c r="S97" s="725">
        <f t="shared" si="128"/>
        <v>0</v>
      </c>
      <c r="T97" s="725">
        <f t="shared" si="128"/>
        <v>0</v>
      </c>
      <c r="U97" s="725">
        <f t="shared" ref="U97:Z97" si="129">U271</f>
        <v>0</v>
      </c>
      <c r="V97" s="725">
        <f t="shared" si="129"/>
        <v>0</v>
      </c>
      <c r="W97" s="725">
        <f t="shared" si="129"/>
        <v>0</v>
      </c>
      <c r="X97" s="725">
        <f t="shared" si="129"/>
        <v>0</v>
      </c>
      <c r="Y97" s="725">
        <f t="shared" si="129"/>
        <v>0</v>
      </c>
      <c r="Z97" s="725">
        <f t="shared" si="129"/>
        <v>0</v>
      </c>
    </row>
    <row r="98" spans="2:26" s="58" customFormat="1" hidden="1" outlineLevel="1">
      <c r="B98" s="58" t="s">
        <v>10</v>
      </c>
      <c r="C98" s="741">
        <v>104.7</v>
      </c>
      <c r="D98" s="741">
        <v>73.917999999999992</v>
      </c>
      <c r="E98" s="741">
        <v>162.9493607</v>
      </c>
      <c r="F98" s="741">
        <v>130.5</v>
      </c>
      <c r="G98" s="741">
        <v>124.5</v>
      </c>
      <c r="H98" s="741">
        <v>120.8716281</v>
      </c>
      <c r="I98" s="741">
        <v>104.90800114000001</v>
      </c>
      <c r="J98" s="727">
        <f t="shared" ref="J98:T98" si="130">SUM(J94:J97)</f>
        <v>105.49717753422316</v>
      </c>
      <c r="K98" s="727">
        <f t="shared" si="130"/>
        <v>106.35489515420002</v>
      </c>
      <c r="L98" s="727">
        <f t="shared" si="130"/>
        <v>107.07303424027654</v>
      </c>
      <c r="M98" s="727">
        <f t="shared" si="130"/>
        <v>108.39785317345277</v>
      </c>
      <c r="N98" s="727">
        <f t="shared" ca="1" si="130"/>
        <v>104.03456928492197</v>
      </c>
      <c r="O98" s="727">
        <f t="shared" ca="1" si="130"/>
        <v>104.10288813942979</v>
      </c>
      <c r="P98" s="727">
        <f t="shared" si="130"/>
        <v>0</v>
      </c>
      <c r="Q98" s="727">
        <f t="shared" si="130"/>
        <v>0</v>
      </c>
      <c r="R98" s="727">
        <f t="shared" si="130"/>
        <v>0</v>
      </c>
      <c r="S98" s="727">
        <f t="shared" si="130"/>
        <v>0</v>
      </c>
      <c r="T98" s="727">
        <f t="shared" si="130"/>
        <v>0</v>
      </c>
      <c r="U98" s="727">
        <f t="shared" ref="U98:Z98" si="131">SUM(U94:U97)</f>
        <v>0</v>
      </c>
      <c r="V98" s="727">
        <f t="shared" si="131"/>
        <v>0</v>
      </c>
      <c r="W98" s="727">
        <f t="shared" si="131"/>
        <v>0</v>
      </c>
      <c r="X98" s="727">
        <f t="shared" si="131"/>
        <v>0</v>
      </c>
      <c r="Y98" s="727">
        <f t="shared" si="131"/>
        <v>0</v>
      </c>
      <c r="Z98" s="727">
        <f t="shared" si="131"/>
        <v>0</v>
      </c>
    </row>
    <row r="99" spans="2:26" hidden="1" outlineLevel="1">
      <c r="C99" s="725"/>
      <c r="D99" s="725"/>
      <c r="E99" s="725"/>
      <c r="F99" s="725"/>
      <c r="G99" s="725"/>
      <c r="H99" s="725"/>
      <c r="I99" s="725"/>
      <c r="J99" s="725"/>
      <c r="K99" s="725"/>
      <c r="L99" s="725"/>
      <c r="M99" s="725"/>
      <c r="N99" s="725"/>
      <c r="O99" s="725"/>
      <c r="P99" s="725"/>
      <c r="Q99" s="725"/>
      <c r="R99" s="725"/>
      <c r="S99" s="725"/>
      <c r="T99" s="725"/>
      <c r="U99" s="725"/>
      <c r="V99" s="725"/>
      <c r="W99" s="725"/>
      <c r="X99" s="725"/>
      <c r="Y99" s="725"/>
      <c r="Z99" s="725"/>
    </row>
    <row r="100" spans="2:26" s="58" customFormat="1" hidden="1" outlineLevel="1">
      <c r="B100" s="58" t="s">
        <v>12</v>
      </c>
      <c r="C100" s="728">
        <f t="shared" ref="C100:T100" si="132">C92+C98</f>
        <v>696.40000000000009</v>
      </c>
      <c r="D100" s="728">
        <f t="shared" si="132"/>
        <v>667.16600000000005</v>
      </c>
      <c r="E100" s="728">
        <f t="shared" si="132"/>
        <v>2195.7539382100003</v>
      </c>
      <c r="F100" s="728">
        <f t="shared" si="132"/>
        <v>2151</v>
      </c>
      <c r="G100" s="728">
        <f t="shared" si="132"/>
        <v>2133.1999999999998</v>
      </c>
      <c r="H100" s="728">
        <f t="shared" si="132"/>
        <v>2025.7996159499999</v>
      </c>
      <c r="I100" s="728">
        <f t="shared" si="132"/>
        <v>2058.4286205300004</v>
      </c>
      <c r="J100" s="728">
        <f t="shared" si="132"/>
        <v>2011.1862925551393</v>
      </c>
      <c r="K100" s="728">
        <f t="shared" si="132"/>
        <v>2015.6589619811414</v>
      </c>
      <c r="L100" s="728">
        <f t="shared" si="132"/>
        <v>2076.0564061351588</v>
      </c>
      <c r="M100" s="728">
        <f t="shared" si="132"/>
        <v>2141.8638426193875</v>
      </c>
      <c r="N100" s="728">
        <f t="shared" ca="1" si="132"/>
        <v>2204.9520625700111</v>
      </c>
      <c r="O100" s="728">
        <f t="shared" ca="1" si="132"/>
        <v>2263.9610382780679</v>
      </c>
      <c r="P100" s="728">
        <f t="shared" si="132"/>
        <v>0</v>
      </c>
      <c r="Q100" s="728">
        <f t="shared" si="132"/>
        <v>0</v>
      </c>
      <c r="R100" s="728">
        <f t="shared" si="132"/>
        <v>0</v>
      </c>
      <c r="S100" s="728">
        <f t="shared" si="132"/>
        <v>0</v>
      </c>
      <c r="T100" s="728">
        <f t="shared" si="132"/>
        <v>0</v>
      </c>
      <c r="U100" s="728">
        <f t="shared" ref="U100:Z100" si="133">U92+U98</f>
        <v>0</v>
      </c>
      <c r="V100" s="728">
        <f t="shared" si="133"/>
        <v>0</v>
      </c>
      <c r="W100" s="728">
        <f t="shared" si="133"/>
        <v>0</v>
      </c>
      <c r="X100" s="728">
        <f t="shared" si="133"/>
        <v>0</v>
      </c>
      <c r="Y100" s="728">
        <f t="shared" si="133"/>
        <v>0</v>
      </c>
      <c r="Z100" s="728">
        <f t="shared" si="133"/>
        <v>0</v>
      </c>
    </row>
    <row r="101" spans="2:26" hidden="1" outlineLevel="1">
      <c r="C101" s="725"/>
      <c r="D101" s="725"/>
      <c r="E101" s="725"/>
      <c r="F101" s="725"/>
      <c r="G101" s="725"/>
      <c r="H101" s="725"/>
      <c r="I101" s="725"/>
      <c r="J101" s="725"/>
      <c r="K101" s="725"/>
      <c r="L101" s="725"/>
      <c r="M101" s="725"/>
      <c r="N101" s="725"/>
      <c r="O101" s="725"/>
      <c r="P101" s="725"/>
      <c r="Q101" s="725"/>
      <c r="R101" s="725"/>
      <c r="S101" s="725"/>
      <c r="T101" s="725"/>
      <c r="U101" s="725"/>
      <c r="V101" s="725"/>
      <c r="W101" s="725"/>
      <c r="X101" s="725"/>
      <c r="Y101" s="725"/>
      <c r="Z101" s="725"/>
    </row>
    <row r="102" spans="2:26" hidden="1" outlineLevel="1">
      <c r="B102" s="489" t="s">
        <v>1162</v>
      </c>
      <c r="C102" s="739">
        <v>43.506999999999998</v>
      </c>
      <c r="D102" s="739">
        <v>640.54700000000003</v>
      </c>
      <c r="E102" s="739">
        <v>1220.87864805</v>
      </c>
      <c r="F102" s="739">
        <v>1234.7</v>
      </c>
      <c r="G102" s="739">
        <v>1297.7</v>
      </c>
      <c r="H102" s="739">
        <v>1400.81437239</v>
      </c>
      <c r="I102" s="739">
        <v>1404.4300334500001</v>
      </c>
      <c r="J102" s="725">
        <f t="shared" ref="J102:T102" si="134">J221</f>
        <v>1387.16542497</v>
      </c>
      <c r="K102" s="725">
        <f t="shared" si="134"/>
        <v>975.17484874200011</v>
      </c>
      <c r="L102" s="725">
        <f t="shared" si="134"/>
        <v>1004.0819122845</v>
      </c>
      <c r="M102" s="725">
        <f t="shared" si="134"/>
        <v>1154.752162798</v>
      </c>
      <c r="N102" s="725">
        <f t="shared" ca="1" si="134"/>
        <v>1146.4422787242956</v>
      </c>
      <c r="O102" s="725">
        <f t="shared" ca="1" si="134"/>
        <v>1179.1719776839955</v>
      </c>
      <c r="P102" s="725">
        <f t="shared" si="134"/>
        <v>0</v>
      </c>
      <c r="Q102" s="725">
        <f t="shared" si="134"/>
        <v>0</v>
      </c>
      <c r="R102" s="725">
        <f t="shared" si="134"/>
        <v>0</v>
      </c>
      <c r="S102" s="725">
        <f t="shared" si="134"/>
        <v>0</v>
      </c>
      <c r="T102" s="725">
        <f t="shared" si="134"/>
        <v>0</v>
      </c>
      <c r="U102" s="725">
        <f t="shared" ref="U102:Z102" si="135">U221</f>
        <v>0</v>
      </c>
      <c r="V102" s="725">
        <f t="shared" si="135"/>
        <v>0</v>
      </c>
      <c r="W102" s="725">
        <f t="shared" si="135"/>
        <v>0</v>
      </c>
      <c r="X102" s="725">
        <f t="shared" si="135"/>
        <v>0</v>
      </c>
      <c r="Y102" s="725">
        <f t="shared" si="135"/>
        <v>0</v>
      </c>
      <c r="Z102" s="725">
        <f t="shared" si="135"/>
        <v>0</v>
      </c>
    </row>
    <row r="103" spans="2:26" hidden="1" outlineLevel="1">
      <c r="B103" s="489" t="s">
        <v>58</v>
      </c>
      <c r="C103" s="739">
        <v>32.659999999999997</v>
      </c>
      <c r="D103" s="739">
        <v>33.89</v>
      </c>
      <c r="E103" s="739">
        <v>79.220772400000001</v>
      </c>
      <c r="F103" s="739">
        <v>87.2</v>
      </c>
      <c r="G103" s="739">
        <v>38.4</v>
      </c>
      <c r="H103" s="739">
        <v>57.973999999999997</v>
      </c>
      <c r="I103" s="739">
        <v>107.03038432</v>
      </c>
      <c r="J103" s="726">
        <f t="shared" ref="J103:T103" si="136">I103</f>
        <v>107.03038432</v>
      </c>
      <c r="K103" s="726">
        <f t="shared" si="136"/>
        <v>107.03038432</v>
      </c>
      <c r="L103" s="726">
        <f t="shared" si="136"/>
        <v>107.03038432</v>
      </c>
      <c r="M103" s="726">
        <f t="shared" si="136"/>
        <v>107.03038432</v>
      </c>
      <c r="N103" s="726">
        <f t="shared" si="136"/>
        <v>107.03038432</v>
      </c>
      <c r="O103" s="726">
        <f t="shared" si="136"/>
        <v>107.03038432</v>
      </c>
      <c r="P103" s="726">
        <f t="shared" si="136"/>
        <v>107.03038432</v>
      </c>
      <c r="Q103" s="726">
        <f t="shared" si="136"/>
        <v>107.03038432</v>
      </c>
      <c r="R103" s="726">
        <f t="shared" si="136"/>
        <v>107.03038432</v>
      </c>
      <c r="S103" s="726">
        <f t="shared" si="136"/>
        <v>107.03038432</v>
      </c>
      <c r="T103" s="726">
        <f t="shared" si="136"/>
        <v>107.03038432</v>
      </c>
      <c r="U103" s="726">
        <f t="shared" ref="U103" si="137">T103</f>
        <v>107.03038432</v>
      </c>
      <c r="V103" s="726">
        <f t="shared" ref="V103" si="138">U103</f>
        <v>107.03038432</v>
      </c>
      <c r="W103" s="726">
        <f t="shared" ref="W103" si="139">V103</f>
        <v>107.03038432</v>
      </c>
      <c r="X103" s="726">
        <f t="shared" ref="X103" si="140">W103</f>
        <v>107.03038432</v>
      </c>
      <c r="Y103" s="726">
        <f t="shared" ref="Y103" si="141">X103</f>
        <v>107.03038432</v>
      </c>
      <c r="Z103" s="726">
        <f t="shared" ref="Z103" si="142">Y103</f>
        <v>107.03038432</v>
      </c>
    </row>
    <row r="104" spans="2:26" hidden="1" outlineLevel="1">
      <c r="B104" s="489" t="s">
        <v>169</v>
      </c>
      <c r="C104" s="725">
        <f t="shared" ref="C104:I104" si="143">C105-C102-C103</f>
        <v>35.561999999999983</v>
      </c>
      <c r="D104" s="725">
        <f t="shared" si="143"/>
        <v>23.431000000000026</v>
      </c>
      <c r="E104" s="725">
        <f t="shared" si="143"/>
        <v>151.31006268999977</v>
      </c>
      <c r="F104" s="725">
        <f t="shared" si="143"/>
        <v>99.000000000000043</v>
      </c>
      <c r="G104" s="725">
        <f t="shared" si="143"/>
        <v>63.6</v>
      </c>
      <c r="H104" s="725">
        <f t="shared" si="143"/>
        <v>53.87749481000008</v>
      </c>
      <c r="I104" s="725">
        <f t="shared" si="143"/>
        <v>55.459966289999954</v>
      </c>
      <c r="J104" s="725">
        <f t="shared" ref="J104:T104" si="144">J283</f>
        <v>53.305026882711019</v>
      </c>
      <c r="K104" s="725">
        <f t="shared" si="144"/>
        <v>51.399778961193107</v>
      </c>
      <c r="L104" s="725">
        <f t="shared" si="144"/>
        <v>49.58880044555648</v>
      </c>
      <c r="M104" s="725">
        <f t="shared" si="144"/>
        <v>50.202364655909825</v>
      </c>
      <c r="N104" s="725">
        <f t="shared" ca="1" si="144"/>
        <v>48.181594295091223</v>
      </c>
      <c r="O104" s="725">
        <f t="shared" ca="1" si="144"/>
        <v>48.213234848353721</v>
      </c>
      <c r="P104" s="725">
        <f t="shared" si="144"/>
        <v>0</v>
      </c>
      <c r="Q104" s="725">
        <f t="shared" si="144"/>
        <v>0</v>
      </c>
      <c r="R104" s="725">
        <f t="shared" si="144"/>
        <v>0</v>
      </c>
      <c r="S104" s="725">
        <f t="shared" si="144"/>
        <v>0</v>
      </c>
      <c r="T104" s="725">
        <f t="shared" si="144"/>
        <v>0</v>
      </c>
      <c r="U104" s="725">
        <f t="shared" ref="U104:Z104" si="145">U283</f>
        <v>0</v>
      </c>
      <c r="V104" s="725">
        <f t="shared" si="145"/>
        <v>0</v>
      </c>
      <c r="W104" s="725">
        <f t="shared" si="145"/>
        <v>0</v>
      </c>
      <c r="X104" s="725">
        <f t="shared" si="145"/>
        <v>0</v>
      </c>
      <c r="Y104" s="725">
        <f t="shared" si="145"/>
        <v>0</v>
      </c>
      <c r="Z104" s="725">
        <f t="shared" si="145"/>
        <v>0</v>
      </c>
    </row>
    <row r="105" spans="2:26" s="58" customFormat="1" hidden="1" outlineLevel="1">
      <c r="B105" s="58" t="s">
        <v>13</v>
      </c>
      <c r="C105" s="741">
        <v>111.72899999999998</v>
      </c>
      <c r="D105" s="741">
        <v>697.86800000000005</v>
      </c>
      <c r="E105" s="741">
        <v>1451.4094831399998</v>
      </c>
      <c r="F105" s="741">
        <v>1420.9</v>
      </c>
      <c r="G105" s="741">
        <v>1399.7</v>
      </c>
      <c r="H105" s="741">
        <v>1512.6658672000001</v>
      </c>
      <c r="I105" s="741">
        <v>1566.9203840600001</v>
      </c>
      <c r="J105" s="727">
        <f t="shared" ref="J105:T105" si="146">SUM(J102:J104)</f>
        <v>1547.5008361727109</v>
      </c>
      <c r="K105" s="727">
        <f t="shared" si="146"/>
        <v>1133.6050120231932</v>
      </c>
      <c r="L105" s="727">
        <f t="shared" si="146"/>
        <v>1160.7010970500564</v>
      </c>
      <c r="M105" s="727">
        <f t="shared" si="146"/>
        <v>1311.9849117739097</v>
      </c>
      <c r="N105" s="727">
        <f t="shared" ca="1" si="146"/>
        <v>1301.6542573393867</v>
      </c>
      <c r="O105" s="727">
        <f t="shared" ca="1" si="146"/>
        <v>1334.4155968523492</v>
      </c>
      <c r="P105" s="727">
        <f t="shared" si="146"/>
        <v>107.03038432</v>
      </c>
      <c r="Q105" s="727">
        <f t="shared" si="146"/>
        <v>107.03038432</v>
      </c>
      <c r="R105" s="727">
        <f t="shared" si="146"/>
        <v>107.03038432</v>
      </c>
      <c r="S105" s="727">
        <f t="shared" si="146"/>
        <v>107.03038432</v>
      </c>
      <c r="T105" s="727">
        <f t="shared" si="146"/>
        <v>107.03038432</v>
      </c>
      <c r="U105" s="727">
        <f t="shared" ref="U105:Z105" si="147">SUM(U102:U104)</f>
        <v>107.03038432</v>
      </c>
      <c r="V105" s="727">
        <f t="shared" si="147"/>
        <v>107.03038432</v>
      </c>
      <c r="W105" s="727">
        <f t="shared" si="147"/>
        <v>107.03038432</v>
      </c>
      <c r="X105" s="727">
        <f t="shared" si="147"/>
        <v>107.03038432</v>
      </c>
      <c r="Y105" s="727">
        <f t="shared" si="147"/>
        <v>107.03038432</v>
      </c>
      <c r="Z105" s="727">
        <f t="shared" si="147"/>
        <v>107.03038432</v>
      </c>
    </row>
    <row r="106" spans="2:26" hidden="1" outlineLevel="1">
      <c r="C106" s="725"/>
      <c r="D106" s="725"/>
      <c r="E106" s="725"/>
      <c r="F106" s="725"/>
      <c r="G106" s="725"/>
      <c r="H106" s="725"/>
      <c r="I106" s="725"/>
      <c r="J106" s="725"/>
      <c r="K106" s="725"/>
      <c r="L106" s="725"/>
      <c r="M106" s="725"/>
      <c r="N106" s="725"/>
      <c r="O106" s="725"/>
      <c r="P106" s="725"/>
      <c r="Q106" s="725"/>
      <c r="R106" s="725"/>
      <c r="S106" s="725"/>
      <c r="T106" s="725"/>
      <c r="U106" s="725"/>
      <c r="V106" s="725"/>
      <c r="W106" s="725"/>
      <c r="X106" s="725"/>
      <c r="Y106" s="725"/>
      <c r="Z106" s="725"/>
    </row>
    <row r="107" spans="2:26" hidden="1" outlineLevel="1">
      <c r="B107" s="489" t="s">
        <v>1162</v>
      </c>
      <c r="C107" s="739">
        <v>578.1</v>
      </c>
      <c r="D107" s="739">
        <v>2.6259999999999999</v>
      </c>
      <c r="E107" s="739">
        <v>49.909488899999999</v>
      </c>
      <c r="F107" s="739">
        <v>26</v>
      </c>
      <c r="G107" s="739">
        <v>43.4</v>
      </c>
      <c r="H107" s="739">
        <v>15.059310960000001</v>
      </c>
      <c r="I107" s="739">
        <v>27.744897780000002</v>
      </c>
      <c r="J107" s="725">
        <f t="shared" ref="J107:T107" si="148">J220</f>
        <v>27.744897780000002</v>
      </c>
      <c r="K107" s="725">
        <f t="shared" si="148"/>
        <v>27.744897780000002</v>
      </c>
      <c r="L107" s="725">
        <f t="shared" si="148"/>
        <v>27.744897780000002</v>
      </c>
      <c r="M107" s="725">
        <f t="shared" si="148"/>
        <v>27.744897780000002</v>
      </c>
      <c r="N107" s="725">
        <f t="shared" si="148"/>
        <v>27.744897780000002</v>
      </c>
      <c r="O107" s="725">
        <f t="shared" si="148"/>
        <v>27.744897780000002</v>
      </c>
      <c r="P107" s="725">
        <f t="shared" si="148"/>
        <v>0</v>
      </c>
      <c r="Q107" s="725">
        <f t="shared" si="148"/>
        <v>0</v>
      </c>
      <c r="R107" s="725">
        <f t="shared" si="148"/>
        <v>0</v>
      </c>
      <c r="S107" s="725">
        <f t="shared" si="148"/>
        <v>0</v>
      </c>
      <c r="T107" s="725">
        <f t="shared" si="148"/>
        <v>0</v>
      </c>
      <c r="U107" s="725">
        <f t="shared" ref="U107:Z107" si="149">U220</f>
        <v>0</v>
      </c>
      <c r="V107" s="725">
        <f t="shared" si="149"/>
        <v>0</v>
      </c>
      <c r="W107" s="725">
        <f t="shared" si="149"/>
        <v>0</v>
      </c>
      <c r="X107" s="725">
        <f t="shared" si="149"/>
        <v>0</v>
      </c>
      <c r="Y107" s="725">
        <f t="shared" si="149"/>
        <v>0</v>
      </c>
      <c r="Z107" s="725">
        <f t="shared" si="149"/>
        <v>0</v>
      </c>
    </row>
    <row r="108" spans="2:26" hidden="1" outlineLevel="1">
      <c r="B108" s="489" t="s">
        <v>1163</v>
      </c>
      <c r="C108" s="739">
        <v>43.2</v>
      </c>
      <c r="D108" s="739">
        <v>41.024999999999999</v>
      </c>
      <c r="E108" s="739">
        <v>75.20223562999999</v>
      </c>
      <c r="F108" s="739">
        <v>88.5</v>
      </c>
      <c r="G108" s="739">
        <v>94.4</v>
      </c>
      <c r="H108" s="739">
        <v>76.38292122</v>
      </c>
      <c r="I108" s="739">
        <v>75.877529590000009</v>
      </c>
      <c r="J108" s="725">
        <f t="shared" ref="J108:T108" si="150">J277</f>
        <v>72.929250144855345</v>
      </c>
      <c r="K108" s="725">
        <f t="shared" si="150"/>
        <v>70.32258600111372</v>
      </c>
      <c r="L108" s="725">
        <f t="shared" si="150"/>
        <v>67.84489650544144</v>
      </c>
      <c r="M108" s="725">
        <f t="shared" si="150"/>
        <v>68.684344122178359</v>
      </c>
      <c r="N108" s="725">
        <f t="shared" ca="1" si="150"/>
        <v>65.9196280016196</v>
      </c>
      <c r="O108" s="725">
        <f t="shared" ca="1" si="150"/>
        <v>65.962917011278662</v>
      </c>
      <c r="P108" s="725">
        <f t="shared" si="150"/>
        <v>0</v>
      </c>
      <c r="Q108" s="725">
        <f t="shared" si="150"/>
        <v>0</v>
      </c>
      <c r="R108" s="725">
        <f t="shared" si="150"/>
        <v>0</v>
      </c>
      <c r="S108" s="725">
        <f t="shared" si="150"/>
        <v>0</v>
      </c>
      <c r="T108" s="725">
        <f t="shared" si="150"/>
        <v>0</v>
      </c>
      <c r="U108" s="725">
        <f t="shared" ref="U108:Z108" si="151">U277</f>
        <v>0</v>
      </c>
      <c r="V108" s="725">
        <f t="shared" si="151"/>
        <v>0</v>
      </c>
      <c r="W108" s="725">
        <f t="shared" si="151"/>
        <v>0</v>
      </c>
      <c r="X108" s="725">
        <f t="shared" si="151"/>
        <v>0</v>
      </c>
      <c r="Y108" s="725">
        <f t="shared" si="151"/>
        <v>0</v>
      </c>
      <c r="Z108" s="725">
        <f t="shared" si="151"/>
        <v>0</v>
      </c>
    </row>
    <row r="109" spans="2:26" hidden="1" outlineLevel="1">
      <c r="B109" s="489" t="s">
        <v>169</v>
      </c>
      <c r="C109" s="725">
        <f t="shared" ref="C109:I109" si="152">C110-C107-C108</f>
        <v>24.910999999999873</v>
      </c>
      <c r="D109" s="725">
        <f t="shared" si="152"/>
        <v>32.963000000000001</v>
      </c>
      <c r="E109" s="725">
        <f t="shared" si="152"/>
        <v>73.551081939999989</v>
      </c>
      <c r="F109" s="725">
        <f t="shared" si="152"/>
        <v>85.9</v>
      </c>
      <c r="G109" s="725">
        <f t="shared" si="152"/>
        <v>78.5</v>
      </c>
      <c r="H109" s="725">
        <f t="shared" si="152"/>
        <v>67.017185529999992</v>
      </c>
      <c r="I109" s="725">
        <f t="shared" si="152"/>
        <v>69.306694039999982</v>
      </c>
      <c r="J109" s="725">
        <f t="shared" ref="J109:T109" si="153">J280</f>
        <v>66.613729435680654</v>
      </c>
      <c r="K109" s="725">
        <f t="shared" si="153"/>
        <v>64.232796961316751</v>
      </c>
      <c r="L109" s="725">
        <f t="shared" si="153"/>
        <v>61.969670199934782</v>
      </c>
      <c r="M109" s="725">
        <f t="shared" si="153"/>
        <v>62.73642340671632</v>
      </c>
      <c r="N109" s="725">
        <f t="shared" ca="1" si="153"/>
        <v>60.211125926548029</v>
      </c>
      <c r="O109" s="725">
        <f t="shared" ca="1" si="153"/>
        <v>60.250666198403835</v>
      </c>
      <c r="P109" s="725">
        <f t="shared" si="153"/>
        <v>0</v>
      </c>
      <c r="Q109" s="725">
        <f t="shared" si="153"/>
        <v>0</v>
      </c>
      <c r="R109" s="725">
        <f t="shared" si="153"/>
        <v>0</v>
      </c>
      <c r="S109" s="725">
        <f t="shared" si="153"/>
        <v>0</v>
      </c>
      <c r="T109" s="725">
        <f t="shared" si="153"/>
        <v>0</v>
      </c>
      <c r="U109" s="725">
        <f t="shared" ref="U109:Z109" si="154">U280</f>
        <v>0</v>
      </c>
      <c r="V109" s="725">
        <f t="shared" si="154"/>
        <v>0</v>
      </c>
      <c r="W109" s="725">
        <f t="shared" si="154"/>
        <v>0</v>
      </c>
      <c r="X109" s="725">
        <f t="shared" si="154"/>
        <v>0</v>
      </c>
      <c r="Y109" s="725">
        <f t="shared" si="154"/>
        <v>0</v>
      </c>
      <c r="Z109" s="725">
        <f t="shared" si="154"/>
        <v>0</v>
      </c>
    </row>
    <row r="110" spans="2:26" s="58" customFormat="1" hidden="1" outlineLevel="1">
      <c r="B110" s="58" t="s">
        <v>1165</v>
      </c>
      <c r="C110" s="741">
        <v>646.2109999999999</v>
      </c>
      <c r="D110" s="741">
        <v>76.614000000000004</v>
      </c>
      <c r="E110" s="741">
        <v>198.66280646999999</v>
      </c>
      <c r="F110" s="741">
        <v>200.4</v>
      </c>
      <c r="G110" s="741">
        <v>216.3</v>
      </c>
      <c r="H110" s="741">
        <v>158.45941771</v>
      </c>
      <c r="I110" s="741">
        <v>172.92912140999999</v>
      </c>
      <c r="J110" s="727">
        <f t="shared" ref="J110:T110" si="155">SUM(J107:J109)</f>
        <v>167.28787736053602</v>
      </c>
      <c r="K110" s="727">
        <f t="shared" si="155"/>
        <v>162.30028074243046</v>
      </c>
      <c r="L110" s="727">
        <f t="shared" si="155"/>
        <v>157.55946448537622</v>
      </c>
      <c r="M110" s="727">
        <f t="shared" si="155"/>
        <v>159.16566530889469</v>
      </c>
      <c r="N110" s="727">
        <f t="shared" ca="1" si="155"/>
        <v>153.87565170816762</v>
      </c>
      <c r="O110" s="727">
        <f t="shared" ca="1" si="155"/>
        <v>153.9584809896825</v>
      </c>
      <c r="P110" s="727">
        <f t="shared" si="155"/>
        <v>0</v>
      </c>
      <c r="Q110" s="727">
        <f t="shared" si="155"/>
        <v>0</v>
      </c>
      <c r="R110" s="727">
        <f t="shared" si="155"/>
        <v>0</v>
      </c>
      <c r="S110" s="727">
        <f t="shared" si="155"/>
        <v>0</v>
      </c>
      <c r="T110" s="727">
        <f t="shared" si="155"/>
        <v>0</v>
      </c>
      <c r="U110" s="727">
        <f t="shared" ref="U110:Z110" si="156">SUM(U107:U109)</f>
        <v>0</v>
      </c>
      <c r="V110" s="727">
        <f t="shared" si="156"/>
        <v>0</v>
      </c>
      <c r="W110" s="727">
        <f t="shared" si="156"/>
        <v>0</v>
      </c>
      <c r="X110" s="727">
        <f t="shared" si="156"/>
        <v>0</v>
      </c>
      <c r="Y110" s="727">
        <f t="shared" si="156"/>
        <v>0</v>
      </c>
      <c r="Z110" s="727">
        <f t="shared" si="156"/>
        <v>0</v>
      </c>
    </row>
    <row r="111" spans="2:26" hidden="1" outlineLevel="1">
      <c r="C111" s="725"/>
      <c r="D111" s="725"/>
      <c r="E111" s="725"/>
      <c r="F111" s="725"/>
      <c r="G111" s="725"/>
      <c r="H111" s="725"/>
      <c r="I111" s="725"/>
      <c r="J111" s="725"/>
      <c r="K111" s="725"/>
      <c r="L111" s="725"/>
      <c r="M111" s="725"/>
      <c r="N111" s="725"/>
      <c r="O111" s="725"/>
      <c r="P111" s="725"/>
      <c r="Q111" s="725"/>
      <c r="R111" s="725"/>
      <c r="S111" s="725"/>
      <c r="T111" s="725"/>
      <c r="U111" s="725"/>
      <c r="V111" s="725"/>
      <c r="W111" s="725"/>
      <c r="X111" s="725"/>
      <c r="Y111" s="725"/>
      <c r="Z111" s="725"/>
    </row>
    <row r="112" spans="2:26" s="58" customFormat="1" hidden="1" outlineLevel="1">
      <c r="B112" s="58" t="s">
        <v>1171</v>
      </c>
      <c r="C112" s="728">
        <f t="shared" ref="C112:T112" si="157">C110+C105</f>
        <v>757.93999999999983</v>
      </c>
      <c r="D112" s="728">
        <f t="shared" si="157"/>
        <v>774.48200000000008</v>
      </c>
      <c r="E112" s="728">
        <f t="shared" si="157"/>
        <v>1650.0722896099999</v>
      </c>
      <c r="F112" s="728">
        <f t="shared" si="157"/>
        <v>1621.3000000000002</v>
      </c>
      <c r="G112" s="728">
        <f t="shared" si="157"/>
        <v>1616</v>
      </c>
      <c r="H112" s="728">
        <f t="shared" si="157"/>
        <v>1671.1252849100001</v>
      </c>
      <c r="I112" s="728">
        <f t="shared" si="157"/>
        <v>1739.8495054700002</v>
      </c>
      <c r="J112" s="728">
        <f t="shared" si="157"/>
        <v>1714.7887135332469</v>
      </c>
      <c r="K112" s="728">
        <f t="shared" si="157"/>
        <v>1295.9052927656237</v>
      </c>
      <c r="L112" s="728">
        <f t="shared" si="157"/>
        <v>1318.2605615354328</v>
      </c>
      <c r="M112" s="728">
        <f t="shared" si="157"/>
        <v>1471.1505770828044</v>
      </c>
      <c r="N112" s="728">
        <f t="shared" ca="1" si="157"/>
        <v>1455.5299090475544</v>
      </c>
      <c r="O112" s="728">
        <f t="shared" ca="1" si="157"/>
        <v>1488.3740778420317</v>
      </c>
      <c r="P112" s="728">
        <f t="shared" si="157"/>
        <v>107.03038432</v>
      </c>
      <c r="Q112" s="728">
        <f t="shared" si="157"/>
        <v>107.03038432</v>
      </c>
      <c r="R112" s="728">
        <f t="shared" si="157"/>
        <v>107.03038432</v>
      </c>
      <c r="S112" s="728">
        <f t="shared" si="157"/>
        <v>107.03038432</v>
      </c>
      <c r="T112" s="728">
        <f t="shared" si="157"/>
        <v>107.03038432</v>
      </c>
      <c r="U112" s="728">
        <f t="shared" ref="U112:Z112" si="158">U110+U105</f>
        <v>107.03038432</v>
      </c>
      <c r="V112" s="728">
        <f t="shared" si="158"/>
        <v>107.03038432</v>
      </c>
      <c r="W112" s="728">
        <f t="shared" si="158"/>
        <v>107.03038432</v>
      </c>
      <c r="X112" s="728">
        <f t="shared" si="158"/>
        <v>107.03038432</v>
      </c>
      <c r="Y112" s="728">
        <f t="shared" si="158"/>
        <v>107.03038432</v>
      </c>
      <c r="Z112" s="728">
        <f t="shared" si="158"/>
        <v>107.03038432</v>
      </c>
    </row>
    <row r="113" spans="1:26" hidden="1" outlineLevel="1">
      <c r="C113" s="725"/>
      <c r="D113" s="725"/>
      <c r="E113" s="725"/>
      <c r="F113" s="725"/>
      <c r="G113" s="725"/>
      <c r="H113" s="725"/>
      <c r="I113" s="725"/>
      <c r="J113" s="725"/>
      <c r="K113" s="725"/>
      <c r="L113" s="725"/>
      <c r="M113" s="725"/>
      <c r="N113" s="725"/>
      <c r="O113" s="725"/>
      <c r="P113" s="725"/>
      <c r="Q113" s="725"/>
      <c r="R113" s="725"/>
      <c r="S113" s="725"/>
      <c r="T113" s="725"/>
      <c r="U113" s="725"/>
      <c r="V113" s="725"/>
      <c r="W113" s="725"/>
      <c r="X113" s="725"/>
      <c r="Y113" s="725"/>
      <c r="Z113" s="725"/>
    </row>
    <row r="114" spans="1:26" hidden="1" outlineLevel="1">
      <c r="B114" s="489" t="s">
        <v>50</v>
      </c>
      <c r="C114" s="739">
        <v>-68.224999999999994</v>
      </c>
      <c r="D114" s="739">
        <v>-112.57154255049919</v>
      </c>
      <c r="E114" s="739">
        <v>539.44210525000005</v>
      </c>
      <c r="F114" s="739">
        <v>522</v>
      </c>
      <c r="G114" s="739">
        <v>509.2</v>
      </c>
      <c r="H114" s="739">
        <v>345.97505491999999</v>
      </c>
      <c r="I114" s="739">
        <v>308.88223977000001</v>
      </c>
      <c r="J114" s="725" t="e">
        <f t="shared" ref="J114:T114" si="159">J116-J115</f>
        <v>#REF!</v>
      </c>
      <c r="K114" s="725" t="e">
        <f t="shared" ca="1" si="159"/>
        <v>#REF!</v>
      </c>
      <c r="L114" s="725" t="e">
        <f t="shared" ca="1" si="159"/>
        <v>#REF!</v>
      </c>
      <c r="M114" s="725" t="e">
        <f t="shared" ca="1" si="159"/>
        <v>#REF!</v>
      </c>
      <c r="N114" s="725" t="e">
        <f t="shared" ca="1" si="159"/>
        <v>#REF!</v>
      </c>
      <c r="O114" s="725" t="e">
        <f t="shared" ca="1" si="159"/>
        <v>#REF!</v>
      </c>
      <c r="P114" s="725" t="e">
        <f t="shared" si="159"/>
        <v>#REF!</v>
      </c>
      <c r="Q114" s="725" t="e">
        <f t="shared" si="159"/>
        <v>#REF!</v>
      </c>
      <c r="R114" s="725" t="e">
        <f t="shared" si="159"/>
        <v>#REF!</v>
      </c>
      <c r="S114" s="725" t="e">
        <f t="shared" si="159"/>
        <v>#REF!</v>
      </c>
      <c r="T114" s="725" t="e">
        <f t="shared" si="159"/>
        <v>#REF!</v>
      </c>
      <c r="U114" s="725" t="e">
        <f t="shared" ref="U114:Z114" si="160">U116-U115</f>
        <v>#REF!</v>
      </c>
      <c r="V114" s="725" t="e">
        <f t="shared" si="160"/>
        <v>#REF!</v>
      </c>
      <c r="W114" s="725" t="e">
        <f t="shared" si="160"/>
        <v>#REF!</v>
      </c>
      <c r="X114" s="725" t="e">
        <f t="shared" si="160"/>
        <v>#REF!</v>
      </c>
      <c r="Y114" s="725" t="e">
        <f t="shared" si="160"/>
        <v>#REF!</v>
      </c>
      <c r="Z114" s="725" t="e">
        <f t="shared" si="160"/>
        <v>#REF!</v>
      </c>
    </row>
    <row r="115" spans="1:26" hidden="1" outlineLevel="1">
      <c r="B115" s="489" t="s">
        <v>51</v>
      </c>
      <c r="C115" s="739">
        <v>6.69</v>
      </c>
      <c r="D115" s="739">
        <v>5.2555425504991886</v>
      </c>
      <c r="E115" s="739">
        <v>6.2395433499999999</v>
      </c>
      <c r="F115" s="739">
        <v>7.6</v>
      </c>
      <c r="G115" s="739">
        <v>8</v>
      </c>
      <c r="H115" s="739">
        <v>8.6932761199999984</v>
      </c>
      <c r="I115" s="739">
        <v>9.6968752899999995</v>
      </c>
      <c r="J115" s="725" t="e">
        <f>I115+#REF!</f>
        <v>#REF!</v>
      </c>
      <c r="K115" s="725" t="e">
        <f>J115+#REF!</f>
        <v>#REF!</v>
      </c>
      <c r="L115" s="725" t="e">
        <f>K115+#REF!</f>
        <v>#REF!</v>
      </c>
      <c r="M115" s="725" t="e">
        <f>L115+#REF!</f>
        <v>#REF!</v>
      </c>
      <c r="N115" s="725" t="e">
        <f>M115+#REF!</f>
        <v>#REF!</v>
      </c>
      <c r="O115" s="725" t="e">
        <f>N115+#REF!</f>
        <v>#REF!</v>
      </c>
      <c r="P115" s="725" t="e">
        <f>O115+#REF!</f>
        <v>#REF!</v>
      </c>
      <c r="Q115" s="725" t="e">
        <f>P115+#REF!</f>
        <v>#REF!</v>
      </c>
      <c r="R115" s="725" t="e">
        <f>Q115+#REF!</f>
        <v>#REF!</v>
      </c>
      <c r="S115" s="725" t="e">
        <f>R115+#REF!</f>
        <v>#REF!</v>
      </c>
      <c r="T115" s="725" t="e">
        <f>S115+#REF!</f>
        <v>#REF!</v>
      </c>
      <c r="U115" s="725" t="e">
        <f>T115+#REF!</f>
        <v>#REF!</v>
      </c>
      <c r="V115" s="725" t="e">
        <f>U115+#REF!</f>
        <v>#REF!</v>
      </c>
      <c r="W115" s="725" t="e">
        <f>V115+#REF!</f>
        <v>#REF!</v>
      </c>
      <c r="X115" s="725" t="e">
        <f>W115+#REF!</f>
        <v>#REF!</v>
      </c>
      <c r="Y115" s="725" t="e">
        <f>X115+#REF!</f>
        <v>#REF!</v>
      </c>
      <c r="Z115" s="725" t="e">
        <f>Y115+#REF!</f>
        <v>#REF!</v>
      </c>
    </row>
    <row r="116" spans="1:26" hidden="1" outlineLevel="1">
      <c r="B116" s="58" t="s">
        <v>49</v>
      </c>
      <c r="C116" s="741">
        <v>-61.534999999999997</v>
      </c>
      <c r="D116" s="741">
        <v>-107.316</v>
      </c>
      <c r="E116" s="741">
        <v>545.68164860000002</v>
      </c>
      <c r="F116" s="741">
        <v>529.6</v>
      </c>
      <c r="G116" s="741">
        <v>517.20000000000005</v>
      </c>
      <c r="H116" s="741">
        <v>354.66833104</v>
      </c>
      <c r="I116" s="741">
        <v>318.57911505999999</v>
      </c>
      <c r="J116" s="727">
        <f t="shared" ref="J116:T116" si="161">J318</f>
        <v>131.03039418999998</v>
      </c>
      <c r="K116" s="727">
        <f t="shared" ca="1" si="161"/>
        <v>45.034352379999987</v>
      </c>
      <c r="L116" s="727">
        <f t="shared" ca="1" si="161"/>
        <v>-82.845536650330104</v>
      </c>
      <c r="M116" s="727">
        <f t="shared" ca="1" si="161"/>
        <v>-120.48289804716393</v>
      </c>
      <c r="N116" s="727">
        <f t="shared" ca="1" si="161"/>
        <v>-170.67800553846718</v>
      </c>
      <c r="O116" s="727">
        <f t="shared" ca="1" si="161"/>
        <v>-211.48696198484765</v>
      </c>
      <c r="P116" s="727">
        <f t="shared" si="161"/>
        <v>0</v>
      </c>
      <c r="Q116" s="727">
        <f t="shared" si="161"/>
        <v>0</v>
      </c>
      <c r="R116" s="727">
        <f t="shared" si="161"/>
        <v>0</v>
      </c>
      <c r="S116" s="727">
        <f t="shared" si="161"/>
        <v>0</v>
      </c>
      <c r="T116" s="727">
        <f t="shared" si="161"/>
        <v>0</v>
      </c>
      <c r="U116" s="727">
        <f t="shared" ref="U116:Z116" si="162">U318</f>
        <v>0</v>
      </c>
      <c r="V116" s="727">
        <f t="shared" si="162"/>
        <v>0</v>
      </c>
      <c r="W116" s="727">
        <f t="shared" si="162"/>
        <v>0</v>
      </c>
      <c r="X116" s="727">
        <f t="shared" si="162"/>
        <v>0</v>
      </c>
      <c r="Y116" s="727">
        <f t="shared" si="162"/>
        <v>0</v>
      </c>
      <c r="Z116" s="727">
        <f t="shared" si="162"/>
        <v>0</v>
      </c>
    </row>
    <row r="117" spans="1:26" hidden="1" outlineLevel="1">
      <c r="C117" s="725"/>
      <c r="D117" s="725"/>
      <c r="E117" s="725"/>
      <c r="F117" s="725"/>
      <c r="G117" s="725"/>
      <c r="H117" s="725"/>
      <c r="I117" s="725"/>
      <c r="J117" s="725"/>
      <c r="K117" s="725"/>
      <c r="L117" s="725"/>
      <c r="M117" s="725"/>
      <c r="N117" s="725"/>
      <c r="O117" s="725"/>
      <c r="P117" s="725"/>
      <c r="Q117" s="725"/>
      <c r="R117" s="725"/>
      <c r="S117" s="725"/>
      <c r="T117" s="725"/>
      <c r="U117" s="725"/>
      <c r="V117" s="725"/>
      <c r="W117" s="725"/>
      <c r="X117" s="725"/>
      <c r="Y117" s="725"/>
      <c r="Z117" s="725"/>
    </row>
    <row r="118" spans="1:26" hidden="1" outlineLevel="1">
      <c r="B118" s="536" t="s">
        <v>1172</v>
      </c>
      <c r="C118" s="730">
        <f t="shared" ref="C118:T118" si="163">C100-C112-C116</f>
        <v>-4.9999999997396571E-3</v>
      </c>
      <c r="D118" s="730">
        <f t="shared" si="163"/>
        <v>0</v>
      </c>
      <c r="E118" s="730">
        <f t="shared" si="163"/>
        <v>0</v>
      </c>
      <c r="F118" s="730">
        <f t="shared" si="163"/>
        <v>9.9999999999795364E-2</v>
      </c>
      <c r="G118" s="730">
        <f t="shared" si="163"/>
        <v>0</v>
      </c>
      <c r="H118" s="730">
        <f t="shared" si="163"/>
        <v>5.999999999744432E-3</v>
      </c>
      <c r="I118" s="730">
        <f t="shared" si="163"/>
        <v>0</v>
      </c>
      <c r="J118" s="730">
        <f t="shared" si="163"/>
        <v>165.36718483189242</v>
      </c>
      <c r="K118" s="730">
        <f t="shared" ca="1" si="163"/>
        <v>674.7193168355177</v>
      </c>
      <c r="L118" s="730">
        <f t="shared" ca="1" si="163"/>
        <v>840.64138125005616</v>
      </c>
      <c r="M118" s="730">
        <f t="shared" ca="1" si="163"/>
        <v>791.19616358374697</v>
      </c>
      <c r="N118" s="730">
        <f t="shared" ca="1" si="163"/>
        <v>920.10015906092394</v>
      </c>
      <c r="O118" s="730">
        <f t="shared" ca="1" si="163"/>
        <v>987.07392242088383</v>
      </c>
      <c r="P118" s="730">
        <f t="shared" si="163"/>
        <v>-107.03038432</v>
      </c>
      <c r="Q118" s="730">
        <f t="shared" si="163"/>
        <v>-107.03038432</v>
      </c>
      <c r="R118" s="730">
        <f t="shared" si="163"/>
        <v>-107.03038432</v>
      </c>
      <c r="S118" s="730">
        <f t="shared" si="163"/>
        <v>-107.03038432</v>
      </c>
      <c r="T118" s="730">
        <f t="shared" si="163"/>
        <v>-107.03038432</v>
      </c>
      <c r="U118" s="730">
        <f t="shared" ref="U118:Z118" si="164">U100-U112-U116</f>
        <v>-107.03038432</v>
      </c>
      <c r="V118" s="730">
        <f t="shared" si="164"/>
        <v>-107.03038432</v>
      </c>
      <c r="W118" s="730">
        <f t="shared" si="164"/>
        <v>-107.03038432</v>
      </c>
      <c r="X118" s="730">
        <f t="shared" si="164"/>
        <v>-107.03038432</v>
      </c>
      <c r="Y118" s="730">
        <f t="shared" si="164"/>
        <v>-107.03038432</v>
      </c>
      <c r="Z118" s="730">
        <f t="shared" si="164"/>
        <v>-107.03038432</v>
      </c>
    </row>
    <row r="119" spans="1:26" hidden="1" outlineLevel="1">
      <c r="C119" s="731"/>
      <c r="D119" s="731"/>
      <c r="E119" s="731"/>
      <c r="F119" s="725"/>
      <c r="G119" s="725"/>
      <c r="H119" s="725"/>
      <c r="I119" s="725"/>
      <c r="J119" s="725"/>
      <c r="K119" s="725"/>
      <c r="L119" s="725"/>
      <c r="M119" s="725"/>
      <c r="N119" s="725"/>
      <c r="O119" s="725"/>
      <c r="P119" s="725"/>
      <c r="Q119" s="725"/>
      <c r="R119" s="725"/>
      <c r="S119" s="725"/>
      <c r="T119" s="725"/>
      <c r="U119" s="725"/>
      <c r="V119" s="725"/>
      <c r="W119" s="725"/>
      <c r="X119" s="725"/>
      <c r="Y119" s="725"/>
      <c r="Z119" s="725"/>
    </row>
    <row r="120" spans="1:26" hidden="1" outlineLevel="1">
      <c r="B120" s="536" t="s">
        <v>1434</v>
      </c>
      <c r="C120" s="766">
        <f>D120</f>
        <v>46.344000000000001</v>
      </c>
      <c r="D120" s="766">
        <f>E120</f>
        <v>46.344000000000001</v>
      </c>
      <c r="E120" s="766">
        <f>F120</f>
        <v>46.344000000000001</v>
      </c>
      <c r="F120" s="785">
        <v>46.344000000000001</v>
      </c>
      <c r="G120" s="785">
        <v>45.552</v>
      </c>
      <c r="H120" s="785">
        <v>63.442999999999998</v>
      </c>
      <c r="I120" s="785">
        <v>108.956</v>
      </c>
      <c r="J120" s="766">
        <f t="shared" ref="J120:T120" si="165">I120</f>
        <v>108.956</v>
      </c>
      <c r="K120" s="766">
        <f t="shared" si="165"/>
        <v>108.956</v>
      </c>
      <c r="L120" s="766">
        <f t="shared" si="165"/>
        <v>108.956</v>
      </c>
      <c r="M120" s="766">
        <f t="shared" si="165"/>
        <v>108.956</v>
      </c>
      <c r="N120" s="766">
        <f t="shared" si="165"/>
        <v>108.956</v>
      </c>
      <c r="O120" s="766">
        <f t="shared" si="165"/>
        <v>108.956</v>
      </c>
      <c r="P120" s="766">
        <f t="shared" si="165"/>
        <v>108.956</v>
      </c>
      <c r="Q120" s="766">
        <f t="shared" si="165"/>
        <v>108.956</v>
      </c>
      <c r="R120" s="766">
        <f t="shared" si="165"/>
        <v>108.956</v>
      </c>
      <c r="S120" s="766">
        <f t="shared" si="165"/>
        <v>108.956</v>
      </c>
      <c r="T120" s="766">
        <f t="shared" si="165"/>
        <v>108.956</v>
      </c>
      <c r="U120" s="766">
        <f t="shared" ref="U120" si="166">T120</f>
        <v>108.956</v>
      </c>
      <c r="V120" s="766">
        <f t="shared" ref="V120" si="167">U120</f>
        <v>108.956</v>
      </c>
      <c r="W120" s="766">
        <f t="shared" ref="W120" si="168">V120</f>
        <v>108.956</v>
      </c>
      <c r="X120" s="766">
        <f t="shared" ref="X120" si="169">W120</f>
        <v>108.956</v>
      </c>
      <c r="Y120" s="766">
        <f t="shared" ref="Y120" si="170">X120</f>
        <v>108.956</v>
      </c>
      <c r="Z120" s="766">
        <f t="shared" ref="Z120" si="171">Y120</f>
        <v>108.956</v>
      </c>
    </row>
    <row r="121" spans="1:26" hidden="1" outlineLevel="1">
      <c r="C121" s="731"/>
      <c r="D121" s="731"/>
      <c r="E121" s="731"/>
      <c r="F121" s="725"/>
      <c r="G121" s="725"/>
      <c r="H121" s="751"/>
      <c r="I121" s="751"/>
      <c r="J121" s="751"/>
      <c r="K121" s="751"/>
      <c r="L121" s="751"/>
      <c r="M121" s="751"/>
      <c r="N121" s="751"/>
      <c r="O121" s="751"/>
      <c r="P121" s="751"/>
      <c r="Q121" s="751"/>
      <c r="R121" s="751"/>
      <c r="S121" s="751"/>
      <c r="T121" s="751"/>
      <c r="U121" s="751"/>
      <c r="V121" s="751"/>
      <c r="W121" s="751"/>
      <c r="X121" s="751"/>
      <c r="Y121" s="751"/>
      <c r="Z121" s="751"/>
    </row>
    <row r="122" spans="1:26" collapsed="1">
      <c r="C122" s="486"/>
      <c r="D122" s="486"/>
      <c r="E122" s="486"/>
      <c r="F122" s="486"/>
      <c r="G122" s="486"/>
      <c r="H122" s="486"/>
      <c r="I122" s="486"/>
      <c r="J122" s="486"/>
      <c r="K122" s="486"/>
      <c r="L122" s="486"/>
      <c r="M122" s="486"/>
      <c r="N122" s="486"/>
      <c r="O122" s="486"/>
      <c r="P122" s="486"/>
      <c r="Q122" s="486"/>
      <c r="R122" s="486"/>
      <c r="S122" s="486"/>
      <c r="T122" s="486"/>
      <c r="U122" s="486"/>
      <c r="V122" s="486"/>
      <c r="W122" s="486"/>
      <c r="X122" s="486"/>
      <c r="Y122" s="486"/>
      <c r="Z122" s="486"/>
    </row>
    <row r="123" spans="1:26" s="513" customFormat="1">
      <c r="A123" s="722"/>
      <c r="B123" s="513" t="s">
        <v>1230</v>
      </c>
    </row>
    <row r="125" spans="1:26">
      <c r="B125" s="489" t="s">
        <v>281</v>
      </c>
      <c r="C125" s="725">
        <f t="shared" ref="C125:K125" si="172">C60</f>
        <v>91.166000000000054</v>
      </c>
      <c r="D125" s="725">
        <f t="shared" si="172"/>
        <v>84.15436877989606</v>
      </c>
      <c r="E125" s="725">
        <f t="shared" si="172"/>
        <v>72.788536319999892</v>
      </c>
      <c r="F125" s="725">
        <f t="shared" si="172"/>
        <v>218.8</v>
      </c>
      <c r="G125" s="725">
        <f t="shared" si="172"/>
        <v>196.7</v>
      </c>
      <c r="H125" s="725">
        <f t="shared" si="172"/>
        <v>189.59582528200042</v>
      </c>
      <c r="I125" s="725">
        <f t="shared" si="172"/>
        <v>214.13028918999998</v>
      </c>
      <c r="J125" s="725">
        <f t="shared" si="172"/>
        <v>222.9</v>
      </c>
      <c r="K125" s="725">
        <f t="shared" ca="1" si="172"/>
        <v>202.4</v>
      </c>
      <c r="L125" s="725">
        <f ca="1">L17</f>
        <v>163.30000000000001</v>
      </c>
      <c r="M125" s="725">
        <f>M17</f>
        <v>143.30000000000001</v>
      </c>
      <c r="N125" s="725">
        <f t="shared" ref="N125:T125" ca="1" si="173">N17</f>
        <v>139.97974954401991</v>
      </c>
      <c r="O125" s="725">
        <f t="shared" ca="1" si="173"/>
        <v>167.26576222893047</v>
      </c>
      <c r="P125" s="725">
        <f t="shared" ca="1" si="173"/>
        <v>189.68398168306288</v>
      </c>
      <c r="Q125" s="725">
        <f t="shared" ca="1" si="173"/>
        <v>218.62711092244257</v>
      </c>
      <c r="R125" s="725">
        <f t="shared" ca="1" si="173"/>
        <v>239.10503433769716</v>
      </c>
      <c r="S125" s="725">
        <f t="shared" ca="1" si="173"/>
        <v>263.47661400054051</v>
      </c>
      <c r="T125" s="725">
        <f t="shared" ca="1" si="173"/>
        <v>288.79495662173173</v>
      </c>
      <c r="U125" s="725">
        <f t="shared" ref="U125:Z125" ca="1" si="174">U17</f>
        <v>315.85744290204622</v>
      </c>
      <c r="V125" s="725">
        <f t="shared" ca="1" si="174"/>
        <v>342.81269762450358</v>
      </c>
      <c r="W125" s="725">
        <f t="shared" ca="1" si="174"/>
        <v>370.78171492757747</v>
      </c>
      <c r="X125" s="725">
        <f t="shared" ca="1" si="174"/>
        <v>399.78440490838074</v>
      </c>
      <c r="Y125" s="725">
        <f t="shared" ca="1" si="174"/>
        <v>429.84128577463719</v>
      </c>
      <c r="Z125" s="725">
        <f t="shared" ca="1" si="174"/>
        <v>470.97351969960295</v>
      </c>
    </row>
    <row r="126" spans="1:26">
      <c r="B126" s="489" t="s">
        <v>161</v>
      </c>
      <c r="C126" s="725">
        <f t="shared" ref="C126:T126" si="175">-C23</f>
        <v>-51.5</v>
      </c>
      <c r="D126" s="725">
        <f t="shared" si="175"/>
        <v>-84.1</v>
      </c>
      <c r="E126" s="725">
        <f t="shared" si="175"/>
        <v>-113.2</v>
      </c>
      <c r="F126" s="725">
        <f t="shared" si="175"/>
        <v>-152.30000000000001</v>
      </c>
      <c r="G126" s="725">
        <f t="shared" si="175"/>
        <v>-155.9</v>
      </c>
      <c r="H126" s="725">
        <f t="shared" si="175"/>
        <v>-159.03177321999999</v>
      </c>
      <c r="I126" s="725">
        <f t="shared" si="175"/>
        <v>-162.0818753543538</v>
      </c>
      <c r="J126" s="725">
        <f t="shared" si="175"/>
        <v>-109.13800000000001</v>
      </c>
      <c r="K126" s="725">
        <f t="shared" si="175"/>
        <v>-134.16900000000001</v>
      </c>
      <c r="L126" s="725">
        <f t="shared" si="175"/>
        <v>-186</v>
      </c>
      <c r="M126" s="725">
        <f t="shared" si="175"/>
        <v>-187</v>
      </c>
      <c r="N126" s="725">
        <f t="shared" ca="1" si="175"/>
        <v>-193.26969502103239</v>
      </c>
      <c r="O126" s="725">
        <f t="shared" ca="1" si="175"/>
        <v>-187.46621537875632</v>
      </c>
      <c r="P126" s="725">
        <f t="shared" ca="1" si="175"/>
        <v>-190.60693133023656</v>
      </c>
      <c r="Q126" s="725">
        <f t="shared" ca="1" si="175"/>
        <v>-202.94415147376913</v>
      </c>
      <c r="R126" s="725">
        <f t="shared" ca="1" si="175"/>
        <v>-202.99840863051455</v>
      </c>
      <c r="S126" s="725">
        <f t="shared" ca="1" si="175"/>
        <v>-231.88698917188097</v>
      </c>
      <c r="T126" s="725">
        <f t="shared" ca="1" si="175"/>
        <v>-230.4678702221118</v>
      </c>
      <c r="U126" s="725">
        <f t="shared" ref="U126:Z126" ca="1" si="176">-U23</f>
        <v>-267.77608347685418</v>
      </c>
      <c r="V126" s="725">
        <f t="shared" ca="1" si="176"/>
        <v>-268.85975693610794</v>
      </c>
      <c r="W126" s="725">
        <f t="shared" ca="1" si="176"/>
        <v>-269.94989059987319</v>
      </c>
      <c r="X126" s="725">
        <f t="shared" ca="1" si="176"/>
        <v>-271.0464844681498</v>
      </c>
      <c r="Y126" s="725">
        <f t="shared" ca="1" si="176"/>
        <v>-272.14953854093795</v>
      </c>
      <c r="Z126" s="725">
        <f t="shared" ca="1" si="176"/>
        <v>-137.90305281823746</v>
      </c>
    </row>
    <row r="127" spans="1:26" s="58" customFormat="1">
      <c r="B127" s="58" t="s">
        <v>351</v>
      </c>
      <c r="C127" s="728">
        <f t="shared" ref="C127:T127" si="177">C125+C126</f>
        <v>39.666000000000054</v>
      </c>
      <c r="D127" s="728">
        <f t="shared" si="177"/>
        <v>5.4368779896066144E-2</v>
      </c>
      <c r="E127" s="728">
        <f t="shared" si="177"/>
        <v>-40.411463680000111</v>
      </c>
      <c r="F127" s="728">
        <f t="shared" si="177"/>
        <v>66.5</v>
      </c>
      <c r="G127" s="728">
        <f t="shared" si="177"/>
        <v>40.799999999999983</v>
      </c>
      <c r="H127" s="728">
        <f t="shared" si="177"/>
        <v>30.564052062000428</v>
      </c>
      <c r="I127" s="728">
        <f t="shared" si="177"/>
        <v>52.048413835646187</v>
      </c>
      <c r="J127" s="728">
        <f t="shared" si="177"/>
        <v>113.762</v>
      </c>
      <c r="K127" s="728">
        <f t="shared" ca="1" si="177"/>
        <v>68.230999999999995</v>
      </c>
      <c r="L127" s="728">
        <f t="shared" ca="1" si="177"/>
        <v>-22.699999999999989</v>
      </c>
      <c r="M127" s="728">
        <f t="shared" si="177"/>
        <v>-43.699999999999989</v>
      </c>
      <c r="N127" s="728">
        <f t="shared" ca="1" si="177"/>
        <v>-53.289945477012481</v>
      </c>
      <c r="O127" s="728">
        <f t="shared" ca="1" si="177"/>
        <v>-20.200453149825847</v>
      </c>
      <c r="P127" s="728">
        <f t="shared" ca="1" si="177"/>
        <v>-0.92294964717368089</v>
      </c>
      <c r="Q127" s="728">
        <f t="shared" ca="1" si="177"/>
        <v>15.682959448673444</v>
      </c>
      <c r="R127" s="728">
        <f t="shared" ca="1" si="177"/>
        <v>36.106625707182616</v>
      </c>
      <c r="S127" s="728">
        <f t="shared" ca="1" si="177"/>
        <v>31.589624828659538</v>
      </c>
      <c r="T127" s="728">
        <f t="shared" ca="1" si="177"/>
        <v>58.32708639961993</v>
      </c>
      <c r="U127" s="728">
        <f t="shared" ref="U127:Z127" ca="1" si="178">U125+U126</f>
        <v>48.081359425192034</v>
      </c>
      <c r="V127" s="728">
        <f t="shared" ca="1" si="178"/>
        <v>73.952940688395643</v>
      </c>
      <c r="W127" s="728">
        <f t="shared" ca="1" si="178"/>
        <v>100.83182432770428</v>
      </c>
      <c r="X127" s="728">
        <f t="shared" ca="1" si="178"/>
        <v>128.73792044023094</v>
      </c>
      <c r="Y127" s="728">
        <f t="shared" ca="1" si="178"/>
        <v>157.69174723369923</v>
      </c>
      <c r="Z127" s="728">
        <f t="shared" ca="1" si="178"/>
        <v>333.07046688136552</v>
      </c>
    </row>
    <row r="128" spans="1:26">
      <c r="C128" s="725"/>
      <c r="D128" s="725"/>
      <c r="E128" s="725"/>
      <c r="F128" s="725"/>
      <c r="G128" s="725"/>
      <c r="H128" s="725"/>
      <c r="I128" s="725"/>
      <c r="J128" s="725"/>
      <c r="K128" s="725"/>
      <c r="L128" s="725"/>
      <c r="M128" s="725"/>
      <c r="N128" s="725"/>
      <c r="O128" s="725"/>
      <c r="P128" s="725"/>
      <c r="Q128" s="725"/>
      <c r="R128" s="725"/>
      <c r="S128" s="725"/>
      <c r="T128" s="725"/>
      <c r="U128" s="725"/>
      <c r="V128" s="725"/>
      <c r="W128" s="725"/>
      <c r="X128" s="725"/>
      <c r="Y128" s="725"/>
      <c r="Z128" s="725"/>
    </row>
    <row r="129" spans="2:28">
      <c r="B129" s="489" t="s">
        <v>287</v>
      </c>
      <c r="C129" s="739">
        <f>-24+0.4</f>
        <v>-23.6</v>
      </c>
      <c r="D129" s="739">
        <f>-18.369+0.1</f>
        <v>-18.268999999999998</v>
      </c>
      <c r="E129" s="739">
        <f>-29.2629114178327+0</f>
        <v>-29.262911417832701</v>
      </c>
      <c r="F129" s="739">
        <f>-51.3+0.1</f>
        <v>-51.199999999999996</v>
      </c>
      <c r="G129" s="739">
        <f>-55.1+0.1</f>
        <v>-55</v>
      </c>
      <c r="H129" s="739">
        <v>-53.000605451376124</v>
      </c>
      <c r="I129" s="739">
        <f>Interims!AN142</f>
        <v>-54.380977227798752</v>
      </c>
      <c r="J129" s="739">
        <f>Interims!AS142</f>
        <v>-54.804000000000002</v>
      </c>
      <c r="K129" s="739">
        <f>Interims!AX142</f>
        <v>-62.186</v>
      </c>
      <c r="L129" s="739">
        <f>Interims!BC142</f>
        <v>-48.257999999999996</v>
      </c>
      <c r="M129" s="739">
        <f>Interims!BH142</f>
        <v>-44.177999999999997</v>
      </c>
      <c r="N129" s="726">
        <f>-N184-30</f>
        <v>-37.31</v>
      </c>
      <c r="O129" s="725">
        <f t="shared" ref="O129:Z129" si="179">-O184</f>
        <v>-7.5150000000000006</v>
      </c>
      <c r="P129" s="725">
        <f t="shared" si="179"/>
        <v>-9.6150000000000002</v>
      </c>
      <c r="Q129" s="725">
        <f t="shared" ca="1" si="179"/>
        <v>-11.648314379180837</v>
      </c>
      <c r="R129" s="725">
        <f t="shared" ca="1" si="179"/>
        <v>-14.515889224316352</v>
      </c>
      <c r="S129" s="725">
        <f t="shared" ca="1" si="179"/>
        <v>-615.01856336828996</v>
      </c>
      <c r="T129" s="725">
        <f t="shared" ca="1" si="179"/>
        <v>-137.19856336828985</v>
      </c>
      <c r="U129" s="725">
        <f t="shared" ca="1" si="179"/>
        <v>-145.86956675609673</v>
      </c>
      <c r="V129" s="725">
        <f t="shared" ca="1" si="179"/>
        <v>-155.86474126926007</v>
      </c>
      <c r="W129" s="725">
        <f t="shared" ca="1" si="179"/>
        <v>-164.74856730992059</v>
      </c>
      <c r="X129" s="725">
        <f t="shared" ca="1" si="179"/>
        <v>-172.37273931867574</v>
      </c>
      <c r="Y129" s="725">
        <f t="shared" ca="1" si="179"/>
        <v>-178.5771766401669</v>
      </c>
      <c r="Z129" s="725">
        <f t="shared" ca="1" si="179"/>
        <v>-183.18915669861963</v>
      </c>
    </row>
    <row r="130" spans="2:28">
      <c r="B130" s="489" t="s">
        <v>1415</v>
      </c>
      <c r="C130" s="739">
        <v>-7.5</v>
      </c>
      <c r="D130" s="739">
        <v>-2.7389999999999999</v>
      </c>
      <c r="E130" s="739">
        <v>-10.70042179</v>
      </c>
      <c r="F130" s="739">
        <v>-10.9</v>
      </c>
      <c r="G130" s="739">
        <v>-6.8</v>
      </c>
      <c r="H130" s="739">
        <v>-4.048</v>
      </c>
      <c r="I130" s="739">
        <f>Interims!AN143</f>
        <v>-8.92</v>
      </c>
      <c r="J130" s="739">
        <f>Interims!AS143</f>
        <v>-1.327</v>
      </c>
      <c r="K130" s="739">
        <f>Interims!AX143</f>
        <v>-3.5530000000000004</v>
      </c>
      <c r="L130" s="739">
        <f>Interims!BC143</f>
        <v>-10.089</v>
      </c>
      <c r="M130" s="739">
        <f>Interims!BH143</f>
        <v>0.22299999999999998</v>
      </c>
      <c r="N130" s="726">
        <v>-2</v>
      </c>
      <c r="O130" s="725">
        <f t="shared" ref="O130:T130" ca="1" si="180">IF(O159&lt;0,0,-O159)</f>
        <v>0</v>
      </c>
      <c r="P130" s="725">
        <f t="shared" ca="1" si="180"/>
        <v>0</v>
      </c>
      <c r="Q130" s="725">
        <f t="shared" ca="1" si="180"/>
        <v>0</v>
      </c>
      <c r="R130" s="725">
        <f t="shared" ca="1" si="180"/>
        <v>0</v>
      </c>
      <c r="S130" s="725">
        <f t="shared" ca="1" si="180"/>
        <v>0</v>
      </c>
      <c r="T130" s="725">
        <f t="shared" ca="1" si="180"/>
        <v>0</v>
      </c>
      <c r="U130" s="725">
        <f t="shared" ref="U130:Z130" ca="1" si="181">IF(U159&lt;0,0,-U159)</f>
        <v>0</v>
      </c>
      <c r="V130" s="725">
        <f t="shared" ca="1" si="181"/>
        <v>0</v>
      </c>
      <c r="W130" s="725">
        <f t="shared" ca="1" si="181"/>
        <v>0</v>
      </c>
      <c r="X130" s="725">
        <f t="shared" ca="1" si="181"/>
        <v>0</v>
      </c>
      <c r="Y130" s="725">
        <f t="shared" ca="1" si="181"/>
        <v>0</v>
      </c>
      <c r="Z130" s="725">
        <f t="shared" ca="1" si="181"/>
        <v>-13.185757221929508</v>
      </c>
    </row>
    <row r="131" spans="2:28">
      <c r="B131" s="489" t="s">
        <v>1416</v>
      </c>
      <c r="C131" s="739"/>
      <c r="D131" s="739"/>
      <c r="E131" s="739"/>
      <c r="F131" s="739"/>
      <c r="G131" s="739">
        <v>-10.295999999999999</v>
      </c>
      <c r="H131" s="739">
        <v>-14.379</v>
      </c>
      <c r="I131" s="739">
        <f>Interims!AN144</f>
        <v>-23.753</v>
      </c>
      <c r="J131" s="739">
        <f>Interims!AS144</f>
        <v>-35.448999999999998</v>
      </c>
      <c r="K131" s="739">
        <f>Interims!AX144</f>
        <v>-38.118000000000002</v>
      </c>
      <c r="L131" s="739">
        <f>Interims!BC144</f>
        <v>-38.730000000000004</v>
      </c>
      <c r="M131" s="739">
        <f>Interims!BH144</f>
        <v>-45.085999999999999</v>
      </c>
      <c r="N131" s="726">
        <v>-45</v>
      </c>
      <c r="O131" s="726">
        <v>-45</v>
      </c>
      <c r="P131" s="726">
        <v>-45</v>
      </c>
      <c r="Q131" s="726">
        <v>-45</v>
      </c>
      <c r="R131" s="726">
        <v>-45</v>
      </c>
      <c r="S131" s="726">
        <v>-45</v>
      </c>
      <c r="T131" s="726">
        <v>-45</v>
      </c>
      <c r="U131" s="726">
        <v>-45</v>
      </c>
      <c r="V131" s="726">
        <v>-45</v>
      </c>
      <c r="W131" s="726">
        <v>-45</v>
      </c>
      <c r="X131" s="726">
        <v>-45</v>
      </c>
      <c r="Y131" s="726">
        <v>-45</v>
      </c>
      <c r="Z131" s="726">
        <v>-45</v>
      </c>
      <c r="AB131" s="536"/>
    </row>
    <row r="132" spans="2:28">
      <c r="B132" s="489" t="s">
        <v>1388</v>
      </c>
      <c r="C132" s="739"/>
      <c r="D132" s="739">
        <f>-D287</f>
        <v>-11.334999999999795</v>
      </c>
      <c r="E132" s="739">
        <f>-E287</f>
        <v>170.4562043199997</v>
      </c>
      <c r="F132" s="739">
        <f>-F287</f>
        <v>-46.894204319999801</v>
      </c>
      <c r="G132" s="739">
        <f>-G287</f>
        <v>-35.000000000000114</v>
      </c>
      <c r="H132" s="739">
        <f>-H287</f>
        <v>-39.059943249999748</v>
      </c>
      <c r="I132" s="739">
        <f>Interims!AN145</f>
        <v>4.580700000000002</v>
      </c>
      <c r="J132" s="739">
        <f>Interims!AS145</f>
        <v>3.9852800000000013</v>
      </c>
      <c r="K132" s="739">
        <f>Interims!AX145</f>
        <v>-10.285</v>
      </c>
      <c r="L132" s="739">
        <f>Interims!BC145</f>
        <v>6.5010000000000012</v>
      </c>
      <c r="M132" s="739">
        <f>Interims!BH145</f>
        <v>-12.202000000000002</v>
      </c>
      <c r="N132" s="726">
        <v>15</v>
      </c>
      <c r="O132" s="726">
        <v>-10</v>
      </c>
      <c r="P132" s="726">
        <v>-5</v>
      </c>
      <c r="Q132" s="726">
        <v>0</v>
      </c>
      <c r="R132" s="726">
        <v>0</v>
      </c>
      <c r="S132" s="726">
        <v>0</v>
      </c>
      <c r="T132" s="726">
        <v>0</v>
      </c>
      <c r="U132" s="726">
        <v>0</v>
      </c>
      <c r="V132" s="726">
        <v>0</v>
      </c>
      <c r="W132" s="726">
        <v>0</v>
      </c>
      <c r="X132" s="726">
        <v>0</v>
      </c>
      <c r="Y132" s="726">
        <v>0</v>
      </c>
      <c r="Z132" s="726">
        <v>0</v>
      </c>
    </row>
    <row r="133" spans="2:28">
      <c r="B133" s="489" t="s">
        <v>1417</v>
      </c>
      <c r="C133" s="739">
        <v>-2.8</v>
      </c>
      <c r="D133" s="739">
        <v>-3.0649999999999999</v>
      </c>
      <c r="E133" s="739">
        <v>-1.3872839199999998</v>
      </c>
      <c r="F133" s="739">
        <v>-1.4</v>
      </c>
      <c r="G133" s="739">
        <v>-2.1</v>
      </c>
      <c r="H133" s="739">
        <v>-1.5680000000000001</v>
      </c>
      <c r="I133" s="739">
        <f>Interims!AN146</f>
        <v>-2.0070000000000001</v>
      </c>
      <c r="J133" s="739">
        <f>Interims!AS146</f>
        <v>-1.8109999999999999</v>
      </c>
      <c r="K133" s="739">
        <f>Interims!AX146</f>
        <v>-1.88</v>
      </c>
      <c r="L133" s="739">
        <f>Interims!BC146</f>
        <v>-2.7850000000000001</v>
      </c>
      <c r="M133" s="739">
        <f>Interims!BH146</f>
        <v>-1.3940000000000001</v>
      </c>
      <c r="N133" s="726">
        <v>0</v>
      </c>
      <c r="O133" s="726">
        <v>0</v>
      </c>
      <c r="P133" s="726">
        <v>0</v>
      </c>
      <c r="Q133" s="726">
        <v>0</v>
      </c>
      <c r="R133" s="726">
        <f t="shared" ref="R133:T133" si="182">Q133*1.02</f>
        <v>0</v>
      </c>
      <c r="S133" s="726">
        <f t="shared" si="182"/>
        <v>0</v>
      </c>
      <c r="T133" s="726">
        <f t="shared" si="182"/>
        <v>0</v>
      </c>
      <c r="U133" s="726">
        <f t="shared" ref="U133" si="183">T133*1.02</f>
        <v>0</v>
      </c>
      <c r="V133" s="726">
        <f t="shared" ref="V133" si="184">U133*1.02</f>
        <v>0</v>
      </c>
      <c r="W133" s="726">
        <f t="shared" ref="W133" si="185">V133*1.02</f>
        <v>0</v>
      </c>
      <c r="X133" s="726">
        <f t="shared" ref="X133" si="186">W133*1.02</f>
        <v>0</v>
      </c>
      <c r="Y133" s="726">
        <f t="shared" ref="Y133" si="187">X133*1.02</f>
        <v>0</v>
      </c>
      <c r="Z133" s="726">
        <f t="shared" ref="Z133" si="188">Y133*1.02</f>
        <v>0</v>
      </c>
    </row>
    <row r="134" spans="2:28">
      <c r="B134" s="489" t="s">
        <v>1598</v>
      </c>
      <c r="C134" s="739"/>
      <c r="D134" s="739"/>
      <c r="E134" s="739"/>
      <c r="F134" s="739"/>
      <c r="G134" s="739"/>
      <c r="H134" s="739"/>
      <c r="I134" s="739"/>
      <c r="J134" s="739"/>
      <c r="K134" s="739">
        <v>471.9</v>
      </c>
      <c r="L134" s="739">
        <v>73.8</v>
      </c>
      <c r="M134" s="739"/>
      <c r="N134" s="726">
        <v>250</v>
      </c>
      <c r="O134" s="726">
        <v>50</v>
      </c>
      <c r="P134" s="726"/>
      <c r="Q134" s="726"/>
      <c r="R134" s="726"/>
      <c r="S134" s="726"/>
      <c r="T134" s="726"/>
      <c r="U134" s="726"/>
      <c r="V134" s="726"/>
      <c r="W134" s="726"/>
      <c r="X134" s="726"/>
      <c r="Y134" s="726"/>
      <c r="Z134" s="726"/>
    </row>
    <row r="135" spans="2:28">
      <c r="B135" s="489" t="s">
        <v>169</v>
      </c>
      <c r="C135" s="902">
        <f t="shared" ref="C135:K135" si="189">(-C140-C127) - SUM(C129:C134)</f>
        <v>-5.7660000000000551</v>
      </c>
      <c r="D135" s="902">
        <f t="shared" si="189"/>
        <v>-32.271368779896278</v>
      </c>
      <c r="E135" s="902">
        <f t="shared" si="189"/>
        <v>-655.57237951216712</v>
      </c>
      <c r="F135" s="902">
        <f t="shared" si="189"/>
        <v>24.004460319999964</v>
      </c>
      <c r="G135" s="902">
        <f t="shared" si="189"/>
        <v>-35.404000000000053</v>
      </c>
      <c r="H135" s="902">
        <f t="shared" si="189"/>
        <v>1.2053210293755683</v>
      </c>
      <c r="I135" s="902">
        <f t="shared" si="189"/>
        <v>-2.8815057847367598E-2</v>
      </c>
      <c r="J135" s="902">
        <f t="shared" si="189"/>
        <v>-2.8197486899998978</v>
      </c>
      <c r="K135" s="902">
        <f t="shared" ca="1" si="189"/>
        <v>-8.0046772500001566</v>
      </c>
      <c r="L135" s="902">
        <f ca="1">(-L140-L127) - SUM(L129:L134)</f>
        <v>17.167000000000044</v>
      </c>
      <c r="M135" s="902">
        <f>(-M140-M127) - SUM(M129:M134)</f>
        <v>-4.0570000000000164</v>
      </c>
      <c r="N135" s="726">
        <v>-120</v>
      </c>
      <c r="O135" s="726">
        <v>0</v>
      </c>
      <c r="P135" s="726">
        <v>0</v>
      </c>
      <c r="Q135" s="726">
        <v>0</v>
      </c>
      <c r="R135" s="726">
        <v>0</v>
      </c>
      <c r="S135" s="726">
        <v>80</v>
      </c>
      <c r="T135" s="726">
        <f>T256</f>
        <v>0</v>
      </c>
      <c r="U135" s="726">
        <f t="shared" ref="U135:Z135" si="190">U256</f>
        <v>0</v>
      </c>
      <c r="V135" s="726">
        <f t="shared" si="190"/>
        <v>0</v>
      </c>
      <c r="W135" s="726">
        <f t="shared" si="190"/>
        <v>0</v>
      </c>
      <c r="X135" s="726">
        <f t="shared" si="190"/>
        <v>0</v>
      </c>
      <c r="Y135" s="726">
        <f t="shared" si="190"/>
        <v>0</v>
      </c>
      <c r="Z135" s="726">
        <f t="shared" si="190"/>
        <v>0</v>
      </c>
    </row>
    <row r="136" spans="2:28" s="58" customFormat="1">
      <c r="B136" s="58" t="s">
        <v>1384</v>
      </c>
      <c r="C136" s="739">
        <f t="shared" ref="C136:T136" si="191">SUM(C127:C135)</f>
        <v>0</v>
      </c>
      <c r="D136" s="739">
        <f t="shared" si="191"/>
        <v>-67.625</v>
      </c>
      <c r="E136" s="739">
        <f t="shared" si="191"/>
        <v>-566.87825600000019</v>
      </c>
      <c r="F136" s="739">
        <f t="shared" si="191"/>
        <v>-19.88974399999983</v>
      </c>
      <c r="G136" s="739">
        <f t="shared" si="191"/>
        <v>-103.80000000000018</v>
      </c>
      <c r="H136" s="739">
        <f t="shared" si="191"/>
        <v>-80.286175609999873</v>
      </c>
      <c r="I136" s="739">
        <f t="shared" si="191"/>
        <v>-32.460678449999932</v>
      </c>
      <c r="J136" s="739">
        <f t="shared" si="191"/>
        <v>21.536531310000107</v>
      </c>
      <c r="K136" s="739">
        <f t="shared" ca="1" si="191"/>
        <v>416.10432274999982</v>
      </c>
      <c r="L136" s="739">
        <f t="shared" ca="1" si="191"/>
        <v>-25.093999999999937</v>
      </c>
      <c r="M136" s="739">
        <f t="shared" si="191"/>
        <v>-150.39400000000001</v>
      </c>
      <c r="N136" s="728">
        <f t="shared" ca="1" si="191"/>
        <v>7.4000545229875172</v>
      </c>
      <c r="O136" s="728">
        <f t="shared" ca="1" si="191"/>
        <v>-32.715453149825848</v>
      </c>
      <c r="P136" s="728">
        <f t="shared" ca="1" si="191"/>
        <v>-60.537949647173683</v>
      </c>
      <c r="Q136" s="728">
        <f t="shared" ca="1" si="191"/>
        <v>-40.965354930507395</v>
      </c>
      <c r="R136" s="728">
        <f t="shared" ca="1" si="191"/>
        <v>-23.409263517133738</v>
      </c>
      <c r="S136" s="728">
        <f t="shared" ca="1" si="191"/>
        <v>-548.42893853963039</v>
      </c>
      <c r="T136" s="728">
        <f t="shared" ca="1" si="191"/>
        <v>-123.87147696866992</v>
      </c>
      <c r="U136" s="728">
        <f t="shared" ref="U136:Z136" ca="1" si="192">SUM(U127:U135)</f>
        <v>-142.7882073309047</v>
      </c>
      <c r="V136" s="728">
        <f t="shared" ca="1" si="192"/>
        <v>-126.91180058086442</v>
      </c>
      <c r="W136" s="728">
        <f t="shared" ca="1" si="192"/>
        <v>-108.91674298221631</v>
      </c>
      <c r="X136" s="728">
        <f t="shared" ca="1" si="192"/>
        <v>-88.634818878444804</v>
      </c>
      <c r="Y136" s="728">
        <f t="shared" ca="1" si="192"/>
        <v>-65.885429406467665</v>
      </c>
      <c r="Z136" s="728">
        <f t="shared" ca="1" si="192"/>
        <v>91.695552960816372</v>
      </c>
    </row>
    <row r="137" spans="2:28">
      <c r="I137" s="725"/>
    </row>
    <row r="138" spans="2:28" s="58" customFormat="1">
      <c r="B138" s="58" t="s">
        <v>1781</v>
      </c>
      <c r="C138" s="741">
        <f>C102+C107-C94</f>
        <v>551.10699999999997</v>
      </c>
      <c r="D138" s="741">
        <f>D102+D107-D94</f>
        <v>618.73199999999997</v>
      </c>
      <c r="E138" s="741">
        <f>E102+E107-E94</f>
        <v>1185.6102560000002</v>
      </c>
      <c r="F138" s="741">
        <f>F102+F107-F94</f>
        <v>1205.5</v>
      </c>
      <c r="G138" s="741">
        <f>G102+G107-G94</f>
        <v>1309.3000000000002</v>
      </c>
      <c r="H138" s="741">
        <f>Interims!AI155</f>
        <v>1389.5861756100001</v>
      </c>
      <c r="I138" s="741">
        <f>Interims!AN155</f>
        <v>1422.04685406</v>
      </c>
      <c r="J138" s="741">
        <f>Interims!AS155</f>
        <v>1400.5103227499999</v>
      </c>
      <c r="K138" s="741">
        <f>Interims!AX155</f>
        <v>984.40600000000006</v>
      </c>
      <c r="L138" s="741">
        <f>Interims!BC155-10</f>
        <v>1009.5</v>
      </c>
      <c r="M138" s="741">
        <f>Interims!BH155-34</f>
        <v>1159.894</v>
      </c>
      <c r="N138" s="727">
        <f ca="1">M138-N136</f>
        <v>1152.4939454770124</v>
      </c>
      <c r="O138" s="727">
        <f t="shared" ref="O138:T138" ca="1" si="193">N138-O136</f>
        <v>1185.2093986268383</v>
      </c>
      <c r="P138" s="727">
        <f t="shared" ca="1" si="193"/>
        <v>1245.747348274012</v>
      </c>
      <c r="Q138" s="727">
        <f t="shared" ca="1" si="193"/>
        <v>1286.7127032045194</v>
      </c>
      <c r="R138" s="727">
        <f t="shared" ca="1" si="193"/>
        <v>1310.1219667216531</v>
      </c>
      <c r="S138" s="727">
        <f t="shared" ca="1" si="193"/>
        <v>1858.5509052612833</v>
      </c>
      <c r="T138" s="727">
        <f t="shared" ca="1" si="193"/>
        <v>1982.4223822299532</v>
      </c>
      <c r="U138" s="727">
        <f t="shared" ref="U138" ca="1" si="194">T138-U136</f>
        <v>2125.2105895608579</v>
      </c>
      <c r="V138" s="727">
        <f t="shared" ref="V138" ca="1" si="195">U138-V136</f>
        <v>2252.1223901417225</v>
      </c>
      <c r="W138" s="727">
        <f t="shared" ref="W138" ca="1" si="196">V138-W136</f>
        <v>2361.0391331239389</v>
      </c>
      <c r="X138" s="727">
        <f t="shared" ref="X138" ca="1" si="197">W138-X136</f>
        <v>2449.6739520023839</v>
      </c>
      <c r="Y138" s="727">
        <f t="shared" ref="Y138" ca="1" si="198">X138-Y136</f>
        <v>2515.5593814088516</v>
      </c>
      <c r="Z138" s="727">
        <f t="shared" ref="Z138" ca="1" si="199">Y138-Z136</f>
        <v>2423.8638284480353</v>
      </c>
    </row>
    <row r="139" spans="2:28">
      <c r="B139" s="489" t="s">
        <v>1232</v>
      </c>
      <c r="C139" s="547">
        <f t="shared" ref="C139:T139" si="200">C138/C$12</f>
        <v>6.2571045789479616</v>
      </c>
      <c r="D139" s="547">
        <f t="shared" si="200"/>
        <v>6.2538188192102728</v>
      </c>
      <c r="E139" s="547">
        <f t="shared" si="200"/>
        <v>8.4156895035275543</v>
      </c>
      <c r="F139" s="547">
        <f t="shared" si="200"/>
        <v>4.8200719712115152</v>
      </c>
      <c r="G139" s="547">
        <f t="shared" si="200"/>
        <v>4.9463543634302995</v>
      </c>
      <c r="H139" s="547">
        <f t="shared" si="200"/>
        <v>5.8881615465920669</v>
      </c>
      <c r="I139" s="547">
        <f t="shared" si="200"/>
        <v>5.9387040180448789</v>
      </c>
      <c r="J139" s="547">
        <f>J138/J$12</f>
        <v>5.7828368110477983</v>
      </c>
      <c r="K139" s="547">
        <f t="shared" si="200"/>
        <v>4.347065395468376</v>
      </c>
      <c r="L139" s="547">
        <f t="shared" si="200"/>
        <v>5.5594411371108521</v>
      </c>
      <c r="M139" s="547">
        <f ca="1">M138/M$12</f>
        <v>6.0773715956956638</v>
      </c>
      <c r="N139" s="547">
        <f t="shared" ca="1" si="200"/>
        <v>6.2303789918514925</v>
      </c>
      <c r="O139" s="547">
        <f t="shared" ca="1" si="200"/>
        <v>6.1644329436855836</v>
      </c>
      <c r="P139" s="547">
        <f t="shared" ca="1" si="200"/>
        <v>5.9410706448571631</v>
      </c>
      <c r="Q139" s="547">
        <f t="shared" ca="1" si="200"/>
        <v>5.6279970385533691</v>
      </c>
      <c r="R139" s="547">
        <f t="shared" ca="1" si="200"/>
        <v>5.2593154939839435</v>
      </c>
      <c r="S139" s="547">
        <f t="shared" ca="1" si="200"/>
        <v>6.7960140286716069</v>
      </c>
      <c r="T139" s="547">
        <f t="shared" ca="1" si="200"/>
        <v>6.6347250457097209</v>
      </c>
      <c r="U139" s="547">
        <f t="shared" ref="U139:Z139" ca="1" si="201">U138/U$12</f>
        <v>6.5219028622884734</v>
      </c>
      <c r="V139" s="547">
        <f t="shared" ca="1" si="201"/>
        <v>6.3833371228000493</v>
      </c>
      <c r="W139" s="547">
        <f t="shared" ca="1" si="201"/>
        <v>6.2005055404853016</v>
      </c>
      <c r="X139" s="547">
        <f t="shared" ca="1" si="201"/>
        <v>5.9779579765854685</v>
      </c>
      <c r="Y139" s="547">
        <f t="shared" ca="1" si="201"/>
        <v>5.7192434243150068</v>
      </c>
      <c r="Z139" s="547">
        <f t="shared" ca="1" si="201"/>
        <v>5.1464970472098468</v>
      </c>
    </row>
    <row r="140" spans="2:28">
      <c r="B140" s="489" t="s">
        <v>1383</v>
      </c>
      <c r="C140" s="725"/>
      <c r="D140" s="725">
        <f t="shared" ref="D140:T140" si="202">D138-C138</f>
        <v>67.625</v>
      </c>
      <c r="E140" s="725">
        <f t="shared" si="202"/>
        <v>566.87825600000019</v>
      </c>
      <c r="F140" s="725">
        <f t="shared" si="202"/>
        <v>19.889743999999837</v>
      </c>
      <c r="G140" s="725">
        <f t="shared" si="202"/>
        <v>103.80000000000018</v>
      </c>
      <c r="H140" s="725">
        <f t="shared" si="202"/>
        <v>80.286175609999873</v>
      </c>
      <c r="I140" s="725">
        <f t="shared" si="202"/>
        <v>32.460678449999932</v>
      </c>
      <c r="J140" s="725">
        <f t="shared" si="202"/>
        <v>-21.5365313100001</v>
      </c>
      <c r="K140" s="725">
        <f t="shared" si="202"/>
        <v>-416.10432274999982</v>
      </c>
      <c r="L140" s="725">
        <f t="shared" si="202"/>
        <v>25.093999999999937</v>
      </c>
      <c r="M140" s="725">
        <f t="shared" si="202"/>
        <v>150.39400000000001</v>
      </c>
      <c r="N140" s="725">
        <f t="shared" ca="1" si="202"/>
        <v>-7.4000545229876025</v>
      </c>
      <c r="O140" s="725">
        <f t="shared" ca="1" si="202"/>
        <v>32.715453149825862</v>
      </c>
      <c r="P140" s="725">
        <f t="shared" ca="1" si="202"/>
        <v>60.537949647173718</v>
      </c>
      <c r="Q140" s="725">
        <f t="shared" ca="1" si="202"/>
        <v>40.965354930507374</v>
      </c>
      <c r="R140" s="725">
        <f t="shared" ca="1" si="202"/>
        <v>23.409263517133695</v>
      </c>
      <c r="S140" s="725">
        <f t="shared" ca="1" si="202"/>
        <v>548.42893853963028</v>
      </c>
      <c r="T140" s="725">
        <f t="shared" ca="1" si="202"/>
        <v>123.87147696866987</v>
      </c>
      <c r="U140" s="725">
        <f t="shared" ref="U140" ca="1" si="203">U138-T138</f>
        <v>142.7882073309047</v>
      </c>
      <c r="V140" s="725">
        <f t="shared" ref="V140" ca="1" si="204">V138-U138</f>
        <v>126.91180058086456</v>
      </c>
      <c r="W140" s="725">
        <f t="shared" ref="W140" ca="1" si="205">W138-V138</f>
        <v>108.91674298221642</v>
      </c>
      <c r="X140" s="725">
        <f t="shared" ref="X140" ca="1" si="206">X138-W138</f>
        <v>88.634818878445003</v>
      </c>
      <c r="Y140" s="725">
        <f t="shared" ref="Y140" ca="1" si="207">Y138-X138</f>
        <v>65.885429406467665</v>
      </c>
      <c r="Z140" s="725">
        <f t="shared" ref="Z140" ca="1" si="208">Z138-Y138</f>
        <v>-91.695552960816258</v>
      </c>
    </row>
    <row r="141" spans="2:28">
      <c r="B141" s="618" t="s">
        <v>1571</v>
      </c>
      <c r="C141" s="725"/>
      <c r="D141" s="725"/>
      <c r="E141" s="725"/>
      <c r="F141" s="725"/>
      <c r="G141" s="725"/>
      <c r="H141" s="725"/>
      <c r="I141" s="725"/>
      <c r="J141" s="547">
        <f>J138/(J$12+J131)</f>
        <v>6.7744242109746695</v>
      </c>
      <c r="K141" s="547">
        <f t="shared" ref="K141:T141" si="209">K138/(K$12+K131)</f>
        <v>5.2268882576260394</v>
      </c>
      <c r="L141" s="547">
        <f t="shared" si="209"/>
        <v>7.0667049344430986</v>
      </c>
      <c r="M141" s="547">
        <f ca="1">M138/(M$12+M131)</f>
        <v>7.9570938148116861</v>
      </c>
      <c r="N141" s="547">
        <f t="shared" ca="1" si="209"/>
        <v>8.2332905240310037</v>
      </c>
      <c r="O141" s="547">
        <f t="shared" ca="1" si="209"/>
        <v>8.048098761641441</v>
      </c>
      <c r="P141" s="547">
        <f t="shared" ca="1" si="209"/>
        <v>7.5644718784579421</v>
      </c>
      <c r="Q141" s="547">
        <f t="shared" ca="1" si="209"/>
        <v>7.0072044195477217</v>
      </c>
      <c r="R141" s="547">
        <f t="shared" ca="1" si="209"/>
        <v>6.4188615972794754</v>
      </c>
      <c r="S141" s="547">
        <f t="shared" ca="1" si="209"/>
        <v>8.13453452727064</v>
      </c>
      <c r="T141" s="547">
        <f t="shared" ca="1" si="209"/>
        <v>7.8111181113210666</v>
      </c>
      <c r="U141" s="547">
        <f t="shared" ref="U141:Z141" ca="1" si="210">U138/(U$12+U131)</f>
        <v>7.5668658362814369</v>
      </c>
      <c r="V141" s="547">
        <f t="shared" ca="1" si="210"/>
        <v>7.3165350471963153</v>
      </c>
      <c r="W141" s="547">
        <f t="shared" ca="1" si="210"/>
        <v>7.031470232478787</v>
      </c>
      <c r="X141" s="547">
        <f t="shared" ca="1" si="210"/>
        <v>6.7154020814503959</v>
      </c>
      <c r="Y141" s="547">
        <f t="shared" ca="1" si="210"/>
        <v>6.3710647088831855</v>
      </c>
      <c r="Z141" s="547">
        <f t="shared" ca="1" si="210"/>
        <v>5.690174896686881</v>
      </c>
    </row>
    <row r="142" spans="2:28">
      <c r="B142" s="618"/>
      <c r="C142" s="725"/>
      <c r="D142" s="725"/>
      <c r="E142" s="725"/>
      <c r="F142" s="725"/>
      <c r="G142" s="725"/>
      <c r="H142" s="725"/>
      <c r="I142" s="725"/>
      <c r="J142" s="547"/>
      <c r="K142" s="547"/>
      <c r="L142" s="547"/>
      <c r="M142" s="547"/>
      <c r="N142" s="547"/>
      <c r="O142" s="547"/>
      <c r="P142" s="547"/>
      <c r="Q142" s="547"/>
      <c r="R142" s="547"/>
      <c r="S142" s="547"/>
      <c r="T142" s="547"/>
      <c r="U142" s="547"/>
      <c r="V142" s="547"/>
      <c r="W142" s="547"/>
      <c r="X142" s="547"/>
      <c r="Y142" s="547"/>
      <c r="Z142" s="547"/>
    </row>
    <row r="143" spans="2:28">
      <c r="B143" s="618" t="s">
        <v>1595</v>
      </c>
      <c r="C143" s="725"/>
      <c r="D143" s="725"/>
      <c r="E143" s="725"/>
      <c r="F143" s="725"/>
      <c r="G143" s="725"/>
      <c r="H143" s="725"/>
      <c r="I143" s="725"/>
      <c r="J143" s="547"/>
      <c r="K143" s="547"/>
      <c r="L143" s="547"/>
      <c r="M143" s="547"/>
      <c r="N143" s="629">
        <f>-N179</f>
        <v>-91.04000000000002</v>
      </c>
      <c r="O143" s="629">
        <f t="shared" ref="O143:R143" si="211">-O179</f>
        <v>-113.80000000000001</v>
      </c>
      <c r="P143" s="629">
        <f t="shared" si="211"/>
        <v>-79.660000000000011</v>
      </c>
      <c r="Q143" s="629">
        <f t="shared" si="211"/>
        <v>-79.660000000000011</v>
      </c>
      <c r="R143" s="629">
        <f t="shared" si="211"/>
        <v>-79.660000000000011</v>
      </c>
      <c r="S143" s="547"/>
      <c r="T143" s="547"/>
      <c r="U143" s="547"/>
      <c r="V143" s="547"/>
      <c r="W143" s="547"/>
      <c r="X143" s="547"/>
      <c r="Y143" s="547"/>
      <c r="Z143" s="547"/>
    </row>
    <row r="144" spans="2:28">
      <c r="B144" s="618" t="s">
        <v>1676</v>
      </c>
      <c r="J144" s="725"/>
      <c r="K144" s="725"/>
      <c r="L144" s="898">
        <v>10</v>
      </c>
      <c r="M144" s="898">
        <v>34</v>
      </c>
      <c r="N144" s="938">
        <f>-N143</f>
        <v>91.04000000000002</v>
      </c>
      <c r="O144" s="938">
        <f t="shared" ref="O144:R144" si="212">N144-O143</f>
        <v>204.84000000000003</v>
      </c>
      <c r="P144" s="938">
        <f t="shared" si="212"/>
        <v>284.50000000000006</v>
      </c>
      <c r="Q144" s="938">
        <f t="shared" si="212"/>
        <v>364.16000000000008</v>
      </c>
      <c r="R144" s="938">
        <f t="shared" si="212"/>
        <v>443.82000000000011</v>
      </c>
    </row>
    <row r="145" spans="2:26">
      <c r="B145" s="58" t="s">
        <v>1780</v>
      </c>
      <c r="C145" s="58"/>
      <c r="D145" s="58"/>
      <c r="E145" s="58"/>
      <c r="F145" s="58"/>
      <c r="G145" s="58"/>
      <c r="H145" s="58"/>
      <c r="I145" s="58"/>
      <c r="J145" s="727"/>
      <c r="K145" s="727"/>
      <c r="L145" s="727">
        <f>L138+L144</f>
        <v>1019.5</v>
      </c>
      <c r="M145" s="727">
        <f>M138+M144</f>
        <v>1193.894</v>
      </c>
      <c r="N145" s="630">
        <f ca="1">N138+N144</f>
        <v>1243.5339454770124</v>
      </c>
      <c r="O145" s="630">
        <f t="shared" ref="O145:S145" ca="1" si="213">O138+O144</f>
        <v>1390.0493986268384</v>
      </c>
      <c r="P145" s="630">
        <f t="shared" ca="1" si="213"/>
        <v>1530.247348274012</v>
      </c>
      <c r="Q145" s="630">
        <f t="shared" ca="1" si="213"/>
        <v>1650.8727032045194</v>
      </c>
      <c r="R145" s="630">
        <f t="shared" ca="1" si="213"/>
        <v>1753.9419667216532</v>
      </c>
      <c r="S145" s="630">
        <f t="shared" ca="1" si="213"/>
        <v>1858.5509052612833</v>
      </c>
      <c r="T145" s="630">
        <f t="shared" ref="T145" ca="1" si="214">T138+T144</f>
        <v>1982.4223822299532</v>
      </c>
      <c r="U145" s="630">
        <f t="shared" ref="U145" ca="1" si="215">U138+U144</f>
        <v>2125.2105895608579</v>
      </c>
      <c r="V145" s="630">
        <f t="shared" ref="V145" ca="1" si="216">V138+V144</f>
        <v>2252.1223901417225</v>
      </c>
      <c r="W145" s="630">
        <f t="shared" ref="W145" ca="1" si="217">W138+W144</f>
        <v>2361.0391331239389</v>
      </c>
      <c r="X145" s="630">
        <f t="shared" ref="X145" ca="1" si="218">X138+X144</f>
        <v>2449.6739520023839</v>
      </c>
      <c r="Y145" s="630">
        <f t="shared" ref="Y145" ca="1" si="219">Y138+Y144</f>
        <v>2515.5593814088516</v>
      </c>
      <c r="Z145" s="630">
        <f t="shared" ref="Z145" ca="1" si="220">Z138+Z144</f>
        <v>2423.8638284480353</v>
      </c>
    </row>
    <row r="146" spans="2:26">
      <c r="B146" s="58" t="s">
        <v>2214</v>
      </c>
      <c r="C146" s="58"/>
      <c r="D146" s="58"/>
      <c r="E146" s="58"/>
      <c r="F146" s="58"/>
      <c r="G146" s="58"/>
      <c r="H146" s="58"/>
      <c r="I146" s="58"/>
      <c r="J146" s="727"/>
      <c r="K146" s="727"/>
      <c r="L146" s="727"/>
      <c r="M146" s="727"/>
      <c r="N146" s="630"/>
      <c r="O146" s="1252">
        <f ca="1">(O145-O171)/(O12+O131)</f>
        <v>8.904645443577671</v>
      </c>
      <c r="P146" s="1252">
        <f t="shared" ref="P146:Z146" ca="1" si="221">(P145-P171)/(P12+P131)</f>
        <v>8.8141380445096313</v>
      </c>
      <c r="Q146" s="1252">
        <f t="shared" ca="1" si="221"/>
        <v>8.5617678964003741</v>
      </c>
      <c r="R146" s="1252">
        <f t="shared" ca="1" si="221"/>
        <v>8.2077444692026607</v>
      </c>
      <c r="S146" s="1252">
        <f t="shared" ca="1" si="221"/>
        <v>8.13453452727064</v>
      </c>
      <c r="T146" s="1252">
        <f t="shared" ca="1" si="221"/>
        <v>7.8111181113210666</v>
      </c>
      <c r="U146" s="1252">
        <f t="shared" ca="1" si="221"/>
        <v>7.5668658362814369</v>
      </c>
      <c r="V146" s="1252">
        <f t="shared" ca="1" si="221"/>
        <v>7.3165350471963153</v>
      </c>
      <c r="W146" s="1252">
        <f t="shared" ca="1" si="221"/>
        <v>7.031470232478787</v>
      </c>
      <c r="X146" s="1252">
        <f t="shared" ca="1" si="221"/>
        <v>6.7154020814503959</v>
      </c>
      <c r="Y146" s="1252">
        <f t="shared" ca="1" si="221"/>
        <v>6.3710647088831855</v>
      </c>
      <c r="Z146" s="1252">
        <f t="shared" ca="1" si="221"/>
        <v>5.690174896686881</v>
      </c>
    </row>
    <row r="147" spans="2:26">
      <c r="B147" s="618"/>
      <c r="J147" s="725"/>
      <c r="K147" s="725"/>
      <c r="N147" s="629"/>
      <c r="O147" s="1362"/>
      <c r="P147" s="1362"/>
      <c r="Q147" s="1362"/>
      <c r="R147" s="1362"/>
      <c r="S147" s="1362"/>
      <c r="T147" s="1362"/>
    </row>
    <row r="148" spans="2:26" hidden="1" outlineLevel="1">
      <c r="B148" s="618" t="s">
        <v>1528</v>
      </c>
      <c r="C148" s="726">
        <f t="shared" ref="C148:I148" si="222">C120</f>
        <v>46.344000000000001</v>
      </c>
      <c r="D148" s="726">
        <f t="shared" si="222"/>
        <v>46.344000000000001</v>
      </c>
      <c r="E148" s="726">
        <f t="shared" si="222"/>
        <v>46.344000000000001</v>
      </c>
      <c r="F148" s="726">
        <f t="shared" si="222"/>
        <v>46.344000000000001</v>
      </c>
      <c r="G148" s="726">
        <f t="shared" si="222"/>
        <v>45.552</v>
      </c>
      <c r="H148" s="726">
        <f t="shared" si="222"/>
        <v>63.442999999999998</v>
      </c>
      <c r="I148" s="726">
        <f t="shared" si="222"/>
        <v>108.956</v>
      </c>
      <c r="J148" s="726">
        <f t="shared" ref="J148:T148" si="223">I148</f>
        <v>108.956</v>
      </c>
      <c r="K148" s="725">
        <f t="shared" si="223"/>
        <v>108.956</v>
      </c>
      <c r="L148" s="725">
        <f t="shared" si="223"/>
        <v>108.956</v>
      </c>
      <c r="M148" s="725">
        <f t="shared" si="223"/>
        <v>108.956</v>
      </c>
      <c r="N148" s="725">
        <f t="shared" si="223"/>
        <v>108.956</v>
      </c>
      <c r="O148" s="725">
        <f t="shared" si="223"/>
        <v>108.956</v>
      </c>
      <c r="P148" s="725">
        <f t="shared" si="223"/>
        <v>108.956</v>
      </c>
      <c r="Q148" s="725">
        <f t="shared" si="223"/>
        <v>108.956</v>
      </c>
      <c r="R148" s="725">
        <f t="shared" si="223"/>
        <v>108.956</v>
      </c>
      <c r="S148" s="725">
        <f t="shared" si="223"/>
        <v>108.956</v>
      </c>
      <c r="T148" s="725">
        <f t="shared" si="223"/>
        <v>108.956</v>
      </c>
      <c r="U148" s="725">
        <f t="shared" ref="U148" si="224">T148</f>
        <v>108.956</v>
      </c>
      <c r="V148" s="725">
        <f t="shared" ref="V148" si="225">U148</f>
        <v>108.956</v>
      </c>
      <c r="W148" s="725">
        <f t="shared" ref="W148" si="226">V148</f>
        <v>108.956</v>
      </c>
      <c r="X148" s="725">
        <f t="shared" ref="X148" si="227">W148</f>
        <v>108.956</v>
      </c>
      <c r="Y148" s="725">
        <f t="shared" ref="Y148" si="228">X148</f>
        <v>108.956</v>
      </c>
      <c r="Z148" s="725">
        <f t="shared" ref="Z148" si="229">Y148</f>
        <v>108.956</v>
      </c>
    </row>
    <row r="149" spans="2:26" hidden="1" outlineLevel="1">
      <c r="B149" s="489" t="s">
        <v>1457</v>
      </c>
      <c r="C149" s="741">
        <f t="shared" ref="C149:Z149" si="230">C148+C138</f>
        <v>597.45100000000002</v>
      </c>
      <c r="D149" s="741">
        <f t="shared" si="230"/>
        <v>665.07600000000002</v>
      </c>
      <c r="E149" s="741">
        <f t="shared" si="230"/>
        <v>1231.9542560000002</v>
      </c>
      <c r="F149" s="741">
        <f t="shared" si="230"/>
        <v>1251.8440000000001</v>
      </c>
      <c r="G149" s="741">
        <f t="shared" si="230"/>
        <v>1354.8520000000001</v>
      </c>
      <c r="H149" s="741">
        <f t="shared" si="230"/>
        <v>1453.02917561</v>
      </c>
      <c r="I149" s="741">
        <f t="shared" si="230"/>
        <v>1531.0028540599999</v>
      </c>
      <c r="J149" s="741">
        <f t="shared" si="230"/>
        <v>1509.4663227499998</v>
      </c>
      <c r="K149" s="486">
        <f t="shared" si="230"/>
        <v>1093.3620000000001</v>
      </c>
      <c r="L149" s="486">
        <f t="shared" si="230"/>
        <v>1118.4559999999999</v>
      </c>
      <c r="M149" s="486">
        <f t="shared" si="230"/>
        <v>1268.8499999999999</v>
      </c>
      <c r="N149" s="486">
        <f t="shared" ca="1" si="230"/>
        <v>1261.4499454770123</v>
      </c>
      <c r="O149" s="486">
        <f t="shared" ca="1" si="230"/>
        <v>1294.1653986268382</v>
      </c>
      <c r="P149" s="486">
        <f t="shared" ca="1" si="230"/>
        <v>1354.7033482740119</v>
      </c>
      <c r="Q149" s="486">
        <f t="shared" ca="1" si="230"/>
        <v>1395.6687032045193</v>
      </c>
      <c r="R149" s="486">
        <f t="shared" ca="1" si="230"/>
        <v>1419.077966721653</v>
      </c>
      <c r="S149" s="486">
        <f t="shared" ca="1" si="230"/>
        <v>1967.5069052612832</v>
      </c>
      <c r="T149" s="486">
        <f t="shared" ca="1" si="230"/>
        <v>2091.3783822299533</v>
      </c>
      <c r="U149" s="486">
        <f t="shared" ca="1" si="230"/>
        <v>2234.166589560858</v>
      </c>
      <c r="V149" s="486">
        <f t="shared" ca="1" si="230"/>
        <v>2361.0783901417226</v>
      </c>
      <c r="W149" s="486">
        <f t="shared" ca="1" si="230"/>
        <v>2469.995133123939</v>
      </c>
      <c r="X149" s="486">
        <f t="shared" ca="1" si="230"/>
        <v>2558.629952002384</v>
      </c>
      <c r="Y149" s="486">
        <f t="shared" ca="1" si="230"/>
        <v>2624.5153814088517</v>
      </c>
      <c r="Z149" s="486">
        <f t="shared" ca="1" si="230"/>
        <v>2532.8198284480354</v>
      </c>
    </row>
    <row r="150" spans="2:26" hidden="1" outlineLevel="1">
      <c r="C150" s="547"/>
      <c r="D150" s="547"/>
      <c r="E150" s="547"/>
      <c r="F150" s="547"/>
      <c r="G150" s="547"/>
      <c r="H150" s="547"/>
      <c r="I150" s="547"/>
      <c r="J150" s="547"/>
      <c r="K150" s="547"/>
      <c r="L150" s="547"/>
      <c r="M150" s="547"/>
      <c r="N150" s="547"/>
      <c r="O150" s="547"/>
      <c r="P150" s="547"/>
      <c r="Q150" s="547"/>
      <c r="R150" s="547"/>
      <c r="S150" s="547"/>
      <c r="T150" s="547"/>
      <c r="U150" s="547"/>
      <c r="V150" s="547"/>
      <c r="W150" s="547"/>
      <c r="X150" s="547"/>
      <c r="Y150" s="547"/>
      <c r="Z150" s="547"/>
    </row>
    <row r="151" spans="2:26" hidden="1" outlineLevel="1"/>
    <row r="152" spans="2:26" collapsed="1">
      <c r="B152" s="618"/>
      <c r="C152" s="618"/>
      <c r="D152" s="618"/>
      <c r="E152" s="618"/>
      <c r="F152" s="618"/>
      <c r="G152" s="618"/>
      <c r="H152" s="618"/>
      <c r="I152" s="618"/>
      <c r="J152" s="618"/>
      <c r="K152" s="618"/>
      <c r="L152" s="618"/>
      <c r="M152" s="618"/>
      <c r="N152" s="618"/>
      <c r="O152" s="912"/>
      <c r="P152" s="618"/>
      <c r="Q152" s="618"/>
      <c r="R152" s="618"/>
      <c r="S152" s="618"/>
      <c r="T152" s="618"/>
      <c r="U152" s="618"/>
      <c r="V152" s="618"/>
      <c r="W152" s="618"/>
      <c r="X152" s="618"/>
      <c r="Y152" s="618"/>
      <c r="Z152" s="618"/>
    </row>
    <row r="153" spans="2:26">
      <c r="B153" s="491" t="s">
        <v>351</v>
      </c>
      <c r="C153" s="904">
        <f t="shared" ref="C153:Z153" si="231">C127</f>
        <v>39.666000000000054</v>
      </c>
      <c r="D153" s="904">
        <f t="shared" si="231"/>
        <v>5.4368779896066144E-2</v>
      </c>
      <c r="E153" s="904">
        <f t="shared" si="231"/>
        <v>-40.411463680000111</v>
      </c>
      <c r="F153" s="904">
        <f t="shared" si="231"/>
        <v>66.5</v>
      </c>
      <c r="G153" s="904">
        <f t="shared" si="231"/>
        <v>40.799999999999983</v>
      </c>
      <c r="H153" s="904">
        <f t="shared" si="231"/>
        <v>30.564052062000428</v>
      </c>
      <c r="I153" s="904">
        <f t="shared" si="231"/>
        <v>52.048413835646187</v>
      </c>
      <c r="J153" s="904">
        <f t="shared" si="231"/>
        <v>113.762</v>
      </c>
      <c r="K153" s="904">
        <f t="shared" ca="1" si="231"/>
        <v>68.230999999999995</v>
      </c>
      <c r="L153" s="904">
        <f t="shared" ca="1" si="231"/>
        <v>-22.699999999999989</v>
      </c>
      <c r="M153" s="904">
        <f t="shared" si="231"/>
        <v>-43.699999999999989</v>
      </c>
      <c r="N153" s="904">
        <f t="shared" ca="1" si="231"/>
        <v>-53.289945477012481</v>
      </c>
      <c r="O153" s="904">
        <f t="shared" ca="1" si="231"/>
        <v>-20.200453149825847</v>
      </c>
      <c r="P153" s="904">
        <f t="shared" ca="1" si="231"/>
        <v>-0.92294964717368089</v>
      </c>
      <c r="Q153" s="904">
        <f t="shared" ca="1" si="231"/>
        <v>15.682959448673444</v>
      </c>
      <c r="R153" s="904">
        <f t="shared" ca="1" si="231"/>
        <v>36.106625707182616</v>
      </c>
      <c r="S153" s="904">
        <f t="shared" ca="1" si="231"/>
        <v>31.589624828659538</v>
      </c>
      <c r="T153" s="904">
        <f t="shared" ca="1" si="231"/>
        <v>58.32708639961993</v>
      </c>
      <c r="U153" s="904">
        <f t="shared" ca="1" si="231"/>
        <v>48.081359425192034</v>
      </c>
      <c r="V153" s="904">
        <f t="shared" ca="1" si="231"/>
        <v>73.952940688395643</v>
      </c>
      <c r="W153" s="904">
        <f t="shared" ca="1" si="231"/>
        <v>100.83182432770428</v>
      </c>
      <c r="X153" s="904">
        <f t="shared" ca="1" si="231"/>
        <v>128.73792044023094</v>
      </c>
      <c r="Y153" s="904">
        <f t="shared" ca="1" si="231"/>
        <v>157.69174723369923</v>
      </c>
      <c r="Z153" s="904">
        <f t="shared" ca="1" si="231"/>
        <v>333.07046688136552</v>
      </c>
    </row>
    <row r="154" spans="2:26">
      <c r="B154" s="491" t="s">
        <v>299</v>
      </c>
      <c r="C154" s="904">
        <f t="shared" ref="C154:L154" si="232">C129</f>
        <v>-23.6</v>
      </c>
      <c r="D154" s="904">
        <f t="shared" si="232"/>
        <v>-18.268999999999998</v>
      </c>
      <c r="E154" s="904">
        <f t="shared" si="232"/>
        <v>-29.262911417832701</v>
      </c>
      <c r="F154" s="904">
        <f t="shared" si="232"/>
        <v>-51.199999999999996</v>
      </c>
      <c r="G154" s="904">
        <f t="shared" si="232"/>
        <v>-55</v>
      </c>
      <c r="H154" s="904">
        <f t="shared" si="232"/>
        <v>-53.000605451376124</v>
      </c>
      <c r="I154" s="904">
        <f t="shared" si="232"/>
        <v>-54.380977227798752</v>
      </c>
      <c r="J154" s="904">
        <f t="shared" si="232"/>
        <v>-54.804000000000002</v>
      </c>
      <c r="K154" s="904">
        <f t="shared" si="232"/>
        <v>-62.186</v>
      </c>
      <c r="L154" s="904">
        <f t="shared" si="232"/>
        <v>-48.257999999999996</v>
      </c>
      <c r="M154" s="904">
        <f>-M179</f>
        <v>-68.177999999999997</v>
      </c>
      <c r="N154" s="904">
        <f>-N179-N181</f>
        <v>-91.04000000000002</v>
      </c>
      <c r="O154" s="904">
        <f t="shared" ref="O154:Z154" si="233">-O179-O181</f>
        <v>-113.80000000000001</v>
      </c>
      <c r="P154" s="904">
        <f t="shared" si="233"/>
        <v>-81.760000000000005</v>
      </c>
      <c r="Q154" s="904">
        <f t="shared" ca="1" si="233"/>
        <v>-83.793314379180842</v>
      </c>
      <c r="R154" s="904">
        <f t="shared" ca="1" si="233"/>
        <v>-86.660889224316364</v>
      </c>
      <c r="S154" s="904">
        <f t="shared" ca="1" si="233"/>
        <v>-132.19856336828985</v>
      </c>
      <c r="T154" s="904">
        <f t="shared" ca="1" si="233"/>
        <v>-132.19856336828985</v>
      </c>
      <c r="U154" s="904">
        <f t="shared" ca="1" si="233"/>
        <v>-140.86956675609673</v>
      </c>
      <c r="V154" s="904">
        <f t="shared" ca="1" si="233"/>
        <v>-150.86474126926007</v>
      </c>
      <c r="W154" s="904">
        <f t="shared" ca="1" si="233"/>
        <v>-159.74856730992059</v>
      </c>
      <c r="X154" s="904">
        <f t="shared" ca="1" si="233"/>
        <v>-167.37273931867574</v>
      </c>
      <c r="Y154" s="904">
        <f t="shared" ca="1" si="233"/>
        <v>-173.5771766401669</v>
      </c>
      <c r="Z154" s="904">
        <f t="shared" ca="1" si="233"/>
        <v>-178.18915669861963</v>
      </c>
    </row>
    <row r="155" spans="2:26">
      <c r="B155" s="491" t="s">
        <v>1529</v>
      </c>
      <c r="C155" s="739">
        <v>0</v>
      </c>
      <c r="D155" s="739">
        <v>0</v>
      </c>
      <c r="E155" s="739">
        <v>0</v>
      </c>
      <c r="F155" s="739">
        <v>0</v>
      </c>
      <c r="G155" s="739">
        <v>0</v>
      </c>
      <c r="H155" s="739">
        <f t="shared" ref="H155:I155" si="234">G155</f>
        <v>0</v>
      </c>
      <c r="I155" s="739">
        <f t="shared" si="234"/>
        <v>0</v>
      </c>
      <c r="J155" s="904">
        <f t="shared" ref="J155:Z155" si="235">J131</f>
        <v>-35.448999999999998</v>
      </c>
      <c r="K155" s="904">
        <f t="shared" si="235"/>
        <v>-38.118000000000002</v>
      </c>
      <c r="L155" s="904">
        <f t="shared" si="235"/>
        <v>-38.730000000000004</v>
      </c>
      <c r="M155" s="904">
        <f t="shared" si="235"/>
        <v>-45.085999999999999</v>
      </c>
      <c r="N155" s="904">
        <f t="shared" si="235"/>
        <v>-45</v>
      </c>
      <c r="O155" s="904">
        <f t="shared" si="235"/>
        <v>-45</v>
      </c>
      <c r="P155" s="904">
        <f t="shared" si="235"/>
        <v>-45</v>
      </c>
      <c r="Q155" s="904">
        <f t="shared" si="235"/>
        <v>-45</v>
      </c>
      <c r="R155" s="904">
        <f t="shared" si="235"/>
        <v>-45</v>
      </c>
      <c r="S155" s="904">
        <f t="shared" si="235"/>
        <v>-45</v>
      </c>
      <c r="T155" s="904">
        <f t="shared" si="235"/>
        <v>-45</v>
      </c>
      <c r="U155" s="904">
        <f t="shared" si="235"/>
        <v>-45</v>
      </c>
      <c r="V155" s="904">
        <f t="shared" si="235"/>
        <v>-45</v>
      </c>
      <c r="W155" s="904">
        <f t="shared" si="235"/>
        <v>-45</v>
      </c>
      <c r="X155" s="904">
        <f t="shared" si="235"/>
        <v>-45</v>
      </c>
      <c r="Y155" s="904">
        <f t="shared" si="235"/>
        <v>-45</v>
      </c>
      <c r="Z155" s="904">
        <f t="shared" si="235"/>
        <v>-45</v>
      </c>
    </row>
    <row r="156" spans="2:26">
      <c r="B156" s="491" t="s">
        <v>1530</v>
      </c>
      <c r="C156" s="908">
        <v>0</v>
      </c>
      <c r="D156" s="908">
        <v>0</v>
      </c>
      <c r="E156" s="908">
        <v>0</v>
      </c>
      <c r="F156" s="908">
        <v>0</v>
      </c>
      <c r="G156" s="908">
        <v>0</v>
      </c>
      <c r="H156" s="908">
        <v>0</v>
      </c>
      <c r="I156" s="908">
        <v>0</v>
      </c>
      <c r="J156" s="908">
        <v>0</v>
      </c>
      <c r="K156" s="908">
        <v>0</v>
      </c>
      <c r="L156" s="908">
        <v>0</v>
      </c>
      <c r="M156" s="908">
        <v>0</v>
      </c>
      <c r="N156" s="908">
        <v>0</v>
      </c>
      <c r="O156" s="908">
        <v>0</v>
      </c>
      <c r="P156" s="908">
        <v>0</v>
      </c>
      <c r="Q156" s="908">
        <v>0</v>
      </c>
      <c r="R156" s="908">
        <v>0</v>
      </c>
      <c r="S156" s="908">
        <v>0</v>
      </c>
      <c r="T156" s="908">
        <v>0</v>
      </c>
      <c r="U156" s="908">
        <v>0</v>
      </c>
      <c r="V156" s="908">
        <v>0</v>
      </c>
      <c r="W156" s="908">
        <v>0</v>
      </c>
      <c r="X156" s="908">
        <v>0</v>
      </c>
      <c r="Y156" s="908">
        <v>0</v>
      </c>
      <c r="Z156" s="908">
        <v>0</v>
      </c>
    </row>
    <row r="157" spans="2:26">
      <c r="B157" s="663" t="s">
        <v>1531</v>
      </c>
      <c r="C157" s="905">
        <f t="shared" ref="C157:T157" si="236">C153+C154+C156+C155</f>
        <v>16.066000000000052</v>
      </c>
      <c r="D157" s="905">
        <f t="shared" si="236"/>
        <v>-18.214631220103932</v>
      </c>
      <c r="E157" s="905">
        <f t="shared" si="236"/>
        <v>-69.674375097832808</v>
      </c>
      <c r="F157" s="905">
        <f t="shared" si="236"/>
        <v>15.300000000000004</v>
      </c>
      <c r="G157" s="905">
        <f t="shared" si="236"/>
        <v>-14.200000000000017</v>
      </c>
      <c r="H157" s="905">
        <f t="shared" si="236"/>
        <v>-22.436553389375696</v>
      </c>
      <c r="I157" s="905">
        <f t="shared" si="236"/>
        <v>-2.332563392152565</v>
      </c>
      <c r="J157" s="905">
        <f t="shared" si="236"/>
        <v>23.509</v>
      </c>
      <c r="K157" s="905">
        <f t="shared" ca="1" si="236"/>
        <v>-32.073000000000008</v>
      </c>
      <c r="L157" s="905">
        <f t="shared" ca="1" si="236"/>
        <v>-109.68799999999999</v>
      </c>
      <c r="M157" s="905">
        <f t="shared" si="236"/>
        <v>-156.964</v>
      </c>
      <c r="N157" s="905">
        <f t="shared" ca="1" si="236"/>
        <v>-189.3299454770125</v>
      </c>
      <c r="O157" s="905">
        <f t="shared" ca="1" si="236"/>
        <v>-179.00045314982586</v>
      </c>
      <c r="P157" s="905">
        <f t="shared" ca="1" si="236"/>
        <v>-127.68294964717369</v>
      </c>
      <c r="Q157" s="905">
        <f t="shared" ca="1" si="236"/>
        <v>-113.1103549305074</v>
      </c>
      <c r="R157" s="905">
        <f t="shared" ca="1" si="236"/>
        <v>-95.554263517133748</v>
      </c>
      <c r="S157" s="905">
        <f t="shared" ca="1" si="236"/>
        <v>-145.60893853963032</v>
      </c>
      <c r="T157" s="905">
        <f t="shared" ca="1" si="236"/>
        <v>-118.87147696866992</v>
      </c>
      <c r="U157" s="905">
        <f t="shared" ref="U157:Z157" ca="1" si="237">U153+U154+U156+U155</f>
        <v>-137.7882073309047</v>
      </c>
      <c r="V157" s="905">
        <f t="shared" ca="1" si="237"/>
        <v>-121.91180058086442</v>
      </c>
      <c r="W157" s="905">
        <f t="shared" ca="1" si="237"/>
        <v>-103.91674298221631</v>
      </c>
      <c r="X157" s="905">
        <f t="shared" ca="1" si="237"/>
        <v>-83.634818878444804</v>
      </c>
      <c r="Y157" s="905">
        <f t="shared" ca="1" si="237"/>
        <v>-60.885429406467665</v>
      </c>
      <c r="Z157" s="905">
        <f t="shared" ca="1" si="237"/>
        <v>109.88131018274589</v>
      </c>
    </row>
    <row r="158" spans="2:26">
      <c r="B158" s="491" t="s">
        <v>355</v>
      </c>
      <c r="C158" s="906">
        <v>0.3</v>
      </c>
      <c r="D158" s="906">
        <v>0.3</v>
      </c>
      <c r="E158" s="906">
        <v>0.3</v>
      </c>
      <c r="F158" s="906">
        <v>0.3</v>
      </c>
      <c r="G158" s="906">
        <v>0.3</v>
      </c>
      <c r="H158" s="906">
        <v>0.3</v>
      </c>
      <c r="I158" s="906">
        <v>0.3</v>
      </c>
      <c r="J158" s="906">
        <v>0.3</v>
      </c>
      <c r="K158" s="906">
        <v>0.3</v>
      </c>
      <c r="L158" s="906">
        <v>0.3</v>
      </c>
      <c r="M158" s="906">
        <v>0.3</v>
      </c>
      <c r="N158" s="906">
        <v>0.3</v>
      </c>
      <c r="O158" s="906">
        <v>0.3</v>
      </c>
      <c r="P158" s="906">
        <v>0.3</v>
      </c>
      <c r="Q158" s="906">
        <v>0.3</v>
      </c>
      <c r="R158" s="906">
        <v>0.3</v>
      </c>
      <c r="S158" s="906">
        <v>0.3</v>
      </c>
      <c r="T158" s="906">
        <v>0.3</v>
      </c>
      <c r="U158" s="906">
        <v>0.3</v>
      </c>
      <c r="V158" s="906">
        <v>0.3</v>
      </c>
      <c r="W158" s="906">
        <v>0.3</v>
      </c>
      <c r="X158" s="906">
        <v>0.3</v>
      </c>
      <c r="Y158" s="906">
        <v>0.3</v>
      </c>
      <c r="Z158" s="906">
        <v>0.3</v>
      </c>
    </row>
    <row r="159" spans="2:26">
      <c r="B159" s="491" t="s">
        <v>1532</v>
      </c>
      <c r="C159" s="907">
        <f t="shared" ref="C159:M159" si="238">C157*C158</f>
        <v>4.8198000000000158</v>
      </c>
      <c r="D159" s="907">
        <f t="shared" si="238"/>
        <v>-5.4643893660311793</v>
      </c>
      <c r="E159" s="907">
        <f t="shared" si="238"/>
        <v>-20.902312529349842</v>
      </c>
      <c r="F159" s="907">
        <f t="shared" si="238"/>
        <v>4.5900000000000007</v>
      </c>
      <c r="G159" s="907">
        <f t="shared" si="238"/>
        <v>-4.2600000000000051</v>
      </c>
      <c r="H159" s="907">
        <f t="shared" si="238"/>
        <v>-6.730966016812709</v>
      </c>
      <c r="I159" s="907">
        <f t="shared" si="238"/>
        <v>-0.69976901764576949</v>
      </c>
      <c r="J159" s="907">
        <f t="shared" si="238"/>
        <v>7.0526999999999997</v>
      </c>
      <c r="K159" s="907">
        <f t="shared" ca="1" si="238"/>
        <v>-9.6219000000000019</v>
      </c>
      <c r="L159" s="907">
        <f t="shared" ca="1" si="238"/>
        <v>-32.906399999999998</v>
      </c>
      <c r="M159" s="907">
        <f t="shared" si="238"/>
        <v>-47.089199999999998</v>
      </c>
      <c r="N159" s="907">
        <f ca="1">IF(N164&lt;0,N157*0.4*N158,N157*N158)</f>
        <v>-22.719593457241501</v>
      </c>
      <c r="O159" s="907">
        <f t="shared" ref="O159:Z159" ca="1" si="239">IF(O164&lt;0,O157*0.4*O158,O157*O158)</f>
        <v>-21.480054377979105</v>
      </c>
      <c r="P159" s="907">
        <f t="shared" ca="1" si="239"/>
        <v>-15.321953957660844</v>
      </c>
      <c r="Q159" s="907">
        <f t="shared" ca="1" si="239"/>
        <v>-13.573242591660888</v>
      </c>
      <c r="R159" s="907">
        <f t="shared" ca="1" si="239"/>
        <v>-11.46651162205605</v>
      </c>
      <c r="S159" s="907">
        <f t="shared" ca="1" si="239"/>
        <v>-17.473072624755638</v>
      </c>
      <c r="T159" s="907">
        <f t="shared" ca="1" si="239"/>
        <v>-14.264577236240392</v>
      </c>
      <c r="U159" s="907">
        <f t="shared" ca="1" si="239"/>
        <v>-16.534584879708564</v>
      </c>
      <c r="V159" s="907">
        <f t="shared" ca="1" si="239"/>
        <v>-14.629416069703732</v>
      </c>
      <c r="W159" s="907">
        <f t="shared" ca="1" si="239"/>
        <v>-12.470009157865956</v>
      </c>
      <c r="X159" s="907">
        <f t="shared" ca="1" si="239"/>
        <v>-10.036178265413376</v>
      </c>
      <c r="Y159" s="907">
        <f t="shared" ca="1" si="239"/>
        <v>-7.3062515287761203</v>
      </c>
      <c r="Z159" s="907">
        <f t="shared" ca="1" si="239"/>
        <v>13.185757221929508</v>
      </c>
    </row>
    <row r="160" spans="2:26">
      <c r="B160" s="618" t="s">
        <v>360</v>
      </c>
      <c r="C160" s="618"/>
      <c r="D160" s="903">
        <f t="shared" ref="D160:Z160" si="240">D130</f>
        <v>-2.7389999999999999</v>
      </c>
      <c r="E160" s="903">
        <f t="shared" si="240"/>
        <v>-10.70042179</v>
      </c>
      <c r="F160" s="903">
        <f t="shared" si="240"/>
        <v>-10.9</v>
      </c>
      <c r="G160" s="903">
        <f t="shared" si="240"/>
        <v>-6.8</v>
      </c>
      <c r="H160" s="903">
        <f t="shared" si="240"/>
        <v>-4.048</v>
      </c>
      <c r="I160" s="903">
        <f t="shared" si="240"/>
        <v>-8.92</v>
      </c>
      <c r="J160" s="903">
        <f t="shared" si="240"/>
        <v>-1.327</v>
      </c>
      <c r="K160" s="903">
        <f t="shared" si="240"/>
        <v>-3.5530000000000004</v>
      </c>
      <c r="L160" s="903">
        <f t="shared" si="240"/>
        <v>-10.089</v>
      </c>
      <c r="M160" s="903">
        <f t="shared" si="240"/>
        <v>0.22299999999999998</v>
      </c>
      <c r="N160" s="903">
        <f t="shared" si="240"/>
        <v>-2</v>
      </c>
      <c r="O160" s="903">
        <f t="shared" ca="1" si="240"/>
        <v>0</v>
      </c>
      <c r="P160" s="903">
        <f t="shared" ca="1" si="240"/>
        <v>0</v>
      </c>
      <c r="Q160" s="903">
        <f t="shared" ca="1" si="240"/>
        <v>0</v>
      </c>
      <c r="R160" s="903">
        <f t="shared" ca="1" si="240"/>
        <v>0</v>
      </c>
      <c r="S160" s="903">
        <f t="shared" ca="1" si="240"/>
        <v>0</v>
      </c>
      <c r="T160" s="903">
        <f t="shared" ca="1" si="240"/>
        <v>0</v>
      </c>
      <c r="U160" s="903">
        <f t="shared" ca="1" si="240"/>
        <v>0</v>
      </c>
      <c r="V160" s="903">
        <f t="shared" ca="1" si="240"/>
        <v>0</v>
      </c>
      <c r="W160" s="903">
        <f t="shared" ca="1" si="240"/>
        <v>0</v>
      </c>
      <c r="X160" s="903">
        <f t="shared" ca="1" si="240"/>
        <v>0</v>
      </c>
      <c r="Y160" s="903">
        <f t="shared" ca="1" si="240"/>
        <v>0</v>
      </c>
      <c r="Z160" s="903">
        <f t="shared" ca="1" si="240"/>
        <v>-13.185757221929508</v>
      </c>
    </row>
    <row r="161" spans="2:26 16384:16384">
      <c r="B161" s="618"/>
      <c r="C161" s="618"/>
      <c r="D161" s="903"/>
      <c r="E161" s="903"/>
      <c r="F161" s="903"/>
      <c r="G161" s="903"/>
      <c r="H161" s="903"/>
      <c r="I161" s="903"/>
      <c r="J161" s="903"/>
      <c r="K161" s="903"/>
      <c r="L161" s="903"/>
      <c r="M161" s="903"/>
      <c r="N161" s="903"/>
      <c r="O161" s="903"/>
      <c r="P161" s="903"/>
      <c r="Q161" s="903"/>
      <c r="R161" s="903"/>
      <c r="S161" s="903"/>
      <c r="T161" s="903"/>
      <c r="U161" s="903"/>
      <c r="V161" s="903"/>
      <c r="W161" s="903"/>
      <c r="X161" s="903"/>
      <c r="Y161" s="903"/>
      <c r="Z161" s="903"/>
    </row>
    <row r="162" spans="2:26 16384:16384">
      <c r="B162" s="618"/>
      <c r="C162" s="618"/>
      <c r="D162" s="903"/>
      <c r="E162" s="903"/>
      <c r="F162" s="903"/>
      <c r="G162" s="903"/>
      <c r="H162" s="903"/>
      <c r="I162" s="903"/>
      <c r="J162" s="903"/>
      <c r="K162" s="903"/>
      <c r="L162" s="903"/>
      <c r="M162" s="903"/>
      <c r="N162" s="903"/>
      <c r="O162" s="903"/>
      <c r="P162" s="903"/>
      <c r="Q162" s="903"/>
      <c r="R162" s="903"/>
      <c r="S162" s="903"/>
      <c r="T162" s="903"/>
      <c r="U162" s="903"/>
      <c r="V162" s="903"/>
      <c r="W162" s="903"/>
      <c r="X162" s="903"/>
      <c r="Y162" s="903"/>
      <c r="Z162" s="903"/>
    </row>
    <row r="163" spans="2:26 16384:16384">
      <c r="B163" s="618" t="s">
        <v>1876</v>
      </c>
      <c r="C163" s="907"/>
      <c r="D163" s="907"/>
      <c r="E163" s="907"/>
      <c r="F163" s="907"/>
      <c r="G163" s="907"/>
      <c r="H163" s="907"/>
      <c r="I163" s="907"/>
      <c r="J163" s="907"/>
      <c r="K163" s="907"/>
      <c r="L163" s="907"/>
      <c r="M163" s="907"/>
      <c r="N163" s="907">
        <f t="shared" ref="N163:Z163" ca="1" si="241">IF(N157&gt;0,0,N157)</f>
        <v>-189.3299454770125</v>
      </c>
      <c r="O163" s="907">
        <f t="shared" ca="1" si="241"/>
        <v>-179.00045314982586</v>
      </c>
      <c r="P163" s="907">
        <f t="shared" ca="1" si="241"/>
        <v>-127.68294964717369</v>
      </c>
      <c r="Q163" s="907">
        <f t="shared" ca="1" si="241"/>
        <v>-113.1103549305074</v>
      </c>
      <c r="R163" s="907">
        <f t="shared" ca="1" si="241"/>
        <v>-95.554263517133748</v>
      </c>
      <c r="S163" s="907">
        <f t="shared" ca="1" si="241"/>
        <v>-145.60893853963032</v>
      </c>
      <c r="T163" s="907">
        <f t="shared" ca="1" si="241"/>
        <v>-118.87147696866992</v>
      </c>
      <c r="U163" s="907">
        <f t="shared" ca="1" si="241"/>
        <v>-137.7882073309047</v>
      </c>
      <c r="V163" s="907">
        <f t="shared" ca="1" si="241"/>
        <v>-121.91180058086442</v>
      </c>
      <c r="W163" s="907">
        <f t="shared" ca="1" si="241"/>
        <v>-103.91674298221631</v>
      </c>
      <c r="X163" s="907">
        <f t="shared" ca="1" si="241"/>
        <v>-83.634818878444804</v>
      </c>
      <c r="Y163" s="907">
        <f t="shared" ca="1" si="241"/>
        <v>-60.885429406467665</v>
      </c>
      <c r="Z163" s="907">
        <f t="shared" ca="1" si="241"/>
        <v>0</v>
      </c>
    </row>
    <row r="164" spans="2:26 16384:16384">
      <c r="B164" s="618" t="s">
        <v>1877</v>
      </c>
      <c r="C164" s="907"/>
      <c r="D164" s="904"/>
      <c r="E164" s="904"/>
      <c r="F164" s="904"/>
      <c r="G164" s="904"/>
      <c r="H164" s="904"/>
      <c r="I164" s="904"/>
      <c r="J164" s="904"/>
      <c r="K164" s="904"/>
      <c r="L164" s="904"/>
      <c r="M164" s="1202">
        <f>-204-250-281</f>
        <v>-735</v>
      </c>
      <c r="N164" s="904">
        <f t="shared" ref="N164:Z164" ca="1" si="242">M164+N163</f>
        <v>-924.32994547701253</v>
      </c>
      <c r="O164" s="904">
        <f t="shared" ca="1" si="242"/>
        <v>-1103.3303986268384</v>
      </c>
      <c r="P164" s="904">
        <f t="shared" ca="1" si="242"/>
        <v>-1231.0133482740121</v>
      </c>
      <c r="Q164" s="904">
        <f t="shared" ca="1" si="242"/>
        <v>-1344.1237032045194</v>
      </c>
      <c r="R164" s="904">
        <f t="shared" ca="1" si="242"/>
        <v>-1439.6779667216531</v>
      </c>
      <c r="S164" s="904">
        <f t="shared" ca="1" si="242"/>
        <v>-1585.2869052612834</v>
      </c>
      <c r="T164" s="904">
        <f t="shared" ca="1" si="242"/>
        <v>-1704.1583822299533</v>
      </c>
      <c r="U164" s="904">
        <f t="shared" ca="1" si="242"/>
        <v>-1841.946589560858</v>
      </c>
      <c r="V164" s="904">
        <f t="shared" ca="1" si="242"/>
        <v>-1963.8583901417223</v>
      </c>
      <c r="W164" s="904">
        <f t="shared" ca="1" si="242"/>
        <v>-2067.7751331239388</v>
      </c>
      <c r="X164" s="904">
        <f t="shared" ca="1" si="242"/>
        <v>-2151.4099520023838</v>
      </c>
      <c r="Y164" s="904">
        <f t="shared" ca="1" si="242"/>
        <v>-2212.2953814088514</v>
      </c>
      <c r="Z164" s="904">
        <f t="shared" ca="1" si="242"/>
        <v>-2212.2953814088514</v>
      </c>
      <c r="XFD164" s="904"/>
    </row>
    <row r="165" spans="2:26 16384:16384">
      <c r="B165" s="618" t="s">
        <v>1878</v>
      </c>
      <c r="C165" s="907"/>
      <c r="D165" s="904"/>
      <c r="E165" s="904"/>
      <c r="F165" s="904"/>
      <c r="G165" s="904"/>
      <c r="H165" s="904"/>
      <c r="I165" s="904"/>
      <c r="J165" s="904"/>
      <c r="K165" s="904"/>
      <c r="L165" s="904"/>
      <c r="M165" s="904"/>
      <c r="N165" s="904"/>
      <c r="O165" s="904"/>
      <c r="P165" s="904"/>
      <c r="Q165" s="904"/>
      <c r="R165" s="904"/>
      <c r="S165" s="904"/>
      <c r="T165" s="904"/>
      <c r="U165" s="904"/>
      <c r="V165" s="904"/>
      <c r="W165" s="904"/>
      <c r="X165" s="904"/>
      <c r="Y165" s="904"/>
      <c r="Z165" s="907">
        <f ca="1">Z153-5*Z12*0.05</f>
        <v>215.32708695646477</v>
      </c>
    </row>
    <row r="166" spans="2:26 16384:16384">
      <c r="B166" s="618" t="s">
        <v>1879</v>
      </c>
      <c r="C166" s="907"/>
      <c r="D166" s="907"/>
      <c r="E166" s="907"/>
      <c r="F166" s="907"/>
      <c r="G166" s="907"/>
      <c r="H166" s="907"/>
      <c r="I166" s="907"/>
      <c r="J166" s="907"/>
      <c r="K166" s="907"/>
      <c r="L166" s="907"/>
      <c r="M166" s="907"/>
      <c r="N166" s="907"/>
      <c r="O166" s="907"/>
      <c r="P166" s="907"/>
      <c r="Q166" s="907"/>
      <c r="R166" s="907"/>
      <c r="S166" s="907"/>
      <c r="T166" s="907"/>
      <c r="U166" s="907"/>
      <c r="V166" s="907"/>
      <c r="W166" s="907"/>
      <c r="X166" s="907"/>
      <c r="Y166" s="907"/>
      <c r="Z166" s="907"/>
    </row>
    <row r="167" spans="2:26 16384:16384">
      <c r="B167" s="618"/>
      <c r="C167" s="618"/>
      <c r="D167" s="618"/>
      <c r="E167" s="618"/>
      <c r="F167" s="618"/>
      <c r="G167" s="618"/>
      <c r="H167" s="618"/>
      <c r="I167" s="618"/>
      <c r="J167" s="618"/>
      <c r="K167" s="618"/>
      <c r="L167" s="618"/>
      <c r="M167" s="618"/>
      <c r="N167" s="618"/>
      <c r="O167" s="903"/>
      <c r="P167" s="618"/>
      <c r="Q167" s="618"/>
      <c r="R167" s="618"/>
      <c r="S167" s="618"/>
      <c r="T167" s="618"/>
      <c r="U167" s="618"/>
      <c r="V167" s="618"/>
      <c r="W167" s="618"/>
      <c r="X167" s="618"/>
      <c r="Y167" s="618"/>
      <c r="Z167" s="618"/>
    </row>
    <row r="168" spans="2:26 16384:16384">
      <c r="B168" s="618"/>
      <c r="C168" s="618"/>
      <c r="D168" s="618"/>
      <c r="E168" s="618"/>
      <c r="F168" s="618"/>
      <c r="G168" s="618"/>
      <c r="H168" s="618"/>
      <c r="I168" s="618"/>
      <c r="J168" s="618"/>
      <c r="K168" s="618"/>
      <c r="L168" s="618"/>
      <c r="M168" s="618"/>
      <c r="N168" s="618"/>
      <c r="O168" s="618"/>
      <c r="P168" s="618"/>
      <c r="Q168" s="618"/>
      <c r="R168" s="618"/>
      <c r="S168" s="618"/>
      <c r="T168" s="618"/>
      <c r="U168" s="618"/>
      <c r="V168" s="618"/>
      <c r="W168" s="618"/>
      <c r="X168" s="618"/>
      <c r="Y168" s="618"/>
      <c r="Z168" s="618"/>
    </row>
    <row r="169" spans="2:26 16384:16384">
      <c r="B169" s="618" t="s">
        <v>1597</v>
      </c>
      <c r="C169" s="618"/>
      <c r="D169" s="618"/>
      <c r="E169" s="618"/>
      <c r="F169" s="618"/>
      <c r="G169" s="618"/>
      <c r="H169" s="618"/>
      <c r="I169" s="618"/>
      <c r="J169" s="618"/>
      <c r="K169" s="618"/>
      <c r="L169" s="739">
        <v>467.995</v>
      </c>
      <c r="M169" s="739">
        <v>462</v>
      </c>
      <c r="N169" s="786">
        <v>503</v>
      </c>
      <c r="O169" s="903">
        <f t="shared" ref="O169:T169" si="243">N169</f>
        <v>503</v>
      </c>
      <c r="P169" s="903">
        <f t="shared" si="243"/>
        <v>503</v>
      </c>
      <c r="Q169" s="903">
        <f t="shared" si="243"/>
        <v>503</v>
      </c>
      <c r="R169" s="903">
        <f t="shared" si="243"/>
        <v>503</v>
      </c>
      <c r="S169" s="903"/>
      <c r="T169" s="903">
        <f t="shared" si="243"/>
        <v>0</v>
      </c>
      <c r="U169" s="903">
        <f t="shared" ref="U169:U170" si="244">T169</f>
        <v>0</v>
      </c>
      <c r="V169" s="903">
        <f t="shared" ref="V169:V170" si="245">U169</f>
        <v>0</v>
      </c>
      <c r="W169" s="903">
        <f t="shared" ref="W169:W170" si="246">V169</f>
        <v>0</v>
      </c>
      <c r="X169" s="903">
        <f t="shared" ref="X169:X170" si="247">W169</f>
        <v>0</v>
      </c>
      <c r="Y169" s="903">
        <f t="shared" ref="Y169:Y170" si="248">X169</f>
        <v>0</v>
      </c>
      <c r="Z169" s="903">
        <f t="shared" ref="Z169:Z170" si="249">Y169</f>
        <v>0</v>
      </c>
    </row>
    <row r="170" spans="2:26 16384:16384">
      <c r="B170" s="618" t="s">
        <v>1333</v>
      </c>
      <c r="C170" s="618"/>
      <c r="D170" s="618"/>
      <c r="E170" s="618"/>
      <c r="F170" s="618"/>
      <c r="G170" s="618"/>
      <c r="H170" s="618"/>
      <c r="I170" s="618"/>
      <c r="J170" s="618"/>
      <c r="K170" s="618"/>
      <c r="L170" s="739">
        <v>649.34100000000001</v>
      </c>
      <c r="M170" s="739">
        <v>650</v>
      </c>
      <c r="N170" s="786">
        <v>635</v>
      </c>
      <c r="O170" s="903">
        <f t="shared" ref="O170:T171" si="250">N170</f>
        <v>635</v>
      </c>
      <c r="P170" s="903">
        <f t="shared" si="250"/>
        <v>635</v>
      </c>
      <c r="Q170" s="903">
        <f t="shared" si="250"/>
        <v>635</v>
      </c>
      <c r="R170" s="903">
        <f t="shared" si="250"/>
        <v>635</v>
      </c>
      <c r="S170" s="903"/>
      <c r="T170" s="903">
        <f t="shared" si="250"/>
        <v>0</v>
      </c>
      <c r="U170" s="903">
        <f t="shared" si="244"/>
        <v>0</v>
      </c>
      <c r="V170" s="903">
        <f t="shared" si="245"/>
        <v>0</v>
      </c>
      <c r="W170" s="903">
        <f t="shared" si="246"/>
        <v>0</v>
      </c>
      <c r="X170" s="903">
        <f t="shared" si="247"/>
        <v>0</v>
      </c>
      <c r="Y170" s="903">
        <f t="shared" si="248"/>
        <v>0</v>
      </c>
      <c r="Z170" s="903">
        <f t="shared" si="249"/>
        <v>0</v>
      </c>
    </row>
    <row r="171" spans="2:26 16384:16384">
      <c r="B171" s="618" t="s">
        <v>1989</v>
      </c>
      <c r="C171" s="618"/>
      <c r="D171" s="618"/>
      <c r="E171" s="618"/>
      <c r="F171" s="618"/>
      <c r="G171" s="618"/>
      <c r="H171" s="618"/>
      <c r="I171" s="618"/>
      <c r="J171" s="618"/>
      <c r="K171" s="618"/>
      <c r="L171" s="739"/>
      <c r="M171" s="739"/>
      <c r="N171" s="786">
        <f ca="1">N173-SUM(N169:N170)</f>
        <v>78.700000000000045</v>
      </c>
      <c r="O171" s="903">
        <f ca="1">N171</f>
        <v>78.700000000000045</v>
      </c>
      <c r="P171" s="903">
        <f t="shared" ca="1" si="250"/>
        <v>78.700000000000045</v>
      </c>
      <c r="Q171" s="903">
        <f t="shared" ca="1" si="250"/>
        <v>78.700000000000045</v>
      </c>
      <c r="R171" s="903">
        <f t="shared" ca="1" si="250"/>
        <v>78.700000000000045</v>
      </c>
      <c r="S171" s="903"/>
      <c r="T171" s="903"/>
      <c r="U171" s="903"/>
      <c r="V171" s="903"/>
      <c r="W171" s="903"/>
      <c r="X171" s="903"/>
      <c r="Y171" s="903"/>
      <c r="Z171" s="903"/>
    </row>
    <row r="172" spans="2:26 16384:16384">
      <c r="B172" s="618" t="s">
        <v>1672</v>
      </c>
      <c r="C172" s="618"/>
      <c r="D172" s="618"/>
      <c r="E172" s="618"/>
      <c r="F172" s="618"/>
      <c r="G172" s="618"/>
      <c r="H172" s="618"/>
      <c r="I172" s="618"/>
      <c r="J172" s="618"/>
      <c r="K172" s="618"/>
      <c r="L172" s="903">
        <f>L173-SUM(L169:L170)</f>
        <v>-3.3360000000000127</v>
      </c>
      <c r="M172" s="903">
        <f>M173-SUM(M169:M170)</f>
        <v>71.094000000000051</v>
      </c>
      <c r="N172" s="726">
        <v>0</v>
      </c>
      <c r="O172" s="726">
        <v>30</v>
      </c>
      <c r="P172" s="725">
        <f ca="1">P173-P169-P170-P171</f>
        <v>59.047348274011938</v>
      </c>
      <c r="Q172" s="725">
        <f t="shared" ref="Q172:R172" ca="1" si="251">Q173-Q169-Q170-Q171</f>
        <v>100.01270320451931</v>
      </c>
      <c r="R172" s="725">
        <f t="shared" ca="1" si="251"/>
        <v>123.42196672165301</v>
      </c>
      <c r="S172" s="725">
        <f t="shared" ref="S172:Z172" ca="1" si="252">S173-S169-S170</f>
        <v>1888.5509052612833</v>
      </c>
      <c r="T172" s="725">
        <f t="shared" ca="1" si="252"/>
        <v>2012.4223822299532</v>
      </c>
      <c r="U172" s="725">
        <f t="shared" ca="1" si="252"/>
        <v>2155.2105895608579</v>
      </c>
      <c r="V172" s="725">
        <f t="shared" ca="1" si="252"/>
        <v>2282.1223901417225</v>
      </c>
      <c r="W172" s="725">
        <f t="shared" ca="1" si="252"/>
        <v>2391.0391331239389</v>
      </c>
      <c r="X172" s="725">
        <f t="shared" ca="1" si="252"/>
        <v>2479.6739520023839</v>
      </c>
      <c r="Y172" s="725">
        <f t="shared" ca="1" si="252"/>
        <v>2545.5593814088516</v>
      </c>
      <c r="Z172" s="725">
        <f t="shared" ca="1" si="252"/>
        <v>2453.8638284480353</v>
      </c>
    </row>
    <row r="173" spans="2:26 16384:16384" s="618" customFormat="1">
      <c r="B173" s="618" t="s">
        <v>1533</v>
      </c>
      <c r="H173" s="786">
        <f>Interims!AI151+Interims!AI152</f>
        <v>1415.87368335</v>
      </c>
      <c r="I173" s="786">
        <f>Interims!AN151+Interims!AN152</f>
        <v>1432.1749312300001</v>
      </c>
      <c r="J173" s="786">
        <f>Interims!AS153</f>
        <v>1462.4004704400002</v>
      </c>
      <c r="K173" s="786">
        <f>Interims!AX153</f>
        <v>1108.69</v>
      </c>
      <c r="L173" s="997">
        <f>Interims!BC153-10</f>
        <v>1114</v>
      </c>
      <c r="M173" s="997">
        <f>Interims!BH153-34</f>
        <v>1183.0940000000001</v>
      </c>
      <c r="N173" s="787">
        <f ca="1">N175+N174</f>
        <v>1216.7</v>
      </c>
      <c r="O173" s="787">
        <f ca="1">SUM(O169:O172)</f>
        <v>1246.7</v>
      </c>
      <c r="P173" s="787">
        <f ca="1">P175+P174</f>
        <v>1275.747348274012</v>
      </c>
      <c r="Q173" s="787">
        <f t="shared" ref="Q173:Z173" ca="1" si="253">Q175+Q174</f>
        <v>1316.7127032045194</v>
      </c>
      <c r="R173" s="787">
        <f t="shared" ca="1" si="253"/>
        <v>1340.1219667216531</v>
      </c>
      <c r="S173" s="787">
        <f t="shared" ca="1" si="253"/>
        <v>1888.5509052612833</v>
      </c>
      <c r="T173" s="787">
        <f t="shared" ca="1" si="253"/>
        <v>2012.4223822299532</v>
      </c>
      <c r="U173" s="787">
        <f t="shared" ca="1" si="253"/>
        <v>2155.2105895608579</v>
      </c>
      <c r="V173" s="787">
        <f t="shared" ca="1" si="253"/>
        <v>2282.1223901417225</v>
      </c>
      <c r="W173" s="787">
        <f t="shared" ca="1" si="253"/>
        <v>2391.0391331239389</v>
      </c>
      <c r="X173" s="787">
        <f t="shared" ca="1" si="253"/>
        <v>2479.6739520023839</v>
      </c>
      <c r="Y173" s="787">
        <f t="shared" ca="1" si="253"/>
        <v>2545.5593814088516</v>
      </c>
      <c r="Z173" s="787">
        <f t="shared" ca="1" si="253"/>
        <v>2453.8638284480353</v>
      </c>
    </row>
    <row r="174" spans="2:26 16384:16384" s="618" customFormat="1">
      <c r="B174" s="618" t="s">
        <v>159</v>
      </c>
      <c r="H174" s="786">
        <f>Interims!AI154</f>
        <v>26.287507739999999</v>
      </c>
      <c r="I174" s="786">
        <f>Interims!AN154</f>
        <v>10.128077169999999</v>
      </c>
      <c r="J174" s="786">
        <f>Interims!AS154</f>
        <v>61.890147689999999</v>
      </c>
      <c r="K174" s="786">
        <f>Interims!AX154</f>
        <v>124.28400000000001</v>
      </c>
      <c r="L174" s="786">
        <f>Interims!BC154</f>
        <v>104.5</v>
      </c>
      <c r="M174" s="786">
        <f>Interims!BH154</f>
        <v>23.2</v>
      </c>
      <c r="N174" s="903">
        <f ca="1">Interims!BL154</f>
        <v>64.206054522987642</v>
      </c>
      <c r="O174" s="903">
        <f t="shared" ref="N174:O174" ca="1" si="254">O173-O175</f>
        <v>61.49060137316178</v>
      </c>
      <c r="P174" s="1200">
        <v>30</v>
      </c>
      <c r="Q174" s="1200">
        <v>30</v>
      </c>
      <c r="R174" s="1200">
        <v>30</v>
      </c>
      <c r="S174" s="1200">
        <v>30</v>
      </c>
      <c r="T174" s="1200">
        <v>30</v>
      </c>
      <c r="U174" s="1200">
        <v>30</v>
      </c>
      <c r="V174" s="1200">
        <v>30</v>
      </c>
      <c r="W174" s="1200">
        <v>30</v>
      </c>
      <c r="X174" s="1200">
        <v>30</v>
      </c>
      <c r="Y174" s="1200">
        <v>30</v>
      </c>
      <c r="Z174" s="1200">
        <v>30</v>
      </c>
    </row>
    <row r="175" spans="2:26 16384:16384" s="58" customFormat="1">
      <c r="B175" s="58" t="s">
        <v>160</v>
      </c>
      <c r="H175" s="728">
        <f t="shared" ref="H175:M175" si="255">H173-H174</f>
        <v>1389.5861756100001</v>
      </c>
      <c r="I175" s="728">
        <f t="shared" si="255"/>
        <v>1422.04685406</v>
      </c>
      <c r="J175" s="728">
        <f t="shared" si="255"/>
        <v>1400.5103227500001</v>
      </c>
      <c r="K175" s="728">
        <f t="shared" si="255"/>
        <v>984.40600000000006</v>
      </c>
      <c r="L175" s="728">
        <f t="shared" si="255"/>
        <v>1009.5</v>
      </c>
      <c r="M175" s="728">
        <f t="shared" si="255"/>
        <v>1159.894</v>
      </c>
      <c r="N175" s="728">
        <f t="shared" ref="N175:Z175" ca="1" si="256">N138</f>
        <v>1152.4939454770124</v>
      </c>
      <c r="O175" s="728">
        <f t="shared" ca="1" si="256"/>
        <v>1185.2093986268383</v>
      </c>
      <c r="P175" s="728">
        <f t="shared" ca="1" si="256"/>
        <v>1245.747348274012</v>
      </c>
      <c r="Q175" s="728">
        <f t="shared" ca="1" si="256"/>
        <v>1286.7127032045194</v>
      </c>
      <c r="R175" s="728">
        <f t="shared" ca="1" si="256"/>
        <v>1310.1219667216531</v>
      </c>
      <c r="S175" s="728">
        <f t="shared" ca="1" si="256"/>
        <v>1858.5509052612833</v>
      </c>
      <c r="T175" s="728">
        <f t="shared" ca="1" si="256"/>
        <v>1982.4223822299532</v>
      </c>
      <c r="U175" s="728">
        <f t="shared" ca="1" si="256"/>
        <v>2125.2105895608579</v>
      </c>
      <c r="V175" s="728">
        <f t="shared" ca="1" si="256"/>
        <v>2252.1223901417225</v>
      </c>
      <c r="W175" s="728">
        <f t="shared" ca="1" si="256"/>
        <v>2361.0391331239389</v>
      </c>
      <c r="X175" s="728">
        <f t="shared" ca="1" si="256"/>
        <v>2449.6739520023839</v>
      </c>
      <c r="Y175" s="728">
        <f t="shared" ca="1" si="256"/>
        <v>2515.5593814088516</v>
      </c>
      <c r="Z175" s="728">
        <f t="shared" ca="1" si="256"/>
        <v>2423.8638284480353</v>
      </c>
    </row>
    <row r="176" spans="2:26 16384:16384">
      <c r="B176" s="618"/>
      <c r="H176" s="903"/>
      <c r="I176" s="903"/>
      <c r="J176" s="903"/>
      <c r="K176" s="903"/>
      <c r="L176" s="903"/>
      <c r="M176" s="903"/>
      <c r="N176" s="903"/>
      <c r="O176" s="903"/>
      <c r="Q176" s="903"/>
      <c r="R176" s="903"/>
      <c r="S176" s="903"/>
      <c r="T176" s="903"/>
      <c r="U176" s="903"/>
      <c r="V176" s="903"/>
      <c r="W176" s="903"/>
      <c r="X176" s="903"/>
      <c r="Y176" s="903"/>
      <c r="Z176" s="903"/>
    </row>
    <row r="177" spans="1:26">
      <c r="B177" s="489" t="s">
        <v>286</v>
      </c>
      <c r="H177" s="618"/>
      <c r="I177" s="911">
        <f>-I129/AVERAGE(H173:I173)</f>
        <v>3.8188236639927077E-2</v>
      </c>
      <c r="J177" s="911">
        <f>-J129/AVERAGE(I173:J173)</f>
        <v>3.7866693656265653E-2</v>
      </c>
      <c r="K177" s="911">
        <f>-K129/AVERAGE(J173:K173)</f>
        <v>4.837324918353253E-2</v>
      </c>
      <c r="L177" s="911">
        <f>(-L129+L144-K144)/AVERAGE(K173:L173)</f>
        <v>5.2421165344694938E-2</v>
      </c>
      <c r="M177" s="911">
        <f>(-M129+M144-L144)/AVERAGE(L173:M173)</f>
        <v>5.9360217735974233E-2</v>
      </c>
      <c r="N177" s="910">
        <v>0.1</v>
      </c>
      <c r="O177" s="911">
        <f>N177</f>
        <v>0.1</v>
      </c>
      <c r="P177" s="910">
        <v>7.0000000000000007E-2</v>
      </c>
      <c r="Q177" s="911">
        <f t="shared" ref="Q177:Z177" si="257">P177</f>
        <v>7.0000000000000007E-2</v>
      </c>
      <c r="R177" s="911">
        <f t="shared" si="257"/>
        <v>7.0000000000000007E-2</v>
      </c>
      <c r="S177" s="911">
        <f t="shared" si="257"/>
        <v>7.0000000000000007E-2</v>
      </c>
      <c r="T177" s="911">
        <f t="shared" si="257"/>
        <v>7.0000000000000007E-2</v>
      </c>
      <c r="U177" s="911">
        <f t="shared" si="257"/>
        <v>7.0000000000000007E-2</v>
      </c>
      <c r="V177" s="911">
        <f t="shared" si="257"/>
        <v>7.0000000000000007E-2</v>
      </c>
      <c r="W177" s="911">
        <f t="shared" si="257"/>
        <v>7.0000000000000007E-2</v>
      </c>
      <c r="X177" s="911">
        <f t="shared" si="257"/>
        <v>7.0000000000000007E-2</v>
      </c>
      <c r="Y177" s="911">
        <f t="shared" si="257"/>
        <v>7.0000000000000007E-2</v>
      </c>
      <c r="Z177" s="911">
        <f t="shared" si="257"/>
        <v>7.0000000000000007E-2</v>
      </c>
    </row>
    <row r="178" spans="1:26">
      <c r="H178" s="903"/>
      <c r="I178" s="903"/>
      <c r="J178" s="903"/>
      <c r="K178" s="903"/>
      <c r="L178" s="903"/>
      <c r="M178" s="903"/>
      <c r="N178" s="903"/>
      <c r="O178" s="903"/>
      <c r="P178" s="903"/>
      <c r="Q178" s="903"/>
      <c r="R178" s="903"/>
      <c r="S178" s="903"/>
      <c r="T178" s="903"/>
      <c r="U178" s="903"/>
      <c r="V178" s="903"/>
      <c r="W178" s="903"/>
      <c r="X178" s="903"/>
      <c r="Y178" s="903"/>
      <c r="Z178" s="903"/>
    </row>
    <row r="179" spans="1:26">
      <c r="B179" s="618" t="s">
        <v>1786</v>
      </c>
      <c r="H179" s="903"/>
      <c r="I179" s="903"/>
      <c r="J179" s="903"/>
      <c r="K179" s="903"/>
      <c r="L179" s="903"/>
      <c r="M179" s="903">
        <f>M177*AVERAGE(L173:M173)</f>
        <v>68.177999999999997</v>
      </c>
      <c r="N179" s="903">
        <f>N177*SUM(N169:N170)*0.8</f>
        <v>91.04000000000002</v>
      </c>
      <c r="O179" s="903">
        <f t="shared" ref="O179:R179" si="258">O177*SUM(N169:N170)</f>
        <v>113.80000000000001</v>
      </c>
      <c r="P179" s="903">
        <f t="shared" si="258"/>
        <v>79.660000000000011</v>
      </c>
      <c r="Q179" s="903">
        <f t="shared" si="258"/>
        <v>79.660000000000011</v>
      </c>
      <c r="R179" s="903">
        <f t="shared" si="258"/>
        <v>79.660000000000011</v>
      </c>
      <c r="S179" s="903">
        <v>0</v>
      </c>
      <c r="T179" s="903">
        <v>0</v>
      </c>
      <c r="U179" s="903">
        <v>0</v>
      </c>
      <c r="V179" s="903">
        <v>0</v>
      </c>
      <c r="W179" s="903">
        <v>0</v>
      </c>
      <c r="X179" s="903">
        <v>0</v>
      </c>
      <c r="Y179" s="903">
        <v>0</v>
      </c>
      <c r="Z179" s="903">
        <f t="shared" ref="Z179" si="259">Z177*SUM(Y169:Y170)</f>
        <v>0</v>
      </c>
    </row>
    <row r="180" spans="1:26">
      <c r="B180" s="489" t="s">
        <v>1414</v>
      </c>
      <c r="H180" s="903"/>
      <c r="I180" s="903"/>
      <c r="J180" s="903"/>
      <c r="K180" s="903"/>
      <c r="L180" s="903"/>
      <c r="M180" s="903">
        <f>0.5%*L169</f>
        <v>2.3399749999999999</v>
      </c>
      <c r="N180" s="903">
        <f t="shared" ref="N180:R180" si="260">0.5%*M169</f>
        <v>2.31</v>
      </c>
      <c r="O180" s="903">
        <f t="shared" si="260"/>
        <v>2.5150000000000001</v>
      </c>
      <c r="P180" s="903">
        <f t="shared" si="260"/>
        <v>2.5150000000000001</v>
      </c>
      <c r="Q180" s="903">
        <f t="shared" si="260"/>
        <v>2.5150000000000001</v>
      </c>
      <c r="R180" s="903">
        <f t="shared" si="260"/>
        <v>2.5150000000000001</v>
      </c>
      <c r="S180" s="903">
        <v>0</v>
      </c>
      <c r="T180" s="903">
        <v>0</v>
      </c>
      <c r="U180" s="903">
        <v>0</v>
      </c>
      <c r="V180" s="903">
        <v>0</v>
      </c>
      <c r="W180" s="903">
        <v>0</v>
      </c>
      <c r="X180" s="903">
        <v>0</v>
      </c>
      <c r="Y180" s="903">
        <v>0</v>
      </c>
      <c r="Z180" s="903">
        <v>0</v>
      </c>
    </row>
    <row r="181" spans="1:26">
      <c r="B181" s="618" t="s">
        <v>1784</v>
      </c>
      <c r="O181" s="531">
        <f>N172*O177</f>
        <v>0</v>
      </c>
      <c r="P181" s="531">
        <f t="shared" ref="P181:Z181" si="261">O172*P177</f>
        <v>2.1</v>
      </c>
      <c r="Q181" s="531">
        <f t="shared" ca="1" si="261"/>
        <v>4.1333143791808364</v>
      </c>
      <c r="R181" s="531">
        <f t="shared" ca="1" si="261"/>
        <v>7.0008892243163521</v>
      </c>
      <c r="S181" s="531">
        <f ca="1">S172*S177</f>
        <v>132.19856336828985</v>
      </c>
      <c r="T181" s="531">
        <f t="shared" ca="1" si="261"/>
        <v>132.19856336828985</v>
      </c>
      <c r="U181" s="531">
        <f t="shared" ca="1" si="261"/>
        <v>140.86956675609673</v>
      </c>
      <c r="V181" s="531">
        <f t="shared" ca="1" si="261"/>
        <v>150.86474126926007</v>
      </c>
      <c r="W181" s="531">
        <f t="shared" ca="1" si="261"/>
        <v>159.74856730992059</v>
      </c>
      <c r="X181" s="531">
        <f t="shared" ca="1" si="261"/>
        <v>167.37273931867574</v>
      </c>
      <c r="Y181" s="531">
        <f t="shared" ca="1" si="261"/>
        <v>173.5771766401669</v>
      </c>
      <c r="Z181" s="531">
        <f t="shared" ca="1" si="261"/>
        <v>178.18915669861963</v>
      </c>
    </row>
    <row r="182" spans="1:26">
      <c r="B182" s="618" t="s">
        <v>2080</v>
      </c>
      <c r="N182" s="1323">
        <v>5</v>
      </c>
      <c r="O182" s="1323">
        <v>5</v>
      </c>
      <c r="P182" s="1323">
        <v>5</v>
      </c>
      <c r="Q182" s="1323">
        <v>5</v>
      </c>
      <c r="R182" s="1323">
        <v>5</v>
      </c>
      <c r="S182" s="1323">
        <v>5</v>
      </c>
      <c r="T182" s="1323">
        <v>5</v>
      </c>
      <c r="U182" s="1323">
        <v>5</v>
      </c>
      <c r="V182" s="1323">
        <v>5</v>
      </c>
      <c r="W182" s="1323">
        <v>5</v>
      </c>
      <c r="X182" s="1323">
        <v>5</v>
      </c>
      <c r="Y182" s="1323">
        <v>5</v>
      </c>
      <c r="Z182" s="1323">
        <v>5</v>
      </c>
    </row>
    <row r="183" spans="1:26">
      <c r="B183" s="618" t="s">
        <v>1787</v>
      </c>
      <c r="N183" s="496"/>
      <c r="O183" s="1175"/>
      <c r="P183" s="1175"/>
      <c r="Q183" s="1175"/>
      <c r="R183" s="1175"/>
      <c r="S183" s="1175">
        <f>+SUM(N179:R179)+M144</f>
        <v>477.82000000000011</v>
      </c>
      <c r="T183" s="1175"/>
      <c r="U183" s="1175"/>
      <c r="V183" s="1175"/>
      <c r="W183" s="1175"/>
      <c r="X183" s="1175"/>
      <c r="Y183" s="1175"/>
      <c r="Z183" s="1175"/>
    </row>
    <row r="184" spans="1:26">
      <c r="B184" s="58" t="s">
        <v>1785</v>
      </c>
      <c r="C184" s="58"/>
      <c r="D184" s="58"/>
      <c r="E184" s="58"/>
      <c r="F184" s="58"/>
      <c r="G184" s="58"/>
      <c r="H184" s="58"/>
      <c r="I184" s="58"/>
      <c r="J184" s="58"/>
      <c r="K184" s="58"/>
      <c r="L184" s="58"/>
      <c r="M184" s="58"/>
      <c r="N184" s="727">
        <f>SUM(N180:N183)</f>
        <v>7.3100000000000005</v>
      </c>
      <c r="O184" s="727">
        <f t="shared" ref="O184:Z184" si="262">SUM(O180:O183)</f>
        <v>7.5150000000000006</v>
      </c>
      <c r="P184" s="727">
        <f t="shared" si="262"/>
        <v>9.6150000000000002</v>
      </c>
      <c r="Q184" s="727">
        <f t="shared" ca="1" si="262"/>
        <v>11.648314379180837</v>
      </c>
      <c r="R184" s="727">
        <f t="shared" ca="1" si="262"/>
        <v>14.515889224316352</v>
      </c>
      <c r="S184" s="727">
        <f t="shared" ca="1" si="262"/>
        <v>615.01856336828996</v>
      </c>
      <c r="T184" s="727">
        <f t="shared" ca="1" si="262"/>
        <v>137.19856336828985</v>
      </c>
      <c r="U184" s="727">
        <f t="shared" ca="1" si="262"/>
        <v>145.86956675609673</v>
      </c>
      <c r="V184" s="727">
        <f t="shared" ca="1" si="262"/>
        <v>155.86474126926007</v>
      </c>
      <c r="W184" s="727">
        <f t="shared" ca="1" si="262"/>
        <v>164.74856730992059</v>
      </c>
      <c r="X184" s="727">
        <f t="shared" ca="1" si="262"/>
        <v>172.37273931867574</v>
      </c>
      <c r="Y184" s="727">
        <f t="shared" ca="1" si="262"/>
        <v>178.5771766401669</v>
      </c>
      <c r="Z184" s="727">
        <f t="shared" ca="1" si="262"/>
        <v>183.18915669861963</v>
      </c>
    </row>
    <row r="186" spans="1:26" s="513" customFormat="1">
      <c r="A186" s="722"/>
      <c r="B186" s="513" t="s">
        <v>1233</v>
      </c>
      <c r="P186" s="722"/>
      <c r="Q186" s="722"/>
      <c r="R186" s="722"/>
      <c r="S186" s="722"/>
      <c r="T186" s="722"/>
    </row>
    <row r="188" spans="1:26" hidden="1" outlineLevel="1">
      <c r="B188" s="489" t="s">
        <v>161</v>
      </c>
      <c r="C188" s="725">
        <f t="shared" ref="C188:O188" si="263">C23</f>
        <v>51.5</v>
      </c>
      <c r="D188" s="725">
        <f t="shared" si="263"/>
        <v>84.1</v>
      </c>
      <c r="E188" s="725">
        <f t="shared" si="263"/>
        <v>113.2</v>
      </c>
      <c r="F188" s="725">
        <f t="shared" si="263"/>
        <v>152.30000000000001</v>
      </c>
      <c r="G188" s="725">
        <f t="shared" si="263"/>
        <v>155.9</v>
      </c>
      <c r="H188" s="725">
        <f t="shared" si="263"/>
        <v>159.03177321999999</v>
      </c>
      <c r="I188" s="725">
        <f t="shared" si="263"/>
        <v>162.0818753543538</v>
      </c>
      <c r="J188" s="725">
        <f t="shared" si="263"/>
        <v>109.13800000000001</v>
      </c>
      <c r="K188" s="725">
        <f t="shared" si="263"/>
        <v>134.16900000000001</v>
      </c>
      <c r="L188" s="725">
        <f t="shared" si="263"/>
        <v>186</v>
      </c>
      <c r="M188" s="725">
        <f t="shared" si="263"/>
        <v>187</v>
      </c>
      <c r="N188" s="725">
        <f t="shared" ca="1" si="263"/>
        <v>193.26969502103239</v>
      </c>
      <c r="O188" s="725">
        <f t="shared" ca="1" si="263"/>
        <v>187.46621537875632</v>
      </c>
      <c r="P188" s="725"/>
      <c r="Q188" s="725"/>
      <c r="R188" s="725"/>
      <c r="S188" s="725"/>
      <c r="T188" s="725"/>
    </row>
    <row r="189" spans="1:26" hidden="1" outlineLevel="1">
      <c r="B189" s="749" t="s">
        <v>1399</v>
      </c>
      <c r="C189" s="725">
        <f t="shared" ref="C189:I189" si="264">C188-C190</f>
        <v>21.5</v>
      </c>
      <c r="D189" s="725">
        <f t="shared" si="264"/>
        <v>54.099999999999994</v>
      </c>
      <c r="E189" s="725">
        <f t="shared" si="264"/>
        <v>83.2</v>
      </c>
      <c r="F189" s="725">
        <f t="shared" si="264"/>
        <v>117.66200000000001</v>
      </c>
      <c r="G189" s="725">
        <f t="shared" si="264"/>
        <v>108.816</v>
      </c>
      <c r="H189" s="725">
        <f t="shared" si="264"/>
        <v>113.90177322</v>
      </c>
      <c r="I189" s="725">
        <f t="shared" si="264"/>
        <v>91.736875354353799</v>
      </c>
      <c r="J189" s="726">
        <f t="shared" ref="J189:O189" si="265">J188*(I189/I188)</f>
        <v>61.771120802585941</v>
      </c>
      <c r="K189" s="726">
        <f t="shared" si="265"/>
        <v>75.938440387052665</v>
      </c>
      <c r="L189" s="726">
        <f t="shared" si="265"/>
        <v>105.27431755466459</v>
      </c>
      <c r="M189" s="726">
        <f t="shared" si="265"/>
        <v>105.84030850925957</v>
      </c>
      <c r="N189" s="726">
        <f t="shared" ca="1" si="265"/>
        <v>109.38889917923302</v>
      </c>
      <c r="O189" s="726">
        <f t="shared" ca="1" si="265"/>
        <v>106.10418219652871</v>
      </c>
      <c r="P189" s="726"/>
      <c r="Q189" s="726"/>
      <c r="R189" s="726"/>
      <c r="S189" s="726"/>
      <c r="T189" s="726"/>
    </row>
    <row r="190" spans="1:26" hidden="1" outlineLevel="1">
      <c r="B190" s="749" t="s">
        <v>1400</v>
      </c>
      <c r="C190" s="726">
        <v>30</v>
      </c>
      <c r="D190" s="726">
        <v>30</v>
      </c>
      <c r="E190" s="726">
        <v>30</v>
      </c>
      <c r="F190" s="739">
        <v>34.637999999999998</v>
      </c>
      <c r="G190" s="739">
        <f>30.001+17.083</f>
        <v>47.084000000000003</v>
      </c>
      <c r="H190" s="739">
        <v>45.13</v>
      </c>
      <c r="I190" s="739">
        <v>70.344999999999999</v>
      </c>
      <c r="J190" s="725">
        <f t="shared" ref="J190:O190" si="266">J188-J189</f>
        <v>47.366879197414065</v>
      </c>
      <c r="K190" s="725">
        <f t="shared" si="266"/>
        <v>58.230559612947346</v>
      </c>
      <c r="L190" s="725">
        <f t="shared" si="266"/>
        <v>80.725682445335408</v>
      </c>
      <c r="M190" s="725">
        <f t="shared" si="266"/>
        <v>81.159691490740428</v>
      </c>
      <c r="N190" s="725">
        <f t="shared" ca="1" si="266"/>
        <v>83.880795841799369</v>
      </c>
      <c r="O190" s="725">
        <f t="shared" ca="1" si="266"/>
        <v>81.362033182227606</v>
      </c>
      <c r="P190" s="725"/>
      <c r="Q190" s="725"/>
      <c r="R190" s="725"/>
      <c r="S190" s="725"/>
      <c r="T190" s="725"/>
    </row>
    <row r="191" spans="1:26" hidden="1" outlineLevel="1">
      <c r="C191" s="725"/>
      <c r="D191" s="725"/>
      <c r="E191" s="725"/>
      <c r="F191" s="725"/>
      <c r="G191" s="725"/>
      <c r="H191" s="725"/>
      <c r="I191" s="725"/>
      <c r="J191" s="725"/>
      <c r="K191" s="725"/>
      <c r="L191" s="725"/>
      <c r="M191" s="725"/>
      <c r="N191" s="725"/>
      <c r="O191" s="725"/>
      <c r="P191" s="725"/>
      <c r="Q191" s="725"/>
      <c r="R191" s="725"/>
      <c r="S191" s="725"/>
      <c r="T191" s="725"/>
    </row>
    <row r="192" spans="1:26" hidden="1" outlineLevel="1">
      <c r="B192" s="489" t="s">
        <v>1401</v>
      </c>
      <c r="C192" s="514">
        <f t="shared" ref="C192:I192" si="267">C196/C188</f>
        <v>1.2200388349514564</v>
      </c>
      <c r="D192" s="514">
        <f t="shared" si="267"/>
        <v>0.60391410118906064</v>
      </c>
      <c r="E192" s="514">
        <f t="shared" si="267"/>
        <v>0.66957669266784436</v>
      </c>
      <c r="F192" s="514">
        <f t="shared" si="267"/>
        <v>1.0154497701904135</v>
      </c>
      <c r="G192" s="514">
        <f t="shared" si="267"/>
        <v>0.9981398332264273</v>
      </c>
      <c r="H192" s="514">
        <f t="shared" si="267"/>
        <v>0.9983308065135339</v>
      </c>
      <c r="I192" s="514">
        <f t="shared" si="267"/>
        <v>1.1357984854723917</v>
      </c>
      <c r="J192" s="523">
        <v>1</v>
      </c>
      <c r="K192" s="523">
        <v>1</v>
      </c>
      <c r="L192" s="523">
        <v>1</v>
      </c>
      <c r="M192" s="523">
        <v>1</v>
      </c>
      <c r="N192" s="523">
        <v>1</v>
      </c>
      <c r="O192" s="523">
        <v>1</v>
      </c>
      <c r="P192" s="514"/>
      <c r="Q192" s="514"/>
      <c r="R192" s="514"/>
      <c r="S192" s="514"/>
      <c r="T192" s="514"/>
    </row>
    <row r="193" spans="2:20" hidden="1" outlineLevel="1"/>
    <row r="194" spans="2:20" hidden="1" outlineLevel="1">
      <c r="B194" s="489" t="s">
        <v>1234</v>
      </c>
      <c r="C194" s="739">
        <f t="shared" ref="C194:I194" si="268">-C63</f>
        <v>62.832000000000001</v>
      </c>
      <c r="D194" s="739">
        <f t="shared" si="268"/>
        <v>50.789175909999997</v>
      </c>
      <c r="E194" s="739">
        <f t="shared" si="268"/>
        <v>75.796081609999987</v>
      </c>
      <c r="F194" s="739">
        <f t="shared" si="268"/>
        <v>154.65299999999999</v>
      </c>
      <c r="G194" s="739">
        <f t="shared" si="268"/>
        <v>155.61000000000001</v>
      </c>
      <c r="H194" s="739">
        <f t="shared" si="268"/>
        <v>282.97531842000001</v>
      </c>
      <c r="I194" s="739">
        <f t="shared" si="268"/>
        <v>184.17734855000003</v>
      </c>
      <c r="J194" s="725">
        <f t="shared" ref="J194:O194" si="269">J195+J196</f>
        <v>109.13800000000001</v>
      </c>
      <c r="K194" s="725">
        <f t="shared" si="269"/>
        <v>134.16900000000001</v>
      </c>
      <c r="L194" s="725">
        <f t="shared" si="269"/>
        <v>186</v>
      </c>
      <c r="M194" s="725">
        <f t="shared" si="269"/>
        <v>187</v>
      </c>
      <c r="N194" s="725">
        <f t="shared" ca="1" si="269"/>
        <v>193.26969502103239</v>
      </c>
      <c r="O194" s="725">
        <f t="shared" ca="1" si="269"/>
        <v>187.46621537875632</v>
      </c>
      <c r="P194" s="725"/>
      <c r="Q194" s="725"/>
      <c r="R194" s="725"/>
      <c r="S194" s="725"/>
      <c r="T194" s="725"/>
    </row>
    <row r="195" spans="2:20" hidden="1" outlineLevel="1">
      <c r="B195" s="489" t="s">
        <v>1235</v>
      </c>
      <c r="C195" s="739">
        <v>0</v>
      </c>
      <c r="D195" s="739">
        <v>0</v>
      </c>
      <c r="E195" s="739">
        <v>0</v>
      </c>
      <c r="F195" s="739">
        <v>0</v>
      </c>
      <c r="G195" s="739">
        <v>0</v>
      </c>
      <c r="H195" s="739">
        <v>124.209</v>
      </c>
      <c r="I195" s="739">
        <v>8.5000000000000006E-2</v>
      </c>
      <c r="J195" s="726">
        <v>0</v>
      </c>
      <c r="K195" s="726">
        <v>0</v>
      </c>
      <c r="L195" s="726">
        <v>0</v>
      </c>
      <c r="M195" s="726">
        <v>0</v>
      </c>
      <c r="N195" s="726">
        <v>0</v>
      </c>
      <c r="O195" s="726">
        <v>0</v>
      </c>
      <c r="P195" s="726"/>
      <c r="Q195" s="726"/>
      <c r="R195" s="726"/>
      <c r="S195" s="726"/>
      <c r="T195" s="726"/>
    </row>
    <row r="196" spans="2:20" s="58" customFormat="1" hidden="1" outlineLevel="1">
      <c r="B196" s="58" t="s">
        <v>1236</v>
      </c>
      <c r="C196" s="727">
        <f t="shared" ref="C196:I196" si="270">C194-C195</f>
        <v>62.832000000000001</v>
      </c>
      <c r="D196" s="727">
        <f t="shared" si="270"/>
        <v>50.789175909999997</v>
      </c>
      <c r="E196" s="727">
        <f t="shared" si="270"/>
        <v>75.796081609999987</v>
      </c>
      <c r="F196" s="727">
        <f t="shared" si="270"/>
        <v>154.65299999999999</v>
      </c>
      <c r="G196" s="727">
        <f t="shared" si="270"/>
        <v>155.61000000000001</v>
      </c>
      <c r="H196" s="727">
        <f t="shared" si="270"/>
        <v>158.76631842</v>
      </c>
      <c r="I196" s="727">
        <f t="shared" si="270"/>
        <v>184.09234855000003</v>
      </c>
      <c r="J196" s="727">
        <f t="shared" ref="J196:O196" si="271">J192*J188</f>
        <v>109.13800000000001</v>
      </c>
      <c r="K196" s="727">
        <f t="shared" si="271"/>
        <v>134.16900000000001</v>
      </c>
      <c r="L196" s="727">
        <f t="shared" si="271"/>
        <v>186</v>
      </c>
      <c r="M196" s="727">
        <f t="shared" si="271"/>
        <v>187</v>
      </c>
      <c r="N196" s="727">
        <f t="shared" ca="1" si="271"/>
        <v>193.26969502103239</v>
      </c>
      <c r="O196" s="727">
        <f t="shared" ca="1" si="271"/>
        <v>187.46621537875632</v>
      </c>
      <c r="P196" s="727"/>
      <c r="Q196" s="727"/>
      <c r="R196" s="727"/>
      <c r="S196" s="727"/>
      <c r="T196" s="727"/>
    </row>
    <row r="197" spans="2:20" hidden="1" outlineLevel="1">
      <c r="C197" s="725"/>
      <c r="D197" s="725"/>
      <c r="E197" s="725"/>
      <c r="F197" s="725"/>
      <c r="G197" s="725"/>
      <c r="H197" s="725"/>
      <c r="I197" s="725"/>
      <c r="J197" s="725"/>
      <c r="K197" s="725"/>
      <c r="L197" s="725"/>
      <c r="M197" s="725"/>
      <c r="N197" s="725"/>
      <c r="O197" s="725"/>
      <c r="P197" s="725"/>
      <c r="Q197" s="725"/>
      <c r="R197" s="725"/>
      <c r="S197" s="725"/>
      <c r="T197" s="725"/>
    </row>
    <row r="198" spans="2:20" hidden="1" outlineLevel="1">
      <c r="C198" s="725"/>
      <c r="D198" s="725"/>
      <c r="E198" s="725"/>
      <c r="F198" s="725"/>
      <c r="G198" s="725"/>
      <c r="H198" s="725"/>
      <c r="I198" s="725"/>
      <c r="J198" s="725"/>
      <c r="K198" s="725"/>
      <c r="L198" s="725"/>
      <c r="M198" s="725"/>
      <c r="N198" s="725"/>
      <c r="O198" s="725"/>
      <c r="P198" s="725"/>
      <c r="Q198" s="725"/>
      <c r="R198" s="725"/>
      <c r="S198" s="725"/>
      <c r="T198" s="725"/>
    </row>
    <row r="199" spans="2:20" hidden="1" outlineLevel="1">
      <c r="B199" s="489" t="s">
        <v>1390</v>
      </c>
      <c r="C199" s="725"/>
      <c r="D199" s="725">
        <f t="shared" ref="D199:O199" si="272">C203</f>
        <v>207.8</v>
      </c>
      <c r="E199" s="725">
        <f t="shared" si="272"/>
        <v>209.923</v>
      </c>
      <c r="F199" s="725">
        <f t="shared" si="272"/>
        <v>648.57048144000009</v>
      </c>
      <c r="G199" s="725">
        <f t="shared" si="272"/>
        <v>600.1</v>
      </c>
      <c r="H199" s="725">
        <f t="shared" si="272"/>
        <v>609.9</v>
      </c>
      <c r="I199" s="725">
        <f t="shared" si="272"/>
        <v>639.44044002999999</v>
      </c>
      <c r="J199" s="725">
        <f t="shared" si="272"/>
        <v>613.70623953000018</v>
      </c>
      <c r="K199" s="725">
        <f t="shared" si="272"/>
        <v>573.19298707758605</v>
      </c>
      <c r="L199" s="725">
        <f t="shared" si="272"/>
        <v>553.59926295170771</v>
      </c>
      <c r="M199" s="725">
        <f t="shared" si="272"/>
        <v>566.60703668108772</v>
      </c>
      <c r="N199" s="725">
        <f t="shared" si="272"/>
        <v>578.01283907683273</v>
      </c>
      <c r="O199" s="725">
        <f t="shared" ca="1" si="272"/>
        <v>591.06626507659371</v>
      </c>
      <c r="P199" s="725"/>
      <c r="Q199" s="725"/>
      <c r="R199" s="725"/>
      <c r="S199" s="725"/>
      <c r="T199" s="725"/>
    </row>
    <row r="200" spans="2:20" hidden="1" outlineLevel="1">
      <c r="B200" s="489" t="s">
        <v>298</v>
      </c>
      <c r="C200" s="739">
        <v>-40</v>
      </c>
      <c r="D200" s="739">
        <f>-(42.669+0.538)</f>
        <v>-43.206999999999994</v>
      </c>
      <c r="E200" s="739">
        <f>-(54.956+0.725)</f>
        <v>-55.681000000000004</v>
      </c>
      <c r="F200" s="739">
        <f>-(94.984+4.667)</f>
        <v>-99.650999999999996</v>
      </c>
      <c r="G200" s="739">
        <f>-(96.785+0.401)</f>
        <v>-97.185999999999993</v>
      </c>
      <c r="H200" s="739">
        <v>-103.66</v>
      </c>
      <c r="I200" s="739">
        <f>-119.229-I212</f>
        <v>-95.518000000000001</v>
      </c>
      <c r="J200" s="725">
        <f t="shared" ref="J200:O200" si="273">-I203/J201</f>
        <v>-102.28437325500003</v>
      </c>
      <c r="K200" s="725">
        <f t="shared" si="273"/>
        <v>-95.532164512931004</v>
      </c>
      <c r="L200" s="725">
        <f t="shared" si="273"/>
        <v>-92.266543825284614</v>
      </c>
      <c r="M200" s="725">
        <f t="shared" si="273"/>
        <v>-94.434506113514615</v>
      </c>
      <c r="N200" s="725">
        <f t="shared" si="273"/>
        <v>-96.335473179472118</v>
      </c>
      <c r="O200" s="725">
        <f t="shared" ca="1" si="273"/>
        <v>-98.51104417943229</v>
      </c>
      <c r="P200" s="725"/>
      <c r="Q200" s="725"/>
      <c r="R200" s="725"/>
      <c r="S200" s="725"/>
      <c r="T200" s="725"/>
    </row>
    <row r="201" spans="2:20" hidden="1" outlineLevel="1">
      <c r="B201" s="749" t="s">
        <v>1393</v>
      </c>
      <c r="D201" s="529">
        <f t="shared" ref="D201:I201" si="274">-C203/D200</f>
        <v>4.8094058833059465</v>
      </c>
      <c r="E201" s="529">
        <f t="shared" si="274"/>
        <v>3.770101111689804</v>
      </c>
      <c r="F201" s="529">
        <f t="shared" si="274"/>
        <v>6.5084191973989238</v>
      </c>
      <c r="G201" s="529">
        <f t="shared" si="274"/>
        <v>6.1747576811474909</v>
      </c>
      <c r="H201" s="529">
        <f t="shared" si="274"/>
        <v>5.8836581130619336</v>
      </c>
      <c r="I201" s="529">
        <f t="shared" si="274"/>
        <v>6.694449632844071</v>
      </c>
      <c r="J201" s="535">
        <v>6</v>
      </c>
      <c r="K201" s="535">
        <f>J201</f>
        <v>6</v>
      </c>
      <c r="L201" s="535">
        <f>K201</f>
        <v>6</v>
      </c>
      <c r="M201" s="535">
        <f>L201</f>
        <v>6</v>
      </c>
      <c r="N201" s="535">
        <f>M201</f>
        <v>6</v>
      </c>
      <c r="O201" s="535">
        <f>N201</f>
        <v>6</v>
      </c>
      <c r="P201" s="535"/>
      <c r="Q201" s="535"/>
      <c r="R201" s="535"/>
      <c r="S201" s="535"/>
      <c r="T201" s="535"/>
    </row>
    <row r="202" spans="2:20" hidden="1" outlineLevel="1">
      <c r="B202" s="489" t="s">
        <v>1392</v>
      </c>
      <c r="C202" s="725"/>
      <c r="D202" s="725">
        <f t="shared" ref="D202:O202" si="275">D189</f>
        <v>54.099999999999994</v>
      </c>
      <c r="E202" s="725">
        <f t="shared" si="275"/>
        <v>83.2</v>
      </c>
      <c r="F202" s="725">
        <f t="shared" si="275"/>
        <v>117.66200000000001</v>
      </c>
      <c r="G202" s="725">
        <f t="shared" si="275"/>
        <v>108.816</v>
      </c>
      <c r="H202" s="725">
        <f t="shared" si="275"/>
        <v>113.90177322</v>
      </c>
      <c r="I202" s="725">
        <f t="shared" si="275"/>
        <v>91.736875354353799</v>
      </c>
      <c r="J202" s="725">
        <f t="shared" si="275"/>
        <v>61.771120802585941</v>
      </c>
      <c r="K202" s="725">
        <f t="shared" si="275"/>
        <v>75.938440387052665</v>
      </c>
      <c r="L202" s="725">
        <f t="shared" si="275"/>
        <v>105.27431755466459</v>
      </c>
      <c r="M202" s="725">
        <f t="shared" si="275"/>
        <v>105.84030850925957</v>
      </c>
      <c r="N202" s="725">
        <f t="shared" ca="1" si="275"/>
        <v>109.38889917923302</v>
      </c>
      <c r="O202" s="725">
        <f t="shared" ca="1" si="275"/>
        <v>106.10418219652871</v>
      </c>
      <c r="P202" s="725"/>
      <c r="Q202" s="725"/>
      <c r="R202" s="725"/>
      <c r="S202" s="725"/>
      <c r="T202" s="725"/>
    </row>
    <row r="203" spans="2:20" hidden="1" outlineLevel="1">
      <c r="B203" s="489" t="s">
        <v>1391</v>
      </c>
      <c r="C203" s="739">
        <f t="shared" ref="C203:H203" si="276">C89</f>
        <v>207.8</v>
      </c>
      <c r="D203" s="739">
        <f t="shared" si="276"/>
        <v>209.923</v>
      </c>
      <c r="E203" s="739">
        <f t="shared" si="276"/>
        <v>648.57048144000009</v>
      </c>
      <c r="F203" s="739">
        <f t="shared" si="276"/>
        <v>600.1</v>
      </c>
      <c r="G203" s="739">
        <f t="shared" si="276"/>
        <v>609.9</v>
      </c>
      <c r="H203" s="739">
        <f t="shared" si="276"/>
        <v>639.44044002999999</v>
      </c>
      <c r="I203" s="739">
        <f>I89-I215</f>
        <v>613.70623953000018</v>
      </c>
      <c r="J203" s="725">
        <f t="shared" ref="J203:O203" si="277">J199+J200+J202</f>
        <v>573.19298707758605</v>
      </c>
      <c r="K203" s="725">
        <f t="shared" si="277"/>
        <v>553.59926295170771</v>
      </c>
      <c r="L203" s="725">
        <f t="shared" si="277"/>
        <v>566.60703668108772</v>
      </c>
      <c r="M203" s="725">
        <f t="shared" si="277"/>
        <v>578.01283907683273</v>
      </c>
      <c r="N203" s="725">
        <f t="shared" ca="1" si="277"/>
        <v>591.06626507659371</v>
      </c>
      <c r="O203" s="725">
        <f t="shared" ca="1" si="277"/>
        <v>598.65940309369012</v>
      </c>
      <c r="P203" s="725"/>
      <c r="Q203" s="725"/>
      <c r="R203" s="725"/>
      <c r="S203" s="725"/>
      <c r="T203" s="725"/>
    </row>
    <row r="204" spans="2:20" hidden="1" outlineLevel="1">
      <c r="C204" s="725"/>
      <c r="D204" s="725"/>
      <c r="E204" s="725"/>
      <c r="F204" s="725"/>
      <c r="G204" s="725"/>
      <c r="H204" s="725"/>
      <c r="I204" s="725"/>
      <c r="J204" s="725"/>
      <c r="K204" s="725"/>
      <c r="L204" s="725"/>
      <c r="M204" s="725"/>
      <c r="N204" s="725"/>
      <c r="O204" s="725"/>
      <c r="P204" s="725"/>
      <c r="Q204" s="725"/>
      <c r="R204" s="725"/>
      <c r="S204" s="725"/>
      <c r="T204" s="725"/>
    </row>
    <row r="205" spans="2:20" hidden="1" outlineLevel="1">
      <c r="B205" s="489" t="s">
        <v>1396</v>
      </c>
      <c r="C205" s="725"/>
      <c r="D205" s="725">
        <f t="shared" ref="D205:O205" si="278">C209</f>
        <v>372.2</v>
      </c>
      <c r="E205" s="725">
        <f t="shared" si="278"/>
        <v>381.82100000000003</v>
      </c>
      <c r="F205" s="725">
        <f t="shared" si="278"/>
        <v>1378.83639988</v>
      </c>
      <c r="G205" s="725">
        <f t="shared" si="278"/>
        <v>1392.3</v>
      </c>
      <c r="H205" s="725">
        <f t="shared" si="278"/>
        <v>1390</v>
      </c>
      <c r="I205" s="725">
        <f t="shared" si="278"/>
        <v>1258.7341233699999</v>
      </c>
      <c r="J205" s="725">
        <f t="shared" si="278"/>
        <v>1273.9390000000001</v>
      </c>
      <c r="K205" s="725">
        <f t="shared" si="278"/>
        <v>1255.5763761841079</v>
      </c>
      <c r="L205" s="725">
        <f t="shared" si="278"/>
        <v>1249.0248613006866</v>
      </c>
      <c r="M205" s="725">
        <f t="shared" si="278"/>
        <v>1265.3064978501368</v>
      </c>
      <c r="N205" s="725">
        <f t="shared" si="278"/>
        <v>1281.182084479344</v>
      </c>
      <c r="O205" s="725">
        <f t="shared" ca="1" si="278"/>
        <v>1298.9596668373117</v>
      </c>
      <c r="P205" s="725"/>
      <c r="Q205" s="725"/>
      <c r="R205" s="725"/>
      <c r="S205" s="725"/>
      <c r="T205" s="725"/>
    </row>
    <row r="206" spans="2:20" hidden="1" outlineLevel="1">
      <c r="B206" s="489" t="s">
        <v>1398</v>
      </c>
      <c r="C206" s="739">
        <f>-C194-C200</f>
        <v>-22.832000000000001</v>
      </c>
      <c r="D206" s="739">
        <f>-D194-D200</f>
        <v>-7.5821759100000037</v>
      </c>
      <c r="E206" s="739">
        <f>-E194-E200</f>
        <v>-20.115081609999983</v>
      </c>
      <c r="F206" s="739">
        <v>-55.003999999999998</v>
      </c>
      <c r="G206" s="739">
        <f>-(53.658+4.766)</f>
        <v>-58.423999999999999</v>
      </c>
      <c r="H206" s="739">
        <v>-55.134</v>
      </c>
      <c r="I206" s="739">
        <v>-64.944999999999993</v>
      </c>
      <c r="J206" s="725">
        <f t="shared" ref="J206:O206" si="279">-I209/J207</f>
        <v>-65.729503013306399</v>
      </c>
      <c r="K206" s="725">
        <f t="shared" si="279"/>
        <v>-64.78207449636885</v>
      </c>
      <c r="L206" s="725">
        <f t="shared" si="279"/>
        <v>-64.444045895885182</v>
      </c>
      <c r="M206" s="725">
        <f t="shared" si="279"/>
        <v>-65.28410486153318</v>
      </c>
      <c r="N206" s="725">
        <f t="shared" si="279"/>
        <v>-66.103213483831809</v>
      </c>
      <c r="O206" s="725">
        <f t="shared" ca="1" si="279"/>
        <v>-67.020456501878456</v>
      </c>
      <c r="P206" s="725"/>
      <c r="Q206" s="725"/>
      <c r="R206" s="725"/>
      <c r="S206" s="725"/>
      <c r="T206" s="725"/>
    </row>
    <row r="207" spans="2:20" hidden="1" outlineLevel="1">
      <c r="B207" s="749" t="s">
        <v>1393</v>
      </c>
      <c r="D207" s="529">
        <f t="shared" ref="D207:I207" si="280">-C209/D206</f>
        <v>49.088810971677894</v>
      </c>
      <c r="E207" s="529">
        <f t="shared" si="280"/>
        <v>18.981827039179503</v>
      </c>
      <c r="F207" s="529">
        <f t="shared" si="280"/>
        <v>25.067929602937969</v>
      </c>
      <c r="G207" s="529">
        <f t="shared" si="280"/>
        <v>23.830959879501574</v>
      </c>
      <c r="H207" s="529">
        <f t="shared" si="280"/>
        <v>25.211303369971343</v>
      </c>
      <c r="I207" s="529">
        <f t="shared" si="280"/>
        <v>19.38154012425899</v>
      </c>
      <c r="J207" s="535">
        <f t="shared" ref="J207:O207" si="281">I207</f>
        <v>19.38154012425899</v>
      </c>
      <c r="K207" s="535">
        <f t="shared" si="281"/>
        <v>19.38154012425899</v>
      </c>
      <c r="L207" s="535">
        <f t="shared" si="281"/>
        <v>19.38154012425899</v>
      </c>
      <c r="M207" s="535">
        <f t="shared" si="281"/>
        <v>19.38154012425899</v>
      </c>
      <c r="N207" s="535">
        <f t="shared" si="281"/>
        <v>19.38154012425899</v>
      </c>
      <c r="O207" s="535">
        <f t="shared" si="281"/>
        <v>19.38154012425899</v>
      </c>
      <c r="P207" s="535"/>
      <c r="Q207" s="535"/>
      <c r="R207" s="535"/>
      <c r="S207" s="535"/>
      <c r="T207" s="535"/>
    </row>
    <row r="208" spans="2:20" hidden="1" outlineLevel="1">
      <c r="B208" s="489" t="s">
        <v>1392</v>
      </c>
      <c r="C208" s="725"/>
      <c r="D208" s="725">
        <f t="shared" ref="D208:O208" si="282">D190</f>
        <v>30</v>
      </c>
      <c r="E208" s="725">
        <f t="shared" si="282"/>
        <v>30</v>
      </c>
      <c r="F208" s="725">
        <f t="shared" si="282"/>
        <v>34.637999999999998</v>
      </c>
      <c r="G208" s="725">
        <f t="shared" si="282"/>
        <v>47.084000000000003</v>
      </c>
      <c r="H208" s="725">
        <f t="shared" si="282"/>
        <v>45.13</v>
      </c>
      <c r="I208" s="725">
        <f t="shared" si="282"/>
        <v>70.344999999999999</v>
      </c>
      <c r="J208" s="725">
        <f t="shared" si="282"/>
        <v>47.366879197414065</v>
      </c>
      <c r="K208" s="725">
        <f t="shared" si="282"/>
        <v>58.230559612947346</v>
      </c>
      <c r="L208" s="725">
        <f t="shared" si="282"/>
        <v>80.725682445335408</v>
      </c>
      <c r="M208" s="725">
        <f t="shared" si="282"/>
        <v>81.159691490740428</v>
      </c>
      <c r="N208" s="725">
        <f t="shared" ca="1" si="282"/>
        <v>83.880795841799369</v>
      </c>
      <c r="O208" s="725">
        <f t="shared" ca="1" si="282"/>
        <v>81.362033182227606</v>
      </c>
      <c r="P208" s="725"/>
      <c r="Q208" s="725"/>
      <c r="R208" s="725"/>
      <c r="S208" s="725"/>
      <c r="T208" s="725"/>
    </row>
    <row r="209" spans="1:20" hidden="1" outlineLevel="1">
      <c r="B209" s="489" t="s">
        <v>1397</v>
      </c>
      <c r="C209" s="739">
        <v>372.2</v>
      </c>
      <c r="D209" s="739">
        <v>381.82100000000003</v>
      </c>
      <c r="E209" s="739">
        <v>1378.83639988</v>
      </c>
      <c r="F209" s="739">
        <v>1392.3</v>
      </c>
      <c r="G209" s="739">
        <v>1390</v>
      </c>
      <c r="H209" s="739">
        <v>1258.7341233699999</v>
      </c>
      <c r="I209" s="739">
        <v>1273.9390000000001</v>
      </c>
      <c r="J209" s="725">
        <f t="shared" ref="J209:O209" si="283">J205+J206+J208</f>
        <v>1255.5763761841079</v>
      </c>
      <c r="K209" s="725">
        <f t="shared" si="283"/>
        <v>1249.0248613006866</v>
      </c>
      <c r="L209" s="725">
        <f t="shared" si="283"/>
        <v>1265.3064978501368</v>
      </c>
      <c r="M209" s="725">
        <f t="shared" si="283"/>
        <v>1281.182084479344</v>
      </c>
      <c r="N209" s="725">
        <f t="shared" ca="1" si="283"/>
        <v>1298.9596668373117</v>
      </c>
      <c r="O209" s="725">
        <f t="shared" ca="1" si="283"/>
        <v>1313.3012435176609</v>
      </c>
      <c r="P209" s="725"/>
      <c r="Q209" s="725"/>
      <c r="R209" s="725"/>
      <c r="S209" s="725"/>
      <c r="T209" s="725"/>
    </row>
    <row r="210" spans="1:20" hidden="1" outlineLevel="1">
      <c r="C210" s="725"/>
      <c r="D210" s="725"/>
      <c r="E210" s="725"/>
      <c r="F210" s="725"/>
      <c r="G210" s="725"/>
      <c r="H210" s="725"/>
      <c r="I210" s="725"/>
      <c r="J210" s="725"/>
      <c r="K210" s="725"/>
      <c r="L210" s="725"/>
      <c r="M210" s="725"/>
      <c r="N210" s="725"/>
      <c r="O210" s="725"/>
      <c r="P210" s="725"/>
      <c r="Q210" s="725"/>
      <c r="R210" s="725"/>
      <c r="S210" s="725"/>
      <c r="T210" s="725"/>
    </row>
    <row r="211" spans="1:20" hidden="1" outlineLevel="1">
      <c r="B211" s="489" t="s">
        <v>1394</v>
      </c>
      <c r="C211" s="725"/>
      <c r="D211" s="725"/>
      <c r="E211" s="725"/>
      <c r="F211" s="725"/>
      <c r="G211" s="725"/>
      <c r="H211" s="725"/>
      <c r="I211" s="739">
        <v>90.506</v>
      </c>
      <c r="J211" s="725">
        <f t="shared" ref="J211:O211" si="284">I215</f>
        <v>55.459966289999954</v>
      </c>
      <c r="K211" s="725">
        <f t="shared" si="284"/>
        <v>66.908966289999952</v>
      </c>
      <c r="L211" s="725">
        <f t="shared" si="284"/>
        <v>97.026966289999962</v>
      </c>
      <c r="M211" s="725">
        <f t="shared" si="284"/>
        <v>127.75696628999997</v>
      </c>
      <c r="N211" s="725">
        <f t="shared" si="284"/>
        <v>164.84296628999996</v>
      </c>
      <c r="O211" s="725">
        <f t="shared" si="284"/>
        <v>201.84296628999996</v>
      </c>
      <c r="P211" s="725"/>
      <c r="Q211" s="725"/>
      <c r="R211" s="725"/>
      <c r="S211" s="725"/>
      <c r="T211" s="725"/>
    </row>
    <row r="212" spans="1:20" hidden="1" outlineLevel="1">
      <c r="B212" s="489" t="s">
        <v>298</v>
      </c>
      <c r="C212" s="725"/>
      <c r="D212" s="725"/>
      <c r="E212" s="725"/>
      <c r="F212" s="725"/>
      <c r="G212" s="725"/>
      <c r="H212" s="725"/>
      <c r="I212" s="739">
        <v>-23.710999999999999</v>
      </c>
      <c r="J212" s="726">
        <v>-24</v>
      </c>
      <c r="K212" s="726">
        <v>-8</v>
      </c>
      <c r="L212" s="726">
        <v>-8</v>
      </c>
      <c r="M212" s="726">
        <v>-8</v>
      </c>
      <c r="N212" s="726">
        <v>-8</v>
      </c>
      <c r="O212" s="726">
        <v>-8</v>
      </c>
      <c r="P212" s="726"/>
      <c r="Q212" s="726"/>
      <c r="R212" s="726"/>
      <c r="S212" s="726"/>
      <c r="T212" s="726"/>
    </row>
    <row r="213" spans="1:20" hidden="1" outlineLevel="1">
      <c r="B213" s="749" t="s">
        <v>1393</v>
      </c>
      <c r="C213" s="725"/>
      <c r="D213" s="725"/>
      <c r="E213" s="725"/>
      <c r="F213" s="725"/>
      <c r="G213" s="725"/>
      <c r="H213" s="725"/>
      <c r="I213" s="529">
        <f t="shared" ref="I213:O213" si="285">-H215/I212</f>
        <v>0</v>
      </c>
      <c r="J213" s="529">
        <f t="shared" si="285"/>
        <v>2.3108319287499981</v>
      </c>
      <c r="K213" s="529">
        <f t="shared" si="285"/>
        <v>8.3636207862499941</v>
      </c>
      <c r="L213" s="529">
        <f t="shared" si="285"/>
        <v>12.128370786249995</v>
      </c>
      <c r="M213" s="529">
        <f t="shared" si="285"/>
        <v>15.969620786249996</v>
      </c>
      <c r="N213" s="529">
        <f t="shared" si="285"/>
        <v>20.605370786249996</v>
      </c>
      <c r="O213" s="529">
        <f t="shared" si="285"/>
        <v>25.230370786249996</v>
      </c>
      <c r="P213" s="529"/>
      <c r="Q213" s="529"/>
      <c r="R213" s="529"/>
      <c r="S213" s="529"/>
      <c r="T213" s="529"/>
    </row>
    <row r="214" spans="1:20" hidden="1" outlineLevel="1">
      <c r="B214" s="489" t="s">
        <v>1392</v>
      </c>
      <c r="C214" s="725"/>
      <c r="D214" s="725"/>
      <c r="E214" s="725"/>
      <c r="F214" s="725"/>
      <c r="G214" s="725"/>
      <c r="H214" s="725"/>
      <c r="I214" s="739">
        <v>37.746000000000002</v>
      </c>
      <c r="J214" s="767">
        <f t="shared" ref="J214:O214" si="286">(J254+J212)-J131</f>
        <v>11.448999999999998</v>
      </c>
      <c r="K214" s="767">
        <f t="shared" si="286"/>
        <v>30.118000000000002</v>
      </c>
      <c r="L214" s="767">
        <f t="shared" si="286"/>
        <v>30.730000000000004</v>
      </c>
      <c r="M214" s="767">
        <f t="shared" si="286"/>
        <v>37.085999999999999</v>
      </c>
      <c r="N214" s="767">
        <f t="shared" si="286"/>
        <v>37</v>
      </c>
      <c r="O214" s="767">
        <f t="shared" si="286"/>
        <v>37</v>
      </c>
      <c r="P214" s="767"/>
      <c r="Q214" s="767"/>
      <c r="R214" s="767"/>
      <c r="S214" s="767"/>
      <c r="T214" s="767"/>
    </row>
    <row r="215" spans="1:20" hidden="1" outlineLevel="1">
      <c r="B215" s="489" t="s">
        <v>1395</v>
      </c>
      <c r="C215" s="725"/>
      <c r="D215" s="725"/>
      <c r="E215" s="725"/>
      <c r="F215" s="725"/>
      <c r="G215" s="725"/>
      <c r="H215" s="725"/>
      <c r="I215" s="739">
        <f>I104</f>
        <v>55.459966289999954</v>
      </c>
      <c r="J215" s="725">
        <f t="shared" ref="J215:O215" si="287">J211+J214</f>
        <v>66.908966289999952</v>
      </c>
      <c r="K215" s="725">
        <f t="shared" si="287"/>
        <v>97.026966289999962</v>
      </c>
      <c r="L215" s="725">
        <f t="shared" si="287"/>
        <v>127.75696628999997</v>
      </c>
      <c r="M215" s="725">
        <f t="shared" si="287"/>
        <v>164.84296628999996</v>
      </c>
      <c r="N215" s="725">
        <f t="shared" si="287"/>
        <v>201.84296628999996</v>
      </c>
      <c r="O215" s="725">
        <f t="shared" si="287"/>
        <v>238.84296628999996</v>
      </c>
      <c r="P215" s="725"/>
      <c r="Q215" s="725"/>
      <c r="R215" s="725"/>
      <c r="S215" s="725"/>
      <c r="T215" s="725"/>
    </row>
    <row r="216" spans="1:20" hidden="1" outlineLevel="1">
      <c r="C216" s="725"/>
      <c r="D216" s="725"/>
      <c r="E216" s="725"/>
      <c r="F216" s="725"/>
      <c r="G216" s="725"/>
      <c r="H216" s="725"/>
      <c r="I216" s="725"/>
      <c r="J216" s="725"/>
      <c r="K216" s="725"/>
      <c r="L216" s="725"/>
      <c r="M216" s="725"/>
      <c r="N216" s="725"/>
      <c r="O216" s="725"/>
      <c r="P216" s="725"/>
      <c r="Q216" s="725"/>
      <c r="R216" s="725"/>
      <c r="S216" s="725"/>
      <c r="T216" s="725"/>
    </row>
    <row r="217" spans="1:20" collapsed="1"/>
    <row r="218" spans="1:20" s="513" customFormat="1">
      <c r="A218" s="722"/>
      <c r="B218" s="513" t="s">
        <v>1237</v>
      </c>
      <c r="P218" s="722"/>
      <c r="Q218" s="722"/>
      <c r="R218" s="722"/>
      <c r="S218" s="722"/>
      <c r="T218" s="722"/>
    </row>
    <row r="220" spans="1:20" hidden="1" outlineLevel="1">
      <c r="B220" s="489" t="s">
        <v>1440</v>
      </c>
      <c r="C220" s="738">
        <f t="shared" ref="C220:I220" si="288">C107</f>
        <v>578.1</v>
      </c>
      <c r="D220" s="738">
        <f t="shared" si="288"/>
        <v>2.6259999999999999</v>
      </c>
      <c r="E220" s="738">
        <f t="shared" si="288"/>
        <v>49.909488899999999</v>
      </c>
      <c r="F220" s="738">
        <f t="shared" si="288"/>
        <v>26</v>
      </c>
      <c r="G220" s="738">
        <f t="shared" si="288"/>
        <v>43.4</v>
      </c>
      <c r="H220" s="738">
        <f t="shared" si="288"/>
        <v>15.059310960000001</v>
      </c>
      <c r="I220" s="738">
        <f t="shared" si="288"/>
        <v>27.744897780000002</v>
      </c>
      <c r="J220" s="524">
        <f t="shared" ref="J220:O220" si="289">I220</f>
        <v>27.744897780000002</v>
      </c>
      <c r="K220" s="524">
        <f t="shared" si="289"/>
        <v>27.744897780000002</v>
      </c>
      <c r="L220" s="524">
        <f t="shared" si="289"/>
        <v>27.744897780000002</v>
      </c>
      <c r="M220" s="524">
        <f t="shared" si="289"/>
        <v>27.744897780000002</v>
      </c>
      <c r="N220" s="524">
        <f t="shared" si="289"/>
        <v>27.744897780000002</v>
      </c>
      <c r="O220" s="524">
        <f t="shared" si="289"/>
        <v>27.744897780000002</v>
      </c>
      <c r="P220" s="524"/>
      <c r="Q220" s="524"/>
      <c r="R220" s="524"/>
      <c r="S220" s="524"/>
      <c r="T220" s="524"/>
    </row>
    <row r="221" spans="1:20" hidden="1" outlineLevel="1">
      <c r="B221" s="489" t="s">
        <v>1441</v>
      </c>
      <c r="C221" s="738">
        <f t="shared" ref="C221:I221" si="290">C102</f>
        <v>43.506999999999998</v>
      </c>
      <c r="D221" s="738">
        <f t="shared" si="290"/>
        <v>640.54700000000003</v>
      </c>
      <c r="E221" s="738">
        <f t="shared" si="290"/>
        <v>1220.87864805</v>
      </c>
      <c r="F221" s="738">
        <f t="shared" si="290"/>
        <v>1234.7</v>
      </c>
      <c r="G221" s="738">
        <f t="shared" si="290"/>
        <v>1297.7</v>
      </c>
      <c r="H221" s="738">
        <f t="shared" si="290"/>
        <v>1400.81437239</v>
      </c>
      <c r="I221" s="738">
        <f t="shared" si="290"/>
        <v>1404.4300334500001</v>
      </c>
      <c r="J221" s="486">
        <f t="shared" ref="J221:O221" si="291">J222-J220</f>
        <v>1387.16542497</v>
      </c>
      <c r="K221" s="486">
        <f t="shared" si="291"/>
        <v>975.17484874200011</v>
      </c>
      <c r="L221" s="486">
        <f t="shared" si="291"/>
        <v>1004.0819122845</v>
      </c>
      <c r="M221" s="486">
        <f t="shared" si="291"/>
        <v>1154.752162798</v>
      </c>
      <c r="N221" s="486">
        <f t="shared" ca="1" si="291"/>
        <v>1146.4422787242956</v>
      </c>
      <c r="O221" s="486">
        <f t="shared" ca="1" si="291"/>
        <v>1179.1719776839955</v>
      </c>
      <c r="P221" s="486"/>
      <c r="Q221" s="486"/>
      <c r="R221" s="486"/>
      <c r="S221" s="486"/>
      <c r="T221" s="486"/>
    </row>
    <row r="222" spans="1:20" hidden="1" outlineLevel="1">
      <c r="B222" s="58" t="s">
        <v>1443</v>
      </c>
      <c r="C222" s="494">
        <f t="shared" ref="C222:I222" si="292">SUM(C220:C221)</f>
        <v>621.60699999999997</v>
      </c>
      <c r="D222" s="494">
        <f t="shared" si="292"/>
        <v>643.173</v>
      </c>
      <c r="E222" s="494">
        <f t="shared" si="292"/>
        <v>1270.7881369500001</v>
      </c>
      <c r="F222" s="494">
        <f t="shared" si="292"/>
        <v>1260.7</v>
      </c>
      <c r="G222" s="494">
        <f t="shared" si="292"/>
        <v>1341.1000000000001</v>
      </c>
      <c r="H222" s="494">
        <f t="shared" si="292"/>
        <v>1415.87368335</v>
      </c>
      <c r="I222" s="494">
        <f t="shared" si="292"/>
        <v>1432.1749312300001</v>
      </c>
      <c r="J222" s="494">
        <f t="shared" ref="J222:O222" si="293">J227+J224</f>
        <v>1414.91032275</v>
      </c>
      <c r="K222" s="494">
        <f t="shared" si="293"/>
        <v>1002.9197465220001</v>
      </c>
      <c r="L222" s="494">
        <f t="shared" si="293"/>
        <v>1031.8268100645</v>
      </c>
      <c r="M222" s="494">
        <f t="shared" si="293"/>
        <v>1182.4970605779999</v>
      </c>
      <c r="N222" s="494">
        <f t="shared" ca="1" si="293"/>
        <v>1174.1871765042956</v>
      </c>
      <c r="O222" s="494">
        <f t="shared" ca="1" si="293"/>
        <v>1206.9168754639954</v>
      </c>
      <c r="P222" s="516"/>
      <c r="Q222" s="516"/>
      <c r="R222" s="516"/>
      <c r="S222" s="516"/>
      <c r="T222" s="516"/>
    </row>
    <row r="223" spans="1:20" hidden="1" outlineLevel="1"/>
    <row r="224" spans="1:20" s="58" customFormat="1" hidden="1" outlineLevel="1">
      <c r="B224" s="58" t="s">
        <v>1444</v>
      </c>
      <c r="C224" s="516">
        <f t="shared" ref="C224:I224" si="294">C94</f>
        <v>70.5</v>
      </c>
      <c r="D224" s="516">
        <f t="shared" si="294"/>
        <v>24.440999999999999</v>
      </c>
      <c r="E224" s="516">
        <f t="shared" si="294"/>
        <v>85.177880950000002</v>
      </c>
      <c r="F224" s="516">
        <f t="shared" si="294"/>
        <v>55.2</v>
      </c>
      <c r="G224" s="516">
        <f t="shared" si="294"/>
        <v>31.8</v>
      </c>
      <c r="H224" s="516">
        <f t="shared" si="294"/>
        <v>26.287507739999999</v>
      </c>
      <c r="I224" s="516">
        <f t="shared" si="294"/>
        <v>10.128077169999999</v>
      </c>
      <c r="J224" s="532">
        <f t="shared" ref="J224:O224" si="295">J34*J225</f>
        <v>14.399999999999999</v>
      </c>
      <c r="K224" s="532">
        <f t="shared" si="295"/>
        <v>18.513746521999998</v>
      </c>
      <c r="L224" s="532">
        <f t="shared" si="295"/>
        <v>22.326810064500002</v>
      </c>
      <c r="M224" s="532">
        <f t="shared" si="295"/>
        <v>22.603060578000001</v>
      </c>
      <c r="N224" s="532">
        <f t="shared" ca="1" si="295"/>
        <v>21.693231027283154</v>
      </c>
      <c r="O224" s="532">
        <f t="shared" ca="1" si="295"/>
        <v>21.707476837157163</v>
      </c>
      <c r="P224" s="532"/>
      <c r="Q224" s="532"/>
      <c r="R224" s="532"/>
      <c r="S224" s="532"/>
      <c r="T224" s="532"/>
    </row>
    <row r="225" spans="2:23" s="58" customFormat="1" hidden="1" outlineLevel="1">
      <c r="B225" s="489" t="s">
        <v>1379</v>
      </c>
      <c r="C225" s="490">
        <f t="shared" ref="C225:I225" si="296">C224/C34</f>
        <v>0.34186459252650053</v>
      </c>
      <c r="D225" s="490">
        <f t="shared" si="296"/>
        <v>0.11474942324108114</v>
      </c>
      <c r="E225" s="490">
        <f t="shared" si="296"/>
        <v>0.30511552606692793</v>
      </c>
      <c r="F225" s="490">
        <f t="shared" si="296"/>
        <v>0.1154087392849676</v>
      </c>
      <c r="G225" s="490">
        <f t="shared" si="296"/>
        <v>6.3996780036224596E-2</v>
      </c>
      <c r="H225" s="490">
        <f t="shared" si="296"/>
        <v>5.3177232585405972E-2</v>
      </c>
      <c r="I225" s="490">
        <f t="shared" si="296"/>
        <v>2.0280297886181714E-2</v>
      </c>
      <c r="J225" s="530">
        <v>0.03</v>
      </c>
      <c r="K225" s="530">
        <v>0.04</v>
      </c>
      <c r="L225" s="530">
        <v>0.05</v>
      </c>
      <c r="M225" s="530">
        <v>0.05</v>
      </c>
      <c r="N225" s="530">
        <v>0.05</v>
      </c>
      <c r="O225" s="530">
        <v>0.05</v>
      </c>
      <c r="P225" s="530"/>
      <c r="Q225" s="530"/>
      <c r="R225" s="530"/>
      <c r="S225" s="530"/>
      <c r="T225" s="530"/>
    </row>
    <row r="226" spans="2:23" hidden="1" outlineLevel="1"/>
    <row r="227" spans="2:23" s="58" customFormat="1" hidden="1" outlineLevel="1">
      <c r="B227" s="58" t="s">
        <v>1445</v>
      </c>
      <c r="C227" s="516">
        <f t="shared" ref="C227:I227" si="297">C222-C224</f>
        <v>551.10699999999997</v>
      </c>
      <c r="D227" s="516">
        <f t="shared" si="297"/>
        <v>618.73199999999997</v>
      </c>
      <c r="E227" s="516">
        <f t="shared" si="297"/>
        <v>1185.6102560000002</v>
      </c>
      <c r="F227" s="516">
        <f t="shared" si="297"/>
        <v>1205.5</v>
      </c>
      <c r="G227" s="516">
        <f t="shared" si="297"/>
        <v>1309.3000000000002</v>
      </c>
      <c r="H227" s="516">
        <f t="shared" si="297"/>
        <v>1389.5861756100001</v>
      </c>
      <c r="I227" s="516">
        <f t="shared" si="297"/>
        <v>1422.04685406</v>
      </c>
      <c r="J227" s="516">
        <f t="shared" ref="J227:O227" si="298">J138</f>
        <v>1400.5103227499999</v>
      </c>
      <c r="K227" s="516">
        <f t="shared" si="298"/>
        <v>984.40600000000006</v>
      </c>
      <c r="L227" s="516">
        <f t="shared" si="298"/>
        <v>1009.5</v>
      </c>
      <c r="M227" s="516">
        <f t="shared" si="298"/>
        <v>1159.894</v>
      </c>
      <c r="N227" s="516">
        <f t="shared" ca="1" si="298"/>
        <v>1152.4939454770124</v>
      </c>
      <c r="O227" s="516">
        <f t="shared" ca="1" si="298"/>
        <v>1185.2093986268383</v>
      </c>
      <c r="P227" s="516"/>
      <c r="Q227" s="516"/>
      <c r="R227" s="516"/>
      <c r="S227" s="516"/>
      <c r="T227" s="516"/>
    </row>
    <row r="228" spans="2:23" hidden="1" outlineLevel="1">
      <c r="B228" s="489" t="s">
        <v>1238</v>
      </c>
      <c r="C228" s="548">
        <f t="shared" ref="C228:O228" si="299">C227/C56</f>
        <v>6.2571045789479616</v>
      </c>
      <c r="D228" s="548">
        <f t="shared" si="299"/>
        <v>6.2538188192102728</v>
      </c>
      <c r="E228" s="548">
        <f t="shared" si="299"/>
        <v>8.4156895035275614</v>
      </c>
      <c r="F228" s="548">
        <f t="shared" si="299"/>
        <v>4.8200719712115152</v>
      </c>
      <c r="G228" s="548">
        <f t="shared" si="299"/>
        <v>4.9463543634302995</v>
      </c>
      <c r="H228" s="548">
        <f t="shared" si="299"/>
        <v>5.8881615465920669</v>
      </c>
      <c r="I228" s="548">
        <f t="shared" si="299"/>
        <v>5.9387040180448789</v>
      </c>
      <c r="J228" s="548">
        <f t="shared" si="299"/>
        <v>5.7828368110477983</v>
      </c>
      <c r="K228" s="548">
        <f t="shared" si="299"/>
        <v>4.347065395468376</v>
      </c>
      <c r="L228" s="548">
        <f t="shared" si="299"/>
        <v>5.5594411371108521</v>
      </c>
      <c r="M228" s="548">
        <f t="shared" ca="1" si="299"/>
        <v>6.0773715956956638</v>
      </c>
      <c r="N228" s="548">
        <f t="shared" ca="1" si="299"/>
        <v>6.2303789918514925</v>
      </c>
      <c r="O228" s="548">
        <f t="shared" ca="1" si="299"/>
        <v>6.1644329436855836</v>
      </c>
      <c r="P228" s="548"/>
      <c r="Q228" s="548"/>
      <c r="R228" s="548"/>
      <c r="S228" s="548"/>
      <c r="T228" s="548"/>
    </row>
    <row r="229" spans="2:23" hidden="1" outlineLevel="1"/>
    <row r="230" spans="2:23" hidden="1" outlineLevel="1">
      <c r="C230" s="725"/>
      <c r="D230" s="725"/>
      <c r="E230" s="725"/>
      <c r="F230" s="725"/>
      <c r="G230" s="725"/>
      <c r="H230" s="725"/>
      <c r="I230" s="725"/>
      <c r="J230" s="725"/>
      <c r="K230" s="725"/>
      <c r="L230" s="725"/>
      <c r="M230" s="725"/>
      <c r="N230" s="725"/>
      <c r="O230" s="725"/>
      <c r="P230" s="725"/>
      <c r="Q230" s="725"/>
      <c r="R230" s="725"/>
      <c r="S230" s="725"/>
      <c r="T230" s="725"/>
    </row>
    <row r="231" spans="2:23" hidden="1" outlineLevel="1">
      <c r="B231" s="489" t="s">
        <v>1485</v>
      </c>
      <c r="C231" s="725"/>
      <c r="D231" s="739">
        <v>49.908999999999999</v>
      </c>
      <c r="E231" s="739">
        <v>49.908999999999999</v>
      </c>
      <c r="F231" s="739">
        <v>49.908999999999999</v>
      </c>
      <c r="G231" s="739">
        <v>49.908999999999999</v>
      </c>
      <c r="H231" s="739">
        <v>49.908999999999999</v>
      </c>
      <c r="I231" s="739">
        <v>49.908999999999999</v>
      </c>
      <c r="J231" s="739">
        <v>49.908999999999999</v>
      </c>
      <c r="K231" s="725"/>
      <c r="L231" s="725"/>
      <c r="M231" s="725"/>
      <c r="N231" s="725"/>
      <c r="O231" s="725"/>
      <c r="P231" s="725"/>
      <c r="Q231" s="725"/>
      <c r="R231" s="725"/>
      <c r="S231" s="725"/>
      <c r="T231" s="725"/>
      <c r="W231" s="641"/>
    </row>
    <row r="232" spans="2:23" hidden="1" outlineLevel="1">
      <c r="B232" s="618" t="s">
        <v>1403</v>
      </c>
      <c r="C232" s="725"/>
      <c r="D232" s="725"/>
      <c r="E232" s="725"/>
      <c r="F232" s="725"/>
      <c r="G232" s="739">
        <v>75</v>
      </c>
      <c r="H232" s="739">
        <v>75</v>
      </c>
      <c r="I232" s="739">
        <v>75</v>
      </c>
      <c r="J232" s="739">
        <v>75</v>
      </c>
      <c r="K232" s="739">
        <v>75</v>
      </c>
      <c r="L232" s="739">
        <v>75</v>
      </c>
      <c r="M232" s="725"/>
      <c r="N232" s="725"/>
      <c r="O232" s="725"/>
      <c r="P232" s="725"/>
      <c r="Q232" s="725"/>
      <c r="R232" s="725"/>
      <c r="S232" s="725"/>
      <c r="T232" s="725"/>
    </row>
    <row r="233" spans="2:23" ht="18.75" hidden="1" customHeight="1" outlineLevel="1">
      <c r="B233" s="618" t="s">
        <v>1404</v>
      </c>
      <c r="C233" s="725"/>
      <c r="D233" s="739">
        <v>1255</v>
      </c>
      <c r="E233" s="739">
        <v>1255</v>
      </c>
      <c r="F233" s="739">
        <v>1255</v>
      </c>
      <c r="G233" s="739">
        <v>1255</v>
      </c>
      <c r="H233" s="739">
        <v>707.46299999999997</v>
      </c>
      <c r="I233" s="739">
        <v>707.46299999999997</v>
      </c>
      <c r="J233" s="739">
        <v>707.46299999999997</v>
      </c>
      <c r="K233" s="739">
        <v>707.46299999999997</v>
      </c>
      <c r="L233" s="739">
        <v>707.46299999999997</v>
      </c>
      <c r="M233" s="739">
        <v>707.46299999999997</v>
      </c>
      <c r="N233" s="725"/>
      <c r="O233" s="725"/>
      <c r="P233" s="725"/>
      <c r="Q233" s="725"/>
      <c r="R233" s="725"/>
      <c r="S233" s="725"/>
      <c r="T233" s="725"/>
    </row>
    <row r="234" spans="2:23" ht="18.75" hidden="1" customHeight="1" outlineLevel="1">
      <c r="B234" s="618" t="s">
        <v>1333</v>
      </c>
      <c r="C234" s="725"/>
      <c r="D234" s="725"/>
      <c r="E234" s="725"/>
      <c r="F234" s="725"/>
      <c r="G234" s="725"/>
      <c r="H234" s="739">
        <v>650</v>
      </c>
      <c r="I234" s="739">
        <v>650</v>
      </c>
      <c r="J234" s="739">
        <v>650</v>
      </c>
      <c r="K234" s="739">
        <v>650</v>
      </c>
      <c r="L234" s="739">
        <v>650</v>
      </c>
      <c r="M234" s="739">
        <v>650</v>
      </c>
      <c r="N234" s="739">
        <v>650</v>
      </c>
      <c r="O234" s="725"/>
      <c r="P234" s="725"/>
      <c r="Q234" s="725"/>
      <c r="R234" s="725"/>
      <c r="S234" s="725"/>
      <c r="T234" s="725"/>
    </row>
    <row r="235" spans="2:23" ht="18.75" hidden="1" customHeight="1" outlineLevel="1">
      <c r="B235" s="618" t="s">
        <v>1486</v>
      </c>
      <c r="C235" s="725"/>
      <c r="D235" s="725"/>
      <c r="E235" s="725"/>
      <c r="F235" s="725"/>
      <c r="G235" s="725"/>
      <c r="H235" s="725"/>
      <c r="I235" s="725"/>
      <c r="J235" s="725"/>
      <c r="K235" s="739">
        <v>49.908999999999999</v>
      </c>
      <c r="L235" s="739">
        <v>49.908999999999999</v>
      </c>
      <c r="M235" s="725"/>
      <c r="N235" s="725"/>
      <c r="O235" s="725"/>
      <c r="P235" s="725"/>
      <c r="Q235" s="725"/>
      <c r="R235" s="725"/>
      <c r="S235" s="725"/>
      <c r="T235" s="725"/>
    </row>
    <row r="236" spans="2:23" hidden="1" outlineLevel="1">
      <c r="C236" s="725"/>
      <c r="D236" s="725"/>
      <c r="E236" s="725"/>
      <c r="F236" s="725"/>
      <c r="G236" s="725"/>
      <c r="H236" s="725"/>
      <c r="I236" s="725"/>
      <c r="J236" s="725"/>
      <c r="K236" s="725"/>
      <c r="L236" s="725"/>
      <c r="M236" s="725"/>
      <c r="N236" s="725"/>
      <c r="O236" s="725"/>
      <c r="P236" s="725"/>
      <c r="Q236" s="725"/>
      <c r="R236" s="725"/>
      <c r="S236" s="725"/>
      <c r="T236" s="725"/>
    </row>
    <row r="237" spans="2:23" hidden="1" outlineLevel="1">
      <c r="B237" s="489" t="s">
        <v>1405</v>
      </c>
      <c r="D237" s="753">
        <v>0</v>
      </c>
      <c r="E237" s="753">
        <v>-4.0999999999999999E-4</v>
      </c>
      <c r="F237" s="753">
        <v>-2.2000000000000001E-3</v>
      </c>
      <c r="G237" s="753">
        <v>-2.7100000000000002E-3</v>
      </c>
      <c r="H237" s="753">
        <v>-2.3800000000000002E-3</v>
      </c>
      <c r="I237" s="753">
        <v>-3.2299999999999998E-3</v>
      </c>
      <c r="J237" s="530">
        <f t="shared" ref="J237:O237" si="300">I237</f>
        <v>-3.2299999999999998E-3</v>
      </c>
      <c r="K237" s="530">
        <f t="shared" si="300"/>
        <v>-3.2299999999999998E-3</v>
      </c>
      <c r="L237" s="530">
        <f t="shared" si="300"/>
        <v>-3.2299999999999998E-3</v>
      </c>
      <c r="M237" s="530">
        <f t="shared" si="300"/>
        <v>-3.2299999999999998E-3</v>
      </c>
      <c r="N237" s="530">
        <f t="shared" si="300"/>
        <v>-3.2299999999999998E-3</v>
      </c>
      <c r="O237" s="530">
        <f t="shared" si="300"/>
        <v>-3.2299999999999998E-3</v>
      </c>
      <c r="P237" s="530"/>
      <c r="Q237" s="530"/>
      <c r="R237" s="530"/>
      <c r="S237" s="530"/>
      <c r="T237" s="530"/>
    </row>
    <row r="238" spans="2:23" hidden="1" outlineLevel="1"/>
    <row r="239" spans="2:23" hidden="1" outlineLevel="1">
      <c r="B239" s="489" t="s">
        <v>1485</v>
      </c>
      <c r="D239" s="868">
        <f t="shared" ref="D239:J239" si="301">MAX(D$237, 0) + 3.75%</f>
        <v>3.7499999999999999E-2</v>
      </c>
      <c r="E239" s="868">
        <f t="shared" si="301"/>
        <v>3.7499999999999999E-2</v>
      </c>
      <c r="F239" s="868">
        <f t="shared" si="301"/>
        <v>3.7499999999999999E-2</v>
      </c>
      <c r="G239" s="868">
        <f t="shared" si="301"/>
        <v>3.7499999999999999E-2</v>
      </c>
      <c r="H239" s="868">
        <f t="shared" si="301"/>
        <v>3.7499999999999999E-2</v>
      </c>
      <c r="I239" s="868">
        <f t="shared" si="301"/>
        <v>3.7499999999999999E-2</v>
      </c>
      <c r="J239" s="868">
        <f t="shared" si="301"/>
        <v>3.7499999999999999E-2</v>
      </c>
      <c r="K239" s="869"/>
      <c r="L239" s="869"/>
      <c r="M239" s="869"/>
      <c r="N239" s="869"/>
      <c r="O239" s="869"/>
      <c r="P239" s="869"/>
      <c r="Q239" s="869"/>
      <c r="R239" s="869"/>
      <c r="S239" s="869"/>
      <c r="T239" s="869"/>
    </row>
    <row r="240" spans="2:23" hidden="1" outlineLevel="1">
      <c r="B240" s="489" t="str">
        <f>B232</f>
        <v>Term loan 75m</v>
      </c>
      <c r="D240" s="869"/>
      <c r="E240" s="869"/>
      <c r="F240" s="869"/>
      <c r="G240" s="868">
        <f t="shared" ref="G240:L240" si="302">MAX(G$237, 0) + 4.25%</f>
        <v>4.2500000000000003E-2</v>
      </c>
      <c r="H240" s="868">
        <f t="shared" si="302"/>
        <v>4.2500000000000003E-2</v>
      </c>
      <c r="I240" s="868">
        <f t="shared" si="302"/>
        <v>4.2500000000000003E-2</v>
      </c>
      <c r="J240" s="868">
        <f t="shared" si="302"/>
        <v>4.2500000000000003E-2</v>
      </c>
      <c r="K240" s="868">
        <f t="shared" si="302"/>
        <v>4.2500000000000003E-2</v>
      </c>
      <c r="L240" s="868">
        <f t="shared" si="302"/>
        <v>4.2500000000000003E-2</v>
      </c>
      <c r="M240" s="869"/>
      <c r="N240" s="869"/>
      <c r="O240" s="869"/>
      <c r="P240" s="869"/>
      <c r="Q240" s="869"/>
      <c r="R240" s="869"/>
      <c r="S240" s="869"/>
      <c r="T240" s="869"/>
    </row>
    <row r="241" spans="2:20" hidden="1" outlineLevel="1">
      <c r="B241" s="489" t="str">
        <f>B233</f>
        <v>Term loan A2</v>
      </c>
      <c r="D241" s="869"/>
      <c r="E241" s="868">
        <f t="shared" ref="E241:M241" si="303">MAX(E$237, 0) + 3%</f>
        <v>0.03</v>
      </c>
      <c r="F241" s="868">
        <f t="shared" si="303"/>
        <v>0.03</v>
      </c>
      <c r="G241" s="868">
        <f t="shared" si="303"/>
        <v>0.03</v>
      </c>
      <c r="H241" s="868">
        <f t="shared" si="303"/>
        <v>0.03</v>
      </c>
      <c r="I241" s="868">
        <f t="shared" si="303"/>
        <v>0.03</v>
      </c>
      <c r="J241" s="868">
        <f t="shared" si="303"/>
        <v>0.03</v>
      </c>
      <c r="K241" s="868">
        <f t="shared" si="303"/>
        <v>0.03</v>
      </c>
      <c r="L241" s="868">
        <f t="shared" si="303"/>
        <v>0.03</v>
      </c>
      <c r="M241" s="868">
        <f t="shared" si="303"/>
        <v>0.03</v>
      </c>
      <c r="N241" s="869"/>
      <c r="O241" s="869"/>
      <c r="P241" s="869"/>
      <c r="Q241" s="869"/>
      <c r="R241" s="869"/>
      <c r="S241" s="869"/>
      <c r="T241" s="869"/>
    </row>
    <row r="242" spans="2:20" hidden="1" outlineLevel="1">
      <c r="B242" s="489" t="str">
        <f>B234</f>
        <v>Senior Secured Notes</v>
      </c>
      <c r="D242" s="869"/>
      <c r="E242" s="870">
        <f t="shared" ref="E242:N242" si="304">3.875%</f>
        <v>3.875E-2</v>
      </c>
      <c r="F242" s="870">
        <f t="shared" si="304"/>
        <v>3.875E-2</v>
      </c>
      <c r="G242" s="870">
        <f t="shared" si="304"/>
        <v>3.875E-2</v>
      </c>
      <c r="H242" s="870">
        <f t="shared" si="304"/>
        <v>3.875E-2</v>
      </c>
      <c r="I242" s="870">
        <f t="shared" si="304"/>
        <v>3.875E-2</v>
      </c>
      <c r="J242" s="870">
        <f t="shared" si="304"/>
        <v>3.875E-2</v>
      </c>
      <c r="K242" s="870">
        <f t="shared" si="304"/>
        <v>3.875E-2</v>
      </c>
      <c r="L242" s="870">
        <f t="shared" si="304"/>
        <v>3.875E-2</v>
      </c>
      <c r="M242" s="870">
        <f t="shared" si="304"/>
        <v>3.875E-2</v>
      </c>
      <c r="N242" s="870">
        <f t="shared" si="304"/>
        <v>3.875E-2</v>
      </c>
      <c r="O242" s="869"/>
      <c r="P242" s="869"/>
      <c r="Q242" s="869"/>
      <c r="R242" s="869"/>
      <c r="S242" s="869"/>
      <c r="T242" s="869"/>
    </row>
    <row r="243" spans="2:20" ht="18.75" hidden="1" customHeight="1" outlineLevel="1">
      <c r="B243" s="618" t="s">
        <v>1486</v>
      </c>
      <c r="C243" s="725"/>
      <c r="D243" s="869"/>
      <c r="E243" s="869"/>
      <c r="F243" s="869"/>
      <c r="G243" s="869"/>
      <c r="H243" s="869"/>
      <c r="I243" s="869"/>
      <c r="J243" s="869"/>
      <c r="K243" s="868">
        <f>MAX(K$237, 0) + 5%</f>
        <v>0.05</v>
      </c>
      <c r="L243" s="868">
        <f>MAX(L$237, 0) + 5%</f>
        <v>0.05</v>
      </c>
      <c r="M243" s="869"/>
      <c r="N243" s="869"/>
      <c r="O243" s="869"/>
      <c r="P243" s="869"/>
      <c r="Q243" s="869"/>
      <c r="R243" s="869"/>
      <c r="S243" s="869"/>
      <c r="T243" s="869"/>
    </row>
    <row r="244" spans="2:20" hidden="1" outlineLevel="1"/>
    <row r="245" spans="2:20" hidden="1" outlineLevel="1">
      <c r="B245" s="489" t="str">
        <f>B231</f>
        <v>RCF</v>
      </c>
      <c r="C245" s="725"/>
      <c r="D245" s="725">
        <f t="shared" ref="D245:O245" si="305">-D231*D239</f>
        <v>-1.8715875</v>
      </c>
      <c r="E245" s="725">
        <f t="shared" si="305"/>
        <v>-1.8715875</v>
      </c>
      <c r="F245" s="725">
        <f t="shared" si="305"/>
        <v>-1.8715875</v>
      </c>
      <c r="G245" s="725">
        <f t="shared" si="305"/>
        <v>-1.8715875</v>
      </c>
      <c r="H245" s="725">
        <f t="shared" si="305"/>
        <v>-1.8715875</v>
      </c>
      <c r="I245" s="725">
        <f t="shared" si="305"/>
        <v>-1.8715875</v>
      </c>
      <c r="J245" s="725">
        <f t="shared" si="305"/>
        <v>-1.8715875</v>
      </c>
      <c r="K245" s="725">
        <f t="shared" si="305"/>
        <v>0</v>
      </c>
      <c r="L245" s="725">
        <f t="shared" si="305"/>
        <v>0</v>
      </c>
      <c r="M245" s="725">
        <f t="shared" si="305"/>
        <v>0</v>
      </c>
      <c r="N245" s="725">
        <f t="shared" si="305"/>
        <v>0</v>
      </c>
      <c r="O245" s="725">
        <f t="shared" si="305"/>
        <v>0</v>
      </c>
      <c r="P245" s="725"/>
      <c r="Q245" s="725"/>
      <c r="R245" s="725"/>
      <c r="S245" s="725"/>
      <c r="T245" s="725"/>
    </row>
    <row r="246" spans="2:20" hidden="1" outlineLevel="1">
      <c r="B246" s="489" t="str">
        <f>B232</f>
        <v>Term loan 75m</v>
      </c>
      <c r="C246" s="725"/>
      <c r="D246" s="725">
        <f t="shared" ref="D246:O246" si="306">-D232*D240</f>
        <v>0</v>
      </c>
      <c r="E246" s="725">
        <f t="shared" si="306"/>
        <v>0</v>
      </c>
      <c r="F246" s="725">
        <f t="shared" si="306"/>
        <v>0</v>
      </c>
      <c r="G246" s="725">
        <f t="shared" si="306"/>
        <v>-3.1875000000000004</v>
      </c>
      <c r="H246" s="725">
        <f t="shared" si="306"/>
        <v>-3.1875000000000004</v>
      </c>
      <c r="I246" s="725">
        <f t="shared" si="306"/>
        <v>-3.1875000000000004</v>
      </c>
      <c r="J246" s="725">
        <f t="shared" si="306"/>
        <v>-3.1875000000000004</v>
      </c>
      <c r="K246" s="725">
        <f t="shared" si="306"/>
        <v>-3.1875000000000004</v>
      </c>
      <c r="L246" s="725">
        <f t="shared" si="306"/>
        <v>-3.1875000000000004</v>
      </c>
      <c r="M246" s="725">
        <f t="shared" si="306"/>
        <v>0</v>
      </c>
      <c r="N246" s="725">
        <f t="shared" si="306"/>
        <v>0</v>
      </c>
      <c r="O246" s="725">
        <f t="shared" si="306"/>
        <v>0</v>
      </c>
      <c r="P246" s="725"/>
      <c r="Q246" s="725"/>
      <c r="R246" s="725"/>
      <c r="S246" s="725"/>
      <c r="T246" s="725"/>
    </row>
    <row r="247" spans="2:20" hidden="1" outlineLevel="1">
      <c r="B247" s="489" t="str">
        <f>B233</f>
        <v>Term loan A2</v>
      </c>
      <c r="C247" s="725"/>
      <c r="D247" s="725">
        <f t="shared" ref="D247:O247" si="307">-D233*D241</f>
        <v>0</v>
      </c>
      <c r="E247" s="725">
        <f t="shared" si="307"/>
        <v>-37.65</v>
      </c>
      <c r="F247" s="725">
        <f t="shared" si="307"/>
        <v>-37.65</v>
      </c>
      <c r="G247" s="725">
        <f t="shared" si="307"/>
        <v>-37.65</v>
      </c>
      <c r="H247" s="725">
        <f t="shared" si="307"/>
        <v>-21.223889999999997</v>
      </c>
      <c r="I247" s="725">
        <f t="shared" si="307"/>
        <v>-21.223889999999997</v>
      </c>
      <c r="J247" s="725">
        <f t="shared" si="307"/>
        <v>-21.223889999999997</v>
      </c>
      <c r="K247" s="725">
        <f t="shared" si="307"/>
        <v>-21.223889999999997</v>
      </c>
      <c r="L247" s="725">
        <f t="shared" si="307"/>
        <v>-21.223889999999997</v>
      </c>
      <c r="M247" s="725">
        <f t="shared" si="307"/>
        <v>-21.223889999999997</v>
      </c>
      <c r="N247" s="725">
        <f t="shared" si="307"/>
        <v>0</v>
      </c>
      <c r="O247" s="725">
        <f t="shared" si="307"/>
        <v>0</v>
      </c>
      <c r="P247" s="725"/>
      <c r="Q247" s="725"/>
      <c r="R247" s="725"/>
      <c r="S247" s="725"/>
      <c r="T247" s="725"/>
    </row>
    <row r="248" spans="2:20" hidden="1" outlineLevel="1">
      <c r="B248" s="489" t="str">
        <f>B234</f>
        <v>Senior Secured Notes</v>
      </c>
      <c r="C248" s="725"/>
      <c r="D248" s="725">
        <f t="shared" ref="D248:O248" si="308">-D234*D242</f>
        <v>0</v>
      </c>
      <c r="E248" s="725">
        <f t="shared" si="308"/>
        <v>0</v>
      </c>
      <c r="F248" s="725">
        <f t="shared" si="308"/>
        <v>0</v>
      </c>
      <c r="G248" s="725">
        <f t="shared" si="308"/>
        <v>0</v>
      </c>
      <c r="H248" s="725">
        <f t="shared" si="308"/>
        <v>-25.1875</v>
      </c>
      <c r="I248" s="725">
        <f t="shared" si="308"/>
        <v>-25.1875</v>
      </c>
      <c r="J248" s="725">
        <f t="shared" si="308"/>
        <v>-25.1875</v>
      </c>
      <c r="K248" s="725">
        <f t="shared" si="308"/>
        <v>-25.1875</v>
      </c>
      <c r="L248" s="725">
        <f t="shared" si="308"/>
        <v>-25.1875</v>
      </c>
      <c r="M248" s="725">
        <f t="shared" si="308"/>
        <v>-25.1875</v>
      </c>
      <c r="N248" s="725">
        <f t="shared" si="308"/>
        <v>-25.1875</v>
      </c>
      <c r="O248" s="725">
        <f t="shared" si="308"/>
        <v>0</v>
      </c>
      <c r="P248" s="725"/>
      <c r="Q248" s="725"/>
      <c r="R248" s="725"/>
      <c r="S248" s="725"/>
      <c r="T248" s="725"/>
    </row>
    <row r="249" spans="2:20" hidden="1" outlineLevel="1">
      <c r="B249" s="489" t="str">
        <f>B235</f>
        <v>RCF/ Term loan</v>
      </c>
      <c r="C249" s="725"/>
      <c r="D249" s="725">
        <f t="shared" ref="D249:O249" si="309">-D235*D243</f>
        <v>0</v>
      </c>
      <c r="E249" s="725">
        <f t="shared" si="309"/>
        <v>0</v>
      </c>
      <c r="F249" s="725">
        <f t="shared" si="309"/>
        <v>0</v>
      </c>
      <c r="G249" s="725">
        <f t="shared" si="309"/>
        <v>0</v>
      </c>
      <c r="H249" s="725">
        <f t="shared" si="309"/>
        <v>0</v>
      </c>
      <c r="I249" s="725">
        <f t="shared" si="309"/>
        <v>0</v>
      </c>
      <c r="J249" s="725">
        <f t="shared" si="309"/>
        <v>0</v>
      </c>
      <c r="K249" s="725">
        <f t="shared" si="309"/>
        <v>-2.4954499999999999</v>
      </c>
      <c r="L249" s="725">
        <f t="shared" si="309"/>
        <v>-2.4954499999999999</v>
      </c>
      <c r="M249" s="725">
        <f t="shared" si="309"/>
        <v>0</v>
      </c>
      <c r="N249" s="725">
        <f t="shared" si="309"/>
        <v>0</v>
      </c>
      <c r="O249" s="725">
        <f t="shared" si="309"/>
        <v>0</v>
      </c>
      <c r="P249" s="725"/>
      <c r="Q249" s="725"/>
      <c r="R249" s="725"/>
      <c r="S249" s="725"/>
      <c r="T249" s="725"/>
    </row>
    <row r="250" spans="2:20" hidden="1" outlineLevel="1">
      <c r="B250" s="489" t="s">
        <v>169</v>
      </c>
      <c r="C250" s="725"/>
      <c r="D250" s="725">
        <f t="shared" ref="D250:O250" si="310">D251-SUM(D245:D249)</f>
        <v>-16.397412499999998</v>
      </c>
      <c r="E250" s="725">
        <f t="shared" si="310"/>
        <v>10.258676082167295</v>
      </c>
      <c r="F250" s="725">
        <f t="shared" si="310"/>
        <v>-11.6784125</v>
      </c>
      <c r="G250" s="725">
        <f t="shared" si="310"/>
        <v>-12.290912500000005</v>
      </c>
      <c r="H250" s="725">
        <f t="shared" si="310"/>
        <v>-1.530127951376123</v>
      </c>
      <c r="I250" s="725">
        <f t="shared" si="310"/>
        <v>-2.9104997277987508</v>
      </c>
      <c r="J250" s="726">
        <f t="shared" si="310"/>
        <v>-3.5365992168785638</v>
      </c>
      <c r="K250" s="726">
        <f t="shared" si="310"/>
        <v>-2.2496364052911986</v>
      </c>
      <c r="L250" s="726">
        <f t="shared" si="310"/>
        <v>13.574126976561445</v>
      </c>
      <c r="M250" s="726">
        <f t="shared" si="310"/>
        <v>6.7809124220936781</v>
      </c>
      <c r="N250" s="726">
        <f t="shared" si="310"/>
        <v>-20.229931286018953</v>
      </c>
      <c r="O250" s="726">
        <f t="shared" ca="1" si="310"/>
        <v>-45.098264666925814</v>
      </c>
      <c r="P250" s="726"/>
      <c r="Q250" s="726"/>
      <c r="R250" s="726"/>
      <c r="S250" s="726"/>
      <c r="T250" s="726"/>
    </row>
    <row r="251" spans="2:20" hidden="1" outlineLevel="1">
      <c r="B251" s="489" t="s">
        <v>107</v>
      </c>
      <c r="C251" s="752">
        <f t="shared" ref="C251:I251" si="311">C129</f>
        <v>-23.6</v>
      </c>
      <c r="D251" s="752">
        <f t="shared" si="311"/>
        <v>-18.268999999999998</v>
      </c>
      <c r="E251" s="752">
        <f t="shared" si="311"/>
        <v>-29.262911417832701</v>
      </c>
      <c r="F251" s="752">
        <f t="shared" si="311"/>
        <v>-51.199999999999996</v>
      </c>
      <c r="G251" s="752">
        <f t="shared" si="311"/>
        <v>-55</v>
      </c>
      <c r="H251" s="752">
        <f t="shared" si="311"/>
        <v>-53.000605451376124</v>
      </c>
      <c r="I251" s="752">
        <f t="shared" si="311"/>
        <v>-54.380977227798752</v>
      </c>
      <c r="J251" s="750">
        <f t="shared" ref="J251:O251" si="312">-J252*I222</f>
        <v>-55.007076716878565</v>
      </c>
      <c r="K251" s="750">
        <f t="shared" si="312"/>
        <v>-54.343976405291194</v>
      </c>
      <c r="L251" s="750">
        <f t="shared" si="312"/>
        <v>-38.520213023438551</v>
      </c>
      <c r="M251" s="750">
        <f t="shared" si="312"/>
        <v>-39.630477577906319</v>
      </c>
      <c r="N251" s="750">
        <f t="shared" si="312"/>
        <v>-45.417431286018953</v>
      </c>
      <c r="O251" s="750">
        <f t="shared" ca="1" si="312"/>
        <v>-45.098264666925814</v>
      </c>
      <c r="P251" s="725"/>
      <c r="Q251" s="725"/>
      <c r="R251" s="725"/>
      <c r="S251" s="725"/>
      <c r="T251" s="725"/>
    </row>
    <row r="252" spans="2:20" s="536" customFormat="1" hidden="1" outlineLevel="1">
      <c r="B252" s="536" t="s">
        <v>1442</v>
      </c>
      <c r="C252" s="537"/>
      <c r="D252" s="537">
        <f t="shared" ref="D252:I252" si="313">-D251/C222</f>
        <v>2.9389952172353271E-2</v>
      </c>
      <c r="E252" s="537">
        <f t="shared" si="313"/>
        <v>4.5497729876460453E-2</v>
      </c>
      <c r="F252" s="537">
        <f t="shared" si="313"/>
        <v>4.0289957477006644E-2</v>
      </c>
      <c r="G252" s="537">
        <f t="shared" si="313"/>
        <v>4.3626556674863169E-2</v>
      </c>
      <c r="H252" s="537">
        <f t="shared" si="313"/>
        <v>3.9520248640202905E-2</v>
      </c>
      <c r="I252" s="537">
        <f t="shared" si="313"/>
        <v>3.8408071191161429E-2</v>
      </c>
      <c r="J252" s="538">
        <f t="shared" ref="J252:O252" si="314">I252</f>
        <v>3.8408071191161429E-2</v>
      </c>
      <c r="K252" s="538">
        <f t="shared" si="314"/>
        <v>3.8408071191161429E-2</v>
      </c>
      <c r="L252" s="538">
        <f t="shared" si="314"/>
        <v>3.8408071191161429E-2</v>
      </c>
      <c r="M252" s="538">
        <f t="shared" si="314"/>
        <v>3.8408071191161429E-2</v>
      </c>
      <c r="N252" s="538">
        <f t="shared" si="314"/>
        <v>3.8408071191161429E-2</v>
      </c>
      <c r="O252" s="538">
        <f t="shared" si="314"/>
        <v>3.8408071191161429E-2</v>
      </c>
      <c r="P252" s="538"/>
      <c r="Q252" s="538"/>
      <c r="R252" s="538"/>
      <c r="S252" s="538"/>
      <c r="T252" s="538"/>
    </row>
    <row r="253" spans="2:20" hidden="1" outlineLevel="1">
      <c r="C253" s="725"/>
      <c r="D253" s="725"/>
      <c r="E253" s="725"/>
      <c r="F253" s="725"/>
      <c r="G253" s="725"/>
      <c r="H253" s="725"/>
      <c r="I253" s="725"/>
      <c r="J253" s="725"/>
      <c r="K253" s="725"/>
      <c r="L253" s="725"/>
      <c r="M253" s="725"/>
      <c r="N253" s="725"/>
      <c r="O253" s="725"/>
      <c r="P253" s="725"/>
      <c r="Q253" s="725"/>
      <c r="R253" s="725"/>
      <c r="S253" s="725"/>
      <c r="T253" s="725"/>
    </row>
    <row r="254" spans="2:20" hidden="1" outlineLevel="1">
      <c r="B254" s="536" t="s">
        <v>1430</v>
      </c>
      <c r="C254" s="730"/>
      <c r="D254" s="730"/>
      <c r="E254" s="730"/>
      <c r="F254" s="730"/>
      <c r="G254" s="730"/>
      <c r="H254" s="730"/>
      <c r="I254" s="766">
        <v>0</v>
      </c>
      <c r="J254" s="766">
        <v>0</v>
      </c>
      <c r="K254" s="766">
        <v>0</v>
      </c>
      <c r="L254" s="766">
        <v>0</v>
      </c>
      <c r="M254" s="766">
        <v>0</v>
      </c>
      <c r="N254" s="766">
        <v>0</v>
      </c>
      <c r="O254" s="766">
        <v>0</v>
      </c>
      <c r="P254" s="766"/>
      <c r="Q254" s="766"/>
      <c r="R254" s="766"/>
      <c r="S254" s="766"/>
      <c r="T254" s="766"/>
    </row>
    <row r="255" spans="2:20" hidden="1" outlineLevel="1">
      <c r="C255" s="725"/>
      <c r="D255" s="725"/>
      <c r="E255" s="725"/>
      <c r="F255" s="725"/>
      <c r="G255" s="725"/>
      <c r="H255" s="725"/>
      <c r="I255" s="725"/>
      <c r="J255" s="725"/>
      <c r="K255" s="725"/>
      <c r="L255" s="725"/>
      <c r="M255" s="725"/>
      <c r="N255" s="725"/>
      <c r="O255" s="725"/>
      <c r="P255" s="725"/>
      <c r="Q255" s="725"/>
      <c r="R255" s="725"/>
      <c r="S255" s="725"/>
      <c r="T255" s="725"/>
    </row>
    <row r="256" spans="2:20" hidden="1" outlineLevel="1">
      <c r="B256" s="489" t="s">
        <v>1406</v>
      </c>
      <c r="C256" s="725">
        <f t="shared" ref="C256:I256" si="315">C257-C251</f>
        <v>-4.7210000000000001</v>
      </c>
      <c r="D256" s="725">
        <f t="shared" si="315"/>
        <v>-27.568435287806999</v>
      </c>
      <c r="E256" s="725">
        <f t="shared" si="315"/>
        <v>-16.794522462167304</v>
      </c>
      <c r="F256" s="725">
        <f t="shared" si="315"/>
        <v>-24.6</v>
      </c>
      <c r="G256" s="725">
        <f t="shared" si="315"/>
        <v>-2.6000000000000014</v>
      </c>
      <c r="H256" s="725">
        <f t="shared" si="315"/>
        <v>-22.609493948623872</v>
      </c>
      <c r="I256" s="725">
        <f t="shared" si="315"/>
        <v>-8.1952325322012456</v>
      </c>
      <c r="J256" s="726">
        <f t="shared" ref="J256:O256" si="316">I256</f>
        <v>-8.1952325322012456</v>
      </c>
      <c r="K256" s="726">
        <f t="shared" si="316"/>
        <v>-8.1952325322012456</v>
      </c>
      <c r="L256" s="726">
        <f t="shared" si="316"/>
        <v>-8.1952325322012456</v>
      </c>
      <c r="M256" s="726">
        <f t="shared" si="316"/>
        <v>-8.1952325322012456</v>
      </c>
      <c r="N256" s="726">
        <f t="shared" si="316"/>
        <v>-8.1952325322012456</v>
      </c>
      <c r="O256" s="726">
        <f t="shared" si="316"/>
        <v>-8.1952325322012456</v>
      </c>
      <c r="P256" s="726"/>
      <c r="Q256" s="726"/>
      <c r="R256" s="726"/>
      <c r="S256" s="726"/>
      <c r="T256" s="726"/>
    </row>
    <row r="257" spans="1:20" hidden="1" outlineLevel="1">
      <c r="B257" s="58" t="s">
        <v>287</v>
      </c>
      <c r="C257" s="740">
        <f t="shared" ref="C257:I257" si="317">C70</f>
        <v>-28.321000000000002</v>
      </c>
      <c r="D257" s="740">
        <f t="shared" si="317"/>
        <v>-45.837435287806997</v>
      </c>
      <c r="E257" s="740">
        <f t="shared" si="317"/>
        <v>-46.057433880000005</v>
      </c>
      <c r="F257" s="740">
        <f t="shared" si="317"/>
        <v>-75.8</v>
      </c>
      <c r="G257" s="740">
        <f t="shared" si="317"/>
        <v>-57.6</v>
      </c>
      <c r="H257" s="740">
        <f t="shared" si="317"/>
        <v>-75.610099399999996</v>
      </c>
      <c r="I257" s="740">
        <f t="shared" si="317"/>
        <v>-62.576209759999998</v>
      </c>
      <c r="J257" s="728">
        <f t="shared" ref="J257:O257" si="318">SUM(J251,J256)</f>
        <v>-63.202309249079811</v>
      </c>
      <c r="K257" s="728">
        <f t="shared" si="318"/>
        <v>-62.53920893749244</v>
      </c>
      <c r="L257" s="728">
        <f t="shared" si="318"/>
        <v>-46.715445555639796</v>
      </c>
      <c r="M257" s="728">
        <f t="shared" si="318"/>
        <v>-47.825710110107565</v>
      </c>
      <c r="N257" s="728">
        <f t="shared" si="318"/>
        <v>-53.612663818220199</v>
      </c>
      <c r="O257" s="728">
        <f t="shared" ca="1" si="318"/>
        <v>-53.29349719912706</v>
      </c>
      <c r="P257" s="727"/>
      <c r="Q257" s="727"/>
      <c r="R257" s="727"/>
      <c r="S257" s="727"/>
      <c r="T257" s="727"/>
    </row>
    <row r="258" spans="1:20" hidden="1" outlineLevel="1">
      <c r="B258" s="725"/>
      <c r="C258" s="725"/>
      <c r="D258" s="725"/>
      <c r="E258" s="725"/>
      <c r="F258" s="725"/>
      <c r="G258" s="725"/>
      <c r="H258" s="725"/>
      <c r="I258" s="725"/>
      <c r="J258" s="725"/>
      <c r="K258" s="725"/>
      <c r="L258" s="725"/>
      <c r="M258" s="725"/>
      <c r="N258" s="725"/>
      <c r="O258" s="725"/>
      <c r="P258" s="725"/>
      <c r="Q258" s="725"/>
      <c r="R258" s="725"/>
      <c r="S258" s="725"/>
      <c r="T258" s="725"/>
    </row>
    <row r="259" spans="1:20" hidden="1" outlineLevel="1">
      <c r="B259" s="489" t="s">
        <v>1402</v>
      </c>
      <c r="C259" s="490">
        <f t="shared" ref="C259:I259" si="319">C260/C224</f>
        <v>6.3404255319148934E-3</v>
      </c>
      <c r="D259" s="490">
        <f t="shared" si="319"/>
        <v>4.5936987029990967E-3</v>
      </c>
      <c r="E259" s="490">
        <f t="shared" si="319"/>
        <v>1.2732669302217479E-2</v>
      </c>
      <c r="F259" s="490">
        <f t="shared" si="319"/>
        <v>5.434782608695652E-3</v>
      </c>
      <c r="G259" s="490">
        <f t="shared" si="319"/>
        <v>3.1446540880503146E-3</v>
      </c>
      <c r="H259" s="490">
        <f t="shared" si="319"/>
        <v>1.3344086988750052E-2</v>
      </c>
      <c r="I259" s="490">
        <f t="shared" si="319"/>
        <v>9.0034019754610534E-3</v>
      </c>
      <c r="J259" s="530">
        <f t="shared" ref="J259:O259" si="320">I259</f>
        <v>9.0034019754610534E-3</v>
      </c>
      <c r="K259" s="530">
        <f t="shared" si="320"/>
        <v>9.0034019754610534E-3</v>
      </c>
      <c r="L259" s="530">
        <f t="shared" si="320"/>
        <v>9.0034019754610534E-3</v>
      </c>
      <c r="M259" s="530">
        <f t="shared" si="320"/>
        <v>9.0034019754610534E-3</v>
      </c>
      <c r="N259" s="530">
        <f t="shared" si="320"/>
        <v>9.0034019754610534E-3</v>
      </c>
      <c r="O259" s="530">
        <f t="shared" si="320"/>
        <v>9.0034019754610534E-3</v>
      </c>
      <c r="P259" s="530"/>
      <c r="Q259" s="530"/>
      <c r="R259" s="530"/>
      <c r="S259" s="530"/>
      <c r="T259" s="530"/>
    </row>
    <row r="260" spans="1:20" hidden="1" outlineLevel="1">
      <c r="B260" s="58" t="s">
        <v>805</v>
      </c>
      <c r="C260" s="741">
        <f t="shared" ref="C260:I260" si="321">C69</f>
        <v>0.44700000000000001</v>
      </c>
      <c r="D260" s="741">
        <f t="shared" si="321"/>
        <v>0.11227459000000092</v>
      </c>
      <c r="E260" s="741">
        <f t="shared" si="321"/>
        <v>1.0845417900000001</v>
      </c>
      <c r="F260" s="741">
        <f t="shared" si="321"/>
        <v>0.3</v>
      </c>
      <c r="G260" s="741">
        <f t="shared" si="321"/>
        <v>0.1</v>
      </c>
      <c r="H260" s="741">
        <f t="shared" si="321"/>
        <v>0.35078279000000029</v>
      </c>
      <c r="I260" s="741">
        <f t="shared" si="321"/>
        <v>9.1187149999999995E-2</v>
      </c>
      <c r="J260" s="727">
        <f t="shared" ref="J260:O260" si="322">J224*J259</f>
        <v>0.12964898844663916</v>
      </c>
      <c r="K260" s="727">
        <f t="shared" si="322"/>
        <v>0.16668670200935998</v>
      </c>
      <c r="L260" s="727">
        <f t="shared" si="322"/>
        <v>0.20101724584046304</v>
      </c>
      <c r="M260" s="727">
        <f t="shared" si="322"/>
        <v>0.20350444025943107</v>
      </c>
      <c r="N260" s="727">
        <f t="shared" ca="1" si="322"/>
        <v>0.19531287908517417</v>
      </c>
      <c r="O260" s="727">
        <f t="shared" ca="1" si="322"/>
        <v>0.19544113983793585</v>
      </c>
      <c r="P260" s="727"/>
      <c r="Q260" s="727"/>
      <c r="R260" s="727"/>
      <c r="S260" s="727"/>
      <c r="T260" s="727"/>
    </row>
    <row r="261" spans="1:20" hidden="1" outlineLevel="1"/>
    <row r="262" spans="1:20" collapsed="1"/>
    <row r="263" spans="1:20" s="513" customFormat="1">
      <c r="A263" s="722"/>
      <c r="B263" s="513" t="s">
        <v>1231</v>
      </c>
      <c r="P263" s="722"/>
      <c r="Q263" s="722"/>
      <c r="R263" s="722"/>
      <c r="S263" s="722"/>
      <c r="T263" s="722"/>
    </row>
    <row r="265" spans="1:20" hidden="1" outlineLevel="1">
      <c r="B265" s="489" t="s">
        <v>1159</v>
      </c>
      <c r="C265" s="738">
        <f t="shared" ref="C265:I265" si="323">C96</f>
        <v>1.7</v>
      </c>
      <c r="D265" s="738">
        <f t="shared" si="323"/>
        <v>3.3420000000000001</v>
      </c>
      <c r="E265" s="738">
        <f t="shared" si="323"/>
        <v>10.120683319999999</v>
      </c>
      <c r="F265" s="738">
        <f t="shared" si="323"/>
        <v>5.7</v>
      </c>
      <c r="G265" s="738">
        <f t="shared" si="323"/>
        <v>10.9</v>
      </c>
      <c r="H265" s="738">
        <f t="shared" si="323"/>
        <v>8.61490987</v>
      </c>
      <c r="I265" s="738">
        <f t="shared" si="323"/>
        <v>5.5864030300000005</v>
      </c>
      <c r="J265" s="531">
        <f t="shared" ref="J265:O265" si="324">J$34*J266</f>
        <v>5.3693390676564832</v>
      </c>
      <c r="K265" s="531">
        <f t="shared" si="324"/>
        <v>5.1774261713158296</v>
      </c>
      <c r="L265" s="531">
        <f t="shared" si="324"/>
        <v>4.9950088973110756</v>
      </c>
      <c r="M265" s="531">
        <f t="shared" si="324"/>
        <v>5.0568123420858972</v>
      </c>
      <c r="N265" s="531">
        <f t="shared" ca="1" si="324"/>
        <v>4.8532630357703841</v>
      </c>
      <c r="O265" s="531">
        <f t="shared" ca="1" si="324"/>
        <v>4.8564501434165059</v>
      </c>
      <c r="P265" s="531"/>
      <c r="Q265" s="531"/>
      <c r="R265" s="531"/>
      <c r="S265" s="531"/>
      <c r="T265" s="531"/>
    </row>
    <row r="266" spans="1:20" hidden="1" outlineLevel="1">
      <c r="B266" s="489" t="s">
        <v>1379</v>
      </c>
      <c r="C266" s="490">
        <f t="shared" ref="C266:I266" si="325">C265/C$34</f>
        <v>8.2435433658872466E-3</v>
      </c>
      <c r="D266" s="490">
        <f t="shared" si="325"/>
        <v>1.5690543450419099E-2</v>
      </c>
      <c r="E266" s="490">
        <f t="shared" si="325"/>
        <v>3.6253280557087895E-2</v>
      </c>
      <c r="F266" s="490">
        <f t="shared" si="325"/>
        <v>1.191720677399122E-2</v>
      </c>
      <c r="G266" s="490">
        <f t="shared" si="325"/>
        <v>2.1936003219963775E-2</v>
      </c>
      <c r="H266" s="490">
        <f t="shared" si="325"/>
        <v>1.7427177592884261E-2</v>
      </c>
      <c r="I266" s="490">
        <f t="shared" si="325"/>
        <v>1.1186123057617674E-2</v>
      </c>
      <c r="J266" s="530">
        <f t="shared" ref="J266:O266" si="326">I266</f>
        <v>1.1186123057617674E-2</v>
      </c>
      <c r="K266" s="530">
        <f t="shared" si="326"/>
        <v>1.1186123057617674E-2</v>
      </c>
      <c r="L266" s="530">
        <f t="shared" si="326"/>
        <v>1.1186123057617674E-2</v>
      </c>
      <c r="M266" s="530">
        <f t="shared" si="326"/>
        <v>1.1186123057617674E-2</v>
      </c>
      <c r="N266" s="530">
        <f t="shared" si="326"/>
        <v>1.1186123057617674E-2</v>
      </c>
      <c r="O266" s="530">
        <f t="shared" si="326"/>
        <v>1.1186123057617674E-2</v>
      </c>
      <c r="P266" s="530"/>
      <c r="Q266" s="530"/>
      <c r="R266" s="530"/>
      <c r="S266" s="530"/>
      <c r="T266" s="530"/>
    </row>
    <row r="267" spans="1:20" hidden="1" outlineLevel="1"/>
    <row r="268" spans="1:20" hidden="1" outlineLevel="1">
      <c r="B268" s="489" t="s">
        <v>43</v>
      </c>
      <c r="C268" s="738">
        <f t="shared" ref="C268:I268" si="327">C95</f>
        <v>18.899999999999999</v>
      </c>
      <c r="D268" s="738">
        <f t="shared" si="327"/>
        <v>19.115000000000002</v>
      </c>
      <c r="E268" s="738">
        <f t="shared" si="327"/>
        <v>39.592412179999997</v>
      </c>
      <c r="F268" s="738">
        <f t="shared" si="327"/>
        <v>49.8</v>
      </c>
      <c r="G268" s="738">
        <f t="shared" si="327"/>
        <v>54.7</v>
      </c>
      <c r="H268" s="738">
        <f t="shared" si="327"/>
        <v>56.209263840000006</v>
      </c>
      <c r="I268" s="738">
        <f t="shared" si="327"/>
        <v>61.785425049999994</v>
      </c>
      <c r="J268" s="531">
        <f t="shared" ref="J268:O268" si="328">J$34*J269</f>
        <v>59.384705104731133</v>
      </c>
      <c r="K268" s="531">
        <f t="shared" si="328"/>
        <v>57.262155082953726</v>
      </c>
      <c r="L268" s="531">
        <f t="shared" si="328"/>
        <v>55.244626317069816</v>
      </c>
      <c r="M268" s="531">
        <f t="shared" si="328"/>
        <v>55.928170287037652</v>
      </c>
      <c r="N268" s="531">
        <f t="shared" ca="1" si="328"/>
        <v>53.676921971833899</v>
      </c>
      <c r="O268" s="531">
        <f t="shared" ca="1" si="328"/>
        <v>53.712171272598319</v>
      </c>
      <c r="P268" s="531"/>
      <c r="Q268" s="531"/>
      <c r="R268" s="531"/>
      <c r="S268" s="531"/>
      <c r="T268" s="531"/>
    </row>
    <row r="269" spans="1:20" hidden="1" outlineLevel="1">
      <c r="B269" s="489" t="s">
        <v>1379</v>
      </c>
      <c r="C269" s="490">
        <f t="shared" ref="C269:I269" si="329">C268/C$34</f>
        <v>9.1648805656040569E-2</v>
      </c>
      <c r="D269" s="490">
        <f t="shared" si="329"/>
        <v>8.9744086790772323E-2</v>
      </c>
      <c r="E269" s="490">
        <f t="shared" si="329"/>
        <v>0.14182390470186196</v>
      </c>
      <c r="F269" s="490">
        <f t="shared" si="329"/>
        <v>0.1041187539201338</v>
      </c>
      <c r="G269" s="490">
        <f t="shared" si="329"/>
        <v>0.11008251157174483</v>
      </c>
      <c r="H269" s="490">
        <f t="shared" si="329"/>
        <v>0.11370621841514025</v>
      </c>
      <c r="I269" s="490">
        <f t="shared" si="329"/>
        <v>0.12371813563485652</v>
      </c>
      <c r="J269" s="530">
        <f t="shared" ref="J269:O269" si="330">I269</f>
        <v>0.12371813563485652</v>
      </c>
      <c r="K269" s="530">
        <f t="shared" si="330"/>
        <v>0.12371813563485652</v>
      </c>
      <c r="L269" s="530">
        <f t="shared" si="330"/>
        <v>0.12371813563485652</v>
      </c>
      <c r="M269" s="530">
        <f t="shared" si="330"/>
        <v>0.12371813563485652</v>
      </c>
      <c r="N269" s="530">
        <f t="shared" si="330"/>
        <v>0.12371813563485652</v>
      </c>
      <c r="O269" s="530">
        <f t="shared" si="330"/>
        <v>0.12371813563485652</v>
      </c>
      <c r="P269" s="530"/>
      <c r="Q269" s="530"/>
      <c r="R269" s="530"/>
      <c r="S269" s="530"/>
      <c r="T269" s="530"/>
    </row>
    <row r="270" spans="1:20" hidden="1" outlineLevel="1">
      <c r="H270" s="486"/>
      <c r="I270" s="486"/>
    </row>
    <row r="271" spans="1:20" hidden="1" outlineLevel="1">
      <c r="B271" s="489" t="s">
        <v>1389</v>
      </c>
      <c r="C271" s="738">
        <f t="shared" ref="C271:I271" si="331">C97</f>
        <v>13.600000000000005</v>
      </c>
      <c r="D271" s="738">
        <f t="shared" si="331"/>
        <v>27.019999999999989</v>
      </c>
      <c r="E271" s="738">
        <f t="shared" si="331"/>
        <v>28.058384250000003</v>
      </c>
      <c r="F271" s="738">
        <f t="shared" si="331"/>
        <v>19.8</v>
      </c>
      <c r="G271" s="738">
        <f t="shared" si="331"/>
        <v>27.1</v>
      </c>
      <c r="H271" s="738">
        <f t="shared" si="331"/>
        <v>29.759946649999996</v>
      </c>
      <c r="I271" s="738">
        <f t="shared" si="331"/>
        <v>27.40809589000002</v>
      </c>
      <c r="J271" s="531">
        <f t="shared" ref="J271:O271" si="332">J$34*J272</f>
        <v>26.343133361835545</v>
      </c>
      <c r="K271" s="531">
        <f t="shared" si="332"/>
        <v>25.401567377930466</v>
      </c>
      <c r="L271" s="531">
        <f t="shared" si="332"/>
        <v>24.50658896139565</v>
      </c>
      <c r="M271" s="531">
        <f t="shared" si="332"/>
        <v>24.809809966329233</v>
      </c>
      <c r="N271" s="531">
        <f t="shared" ca="1" si="332"/>
        <v>23.811153250034533</v>
      </c>
      <c r="O271" s="531">
        <f t="shared" ca="1" si="332"/>
        <v>23.826789886257799</v>
      </c>
      <c r="P271" s="531"/>
      <c r="Q271" s="531"/>
      <c r="R271" s="531"/>
      <c r="S271" s="531"/>
      <c r="T271" s="531"/>
    </row>
    <row r="272" spans="1:20" hidden="1" outlineLevel="1">
      <c r="B272" s="489" t="s">
        <v>1379</v>
      </c>
      <c r="C272" s="490">
        <f t="shared" ref="C272:I272" si="333">C271/C$34</f>
        <v>6.5948346927098001E-2</v>
      </c>
      <c r="D272" s="490">
        <f t="shared" si="333"/>
        <v>0.12685771514970792</v>
      </c>
      <c r="E272" s="490">
        <f t="shared" si="333"/>
        <v>0.10050788509345696</v>
      </c>
      <c r="F272" s="490">
        <f t="shared" si="333"/>
        <v>4.1396613004390549E-2</v>
      </c>
      <c r="G272" s="490">
        <f t="shared" si="333"/>
        <v>5.4538136445964988E-2</v>
      </c>
      <c r="H272" s="490">
        <f t="shared" si="333"/>
        <v>6.0201660058030404E-2</v>
      </c>
      <c r="I272" s="490">
        <f t="shared" si="333"/>
        <v>5.4881527837157384E-2</v>
      </c>
      <c r="J272" s="530">
        <f t="shared" ref="J272:O272" si="334">I272</f>
        <v>5.4881527837157384E-2</v>
      </c>
      <c r="K272" s="530">
        <f t="shared" si="334"/>
        <v>5.4881527837157384E-2</v>
      </c>
      <c r="L272" s="530">
        <f t="shared" si="334"/>
        <v>5.4881527837157384E-2</v>
      </c>
      <c r="M272" s="530">
        <f t="shared" si="334"/>
        <v>5.4881527837157384E-2</v>
      </c>
      <c r="N272" s="530">
        <f t="shared" si="334"/>
        <v>5.4881527837157384E-2</v>
      </c>
      <c r="O272" s="530">
        <f t="shared" si="334"/>
        <v>5.4881527837157384E-2</v>
      </c>
      <c r="P272" s="530"/>
      <c r="Q272" s="530"/>
      <c r="R272" s="530"/>
      <c r="S272" s="530"/>
      <c r="T272" s="530"/>
    </row>
    <row r="273" spans="2:20" hidden="1" outlineLevel="1"/>
    <row r="274" spans="2:20" hidden="1" outlineLevel="1">
      <c r="B274" s="489" t="s">
        <v>1425</v>
      </c>
      <c r="C274" s="738">
        <f t="shared" ref="C274:I274" si="335">C91</f>
        <v>11.700000000000045</v>
      </c>
      <c r="D274" s="738">
        <f t="shared" si="335"/>
        <v>1.5040000000000191</v>
      </c>
      <c r="E274" s="738">
        <f t="shared" si="335"/>
        <v>5.3976961900000333</v>
      </c>
      <c r="F274" s="738">
        <f t="shared" si="335"/>
        <v>28.100000000000136</v>
      </c>
      <c r="G274" s="738">
        <f t="shared" si="335"/>
        <v>8.8000000000001819</v>
      </c>
      <c r="H274" s="738">
        <f t="shared" si="335"/>
        <v>6.7534244500000113</v>
      </c>
      <c r="I274" s="738">
        <f t="shared" si="335"/>
        <v>10.415487190000249</v>
      </c>
      <c r="J274" s="531">
        <f t="shared" ref="J274:O274" si="336">J$34*J275</f>
        <v>10.010785469222398</v>
      </c>
      <c r="K274" s="531">
        <f t="shared" si="336"/>
        <v>9.6529762845470977</v>
      </c>
      <c r="L274" s="531">
        <f t="shared" si="336"/>
        <v>9.3128710736577069</v>
      </c>
      <c r="M274" s="531">
        <f t="shared" si="336"/>
        <v>9.4280995997581662</v>
      </c>
      <c r="N274" s="531">
        <f t="shared" ca="1" si="336"/>
        <v>9.0485950811837768</v>
      </c>
      <c r="O274" s="531">
        <f t="shared" ca="1" si="336"/>
        <v>9.0545372372872794</v>
      </c>
      <c r="P274" s="531"/>
      <c r="Q274" s="531"/>
      <c r="R274" s="531"/>
      <c r="S274" s="531"/>
      <c r="T274" s="531"/>
    </row>
    <row r="275" spans="2:20" hidden="1" outlineLevel="1">
      <c r="B275" s="489" t="s">
        <v>1379</v>
      </c>
      <c r="C275" s="490">
        <f t="shared" ref="C275:I275" si="337">C274/C$34</f>
        <v>5.6734974929930099E-2</v>
      </c>
      <c r="D275" s="490">
        <f t="shared" si="337"/>
        <v>7.0612140483035987E-3</v>
      </c>
      <c r="E275" s="490">
        <f t="shared" si="337"/>
        <v>1.9335077301677259E-2</v>
      </c>
      <c r="F275" s="490">
        <f t="shared" si="337"/>
        <v>5.8749738657746471E-2</v>
      </c>
      <c r="G275" s="490">
        <f t="shared" si="337"/>
        <v>1.7709800764741764E-2</v>
      </c>
      <c r="H275" s="490">
        <f t="shared" si="337"/>
        <v>1.3661562224826491E-2</v>
      </c>
      <c r="I275" s="490">
        <f t="shared" si="337"/>
        <v>2.0855803060879995E-2</v>
      </c>
      <c r="J275" s="530">
        <f t="shared" ref="J275:O275" si="338">I275</f>
        <v>2.0855803060879995E-2</v>
      </c>
      <c r="K275" s="530">
        <f t="shared" si="338"/>
        <v>2.0855803060879995E-2</v>
      </c>
      <c r="L275" s="530">
        <f t="shared" si="338"/>
        <v>2.0855803060879995E-2</v>
      </c>
      <c r="M275" s="530">
        <f t="shared" si="338"/>
        <v>2.0855803060879995E-2</v>
      </c>
      <c r="N275" s="530">
        <f t="shared" si="338"/>
        <v>2.0855803060879995E-2</v>
      </c>
      <c r="O275" s="530">
        <f t="shared" si="338"/>
        <v>2.0855803060879995E-2</v>
      </c>
      <c r="P275" s="530"/>
      <c r="Q275" s="530"/>
      <c r="R275" s="530"/>
      <c r="S275" s="530"/>
      <c r="T275" s="530"/>
    </row>
    <row r="276" spans="2:20" hidden="1" outlineLevel="1"/>
    <row r="277" spans="2:20" hidden="1" outlineLevel="1">
      <c r="B277" s="489" t="s">
        <v>1163</v>
      </c>
      <c r="C277" s="738">
        <f t="shared" ref="C277:I277" si="339">C108</f>
        <v>43.2</v>
      </c>
      <c r="D277" s="738">
        <f t="shared" si="339"/>
        <v>41.024999999999999</v>
      </c>
      <c r="E277" s="738">
        <f t="shared" si="339"/>
        <v>75.20223562999999</v>
      </c>
      <c r="F277" s="738">
        <f t="shared" si="339"/>
        <v>88.5</v>
      </c>
      <c r="G277" s="738">
        <f t="shared" si="339"/>
        <v>94.4</v>
      </c>
      <c r="H277" s="738">
        <f t="shared" si="339"/>
        <v>76.38292122</v>
      </c>
      <c r="I277" s="738">
        <f t="shared" si="339"/>
        <v>75.877529590000009</v>
      </c>
      <c r="J277" s="531">
        <f t="shared" ref="J277:O277" si="340">J$34*J278</f>
        <v>72.929250144855345</v>
      </c>
      <c r="K277" s="531">
        <f t="shared" si="340"/>
        <v>70.32258600111372</v>
      </c>
      <c r="L277" s="531">
        <f t="shared" si="340"/>
        <v>67.84489650544144</v>
      </c>
      <c r="M277" s="531">
        <f t="shared" si="340"/>
        <v>68.684344122178359</v>
      </c>
      <c r="N277" s="531">
        <f t="shared" ca="1" si="340"/>
        <v>65.9196280016196</v>
      </c>
      <c r="O277" s="531">
        <f t="shared" ca="1" si="340"/>
        <v>65.962917011278662</v>
      </c>
      <c r="P277" s="531"/>
      <c r="Q277" s="531"/>
      <c r="R277" s="531"/>
      <c r="S277" s="531"/>
      <c r="T277" s="531"/>
    </row>
    <row r="278" spans="2:20" hidden="1" outlineLevel="1">
      <c r="B278" s="489" t="s">
        <v>1379</v>
      </c>
      <c r="C278" s="490">
        <f t="shared" ref="C278:I278" si="341">C277/C$34</f>
        <v>0.20948298435666418</v>
      </c>
      <c r="D278" s="490">
        <f t="shared" si="341"/>
        <v>0.19261057601838527</v>
      </c>
      <c r="E278" s="490">
        <f t="shared" si="341"/>
        <v>0.26938178585501099</v>
      </c>
      <c r="F278" s="490">
        <f t="shared" si="341"/>
        <v>0.1850303157014426</v>
      </c>
      <c r="G278" s="490">
        <f t="shared" si="341"/>
        <v>0.1899778627490441</v>
      </c>
      <c r="H278" s="490">
        <f t="shared" si="341"/>
        <v>0.15451568887559675</v>
      </c>
      <c r="I278" s="490">
        <f t="shared" si="341"/>
        <v>0.15193593780178197</v>
      </c>
      <c r="J278" s="530">
        <f t="shared" ref="J278:O278" si="342">I278</f>
        <v>0.15193593780178197</v>
      </c>
      <c r="K278" s="530">
        <f t="shared" si="342"/>
        <v>0.15193593780178197</v>
      </c>
      <c r="L278" s="530">
        <f t="shared" si="342"/>
        <v>0.15193593780178197</v>
      </c>
      <c r="M278" s="530">
        <f t="shared" si="342"/>
        <v>0.15193593780178197</v>
      </c>
      <c r="N278" s="530">
        <f t="shared" si="342"/>
        <v>0.15193593780178197</v>
      </c>
      <c r="O278" s="530">
        <f t="shared" si="342"/>
        <v>0.15193593780178197</v>
      </c>
      <c r="P278" s="530"/>
      <c r="Q278" s="530"/>
      <c r="R278" s="530"/>
      <c r="S278" s="530"/>
      <c r="T278" s="530"/>
    </row>
    <row r="279" spans="2:20" hidden="1" outlineLevel="1"/>
    <row r="280" spans="2:20" hidden="1" outlineLevel="1">
      <c r="B280" s="489" t="s">
        <v>1426</v>
      </c>
      <c r="C280" s="738">
        <f t="shared" ref="C280:I280" si="343">C109</f>
        <v>24.910999999999873</v>
      </c>
      <c r="D280" s="738">
        <f t="shared" si="343"/>
        <v>32.963000000000001</v>
      </c>
      <c r="E280" s="738">
        <f t="shared" si="343"/>
        <v>73.551081939999989</v>
      </c>
      <c r="F280" s="738">
        <f t="shared" si="343"/>
        <v>85.9</v>
      </c>
      <c r="G280" s="738">
        <f t="shared" si="343"/>
        <v>78.5</v>
      </c>
      <c r="H280" s="738">
        <f t="shared" si="343"/>
        <v>67.017185529999992</v>
      </c>
      <c r="I280" s="738">
        <f t="shared" si="343"/>
        <v>69.306694039999982</v>
      </c>
      <c r="J280" s="531">
        <f t="shared" ref="J280:O280" si="344">J$34*J281</f>
        <v>66.613729435680654</v>
      </c>
      <c r="K280" s="531">
        <f t="shared" si="344"/>
        <v>64.232796961316751</v>
      </c>
      <c r="L280" s="531">
        <f t="shared" si="344"/>
        <v>61.969670199934782</v>
      </c>
      <c r="M280" s="531">
        <f t="shared" si="344"/>
        <v>62.73642340671632</v>
      </c>
      <c r="N280" s="531">
        <f t="shared" ca="1" si="344"/>
        <v>60.211125926548029</v>
      </c>
      <c r="O280" s="531">
        <f t="shared" ca="1" si="344"/>
        <v>60.250666198403835</v>
      </c>
      <c r="P280" s="531"/>
      <c r="Q280" s="531"/>
      <c r="R280" s="531"/>
      <c r="S280" s="531"/>
      <c r="T280" s="531"/>
    </row>
    <row r="281" spans="2:20" hidden="1" outlineLevel="1">
      <c r="B281" s="489" t="s">
        <v>1379</v>
      </c>
      <c r="C281" s="490">
        <f t="shared" ref="C281:I281" si="345">C280/C$34</f>
        <v>0.12079700516918598</v>
      </c>
      <c r="D281" s="490">
        <f t="shared" si="345"/>
        <v>0.15475983954403494</v>
      </c>
      <c r="E281" s="490">
        <f t="shared" si="345"/>
        <v>0.26346719134851659</v>
      </c>
      <c r="F281" s="490">
        <f t="shared" si="345"/>
        <v>0.1795943968220782</v>
      </c>
      <c r="G281" s="490">
        <f t="shared" si="345"/>
        <v>0.1579794727309318</v>
      </c>
      <c r="H281" s="490">
        <f t="shared" si="345"/>
        <v>0.13556965907138191</v>
      </c>
      <c r="I281" s="490">
        <f t="shared" si="345"/>
        <v>0.13877860299100137</v>
      </c>
      <c r="J281" s="530">
        <f t="shared" ref="J281:O281" si="346">I281</f>
        <v>0.13877860299100137</v>
      </c>
      <c r="K281" s="530">
        <f t="shared" si="346"/>
        <v>0.13877860299100137</v>
      </c>
      <c r="L281" s="530">
        <f t="shared" si="346"/>
        <v>0.13877860299100137</v>
      </c>
      <c r="M281" s="530">
        <f t="shared" si="346"/>
        <v>0.13877860299100137</v>
      </c>
      <c r="N281" s="530">
        <f t="shared" si="346"/>
        <v>0.13877860299100137</v>
      </c>
      <c r="O281" s="530">
        <f t="shared" si="346"/>
        <v>0.13877860299100137</v>
      </c>
      <c r="P281" s="530"/>
      <c r="Q281" s="530"/>
      <c r="R281" s="530"/>
      <c r="S281" s="530"/>
      <c r="T281" s="530"/>
    </row>
    <row r="282" spans="2:20" hidden="1" outlineLevel="1"/>
    <row r="283" spans="2:20" hidden="1" outlineLevel="1">
      <c r="B283" s="489" t="s">
        <v>1427</v>
      </c>
      <c r="C283" s="738">
        <f t="shared" ref="C283:I283" si="347">C104</f>
        <v>35.561999999999983</v>
      </c>
      <c r="D283" s="738">
        <f t="shared" si="347"/>
        <v>23.431000000000026</v>
      </c>
      <c r="E283" s="738">
        <f t="shared" si="347"/>
        <v>151.31006268999977</v>
      </c>
      <c r="F283" s="738">
        <f t="shared" si="347"/>
        <v>99.000000000000043</v>
      </c>
      <c r="G283" s="738">
        <f t="shared" si="347"/>
        <v>63.6</v>
      </c>
      <c r="H283" s="738">
        <f t="shared" si="347"/>
        <v>53.87749481000008</v>
      </c>
      <c r="I283" s="738">
        <f t="shared" si="347"/>
        <v>55.459966289999954</v>
      </c>
      <c r="J283" s="531">
        <f t="shared" ref="J283:O283" si="348">J$34*J284</f>
        <v>53.305026882711019</v>
      </c>
      <c r="K283" s="531">
        <f t="shared" si="348"/>
        <v>51.399778961193107</v>
      </c>
      <c r="L283" s="531">
        <f t="shared" si="348"/>
        <v>49.58880044555648</v>
      </c>
      <c r="M283" s="531">
        <f t="shared" si="348"/>
        <v>50.202364655909825</v>
      </c>
      <c r="N283" s="531">
        <f t="shared" ca="1" si="348"/>
        <v>48.181594295091223</v>
      </c>
      <c r="O283" s="531">
        <f t="shared" ca="1" si="348"/>
        <v>48.213234848353721</v>
      </c>
      <c r="P283" s="531"/>
      <c r="Q283" s="531"/>
      <c r="R283" s="531"/>
      <c r="S283" s="531"/>
      <c r="T283" s="531"/>
    </row>
    <row r="284" spans="2:20" hidden="1" outlineLevel="1">
      <c r="B284" s="489" t="s">
        <v>1379</v>
      </c>
      <c r="C284" s="490">
        <f t="shared" ref="C284:I284" si="349">C283/C$34</f>
        <v>0.17244522892804834</v>
      </c>
      <c r="D284" s="490">
        <f t="shared" si="349"/>
        <v>0.11000751753045192</v>
      </c>
      <c r="E284" s="490">
        <f t="shared" si="349"/>
        <v>0.5420074890566895</v>
      </c>
      <c r="F284" s="490">
        <f t="shared" si="349"/>
        <v>0.20698306502195282</v>
      </c>
      <c r="G284" s="490">
        <f t="shared" si="349"/>
        <v>0.12799356007244919</v>
      </c>
      <c r="H284" s="490">
        <f t="shared" si="349"/>
        <v>0.10898926216085547</v>
      </c>
      <c r="I284" s="490">
        <f t="shared" si="349"/>
        <v>0.1110521393389813</v>
      </c>
      <c r="J284" s="530">
        <f t="shared" ref="J284:O284" si="350">I284</f>
        <v>0.1110521393389813</v>
      </c>
      <c r="K284" s="530">
        <f t="shared" si="350"/>
        <v>0.1110521393389813</v>
      </c>
      <c r="L284" s="530">
        <f t="shared" si="350"/>
        <v>0.1110521393389813</v>
      </c>
      <c r="M284" s="530">
        <f t="shared" si="350"/>
        <v>0.1110521393389813</v>
      </c>
      <c r="N284" s="530">
        <f t="shared" si="350"/>
        <v>0.1110521393389813</v>
      </c>
      <c r="O284" s="530">
        <f t="shared" si="350"/>
        <v>0.1110521393389813</v>
      </c>
      <c r="P284" s="530"/>
      <c r="Q284" s="530"/>
      <c r="R284" s="530"/>
      <c r="S284" s="530"/>
      <c r="T284" s="530"/>
    </row>
    <row r="285" spans="2:20" hidden="1" outlineLevel="1"/>
    <row r="286" spans="2:20" hidden="1" outlineLevel="1">
      <c r="B286" s="489" t="s">
        <v>1364</v>
      </c>
      <c r="C286" s="725">
        <f t="shared" ref="C286:O286" si="351">C265+C268+C271+C274-C277-C280-C283</f>
        <v>-57.772999999999811</v>
      </c>
      <c r="D286" s="725">
        <f t="shared" si="351"/>
        <v>-46.438000000000017</v>
      </c>
      <c r="E286" s="725">
        <f t="shared" si="351"/>
        <v>-216.89420431999972</v>
      </c>
      <c r="F286" s="725">
        <f t="shared" si="351"/>
        <v>-169.99999999999991</v>
      </c>
      <c r="G286" s="725">
        <f t="shared" si="351"/>
        <v>-134.9999999999998</v>
      </c>
      <c r="H286" s="725">
        <f t="shared" si="351"/>
        <v>-95.940056750000053</v>
      </c>
      <c r="I286" s="725">
        <f t="shared" si="351"/>
        <v>-95.448778759999669</v>
      </c>
      <c r="J286" s="725">
        <f t="shared" si="351"/>
        <v>-91.74004345980147</v>
      </c>
      <c r="K286" s="725">
        <f t="shared" si="351"/>
        <v>-88.461037006876467</v>
      </c>
      <c r="L286" s="725">
        <f t="shared" si="351"/>
        <v>-85.344271901498445</v>
      </c>
      <c r="M286" s="725">
        <f t="shared" si="351"/>
        <v>-86.400239989593558</v>
      </c>
      <c r="N286" s="725">
        <f t="shared" ca="1" si="351"/>
        <v>-82.922414884436265</v>
      </c>
      <c r="O286" s="725">
        <f t="shared" ca="1" si="351"/>
        <v>-82.97686951847632</v>
      </c>
      <c r="P286" s="725"/>
      <c r="Q286" s="725"/>
      <c r="R286" s="725"/>
      <c r="S286" s="725"/>
      <c r="T286" s="725"/>
    </row>
    <row r="287" spans="2:20" hidden="1" outlineLevel="1">
      <c r="B287" s="489" t="s">
        <v>1363</v>
      </c>
      <c r="C287" s="725"/>
      <c r="D287" s="725">
        <f t="shared" ref="D287:O287" si="352">D286-C286</f>
        <v>11.334999999999795</v>
      </c>
      <c r="E287" s="725">
        <f t="shared" si="352"/>
        <v>-170.4562043199997</v>
      </c>
      <c r="F287" s="725">
        <f t="shared" si="352"/>
        <v>46.894204319999801</v>
      </c>
      <c r="G287" s="725">
        <f t="shared" si="352"/>
        <v>35.000000000000114</v>
      </c>
      <c r="H287" s="725">
        <f t="shared" si="352"/>
        <v>39.059943249999748</v>
      </c>
      <c r="I287" s="725">
        <f t="shared" si="352"/>
        <v>0.49127799000038408</v>
      </c>
      <c r="J287" s="725">
        <f t="shared" si="352"/>
        <v>3.7087353001981995</v>
      </c>
      <c r="K287" s="725">
        <f t="shared" si="352"/>
        <v>3.2790064529250031</v>
      </c>
      <c r="L287" s="725">
        <f t="shared" si="352"/>
        <v>3.1167651053780219</v>
      </c>
      <c r="M287" s="725">
        <f t="shared" si="352"/>
        <v>-1.0559680880951134</v>
      </c>
      <c r="N287" s="725">
        <f t="shared" ca="1" si="352"/>
        <v>3.4778251051572937</v>
      </c>
      <c r="O287" s="725">
        <f t="shared" ca="1" si="352"/>
        <v>-5.4454634040055794E-2</v>
      </c>
      <c r="P287" s="725"/>
      <c r="Q287" s="725"/>
      <c r="R287" s="725"/>
      <c r="S287" s="725"/>
      <c r="T287" s="725"/>
    </row>
    <row r="288" spans="2:20" hidden="1" outlineLevel="1">
      <c r="D288" s="486"/>
    </row>
    <row r="289" spans="1:20" collapsed="1"/>
    <row r="290" spans="1:20" s="513" customFormat="1">
      <c r="A290" s="722"/>
      <c r="B290" s="513" t="s">
        <v>1009</v>
      </c>
      <c r="P290" s="722"/>
      <c r="Q290" s="722"/>
      <c r="R290" s="722"/>
      <c r="S290" s="722"/>
      <c r="T290" s="722"/>
    </row>
    <row r="292" spans="1:20" hidden="1" outlineLevel="1">
      <c r="B292" s="489" t="s">
        <v>1240</v>
      </c>
      <c r="C292" s="725">
        <f t="shared" ref="C292:T292" si="353">C73</f>
        <v>-4.499999999994897E-2</v>
      </c>
      <c r="D292" s="725">
        <f t="shared" si="353"/>
        <v>-13.885004207910933</v>
      </c>
      <c r="E292" s="725">
        <f t="shared" si="353"/>
        <v>-65.476235310000106</v>
      </c>
      <c r="F292" s="725">
        <f t="shared" si="353"/>
        <v>-8.3529999999999855</v>
      </c>
      <c r="G292" s="725">
        <f t="shared" si="353"/>
        <v>-28.610000000000024</v>
      </c>
      <c r="H292" s="725">
        <f t="shared" si="353"/>
        <v>-171.07461907799956</v>
      </c>
      <c r="I292" s="725">
        <f t="shared" si="353"/>
        <v>-36.811425280000051</v>
      </c>
      <c r="J292" s="725">
        <f t="shared" si="353"/>
        <v>-184.54872087000001</v>
      </c>
      <c r="K292" s="725">
        <f t="shared" ca="1" si="353"/>
        <v>-92.696041809999997</v>
      </c>
      <c r="L292" s="725">
        <f t="shared" ca="1" si="353"/>
        <v>-125.09682117999998</v>
      </c>
      <c r="M292" s="725">
        <f t="shared" ca="1" si="353"/>
        <v>-53.767659138334061</v>
      </c>
      <c r="N292" s="725">
        <f t="shared" ca="1" si="353"/>
        <v>-71.7072964161475</v>
      </c>
      <c r="O292" s="725">
        <f t="shared" ca="1" si="353"/>
        <v>-58.298509209114968</v>
      </c>
      <c r="P292" s="725">
        <f t="shared" ca="1" si="353"/>
        <v>199.68398168306288</v>
      </c>
      <c r="Q292" s="725">
        <f t="shared" ca="1" si="353"/>
        <v>218.62711092244257</v>
      </c>
      <c r="R292" s="725">
        <f t="shared" ca="1" si="353"/>
        <v>239.10503433769716</v>
      </c>
      <c r="S292" s="725">
        <f t="shared" ca="1" si="353"/>
        <v>263.47661400054051</v>
      </c>
      <c r="T292" s="725">
        <f t="shared" ca="1" si="353"/>
        <v>288.79495662173173</v>
      </c>
    </row>
    <row r="293" spans="1:20" hidden="1" outlineLevel="1">
      <c r="B293" s="489" t="s">
        <v>1408</v>
      </c>
      <c r="C293" s="754">
        <f>'SOP OLD'!C38</f>
        <v>0.33</v>
      </c>
      <c r="D293" s="754">
        <f>'SOP OLD'!D38</f>
        <v>0.33</v>
      </c>
      <c r="E293" s="754">
        <f>'SOP OLD'!E38</f>
        <v>0.33</v>
      </c>
      <c r="F293" s="754">
        <f>'SOP OLD'!F38</f>
        <v>0.3</v>
      </c>
      <c r="G293" s="754">
        <f>'SOP OLD'!G38</f>
        <v>0.3</v>
      </c>
      <c r="H293" s="754">
        <f>'SOP OLD'!H38</f>
        <v>0.3</v>
      </c>
      <c r="I293" s="754">
        <f>'SOP OLD'!I38</f>
        <v>0.3</v>
      </c>
      <c r="J293" s="515">
        <f>'SOP OLD'!J38</f>
        <v>0.3</v>
      </c>
      <c r="K293" s="515">
        <f>'SOP OLD'!K38</f>
        <v>0.3</v>
      </c>
      <c r="L293" s="515">
        <f>'SOP OLD'!L38</f>
        <v>0.3</v>
      </c>
      <c r="M293" s="515">
        <f>'SOP OLD'!M38</f>
        <v>0.3</v>
      </c>
      <c r="N293" s="515">
        <f>'SOP OLD'!N38</f>
        <v>0.3</v>
      </c>
      <c r="O293" s="515">
        <f>'SOP OLD'!O38</f>
        <v>0.3</v>
      </c>
      <c r="P293" s="515">
        <f>'SOP OLD'!P38</f>
        <v>0</v>
      </c>
      <c r="Q293" s="515">
        <f>'SOP OLD'!Q38</f>
        <v>0</v>
      </c>
      <c r="R293" s="515">
        <f>'SOP OLD'!R38</f>
        <v>0</v>
      </c>
      <c r="S293" s="515">
        <f>'SOP OLD'!S38</f>
        <v>0</v>
      </c>
      <c r="T293" s="515">
        <f>'SOP OLD'!T38</f>
        <v>0</v>
      </c>
    </row>
    <row r="294" spans="1:20" hidden="1" outlineLevel="1">
      <c r="B294" s="489" t="s">
        <v>1407</v>
      </c>
      <c r="C294" s="725">
        <f t="shared" ref="C294:O294" si="354">C292*-C293</f>
        <v>1.4849999999983161E-2</v>
      </c>
      <c r="D294" s="725">
        <f t="shared" si="354"/>
        <v>4.5820513886106085</v>
      </c>
      <c r="E294" s="725">
        <f t="shared" si="354"/>
        <v>21.607157652300035</v>
      </c>
      <c r="F294" s="725">
        <f t="shared" si="354"/>
        <v>2.5058999999999956</v>
      </c>
      <c r="G294" s="725">
        <f t="shared" si="354"/>
        <v>8.5830000000000073</v>
      </c>
      <c r="H294" s="725">
        <f t="shared" si="354"/>
        <v>51.322385723399869</v>
      </c>
      <c r="I294" s="725">
        <f t="shared" si="354"/>
        <v>11.043427584000016</v>
      </c>
      <c r="J294" s="725">
        <f t="shared" si="354"/>
        <v>55.364616261000002</v>
      </c>
      <c r="K294" s="725">
        <f t="shared" ca="1" si="354"/>
        <v>27.808812542999998</v>
      </c>
      <c r="L294" s="725">
        <f t="shared" ca="1" si="354"/>
        <v>37.529046353999995</v>
      </c>
      <c r="M294" s="725">
        <f t="shared" ca="1" si="354"/>
        <v>16.130297741500218</v>
      </c>
      <c r="N294" s="725">
        <f t="shared" ca="1" si="354"/>
        <v>21.512188924844249</v>
      </c>
      <c r="O294" s="725">
        <f t="shared" ca="1" si="354"/>
        <v>17.48955276273449</v>
      </c>
      <c r="P294" s="725">
        <f ca="1">P292*-P293</f>
        <v>0</v>
      </c>
      <c r="Q294" s="725">
        <f ca="1">Q292*-Q293</f>
        <v>0</v>
      </c>
      <c r="R294" s="725">
        <f ca="1">R292*-R293</f>
        <v>0</v>
      </c>
      <c r="S294" s="725">
        <f ca="1">S292*-S293</f>
        <v>0</v>
      </c>
      <c r="T294" s="725">
        <f ca="1">T292*-T293</f>
        <v>0</v>
      </c>
    </row>
    <row r="295" spans="1:20" hidden="1" outlineLevel="1"/>
    <row r="296" spans="1:20" hidden="1" outlineLevel="1">
      <c r="B296" s="489" t="s">
        <v>1409</v>
      </c>
      <c r="C296" s="725">
        <f t="shared" ref="C296:I296" si="355">C298-C294</f>
        <v>-8.6078499999999831</v>
      </c>
      <c r="D296" s="725">
        <f t="shared" si="355"/>
        <v>-12.591227198610609</v>
      </c>
      <c r="E296" s="725">
        <f t="shared" si="355"/>
        <v>-22.511456602300033</v>
      </c>
      <c r="F296" s="725">
        <f t="shared" si="355"/>
        <v>-2.1058999999999957</v>
      </c>
      <c r="G296" s="725">
        <f t="shared" si="355"/>
        <v>3.443999999999992</v>
      </c>
      <c r="H296" s="725">
        <f t="shared" si="355"/>
        <v>-41.471913753399868</v>
      </c>
      <c r="I296" s="725">
        <f t="shared" si="355"/>
        <v>-9.7821473640000178</v>
      </c>
      <c r="J296" s="726">
        <v>0</v>
      </c>
      <c r="K296" s="726">
        <v>0</v>
      </c>
      <c r="L296" s="726">
        <v>0</v>
      </c>
      <c r="M296" s="726">
        <v>0</v>
      </c>
      <c r="N296" s="726">
        <v>0</v>
      </c>
      <c r="O296" s="726">
        <v>0</v>
      </c>
      <c r="P296" s="726">
        <v>1</v>
      </c>
      <c r="Q296" s="726">
        <v>2</v>
      </c>
      <c r="R296" s="726">
        <v>3</v>
      </c>
      <c r="S296" s="726">
        <v>4</v>
      </c>
      <c r="T296" s="726">
        <v>5</v>
      </c>
    </row>
    <row r="297" spans="1:20" hidden="1" outlineLevel="1"/>
    <row r="298" spans="1:20" hidden="1" outlineLevel="1">
      <c r="B298" s="489" t="s">
        <v>1241</v>
      </c>
      <c r="C298" s="739">
        <f t="shared" ref="C298:I298" si="356">C76</f>
        <v>-8.593</v>
      </c>
      <c r="D298" s="739">
        <f t="shared" si="356"/>
        <v>-8.0091758100000003</v>
      </c>
      <c r="E298" s="739">
        <f t="shared" si="356"/>
        <v>-0.90429894999999927</v>
      </c>
      <c r="F298" s="739">
        <f t="shared" si="356"/>
        <v>0.4</v>
      </c>
      <c r="G298" s="739">
        <f t="shared" si="356"/>
        <v>12.026999999999999</v>
      </c>
      <c r="H298" s="739">
        <f t="shared" si="356"/>
        <v>9.850471970000001</v>
      </c>
      <c r="I298" s="739">
        <f t="shared" si="356"/>
        <v>1.2612802199999977</v>
      </c>
      <c r="J298" s="725">
        <f t="shared" ref="J298:O298" si="357">J294+J296</f>
        <v>55.364616261000002</v>
      </c>
      <c r="K298" s="725">
        <f t="shared" ca="1" si="357"/>
        <v>27.808812542999998</v>
      </c>
      <c r="L298" s="725">
        <f t="shared" ca="1" si="357"/>
        <v>37.529046353999995</v>
      </c>
      <c r="M298" s="725">
        <f t="shared" ca="1" si="357"/>
        <v>16.130297741500218</v>
      </c>
      <c r="N298" s="725">
        <f t="shared" ca="1" si="357"/>
        <v>21.512188924844249</v>
      </c>
      <c r="O298" s="725">
        <f t="shared" ca="1" si="357"/>
        <v>17.48955276273449</v>
      </c>
      <c r="P298" s="725">
        <f ca="1">P294+P296</f>
        <v>1</v>
      </c>
      <c r="Q298" s="725">
        <f ca="1">Q294+Q296</f>
        <v>2</v>
      </c>
      <c r="R298" s="725">
        <f ca="1">R294+R296</f>
        <v>3</v>
      </c>
      <c r="S298" s="725">
        <f ca="1">S294+S296</f>
        <v>4</v>
      </c>
      <c r="T298" s="725">
        <f ca="1">T294+T296</f>
        <v>5</v>
      </c>
    </row>
    <row r="299" spans="1:20" hidden="1" outlineLevel="1">
      <c r="B299" s="489" t="s">
        <v>1242</v>
      </c>
      <c r="C299" s="514">
        <f t="shared" ref="C299:O299" si="358">C298/-C292</f>
        <v>-190.95555555577209</v>
      </c>
      <c r="D299" s="514">
        <f t="shared" si="358"/>
        <v>-0.57682199371871989</v>
      </c>
      <c r="E299" s="514">
        <f t="shared" si="358"/>
        <v>-1.3811101779425104E-2</v>
      </c>
      <c r="F299" s="514">
        <f t="shared" si="358"/>
        <v>4.7886986711361275E-2</v>
      </c>
      <c r="G299" s="514">
        <f t="shared" si="358"/>
        <v>0.42037749038797584</v>
      </c>
      <c r="H299" s="514">
        <f t="shared" si="358"/>
        <v>5.7579973131542027E-2</v>
      </c>
      <c r="I299" s="514">
        <f t="shared" si="358"/>
        <v>3.4263281315686019E-2</v>
      </c>
      <c r="J299" s="514">
        <f t="shared" si="358"/>
        <v>0.3</v>
      </c>
      <c r="K299" s="514">
        <f t="shared" ca="1" si="358"/>
        <v>0.3</v>
      </c>
      <c r="L299" s="514">
        <f t="shared" ca="1" si="358"/>
        <v>0.3</v>
      </c>
      <c r="M299" s="514">
        <f t="shared" ca="1" si="358"/>
        <v>0.3</v>
      </c>
      <c r="N299" s="514">
        <f t="shared" ca="1" si="358"/>
        <v>0.3</v>
      </c>
      <c r="O299" s="514">
        <f t="shared" ca="1" si="358"/>
        <v>0.3</v>
      </c>
      <c r="P299" s="514">
        <f ca="1">P298/-P292</f>
        <v>-5.0079129611267145E-3</v>
      </c>
      <c r="Q299" s="514">
        <f ca="1">Q298/-Q292</f>
        <v>-9.1479962917750627E-3</v>
      </c>
      <c r="R299" s="514">
        <f ca="1">R298/-R292</f>
        <v>-1.2546787265729359E-2</v>
      </c>
      <c r="S299" s="514">
        <f ca="1">S298/-S292</f>
        <v>-1.5181613044381214E-2</v>
      </c>
      <c r="T299" s="514">
        <f ca="1">T298/-T292</f>
        <v>-1.7313321736948061E-2</v>
      </c>
    </row>
    <row r="300" spans="1:20" hidden="1" outlineLevel="1"/>
    <row r="301" spans="1:20" hidden="1" outlineLevel="1">
      <c r="B301" s="489" t="s">
        <v>1243</v>
      </c>
      <c r="C301" s="739">
        <f t="shared" ref="C301:I301" si="359">C130</f>
        <v>-7.5</v>
      </c>
      <c r="D301" s="739">
        <f t="shared" si="359"/>
        <v>-2.7389999999999999</v>
      </c>
      <c r="E301" s="739">
        <f t="shared" si="359"/>
        <v>-10.70042179</v>
      </c>
      <c r="F301" s="739">
        <f t="shared" si="359"/>
        <v>-10.9</v>
      </c>
      <c r="G301" s="739">
        <f t="shared" si="359"/>
        <v>-6.8</v>
      </c>
      <c r="H301" s="739">
        <f t="shared" si="359"/>
        <v>-4.048</v>
      </c>
      <c r="I301" s="739">
        <f t="shared" si="359"/>
        <v>-8.92</v>
      </c>
      <c r="J301" s="725">
        <f t="shared" ref="J301:O301" si="360">MIN(0, J292*-J302)</f>
        <v>0</v>
      </c>
      <c r="K301" s="725">
        <f t="shared" ca="1" si="360"/>
        <v>0</v>
      </c>
      <c r="L301" s="725">
        <f t="shared" ca="1" si="360"/>
        <v>0</v>
      </c>
      <c r="M301" s="725">
        <f t="shared" ca="1" si="360"/>
        <v>0</v>
      </c>
      <c r="N301" s="725">
        <f t="shared" ca="1" si="360"/>
        <v>0</v>
      </c>
      <c r="O301" s="725">
        <f t="shared" ca="1" si="360"/>
        <v>0</v>
      </c>
      <c r="P301" s="725">
        <f ca="1">MIN(0, P292*-P302)</f>
        <v>-259.58917618798176</v>
      </c>
      <c r="Q301" s="725">
        <f ca="1">MIN(0, Q292*-Q302)</f>
        <v>-502.84235512161786</v>
      </c>
      <c r="R301" s="725">
        <f ca="1">MIN(0, R292*-R302)</f>
        <v>-789.04661331440059</v>
      </c>
      <c r="S301" s="725">
        <f ca="1">MIN(0, S292*-S302)</f>
        <v>-1132.9494402023242</v>
      </c>
      <c r="T301" s="725">
        <f ca="1">MIN(0, T292*-T302)</f>
        <v>-1530.613270095178</v>
      </c>
    </row>
    <row r="302" spans="1:20" hidden="1" outlineLevel="1">
      <c r="B302" s="489" t="s">
        <v>1242</v>
      </c>
      <c r="C302" s="514">
        <f t="shared" ref="C302:I302" si="361">C301/-C292</f>
        <v>-166.66666666685566</v>
      </c>
      <c r="D302" s="514">
        <f t="shared" si="361"/>
        <v>-0.19726317392395631</v>
      </c>
      <c r="E302" s="514">
        <f t="shared" si="361"/>
        <v>-0.16342451179940912</v>
      </c>
      <c r="F302" s="514">
        <f t="shared" si="361"/>
        <v>-1.3049203878845947</v>
      </c>
      <c r="G302" s="514">
        <f t="shared" si="361"/>
        <v>-0.23767913317021999</v>
      </c>
      <c r="H302" s="514">
        <f t="shared" si="361"/>
        <v>-2.3662189176960023E-2</v>
      </c>
      <c r="I302" s="514">
        <f t="shared" si="361"/>
        <v>-0.24231607258212598</v>
      </c>
      <c r="J302" s="523">
        <v>0.3</v>
      </c>
      <c r="K302" s="523">
        <v>0.3</v>
      </c>
      <c r="L302" s="523">
        <v>0.3</v>
      </c>
      <c r="M302" s="523">
        <v>0.3</v>
      </c>
      <c r="N302" s="523">
        <v>0.3</v>
      </c>
      <c r="O302" s="523">
        <v>0.3</v>
      </c>
      <c r="P302" s="523">
        <v>1.3</v>
      </c>
      <c r="Q302" s="523">
        <v>2.2999999999999998</v>
      </c>
      <c r="R302" s="523">
        <v>3.3</v>
      </c>
      <c r="S302" s="523">
        <v>4.3</v>
      </c>
      <c r="T302" s="523">
        <v>5.3</v>
      </c>
    </row>
    <row r="303" spans="1:20" hidden="1" outlineLevel="1"/>
    <row r="304" spans="1:20" hidden="1" outlineLevel="1">
      <c r="B304" s="489" t="s">
        <v>1244</v>
      </c>
      <c r="C304" s="725">
        <f t="shared" ref="C304:O304" si="362">C301-C298</f>
        <v>1.093</v>
      </c>
      <c r="D304" s="725">
        <f t="shared" si="362"/>
        <v>5.2701758100000005</v>
      </c>
      <c r="E304" s="725">
        <f t="shared" si="362"/>
        <v>-9.7961228400000007</v>
      </c>
      <c r="F304" s="725">
        <f t="shared" si="362"/>
        <v>-11.3</v>
      </c>
      <c r="G304" s="725">
        <f t="shared" si="362"/>
        <v>-18.826999999999998</v>
      </c>
      <c r="H304" s="725">
        <f t="shared" si="362"/>
        <v>-13.898471970000001</v>
      </c>
      <c r="I304" s="725">
        <f t="shared" si="362"/>
        <v>-10.181280219999998</v>
      </c>
      <c r="J304" s="725">
        <f t="shared" si="362"/>
        <v>-55.364616261000002</v>
      </c>
      <c r="K304" s="725">
        <f t="shared" ca="1" si="362"/>
        <v>-27.808812542999998</v>
      </c>
      <c r="L304" s="725">
        <f t="shared" ca="1" si="362"/>
        <v>-37.529046353999995</v>
      </c>
      <c r="M304" s="725">
        <f t="shared" ca="1" si="362"/>
        <v>-16.130297741500218</v>
      </c>
      <c r="N304" s="725">
        <f t="shared" ca="1" si="362"/>
        <v>-21.512188924844249</v>
      </c>
      <c r="O304" s="725">
        <f t="shared" ca="1" si="362"/>
        <v>-17.48955276273449</v>
      </c>
      <c r="P304" s="725">
        <f ca="1">P301-P298</f>
        <v>-260.58917618798176</v>
      </c>
      <c r="Q304" s="725">
        <f ca="1">Q301-Q298</f>
        <v>-504.84235512161786</v>
      </c>
      <c r="R304" s="725">
        <f ca="1">R301-R298</f>
        <v>-792.04661331440059</v>
      </c>
      <c r="S304" s="725">
        <f ca="1">S301-S298</f>
        <v>-1136.9494402023242</v>
      </c>
      <c r="T304" s="725">
        <f ca="1">T301-T298</f>
        <v>-1535.613270095178</v>
      </c>
    </row>
    <row r="305" spans="1:20" hidden="1" outlineLevel="1">
      <c r="B305" s="489" t="s">
        <v>1270</v>
      </c>
      <c r="C305" s="725">
        <f ca="1">NPV('SOP OLD'!$D$44,Model!C304:K304)</f>
        <v>-91.4627256652591</v>
      </c>
      <c r="D305" s="725">
        <f ca="1">NPV('SOP OLD'!$D$44,Model!D304:L304)</f>
        <v>-119.97337401686548</v>
      </c>
      <c r="E305" s="725">
        <f ca="1">NPV('SOP OLD'!$D$44,Model!E304:M304)</f>
        <v>-142.10958581176018</v>
      </c>
      <c r="F305" s="725">
        <f ca="1">NPV('SOP OLD'!$D$44,Model!F304:N304)</f>
        <v>-153.67960888977106</v>
      </c>
      <c r="G305" s="725">
        <f ca="1">NPV('SOP OLD'!$D$44,Model!G304:O304)</f>
        <v>-162.15347261745993</v>
      </c>
      <c r="H305" s="725">
        <f ca="1">NPV('SOP OLD'!$D$44,Model!H304:U304)</f>
        <v>-2222.5968096977535</v>
      </c>
      <c r="I305" s="725">
        <f ca="1">NPV('SOP OLD'!$D$44,Model!I304:V304)</f>
        <v>-2348.7219367387115</v>
      </c>
      <c r="J305" s="725">
        <f ca="1">NPV('SOP OLD'!$D$44,Model!J304:W304)</f>
        <v>-2486.5101385332505</v>
      </c>
      <c r="K305" s="725">
        <f ca="1">NPV('SOP OLD'!$D$44,Model!K304:X304)</f>
        <v>-2587.795660999845</v>
      </c>
      <c r="L305" s="725">
        <f ca="1">NPV('SOP OLD'!$D$44,Model!L304:Y304)</f>
        <v>-2723.0179750998354</v>
      </c>
      <c r="M305" s="725">
        <f ca="1">NPV('SOP OLD'!$D$44,Model!M304:Z304)</f>
        <v>-2857.0390611771245</v>
      </c>
      <c r="N305" s="725">
        <f ca="1">NPV('SOP OLD'!$D$44,Model!N304:AA304)</f>
        <v>-3020.9022242897831</v>
      </c>
      <c r="O305" s="725">
        <f ca="1">NPV('SOP OLD'!$D$44,Model!O304:AB304)</f>
        <v>-3189.7068754951952</v>
      </c>
      <c r="P305" s="725">
        <f ca="1">NPV('SOP OLD'!$D$44,Model!P304:AC304)</f>
        <v>-3373.1688558886572</v>
      </c>
      <c r="Q305" s="725">
        <f ca="1">NPV('SOP OLD'!$D$44,Model!Q304:AD304)</f>
        <v>-3325.0893176216614</v>
      </c>
      <c r="R305" s="725">
        <f ca="1">NPV('SOP OLD'!$D$44,Model!R304:AE304)</f>
        <v>-3029.7275895102075</v>
      </c>
      <c r="S305" s="725">
        <f ca="1">NPV('SOP OLD'!$D$44,Model!S304:AF304)</f>
        <v>-2428.5538143349495</v>
      </c>
      <c r="T305" s="725">
        <f ca="1">NPV('SOP OLD'!$D$44,Model!T304:AG304)</f>
        <v>-1444.6032644357272</v>
      </c>
    </row>
    <row r="306" spans="1:20" hidden="1" outlineLevel="1"/>
    <row r="307" spans="1:20" collapsed="1"/>
    <row r="308" spans="1:20" s="513" customFormat="1">
      <c r="A308" s="722"/>
      <c r="B308" s="513" t="s">
        <v>1245</v>
      </c>
      <c r="P308" s="722"/>
      <c r="Q308" s="722"/>
      <c r="R308" s="722"/>
      <c r="S308" s="722"/>
      <c r="T308" s="722"/>
    </row>
    <row r="310" spans="1:20" hidden="1" outlineLevel="1">
      <c r="B310" s="489" t="s">
        <v>1421</v>
      </c>
      <c r="C310" s="725"/>
      <c r="D310" s="725"/>
      <c r="E310" s="725"/>
      <c r="F310" s="725"/>
      <c r="G310" s="726">
        <v>-52</v>
      </c>
      <c r="H310" s="725"/>
      <c r="I310" s="725"/>
      <c r="J310" s="725"/>
      <c r="K310" s="725"/>
      <c r="L310" s="725"/>
      <c r="M310" s="725"/>
      <c r="N310" s="725"/>
      <c r="O310" s="725"/>
      <c r="P310" s="725"/>
      <c r="Q310" s="725"/>
      <c r="R310" s="725"/>
      <c r="S310" s="725"/>
      <c r="T310" s="725"/>
    </row>
    <row r="311" spans="1:20" hidden="1" outlineLevel="1">
      <c r="B311" s="489" t="s">
        <v>1420</v>
      </c>
      <c r="C311" s="725"/>
      <c r="D311" s="725"/>
      <c r="E311" s="725"/>
      <c r="F311" s="725"/>
      <c r="G311" s="725"/>
      <c r="H311" s="725"/>
      <c r="I311" s="726">
        <v>-7.4219999999999997</v>
      </c>
      <c r="J311" s="725"/>
      <c r="K311" s="725"/>
      <c r="L311" s="725"/>
      <c r="M311" s="725"/>
      <c r="N311" s="725"/>
      <c r="O311" s="725"/>
      <c r="P311" s="725"/>
      <c r="Q311" s="725"/>
      <c r="R311" s="725"/>
      <c r="S311" s="725"/>
      <c r="T311" s="725"/>
    </row>
    <row r="312" spans="1:20" hidden="1" outlineLevel="1">
      <c r="B312" s="489" t="s">
        <v>1246</v>
      </c>
      <c r="C312" s="725"/>
      <c r="D312" s="725"/>
      <c r="E312" s="725"/>
      <c r="F312" s="725"/>
      <c r="G312" s="725"/>
      <c r="H312" s="725"/>
      <c r="I312" s="725"/>
      <c r="J312" s="725"/>
      <c r="K312" s="725"/>
      <c r="L312" s="725"/>
      <c r="M312" s="725"/>
      <c r="N312" s="725"/>
      <c r="O312" s="725"/>
      <c r="P312" s="725"/>
      <c r="Q312" s="725"/>
      <c r="R312" s="725"/>
      <c r="S312" s="725"/>
      <c r="T312" s="725"/>
    </row>
    <row r="313" spans="1:20" hidden="1" outlineLevel="1">
      <c r="B313" s="489" t="s">
        <v>1247</v>
      </c>
      <c r="C313" s="750">
        <f t="shared" ref="C313:O313" si="363">SUM(C310:C312)</f>
        <v>0</v>
      </c>
      <c r="D313" s="750">
        <f t="shared" si="363"/>
        <v>0</v>
      </c>
      <c r="E313" s="750">
        <f t="shared" si="363"/>
        <v>0</v>
      </c>
      <c r="F313" s="750">
        <f t="shared" si="363"/>
        <v>0</v>
      </c>
      <c r="G313" s="750">
        <f t="shared" si="363"/>
        <v>-52</v>
      </c>
      <c r="H313" s="750">
        <f t="shared" si="363"/>
        <v>0</v>
      </c>
      <c r="I313" s="750">
        <f t="shared" si="363"/>
        <v>-7.4219999999999997</v>
      </c>
      <c r="J313" s="750">
        <f t="shared" si="363"/>
        <v>0</v>
      </c>
      <c r="K313" s="750">
        <f t="shared" si="363"/>
        <v>0</v>
      </c>
      <c r="L313" s="750">
        <f t="shared" si="363"/>
        <v>0</v>
      </c>
      <c r="M313" s="750">
        <f t="shared" si="363"/>
        <v>0</v>
      </c>
      <c r="N313" s="750">
        <f t="shared" si="363"/>
        <v>0</v>
      </c>
      <c r="O313" s="750">
        <f t="shared" si="363"/>
        <v>0</v>
      </c>
      <c r="P313" s="725"/>
      <c r="Q313" s="725"/>
      <c r="R313" s="725"/>
      <c r="S313" s="725"/>
      <c r="T313" s="725"/>
    </row>
    <row r="314" spans="1:20" hidden="1" outlineLevel="1"/>
    <row r="315" spans="1:20" collapsed="1"/>
    <row r="316" spans="1:20" s="513" customFormat="1">
      <c r="A316" s="722"/>
      <c r="B316" s="513" t="s">
        <v>49</v>
      </c>
      <c r="P316" s="722"/>
      <c r="Q316" s="722"/>
      <c r="R316" s="722"/>
      <c r="S316" s="722"/>
      <c r="T316" s="722"/>
    </row>
    <row r="318" spans="1:20" s="58" customFormat="1" hidden="1" outlineLevel="1">
      <c r="B318" s="58" t="s">
        <v>1365</v>
      </c>
      <c r="C318" s="741">
        <f t="shared" ref="C318:I318" si="364">C116</f>
        <v>-61.534999999999997</v>
      </c>
      <c r="D318" s="741">
        <f t="shared" si="364"/>
        <v>-107.316</v>
      </c>
      <c r="E318" s="741">
        <f t="shared" si="364"/>
        <v>545.68164860000002</v>
      </c>
      <c r="F318" s="741">
        <f t="shared" si="364"/>
        <v>529.6</v>
      </c>
      <c r="G318" s="741">
        <f t="shared" si="364"/>
        <v>517.20000000000005</v>
      </c>
      <c r="H318" s="741">
        <f t="shared" si="364"/>
        <v>354.66833104</v>
      </c>
      <c r="I318" s="741">
        <f t="shared" si="364"/>
        <v>318.57911505999999</v>
      </c>
      <c r="J318" s="727">
        <f t="shared" ref="J318:O318" si="365">I318+J319+J320</f>
        <v>131.03039418999998</v>
      </c>
      <c r="K318" s="727">
        <f t="shared" ca="1" si="365"/>
        <v>45.034352379999987</v>
      </c>
      <c r="L318" s="727">
        <f t="shared" ca="1" si="365"/>
        <v>-82.845536650330104</v>
      </c>
      <c r="M318" s="727">
        <f t="shared" ca="1" si="365"/>
        <v>-120.48289804716394</v>
      </c>
      <c r="N318" s="727">
        <f t="shared" ca="1" si="365"/>
        <v>-170.67800553846718</v>
      </c>
      <c r="O318" s="727">
        <f t="shared" ca="1" si="365"/>
        <v>-211.48696198484765</v>
      </c>
      <c r="P318" s="727"/>
      <c r="Q318" s="727"/>
      <c r="R318" s="727"/>
      <c r="S318" s="727"/>
      <c r="T318" s="727"/>
    </row>
    <row r="319" spans="1:20" hidden="1" outlineLevel="1">
      <c r="B319" s="489" t="s">
        <v>1248</v>
      </c>
      <c r="C319" s="725">
        <f t="shared" ref="C319:O319" si="366">C77</f>
        <v>-8.6379999999999484</v>
      </c>
      <c r="D319" s="725">
        <f t="shared" si="366"/>
        <v>-21.894180017910934</v>
      </c>
      <c r="E319" s="725">
        <f t="shared" si="366"/>
        <v>-66.380534260000104</v>
      </c>
      <c r="F319" s="725">
        <f t="shared" si="366"/>
        <v>-7.9529999999999852</v>
      </c>
      <c r="G319" s="725">
        <f t="shared" si="366"/>
        <v>-16.583000000000027</v>
      </c>
      <c r="H319" s="725">
        <f t="shared" si="366"/>
        <v>-161.22414710799956</v>
      </c>
      <c r="I319" s="725">
        <f t="shared" si="366"/>
        <v>-35.550145060000055</v>
      </c>
      <c r="J319" s="725">
        <f t="shared" si="366"/>
        <v>-187.54872087000001</v>
      </c>
      <c r="K319" s="725">
        <f t="shared" ca="1" si="366"/>
        <v>-85.996041809999994</v>
      </c>
      <c r="L319" s="725">
        <f t="shared" ca="1" si="366"/>
        <v>-124.89682117999998</v>
      </c>
      <c r="M319" s="725">
        <f t="shared" ca="1" si="366"/>
        <v>-37.637361396833839</v>
      </c>
      <c r="N319" s="725">
        <f t="shared" ca="1" si="366"/>
        <v>-50.195107491303247</v>
      </c>
      <c r="O319" s="725">
        <f t="shared" ca="1" si="366"/>
        <v>-40.808956446380478</v>
      </c>
      <c r="P319" s="725"/>
      <c r="Q319" s="725"/>
      <c r="R319" s="725"/>
      <c r="S319" s="725"/>
      <c r="T319" s="725"/>
    </row>
    <row r="320" spans="1:20" hidden="1" outlineLevel="1">
      <c r="B320" s="489" t="s">
        <v>309</v>
      </c>
      <c r="C320" s="725"/>
      <c r="D320" s="725">
        <f t="shared" ref="D320:O320" si="367">-C400</f>
        <v>0</v>
      </c>
      <c r="E320" s="725">
        <f t="shared" si="367"/>
        <v>0</v>
      </c>
      <c r="F320" s="725">
        <f t="shared" si="367"/>
        <v>0</v>
      </c>
      <c r="G320" s="725">
        <f t="shared" si="367"/>
        <v>0</v>
      </c>
      <c r="H320" s="725">
        <f t="shared" si="367"/>
        <v>0</v>
      </c>
      <c r="I320" s="725">
        <f t="shared" si="367"/>
        <v>0</v>
      </c>
      <c r="J320" s="725">
        <f t="shared" si="367"/>
        <v>0</v>
      </c>
      <c r="K320" s="725">
        <f t="shared" si="367"/>
        <v>0</v>
      </c>
      <c r="L320" s="725">
        <f t="shared" ca="1" si="367"/>
        <v>-2.9830678503301118</v>
      </c>
      <c r="M320" s="725">
        <f t="shared" ca="1" si="367"/>
        <v>0</v>
      </c>
      <c r="N320" s="725">
        <f t="shared" ca="1" si="367"/>
        <v>0</v>
      </c>
      <c r="O320" s="725">
        <f t="shared" ca="1" si="367"/>
        <v>0</v>
      </c>
      <c r="P320" s="725"/>
      <c r="Q320" s="725"/>
      <c r="R320" s="725"/>
      <c r="S320" s="725"/>
      <c r="T320" s="725"/>
    </row>
    <row r="321" spans="1:20" hidden="1" outlineLevel="1">
      <c r="C321" s="725"/>
      <c r="D321" s="725"/>
      <c r="E321" s="725"/>
      <c r="F321" s="725"/>
      <c r="G321" s="725"/>
      <c r="H321" s="725"/>
      <c r="I321" s="725"/>
      <c r="J321" s="725"/>
      <c r="K321" s="725"/>
      <c r="L321" s="725"/>
      <c r="M321" s="725"/>
      <c r="N321" s="725"/>
      <c r="O321" s="725"/>
      <c r="P321" s="725"/>
      <c r="Q321" s="725"/>
      <c r="R321" s="725"/>
      <c r="S321" s="725"/>
      <c r="T321" s="725"/>
    </row>
    <row r="322" spans="1:20" collapsed="1"/>
    <row r="323" spans="1:20" s="513" customFormat="1">
      <c r="A323" s="722"/>
      <c r="B323" s="513" t="s">
        <v>752</v>
      </c>
      <c r="P323" s="722"/>
      <c r="Q323" s="722"/>
      <c r="R323" s="722"/>
      <c r="S323" s="722"/>
      <c r="T323" s="722"/>
    </row>
    <row r="325" spans="1:20" hidden="1" outlineLevel="1">
      <c r="B325" s="489" t="s">
        <v>753</v>
      </c>
      <c r="E325" s="739">
        <v>24.343</v>
      </c>
      <c r="F325" s="739">
        <v>25.696000000000002</v>
      </c>
      <c r="G325" s="739">
        <v>26.273</v>
      </c>
      <c r="H325" s="739">
        <v>25.733000000000001</v>
      </c>
      <c r="I325" s="739">
        <v>26.16</v>
      </c>
      <c r="J325" s="726">
        <f t="shared" ref="J325:O325" si="368">I325</f>
        <v>26.16</v>
      </c>
      <c r="K325" s="726">
        <f t="shared" si="368"/>
        <v>26.16</v>
      </c>
      <c r="L325" s="726">
        <f t="shared" si="368"/>
        <v>26.16</v>
      </c>
      <c r="M325" s="726">
        <f t="shared" si="368"/>
        <v>26.16</v>
      </c>
      <c r="N325" s="726">
        <f t="shared" si="368"/>
        <v>26.16</v>
      </c>
      <c r="O325" s="726">
        <f t="shared" si="368"/>
        <v>26.16</v>
      </c>
      <c r="P325" s="726"/>
      <c r="Q325" s="726"/>
      <c r="R325" s="726"/>
      <c r="S325" s="726"/>
      <c r="T325" s="726"/>
    </row>
    <row r="326" spans="1:20" hidden="1" outlineLevel="1">
      <c r="B326" s="489" t="s">
        <v>1422</v>
      </c>
      <c r="E326" s="739">
        <v>1.4450000000000001</v>
      </c>
      <c r="F326" s="739">
        <v>1.5029999999999999</v>
      </c>
    </row>
    <row r="327" spans="1:20" hidden="1" outlineLevel="1">
      <c r="B327" s="489" t="s">
        <v>1263</v>
      </c>
      <c r="E327" s="739">
        <v>4.2919999999999998</v>
      </c>
      <c r="F327" s="739">
        <v>52.985999999999997</v>
      </c>
    </row>
    <row r="328" spans="1:20" hidden="1" outlineLevel="1">
      <c r="B328" s="489" t="s">
        <v>1264</v>
      </c>
      <c r="E328" s="739">
        <v>0</v>
      </c>
      <c r="F328" s="739">
        <v>5.0000000000000001E-3</v>
      </c>
    </row>
    <row r="329" spans="1:20" hidden="1" outlineLevel="1">
      <c r="B329" s="489" t="s">
        <v>1265</v>
      </c>
      <c r="E329" s="739">
        <v>-0.72099999999999997</v>
      </c>
      <c r="F329" s="739">
        <v>1.7390000000000001</v>
      </c>
    </row>
    <row r="330" spans="1:20" hidden="1" outlineLevel="1">
      <c r="B330" s="489" t="s">
        <v>1266</v>
      </c>
      <c r="E330" s="739">
        <v>0</v>
      </c>
      <c r="F330" s="739">
        <v>0</v>
      </c>
    </row>
    <row r="331" spans="1:20" hidden="1" outlineLevel="1">
      <c r="B331" s="489" t="s">
        <v>1267</v>
      </c>
      <c r="E331" s="739">
        <v>2.3E-2</v>
      </c>
      <c r="F331" s="739">
        <v>0.23100000000000001</v>
      </c>
    </row>
    <row r="332" spans="1:20" hidden="1" outlineLevel="1">
      <c r="B332" s="489" t="s">
        <v>1420</v>
      </c>
      <c r="E332" s="725"/>
      <c r="F332" s="725"/>
      <c r="G332" s="725"/>
      <c r="H332" s="725"/>
      <c r="I332" s="739">
        <v>5.093</v>
      </c>
      <c r="J332" s="726">
        <f t="shared" ref="J332:O333" si="369">I332</f>
        <v>5.093</v>
      </c>
      <c r="K332" s="726">
        <f t="shared" si="369"/>
        <v>5.093</v>
      </c>
      <c r="L332" s="726">
        <f t="shared" si="369"/>
        <v>5.093</v>
      </c>
      <c r="M332" s="726">
        <f t="shared" si="369"/>
        <v>5.093</v>
      </c>
      <c r="N332" s="726">
        <f t="shared" si="369"/>
        <v>5.093</v>
      </c>
      <c r="O332" s="726">
        <f t="shared" si="369"/>
        <v>5.093</v>
      </c>
      <c r="P332" s="726"/>
      <c r="Q332" s="726"/>
      <c r="R332" s="726"/>
      <c r="S332" s="726"/>
      <c r="T332" s="726"/>
    </row>
    <row r="333" spans="1:20" hidden="1" outlineLevel="1">
      <c r="B333" s="489" t="s">
        <v>169</v>
      </c>
      <c r="E333" s="739">
        <v>0.23899999999999999</v>
      </c>
      <c r="F333" s="739">
        <v>1.899</v>
      </c>
      <c r="G333" s="739">
        <v>4.9749999999999996</v>
      </c>
      <c r="H333" s="739">
        <v>4.4509999999999996</v>
      </c>
      <c r="I333" s="739">
        <v>4.2359999999999998</v>
      </c>
      <c r="J333" s="726">
        <f t="shared" si="369"/>
        <v>4.2359999999999998</v>
      </c>
      <c r="K333" s="726">
        <f t="shared" si="369"/>
        <v>4.2359999999999998</v>
      </c>
      <c r="L333" s="726">
        <f t="shared" si="369"/>
        <v>4.2359999999999998</v>
      </c>
      <c r="M333" s="726">
        <f t="shared" si="369"/>
        <v>4.2359999999999998</v>
      </c>
      <c r="N333" s="726">
        <f t="shared" si="369"/>
        <v>4.2359999999999998</v>
      </c>
      <c r="O333" s="726">
        <f t="shared" si="369"/>
        <v>4.2359999999999998</v>
      </c>
      <c r="P333" s="726"/>
      <c r="Q333" s="726"/>
      <c r="R333" s="726"/>
      <c r="S333" s="726"/>
      <c r="T333" s="726"/>
    </row>
    <row r="334" spans="1:20" s="58" customFormat="1" hidden="1" outlineLevel="1">
      <c r="B334" s="58" t="s">
        <v>1418</v>
      </c>
      <c r="E334" s="728">
        <f t="shared" ref="E334:O334" si="370">SUM(E325:E333)</f>
        <v>29.620999999999999</v>
      </c>
      <c r="F334" s="728">
        <f t="shared" si="370"/>
        <v>84.058999999999997</v>
      </c>
      <c r="G334" s="728">
        <f t="shared" si="370"/>
        <v>31.247999999999998</v>
      </c>
      <c r="H334" s="728">
        <f t="shared" si="370"/>
        <v>30.184000000000001</v>
      </c>
      <c r="I334" s="728">
        <f t="shared" si="370"/>
        <v>35.488999999999997</v>
      </c>
      <c r="J334" s="728">
        <f t="shared" si="370"/>
        <v>35.488999999999997</v>
      </c>
      <c r="K334" s="728">
        <f t="shared" si="370"/>
        <v>35.488999999999997</v>
      </c>
      <c r="L334" s="728">
        <f t="shared" si="370"/>
        <v>35.488999999999997</v>
      </c>
      <c r="M334" s="728">
        <f t="shared" si="370"/>
        <v>35.488999999999997</v>
      </c>
      <c r="N334" s="728">
        <f t="shared" si="370"/>
        <v>35.488999999999997</v>
      </c>
      <c r="O334" s="728">
        <f t="shared" si="370"/>
        <v>35.488999999999997</v>
      </c>
      <c r="P334" s="727"/>
      <c r="Q334" s="727"/>
      <c r="R334" s="727"/>
      <c r="S334" s="727"/>
      <c r="T334" s="727"/>
    </row>
    <row r="335" spans="1:20" hidden="1" outlineLevel="1">
      <c r="E335" s="725"/>
      <c r="F335" s="725"/>
      <c r="G335" s="725"/>
      <c r="H335" s="725"/>
      <c r="I335" s="725"/>
      <c r="J335" s="725"/>
      <c r="K335" s="725"/>
      <c r="L335" s="725"/>
      <c r="M335" s="725"/>
      <c r="N335" s="725"/>
      <c r="O335" s="725"/>
      <c r="P335" s="725"/>
      <c r="Q335" s="725"/>
      <c r="R335" s="725"/>
      <c r="S335" s="725"/>
      <c r="T335" s="725"/>
    </row>
    <row r="336" spans="1:20" hidden="1" outlineLevel="1">
      <c r="B336" s="489" t="s">
        <v>753</v>
      </c>
      <c r="E336" s="739">
        <v>11.849</v>
      </c>
      <c r="F336" s="739">
        <v>12.173</v>
      </c>
      <c r="G336" s="739">
        <v>12.369</v>
      </c>
      <c r="H336" s="739">
        <v>12.510999999999999</v>
      </c>
      <c r="I336" s="739">
        <v>12.738</v>
      </c>
      <c r="J336" s="726">
        <f t="shared" ref="J336:O336" si="371">I336</f>
        <v>12.738</v>
      </c>
      <c r="K336" s="726">
        <f t="shared" si="371"/>
        <v>12.738</v>
      </c>
      <c r="L336" s="726">
        <f t="shared" si="371"/>
        <v>12.738</v>
      </c>
      <c r="M336" s="726">
        <f t="shared" si="371"/>
        <v>12.738</v>
      </c>
      <c r="N336" s="726">
        <f t="shared" si="371"/>
        <v>12.738</v>
      </c>
      <c r="O336" s="726">
        <f t="shared" si="371"/>
        <v>12.738</v>
      </c>
      <c r="P336" s="726"/>
      <c r="Q336" s="726"/>
      <c r="R336" s="726"/>
      <c r="S336" s="726"/>
      <c r="T336" s="726"/>
    </row>
    <row r="337" spans="2:20" hidden="1" outlineLevel="1">
      <c r="B337" s="489" t="s">
        <v>1262</v>
      </c>
      <c r="E337" s="739">
        <v>0.625</v>
      </c>
      <c r="F337" s="739">
        <v>0.60699999999999998</v>
      </c>
    </row>
    <row r="338" spans="2:20" hidden="1" outlineLevel="1">
      <c r="B338" s="489" t="s">
        <v>1263</v>
      </c>
      <c r="E338" s="739">
        <v>2.8690000000000002</v>
      </c>
      <c r="F338" s="739">
        <v>28.93</v>
      </c>
    </row>
    <row r="339" spans="2:20" hidden="1" outlineLevel="1">
      <c r="B339" s="489" t="s">
        <v>1264</v>
      </c>
      <c r="E339" s="739">
        <v>-1E-4</v>
      </c>
      <c r="F339" s="739">
        <v>-2.7E-2</v>
      </c>
    </row>
    <row r="340" spans="2:20" hidden="1" outlineLevel="1">
      <c r="B340" s="489" t="s">
        <v>1265</v>
      </c>
      <c r="E340" s="739">
        <v>-1E-4</v>
      </c>
      <c r="F340" s="739">
        <v>1.337</v>
      </c>
    </row>
    <row r="341" spans="2:20" hidden="1" outlineLevel="1">
      <c r="B341" s="489" t="s">
        <v>1266</v>
      </c>
      <c r="E341" s="739">
        <v>0</v>
      </c>
      <c r="F341" s="739">
        <v>-2E-3</v>
      </c>
    </row>
    <row r="342" spans="2:20" hidden="1" outlineLevel="1">
      <c r="B342" s="489" t="s">
        <v>1267</v>
      </c>
      <c r="E342" s="739">
        <v>8.9999999999999993E-3</v>
      </c>
      <c r="F342" s="739">
        <v>2.7E-2</v>
      </c>
    </row>
    <row r="343" spans="2:20" hidden="1" outlineLevel="1">
      <c r="B343" s="489" t="s">
        <v>1420</v>
      </c>
      <c r="I343" s="739">
        <v>1.4419999999999999</v>
      </c>
      <c r="J343" s="726">
        <f t="shared" ref="J343:O344" si="372">I343</f>
        <v>1.4419999999999999</v>
      </c>
      <c r="K343" s="726">
        <f t="shared" si="372"/>
        <v>1.4419999999999999</v>
      </c>
      <c r="L343" s="726">
        <f t="shared" si="372"/>
        <v>1.4419999999999999</v>
      </c>
      <c r="M343" s="726">
        <f t="shared" si="372"/>
        <v>1.4419999999999999</v>
      </c>
      <c r="N343" s="726">
        <f t="shared" si="372"/>
        <v>1.4419999999999999</v>
      </c>
      <c r="O343" s="726">
        <f t="shared" si="372"/>
        <v>1.4419999999999999</v>
      </c>
      <c r="P343" s="726"/>
      <c r="Q343" s="726"/>
      <c r="R343" s="726"/>
      <c r="S343" s="726"/>
      <c r="T343" s="726"/>
    </row>
    <row r="344" spans="2:20" hidden="1" outlineLevel="1">
      <c r="B344" s="489" t="s">
        <v>169</v>
      </c>
      <c r="E344" s="739">
        <v>7.0000000000000001E-3</v>
      </c>
      <c r="F344" s="739">
        <v>0.26200000000000001</v>
      </c>
      <c r="G344" s="739">
        <v>2.2679999999999998</v>
      </c>
      <c r="H344" s="739">
        <v>1.917</v>
      </c>
      <c r="I344" s="739">
        <v>1.4570000000000001</v>
      </c>
      <c r="J344" s="726">
        <f t="shared" si="372"/>
        <v>1.4570000000000001</v>
      </c>
      <c r="K344" s="726">
        <f t="shared" si="372"/>
        <v>1.4570000000000001</v>
      </c>
      <c r="L344" s="726">
        <f t="shared" si="372"/>
        <v>1.4570000000000001</v>
      </c>
      <c r="M344" s="726">
        <f t="shared" si="372"/>
        <v>1.4570000000000001</v>
      </c>
      <c r="N344" s="726">
        <f t="shared" si="372"/>
        <v>1.4570000000000001</v>
      </c>
      <c r="O344" s="726">
        <f t="shared" si="372"/>
        <v>1.4570000000000001</v>
      </c>
      <c r="P344" s="726"/>
      <c r="Q344" s="726"/>
      <c r="R344" s="726"/>
      <c r="S344" s="726"/>
      <c r="T344" s="726"/>
    </row>
    <row r="345" spans="2:20" s="58" customFormat="1" hidden="1" outlineLevel="1">
      <c r="B345" s="58" t="s">
        <v>1419</v>
      </c>
      <c r="E345" s="728">
        <f t="shared" ref="E345:O345" si="373">SUM(E336:E344)</f>
        <v>15.3588</v>
      </c>
      <c r="F345" s="728">
        <f t="shared" si="373"/>
        <v>43.307000000000002</v>
      </c>
      <c r="G345" s="728">
        <f t="shared" si="373"/>
        <v>14.637</v>
      </c>
      <c r="H345" s="728">
        <f t="shared" si="373"/>
        <v>14.427999999999999</v>
      </c>
      <c r="I345" s="728">
        <f t="shared" si="373"/>
        <v>15.637</v>
      </c>
      <c r="J345" s="728">
        <f t="shared" si="373"/>
        <v>15.637</v>
      </c>
      <c r="K345" s="728">
        <f t="shared" si="373"/>
        <v>15.637</v>
      </c>
      <c r="L345" s="728">
        <f t="shared" si="373"/>
        <v>15.637</v>
      </c>
      <c r="M345" s="728">
        <f t="shared" si="373"/>
        <v>15.637</v>
      </c>
      <c r="N345" s="728">
        <f t="shared" si="373"/>
        <v>15.637</v>
      </c>
      <c r="O345" s="728">
        <f t="shared" si="373"/>
        <v>15.637</v>
      </c>
      <c r="P345" s="727"/>
      <c r="Q345" s="727"/>
      <c r="R345" s="727"/>
      <c r="S345" s="727"/>
      <c r="T345" s="727"/>
    </row>
    <row r="346" spans="2:20" hidden="1" outlineLevel="1">
      <c r="E346" s="725"/>
      <c r="F346" s="725"/>
      <c r="G346" s="725"/>
      <c r="H346" s="725"/>
      <c r="I346" s="725"/>
      <c r="J346" s="725"/>
      <c r="K346" s="725"/>
      <c r="L346" s="725"/>
      <c r="M346" s="725"/>
      <c r="N346" s="725"/>
      <c r="O346" s="725"/>
      <c r="P346" s="725"/>
      <c r="Q346" s="725"/>
      <c r="R346" s="725"/>
      <c r="S346" s="725"/>
      <c r="T346" s="725"/>
    </row>
    <row r="347" spans="2:20" hidden="1" outlineLevel="1">
      <c r="B347" s="489" t="s">
        <v>753</v>
      </c>
      <c r="E347" s="757">
        <v>0.48980000000000001</v>
      </c>
      <c r="F347" s="757">
        <v>0.48980000000000001</v>
      </c>
      <c r="G347" s="757">
        <v>0.48980000000000001</v>
      </c>
      <c r="H347" s="757">
        <f t="shared" ref="H347:O347" si="374">G347</f>
        <v>0.48980000000000001</v>
      </c>
      <c r="I347" s="757">
        <f t="shared" si="374"/>
        <v>0.48980000000000001</v>
      </c>
      <c r="J347" s="523">
        <f t="shared" si="374"/>
        <v>0.48980000000000001</v>
      </c>
      <c r="K347" s="523">
        <f t="shared" si="374"/>
        <v>0.48980000000000001</v>
      </c>
      <c r="L347" s="523">
        <f t="shared" si="374"/>
        <v>0.48980000000000001</v>
      </c>
      <c r="M347" s="523">
        <f t="shared" si="374"/>
        <v>0.48980000000000001</v>
      </c>
      <c r="N347" s="523">
        <f t="shared" si="374"/>
        <v>0.48980000000000001</v>
      </c>
      <c r="O347" s="523">
        <f t="shared" si="374"/>
        <v>0.48980000000000001</v>
      </c>
      <c r="P347" s="523"/>
      <c r="Q347" s="523"/>
      <c r="R347" s="523"/>
      <c r="S347" s="523"/>
      <c r="T347" s="523"/>
    </row>
    <row r="348" spans="2:20" hidden="1" outlineLevel="1">
      <c r="B348" s="489" t="s">
        <v>1262</v>
      </c>
      <c r="E348" s="757">
        <v>0.49</v>
      </c>
      <c r="F348" s="757">
        <v>0.49</v>
      </c>
    </row>
    <row r="349" spans="2:20" hidden="1" outlineLevel="1">
      <c r="B349" s="489" t="s">
        <v>1263</v>
      </c>
      <c r="E349" s="757">
        <v>0.30220000000000002</v>
      </c>
      <c r="F349" s="757">
        <v>0.30220000000000002</v>
      </c>
    </row>
    <row r="350" spans="2:20" hidden="1" outlineLevel="1">
      <c r="B350" s="489" t="s">
        <v>1264</v>
      </c>
      <c r="E350" s="757">
        <v>0.24</v>
      </c>
      <c r="F350" s="757">
        <v>0.24</v>
      </c>
    </row>
    <row r="351" spans="2:20" hidden="1" outlineLevel="1">
      <c r="B351" s="489" t="s">
        <v>1265</v>
      </c>
      <c r="E351" s="757">
        <v>0.1</v>
      </c>
      <c r="F351" s="757">
        <v>0.1</v>
      </c>
    </row>
    <row r="352" spans="2:20" hidden="1" outlineLevel="1">
      <c r="B352" s="489" t="s">
        <v>1266</v>
      </c>
      <c r="E352" s="757">
        <v>0.1</v>
      </c>
      <c r="F352" s="757">
        <v>0.1</v>
      </c>
    </row>
    <row r="353" spans="2:21" hidden="1" outlineLevel="1">
      <c r="B353" s="489" t="s">
        <v>1267</v>
      </c>
      <c r="E353" s="757">
        <v>4.5499999999999999E-2</v>
      </c>
      <c r="F353" s="757">
        <v>4.5499999999999999E-2</v>
      </c>
    </row>
    <row r="354" spans="2:21" hidden="1" outlineLevel="1">
      <c r="B354" s="489" t="s">
        <v>1420</v>
      </c>
      <c r="I354" s="757">
        <f>1-76%</f>
        <v>0.24</v>
      </c>
      <c r="J354" s="523">
        <f t="shared" ref="J354:O355" si="375">I354</f>
        <v>0.24</v>
      </c>
      <c r="K354" s="523">
        <f t="shared" si="375"/>
        <v>0.24</v>
      </c>
      <c r="L354" s="523">
        <f t="shared" si="375"/>
        <v>0.24</v>
      </c>
      <c r="M354" s="523">
        <f t="shared" si="375"/>
        <v>0.24</v>
      </c>
      <c r="N354" s="523">
        <f t="shared" si="375"/>
        <v>0.24</v>
      </c>
      <c r="O354" s="523">
        <f t="shared" si="375"/>
        <v>0.24</v>
      </c>
      <c r="P354" s="523"/>
      <c r="Q354" s="523"/>
      <c r="R354" s="523"/>
      <c r="S354" s="523"/>
      <c r="T354" s="523"/>
    </row>
    <row r="355" spans="2:21" hidden="1" outlineLevel="1">
      <c r="B355" s="489" t="s">
        <v>169</v>
      </c>
      <c r="E355" s="757">
        <v>1.04E-2</v>
      </c>
      <c r="F355" s="757">
        <v>1.04E-2</v>
      </c>
      <c r="G355" s="757">
        <v>1.04E-2</v>
      </c>
      <c r="H355" s="757">
        <f>G355</f>
        <v>1.04E-2</v>
      </c>
      <c r="I355" s="757">
        <f>H355</f>
        <v>1.04E-2</v>
      </c>
      <c r="J355" s="523">
        <f t="shared" si="375"/>
        <v>1.04E-2</v>
      </c>
      <c r="K355" s="523">
        <f t="shared" si="375"/>
        <v>1.04E-2</v>
      </c>
      <c r="L355" s="523">
        <f t="shared" si="375"/>
        <v>1.04E-2</v>
      </c>
      <c r="M355" s="523">
        <f t="shared" si="375"/>
        <v>1.04E-2</v>
      </c>
      <c r="N355" s="523">
        <f t="shared" si="375"/>
        <v>1.04E-2</v>
      </c>
      <c r="O355" s="523">
        <f t="shared" si="375"/>
        <v>1.04E-2</v>
      </c>
      <c r="P355" s="523"/>
      <c r="Q355" s="523"/>
      <c r="R355" s="523"/>
      <c r="S355" s="523"/>
      <c r="T355" s="523"/>
    </row>
    <row r="356" spans="2:21" s="58" customFormat="1" hidden="1" outlineLevel="1">
      <c r="B356" s="58" t="s">
        <v>1423</v>
      </c>
      <c r="E356" s="527">
        <f t="shared" ref="E356:O356" si="376">SUMPRODUCT(E336:E344,E347:E355)/E345</f>
        <v>0.45429006823449758</v>
      </c>
      <c r="F356" s="527">
        <f t="shared" si="376"/>
        <v>0.34944430923407299</v>
      </c>
      <c r="G356" s="527">
        <f t="shared" si="376"/>
        <v>0.41551707317073167</v>
      </c>
      <c r="H356" s="527">
        <f t="shared" si="376"/>
        <v>0.42610372886054892</v>
      </c>
      <c r="I356" s="527">
        <f t="shared" si="376"/>
        <v>0.42209536356078525</v>
      </c>
      <c r="J356" s="527">
        <f t="shared" si="376"/>
        <v>0.42209536356078525</v>
      </c>
      <c r="K356" s="527">
        <f t="shared" si="376"/>
        <v>0.42209536356078525</v>
      </c>
      <c r="L356" s="527">
        <f t="shared" si="376"/>
        <v>0.42209536356078525</v>
      </c>
      <c r="M356" s="527">
        <f t="shared" si="376"/>
        <v>0.42209536356078525</v>
      </c>
      <c r="N356" s="527">
        <f t="shared" si="376"/>
        <v>0.42209536356078525</v>
      </c>
      <c r="O356" s="527">
        <f t="shared" si="376"/>
        <v>0.42209536356078525</v>
      </c>
      <c r="P356" s="900"/>
      <c r="Q356" s="900"/>
      <c r="R356" s="900"/>
      <c r="S356" s="900"/>
      <c r="T356" s="900"/>
    </row>
    <row r="357" spans="2:21" hidden="1" outlineLevel="1">
      <c r="E357" s="514"/>
      <c r="F357" s="514"/>
      <c r="G357" s="514"/>
      <c r="H357" s="514"/>
      <c r="I357" s="514"/>
      <c r="J357" s="514"/>
      <c r="K357" s="514"/>
      <c r="L357" s="514"/>
      <c r="M357" s="514"/>
      <c r="N357" s="514"/>
      <c r="O357" s="514"/>
      <c r="P357" s="514"/>
      <c r="Q357" s="514"/>
      <c r="R357" s="514"/>
      <c r="S357" s="514"/>
      <c r="T357" s="514"/>
    </row>
    <row r="358" spans="2:21" hidden="1" outlineLevel="1">
      <c r="B358" s="489" t="s">
        <v>753</v>
      </c>
      <c r="E358" s="725">
        <f t="shared" ref="E358:O358" si="377">E336*E347</f>
        <v>5.8036402000000002</v>
      </c>
      <c r="F358" s="725">
        <f t="shared" si="377"/>
        <v>5.9623354000000006</v>
      </c>
      <c r="G358" s="725">
        <f t="shared" si="377"/>
        <v>6.0583362000000003</v>
      </c>
      <c r="H358" s="725">
        <f t="shared" si="377"/>
        <v>6.1278877999999999</v>
      </c>
      <c r="I358" s="725">
        <f t="shared" si="377"/>
        <v>6.2390723999999995</v>
      </c>
      <c r="J358" s="725">
        <f t="shared" si="377"/>
        <v>6.2390723999999995</v>
      </c>
      <c r="K358" s="725">
        <f t="shared" si="377"/>
        <v>6.2390723999999995</v>
      </c>
      <c r="L358" s="725">
        <f t="shared" si="377"/>
        <v>6.2390723999999995</v>
      </c>
      <c r="M358" s="725">
        <f t="shared" si="377"/>
        <v>6.2390723999999995</v>
      </c>
      <c r="N358" s="725">
        <f t="shared" si="377"/>
        <v>6.2390723999999995</v>
      </c>
      <c r="O358" s="725">
        <f t="shared" si="377"/>
        <v>6.2390723999999995</v>
      </c>
      <c r="P358" s="725"/>
      <c r="Q358" s="725"/>
      <c r="R358" s="725"/>
      <c r="S358" s="725"/>
      <c r="T358" s="725"/>
      <c r="U358" s="725"/>
    </row>
    <row r="359" spans="2:21" hidden="1" outlineLevel="1">
      <c r="B359" s="489" t="s">
        <v>1262</v>
      </c>
      <c r="E359" s="725">
        <f t="shared" ref="E359:O359" si="378">E337*E348</f>
        <v>0.30625000000000002</v>
      </c>
      <c r="F359" s="725">
        <f t="shared" si="378"/>
        <v>0.29742999999999997</v>
      </c>
      <c r="G359" s="725">
        <f t="shared" si="378"/>
        <v>0</v>
      </c>
      <c r="H359" s="725">
        <f t="shared" si="378"/>
        <v>0</v>
      </c>
      <c r="I359" s="725">
        <f t="shared" si="378"/>
        <v>0</v>
      </c>
      <c r="J359" s="725">
        <f t="shared" si="378"/>
        <v>0</v>
      </c>
      <c r="K359" s="725">
        <f t="shared" si="378"/>
        <v>0</v>
      </c>
      <c r="L359" s="725">
        <f t="shared" si="378"/>
        <v>0</v>
      </c>
      <c r="M359" s="725">
        <f t="shared" si="378"/>
        <v>0</v>
      </c>
      <c r="N359" s="725">
        <f t="shared" si="378"/>
        <v>0</v>
      </c>
      <c r="O359" s="725">
        <f t="shared" si="378"/>
        <v>0</v>
      </c>
      <c r="P359" s="725"/>
      <c r="Q359" s="725"/>
      <c r="R359" s="725"/>
      <c r="S359" s="725"/>
      <c r="T359" s="725"/>
      <c r="U359" s="725"/>
    </row>
    <row r="360" spans="2:21" hidden="1" outlineLevel="1">
      <c r="B360" s="489" t="s">
        <v>1263</v>
      </c>
      <c r="E360" s="725">
        <f t="shared" ref="E360:O360" si="379">E338*E349</f>
        <v>0.86701180000000011</v>
      </c>
      <c r="F360" s="725">
        <f t="shared" si="379"/>
        <v>8.7426460000000006</v>
      </c>
      <c r="G360" s="725">
        <f t="shared" si="379"/>
        <v>0</v>
      </c>
      <c r="H360" s="725">
        <f t="shared" si="379"/>
        <v>0</v>
      </c>
      <c r="I360" s="725">
        <f t="shared" si="379"/>
        <v>0</v>
      </c>
      <c r="J360" s="725">
        <f t="shared" si="379"/>
        <v>0</v>
      </c>
      <c r="K360" s="725">
        <f t="shared" si="379"/>
        <v>0</v>
      </c>
      <c r="L360" s="725">
        <f t="shared" si="379"/>
        <v>0</v>
      </c>
      <c r="M360" s="725">
        <f t="shared" si="379"/>
        <v>0</v>
      </c>
      <c r="N360" s="725">
        <f t="shared" si="379"/>
        <v>0</v>
      </c>
      <c r="O360" s="725">
        <f t="shared" si="379"/>
        <v>0</v>
      </c>
      <c r="P360" s="725"/>
      <c r="Q360" s="725"/>
      <c r="R360" s="725"/>
      <c r="S360" s="725"/>
      <c r="T360" s="725"/>
      <c r="U360" s="725"/>
    </row>
    <row r="361" spans="2:21" hidden="1" outlineLevel="1">
      <c r="B361" s="489" t="s">
        <v>1264</v>
      </c>
      <c r="E361" s="725">
        <f t="shared" ref="E361:O361" si="380">E339*E350</f>
        <v>-2.4000000000000001E-5</v>
      </c>
      <c r="F361" s="725">
        <f t="shared" si="380"/>
        <v>-6.4799999999999996E-3</v>
      </c>
      <c r="G361" s="725">
        <f t="shared" si="380"/>
        <v>0</v>
      </c>
      <c r="H361" s="725">
        <f t="shared" si="380"/>
        <v>0</v>
      </c>
      <c r="I361" s="725">
        <f t="shared" si="380"/>
        <v>0</v>
      </c>
      <c r="J361" s="725">
        <f t="shared" si="380"/>
        <v>0</v>
      </c>
      <c r="K361" s="725">
        <f t="shared" si="380"/>
        <v>0</v>
      </c>
      <c r="L361" s="725">
        <f t="shared" si="380"/>
        <v>0</v>
      </c>
      <c r="M361" s="725">
        <f t="shared" si="380"/>
        <v>0</v>
      </c>
      <c r="N361" s="725">
        <f t="shared" si="380"/>
        <v>0</v>
      </c>
      <c r="O361" s="725">
        <f t="shared" si="380"/>
        <v>0</v>
      </c>
      <c r="P361" s="725"/>
      <c r="Q361" s="725"/>
      <c r="R361" s="725"/>
      <c r="S361" s="725"/>
      <c r="T361" s="725"/>
      <c r="U361" s="725"/>
    </row>
    <row r="362" spans="2:21" hidden="1" outlineLevel="1">
      <c r="B362" s="489" t="s">
        <v>1265</v>
      </c>
      <c r="E362" s="725">
        <f t="shared" ref="E362:O362" si="381">E340*E351</f>
        <v>-1.0000000000000001E-5</v>
      </c>
      <c r="F362" s="725">
        <f t="shared" si="381"/>
        <v>0.13370000000000001</v>
      </c>
      <c r="G362" s="725">
        <f t="shared" si="381"/>
        <v>0</v>
      </c>
      <c r="H362" s="725">
        <f t="shared" si="381"/>
        <v>0</v>
      </c>
      <c r="I362" s="725">
        <f t="shared" si="381"/>
        <v>0</v>
      </c>
      <c r="J362" s="725">
        <f t="shared" si="381"/>
        <v>0</v>
      </c>
      <c r="K362" s="725">
        <f t="shared" si="381"/>
        <v>0</v>
      </c>
      <c r="L362" s="725">
        <f t="shared" si="381"/>
        <v>0</v>
      </c>
      <c r="M362" s="725">
        <f t="shared" si="381"/>
        <v>0</v>
      </c>
      <c r="N362" s="725">
        <f t="shared" si="381"/>
        <v>0</v>
      </c>
      <c r="O362" s="725">
        <f t="shared" si="381"/>
        <v>0</v>
      </c>
      <c r="P362" s="725"/>
      <c r="Q362" s="725"/>
      <c r="R362" s="725"/>
      <c r="S362" s="725"/>
      <c r="T362" s="725"/>
      <c r="U362" s="725"/>
    </row>
    <row r="363" spans="2:21" hidden="1" outlineLevel="1">
      <c r="B363" s="489" t="s">
        <v>1266</v>
      </c>
      <c r="E363" s="725">
        <f t="shared" ref="E363:O363" si="382">E341*E352</f>
        <v>0</v>
      </c>
      <c r="F363" s="725">
        <f t="shared" si="382"/>
        <v>-2.0000000000000001E-4</v>
      </c>
      <c r="G363" s="725">
        <f t="shared" si="382"/>
        <v>0</v>
      </c>
      <c r="H363" s="725">
        <f t="shared" si="382"/>
        <v>0</v>
      </c>
      <c r="I363" s="725">
        <f t="shared" si="382"/>
        <v>0</v>
      </c>
      <c r="J363" s="725">
        <f t="shared" si="382"/>
        <v>0</v>
      </c>
      <c r="K363" s="725">
        <f t="shared" si="382"/>
        <v>0</v>
      </c>
      <c r="L363" s="725">
        <f t="shared" si="382"/>
        <v>0</v>
      </c>
      <c r="M363" s="725">
        <f t="shared" si="382"/>
        <v>0</v>
      </c>
      <c r="N363" s="725">
        <f t="shared" si="382"/>
        <v>0</v>
      </c>
      <c r="O363" s="725">
        <f t="shared" si="382"/>
        <v>0</v>
      </c>
      <c r="P363" s="725"/>
      <c r="Q363" s="725"/>
      <c r="R363" s="725"/>
      <c r="S363" s="725"/>
      <c r="T363" s="725"/>
      <c r="U363" s="725"/>
    </row>
    <row r="364" spans="2:21" hidden="1" outlineLevel="1">
      <c r="B364" s="489" t="s">
        <v>1267</v>
      </c>
      <c r="E364" s="725">
        <f t="shared" ref="E364:O364" si="383">E342*E353</f>
        <v>4.0949999999999998E-4</v>
      </c>
      <c r="F364" s="725">
        <f t="shared" si="383"/>
        <v>1.2285E-3</v>
      </c>
      <c r="G364" s="725">
        <f t="shared" si="383"/>
        <v>0</v>
      </c>
      <c r="H364" s="725">
        <f t="shared" si="383"/>
        <v>0</v>
      </c>
      <c r="I364" s="725">
        <f t="shared" si="383"/>
        <v>0</v>
      </c>
      <c r="J364" s="725">
        <f t="shared" si="383"/>
        <v>0</v>
      </c>
      <c r="K364" s="725">
        <f t="shared" si="383"/>
        <v>0</v>
      </c>
      <c r="L364" s="725">
        <f t="shared" si="383"/>
        <v>0</v>
      </c>
      <c r="M364" s="725">
        <f t="shared" si="383"/>
        <v>0</v>
      </c>
      <c r="N364" s="725">
        <f t="shared" si="383"/>
        <v>0</v>
      </c>
      <c r="O364" s="725">
        <f t="shared" si="383"/>
        <v>0</v>
      </c>
      <c r="P364" s="725"/>
      <c r="Q364" s="725"/>
      <c r="R364" s="725"/>
      <c r="S364" s="725"/>
      <c r="T364" s="725"/>
      <c r="U364" s="725"/>
    </row>
    <row r="365" spans="2:21" hidden="1" outlineLevel="1">
      <c r="B365" s="489" t="s">
        <v>169</v>
      </c>
      <c r="E365" s="725">
        <f t="shared" ref="E365:O365" si="384">E344*E355</f>
        <v>7.2799999999999994E-5</v>
      </c>
      <c r="F365" s="725">
        <f t="shared" si="384"/>
        <v>2.7247999999999999E-3</v>
      </c>
      <c r="G365" s="725">
        <f t="shared" si="384"/>
        <v>2.3587199999999996E-2</v>
      </c>
      <c r="H365" s="725">
        <f t="shared" si="384"/>
        <v>1.9936800000000001E-2</v>
      </c>
      <c r="I365" s="725">
        <f t="shared" si="384"/>
        <v>1.5152799999999999E-2</v>
      </c>
      <c r="J365" s="725">
        <f t="shared" si="384"/>
        <v>1.5152799999999999E-2</v>
      </c>
      <c r="K365" s="725">
        <f t="shared" si="384"/>
        <v>1.5152799999999999E-2</v>
      </c>
      <c r="L365" s="725">
        <f t="shared" si="384"/>
        <v>1.5152799999999999E-2</v>
      </c>
      <c r="M365" s="725">
        <f t="shared" si="384"/>
        <v>1.5152799999999999E-2</v>
      </c>
      <c r="N365" s="725">
        <f t="shared" si="384"/>
        <v>1.5152799999999999E-2</v>
      </c>
      <c r="O365" s="725">
        <f t="shared" si="384"/>
        <v>1.5152799999999999E-2</v>
      </c>
      <c r="P365" s="725"/>
      <c r="Q365" s="725"/>
      <c r="R365" s="725"/>
      <c r="S365" s="725"/>
      <c r="T365" s="725"/>
      <c r="U365" s="725"/>
    </row>
    <row r="366" spans="2:21" s="58" customFormat="1" hidden="1" outlineLevel="1">
      <c r="B366" s="58" t="s">
        <v>1424</v>
      </c>
      <c r="E366" s="728">
        <f t="shared" ref="E366:O366" si="385">SUM(E358:E365)</f>
        <v>6.9773503000000012</v>
      </c>
      <c r="F366" s="728">
        <f t="shared" si="385"/>
        <v>15.133384700000001</v>
      </c>
      <c r="G366" s="728">
        <f t="shared" si="385"/>
        <v>6.0819234</v>
      </c>
      <c r="H366" s="728">
        <f t="shared" si="385"/>
        <v>6.1478245999999999</v>
      </c>
      <c r="I366" s="728">
        <f t="shared" si="385"/>
        <v>6.2542251999999996</v>
      </c>
      <c r="J366" s="728">
        <f t="shared" si="385"/>
        <v>6.2542251999999996</v>
      </c>
      <c r="K366" s="728">
        <f t="shared" si="385"/>
        <v>6.2542251999999996</v>
      </c>
      <c r="L366" s="728">
        <f t="shared" si="385"/>
        <v>6.2542251999999996</v>
      </c>
      <c r="M366" s="728">
        <f t="shared" si="385"/>
        <v>6.2542251999999996</v>
      </c>
      <c r="N366" s="728">
        <f t="shared" si="385"/>
        <v>6.2542251999999996</v>
      </c>
      <c r="O366" s="728">
        <f t="shared" si="385"/>
        <v>6.2542251999999996</v>
      </c>
      <c r="P366" s="727"/>
      <c r="Q366" s="727"/>
      <c r="R366" s="727"/>
      <c r="S366" s="727"/>
      <c r="T366" s="727"/>
      <c r="U366" s="727"/>
    </row>
    <row r="367" spans="2:21" hidden="1" outlineLevel="1">
      <c r="E367" s="531"/>
      <c r="F367" s="531"/>
      <c r="G367" s="531"/>
      <c r="H367" s="531"/>
      <c r="I367" s="531"/>
      <c r="J367" s="531"/>
      <c r="K367" s="531"/>
      <c r="L367" s="531"/>
      <c r="M367" s="531"/>
      <c r="N367" s="531"/>
      <c r="O367" s="531"/>
      <c r="P367" s="531"/>
      <c r="Q367" s="531"/>
      <c r="R367" s="531"/>
      <c r="S367" s="531"/>
      <c r="T367" s="531"/>
    </row>
    <row r="368" spans="2:21" hidden="1" outlineLevel="1">
      <c r="B368" s="489" t="s">
        <v>1268</v>
      </c>
      <c r="E368" s="758">
        <v>5.22</v>
      </c>
      <c r="F368" s="758">
        <f t="shared" ref="F368:O368" si="386">E368</f>
        <v>5.22</v>
      </c>
      <c r="G368" s="758">
        <f t="shared" si="386"/>
        <v>5.22</v>
      </c>
      <c r="H368" s="758">
        <f t="shared" si="386"/>
        <v>5.22</v>
      </c>
      <c r="I368" s="758">
        <f t="shared" si="386"/>
        <v>5.22</v>
      </c>
      <c r="J368" s="758">
        <f t="shared" si="386"/>
        <v>5.22</v>
      </c>
      <c r="K368" s="758">
        <f t="shared" si="386"/>
        <v>5.22</v>
      </c>
      <c r="L368" s="758">
        <f t="shared" si="386"/>
        <v>5.22</v>
      </c>
      <c r="M368" s="758">
        <f t="shared" si="386"/>
        <v>5.22</v>
      </c>
      <c r="N368" s="758">
        <f t="shared" si="386"/>
        <v>5.22</v>
      </c>
      <c r="O368" s="758">
        <f t="shared" si="386"/>
        <v>5.22</v>
      </c>
      <c r="P368" s="758"/>
      <c r="Q368" s="758"/>
      <c r="R368" s="758"/>
      <c r="S368" s="758"/>
      <c r="T368" s="758"/>
    </row>
    <row r="369" spans="1:20" hidden="1" outlineLevel="1">
      <c r="B369" s="489" t="s">
        <v>317</v>
      </c>
      <c r="E369" s="725">
        <f t="shared" ref="E369:O369" si="387">E345*E368</f>
        <v>80.172935999999993</v>
      </c>
      <c r="F369" s="725">
        <f t="shared" si="387"/>
        <v>226.06254000000001</v>
      </c>
      <c r="G369" s="725">
        <f t="shared" si="387"/>
        <v>76.405140000000003</v>
      </c>
      <c r="H369" s="725">
        <f t="shared" si="387"/>
        <v>75.314159999999987</v>
      </c>
      <c r="I369" s="725">
        <f t="shared" si="387"/>
        <v>81.625140000000002</v>
      </c>
      <c r="J369" s="725">
        <f t="shared" si="387"/>
        <v>81.625140000000002</v>
      </c>
      <c r="K369" s="725">
        <f t="shared" si="387"/>
        <v>81.625140000000002</v>
      </c>
      <c r="L369" s="725">
        <f t="shared" si="387"/>
        <v>81.625140000000002</v>
      </c>
      <c r="M369" s="725">
        <f t="shared" si="387"/>
        <v>81.625140000000002</v>
      </c>
      <c r="N369" s="725">
        <f t="shared" si="387"/>
        <v>81.625140000000002</v>
      </c>
      <c r="O369" s="725">
        <f t="shared" si="387"/>
        <v>81.625140000000002</v>
      </c>
      <c r="P369" s="725"/>
      <c r="Q369" s="725"/>
      <c r="R369" s="725"/>
      <c r="S369" s="725"/>
      <c r="T369" s="725"/>
    </row>
    <row r="370" spans="1:20" hidden="1" outlineLevel="1">
      <c r="B370" s="489" t="s">
        <v>190</v>
      </c>
      <c r="E370" s="726">
        <v>0</v>
      </c>
      <c r="F370" s="726">
        <v>0</v>
      </c>
      <c r="G370" s="726">
        <v>0</v>
      </c>
      <c r="H370" s="726">
        <v>0</v>
      </c>
      <c r="I370" s="726">
        <v>0</v>
      </c>
      <c r="J370" s="726">
        <v>0</v>
      </c>
      <c r="K370" s="726">
        <v>0</v>
      </c>
      <c r="L370" s="726">
        <v>0</v>
      </c>
      <c r="M370" s="726">
        <v>0</v>
      </c>
      <c r="N370" s="726">
        <v>0</v>
      </c>
      <c r="O370" s="726">
        <v>0</v>
      </c>
      <c r="P370" s="726"/>
      <c r="Q370" s="726"/>
      <c r="R370" s="726"/>
      <c r="S370" s="726"/>
      <c r="T370" s="726"/>
    </row>
    <row r="371" spans="1:20" hidden="1" outlineLevel="1">
      <c r="B371" s="489" t="s">
        <v>1189</v>
      </c>
      <c r="E371" s="725">
        <f t="shared" ref="E371:O371" si="388">E369-E370</f>
        <v>80.172935999999993</v>
      </c>
      <c r="F371" s="725">
        <f t="shared" si="388"/>
        <v>226.06254000000001</v>
      </c>
      <c r="G371" s="725">
        <f t="shared" si="388"/>
        <v>76.405140000000003</v>
      </c>
      <c r="H371" s="725">
        <f t="shared" si="388"/>
        <v>75.314159999999987</v>
      </c>
      <c r="I371" s="725">
        <f t="shared" si="388"/>
        <v>81.625140000000002</v>
      </c>
      <c r="J371" s="725">
        <f t="shared" si="388"/>
        <v>81.625140000000002</v>
      </c>
      <c r="K371" s="725">
        <f t="shared" si="388"/>
        <v>81.625140000000002</v>
      </c>
      <c r="L371" s="725">
        <f t="shared" si="388"/>
        <v>81.625140000000002</v>
      </c>
      <c r="M371" s="725">
        <f t="shared" si="388"/>
        <v>81.625140000000002</v>
      </c>
      <c r="N371" s="725">
        <f t="shared" si="388"/>
        <v>81.625140000000002</v>
      </c>
      <c r="O371" s="725">
        <f t="shared" si="388"/>
        <v>81.625140000000002</v>
      </c>
      <c r="P371" s="725"/>
      <c r="Q371" s="725"/>
      <c r="R371" s="725"/>
      <c r="S371" s="725"/>
      <c r="T371" s="725"/>
    </row>
    <row r="372" spans="1:20" hidden="1" outlineLevel="1">
      <c r="E372" s="725"/>
      <c r="F372" s="725"/>
      <c r="G372" s="725"/>
      <c r="H372" s="725"/>
      <c r="I372" s="725"/>
      <c r="J372" s="725"/>
      <c r="K372" s="725"/>
      <c r="L372" s="725"/>
      <c r="M372" s="725"/>
      <c r="N372" s="725"/>
      <c r="O372" s="725"/>
      <c r="P372" s="725"/>
      <c r="Q372" s="725"/>
      <c r="R372" s="725"/>
      <c r="S372" s="725"/>
      <c r="T372" s="725"/>
    </row>
    <row r="373" spans="1:20" hidden="1" outlineLevel="1">
      <c r="B373" s="489" t="s">
        <v>1269</v>
      </c>
      <c r="E373" s="725">
        <f t="shared" ref="E373:O373" si="389">E356*E371</f>
        <v>36.421768566000004</v>
      </c>
      <c r="F373" s="725">
        <f t="shared" si="389"/>
        <v>78.996268134000005</v>
      </c>
      <c r="G373" s="725">
        <f t="shared" si="389"/>
        <v>31.747640147999999</v>
      </c>
      <c r="H373" s="725">
        <f t="shared" si="389"/>
        <v>32.091644411999994</v>
      </c>
      <c r="I373" s="725">
        <f t="shared" si="389"/>
        <v>34.453593143999996</v>
      </c>
      <c r="J373" s="725">
        <f t="shared" si="389"/>
        <v>34.453593143999996</v>
      </c>
      <c r="K373" s="725">
        <f t="shared" si="389"/>
        <v>34.453593143999996</v>
      </c>
      <c r="L373" s="725">
        <f t="shared" si="389"/>
        <v>34.453593143999996</v>
      </c>
      <c r="M373" s="725">
        <f t="shared" si="389"/>
        <v>34.453593143999996</v>
      </c>
      <c r="N373" s="725">
        <f t="shared" si="389"/>
        <v>34.453593143999996</v>
      </c>
      <c r="O373" s="725">
        <f t="shared" si="389"/>
        <v>34.453593143999996</v>
      </c>
      <c r="P373" s="725"/>
      <c r="Q373" s="725"/>
      <c r="R373" s="725"/>
      <c r="S373" s="725"/>
      <c r="T373" s="725"/>
    </row>
    <row r="374" spans="1:20" hidden="1" outlineLevel="1">
      <c r="E374" s="725"/>
      <c r="F374" s="725"/>
      <c r="G374" s="725"/>
      <c r="H374" s="725"/>
      <c r="I374" s="725"/>
      <c r="J374" s="725"/>
      <c r="K374" s="725"/>
      <c r="L374" s="725"/>
      <c r="M374" s="725"/>
      <c r="N374" s="725"/>
      <c r="O374" s="725"/>
      <c r="P374" s="725"/>
      <c r="Q374" s="725"/>
      <c r="R374" s="725"/>
      <c r="S374" s="725"/>
      <c r="T374" s="725"/>
    </row>
    <row r="375" spans="1:20" collapsed="1"/>
    <row r="376" spans="1:20" s="513" customFormat="1">
      <c r="A376" s="722"/>
      <c r="B376" s="513" t="s">
        <v>1249</v>
      </c>
      <c r="P376" s="722"/>
      <c r="Q376" s="722"/>
      <c r="R376" s="722"/>
      <c r="S376" s="722"/>
      <c r="T376" s="722"/>
    </row>
    <row r="378" spans="1:20" hidden="1" outlineLevel="1">
      <c r="B378" s="489" t="s">
        <v>1428</v>
      </c>
      <c r="C378" s="739">
        <v>56.7</v>
      </c>
      <c r="D378" s="739">
        <v>56.7</v>
      </c>
      <c r="E378" s="739">
        <v>127.575</v>
      </c>
      <c r="F378" s="739">
        <v>127.575</v>
      </c>
      <c r="G378" s="739">
        <v>127.556</v>
      </c>
      <c r="H378" s="739">
        <v>127.556</v>
      </c>
      <c r="I378" s="739">
        <v>127.556</v>
      </c>
      <c r="J378" s="725">
        <f t="shared" ref="J378:O378" si="390">I378+J379</f>
        <v>127.556</v>
      </c>
      <c r="K378" s="725">
        <f t="shared" si="390"/>
        <v>127.556</v>
      </c>
      <c r="L378" s="725">
        <f t="shared" si="390"/>
        <v>127.556</v>
      </c>
      <c r="M378" s="725">
        <f t="shared" si="390"/>
        <v>127.556</v>
      </c>
      <c r="N378" s="725">
        <f t="shared" si="390"/>
        <v>127.556</v>
      </c>
      <c r="O378" s="725">
        <f t="shared" si="390"/>
        <v>127.556</v>
      </c>
      <c r="P378" s="725"/>
      <c r="Q378" s="725"/>
      <c r="R378" s="725"/>
      <c r="S378" s="725"/>
      <c r="T378" s="725"/>
    </row>
    <row r="379" spans="1:20" hidden="1" outlineLevel="1">
      <c r="B379" s="489" t="s">
        <v>1250</v>
      </c>
      <c r="C379" s="725"/>
      <c r="D379" s="725">
        <f t="shared" ref="D379:I379" si="391">D378-C378</f>
        <v>0</v>
      </c>
      <c r="E379" s="725">
        <f t="shared" si="391"/>
        <v>70.875</v>
      </c>
      <c r="F379" s="725">
        <f t="shared" si="391"/>
        <v>0</v>
      </c>
      <c r="G379" s="725">
        <f t="shared" si="391"/>
        <v>-1.9000000000005457E-2</v>
      </c>
      <c r="H379" s="725">
        <f t="shared" si="391"/>
        <v>0</v>
      </c>
      <c r="I379" s="725">
        <f t="shared" si="391"/>
        <v>0</v>
      </c>
      <c r="J379" s="726">
        <v>0</v>
      </c>
      <c r="K379" s="726">
        <v>0</v>
      </c>
      <c r="L379" s="726">
        <v>0</v>
      </c>
      <c r="M379" s="726">
        <v>0</v>
      </c>
      <c r="N379" s="726">
        <v>0</v>
      </c>
      <c r="O379" s="726">
        <v>0</v>
      </c>
      <c r="P379" s="726"/>
      <c r="Q379" s="726"/>
      <c r="R379" s="726"/>
      <c r="S379" s="726"/>
      <c r="T379" s="726"/>
    </row>
    <row r="380" spans="1:20" hidden="1" outlineLevel="1">
      <c r="B380" s="489" t="s">
        <v>1429</v>
      </c>
      <c r="C380" s="725"/>
      <c r="D380" s="725">
        <f t="shared" ref="D380:O380" si="392">(D378+C378)/2</f>
        <v>56.7</v>
      </c>
      <c r="E380" s="725">
        <f t="shared" si="392"/>
        <v>92.137500000000003</v>
      </c>
      <c r="F380" s="725">
        <f t="shared" si="392"/>
        <v>127.575</v>
      </c>
      <c r="G380" s="725">
        <f t="shared" si="392"/>
        <v>127.5655</v>
      </c>
      <c r="H380" s="725">
        <f t="shared" si="392"/>
        <v>127.556</v>
      </c>
      <c r="I380" s="725">
        <f t="shared" si="392"/>
        <v>127.556</v>
      </c>
      <c r="J380" s="725">
        <f t="shared" si="392"/>
        <v>127.556</v>
      </c>
      <c r="K380" s="725">
        <f t="shared" si="392"/>
        <v>127.556</v>
      </c>
      <c r="L380" s="725">
        <f t="shared" si="392"/>
        <v>127.556</v>
      </c>
      <c r="M380" s="725">
        <f t="shared" si="392"/>
        <v>127.556</v>
      </c>
      <c r="N380" s="725">
        <f t="shared" si="392"/>
        <v>127.556</v>
      </c>
      <c r="O380" s="725">
        <f t="shared" si="392"/>
        <v>127.556</v>
      </c>
      <c r="P380" s="725"/>
      <c r="Q380" s="725"/>
      <c r="R380" s="725"/>
      <c r="S380" s="725"/>
      <c r="T380" s="725"/>
    </row>
    <row r="381" spans="1:20" hidden="1" outlineLevel="1">
      <c r="C381" s="725"/>
      <c r="D381" s="725"/>
      <c r="E381" s="725"/>
      <c r="F381" s="725"/>
      <c r="G381" s="725"/>
      <c r="H381" s="725"/>
      <c r="I381" s="725"/>
      <c r="J381" s="725"/>
      <c r="K381" s="725"/>
      <c r="L381" s="725"/>
      <c r="M381" s="725"/>
      <c r="N381" s="725"/>
      <c r="O381" s="725"/>
      <c r="P381" s="725"/>
      <c r="Q381" s="725"/>
      <c r="R381" s="725"/>
      <c r="S381" s="725"/>
      <c r="T381" s="725"/>
    </row>
    <row r="382" spans="1:20" hidden="1" outlineLevel="1">
      <c r="B382" s="489" t="s">
        <v>281</v>
      </c>
      <c r="C382" s="725">
        <f t="shared" ref="C382:O382" si="393">C12</f>
        <v>88.077000000000055</v>
      </c>
      <c r="D382" s="725">
        <f t="shared" si="393"/>
        <v>98.936668599896052</v>
      </c>
      <c r="E382" s="725">
        <f t="shared" si="393"/>
        <v>140.88094095</v>
      </c>
      <c r="F382" s="725">
        <f t="shared" si="393"/>
        <v>250.1</v>
      </c>
      <c r="G382" s="725">
        <f t="shared" si="393"/>
        <v>264.7</v>
      </c>
      <c r="H382" s="725">
        <f t="shared" si="393"/>
        <v>235.99661195000004</v>
      </c>
      <c r="I382" s="725">
        <f t="shared" si="393"/>
        <v>239.45407107999998</v>
      </c>
      <c r="J382" s="725">
        <f t="shared" si="393"/>
        <v>242.18396066</v>
      </c>
      <c r="K382" s="725">
        <f t="shared" si="393"/>
        <v>226.45299999999997</v>
      </c>
      <c r="L382" s="725">
        <f t="shared" si="393"/>
        <v>181.58300000000003</v>
      </c>
      <c r="M382" s="725">
        <f t="shared" ca="1" si="393"/>
        <v>190.85454653151407</v>
      </c>
      <c r="N382" s="725">
        <f t="shared" ca="1" si="393"/>
        <v>184.97974954401991</v>
      </c>
      <c r="O382" s="725">
        <f t="shared" ca="1" si="393"/>
        <v>192.26576222893047</v>
      </c>
      <c r="P382" s="725"/>
      <c r="Q382" s="725"/>
      <c r="R382" s="725"/>
      <c r="S382" s="725"/>
      <c r="T382" s="725"/>
    </row>
    <row r="383" spans="1:20" hidden="1" outlineLevel="1">
      <c r="B383" s="489" t="s">
        <v>298</v>
      </c>
      <c r="C383" s="725">
        <f t="shared" ref="C383:O383" si="394">C200+C212</f>
        <v>-40</v>
      </c>
      <c r="D383" s="725">
        <f t="shared" si="394"/>
        <v>-43.206999999999994</v>
      </c>
      <c r="E383" s="725">
        <f t="shared" si="394"/>
        <v>-55.681000000000004</v>
      </c>
      <c r="F383" s="725">
        <f t="shared" si="394"/>
        <v>-99.650999999999996</v>
      </c>
      <c r="G383" s="725">
        <f t="shared" si="394"/>
        <v>-97.185999999999993</v>
      </c>
      <c r="H383" s="725">
        <f t="shared" si="394"/>
        <v>-103.66</v>
      </c>
      <c r="I383" s="725">
        <f t="shared" si="394"/>
        <v>-119.229</v>
      </c>
      <c r="J383" s="725">
        <f t="shared" si="394"/>
        <v>-126.28437325500003</v>
      </c>
      <c r="K383" s="725">
        <f t="shared" si="394"/>
        <v>-103.532164512931</v>
      </c>
      <c r="L383" s="725">
        <f t="shared" si="394"/>
        <v>-100.26654382528461</v>
      </c>
      <c r="M383" s="725">
        <f t="shared" si="394"/>
        <v>-102.43450611351462</v>
      </c>
      <c r="N383" s="725">
        <f t="shared" si="394"/>
        <v>-104.33547317947212</v>
      </c>
      <c r="O383" s="725">
        <f t="shared" ca="1" si="394"/>
        <v>-106.51104417943229</v>
      </c>
      <c r="P383" s="725"/>
      <c r="Q383" s="725"/>
      <c r="R383" s="725"/>
      <c r="S383" s="725"/>
      <c r="T383" s="725"/>
    </row>
    <row r="384" spans="1:20" hidden="1" outlineLevel="1">
      <c r="B384" s="489" t="s">
        <v>1398</v>
      </c>
      <c r="C384" s="725">
        <f t="shared" ref="C384:O384" si="395">C206</f>
        <v>-22.832000000000001</v>
      </c>
      <c r="D384" s="725">
        <f t="shared" si="395"/>
        <v>-7.5821759100000037</v>
      </c>
      <c r="E384" s="725">
        <f t="shared" si="395"/>
        <v>-20.115081609999983</v>
      </c>
      <c r="F384" s="725">
        <f t="shared" si="395"/>
        <v>-55.003999999999998</v>
      </c>
      <c r="G384" s="725">
        <f t="shared" si="395"/>
        <v>-58.423999999999999</v>
      </c>
      <c r="H384" s="725">
        <f t="shared" si="395"/>
        <v>-55.134</v>
      </c>
      <c r="I384" s="725">
        <f t="shared" si="395"/>
        <v>-64.944999999999993</v>
      </c>
      <c r="J384" s="725">
        <f t="shared" si="395"/>
        <v>-65.729503013306399</v>
      </c>
      <c r="K384" s="725">
        <f t="shared" si="395"/>
        <v>-64.78207449636885</v>
      </c>
      <c r="L384" s="725">
        <f t="shared" si="395"/>
        <v>-64.444045895885182</v>
      </c>
      <c r="M384" s="725">
        <f t="shared" si="395"/>
        <v>-65.28410486153318</v>
      </c>
      <c r="N384" s="725">
        <f t="shared" si="395"/>
        <v>-66.103213483831809</v>
      </c>
      <c r="O384" s="725">
        <f t="shared" ca="1" si="395"/>
        <v>-67.020456501878456</v>
      </c>
      <c r="P384" s="725"/>
      <c r="Q384" s="725"/>
      <c r="R384" s="725"/>
      <c r="S384" s="725"/>
      <c r="T384" s="725"/>
    </row>
    <row r="385" spans="2:20" hidden="1" outlineLevel="1">
      <c r="B385" s="489" t="s">
        <v>299</v>
      </c>
      <c r="C385" s="725">
        <f t="shared" ref="C385:O385" si="396">C69+C70</f>
        <v>-27.874000000000002</v>
      </c>
      <c r="D385" s="725">
        <f t="shared" si="396"/>
        <v>-45.725160697806999</v>
      </c>
      <c r="E385" s="725">
        <f t="shared" si="396"/>
        <v>-44.972892090000002</v>
      </c>
      <c r="F385" s="725">
        <f t="shared" si="396"/>
        <v>-75.5</v>
      </c>
      <c r="G385" s="725">
        <f t="shared" si="396"/>
        <v>-57.5</v>
      </c>
      <c r="H385" s="725">
        <f t="shared" si="396"/>
        <v>-75.259316609999999</v>
      </c>
      <c r="I385" s="725">
        <f t="shared" si="396"/>
        <v>-62.485022609999994</v>
      </c>
      <c r="J385" s="725">
        <f t="shared" si="396"/>
        <v>-47.148720870000005</v>
      </c>
      <c r="K385" s="725">
        <f t="shared" si="396"/>
        <v>-82.275529559999995</v>
      </c>
      <c r="L385" s="725">
        <f t="shared" si="396"/>
        <v>-58.896821179999996</v>
      </c>
      <c r="M385" s="725">
        <f t="shared" si="396"/>
        <v>-47.622205669848135</v>
      </c>
      <c r="N385" s="725">
        <f t="shared" ca="1" si="396"/>
        <v>-53.417350939135027</v>
      </c>
      <c r="O385" s="725">
        <f t="shared" ca="1" si="396"/>
        <v>-53.098056059289121</v>
      </c>
      <c r="P385" s="725"/>
      <c r="Q385" s="725"/>
      <c r="R385" s="725"/>
      <c r="S385" s="725"/>
      <c r="T385" s="725"/>
    </row>
    <row r="386" spans="2:20" hidden="1" outlineLevel="1">
      <c r="B386" s="489" t="s">
        <v>301</v>
      </c>
      <c r="C386" s="725">
        <f t="shared" ref="C386:O386" si="397">C294</f>
        <v>1.4849999999983161E-2</v>
      </c>
      <c r="D386" s="725">
        <f t="shared" si="397"/>
        <v>4.5820513886106085</v>
      </c>
      <c r="E386" s="725">
        <f t="shared" si="397"/>
        <v>21.607157652300035</v>
      </c>
      <c r="F386" s="725">
        <f t="shared" si="397"/>
        <v>2.5058999999999956</v>
      </c>
      <c r="G386" s="725">
        <f t="shared" si="397"/>
        <v>8.5830000000000073</v>
      </c>
      <c r="H386" s="725">
        <f t="shared" si="397"/>
        <v>51.322385723399869</v>
      </c>
      <c r="I386" s="725">
        <f t="shared" si="397"/>
        <v>11.043427584000016</v>
      </c>
      <c r="J386" s="725">
        <f t="shared" si="397"/>
        <v>55.364616261000002</v>
      </c>
      <c r="K386" s="725">
        <f t="shared" ca="1" si="397"/>
        <v>27.808812542999998</v>
      </c>
      <c r="L386" s="725">
        <f t="shared" ca="1" si="397"/>
        <v>37.529046353999995</v>
      </c>
      <c r="M386" s="725">
        <f t="shared" ca="1" si="397"/>
        <v>16.130297741500218</v>
      </c>
      <c r="N386" s="725">
        <f t="shared" ca="1" si="397"/>
        <v>21.512188924844249</v>
      </c>
      <c r="O386" s="725">
        <f t="shared" ca="1" si="397"/>
        <v>17.48955276273449</v>
      </c>
      <c r="P386" s="725"/>
      <c r="Q386" s="725"/>
      <c r="R386" s="725"/>
      <c r="S386" s="725"/>
      <c r="T386" s="725"/>
    </row>
    <row r="387" spans="2:20" hidden="1" outlineLevel="1">
      <c r="B387" s="489" t="s">
        <v>302</v>
      </c>
      <c r="C387" s="725">
        <f t="shared" ref="C387:O387" si="398">-C81</f>
        <v>-3.3250000000000002</v>
      </c>
      <c r="D387" s="725">
        <f t="shared" si="398"/>
        <v>-2.2271485804991888</v>
      </c>
      <c r="E387" s="725">
        <f t="shared" si="398"/>
        <v>-2.3522576900000001</v>
      </c>
      <c r="F387" s="725">
        <f t="shared" si="398"/>
        <v>-2.5</v>
      </c>
      <c r="G387" s="725">
        <f t="shared" si="398"/>
        <v>-2.5</v>
      </c>
      <c r="H387" s="725">
        <f t="shared" si="398"/>
        <v>-2.48838932</v>
      </c>
      <c r="I387" s="725">
        <f t="shared" si="398"/>
        <v>-2.0485064099999999</v>
      </c>
      <c r="J387" s="725">
        <f t="shared" si="398"/>
        <v>-0.79752399000000007</v>
      </c>
      <c r="K387" s="725">
        <f t="shared" si="398"/>
        <v>-0.35752413999999988</v>
      </c>
      <c r="L387" s="725">
        <f t="shared" si="398"/>
        <v>-0.56452654000000002</v>
      </c>
      <c r="M387" s="725">
        <f t="shared" si="398"/>
        <v>-0.56452654000000002</v>
      </c>
      <c r="N387" s="725">
        <f t="shared" si="398"/>
        <v>-0.56452654000000002</v>
      </c>
      <c r="O387" s="725">
        <f t="shared" si="398"/>
        <v>-0.56452654000000002</v>
      </c>
      <c r="P387" s="725"/>
      <c r="Q387" s="725"/>
      <c r="R387" s="725"/>
      <c r="S387" s="725"/>
      <c r="T387" s="725"/>
    </row>
    <row r="388" spans="2:20" hidden="1" outlineLevel="1">
      <c r="B388" s="58" t="s">
        <v>303</v>
      </c>
      <c r="C388" s="750">
        <f t="shared" ref="C388:O388" si="399">SUM(C382:C387)</f>
        <v>-5.9391499999999651</v>
      </c>
      <c r="D388" s="750">
        <f t="shared" si="399"/>
        <v>4.7772348002004756</v>
      </c>
      <c r="E388" s="750">
        <f t="shared" si="399"/>
        <v>39.366867212300036</v>
      </c>
      <c r="F388" s="750">
        <f t="shared" si="399"/>
        <v>19.950900000000019</v>
      </c>
      <c r="G388" s="750">
        <f t="shared" si="399"/>
        <v>57.673000000000009</v>
      </c>
      <c r="H388" s="750">
        <f t="shared" si="399"/>
        <v>50.777291743399914</v>
      </c>
      <c r="I388" s="750">
        <f t="shared" si="399"/>
        <v>1.7899696440000064</v>
      </c>
      <c r="J388" s="750">
        <f t="shared" si="399"/>
        <v>57.588455792693559</v>
      </c>
      <c r="K388" s="750">
        <f t="shared" ca="1" si="399"/>
        <v>3.3145198337001238</v>
      </c>
      <c r="L388" s="750">
        <f t="shared" ca="1" si="399"/>
        <v>-5.0598910871697713</v>
      </c>
      <c r="M388" s="750">
        <f t="shared" ca="1" si="399"/>
        <v>-8.9204989118816371</v>
      </c>
      <c r="N388" s="750">
        <f t="shared" ca="1" si="399"/>
        <v>-17.928625673574793</v>
      </c>
      <c r="O388" s="750">
        <f t="shared" ca="1" si="399"/>
        <v>-17.438768288934906</v>
      </c>
      <c r="P388" s="725"/>
      <c r="Q388" s="725"/>
      <c r="R388" s="725"/>
      <c r="S388" s="725"/>
      <c r="T388" s="725"/>
    </row>
    <row r="389" spans="2:20" hidden="1" outlineLevel="1">
      <c r="B389" s="489" t="s">
        <v>353</v>
      </c>
      <c r="C389" s="751">
        <f t="shared" ref="C389:O389" si="400">C388/C378</f>
        <v>-0.10474691358024629</v>
      </c>
      <c r="D389" s="751">
        <f t="shared" si="400"/>
        <v>8.4254582014117729E-2</v>
      </c>
      <c r="E389" s="751">
        <f t="shared" si="400"/>
        <v>0.30857822623789954</v>
      </c>
      <c r="F389" s="751">
        <f t="shared" si="400"/>
        <v>0.15638565549676675</v>
      </c>
      <c r="G389" s="751">
        <f t="shared" si="400"/>
        <v>0.45213866850638157</v>
      </c>
      <c r="H389" s="751">
        <f t="shared" si="400"/>
        <v>0.39807842628649309</v>
      </c>
      <c r="I389" s="751">
        <f t="shared" si="400"/>
        <v>1.4032814167894935E-2</v>
      </c>
      <c r="J389" s="751">
        <f t="shared" si="400"/>
        <v>0.45147586779683874</v>
      </c>
      <c r="K389" s="751">
        <f t="shared" ca="1" si="400"/>
        <v>2.5984821048795227E-2</v>
      </c>
      <c r="L389" s="751">
        <f t="shared" ca="1" si="400"/>
        <v>-3.9667997484789198E-2</v>
      </c>
      <c r="M389" s="751">
        <f t="shared" ca="1" si="400"/>
        <v>-6.9933981246524168E-2</v>
      </c>
      <c r="N389" s="751">
        <f t="shared" ca="1" si="400"/>
        <v>-0.14055493801604624</v>
      </c>
      <c r="O389" s="751">
        <f t="shared" ca="1" si="400"/>
        <v>-0.13671460604702959</v>
      </c>
      <c r="P389" s="751"/>
      <c r="Q389" s="751"/>
      <c r="R389" s="751"/>
      <c r="S389" s="751"/>
      <c r="T389" s="751"/>
    </row>
    <row r="390" spans="2:20" hidden="1" outlineLevel="1">
      <c r="B390" s="489" t="s">
        <v>1196</v>
      </c>
      <c r="E390" s="490">
        <f t="shared" ref="E390:O390" si="401">E389/D389-1</f>
        <v>2.6624503838401816</v>
      </c>
      <c r="F390" s="490">
        <f t="shared" si="401"/>
        <v>-0.49320579937418962</v>
      </c>
      <c r="G390" s="490">
        <f t="shared" si="401"/>
        <v>1.8911773721837899</v>
      </c>
      <c r="H390" s="490">
        <f t="shared" si="401"/>
        <v>-0.11956562441003749</v>
      </c>
      <c r="I390" s="490">
        <f t="shared" si="401"/>
        <v>-0.96474861926379385</v>
      </c>
      <c r="J390" s="490">
        <f t="shared" si="401"/>
        <v>31.172867280588001</v>
      </c>
      <c r="K390" s="490">
        <f t="shared" ca="1" si="401"/>
        <v>-0.94244471764216586</v>
      </c>
      <c r="L390" s="490">
        <f t="shared" ca="1" si="401"/>
        <v>-2.5265834392432112</v>
      </c>
      <c r="M390" s="490">
        <f t="shared" ca="1" si="401"/>
        <v>0.76298239590593253</v>
      </c>
      <c r="N390" s="490">
        <f t="shared" ca="1" si="401"/>
        <v>1.0098232005493331</v>
      </c>
      <c r="O390" s="490">
        <f t="shared" ca="1" si="401"/>
        <v>-2.7322639981373076E-2</v>
      </c>
      <c r="P390" s="490"/>
      <c r="Q390" s="490"/>
      <c r="R390" s="490"/>
      <c r="S390" s="490"/>
      <c r="T390" s="490"/>
    </row>
    <row r="391" spans="2:20" hidden="1" outlineLevel="1"/>
    <row r="392" spans="2:20" hidden="1" outlineLevel="1">
      <c r="B392" s="489" t="s">
        <v>354</v>
      </c>
      <c r="C392" s="759">
        <v>0</v>
      </c>
      <c r="D392" s="759">
        <v>0</v>
      </c>
      <c r="E392" s="759">
        <v>0</v>
      </c>
      <c r="F392" s="759">
        <v>0</v>
      </c>
      <c r="G392" s="759">
        <v>0</v>
      </c>
      <c r="H392" s="759">
        <v>0</v>
      </c>
      <c r="I392" s="759">
        <v>0</v>
      </c>
      <c r="J392" s="760">
        <v>0</v>
      </c>
      <c r="K392" s="760">
        <f ca="1">MAX(0, K389*K396)</f>
        <v>2.3386338943915706E-2</v>
      </c>
      <c r="L392" s="760">
        <f ca="1">MAX(0, L389*L396)</f>
        <v>0</v>
      </c>
      <c r="M392" s="760">
        <f ca="1">MAX(0, M389*M396)</f>
        <v>0</v>
      </c>
      <c r="N392" s="760">
        <f ca="1">MAX(0, N389*N396)</f>
        <v>0</v>
      </c>
      <c r="O392" s="760">
        <f ca="1">MAX(0, O389*O396)</f>
        <v>0</v>
      </c>
      <c r="P392" s="760"/>
      <c r="Q392" s="760"/>
      <c r="R392" s="760"/>
      <c r="S392" s="760"/>
      <c r="T392" s="760"/>
    </row>
    <row r="393" spans="2:20" hidden="1" outlineLevel="1">
      <c r="B393" s="489" t="s">
        <v>1410</v>
      </c>
      <c r="C393" s="759">
        <v>0</v>
      </c>
      <c r="D393" s="759">
        <v>0</v>
      </c>
      <c r="E393" s="759">
        <v>0</v>
      </c>
      <c r="F393" s="759">
        <v>0</v>
      </c>
      <c r="G393" s="759">
        <v>0</v>
      </c>
      <c r="H393" s="759">
        <v>0</v>
      </c>
      <c r="I393" s="759">
        <v>0</v>
      </c>
      <c r="J393" s="761"/>
      <c r="K393" s="761"/>
      <c r="L393" s="761"/>
      <c r="M393" s="761"/>
      <c r="N393" s="761"/>
      <c r="O393" s="761"/>
      <c r="P393" s="761"/>
      <c r="Q393" s="761"/>
      <c r="R393" s="761"/>
      <c r="S393" s="761"/>
      <c r="T393" s="761"/>
    </row>
    <row r="394" spans="2:20" hidden="1" outlineLevel="1">
      <c r="B394" s="489" t="s">
        <v>1411</v>
      </c>
      <c r="C394" s="762">
        <f t="shared" ref="C394:O394" si="402">C392+C393</f>
        <v>0</v>
      </c>
      <c r="D394" s="762">
        <f t="shared" si="402"/>
        <v>0</v>
      </c>
      <c r="E394" s="762">
        <f t="shared" si="402"/>
        <v>0</v>
      </c>
      <c r="F394" s="762">
        <f t="shared" si="402"/>
        <v>0</v>
      </c>
      <c r="G394" s="762">
        <f t="shared" si="402"/>
        <v>0</v>
      </c>
      <c r="H394" s="762">
        <f t="shared" si="402"/>
        <v>0</v>
      </c>
      <c r="I394" s="762">
        <f t="shared" si="402"/>
        <v>0</v>
      </c>
      <c r="J394" s="762">
        <f t="shared" si="402"/>
        <v>0</v>
      </c>
      <c r="K394" s="762">
        <f t="shared" ca="1" si="402"/>
        <v>2.3386338943915706E-2</v>
      </c>
      <c r="L394" s="762">
        <f t="shared" ca="1" si="402"/>
        <v>0</v>
      </c>
      <c r="M394" s="762">
        <f t="shared" ca="1" si="402"/>
        <v>0</v>
      </c>
      <c r="N394" s="762">
        <f t="shared" ca="1" si="402"/>
        <v>0</v>
      </c>
      <c r="O394" s="762">
        <f t="shared" ca="1" si="402"/>
        <v>0</v>
      </c>
      <c r="P394" s="901"/>
      <c r="Q394" s="901"/>
      <c r="R394" s="901"/>
      <c r="S394" s="901"/>
      <c r="T394" s="901"/>
    </row>
    <row r="395" spans="2:20" hidden="1" outlineLevel="1">
      <c r="D395" s="723"/>
      <c r="E395" s="723"/>
      <c r="F395" s="723"/>
      <c r="G395" s="723"/>
      <c r="H395" s="723"/>
      <c r="I395" s="723"/>
      <c r="J395" s="723"/>
      <c r="K395" s="723"/>
      <c r="L395" s="723"/>
      <c r="M395" s="723"/>
      <c r="N395" s="723"/>
      <c r="O395" s="723"/>
      <c r="P395" s="723"/>
      <c r="Q395" s="723"/>
      <c r="R395" s="723"/>
      <c r="S395" s="723"/>
      <c r="T395" s="723"/>
    </row>
    <row r="396" spans="2:20" hidden="1" outlineLevel="1">
      <c r="B396" s="489" t="s">
        <v>1251</v>
      </c>
      <c r="C396" s="763"/>
      <c r="D396" s="763"/>
      <c r="E396" s="763"/>
      <c r="F396" s="764">
        <v>0.9</v>
      </c>
      <c r="G396" s="764">
        <v>0.9</v>
      </c>
      <c r="H396" s="764">
        <v>0.9</v>
      </c>
      <c r="I396" s="764">
        <v>0.9</v>
      </c>
      <c r="J396" s="764">
        <v>0.9</v>
      </c>
      <c r="K396" s="764">
        <v>0.9</v>
      </c>
      <c r="L396" s="764">
        <v>0.9</v>
      </c>
      <c r="M396" s="764">
        <v>0.9</v>
      </c>
      <c r="N396" s="764">
        <v>0.9</v>
      </c>
      <c r="O396" s="764">
        <v>0.9</v>
      </c>
      <c r="P396" s="764"/>
      <c r="Q396" s="764"/>
      <c r="R396" s="764"/>
      <c r="S396" s="764"/>
      <c r="T396" s="764"/>
    </row>
    <row r="397" spans="2:20" hidden="1" outlineLevel="1">
      <c r="B397" s="489" t="s">
        <v>1252</v>
      </c>
      <c r="C397" s="763"/>
      <c r="D397" s="763"/>
      <c r="E397" s="763"/>
      <c r="F397" s="765">
        <f t="shared" ref="F397:O397" si="403">F394/F84</f>
        <v>0</v>
      </c>
      <c r="G397" s="765">
        <f t="shared" si="403"/>
        <v>0</v>
      </c>
      <c r="H397" s="765">
        <f t="shared" si="403"/>
        <v>0</v>
      </c>
      <c r="I397" s="765">
        <f t="shared" si="403"/>
        <v>0</v>
      </c>
      <c r="J397" s="765">
        <f t="shared" si="403"/>
        <v>0</v>
      </c>
      <c r="K397" s="765">
        <f t="shared" ca="1" si="403"/>
        <v>-3.4688432020172674E-2</v>
      </c>
      <c r="L397" s="765">
        <f t="shared" ca="1" si="403"/>
        <v>0</v>
      </c>
      <c r="M397" s="765">
        <f t="shared" ca="1" si="403"/>
        <v>0</v>
      </c>
      <c r="N397" s="765">
        <f t="shared" ca="1" si="403"/>
        <v>0</v>
      </c>
      <c r="O397" s="765">
        <f t="shared" ca="1" si="403"/>
        <v>0</v>
      </c>
      <c r="P397" s="765"/>
      <c r="Q397" s="765"/>
      <c r="R397" s="765"/>
      <c r="S397" s="765"/>
      <c r="T397" s="765"/>
    </row>
    <row r="398" spans="2:20" hidden="1" outlineLevel="1">
      <c r="B398" s="489" t="s">
        <v>1253</v>
      </c>
      <c r="C398" s="763"/>
      <c r="D398" s="763"/>
      <c r="E398" s="763"/>
      <c r="F398" s="765">
        <f t="shared" ref="F398:O398" si="404">F394/F408</f>
        <v>0</v>
      </c>
      <c r="G398" s="765">
        <f t="shared" si="404"/>
        <v>0</v>
      </c>
      <c r="H398" s="765">
        <f t="shared" si="404"/>
        <v>0</v>
      </c>
      <c r="I398" s="765">
        <f t="shared" si="404"/>
        <v>0</v>
      </c>
      <c r="J398" s="765">
        <f t="shared" si="404"/>
        <v>0</v>
      </c>
      <c r="K398" s="765">
        <f t="shared" ca="1" si="404"/>
        <v>7.8881072753721998E-2</v>
      </c>
      <c r="L398" s="765">
        <f t="shared" ca="1" si="404"/>
        <v>0</v>
      </c>
      <c r="M398" s="765">
        <f t="shared" ca="1" si="404"/>
        <v>0</v>
      </c>
      <c r="N398" s="765">
        <f t="shared" ca="1" si="404"/>
        <v>0</v>
      </c>
      <c r="O398" s="765">
        <f t="shared" ca="1" si="404"/>
        <v>0</v>
      </c>
      <c r="P398" s="765"/>
      <c r="Q398" s="765"/>
      <c r="R398" s="765"/>
      <c r="S398" s="765"/>
      <c r="T398" s="765"/>
    </row>
    <row r="399" spans="2:20" hidden="1" outlineLevel="1"/>
    <row r="400" spans="2:20" hidden="1" outlineLevel="1">
      <c r="B400" s="489" t="s">
        <v>1412</v>
      </c>
      <c r="C400" s="725">
        <f t="shared" ref="C400:O400" si="405">C392*C378</f>
        <v>0</v>
      </c>
      <c r="D400" s="725">
        <f t="shared" si="405"/>
        <v>0</v>
      </c>
      <c r="E400" s="725">
        <f t="shared" si="405"/>
        <v>0</v>
      </c>
      <c r="F400" s="725">
        <f t="shared" si="405"/>
        <v>0</v>
      </c>
      <c r="G400" s="725">
        <f t="shared" si="405"/>
        <v>0</v>
      </c>
      <c r="H400" s="725">
        <f t="shared" si="405"/>
        <v>0</v>
      </c>
      <c r="I400" s="725">
        <f t="shared" si="405"/>
        <v>0</v>
      </c>
      <c r="J400" s="725">
        <f t="shared" si="405"/>
        <v>0</v>
      </c>
      <c r="K400" s="725">
        <f t="shared" ca="1" si="405"/>
        <v>2.9830678503301118</v>
      </c>
      <c r="L400" s="725">
        <f t="shared" ca="1" si="405"/>
        <v>0</v>
      </c>
      <c r="M400" s="725">
        <f t="shared" ca="1" si="405"/>
        <v>0</v>
      </c>
      <c r="N400" s="725">
        <f t="shared" ca="1" si="405"/>
        <v>0</v>
      </c>
      <c r="O400" s="725">
        <f t="shared" ca="1" si="405"/>
        <v>0</v>
      </c>
      <c r="P400" s="725"/>
      <c r="Q400" s="725"/>
      <c r="R400" s="725"/>
      <c r="S400" s="725"/>
      <c r="T400" s="725"/>
    </row>
    <row r="401" spans="2:20" hidden="1" outlineLevel="1">
      <c r="C401" s="725"/>
      <c r="D401" s="725"/>
      <c r="E401" s="725"/>
      <c r="F401" s="725"/>
      <c r="G401" s="725"/>
      <c r="H401" s="725"/>
      <c r="I401" s="725"/>
      <c r="J401" s="725"/>
      <c r="K401" s="725"/>
      <c r="L401" s="725"/>
      <c r="M401" s="725"/>
      <c r="N401" s="725"/>
      <c r="O401" s="725"/>
      <c r="P401" s="725"/>
      <c r="Q401" s="725"/>
      <c r="R401" s="725"/>
      <c r="S401" s="725"/>
      <c r="T401" s="725"/>
    </row>
    <row r="402" spans="2:20" hidden="1" outlineLevel="1">
      <c r="B402" s="489" t="s">
        <v>303</v>
      </c>
      <c r="C402" s="725">
        <f t="shared" ref="C402:O402" si="406">C388</f>
        <v>-5.9391499999999651</v>
      </c>
      <c r="D402" s="725">
        <f t="shared" si="406"/>
        <v>4.7772348002004756</v>
      </c>
      <c r="E402" s="725">
        <f t="shared" si="406"/>
        <v>39.366867212300036</v>
      </c>
      <c r="F402" s="725">
        <f t="shared" si="406"/>
        <v>19.950900000000019</v>
      </c>
      <c r="G402" s="725">
        <f t="shared" si="406"/>
        <v>57.673000000000009</v>
      </c>
      <c r="H402" s="725">
        <f t="shared" si="406"/>
        <v>50.777291743399914</v>
      </c>
      <c r="I402" s="725">
        <f t="shared" si="406"/>
        <v>1.7899696440000064</v>
      </c>
      <c r="J402" s="725">
        <f t="shared" si="406"/>
        <v>57.588455792693559</v>
      </c>
      <c r="K402" s="725">
        <f t="shared" ca="1" si="406"/>
        <v>3.3145198337001238</v>
      </c>
      <c r="L402" s="725">
        <f t="shared" ca="1" si="406"/>
        <v>-5.0598910871697713</v>
      </c>
      <c r="M402" s="725">
        <f t="shared" ca="1" si="406"/>
        <v>-8.9204989118816371</v>
      </c>
      <c r="N402" s="725">
        <f t="shared" ca="1" si="406"/>
        <v>-17.928625673574793</v>
      </c>
      <c r="O402" s="725">
        <f t="shared" ca="1" si="406"/>
        <v>-17.438768288934906</v>
      </c>
      <c r="P402" s="725"/>
      <c r="Q402" s="725"/>
      <c r="R402" s="725"/>
      <c r="S402" s="725"/>
      <c r="T402" s="725"/>
    </row>
    <row r="403" spans="2:20" hidden="1" outlineLevel="1">
      <c r="B403" s="489" t="s">
        <v>305</v>
      </c>
      <c r="C403" s="725">
        <f t="shared" ref="C403:O403" si="407">-C383</f>
        <v>40</v>
      </c>
      <c r="D403" s="725">
        <f t="shared" si="407"/>
        <v>43.206999999999994</v>
      </c>
      <c r="E403" s="725">
        <f t="shared" si="407"/>
        <v>55.681000000000004</v>
      </c>
      <c r="F403" s="725">
        <f t="shared" si="407"/>
        <v>99.650999999999996</v>
      </c>
      <c r="G403" s="725">
        <f t="shared" si="407"/>
        <v>97.185999999999993</v>
      </c>
      <c r="H403" s="725">
        <f t="shared" si="407"/>
        <v>103.66</v>
      </c>
      <c r="I403" s="725">
        <f t="shared" si="407"/>
        <v>119.229</v>
      </c>
      <c r="J403" s="725">
        <f t="shared" si="407"/>
        <v>126.28437325500003</v>
      </c>
      <c r="K403" s="725">
        <f t="shared" si="407"/>
        <v>103.532164512931</v>
      </c>
      <c r="L403" s="725">
        <f t="shared" si="407"/>
        <v>100.26654382528461</v>
      </c>
      <c r="M403" s="725">
        <f t="shared" si="407"/>
        <v>102.43450611351462</v>
      </c>
      <c r="N403" s="725">
        <f t="shared" si="407"/>
        <v>104.33547317947212</v>
      </c>
      <c r="O403" s="725">
        <f t="shared" ca="1" si="407"/>
        <v>106.51104417943229</v>
      </c>
      <c r="P403" s="725"/>
      <c r="Q403" s="725"/>
      <c r="R403" s="725"/>
      <c r="S403" s="725"/>
      <c r="T403" s="725"/>
    </row>
    <row r="404" spans="2:20" hidden="1" outlineLevel="1">
      <c r="B404" s="489" t="s">
        <v>1413</v>
      </c>
      <c r="C404" s="725">
        <f t="shared" ref="C404:O404" si="408">-C384</f>
        <v>22.832000000000001</v>
      </c>
      <c r="D404" s="725">
        <f t="shared" si="408"/>
        <v>7.5821759100000037</v>
      </c>
      <c r="E404" s="725">
        <f t="shared" si="408"/>
        <v>20.115081609999983</v>
      </c>
      <c r="F404" s="725">
        <f t="shared" si="408"/>
        <v>55.003999999999998</v>
      </c>
      <c r="G404" s="725">
        <f t="shared" si="408"/>
        <v>58.423999999999999</v>
      </c>
      <c r="H404" s="725">
        <f t="shared" si="408"/>
        <v>55.134</v>
      </c>
      <c r="I404" s="725">
        <f t="shared" si="408"/>
        <v>64.944999999999993</v>
      </c>
      <c r="J404" s="725">
        <f t="shared" si="408"/>
        <v>65.729503013306399</v>
      </c>
      <c r="K404" s="725">
        <f t="shared" si="408"/>
        <v>64.78207449636885</v>
      </c>
      <c r="L404" s="725">
        <f t="shared" si="408"/>
        <v>64.444045895885182</v>
      </c>
      <c r="M404" s="725">
        <f t="shared" si="408"/>
        <v>65.28410486153318</v>
      </c>
      <c r="N404" s="725">
        <f t="shared" si="408"/>
        <v>66.103213483831809</v>
      </c>
      <c r="O404" s="725">
        <f t="shared" ca="1" si="408"/>
        <v>67.020456501878456</v>
      </c>
      <c r="P404" s="725"/>
      <c r="Q404" s="725"/>
      <c r="R404" s="725"/>
      <c r="S404" s="725"/>
      <c r="T404" s="725"/>
    </row>
    <row r="405" spans="2:20" hidden="1" outlineLevel="1">
      <c r="B405" s="489" t="s">
        <v>306</v>
      </c>
      <c r="C405" s="725">
        <f t="shared" ref="C405:O405" si="409">-C23</f>
        <v>-51.5</v>
      </c>
      <c r="D405" s="725">
        <f t="shared" si="409"/>
        <v>-84.1</v>
      </c>
      <c r="E405" s="725">
        <f t="shared" si="409"/>
        <v>-113.2</v>
      </c>
      <c r="F405" s="725">
        <f t="shared" si="409"/>
        <v>-152.30000000000001</v>
      </c>
      <c r="G405" s="725">
        <f t="shared" si="409"/>
        <v>-155.9</v>
      </c>
      <c r="H405" s="725">
        <f t="shared" si="409"/>
        <v>-159.03177321999999</v>
      </c>
      <c r="I405" s="725">
        <f t="shared" si="409"/>
        <v>-162.0818753543538</v>
      </c>
      <c r="J405" s="725">
        <f t="shared" si="409"/>
        <v>-109.13800000000001</v>
      </c>
      <c r="K405" s="725">
        <f t="shared" si="409"/>
        <v>-134.16900000000001</v>
      </c>
      <c r="L405" s="725">
        <f t="shared" si="409"/>
        <v>-186</v>
      </c>
      <c r="M405" s="725">
        <f t="shared" si="409"/>
        <v>-187</v>
      </c>
      <c r="N405" s="725">
        <f t="shared" ca="1" si="409"/>
        <v>-193.26969502103239</v>
      </c>
      <c r="O405" s="725">
        <f t="shared" ca="1" si="409"/>
        <v>-187.46621537875632</v>
      </c>
      <c r="P405" s="725"/>
      <c r="Q405" s="725"/>
      <c r="R405" s="725"/>
      <c r="S405" s="725"/>
      <c r="T405" s="725"/>
    </row>
    <row r="406" spans="2:20" hidden="1" outlineLevel="1">
      <c r="B406" s="489" t="s">
        <v>1254</v>
      </c>
      <c r="C406" s="725">
        <f t="shared" ref="C406:O406" si="410">-C387</f>
        <v>3.3250000000000002</v>
      </c>
      <c r="D406" s="725">
        <f t="shared" si="410"/>
        <v>2.2271485804991888</v>
      </c>
      <c r="E406" s="725">
        <f t="shared" si="410"/>
        <v>2.3522576900000001</v>
      </c>
      <c r="F406" s="725">
        <f t="shared" si="410"/>
        <v>2.5</v>
      </c>
      <c r="G406" s="725">
        <f t="shared" si="410"/>
        <v>2.5</v>
      </c>
      <c r="H406" s="725">
        <f t="shared" si="410"/>
        <v>2.48838932</v>
      </c>
      <c r="I406" s="725">
        <f t="shared" si="410"/>
        <v>2.0485064099999999</v>
      </c>
      <c r="J406" s="725">
        <f t="shared" si="410"/>
        <v>0.79752399000000007</v>
      </c>
      <c r="K406" s="725">
        <f t="shared" si="410"/>
        <v>0.35752413999999988</v>
      </c>
      <c r="L406" s="725">
        <f t="shared" si="410"/>
        <v>0.56452654000000002</v>
      </c>
      <c r="M406" s="725">
        <f t="shared" si="410"/>
        <v>0.56452654000000002</v>
      </c>
      <c r="N406" s="725">
        <f t="shared" si="410"/>
        <v>0.56452654000000002</v>
      </c>
      <c r="O406" s="725">
        <f t="shared" si="410"/>
        <v>0.56452654000000002</v>
      </c>
      <c r="P406" s="725"/>
      <c r="Q406" s="725"/>
      <c r="R406" s="725"/>
      <c r="S406" s="725"/>
      <c r="T406" s="725"/>
    </row>
    <row r="407" spans="2:20" hidden="1" outlineLevel="1">
      <c r="B407" s="58" t="s">
        <v>307</v>
      </c>
      <c r="C407" s="728">
        <f t="shared" ref="C407:O407" si="411">SUM(C402:C406)</f>
        <v>8.7178500000000376</v>
      </c>
      <c r="D407" s="728">
        <f t="shared" si="411"/>
        <v>-26.306440709300333</v>
      </c>
      <c r="E407" s="728">
        <f t="shared" si="411"/>
        <v>4.3152065123000209</v>
      </c>
      <c r="F407" s="728">
        <f t="shared" si="411"/>
        <v>24.805900000000008</v>
      </c>
      <c r="G407" s="728">
        <f t="shared" si="411"/>
        <v>59.88300000000001</v>
      </c>
      <c r="H407" s="728">
        <f t="shared" si="411"/>
        <v>53.027907843399923</v>
      </c>
      <c r="I407" s="728">
        <f t="shared" si="411"/>
        <v>25.930600699646206</v>
      </c>
      <c r="J407" s="728">
        <f t="shared" si="411"/>
        <v>141.26185605099997</v>
      </c>
      <c r="K407" s="728">
        <f t="shared" ca="1" si="411"/>
        <v>37.817282982999949</v>
      </c>
      <c r="L407" s="728">
        <f t="shared" ca="1" si="411"/>
        <v>-25.784774825999964</v>
      </c>
      <c r="M407" s="728">
        <f t="shared" ca="1" si="411"/>
        <v>-27.637361396833828</v>
      </c>
      <c r="N407" s="728">
        <f t="shared" ca="1" si="411"/>
        <v>-40.195107491303247</v>
      </c>
      <c r="O407" s="728">
        <f t="shared" ca="1" si="411"/>
        <v>-30.808956446380481</v>
      </c>
      <c r="P407" s="727"/>
      <c r="Q407" s="727"/>
      <c r="R407" s="727"/>
      <c r="S407" s="727"/>
      <c r="T407" s="727"/>
    </row>
    <row r="408" spans="2:20" hidden="1" outlineLevel="1">
      <c r="B408" s="489" t="s">
        <v>1255</v>
      </c>
      <c r="C408" s="751">
        <f t="shared" ref="C408:O408" si="412">C407/C378</f>
        <v>0.15375396825396892</v>
      </c>
      <c r="D408" s="751">
        <f t="shared" si="412"/>
        <v>-0.46395838993475008</v>
      </c>
      <c r="E408" s="751">
        <f t="shared" si="412"/>
        <v>3.3824859982755404E-2</v>
      </c>
      <c r="F408" s="751">
        <f t="shared" si="412"/>
        <v>0.19444170096021954</v>
      </c>
      <c r="G408" s="751">
        <f t="shared" si="412"/>
        <v>0.46946439211013213</v>
      </c>
      <c r="H408" s="751">
        <f t="shared" si="412"/>
        <v>0.41572256768321303</v>
      </c>
      <c r="I408" s="751">
        <f t="shared" si="412"/>
        <v>0.20328797312275554</v>
      </c>
      <c r="J408" s="751">
        <f t="shared" si="412"/>
        <v>1.1074497166029036</v>
      </c>
      <c r="K408" s="751">
        <f t="shared" ca="1" si="412"/>
        <v>0.29647592416664015</v>
      </c>
      <c r="L408" s="751">
        <f t="shared" ca="1" si="412"/>
        <v>-0.2021447429050767</v>
      </c>
      <c r="M408" s="751">
        <f t="shared" ca="1" si="412"/>
        <v>-0.21666845461470907</v>
      </c>
      <c r="N408" s="751">
        <f t="shared" ca="1" si="412"/>
        <v>-0.31511734055084234</v>
      </c>
      <c r="O408" s="751">
        <f t="shared" ca="1" si="412"/>
        <v>-0.24153278909953654</v>
      </c>
      <c r="P408" s="751"/>
      <c r="Q408" s="751"/>
      <c r="R408" s="751"/>
      <c r="S408" s="751"/>
      <c r="T408" s="751"/>
    </row>
    <row r="409" spans="2:20" hidden="1" outlineLevel="1">
      <c r="B409" s="489" t="s">
        <v>1196</v>
      </c>
      <c r="D409" s="490">
        <f t="shared" ref="D409:O409" si="413">D408/C408-1</f>
        <v>-4.0175376623020833</v>
      </c>
      <c r="E409" s="490">
        <f t="shared" si="413"/>
        <v>-1.0729049430219646</v>
      </c>
      <c r="F409" s="490">
        <f t="shared" si="413"/>
        <v>4.748485021352634</v>
      </c>
      <c r="G409" s="490">
        <f t="shared" si="413"/>
        <v>1.414422368204745</v>
      </c>
      <c r="H409" s="490">
        <f t="shared" si="413"/>
        <v>-0.11447476172870585</v>
      </c>
      <c r="I409" s="490">
        <f t="shared" si="413"/>
        <v>-0.5110008719140211</v>
      </c>
      <c r="J409" s="490">
        <f t="shared" si="413"/>
        <v>4.4476893029681079</v>
      </c>
      <c r="K409" s="490">
        <f t="shared" ca="1" si="413"/>
        <v>-0.73228949385071984</v>
      </c>
      <c r="L409" s="490">
        <f t="shared" ca="1" si="413"/>
        <v>-1.6818251548529022</v>
      </c>
      <c r="M409" s="490">
        <f t="shared" ca="1" si="413"/>
        <v>7.1848080246402546E-2</v>
      </c>
      <c r="N409" s="490">
        <f t="shared" ca="1" si="413"/>
        <v>0.45437572401206316</v>
      </c>
      <c r="O409" s="490">
        <f t="shared" ca="1" si="413"/>
        <v>-0.23351476412778804</v>
      </c>
      <c r="P409" s="490"/>
      <c r="Q409" s="490"/>
      <c r="R409" s="490"/>
      <c r="S409" s="490"/>
      <c r="T409" s="490"/>
    </row>
    <row r="410" spans="2:20" hidden="1" outlineLevel="1"/>
    <row r="411" spans="2:20" collapsed="1"/>
    <row r="415" spans="2:20">
      <c r="B415" s="513" t="s">
        <v>1702</v>
      </c>
      <c r="C415" s="513">
        <v>2013</v>
      </c>
      <c r="D415" s="513">
        <v>2014</v>
      </c>
      <c r="E415" s="513">
        <v>2015</v>
      </c>
      <c r="F415" s="513">
        <v>2016</v>
      </c>
      <c r="G415" s="513">
        <v>2017</v>
      </c>
      <c r="H415" s="513">
        <v>2018</v>
      </c>
      <c r="I415" s="513">
        <v>2019</v>
      </c>
      <c r="J415" s="513">
        <v>2020</v>
      </c>
      <c r="K415" s="513">
        <v>2021</v>
      </c>
      <c r="L415" s="513">
        <v>2022</v>
      </c>
      <c r="M415" s="513">
        <v>2023</v>
      </c>
      <c r="N415" s="513">
        <v>2024</v>
      </c>
      <c r="O415" s="513">
        <v>2025</v>
      </c>
      <c r="P415" s="722">
        <f>O415+1</f>
        <v>2026</v>
      </c>
      <c r="Q415" s="722">
        <f>P415+1</f>
        <v>2027</v>
      </c>
      <c r="R415" s="722">
        <f>Q415+1</f>
        <v>2028</v>
      </c>
      <c r="S415" s="722">
        <f>R415+1</f>
        <v>2029</v>
      </c>
      <c r="T415" s="722">
        <f>S415+1</f>
        <v>2030</v>
      </c>
    </row>
    <row r="416" spans="2:20">
      <c r="B416" s="618" t="s">
        <v>27</v>
      </c>
      <c r="C416" s="725">
        <f t="shared" ref="C416:T416" si="414">C17</f>
        <v>91.166000000000054</v>
      </c>
      <c r="D416" s="725">
        <f t="shared" si="414"/>
        <v>84.15436877989606</v>
      </c>
      <c r="E416" s="725">
        <f t="shared" si="414"/>
        <v>72.788536319999892</v>
      </c>
      <c r="F416" s="725">
        <f t="shared" si="414"/>
        <v>218.8</v>
      </c>
      <c r="G416" s="725">
        <f t="shared" si="414"/>
        <v>196.7</v>
      </c>
      <c r="H416" s="725">
        <f t="shared" si="414"/>
        <v>189.59582528200042</v>
      </c>
      <c r="I416" s="725">
        <f t="shared" si="414"/>
        <v>214.13028918999998</v>
      </c>
      <c r="J416" s="725">
        <f t="shared" si="414"/>
        <v>229.61556861</v>
      </c>
      <c r="K416" s="725">
        <f t="shared" ca="1" si="414"/>
        <v>202.4</v>
      </c>
      <c r="L416" s="725">
        <f t="shared" ca="1" si="414"/>
        <v>163.30000000000001</v>
      </c>
      <c r="M416" s="725">
        <f t="shared" si="414"/>
        <v>143.30000000000001</v>
      </c>
      <c r="N416" s="725">
        <f t="shared" ca="1" si="414"/>
        <v>139.97974954401991</v>
      </c>
      <c r="O416" s="725">
        <f t="shared" ca="1" si="414"/>
        <v>167.26576222893047</v>
      </c>
      <c r="P416" s="725">
        <f t="shared" ca="1" si="414"/>
        <v>189.68398168306288</v>
      </c>
      <c r="Q416" s="725">
        <f t="shared" ca="1" si="414"/>
        <v>218.62711092244257</v>
      </c>
      <c r="R416" s="725">
        <f t="shared" ca="1" si="414"/>
        <v>239.10503433769716</v>
      </c>
      <c r="S416" s="725">
        <f t="shared" ca="1" si="414"/>
        <v>263.47661400054051</v>
      </c>
      <c r="T416" s="725">
        <f t="shared" ca="1" si="414"/>
        <v>288.79495662173173</v>
      </c>
    </row>
    <row r="417" spans="2:20">
      <c r="B417" s="618" t="s">
        <v>1703</v>
      </c>
      <c r="C417" s="725">
        <f t="shared" ref="C417:T417" si="415">C131</f>
        <v>0</v>
      </c>
      <c r="D417" s="725">
        <f t="shared" si="415"/>
        <v>0</v>
      </c>
      <c r="E417" s="725">
        <f t="shared" si="415"/>
        <v>0</v>
      </c>
      <c r="F417" s="725">
        <f t="shared" si="415"/>
        <v>0</v>
      </c>
      <c r="G417" s="725">
        <f t="shared" si="415"/>
        <v>-10.295999999999999</v>
      </c>
      <c r="H417" s="725">
        <f t="shared" si="415"/>
        <v>-14.379</v>
      </c>
      <c r="I417" s="725">
        <f t="shared" si="415"/>
        <v>-23.753</v>
      </c>
      <c r="J417" s="725">
        <f t="shared" si="415"/>
        <v>-35.448999999999998</v>
      </c>
      <c r="K417" s="725">
        <f t="shared" si="415"/>
        <v>-38.118000000000002</v>
      </c>
      <c r="L417" s="725">
        <f t="shared" si="415"/>
        <v>-38.730000000000004</v>
      </c>
      <c r="M417" s="725">
        <f t="shared" si="415"/>
        <v>-45.085999999999999</v>
      </c>
      <c r="N417" s="725">
        <f t="shared" si="415"/>
        <v>-45</v>
      </c>
      <c r="O417" s="725">
        <f t="shared" si="415"/>
        <v>-45</v>
      </c>
      <c r="P417" s="725">
        <f t="shared" si="415"/>
        <v>-45</v>
      </c>
      <c r="Q417" s="725">
        <f t="shared" si="415"/>
        <v>-45</v>
      </c>
      <c r="R417" s="725">
        <f t="shared" si="415"/>
        <v>-45</v>
      </c>
      <c r="S417" s="725">
        <f t="shared" si="415"/>
        <v>-45</v>
      </c>
      <c r="T417" s="725">
        <f t="shared" si="415"/>
        <v>-45</v>
      </c>
    </row>
    <row r="418" spans="2:20">
      <c r="B418" s="618" t="s">
        <v>1348</v>
      </c>
      <c r="C418" s="725">
        <f>SUM(C416:C417)</f>
        <v>91.166000000000054</v>
      </c>
      <c r="D418" s="725">
        <f t="shared" ref="D418:T418" si="416">SUM(D416:D417)</f>
        <v>84.15436877989606</v>
      </c>
      <c r="E418" s="725">
        <f t="shared" si="416"/>
        <v>72.788536319999892</v>
      </c>
      <c r="F418" s="725">
        <f t="shared" si="416"/>
        <v>218.8</v>
      </c>
      <c r="G418" s="725">
        <f t="shared" si="416"/>
        <v>186.404</v>
      </c>
      <c r="H418" s="725">
        <f t="shared" si="416"/>
        <v>175.21682528200043</v>
      </c>
      <c r="I418" s="725">
        <f t="shared" si="416"/>
        <v>190.37728919</v>
      </c>
      <c r="J418" s="725">
        <f t="shared" si="416"/>
        <v>194.16656861000001</v>
      </c>
      <c r="K418" s="725">
        <f t="shared" ca="1" si="416"/>
        <v>164.28200000000001</v>
      </c>
      <c r="L418" s="725">
        <f t="shared" ca="1" si="416"/>
        <v>124.57000000000001</v>
      </c>
      <c r="M418" s="725">
        <f t="shared" si="416"/>
        <v>98.214000000000013</v>
      </c>
      <c r="N418" s="725">
        <f t="shared" ca="1" si="416"/>
        <v>94.97974954401991</v>
      </c>
      <c r="O418" s="725">
        <f t="shared" ca="1" si="416"/>
        <v>122.26576222893047</v>
      </c>
      <c r="P418" s="725">
        <f t="shared" ca="1" si="416"/>
        <v>144.68398168306288</v>
      </c>
      <c r="Q418" s="725">
        <f t="shared" ca="1" si="416"/>
        <v>173.62711092244257</v>
      </c>
      <c r="R418" s="725">
        <f t="shared" ca="1" si="416"/>
        <v>194.10503433769716</v>
      </c>
      <c r="S418" s="725">
        <f t="shared" ca="1" si="416"/>
        <v>218.47661400054051</v>
      </c>
      <c r="T418" s="725">
        <f t="shared" ca="1" si="416"/>
        <v>243.79495662173173</v>
      </c>
    </row>
  </sheetData>
  <pageMargins left="0.7" right="0.7" top="0.75" bottom="0.75" header="0.3" footer="0.3"/>
  <pageSetup paperSize="9" scale="10" fitToHeight="0" orientation="portrait" r:id="rId1"/>
  <rowBreaks count="3" manualBreakCount="3">
    <brk id="86" max="16383" man="1"/>
    <brk id="261" min="1" max="17" man="1"/>
    <brk id="375" max="16383"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00B0F0"/>
  </sheetPr>
  <dimension ref="B2:AI238"/>
  <sheetViews>
    <sheetView workbookViewId="0"/>
  </sheetViews>
  <sheetFormatPr defaultColWidth="9.1328125" defaultRowHeight="10.5"/>
  <cols>
    <col min="1" max="1" width="2.86328125" style="239" customWidth="1"/>
    <col min="2" max="2" width="32.33203125" style="239" bestFit="1" customWidth="1"/>
    <col min="3" max="15" width="9.1328125" style="239" customWidth="1"/>
    <col min="16" max="16384" width="9.1328125" style="239"/>
  </cols>
  <sheetData>
    <row r="2" spans="2:35">
      <c r="B2" s="737" t="s">
        <v>1500</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row>
    <row r="3" spans="2:35">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row>
    <row r="4" spans="2:35">
      <c r="B4" s="240" t="s">
        <v>773</v>
      </c>
      <c r="C4" s="240">
        <v>1998</v>
      </c>
      <c r="D4" s="240">
        <v>1999</v>
      </c>
      <c r="E4" s="240">
        <v>2000</v>
      </c>
      <c r="F4" s="240">
        <v>2001</v>
      </c>
      <c r="G4" s="240">
        <v>2002</v>
      </c>
      <c r="H4" s="240">
        <v>2003</v>
      </c>
      <c r="I4" s="240">
        <v>2004</v>
      </c>
      <c r="J4" s="240">
        <v>2005</v>
      </c>
      <c r="K4" s="240">
        <v>2006</v>
      </c>
      <c r="L4" s="240">
        <v>2007</v>
      </c>
      <c r="M4" s="240">
        <v>2008</v>
      </c>
      <c r="N4" s="240">
        <v>2009</v>
      </c>
      <c r="O4" s="240">
        <v>2010</v>
      </c>
      <c r="P4" s="240">
        <v>2011</v>
      </c>
      <c r="Q4" s="240">
        <v>2012</v>
      </c>
      <c r="R4" s="240">
        <v>2013</v>
      </c>
      <c r="S4" s="240">
        <v>2014</v>
      </c>
      <c r="T4" s="240">
        <v>2015</v>
      </c>
      <c r="U4" s="240">
        <v>2016</v>
      </c>
      <c r="V4" s="240">
        <v>2017</v>
      </c>
      <c r="W4" s="240">
        <v>2018</v>
      </c>
      <c r="X4" s="240">
        <v>2019</v>
      </c>
      <c r="Y4" s="240">
        <v>2020</v>
      </c>
      <c r="Z4" s="240">
        <v>2021</v>
      </c>
      <c r="AA4" s="240">
        <v>2022</v>
      </c>
      <c r="AB4" s="240">
        <v>2023</v>
      </c>
      <c r="AC4" s="240">
        <v>2024</v>
      </c>
      <c r="AD4" s="240">
        <v>2025</v>
      </c>
      <c r="AE4" s="240">
        <v>2026</v>
      </c>
      <c r="AF4" s="240">
        <v>2027</v>
      </c>
      <c r="AG4" s="240">
        <v>2028</v>
      </c>
      <c r="AH4" s="240">
        <v>2029</v>
      </c>
      <c r="AI4" s="240">
        <v>2030</v>
      </c>
    </row>
    <row r="5" spans="2:35">
      <c r="B5" s="238" t="s">
        <v>774</v>
      </c>
      <c r="C5" s="241"/>
      <c r="D5" s="241"/>
      <c r="E5" s="241"/>
      <c r="F5" s="241"/>
      <c r="G5" s="242"/>
      <c r="H5" s="242"/>
      <c r="I5" s="242"/>
      <c r="J5" s="242"/>
      <c r="K5" s="242"/>
      <c r="L5" s="242"/>
      <c r="M5" s="242"/>
      <c r="N5" s="242"/>
      <c r="O5" s="242"/>
      <c r="P5" s="593">
        <f>+'Model also  old'!B346</f>
        <v>56.7</v>
      </c>
      <c r="Q5" s="593">
        <f>+'Model also  old'!C346</f>
        <v>56.7</v>
      </c>
      <c r="R5" s="242">
        <f>Model!C378</f>
        <v>56.7</v>
      </c>
      <c r="S5" s="242">
        <f>Model!D378</f>
        <v>56.7</v>
      </c>
      <c r="T5" s="242">
        <f>Model!E378</f>
        <v>127.575</v>
      </c>
      <c r="U5" s="242">
        <f>Model!F378</f>
        <v>127.575</v>
      </c>
      <c r="V5" s="242">
        <f>Model!G378</f>
        <v>127.556</v>
      </c>
      <c r="W5" s="242">
        <f>Model!H378</f>
        <v>127.556</v>
      </c>
      <c r="X5" s="242">
        <f>Model!I378</f>
        <v>127.556</v>
      </c>
      <c r="Y5" s="242">
        <f>Model!J378</f>
        <v>127.556</v>
      </c>
      <c r="Z5" s="242">
        <f>Model!K378</f>
        <v>127.556</v>
      </c>
      <c r="AA5" s="242">
        <f>Model!L378</f>
        <v>127.556</v>
      </c>
      <c r="AB5" s="242">
        <f>Model!M378</f>
        <v>127.556</v>
      </c>
      <c r="AC5" s="242">
        <f>Model!N378</f>
        <v>127.556</v>
      </c>
      <c r="AD5" s="242">
        <f>Model!O378</f>
        <v>127.556</v>
      </c>
      <c r="AE5" s="243"/>
      <c r="AF5" s="243"/>
      <c r="AG5" s="243"/>
      <c r="AH5" s="243"/>
      <c r="AI5" s="243"/>
    </row>
    <row r="6" spans="2:35">
      <c r="B6" s="238" t="s">
        <v>775</v>
      </c>
      <c r="C6" s="241"/>
      <c r="D6" s="241"/>
      <c r="E6" s="241"/>
      <c r="F6" s="241"/>
      <c r="G6" s="242"/>
      <c r="H6" s="242"/>
      <c r="I6" s="242"/>
      <c r="J6" s="242"/>
      <c r="K6" s="242"/>
      <c r="L6" s="242"/>
      <c r="M6" s="242"/>
      <c r="N6" s="242"/>
      <c r="O6" s="242"/>
      <c r="P6" s="593">
        <f>+'Model also  old'!B347</f>
        <v>56.7</v>
      </c>
      <c r="Q6" s="593">
        <f>+'Model also  old'!C347</f>
        <v>56.7</v>
      </c>
      <c r="R6" s="593">
        <f>+'Model also  old'!D347</f>
        <v>56.7</v>
      </c>
      <c r="S6" s="242">
        <f>Model!D380</f>
        <v>56.7</v>
      </c>
      <c r="T6" s="242">
        <f>Model!E380</f>
        <v>92.137500000000003</v>
      </c>
      <c r="U6" s="242">
        <f>Model!F380</f>
        <v>127.575</v>
      </c>
      <c r="V6" s="242">
        <f>Model!G380</f>
        <v>127.5655</v>
      </c>
      <c r="W6" s="242">
        <f>Model!H380</f>
        <v>127.556</v>
      </c>
      <c r="X6" s="242">
        <f>Model!I380</f>
        <v>127.556</v>
      </c>
      <c r="Y6" s="242">
        <f>Model!J380</f>
        <v>127.556</v>
      </c>
      <c r="Z6" s="242">
        <f>Model!K380</f>
        <v>127.556</v>
      </c>
      <c r="AA6" s="242">
        <f>Model!L380</f>
        <v>127.556</v>
      </c>
      <c r="AB6" s="242">
        <f>Model!M380</f>
        <v>127.556</v>
      </c>
      <c r="AC6" s="242">
        <f>Model!N380</f>
        <v>127.556</v>
      </c>
      <c r="AD6" s="242">
        <f>Model!O380</f>
        <v>127.556</v>
      </c>
      <c r="AE6" s="243"/>
      <c r="AF6" s="243"/>
      <c r="AG6" s="243"/>
      <c r="AH6" s="243"/>
      <c r="AI6" s="243"/>
    </row>
    <row r="7" spans="2:35">
      <c r="B7" s="238" t="s">
        <v>776</v>
      </c>
      <c r="C7" s="241"/>
      <c r="D7" s="241"/>
      <c r="E7" s="241"/>
      <c r="F7" s="241"/>
      <c r="G7" s="241"/>
      <c r="H7" s="241"/>
      <c r="I7" s="241"/>
      <c r="J7" s="241"/>
      <c r="K7" s="241"/>
      <c r="L7" s="241"/>
      <c r="M7" s="241"/>
      <c r="N7" s="241"/>
      <c r="O7" s="241"/>
      <c r="P7" s="241"/>
      <c r="Q7" s="243"/>
      <c r="R7" s="243"/>
      <c r="S7" s="243"/>
      <c r="T7" s="243"/>
      <c r="U7" s="243"/>
      <c r="V7" s="243"/>
      <c r="W7" s="243"/>
      <c r="X7" s="243"/>
      <c r="Y7" s="243"/>
      <c r="Z7" s="243"/>
      <c r="AA7" s="243"/>
      <c r="AB7" s="243"/>
      <c r="AC7" s="243"/>
      <c r="AD7" s="243"/>
      <c r="AE7" s="243"/>
      <c r="AF7" s="243"/>
      <c r="AG7" s="243"/>
      <c r="AH7" s="243"/>
      <c r="AI7" s="243"/>
    </row>
    <row r="8" spans="2:35">
      <c r="B8" s="238" t="s">
        <v>777</v>
      </c>
      <c r="C8" s="241"/>
      <c r="D8" s="241"/>
      <c r="E8" s="241"/>
      <c r="F8" s="241"/>
      <c r="G8" s="241"/>
      <c r="H8" s="241"/>
      <c r="I8" s="241"/>
      <c r="J8" s="241"/>
      <c r="K8" s="241"/>
      <c r="L8" s="241"/>
      <c r="M8" s="241"/>
      <c r="N8" s="241"/>
      <c r="O8" s="241"/>
      <c r="P8" s="241"/>
      <c r="Q8" s="243"/>
      <c r="R8" s="243"/>
      <c r="S8" s="243"/>
      <c r="T8" s="243"/>
      <c r="U8" s="243"/>
      <c r="V8" s="243"/>
      <c r="W8" s="243"/>
      <c r="X8" s="243"/>
      <c r="Y8" s="243"/>
      <c r="Z8" s="243"/>
      <c r="AA8" s="243"/>
      <c r="AB8" s="243"/>
      <c r="AC8" s="243"/>
      <c r="AD8" s="243"/>
      <c r="AE8" s="243"/>
      <c r="AF8" s="243"/>
      <c r="AG8" s="243"/>
      <c r="AH8" s="243"/>
      <c r="AI8" s="243"/>
    </row>
    <row r="9" spans="2:35">
      <c r="B9" s="238" t="s">
        <v>160</v>
      </c>
      <c r="C9" s="241"/>
      <c r="D9" s="241"/>
      <c r="E9" s="241"/>
      <c r="F9" s="244"/>
      <c r="G9" s="244"/>
      <c r="H9" s="244"/>
      <c r="I9" s="244"/>
      <c r="J9" s="244"/>
      <c r="K9" s="244"/>
      <c r="L9" s="244"/>
      <c r="M9" s="244"/>
      <c r="N9" s="244"/>
      <c r="O9" s="244"/>
      <c r="P9" s="594">
        <f>+'Model also  old'!B14</f>
        <v>594</v>
      </c>
      <c r="Q9" s="594">
        <f>+'Model also  old'!C14</f>
        <v>620</v>
      </c>
      <c r="R9" s="244">
        <f>Model!C138</f>
        <v>551.10699999999997</v>
      </c>
      <c r="S9" s="244">
        <f>Model!D138</f>
        <v>618.73199999999997</v>
      </c>
      <c r="T9" s="244">
        <f>Model!E138</f>
        <v>1185.6102560000002</v>
      </c>
      <c r="U9" s="244">
        <f>Model!F138</f>
        <v>1205.5</v>
      </c>
      <c r="V9" s="244">
        <f>Model!G138</f>
        <v>1309.3000000000002</v>
      </c>
      <c r="W9" s="244">
        <f>Model!H138</f>
        <v>1389.5861756100001</v>
      </c>
      <c r="X9" s="244">
        <f>Model!I138</f>
        <v>1422.04685406</v>
      </c>
      <c r="Y9" s="244">
        <f>Model!J138</f>
        <v>1400.5103227499999</v>
      </c>
      <c r="Z9" s="244">
        <f>Model!K138</f>
        <v>984.40600000000006</v>
      </c>
      <c r="AA9" s="244">
        <f>Model!L138</f>
        <v>1009.5</v>
      </c>
      <c r="AB9" s="244">
        <f>Model!M138</f>
        <v>1159.894</v>
      </c>
      <c r="AC9" s="244">
        <f ca="1">Model!N138</f>
        <v>1152.4939454770124</v>
      </c>
      <c r="AD9" s="244">
        <f ca="1">Model!O138</f>
        <v>1185.2093986268383</v>
      </c>
      <c r="AE9" s="243"/>
      <c r="AF9" s="243"/>
      <c r="AG9" s="243"/>
      <c r="AH9" s="243"/>
      <c r="AI9" s="243"/>
    </row>
    <row r="10" spans="2:35">
      <c r="B10" s="238" t="s">
        <v>58</v>
      </c>
      <c r="C10" s="241"/>
      <c r="D10" s="241"/>
      <c r="E10" s="244"/>
      <c r="F10" s="244"/>
      <c r="G10" s="244"/>
      <c r="H10" s="244"/>
      <c r="I10" s="244"/>
      <c r="J10" s="244"/>
      <c r="K10" s="244"/>
      <c r="L10" s="244"/>
      <c r="M10" s="244"/>
      <c r="N10" s="244"/>
      <c r="O10" s="244"/>
      <c r="P10" s="594">
        <v>10</v>
      </c>
      <c r="Q10" s="594">
        <v>10</v>
      </c>
      <c r="R10" s="244">
        <f>Valuation!C74+Valuation!C72</f>
        <v>73.442999999999998</v>
      </c>
      <c r="S10" s="244">
        <f>Valuation!D74+Valuation!D72</f>
        <v>73.442999999999998</v>
      </c>
      <c r="T10" s="244">
        <f>Valuation!E74+Valuation!E72</f>
        <v>73.442999999999998</v>
      </c>
      <c r="U10" s="244">
        <f>Valuation!F74+Valuation!F72</f>
        <v>70.442999999999998</v>
      </c>
      <c r="V10" s="244">
        <f>Valuation!G74+Valuation!G72</f>
        <v>70.442999999999998</v>
      </c>
      <c r="W10" s="244">
        <f>Valuation!H74+Valuation!H72</f>
        <v>70.442999999999998</v>
      </c>
      <c r="X10" s="244">
        <f>Valuation!I74+Valuation!I72</f>
        <v>457.98541807853769</v>
      </c>
      <c r="Y10" s="244">
        <f>Valuation!J74+Valuation!J72</f>
        <v>476.69698156976511</v>
      </c>
      <c r="Z10" s="244">
        <f>Valuation!K74+Valuation!K72</f>
        <v>480.88968416906732</v>
      </c>
      <c r="AA10" s="244">
        <f>Valuation!L74+Valuation!L72</f>
        <v>499.04527188317502</v>
      </c>
      <c r="AB10" s="244">
        <f>Valuation!M74+Valuation!M72</f>
        <v>514.13148426355497</v>
      </c>
      <c r="AC10" s="244">
        <f>Valuation!N74+Valuation!N72</f>
        <v>530.42444878484366</v>
      </c>
      <c r="AD10" s="244">
        <f>Valuation!O74+Valuation!O72</f>
        <v>547.95567860975029</v>
      </c>
      <c r="AE10" s="243"/>
      <c r="AF10" s="243"/>
      <c r="AG10" s="243"/>
      <c r="AH10" s="243"/>
      <c r="AI10" s="243"/>
    </row>
    <row r="11" spans="2:35">
      <c r="B11" s="238" t="s">
        <v>778</v>
      </c>
      <c r="C11" s="241"/>
      <c r="D11" s="241"/>
      <c r="E11" s="241"/>
      <c r="F11" s="241"/>
      <c r="G11" s="241"/>
      <c r="H11" s="241"/>
      <c r="I11" s="241"/>
      <c r="J11" s="241"/>
      <c r="K11" s="241"/>
      <c r="L11" s="241"/>
      <c r="M11" s="241"/>
      <c r="N11" s="241"/>
      <c r="O11" s="241"/>
      <c r="P11" s="241"/>
      <c r="Q11" s="241"/>
      <c r="R11" s="241"/>
      <c r="S11" s="241"/>
      <c r="T11" s="241"/>
      <c r="U11" s="243"/>
      <c r="V11" s="243"/>
      <c r="W11" s="243"/>
      <c r="X11" s="243"/>
      <c r="Y11" s="243"/>
      <c r="Z11" s="243"/>
      <c r="AA11" s="243"/>
      <c r="AB11" s="243"/>
      <c r="AC11" s="243"/>
      <c r="AD11" s="243"/>
      <c r="AE11" s="243"/>
      <c r="AF11" s="243"/>
      <c r="AG11" s="243"/>
      <c r="AH11" s="243"/>
      <c r="AI11" s="243"/>
    </row>
    <row r="12" spans="2:35">
      <c r="B12" s="238" t="s">
        <v>752</v>
      </c>
      <c r="C12" s="241"/>
      <c r="D12" s="241"/>
      <c r="E12" s="241"/>
      <c r="F12" s="241"/>
      <c r="G12" s="241"/>
      <c r="H12" s="241"/>
      <c r="I12" s="241"/>
      <c r="J12" s="241"/>
      <c r="K12" s="241"/>
      <c r="L12" s="241"/>
      <c r="M12" s="241"/>
      <c r="N12" s="241"/>
      <c r="O12" s="241"/>
      <c r="P12" s="595">
        <f>+Q12</f>
        <v>42.826000000000001</v>
      </c>
      <c r="Q12" s="595">
        <f>+R12</f>
        <v>42.826000000000001</v>
      </c>
      <c r="R12" s="241">
        <f>-Valuation!C31</f>
        <v>42.826000000000001</v>
      </c>
      <c r="S12" s="241">
        <f>-Valuation!D31</f>
        <v>43.711919999999999</v>
      </c>
      <c r="T12" s="241">
        <f>-Valuation!E31</f>
        <v>44.615558400000005</v>
      </c>
      <c r="U12" s="241">
        <f>-Valuation!F31</f>
        <v>34.453593143999996</v>
      </c>
      <c r="V12" s="241">
        <f>-Valuation!G31</f>
        <v>31.747640147999999</v>
      </c>
      <c r="W12" s="241">
        <f>-Valuation!H31</f>
        <v>32.091644411999994</v>
      </c>
      <c r="X12" s="241">
        <f>-Valuation!I31</f>
        <v>34.453593143999996</v>
      </c>
      <c r="Y12" s="241">
        <f>-Valuation!J31</f>
        <v>34.453593143999996</v>
      </c>
      <c r="Z12" s="241">
        <f>+Y12*Y12/X12</f>
        <v>34.453593143999996</v>
      </c>
      <c r="AA12" s="241">
        <f>+Z12*Z12/Y12</f>
        <v>34.453593143999996</v>
      </c>
      <c r="AB12" s="241">
        <f>+AA12*AA12/Z12</f>
        <v>34.453593143999996</v>
      </c>
      <c r="AC12" s="241">
        <f>+AB12*AB12/AA12</f>
        <v>34.453593143999996</v>
      </c>
      <c r="AD12" s="241">
        <f>+AC12*AC12/AB12</f>
        <v>34.453593143999996</v>
      </c>
      <c r="AE12" s="243"/>
      <c r="AF12" s="243"/>
      <c r="AG12" s="243"/>
      <c r="AH12" s="243"/>
      <c r="AI12" s="243"/>
    </row>
    <row r="13" spans="2:35">
      <c r="B13" s="238" t="s">
        <v>779</v>
      </c>
      <c r="C13" s="241"/>
      <c r="D13" s="241"/>
      <c r="E13" s="241"/>
      <c r="F13" s="241"/>
      <c r="G13" s="241"/>
      <c r="H13" s="241"/>
      <c r="I13" s="241"/>
      <c r="J13" s="241"/>
      <c r="K13" s="241"/>
      <c r="L13" s="244"/>
      <c r="M13" s="244"/>
      <c r="N13" s="244"/>
      <c r="O13" s="244"/>
      <c r="P13" s="594">
        <v>0</v>
      </c>
      <c r="Q13" s="594">
        <v>0</v>
      </c>
      <c r="R13" s="244">
        <f>Valuation!C27</f>
        <v>0</v>
      </c>
      <c r="S13" s="244">
        <f>Valuation!D27</f>
        <v>0</v>
      </c>
      <c r="T13" s="244">
        <f>Valuation!E27</f>
        <v>0</v>
      </c>
      <c r="U13" s="244">
        <f>Valuation!F27</f>
        <v>0</v>
      </c>
      <c r="V13" s="244">
        <f>Valuation!G27</f>
        <v>0</v>
      </c>
      <c r="W13" s="244">
        <f>Valuation!H27</f>
        <v>0</v>
      </c>
      <c r="X13" s="244">
        <f>Valuation!I27</f>
        <v>0</v>
      </c>
      <c r="Y13" s="244">
        <f>Valuation!J27</f>
        <v>0</v>
      </c>
      <c r="Z13" s="244">
        <f>Valuation!K27</f>
        <v>0</v>
      </c>
      <c r="AA13" s="244">
        <f ca="1">Valuation!L27</f>
        <v>2.9830678503301118</v>
      </c>
      <c r="AB13" s="244">
        <f ca="1">Valuation!M27</f>
        <v>2.9830678503301118</v>
      </c>
      <c r="AC13" s="244">
        <f ca="1">Valuation!N27</f>
        <v>2.9830678503301118</v>
      </c>
      <c r="AD13" s="244">
        <f ca="1">Valuation!O27</f>
        <v>2.9830678503301118</v>
      </c>
      <c r="AE13" s="243"/>
      <c r="AF13" s="243"/>
      <c r="AG13" s="243"/>
      <c r="AH13" s="243"/>
      <c r="AI13" s="243"/>
    </row>
    <row r="14" spans="2:35">
      <c r="B14" s="238" t="s">
        <v>780</v>
      </c>
      <c r="C14" s="241"/>
      <c r="D14" s="241"/>
      <c r="E14" s="241"/>
      <c r="F14" s="241"/>
      <c r="G14" s="241"/>
      <c r="H14" s="241"/>
      <c r="I14" s="241"/>
      <c r="J14" s="241"/>
      <c r="K14" s="241"/>
      <c r="L14" s="241"/>
      <c r="M14" s="241"/>
      <c r="N14" s="241"/>
      <c r="O14" s="241"/>
      <c r="P14" s="241"/>
      <c r="Q14" s="241"/>
      <c r="R14" s="241">
        <f ca="1">-Valuation!C75</f>
        <v>-91.4627256652591</v>
      </c>
      <c r="S14" s="241">
        <f ca="1">-Valuation!D75</f>
        <v>-119.97337401686548</v>
      </c>
      <c r="T14" s="241">
        <f ca="1">-Valuation!E75</f>
        <v>-142.10958581176018</v>
      </c>
      <c r="U14" s="241">
        <f ca="1">-Valuation!F75</f>
        <v>-153.67960888977106</v>
      </c>
      <c r="V14" s="241">
        <f ca="1">-Valuation!G75</f>
        <v>-162.15347261745993</v>
      </c>
      <c r="W14" s="241">
        <f ca="1">-Valuation!H75</f>
        <v>-2222.5968096977535</v>
      </c>
      <c r="X14" s="241">
        <f ca="1">-Valuation!I75</f>
        <v>-2348.7219367387115</v>
      </c>
      <c r="Y14" s="241">
        <f ca="1">-Valuation!J75</f>
        <v>-2486.5101385332505</v>
      </c>
      <c r="Z14" s="241">
        <f ca="1">-Valuation!K75</f>
        <v>-2587.795660999845</v>
      </c>
      <c r="AA14" s="241">
        <f ca="1">-Valuation!L75</f>
        <v>-2723.0179750998354</v>
      </c>
      <c r="AB14" s="241">
        <f ca="1">-Valuation!M75</f>
        <v>-2857.0390611771245</v>
      </c>
      <c r="AC14" s="241">
        <f ca="1">-Valuation!N75</f>
        <v>-3020.9022242897831</v>
      </c>
      <c r="AD14" s="241">
        <f ca="1">-Valuation!O75</f>
        <v>-3189.7068754951952</v>
      </c>
      <c r="AE14" s="243"/>
      <c r="AF14" s="243"/>
      <c r="AG14" s="243"/>
      <c r="AH14" s="243"/>
      <c r="AI14" s="243"/>
    </row>
    <row r="15" spans="2:35">
      <c r="B15" s="238" t="s">
        <v>354</v>
      </c>
      <c r="C15" s="241"/>
      <c r="D15" s="241"/>
      <c r="E15" s="245"/>
      <c r="F15" s="245"/>
      <c r="G15" s="246"/>
      <c r="H15" s="246"/>
      <c r="I15" s="246"/>
      <c r="J15" s="246"/>
      <c r="K15" s="246"/>
      <c r="L15" s="246"/>
      <c r="M15" s="246"/>
      <c r="N15" s="246"/>
      <c r="O15" s="246"/>
      <c r="P15" s="596">
        <f>+'Model also  old'!B350</f>
        <v>0</v>
      </c>
      <c r="Q15" s="596">
        <f>+'Model also  old'!C350</f>
        <v>0</v>
      </c>
      <c r="R15" s="246">
        <f>Valuation!C87</f>
        <v>0</v>
      </c>
      <c r="S15" s="246">
        <f>Valuation!D87</f>
        <v>0</v>
      </c>
      <c r="T15" s="246">
        <f>Valuation!E87</f>
        <v>0</v>
      </c>
      <c r="U15" s="246">
        <f>Valuation!F87</f>
        <v>0</v>
      </c>
      <c r="V15" s="246">
        <f>Valuation!G87</f>
        <v>0</v>
      </c>
      <c r="W15" s="246">
        <f>Valuation!H87</f>
        <v>0</v>
      </c>
      <c r="X15" s="246">
        <f>Valuation!I87</f>
        <v>0</v>
      </c>
      <c r="Y15" s="246">
        <f>Valuation!J87</f>
        <v>0</v>
      </c>
      <c r="Z15" s="246">
        <f ca="1">Valuation!K87</f>
        <v>2.3386338943915706E-2</v>
      </c>
      <c r="AA15" s="246">
        <f ca="1">Valuation!L87</f>
        <v>0</v>
      </c>
      <c r="AB15" s="246">
        <f ca="1">Valuation!M87</f>
        <v>0</v>
      </c>
      <c r="AC15" s="246">
        <f ca="1">Valuation!N87</f>
        <v>0</v>
      </c>
      <c r="AD15" s="246">
        <f ca="1">Valuation!O87</f>
        <v>0</v>
      </c>
      <c r="AE15" s="243"/>
      <c r="AF15" s="243"/>
      <c r="AG15" s="243"/>
      <c r="AH15" s="243"/>
      <c r="AI15" s="243"/>
    </row>
    <row r="16" spans="2:35">
      <c r="B16" s="238" t="s">
        <v>781</v>
      </c>
      <c r="C16" s="241"/>
      <c r="D16" s="241"/>
      <c r="E16" s="241"/>
      <c r="F16" s="241"/>
      <c r="G16" s="246"/>
      <c r="H16" s="246"/>
      <c r="I16" s="246"/>
      <c r="J16" s="246"/>
      <c r="K16" s="246"/>
      <c r="L16" s="246"/>
      <c r="M16" s="246"/>
      <c r="N16" s="246"/>
      <c r="O16" s="246"/>
      <c r="P16" s="596">
        <f>+'Model also  old'!B142</f>
        <v>0</v>
      </c>
      <c r="Q16" s="596">
        <f>+'Model also  old'!C142</f>
        <v>0</v>
      </c>
      <c r="R16" s="246">
        <f>Model!C84</f>
        <v>-0.15234567901234475</v>
      </c>
      <c r="S16" s="246">
        <f>Model!D84</f>
        <v>-0.38614074105663021</v>
      </c>
      <c r="T16" s="246">
        <f>Model!E84</f>
        <v>-0.52032556739173119</v>
      </c>
      <c r="U16" s="246">
        <f>Model!F84</f>
        <v>-6.2339800117577775E-2</v>
      </c>
      <c r="V16" s="246">
        <f>Model!G84</f>
        <v>-0.13000564457963582</v>
      </c>
      <c r="W16" s="246">
        <f>Model!H84</f>
        <v>-1.2639479687980146</v>
      </c>
      <c r="X16" s="246">
        <f>Model!I84</f>
        <v>-0.27870225673429755</v>
      </c>
      <c r="Y16" s="246">
        <f>Model!J84</f>
        <v>-1.4703245701495815</v>
      </c>
      <c r="Z16" s="246">
        <f ca="1">Model!K84</f>
        <v>-0.67418264769983371</v>
      </c>
      <c r="AA16" s="246">
        <f ca="1">Model!L84</f>
        <v>-0.9791528519238607</v>
      </c>
      <c r="AB16" s="246">
        <f ca="1">Model!M84</f>
        <v>-0.29506539399819559</v>
      </c>
      <c r="AC16" s="246">
        <f ca="1">Model!N84</f>
        <v>-0.3935142799343288</v>
      </c>
      <c r="AD16" s="246">
        <f ca="1">Model!O84</f>
        <v>-0.31992972848302298</v>
      </c>
      <c r="AE16" s="243"/>
      <c r="AF16" s="243"/>
      <c r="AG16" s="243"/>
      <c r="AH16" s="243"/>
      <c r="AI16" s="243"/>
    </row>
    <row r="17" spans="2:35">
      <c r="B17" s="238" t="s">
        <v>353</v>
      </c>
      <c r="C17" s="241"/>
      <c r="D17" s="241"/>
      <c r="E17" s="246"/>
      <c r="F17" s="246"/>
      <c r="G17" s="246"/>
      <c r="H17" s="246"/>
      <c r="I17" s="246"/>
      <c r="J17" s="246"/>
      <c r="K17" s="246"/>
      <c r="L17" s="246"/>
      <c r="M17" s="246"/>
      <c r="N17" s="246"/>
      <c r="O17" s="246"/>
      <c r="P17" s="596">
        <f>+'Model also  old'!B338</f>
        <v>-0.28571428571428559</v>
      </c>
      <c r="Q17" s="596">
        <f>+'Model also  old'!C338</f>
        <v>-0.31622574955908289</v>
      </c>
      <c r="R17" s="246">
        <f>Valuation!C86</f>
        <v>-0.10474691358024629</v>
      </c>
      <c r="S17" s="246">
        <f>Valuation!D86</f>
        <v>8.4254582014117729E-2</v>
      </c>
      <c r="T17" s="246">
        <f>Valuation!E86</f>
        <v>0.30857822623789954</v>
      </c>
      <c r="U17" s="246">
        <f>Valuation!F86</f>
        <v>0.15638565549676675</v>
      </c>
      <c r="V17" s="246">
        <f>Valuation!G86</f>
        <v>0.45213866850638157</v>
      </c>
      <c r="W17" s="246">
        <f>Valuation!H86</f>
        <v>0.39807842628649309</v>
      </c>
      <c r="X17" s="246">
        <f>Valuation!I86</f>
        <v>1.4032814167894935E-2</v>
      </c>
      <c r="Y17" s="246">
        <f>Valuation!J86</f>
        <v>0.45147586779683874</v>
      </c>
      <c r="Z17" s="246">
        <f ca="1">Valuation!K86</f>
        <v>2.5984821048795227E-2</v>
      </c>
      <c r="AA17" s="246">
        <f ca="1">Valuation!L86</f>
        <v>-3.9667997484789198E-2</v>
      </c>
      <c r="AB17" s="246">
        <f ca="1">Valuation!M86</f>
        <v>-6.9933981246524168E-2</v>
      </c>
      <c r="AC17" s="246">
        <f ca="1">Valuation!N86</f>
        <v>-0.14055493801604624</v>
      </c>
      <c r="AD17" s="246">
        <f ca="1">Valuation!O86</f>
        <v>-0.13671460604702959</v>
      </c>
      <c r="AE17" s="243"/>
      <c r="AF17" s="243"/>
      <c r="AG17" s="243"/>
      <c r="AH17" s="243"/>
      <c r="AI17" s="243"/>
    </row>
    <row r="18" spans="2:35">
      <c r="B18" s="238"/>
      <c r="C18" s="238"/>
      <c r="D18" s="238"/>
      <c r="E18" s="238"/>
      <c r="F18" s="238"/>
      <c r="G18" s="238"/>
      <c r="H18" s="238"/>
      <c r="I18" s="238"/>
      <c r="J18" s="238"/>
      <c r="K18" s="238"/>
      <c r="L18" s="238"/>
      <c r="M18" s="238"/>
      <c r="N18" s="238"/>
      <c r="O18" s="238"/>
      <c r="P18" s="238"/>
      <c r="Q18" s="238"/>
      <c r="R18" s="238"/>
      <c r="S18" s="238"/>
      <c r="T18" s="238"/>
      <c r="U18" s="238"/>
      <c r="V18" s="238"/>
      <c r="W18" s="436"/>
      <c r="X18" s="238"/>
      <c r="Y18" s="238"/>
      <c r="Z18" s="238"/>
      <c r="AA18" s="238"/>
      <c r="AB18" s="238"/>
      <c r="AC18" s="238"/>
      <c r="AD18" s="238"/>
      <c r="AE18" s="238"/>
      <c r="AF18" s="238"/>
      <c r="AG18" s="238"/>
      <c r="AH18" s="238"/>
      <c r="AI18" s="238"/>
    </row>
    <row r="19" spans="2:35">
      <c r="B19" s="240" t="s">
        <v>782</v>
      </c>
      <c r="C19" s="240">
        <v>1998</v>
      </c>
      <c r="D19" s="240">
        <v>1999</v>
      </c>
      <c r="E19" s="240">
        <v>2000</v>
      </c>
      <c r="F19" s="240">
        <v>2001</v>
      </c>
      <c r="G19" s="240">
        <v>2002</v>
      </c>
      <c r="H19" s="240">
        <v>2003</v>
      </c>
      <c r="I19" s="240">
        <v>2004</v>
      </c>
      <c r="J19" s="240">
        <v>2005</v>
      </c>
      <c r="K19" s="240">
        <v>2006</v>
      </c>
      <c r="L19" s="240">
        <v>2007</v>
      </c>
      <c r="M19" s="240">
        <v>2008</v>
      </c>
      <c r="N19" s="240">
        <v>2009</v>
      </c>
      <c r="O19" s="240">
        <v>2010</v>
      </c>
      <c r="P19" s="240">
        <v>2011</v>
      </c>
      <c r="Q19" s="240">
        <v>2012</v>
      </c>
      <c r="R19" s="240">
        <v>2013</v>
      </c>
      <c r="S19" s="240">
        <v>2014</v>
      </c>
      <c r="T19" s="240">
        <v>2015</v>
      </c>
      <c r="U19" s="240">
        <v>2016</v>
      </c>
      <c r="V19" s="240">
        <v>2017</v>
      </c>
      <c r="W19" s="240">
        <v>2018</v>
      </c>
      <c r="X19" s="240">
        <v>2019</v>
      </c>
      <c r="Y19" s="240">
        <v>2020</v>
      </c>
      <c r="Z19" s="240">
        <v>2021</v>
      </c>
      <c r="AA19" s="240">
        <v>2022</v>
      </c>
      <c r="AB19" s="240">
        <v>2023</v>
      </c>
      <c r="AC19" s="240">
        <v>2024</v>
      </c>
      <c r="AD19" s="240">
        <v>2025</v>
      </c>
      <c r="AE19" s="240">
        <v>2026</v>
      </c>
      <c r="AF19" s="240">
        <v>2027</v>
      </c>
      <c r="AG19" s="240">
        <v>2028</v>
      </c>
      <c r="AH19" s="240">
        <v>2029</v>
      </c>
      <c r="AI19" s="240">
        <v>2030</v>
      </c>
    </row>
    <row r="20" spans="2:35">
      <c r="B20" s="238" t="s">
        <v>143</v>
      </c>
      <c r="C20" s="241"/>
      <c r="D20" s="241"/>
      <c r="E20" s="244"/>
      <c r="F20" s="244"/>
      <c r="G20" s="244"/>
      <c r="H20" s="244"/>
      <c r="I20" s="244"/>
      <c r="J20" s="244"/>
      <c r="K20" s="244"/>
      <c r="L20" s="244"/>
      <c r="M20" s="244"/>
      <c r="N20" s="244"/>
      <c r="O20" s="244"/>
      <c r="P20" s="594">
        <f>+'Model also  old'!B94</f>
        <v>204.7</v>
      </c>
      <c r="Q20" s="594">
        <f>+'Model also  old'!C94</f>
        <v>205.3</v>
      </c>
      <c r="R20" s="244">
        <f>Model!C9</f>
        <v>206.22200000000001</v>
      </c>
      <c r="S20" s="244">
        <f>Model!D9</f>
        <v>212.99453461000002</v>
      </c>
      <c r="T20" s="244">
        <f>Model!E9</f>
        <v>279.16592631999998</v>
      </c>
      <c r="U20" s="244">
        <f>Model!F9</f>
        <v>478.20000000000005</v>
      </c>
      <c r="V20" s="244">
        <f>Model!G9</f>
        <v>496.9</v>
      </c>
      <c r="W20" s="244">
        <f>Model!H9</f>
        <v>494.33764154200037</v>
      </c>
      <c r="X20" s="244">
        <f>Model!I9</f>
        <v>499.40475366000004</v>
      </c>
      <c r="Y20" s="244">
        <f>Model!J9</f>
        <v>480</v>
      </c>
      <c r="Z20" s="244">
        <f>Model!K9</f>
        <v>462.84366304999998</v>
      </c>
      <c r="AA20" s="244">
        <f>Model!L9</f>
        <v>446.53620129000001</v>
      </c>
      <c r="AB20" s="244">
        <f>Model!M9</f>
        <v>452.06121156</v>
      </c>
      <c r="AC20" s="244">
        <f ca="1">Model!N9</f>
        <v>433.86462054566306</v>
      </c>
      <c r="AD20" s="244">
        <f ca="1">Model!O9</f>
        <v>434.14953674314324</v>
      </c>
      <c r="AE20" s="243"/>
      <c r="AF20" s="243"/>
      <c r="AG20" s="243"/>
      <c r="AH20" s="243"/>
      <c r="AI20" s="243"/>
    </row>
    <row r="21" spans="2:35">
      <c r="B21" s="238" t="s">
        <v>281</v>
      </c>
      <c r="C21" s="241"/>
      <c r="D21" s="241"/>
      <c r="E21" s="244"/>
      <c r="F21" s="244"/>
      <c r="G21" s="244"/>
      <c r="H21" s="244"/>
      <c r="I21" s="244"/>
      <c r="J21" s="244"/>
      <c r="K21" s="244"/>
      <c r="L21" s="244"/>
      <c r="M21" s="244"/>
      <c r="N21" s="244"/>
      <c r="O21" s="244"/>
      <c r="P21" s="594">
        <f>+'Model also  old'!B112</f>
        <v>78.400000000000006</v>
      </c>
      <c r="Q21" s="594">
        <f>+'Model also  old'!C112</f>
        <v>87.1</v>
      </c>
      <c r="R21" s="244">
        <f>Model!C12</f>
        <v>88.077000000000055</v>
      </c>
      <c r="S21" s="244">
        <f>Model!D12</f>
        <v>98.936668599896052</v>
      </c>
      <c r="T21" s="244">
        <f>Model!E12</f>
        <v>140.88094095</v>
      </c>
      <c r="U21" s="244">
        <f>Model!F12</f>
        <v>250.1</v>
      </c>
      <c r="V21" s="244">
        <f>Model!G12</f>
        <v>264.7</v>
      </c>
      <c r="W21" s="244">
        <f>Model!H12</f>
        <v>235.99661195000004</v>
      </c>
      <c r="X21" s="244">
        <f>Model!I12</f>
        <v>239.45407107999998</v>
      </c>
      <c r="Y21" s="244">
        <f>Model!J12</f>
        <v>242.18396066</v>
      </c>
      <c r="Z21" s="244">
        <f>Model!K12</f>
        <v>226.45299999999997</v>
      </c>
      <c r="AA21" s="244">
        <f>Model!L12</f>
        <v>181.58300000000003</v>
      </c>
      <c r="AB21" s="244">
        <f ca="1">Model!M12</f>
        <v>190.85454653151407</v>
      </c>
      <c r="AC21" s="244">
        <f ca="1">Model!N12</f>
        <v>184.97974954401991</v>
      </c>
      <c r="AD21" s="244">
        <f ca="1">Model!O12</f>
        <v>192.26576222893047</v>
      </c>
      <c r="AE21" s="243"/>
      <c r="AF21" s="243"/>
      <c r="AG21" s="243"/>
      <c r="AH21" s="243"/>
      <c r="AI21" s="243"/>
    </row>
    <row r="22" spans="2:35">
      <c r="B22" s="238" t="s">
        <v>783</v>
      </c>
      <c r="C22" s="241"/>
      <c r="D22" s="241"/>
      <c r="E22" s="244"/>
      <c r="F22" s="244"/>
      <c r="G22" s="244"/>
      <c r="H22" s="244"/>
      <c r="I22" s="244"/>
      <c r="J22" s="244"/>
      <c r="K22" s="244"/>
      <c r="L22" s="244"/>
      <c r="M22" s="244"/>
      <c r="N22" s="244"/>
      <c r="O22" s="244"/>
      <c r="P22" s="594">
        <f>-'Model also  old'!B241</f>
        <v>44.4</v>
      </c>
      <c r="Q22" s="594">
        <f>-'Model also  old'!C241</f>
        <v>46.399999999999991</v>
      </c>
      <c r="R22" s="244">
        <f>Model!C200+Model!C212</f>
        <v>-40</v>
      </c>
      <c r="S22" s="244">
        <f>Model!D200+Model!D212</f>
        <v>-43.206999999999994</v>
      </c>
      <c r="T22" s="244">
        <f>Model!E200+Model!E212</f>
        <v>-55.681000000000004</v>
      </c>
      <c r="U22" s="244">
        <f>Model!F200+Model!F212</f>
        <v>-99.650999999999996</v>
      </c>
      <c r="V22" s="244">
        <f>Model!G200+Model!G212</f>
        <v>-97.185999999999993</v>
      </c>
      <c r="W22" s="244">
        <f>Model!H200+Model!H212</f>
        <v>-103.66</v>
      </c>
      <c r="X22" s="244">
        <f>Model!I200+Model!I212</f>
        <v>-119.229</v>
      </c>
      <c r="Y22" s="244">
        <f>Model!J200+Model!J212</f>
        <v>-126.28437325500003</v>
      </c>
      <c r="Z22" s="244">
        <f>Model!K200+Model!K212</f>
        <v>-103.532164512931</v>
      </c>
      <c r="AA22" s="244">
        <f>Model!L200+Model!L212</f>
        <v>-100.26654382528461</v>
      </c>
      <c r="AB22" s="244">
        <f>Model!M200+Model!M212</f>
        <v>-102.43450611351462</v>
      </c>
      <c r="AC22" s="244">
        <f>Model!N200+Model!N212</f>
        <v>-104.33547317947212</v>
      </c>
      <c r="AD22" s="244">
        <f ca="1">Model!O200+Model!O212</f>
        <v>-106.51104417943229</v>
      </c>
      <c r="AE22" s="243"/>
      <c r="AF22" s="243"/>
      <c r="AG22" s="243"/>
      <c r="AH22" s="243"/>
      <c r="AI22" s="243"/>
    </row>
    <row r="23" spans="2:35">
      <c r="B23" s="238" t="s">
        <v>784</v>
      </c>
      <c r="C23" s="241"/>
      <c r="D23" s="241"/>
      <c r="E23" s="244"/>
      <c r="F23" s="244"/>
      <c r="G23" s="244"/>
      <c r="H23" s="244"/>
      <c r="I23" s="244"/>
      <c r="J23" s="244"/>
      <c r="K23" s="244"/>
      <c r="L23" s="244"/>
      <c r="M23" s="244"/>
      <c r="N23" s="244"/>
      <c r="O23" s="244"/>
      <c r="P23" s="594">
        <f>-'Model also  old'!B245</f>
        <v>13</v>
      </c>
      <c r="Q23" s="594">
        <f>-'Model also  old'!C245</f>
        <v>13.000000000000034</v>
      </c>
      <c r="R23" s="244">
        <f>Model!C206</f>
        <v>-22.832000000000001</v>
      </c>
      <c r="S23" s="244">
        <f>Model!D206</f>
        <v>-7.5821759100000037</v>
      </c>
      <c r="T23" s="244">
        <f>Model!E206</f>
        <v>-20.115081609999983</v>
      </c>
      <c r="U23" s="244">
        <f>Model!F206</f>
        <v>-55.003999999999998</v>
      </c>
      <c r="V23" s="244">
        <f>Model!G206</f>
        <v>-58.423999999999999</v>
      </c>
      <c r="W23" s="244">
        <f>Model!H206</f>
        <v>-55.134</v>
      </c>
      <c r="X23" s="244">
        <f>Model!I206</f>
        <v>-64.944999999999993</v>
      </c>
      <c r="Y23" s="244">
        <f>Model!J206</f>
        <v>-65.729503013306399</v>
      </c>
      <c r="Z23" s="244">
        <f>Model!K206</f>
        <v>-64.78207449636885</v>
      </c>
      <c r="AA23" s="244">
        <f>Model!L206</f>
        <v>-64.444045895885182</v>
      </c>
      <c r="AB23" s="244">
        <f>Model!M206</f>
        <v>-65.28410486153318</v>
      </c>
      <c r="AC23" s="244">
        <f>Model!N206</f>
        <v>-66.103213483831809</v>
      </c>
      <c r="AD23" s="244">
        <f ca="1">Model!O206</f>
        <v>-67.020456501878456</v>
      </c>
      <c r="AE23" s="243"/>
      <c r="AF23" s="243"/>
      <c r="AG23" s="243"/>
      <c r="AH23" s="243"/>
      <c r="AI23" s="243"/>
    </row>
    <row r="24" spans="2:35">
      <c r="B24" s="238" t="s">
        <v>161</v>
      </c>
      <c r="C24" s="241"/>
      <c r="D24" s="241"/>
      <c r="E24" s="244"/>
      <c r="F24" s="244"/>
      <c r="G24" s="244"/>
      <c r="H24" s="244"/>
      <c r="I24" s="244"/>
      <c r="J24" s="244"/>
      <c r="K24" s="244"/>
      <c r="L24" s="244"/>
      <c r="M24" s="244"/>
      <c r="N24" s="244"/>
      <c r="O24" s="244"/>
      <c r="P24" s="594">
        <f>+'Model also  old'!B9</f>
        <v>68.099999999999994</v>
      </c>
      <c r="Q24" s="594">
        <f>+'Model also  old'!C9</f>
        <v>59.6</v>
      </c>
      <c r="R24" s="244">
        <f>Model!C23</f>
        <v>51.5</v>
      </c>
      <c r="S24" s="244">
        <f>Model!D23</f>
        <v>84.1</v>
      </c>
      <c r="T24" s="244">
        <f>Model!E23</f>
        <v>113.2</v>
      </c>
      <c r="U24" s="244">
        <f>Model!F23</f>
        <v>152.30000000000001</v>
      </c>
      <c r="V24" s="244">
        <f>Model!G23</f>
        <v>155.9</v>
      </c>
      <c r="W24" s="244">
        <f>Model!H23</f>
        <v>159.03177321999999</v>
      </c>
      <c r="X24" s="244">
        <f>Model!I23</f>
        <v>162.0818753543538</v>
      </c>
      <c r="Y24" s="244">
        <f>Model!J23</f>
        <v>109.13800000000001</v>
      </c>
      <c r="Z24" s="244">
        <f>Model!K23</f>
        <v>134.16900000000001</v>
      </c>
      <c r="AA24" s="244">
        <f>Model!L23</f>
        <v>186</v>
      </c>
      <c r="AB24" s="244">
        <f>Model!M23</f>
        <v>187</v>
      </c>
      <c r="AC24" s="244">
        <f ca="1">Model!N23</f>
        <v>193.26969502103239</v>
      </c>
      <c r="AD24" s="244">
        <f ca="1">Model!O23</f>
        <v>187.46621537875632</v>
      </c>
      <c r="AE24" s="243"/>
      <c r="AF24" s="243"/>
      <c r="AG24" s="243"/>
      <c r="AH24" s="243"/>
      <c r="AI24" s="243"/>
    </row>
    <row r="25" spans="2:35">
      <c r="B25" s="238" t="s">
        <v>351</v>
      </c>
      <c r="C25" s="241"/>
      <c r="D25" s="241"/>
      <c r="E25" s="244"/>
      <c r="F25" s="244"/>
      <c r="G25" s="244"/>
      <c r="H25" s="244"/>
      <c r="I25" s="244"/>
      <c r="J25" s="244"/>
      <c r="K25" s="244"/>
      <c r="L25" s="244"/>
      <c r="M25" s="244"/>
      <c r="N25" s="244"/>
      <c r="O25" s="244"/>
      <c r="P25" s="594">
        <f>P21-P24</f>
        <v>10.300000000000011</v>
      </c>
      <c r="Q25" s="594">
        <f t="shared" ref="Q25:AC25" si="0">Q21-Q24</f>
        <v>27.499999999999993</v>
      </c>
      <c r="R25" s="244">
        <f t="shared" si="0"/>
        <v>36.577000000000055</v>
      </c>
      <c r="S25" s="244">
        <f t="shared" si="0"/>
        <v>14.836668599896058</v>
      </c>
      <c r="T25" s="244">
        <f t="shared" si="0"/>
        <v>27.680940949999993</v>
      </c>
      <c r="U25" s="244">
        <f t="shared" si="0"/>
        <v>97.799999999999983</v>
      </c>
      <c r="V25" s="244">
        <f t="shared" si="0"/>
        <v>108.79999999999998</v>
      </c>
      <c r="W25" s="244">
        <f t="shared" si="0"/>
        <v>76.964838730000054</v>
      </c>
      <c r="X25" s="244">
        <f t="shared" si="0"/>
        <v>77.372195725646179</v>
      </c>
      <c r="Y25" s="244">
        <f t="shared" si="0"/>
        <v>133.04596065999999</v>
      </c>
      <c r="Z25" s="244">
        <f t="shared" si="0"/>
        <v>92.283999999999963</v>
      </c>
      <c r="AA25" s="244">
        <f t="shared" si="0"/>
        <v>-4.4169999999999732</v>
      </c>
      <c r="AB25" s="244">
        <f t="shared" ca="1" si="0"/>
        <v>3.8545465315140746</v>
      </c>
      <c r="AC25" s="244">
        <f t="shared" ca="1" si="0"/>
        <v>-8.2899454770124805</v>
      </c>
      <c r="AD25" s="244">
        <f ca="1">AD21-AD24</f>
        <v>4.7995468501741527</v>
      </c>
      <c r="AE25" s="243"/>
      <c r="AF25" s="243"/>
      <c r="AG25" s="243"/>
      <c r="AH25" s="243"/>
      <c r="AI25" s="243"/>
    </row>
    <row r="26" spans="2:35">
      <c r="B26" s="238" t="s">
        <v>320</v>
      </c>
      <c r="C26" s="241"/>
      <c r="D26" s="241"/>
      <c r="E26" s="244"/>
      <c r="F26" s="244"/>
      <c r="G26" s="244"/>
      <c r="H26" s="244"/>
      <c r="I26" s="244"/>
      <c r="J26" s="244"/>
      <c r="K26" s="244"/>
      <c r="L26" s="244"/>
      <c r="M26" s="244"/>
      <c r="N26" s="244"/>
      <c r="O26" s="244"/>
      <c r="P26" s="594">
        <f>+P25*(1-0.3)</f>
        <v>7.2100000000000071</v>
      </c>
      <c r="Q26" s="594">
        <f>+Q25*(1-0.3)</f>
        <v>19.249999999999993</v>
      </c>
      <c r="R26" s="244">
        <f>+R25*(1-'SOP OLD'!C38)</f>
        <v>24.506590000000035</v>
      </c>
      <c r="S26" s="244">
        <f>+S25*(1-'SOP OLD'!D38)</f>
        <v>9.9405679619303573</v>
      </c>
      <c r="T26" s="244">
        <f>+T25*(1-'SOP OLD'!E38)</f>
        <v>18.546230436499993</v>
      </c>
      <c r="U26" s="244">
        <f>+U25*(1-'SOP OLD'!F38)</f>
        <v>68.45999999999998</v>
      </c>
      <c r="V26" s="244">
        <f>+V25*(1-'SOP OLD'!G38)</f>
        <v>76.159999999999982</v>
      </c>
      <c r="W26" s="244">
        <f>+W25*(1-'SOP OLD'!H38)</f>
        <v>53.875387111000038</v>
      </c>
      <c r="X26" s="244">
        <f>+X25*(1-'SOP OLD'!I38)</f>
        <v>54.160537007952321</v>
      </c>
      <c r="Y26" s="244">
        <f>+Y25*(1-'SOP OLD'!J38)</f>
        <v>93.132172461999986</v>
      </c>
      <c r="Z26" s="244">
        <f>+Z25*(1-'SOP OLD'!K38)</f>
        <v>64.598799999999969</v>
      </c>
      <c r="AA26" s="244">
        <f>+AA25*(1-'SOP OLD'!L38)</f>
        <v>-3.0918999999999812</v>
      </c>
      <c r="AB26" s="244">
        <f ca="1">+AB25*(1-'SOP OLD'!M38)</f>
        <v>2.698182572059852</v>
      </c>
      <c r="AC26" s="244">
        <f ca="1">+AC25*(1-'SOP OLD'!N38)</f>
        <v>-5.8029618339087357</v>
      </c>
      <c r="AD26" s="244">
        <f ca="1">+AD25*(1-'SOP OLD'!O38)</f>
        <v>3.3596827951219068</v>
      </c>
      <c r="AE26" s="243"/>
      <c r="AF26" s="243"/>
      <c r="AG26" s="243"/>
      <c r="AH26" s="243"/>
      <c r="AI26" s="243"/>
    </row>
    <row r="27" spans="2:35">
      <c r="B27" s="238" t="s">
        <v>160</v>
      </c>
      <c r="C27" s="241"/>
      <c r="D27" s="241"/>
      <c r="E27" s="244"/>
      <c r="F27" s="244"/>
      <c r="G27" s="244"/>
      <c r="H27" s="244"/>
      <c r="I27" s="244"/>
      <c r="J27" s="244"/>
      <c r="K27" s="244"/>
      <c r="L27" s="244"/>
      <c r="M27" s="244"/>
      <c r="N27" s="244"/>
      <c r="O27" s="244"/>
      <c r="P27" s="594">
        <f>P9</f>
        <v>594</v>
      </c>
      <c r="Q27" s="594">
        <f t="shared" ref="Q27:AC27" si="1">Q9</f>
        <v>620</v>
      </c>
      <c r="R27" s="244">
        <f t="shared" si="1"/>
        <v>551.10699999999997</v>
      </c>
      <c r="S27" s="244">
        <f t="shared" si="1"/>
        <v>618.73199999999997</v>
      </c>
      <c r="T27" s="244">
        <f t="shared" si="1"/>
        <v>1185.6102560000002</v>
      </c>
      <c r="U27" s="244">
        <f t="shared" si="1"/>
        <v>1205.5</v>
      </c>
      <c r="V27" s="244">
        <f t="shared" si="1"/>
        <v>1309.3000000000002</v>
      </c>
      <c r="W27" s="244">
        <f t="shared" si="1"/>
        <v>1389.5861756100001</v>
      </c>
      <c r="X27" s="244">
        <f t="shared" si="1"/>
        <v>1422.04685406</v>
      </c>
      <c r="Y27" s="244">
        <f t="shared" si="1"/>
        <v>1400.5103227499999</v>
      </c>
      <c r="Z27" s="244">
        <f t="shared" si="1"/>
        <v>984.40600000000006</v>
      </c>
      <c r="AA27" s="244">
        <f t="shared" si="1"/>
        <v>1009.5</v>
      </c>
      <c r="AB27" s="244">
        <f t="shared" si="1"/>
        <v>1159.894</v>
      </c>
      <c r="AC27" s="244">
        <f t="shared" ca="1" si="1"/>
        <v>1152.4939454770124</v>
      </c>
      <c r="AD27" s="244">
        <f ca="1">AD9</f>
        <v>1185.2093986268383</v>
      </c>
      <c r="AE27" s="243"/>
      <c r="AF27" s="243"/>
      <c r="AG27" s="243"/>
      <c r="AH27" s="243"/>
      <c r="AI27" s="243"/>
    </row>
    <row r="28" spans="2:35">
      <c r="B28" s="238" t="s">
        <v>785</v>
      </c>
      <c r="C28" s="241"/>
      <c r="D28" s="241"/>
      <c r="E28" s="244"/>
      <c r="F28" s="244"/>
      <c r="G28" s="244"/>
      <c r="H28" s="244"/>
      <c r="I28" s="244"/>
      <c r="J28" s="244"/>
      <c r="K28" s="244"/>
      <c r="L28" s="244"/>
      <c r="M28" s="244"/>
      <c r="N28" s="244"/>
      <c r="O28" s="244"/>
      <c r="P28" s="594"/>
      <c r="Q28" s="594"/>
      <c r="R28" s="244"/>
      <c r="S28" s="244"/>
      <c r="T28" s="244"/>
      <c r="U28" s="244"/>
      <c r="V28" s="244"/>
      <c r="W28" s="244"/>
      <c r="X28" s="244"/>
      <c r="Y28" s="244"/>
      <c r="Z28" s="244"/>
      <c r="AA28" s="244"/>
      <c r="AB28" s="244"/>
      <c r="AC28" s="244"/>
      <c r="AD28" s="244"/>
      <c r="AE28" s="243"/>
      <c r="AF28" s="243"/>
      <c r="AG28" s="243"/>
      <c r="AH28" s="243"/>
      <c r="AI28" s="243"/>
    </row>
    <row r="29" spans="2:35">
      <c r="B29" s="238" t="s">
        <v>786</v>
      </c>
      <c r="C29" s="241"/>
      <c r="D29" s="241"/>
      <c r="E29" s="244"/>
      <c r="F29" s="244"/>
      <c r="G29" s="244"/>
      <c r="H29" s="244"/>
      <c r="I29" s="244"/>
      <c r="J29" s="244"/>
      <c r="K29" s="244"/>
      <c r="L29" s="244"/>
      <c r="M29" s="244"/>
      <c r="N29" s="244"/>
      <c r="O29" s="244"/>
      <c r="P29" s="594">
        <f>+'Model also  old'!B146</f>
        <v>-101.8</v>
      </c>
      <c r="Q29" s="594">
        <f>+'Model also  old'!C146</f>
        <v>-82.6</v>
      </c>
      <c r="R29" s="244">
        <f>Model!C318</f>
        <v>-61.534999999999997</v>
      </c>
      <c r="S29" s="244">
        <f>Model!D318</f>
        <v>-107.316</v>
      </c>
      <c r="T29" s="244">
        <f>Model!E318</f>
        <v>545.68164860000002</v>
      </c>
      <c r="U29" s="244">
        <f>Model!F318</f>
        <v>529.6</v>
      </c>
      <c r="V29" s="244">
        <f>Model!G318</f>
        <v>517.20000000000005</v>
      </c>
      <c r="W29" s="244">
        <f>Model!H318</f>
        <v>354.66833104</v>
      </c>
      <c r="X29" s="244">
        <f>Model!I318</f>
        <v>318.57911505999999</v>
      </c>
      <c r="Y29" s="244">
        <f>Model!J318</f>
        <v>131.03039418999998</v>
      </c>
      <c r="Z29" s="244">
        <f ca="1">Model!K318</f>
        <v>45.034352379999987</v>
      </c>
      <c r="AA29" s="244">
        <f ca="1">Model!L318</f>
        <v>-82.845536650330104</v>
      </c>
      <c r="AB29" s="244">
        <f ca="1">Model!M318</f>
        <v>-120.48289804716393</v>
      </c>
      <c r="AC29" s="244">
        <f ca="1">Model!N318</f>
        <v>-170.67800553846718</v>
      </c>
      <c r="AD29" s="244">
        <f ca="1">Model!O318</f>
        <v>-211.48696198484765</v>
      </c>
      <c r="AE29" s="243"/>
      <c r="AF29" s="243"/>
      <c r="AG29" s="243"/>
      <c r="AH29" s="243"/>
      <c r="AI29" s="243"/>
    </row>
    <row r="30" spans="2:35">
      <c r="B30" s="238" t="s">
        <v>787</v>
      </c>
      <c r="C30" s="241"/>
      <c r="D30" s="241"/>
      <c r="E30" s="244"/>
      <c r="F30" s="244"/>
      <c r="G30" s="244"/>
      <c r="H30" s="244"/>
      <c r="I30" s="244"/>
      <c r="J30" s="244"/>
      <c r="K30" s="244"/>
      <c r="L30" s="244"/>
      <c r="M30" s="244"/>
      <c r="N30" s="244"/>
      <c r="O30" s="244"/>
      <c r="P30" s="594">
        <f>-'Model also  old'!B130-'Model also  old'!B129</f>
        <v>34.4</v>
      </c>
      <c r="Q30" s="594">
        <f>-'Model also  old'!C130-'Model also  old'!C129</f>
        <v>31.699999999999996</v>
      </c>
      <c r="R30" s="244">
        <f>-Model!C69-Model!C70</f>
        <v>27.874000000000002</v>
      </c>
      <c r="S30" s="244">
        <f>-Model!D69-Model!D70</f>
        <v>45.725160697806999</v>
      </c>
      <c r="T30" s="244">
        <f>-Model!E69-Model!E70</f>
        <v>44.972892090000002</v>
      </c>
      <c r="U30" s="244">
        <f>-Model!F69-Model!F70</f>
        <v>75.5</v>
      </c>
      <c r="V30" s="244">
        <f>-Model!G69-Model!G70</f>
        <v>57.5</v>
      </c>
      <c r="W30" s="244">
        <f>-Model!H69-Model!H70</f>
        <v>75.259316609999999</v>
      </c>
      <c r="X30" s="244">
        <f>-Model!I69-Model!I70</f>
        <v>62.485022609999994</v>
      </c>
      <c r="Y30" s="244">
        <f>-Model!J69-Model!J70</f>
        <v>47.148720870000005</v>
      </c>
      <c r="Z30" s="244">
        <f>-Model!K69-Model!K70</f>
        <v>82.275529559999995</v>
      </c>
      <c r="AA30" s="244">
        <f>-Model!L69-Model!L70</f>
        <v>58.896821179999996</v>
      </c>
      <c r="AB30" s="244">
        <f>-Model!M69-Model!M70</f>
        <v>47.622205669848135</v>
      </c>
      <c r="AC30" s="244">
        <f ca="1">-Model!N69-Model!N70</f>
        <v>53.417350939135027</v>
      </c>
      <c r="AD30" s="244">
        <f ca="1">-Model!O69-Model!O70</f>
        <v>53.098056059289121</v>
      </c>
      <c r="AE30" s="243"/>
      <c r="AF30" s="243"/>
      <c r="AG30" s="243"/>
      <c r="AH30" s="243"/>
      <c r="AI30" s="243"/>
    </row>
    <row r="31" spans="2:35">
      <c r="B31" s="238" t="s">
        <v>788</v>
      </c>
      <c r="C31" s="241"/>
      <c r="D31" s="241"/>
      <c r="E31" s="244"/>
      <c r="F31" s="244"/>
      <c r="G31" s="244"/>
      <c r="H31" s="244"/>
      <c r="I31" s="244"/>
      <c r="J31" s="244"/>
      <c r="K31" s="244"/>
      <c r="L31" s="244"/>
      <c r="M31" s="244"/>
      <c r="N31" s="244"/>
      <c r="O31" s="244"/>
      <c r="P31" s="594">
        <f>+'Model also  old'!B136</f>
        <v>-21.6</v>
      </c>
      <c r="Q31" s="594">
        <f>+'Model also  old'!C136</f>
        <v>20.5</v>
      </c>
      <c r="R31" s="244">
        <f>Model!C77</f>
        <v>-8.6379999999999484</v>
      </c>
      <c r="S31" s="244">
        <f>Model!D77</f>
        <v>-21.894180017910934</v>
      </c>
      <c r="T31" s="244">
        <f>Model!E77</f>
        <v>-66.380534260000104</v>
      </c>
      <c r="U31" s="244">
        <f>Model!F77</f>
        <v>-7.9529999999999852</v>
      </c>
      <c r="V31" s="244">
        <f>Model!G77</f>
        <v>-16.583000000000027</v>
      </c>
      <c r="W31" s="244">
        <f>Model!H77</f>
        <v>-161.22414710799956</v>
      </c>
      <c r="X31" s="244">
        <f>Model!I77</f>
        <v>-35.550145060000055</v>
      </c>
      <c r="Y31" s="244">
        <f>Model!J77</f>
        <v>-187.54872087000001</v>
      </c>
      <c r="Z31" s="244">
        <f ca="1">Model!K77</f>
        <v>-85.996041809999994</v>
      </c>
      <c r="AA31" s="244">
        <f ca="1">Model!L77</f>
        <v>-124.89682117999998</v>
      </c>
      <c r="AB31" s="244">
        <f ca="1">Model!M77</f>
        <v>-37.637361396833839</v>
      </c>
      <c r="AC31" s="244">
        <f ca="1">Model!N77</f>
        <v>-50.195107491303247</v>
      </c>
      <c r="AD31" s="244">
        <f ca="1">Model!O77</f>
        <v>-40.808956446380478</v>
      </c>
      <c r="AE31" s="243"/>
      <c r="AF31" s="243"/>
      <c r="AG31" s="243"/>
      <c r="AH31" s="243"/>
      <c r="AI31" s="243"/>
    </row>
    <row r="32" spans="2:35">
      <c r="B32" s="238" t="s">
        <v>303</v>
      </c>
      <c r="C32" s="241"/>
      <c r="D32" s="241"/>
      <c r="E32" s="244"/>
      <c r="F32" s="244"/>
      <c r="G32" s="244"/>
      <c r="H32" s="244"/>
      <c r="I32" s="244"/>
      <c r="J32" s="244"/>
      <c r="K32" s="244"/>
      <c r="L32" s="244"/>
      <c r="M32" s="244"/>
      <c r="N32" s="244"/>
      <c r="O32" s="244"/>
      <c r="P32" s="594">
        <f>+'Model also  old'!B337</f>
        <v>-16.199999999999992</v>
      </c>
      <c r="Q32" s="594">
        <f>+'Model also  old'!C337</f>
        <v>-17.93</v>
      </c>
      <c r="R32" s="244">
        <f>Model!C388</f>
        <v>-5.9391499999999651</v>
      </c>
      <c r="S32" s="244">
        <f>Model!D388</f>
        <v>4.7772348002004756</v>
      </c>
      <c r="T32" s="244">
        <f>Model!E388</f>
        <v>39.366867212300036</v>
      </c>
      <c r="U32" s="244">
        <f>Model!F388</f>
        <v>19.950900000000019</v>
      </c>
      <c r="V32" s="244">
        <f>Model!G388</f>
        <v>57.673000000000009</v>
      </c>
      <c r="W32" s="244">
        <f>Model!H388</f>
        <v>50.777291743399914</v>
      </c>
      <c r="X32" s="244">
        <f>Model!I388</f>
        <v>1.7899696440000064</v>
      </c>
      <c r="Y32" s="244">
        <f>Model!J388</f>
        <v>57.588455792693559</v>
      </c>
      <c r="Z32" s="244">
        <f ca="1">Model!K388</f>
        <v>3.3145198337001238</v>
      </c>
      <c r="AA32" s="244">
        <f ca="1">Model!L388</f>
        <v>-5.0598910871697713</v>
      </c>
      <c r="AB32" s="244">
        <f ca="1">Model!M388</f>
        <v>-8.9204989118816371</v>
      </c>
      <c r="AC32" s="244">
        <f ca="1">Model!N388</f>
        <v>-17.928625673574793</v>
      </c>
      <c r="AD32" s="244">
        <f ca="1">Model!O388</f>
        <v>-17.438768288934906</v>
      </c>
      <c r="AE32" s="243"/>
      <c r="AF32" s="243"/>
      <c r="AG32" s="243"/>
      <c r="AH32" s="243"/>
      <c r="AI32" s="243"/>
    </row>
    <row r="33" spans="2:35">
      <c r="B33" s="238" t="s">
        <v>789</v>
      </c>
      <c r="C33" s="241"/>
      <c r="D33" s="241"/>
      <c r="E33" s="244"/>
      <c r="F33" s="244"/>
      <c r="G33" s="244"/>
      <c r="H33" s="244"/>
      <c r="I33" s="244"/>
      <c r="J33" s="244"/>
      <c r="K33" s="244"/>
      <c r="L33" s="244"/>
      <c r="M33" s="244"/>
      <c r="N33" s="244"/>
      <c r="O33" s="244"/>
      <c r="P33" s="594">
        <f>+'Model also  old'!B343</f>
        <v>-26.899999999999991</v>
      </c>
      <c r="Q33" s="594">
        <f>+'Model also  old'!C343</f>
        <v>-14.630000000000003</v>
      </c>
      <c r="R33" s="244">
        <f>Model!C407</f>
        <v>8.7178500000000376</v>
      </c>
      <c r="S33" s="244">
        <f>Model!D407</f>
        <v>-26.306440709300333</v>
      </c>
      <c r="T33" s="244">
        <f>Model!E407</f>
        <v>4.3152065123000209</v>
      </c>
      <c r="U33" s="244">
        <f>Model!F407</f>
        <v>24.805900000000008</v>
      </c>
      <c r="V33" s="244">
        <f>Model!G407</f>
        <v>59.88300000000001</v>
      </c>
      <c r="W33" s="244">
        <f>Model!H407</f>
        <v>53.027907843399923</v>
      </c>
      <c r="X33" s="244">
        <f>Model!I407</f>
        <v>25.930600699646206</v>
      </c>
      <c r="Y33" s="244">
        <f>Model!J407</f>
        <v>141.26185605099997</v>
      </c>
      <c r="Z33" s="244">
        <f ca="1">Model!K407</f>
        <v>37.817282982999949</v>
      </c>
      <c r="AA33" s="244">
        <f ca="1">Model!L407</f>
        <v>-25.784774825999964</v>
      </c>
      <c r="AB33" s="244">
        <f ca="1">Model!M407</f>
        <v>-27.637361396833828</v>
      </c>
      <c r="AC33" s="244">
        <f ca="1">Model!N407</f>
        <v>-40.195107491303247</v>
      </c>
      <c r="AD33" s="244">
        <f ca="1">Model!O407</f>
        <v>-30.808956446380481</v>
      </c>
      <c r="AE33" s="243"/>
      <c r="AF33" s="243"/>
      <c r="AG33" s="243"/>
      <c r="AH33" s="243"/>
      <c r="AI33" s="243"/>
    </row>
    <row r="34" spans="2:35">
      <c r="B34" s="238" t="s">
        <v>790</v>
      </c>
      <c r="C34" s="241"/>
      <c r="D34" s="241"/>
      <c r="E34" s="241"/>
      <c r="F34" s="244"/>
      <c r="G34" s="244"/>
      <c r="H34" s="244"/>
      <c r="I34" s="244"/>
      <c r="J34" s="244"/>
      <c r="K34" s="244"/>
      <c r="L34" s="244"/>
      <c r="M34" s="244"/>
      <c r="N34" s="244"/>
      <c r="O34" s="244"/>
      <c r="P34" s="594"/>
      <c r="Q34" s="594"/>
      <c r="R34" s="244"/>
      <c r="S34" s="244"/>
      <c r="T34" s="244"/>
      <c r="U34" s="244"/>
      <c r="V34" s="244"/>
      <c r="W34" s="244"/>
      <c r="X34" s="244"/>
      <c r="Y34" s="244"/>
      <c r="Z34" s="244"/>
      <c r="AA34" s="244"/>
      <c r="AB34" s="244"/>
      <c r="AC34" s="244"/>
      <c r="AD34" s="244"/>
      <c r="AE34" s="243"/>
      <c r="AF34" s="243"/>
      <c r="AG34" s="243"/>
      <c r="AH34" s="243"/>
      <c r="AI34" s="243"/>
    </row>
    <row r="35" spans="2:35">
      <c r="B35" s="238" t="s">
        <v>791</v>
      </c>
      <c r="C35" s="241"/>
      <c r="D35" s="241"/>
      <c r="E35" s="241"/>
      <c r="F35" s="241"/>
      <c r="G35" s="241"/>
      <c r="H35" s="241"/>
      <c r="I35" s="241"/>
      <c r="J35" s="241"/>
      <c r="K35" s="241"/>
      <c r="L35" s="241"/>
      <c r="M35" s="241"/>
      <c r="N35" s="241"/>
      <c r="O35" s="241"/>
      <c r="P35" s="595">
        <f>+'Model also  old'!B144+'Model also  old'!B145</f>
        <v>590.6</v>
      </c>
      <c r="Q35" s="595">
        <f>+'Model also  old'!C144+'Model also  old'!C145</f>
        <v>587.6</v>
      </c>
      <c r="R35" s="241">
        <f>Model!C89+Model!C90</f>
        <v>580</v>
      </c>
      <c r="S35" s="241">
        <f>Model!D89+Model!D90</f>
        <v>591.74400000000003</v>
      </c>
      <c r="T35" s="241">
        <f>Model!E89+Model!E90</f>
        <v>2027.4068813200001</v>
      </c>
      <c r="U35" s="241">
        <f>Model!F89+Model!F90</f>
        <v>1992.4</v>
      </c>
      <c r="V35" s="241">
        <f>Model!G89+Model!G90</f>
        <v>1999.9</v>
      </c>
      <c r="W35" s="241">
        <f>Model!H89+Model!H90</f>
        <v>1898.1745633999999</v>
      </c>
      <c r="X35" s="241">
        <f>Model!I89+Model!I90</f>
        <v>1943.1051322000003</v>
      </c>
      <c r="Y35" s="241">
        <f>Model!J89+Model!J90</f>
        <v>1895.6783295516939</v>
      </c>
      <c r="Z35" s="241">
        <f>Model!K89+Model!K90</f>
        <v>1899.6510905423943</v>
      </c>
      <c r="AA35" s="241">
        <f>Model!L89+Model!L90</f>
        <v>1959.6705008212243</v>
      </c>
      <c r="AB35" s="241">
        <f>Model!M89+Model!M90</f>
        <v>2024.0378898461768</v>
      </c>
      <c r="AC35" s="241">
        <f ca="1">Model!N89+Model!N90</f>
        <v>2091.8688982039052</v>
      </c>
      <c r="AD35" s="241">
        <f ca="1">Model!O89+Model!O90</f>
        <v>2150.8036129013508</v>
      </c>
      <c r="AE35" s="243"/>
      <c r="AF35" s="243"/>
      <c r="AG35" s="243"/>
      <c r="AH35" s="243"/>
      <c r="AI35" s="243"/>
    </row>
    <row r="36" spans="2:35">
      <c r="B36" s="238"/>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row>
    <row r="37" spans="2:35">
      <c r="B37" s="240" t="s">
        <v>792</v>
      </c>
      <c r="C37" s="240">
        <v>1998</v>
      </c>
      <c r="D37" s="240">
        <v>1999</v>
      </c>
      <c r="E37" s="240">
        <v>2000</v>
      </c>
      <c r="F37" s="240">
        <v>2001</v>
      </c>
      <c r="G37" s="240">
        <v>2002</v>
      </c>
      <c r="H37" s="240">
        <v>2003</v>
      </c>
      <c r="I37" s="240">
        <v>2004</v>
      </c>
      <c r="J37" s="240">
        <v>2005</v>
      </c>
      <c r="K37" s="240">
        <v>2006</v>
      </c>
      <c r="L37" s="240">
        <v>2007</v>
      </c>
      <c r="M37" s="240">
        <v>2008</v>
      </c>
      <c r="N37" s="240">
        <v>2009</v>
      </c>
      <c r="O37" s="240">
        <v>2010</v>
      </c>
      <c r="P37" s="240">
        <v>2011</v>
      </c>
      <c r="Q37" s="240">
        <v>2012</v>
      </c>
      <c r="R37" s="240">
        <v>2013</v>
      </c>
      <c r="S37" s="240">
        <v>2014</v>
      </c>
      <c r="T37" s="240">
        <v>2015</v>
      </c>
      <c r="U37" s="240">
        <v>2016</v>
      </c>
      <c r="V37" s="240">
        <v>2017</v>
      </c>
      <c r="W37" s="240">
        <v>2018</v>
      </c>
      <c r="X37" s="240">
        <v>2019</v>
      </c>
      <c r="Y37" s="240">
        <v>2020</v>
      </c>
      <c r="Z37" s="240">
        <v>2021</v>
      </c>
      <c r="AA37" s="240">
        <v>2022</v>
      </c>
      <c r="AB37" s="240">
        <v>2023</v>
      </c>
      <c r="AC37" s="240">
        <v>2024</v>
      </c>
      <c r="AD37" s="240">
        <v>2025</v>
      </c>
      <c r="AE37" s="240">
        <v>2026</v>
      </c>
      <c r="AF37" s="240">
        <v>2027</v>
      </c>
      <c r="AG37" s="240">
        <v>2028</v>
      </c>
      <c r="AH37" s="240">
        <v>2029</v>
      </c>
      <c r="AI37" s="240">
        <v>2030</v>
      </c>
    </row>
    <row r="38" spans="2:35">
      <c r="B38" s="247" t="s">
        <v>93</v>
      </c>
      <c r="C38" s="241"/>
      <c r="D38" s="241"/>
      <c r="E38" s="241"/>
      <c r="F38" s="241"/>
      <c r="G38" s="241"/>
      <c r="H38" s="241"/>
      <c r="I38" s="241"/>
      <c r="J38" s="241"/>
      <c r="K38" s="241"/>
      <c r="L38" s="241"/>
      <c r="M38" s="241"/>
      <c r="N38" s="241"/>
      <c r="O38" s="241"/>
      <c r="P38" s="595">
        <f>+'Model also  old'!B90</f>
        <v>159.80000000000001</v>
      </c>
      <c r="Q38" s="595">
        <f>+'Model also  old'!C90</f>
        <v>151.9</v>
      </c>
      <c r="R38" s="241">
        <f>Model!C5</f>
        <v>144.96100000000001</v>
      </c>
      <c r="S38" s="241">
        <f>Model!D5</f>
        <v>142.54256278000003</v>
      </c>
      <c r="T38" s="241">
        <f>Model!E5</f>
        <v>172.38632501999999</v>
      </c>
      <c r="U38" s="241">
        <f>Model!F5</f>
        <v>259</v>
      </c>
      <c r="V38" s="241">
        <f>Model!G5</f>
        <v>256.7</v>
      </c>
      <c r="W38" s="241">
        <f>Model!H5</f>
        <v>249.85536539200035</v>
      </c>
      <c r="X38" s="241">
        <f>Model!I5</f>
        <v>238.35053718228983</v>
      </c>
      <c r="Y38" s="241">
        <f>Model!J5</f>
        <v>226.8</v>
      </c>
      <c r="Z38" s="241">
        <f>Model!K5</f>
        <v>218.23881466958363</v>
      </c>
      <c r="AA38" s="241">
        <f>Model!L5</f>
        <v>202.52998415548132</v>
      </c>
      <c r="AB38" s="241">
        <f>Model!M5</f>
        <v>188.7110290691534</v>
      </c>
      <c r="AC38" s="241">
        <f ca="1">Model!N5</f>
        <v>147.8752560329269</v>
      </c>
      <c r="AD38" s="241">
        <f ca="1">Model!O5</f>
        <v>123.26951824633576</v>
      </c>
      <c r="AE38" s="243"/>
      <c r="AF38" s="243"/>
      <c r="AG38" s="243"/>
      <c r="AH38" s="243"/>
      <c r="AI38" s="243"/>
    </row>
    <row r="39" spans="2:35">
      <c r="B39" s="247" t="s">
        <v>91</v>
      </c>
      <c r="C39" s="241"/>
      <c r="D39" s="241"/>
      <c r="E39" s="241"/>
      <c r="F39" s="241"/>
      <c r="G39" s="241"/>
      <c r="H39" s="241"/>
      <c r="I39" s="241"/>
      <c r="J39" s="241"/>
      <c r="K39" s="241"/>
      <c r="L39" s="241"/>
      <c r="M39" s="241"/>
      <c r="N39" s="241"/>
      <c r="O39" s="241"/>
      <c r="P39" s="595">
        <f>+'Model also  old'!B91</f>
        <v>27</v>
      </c>
      <c r="Q39" s="595">
        <f>+'Model also  old'!C91</f>
        <v>32.299999999999997</v>
      </c>
      <c r="R39" s="241">
        <f>Model!C6</f>
        <v>41.552999999999997</v>
      </c>
      <c r="S39" s="241">
        <f>Model!D6</f>
        <v>50.386587310000003</v>
      </c>
      <c r="T39" s="241">
        <f>Model!E6</f>
        <v>77.673945809999992</v>
      </c>
      <c r="U39" s="241">
        <f>Model!F6</f>
        <v>133.80000000000001</v>
      </c>
      <c r="V39" s="241">
        <f>Model!G6</f>
        <v>144.80000000000001</v>
      </c>
      <c r="W39" s="241">
        <f>Model!H6</f>
        <v>139.48227615000002</v>
      </c>
      <c r="X39" s="241">
        <f>Model!I6</f>
        <v>142.6829013</v>
      </c>
      <c r="Y39" s="241">
        <f>Model!J6</f>
        <v>146.30000000000001</v>
      </c>
      <c r="Z39" s="241">
        <f>Model!K6</f>
        <v>150.85983016</v>
      </c>
      <c r="AA39" s="241">
        <f>Model!L6</f>
        <v>157.54322310999999</v>
      </c>
      <c r="AB39" s="241">
        <f>Model!M6</f>
        <v>168.13099800000001</v>
      </c>
      <c r="AC39" s="241">
        <f ca="1">Model!N6</f>
        <v>187.37801335158861</v>
      </c>
      <c r="AD39" s="241">
        <f ca="1">Model!O6</f>
        <v>208.40147837195119</v>
      </c>
      <c r="AE39" s="243"/>
      <c r="AF39" s="243"/>
      <c r="AG39" s="243"/>
      <c r="AH39" s="243"/>
      <c r="AI39" s="243"/>
    </row>
    <row r="40" spans="2:35">
      <c r="B40" s="247" t="s">
        <v>80</v>
      </c>
      <c r="C40" s="241"/>
      <c r="D40" s="241"/>
      <c r="E40" s="241"/>
      <c r="F40" s="241"/>
      <c r="G40" s="241"/>
      <c r="H40" s="241"/>
      <c r="I40" s="241"/>
      <c r="J40" s="241"/>
      <c r="K40" s="241"/>
      <c r="L40" s="241"/>
      <c r="M40" s="241"/>
      <c r="N40" s="241"/>
      <c r="O40" s="241"/>
      <c r="P40" s="595">
        <f>+'Model also  old'!B92</f>
        <v>17.899999999999999</v>
      </c>
      <c r="Q40" s="595">
        <f>+'Model also  old'!C92</f>
        <v>21.2</v>
      </c>
      <c r="R40" s="241">
        <f>Model!C8</f>
        <v>19.707999999999998</v>
      </c>
      <c r="S40" s="241">
        <f>Model!D8</f>
        <v>20.065384519999995</v>
      </c>
      <c r="T40" s="241">
        <f>Model!E8</f>
        <v>29.10565549</v>
      </c>
      <c r="U40" s="241">
        <f>Model!F8</f>
        <v>85.4</v>
      </c>
      <c r="V40" s="241">
        <f>Model!G8</f>
        <v>95.4</v>
      </c>
      <c r="W40" s="241">
        <f>Model!H8</f>
        <v>57</v>
      </c>
      <c r="X40" s="241">
        <f>Model!I8</f>
        <v>62.259315177710199</v>
      </c>
      <c r="Y40" s="241">
        <f>Model!J8</f>
        <v>45.000000000000007</v>
      </c>
      <c r="Z40" s="241">
        <f>Model!K8</f>
        <v>43.403644210416367</v>
      </c>
      <c r="AA40" s="241">
        <f>Model!L8</f>
        <v>41.089225354518689</v>
      </c>
      <c r="AB40" s="241">
        <f>Model!M8</f>
        <v>50.476379780846592</v>
      </c>
      <c r="AC40" s="241">
        <f ca="1">Model!N8</f>
        <v>53.421118404047526</v>
      </c>
      <c r="AD40" s="241">
        <f ca="1">Model!O8</f>
        <v>57.288307367756289</v>
      </c>
      <c r="AE40" s="243"/>
      <c r="AF40" s="243"/>
      <c r="AG40" s="243"/>
      <c r="AH40" s="243"/>
      <c r="AI40" s="243"/>
    </row>
    <row r="41" spans="2:35">
      <c r="B41" s="247" t="s">
        <v>1013</v>
      </c>
      <c r="C41" s="241"/>
      <c r="D41" s="241"/>
      <c r="E41" s="241"/>
      <c r="F41" s="241"/>
      <c r="G41" s="241"/>
      <c r="H41" s="241"/>
      <c r="I41" s="241"/>
      <c r="J41" s="241"/>
      <c r="K41" s="241"/>
      <c r="L41" s="241"/>
      <c r="M41" s="241"/>
      <c r="N41" s="241"/>
      <c r="O41" s="241"/>
      <c r="P41" s="595"/>
      <c r="Q41" s="595"/>
      <c r="R41" s="241"/>
      <c r="S41" s="241"/>
      <c r="T41" s="241"/>
      <c r="U41" s="241"/>
      <c r="V41" s="241"/>
      <c r="W41" s="241"/>
      <c r="X41" s="241"/>
      <c r="Y41" s="241"/>
      <c r="Z41" s="241"/>
      <c r="AA41" s="241"/>
      <c r="AB41" s="241"/>
      <c r="AC41" s="241"/>
      <c r="AD41" s="241"/>
      <c r="AE41" s="243"/>
      <c r="AF41" s="243"/>
      <c r="AG41" s="243"/>
      <c r="AH41" s="243"/>
      <c r="AI41" s="243"/>
    </row>
    <row r="42" spans="2:35">
      <c r="B42" s="247" t="s">
        <v>7</v>
      </c>
      <c r="C42" s="241"/>
      <c r="D42" s="241"/>
      <c r="E42" s="241"/>
      <c r="F42" s="241"/>
      <c r="G42" s="241"/>
      <c r="H42" s="241"/>
      <c r="I42" s="241"/>
      <c r="J42" s="241"/>
      <c r="K42" s="241"/>
      <c r="L42" s="241"/>
      <c r="M42" s="241"/>
      <c r="N42" s="241"/>
      <c r="O42" s="241"/>
      <c r="P42" s="595">
        <f>+'Model also  old'!B94</f>
        <v>204.7</v>
      </c>
      <c r="Q42" s="595">
        <f>+'Model also  old'!C94</f>
        <v>205.3</v>
      </c>
      <c r="R42" s="241">
        <f>Model!C9</f>
        <v>206.22200000000001</v>
      </c>
      <c r="S42" s="241">
        <f>Model!D9</f>
        <v>212.99453461000002</v>
      </c>
      <c r="T42" s="241">
        <f>Model!E9</f>
        <v>279.16592631999998</v>
      </c>
      <c r="U42" s="241">
        <f>Model!F9</f>
        <v>478.20000000000005</v>
      </c>
      <c r="V42" s="241">
        <f>Model!G9</f>
        <v>496.9</v>
      </c>
      <c r="W42" s="241">
        <f>Model!H9</f>
        <v>494.33764154200037</v>
      </c>
      <c r="X42" s="241">
        <f>Model!I9</f>
        <v>499.40475366000004</v>
      </c>
      <c r="Y42" s="241">
        <f>Model!J9</f>
        <v>480</v>
      </c>
      <c r="Z42" s="241">
        <f>Model!K9</f>
        <v>462.84366304999998</v>
      </c>
      <c r="AA42" s="241">
        <f>Model!L9</f>
        <v>446.53620129000001</v>
      </c>
      <c r="AB42" s="241">
        <f>Model!M9</f>
        <v>452.06121156</v>
      </c>
      <c r="AC42" s="241">
        <f ca="1">Model!N9</f>
        <v>433.86462054566306</v>
      </c>
      <c r="AD42" s="241">
        <f ca="1">Model!O9</f>
        <v>434.14953674314324</v>
      </c>
      <c r="AE42" s="243"/>
      <c r="AF42" s="243"/>
      <c r="AG42" s="243"/>
      <c r="AH42" s="243"/>
      <c r="AI42" s="243"/>
    </row>
    <row r="43" spans="2:35">
      <c r="B43" s="247"/>
      <c r="C43" s="241"/>
      <c r="D43" s="241"/>
      <c r="E43" s="241"/>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3"/>
      <c r="AF43" s="243"/>
      <c r="AG43" s="243"/>
      <c r="AH43" s="243"/>
      <c r="AI43" s="243"/>
    </row>
    <row r="44" spans="2:35">
      <c r="B44" s="247" t="s">
        <v>1090</v>
      </c>
      <c r="C44" s="241"/>
      <c r="D44" s="241"/>
      <c r="E44" s="241"/>
      <c r="F44" s="241"/>
      <c r="G44" s="241"/>
      <c r="H44" s="241"/>
      <c r="I44" s="241"/>
      <c r="J44" s="241"/>
      <c r="K44" s="241"/>
      <c r="L44" s="241"/>
      <c r="M44" s="241"/>
      <c r="N44" s="241"/>
      <c r="O44" s="241"/>
      <c r="P44" s="595"/>
      <c r="Q44" s="595"/>
      <c r="R44" s="241">
        <f>Model!C35+Model!C37</f>
        <v>17.242999999999999</v>
      </c>
      <c r="S44" s="241">
        <f>Model!D35+Model!D37</f>
        <v>16.812504629999996</v>
      </c>
      <c r="T44" s="241">
        <f>Model!E35+Model!E37</f>
        <v>31.460206370000002</v>
      </c>
      <c r="U44" s="241">
        <f>Model!F35+Model!F37</f>
        <v>38.700000000000003</v>
      </c>
      <c r="V44" s="241">
        <f>Model!G35+Model!G37</f>
        <v>33.299999999999997</v>
      </c>
      <c r="W44" s="241">
        <f>Model!H35+Model!H37</f>
        <v>41.366176299999999</v>
      </c>
      <c r="X44" s="241">
        <f>Model!I35+Model!I37</f>
        <v>31.868868910000003</v>
      </c>
      <c r="Y44" s="241">
        <f>Model!J35+Model!J37</f>
        <v>31.729270750000001</v>
      </c>
      <c r="Z44" s="241">
        <f>Model!K35+Model!K37</f>
        <v>33.37474727</v>
      </c>
      <c r="AA44" s="241">
        <f>Model!L35+Model!L37</f>
        <v>33.186702980000007</v>
      </c>
      <c r="AB44" s="241">
        <f>Model!M35+Model!M37</f>
        <v>37.215301609999997</v>
      </c>
      <c r="AC44" s="241">
        <f ca="1">Model!N35+Model!N37</f>
        <v>39.078947329080052</v>
      </c>
      <c r="AD44" s="241">
        <f ca="1">Model!O35+Model!O37</f>
        <v>35.631413936757369</v>
      </c>
      <c r="AE44" s="241"/>
      <c r="AF44" s="243"/>
      <c r="AG44" s="243"/>
      <c r="AH44" s="243"/>
      <c r="AI44" s="243"/>
    </row>
    <row r="45" spans="2:35">
      <c r="B45" s="247" t="s">
        <v>123</v>
      </c>
      <c r="C45" s="241"/>
      <c r="D45" s="241"/>
      <c r="E45" s="241"/>
      <c r="F45" s="241"/>
      <c r="G45" s="241"/>
      <c r="H45" s="241"/>
      <c r="I45" s="241"/>
      <c r="J45" s="241"/>
      <c r="K45" s="241"/>
      <c r="L45" s="241"/>
      <c r="M45" s="241"/>
      <c r="N45" s="241"/>
      <c r="O45" s="241"/>
      <c r="P45" s="595"/>
      <c r="Q45" s="595"/>
      <c r="R45" s="241">
        <f>Model!C39</f>
        <v>223.46500000000003</v>
      </c>
      <c r="S45" s="241">
        <f>Model!D39</f>
        <v>229.80703924000002</v>
      </c>
      <c r="T45" s="241">
        <f>Model!E39</f>
        <v>310.62620636999998</v>
      </c>
      <c r="U45" s="241">
        <f>Model!F39</f>
        <v>517</v>
      </c>
      <c r="V45" s="241">
        <f>Model!G39</f>
        <v>530.19999999999993</v>
      </c>
      <c r="W45" s="241">
        <f>Model!H39</f>
        <v>535.70381784200038</v>
      </c>
      <c r="X45" s="241">
        <f>Model!I39</f>
        <v>531.27362257000004</v>
      </c>
      <c r="Y45" s="241">
        <f>Model!J39</f>
        <v>511.72927075000001</v>
      </c>
      <c r="Z45" s="241">
        <f>Model!K39</f>
        <v>496.21841031999998</v>
      </c>
      <c r="AA45" s="241">
        <f>Model!L39</f>
        <v>479.72290427000002</v>
      </c>
      <c r="AB45" s="241">
        <f>Model!M39</f>
        <v>489.27651316999999</v>
      </c>
      <c r="AC45" s="241">
        <f ca="1">Model!N39</f>
        <v>472.94356787474311</v>
      </c>
      <c r="AD45" s="241">
        <f ca="1">Model!O39</f>
        <v>469.78095067990063</v>
      </c>
      <c r="AE45" s="241"/>
      <c r="AF45" s="243"/>
      <c r="AG45" s="243"/>
      <c r="AH45" s="243"/>
      <c r="AI45" s="243"/>
    </row>
    <row r="46" spans="2:35">
      <c r="B46" s="247"/>
      <c r="C46" s="241"/>
      <c r="D46" s="241"/>
      <c r="E46" s="241"/>
      <c r="F46" s="241"/>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3"/>
      <c r="AF46" s="243"/>
      <c r="AG46" s="243"/>
      <c r="AH46" s="243"/>
      <c r="AI46" s="243"/>
    </row>
    <row r="47" spans="2:35">
      <c r="B47" s="247"/>
      <c r="C47" s="241"/>
      <c r="D47" s="241"/>
      <c r="E47" s="241"/>
      <c r="F47" s="241"/>
      <c r="G47" s="241"/>
      <c r="H47" s="241"/>
      <c r="I47" s="241"/>
      <c r="J47" s="241"/>
      <c r="K47" s="241"/>
      <c r="L47" s="241"/>
      <c r="M47" s="241"/>
      <c r="N47" s="241"/>
      <c r="O47" s="241"/>
      <c r="P47" s="241"/>
      <c r="Q47" s="241"/>
      <c r="R47" s="241"/>
      <c r="S47" s="241"/>
      <c r="T47" s="241"/>
      <c r="U47" s="241"/>
      <c r="V47" s="241"/>
      <c r="W47" s="241"/>
      <c r="X47" s="241"/>
      <c r="Y47" s="241"/>
      <c r="Z47" s="241"/>
      <c r="AA47" s="241"/>
      <c r="AB47" s="241"/>
      <c r="AC47" s="241"/>
      <c r="AD47" s="241"/>
      <c r="AE47" s="243"/>
      <c r="AF47" s="243"/>
      <c r="AG47" s="243"/>
      <c r="AH47" s="243"/>
      <c r="AI47" s="243"/>
    </row>
    <row r="48" spans="2:35">
      <c r="C48" s="241"/>
      <c r="D48" s="241"/>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3"/>
      <c r="AG48" s="243"/>
      <c r="AH48" s="243"/>
      <c r="AI48" s="243"/>
    </row>
    <row r="49" spans="2:35">
      <c r="C49" s="241"/>
      <c r="D49" s="241"/>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3"/>
      <c r="AG49" s="243"/>
      <c r="AH49" s="243"/>
      <c r="AI49" s="243"/>
    </row>
    <row r="50" spans="2:35">
      <c r="B50" s="238"/>
      <c r="C50" s="241"/>
      <c r="D50" s="241"/>
      <c r="E50" s="241"/>
      <c r="F50" s="241"/>
      <c r="G50" s="241"/>
      <c r="H50" s="241"/>
      <c r="I50" s="241"/>
      <c r="J50" s="241"/>
      <c r="K50" s="241"/>
      <c r="L50" s="241"/>
      <c r="M50" s="241"/>
      <c r="N50" s="241"/>
      <c r="O50" s="241"/>
      <c r="P50" s="241"/>
      <c r="Q50" s="241"/>
      <c r="R50" s="243"/>
      <c r="S50" s="243"/>
      <c r="T50" s="243"/>
      <c r="U50" s="243"/>
      <c r="V50" s="243"/>
      <c r="W50" s="243"/>
      <c r="X50" s="243"/>
      <c r="Y50" s="243"/>
      <c r="Z50" s="243"/>
      <c r="AA50" s="243"/>
      <c r="AB50" s="243"/>
      <c r="AC50" s="243"/>
      <c r="AD50" s="243"/>
      <c r="AE50" s="243"/>
      <c r="AF50" s="243"/>
      <c r="AG50" s="243"/>
      <c r="AH50" s="243"/>
      <c r="AI50" s="243"/>
    </row>
    <row r="51" spans="2:35">
      <c r="B51" s="238"/>
      <c r="C51" s="241"/>
      <c r="D51" s="241"/>
      <c r="E51" s="241"/>
      <c r="F51" s="241"/>
      <c r="G51" s="241"/>
      <c r="H51" s="241"/>
      <c r="I51" s="241"/>
      <c r="J51" s="241"/>
      <c r="K51" s="241"/>
      <c r="L51" s="241"/>
      <c r="M51" s="241"/>
      <c r="N51" s="241"/>
      <c r="O51" s="241"/>
      <c r="P51" s="241"/>
      <c r="Q51" s="241"/>
      <c r="R51" s="243"/>
      <c r="S51" s="243"/>
      <c r="T51" s="243"/>
      <c r="U51" s="243"/>
      <c r="V51" s="243"/>
      <c r="W51" s="243"/>
      <c r="X51" s="243"/>
      <c r="Y51" s="243"/>
      <c r="Z51" s="243"/>
      <c r="AA51" s="243"/>
      <c r="AB51" s="243"/>
      <c r="AC51" s="243"/>
      <c r="AD51" s="243"/>
      <c r="AE51" s="243"/>
      <c r="AF51" s="243"/>
      <c r="AG51" s="243"/>
      <c r="AH51" s="243"/>
      <c r="AI51" s="243"/>
    </row>
    <row r="52" spans="2:35">
      <c r="B52" s="238"/>
      <c r="C52" s="241"/>
      <c r="D52" s="241"/>
      <c r="E52" s="241"/>
      <c r="F52" s="241"/>
      <c r="G52" s="241"/>
      <c r="H52" s="241"/>
      <c r="I52" s="241"/>
      <c r="J52" s="241"/>
      <c r="K52" s="241"/>
      <c r="L52" s="241"/>
      <c r="M52" s="241"/>
      <c r="N52" s="241"/>
      <c r="O52" s="241"/>
      <c r="P52" s="241"/>
      <c r="Q52" s="241"/>
      <c r="R52" s="243"/>
      <c r="S52" s="243"/>
      <c r="T52" s="243"/>
      <c r="U52" s="243"/>
      <c r="V52" s="243"/>
      <c r="W52" s="243"/>
      <c r="X52" s="243"/>
      <c r="Y52" s="243"/>
      <c r="Z52" s="243"/>
      <c r="AA52" s="243"/>
      <c r="AB52" s="243"/>
      <c r="AC52" s="243"/>
      <c r="AD52" s="243"/>
      <c r="AE52" s="243"/>
      <c r="AF52" s="243"/>
      <c r="AG52" s="243"/>
      <c r="AH52" s="243"/>
      <c r="AI52" s="243"/>
    </row>
    <row r="53" spans="2:35">
      <c r="B53" s="238"/>
      <c r="C53" s="241"/>
      <c r="D53" s="241"/>
      <c r="E53" s="241"/>
      <c r="F53" s="241"/>
      <c r="G53" s="241"/>
      <c r="H53" s="241"/>
      <c r="I53" s="241"/>
      <c r="J53" s="241"/>
      <c r="K53" s="241"/>
      <c r="L53" s="241"/>
      <c r="M53" s="241"/>
      <c r="N53" s="241"/>
      <c r="O53" s="241"/>
      <c r="P53" s="241"/>
      <c r="Q53" s="241"/>
      <c r="R53" s="243"/>
      <c r="S53" s="243"/>
      <c r="T53" s="243"/>
      <c r="U53" s="243"/>
      <c r="V53" s="243"/>
      <c r="W53" s="243"/>
      <c r="X53" s="243"/>
      <c r="Y53" s="243"/>
      <c r="Z53" s="243"/>
      <c r="AA53" s="243"/>
      <c r="AB53" s="243"/>
      <c r="AC53" s="243"/>
      <c r="AD53" s="243"/>
      <c r="AE53" s="243"/>
      <c r="AF53" s="243"/>
      <c r="AG53" s="243"/>
      <c r="AH53" s="243"/>
      <c r="AI53" s="243"/>
    </row>
    <row r="54" spans="2:35">
      <c r="B54" s="238"/>
      <c r="C54" s="241"/>
      <c r="D54" s="241"/>
      <c r="E54" s="241"/>
      <c r="F54" s="241"/>
      <c r="G54" s="241"/>
      <c r="H54" s="241"/>
      <c r="I54" s="241"/>
      <c r="J54" s="241"/>
      <c r="K54" s="241"/>
      <c r="L54" s="241"/>
      <c r="M54" s="241"/>
      <c r="N54" s="241"/>
      <c r="O54" s="241"/>
      <c r="P54" s="241"/>
      <c r="Q54" s="241"/>
      <c r="R54" s="243"/>
      <c r="S54" s="243"/>
      <c r="T54" s="243"/>
      <c r="U54" s="243"/>
      <c r="V54" s="243"/>
      <c r="W54" s="243"/>
      <c r="X54" s="243"/>
      <c r="Y54" s="243"/>
      <c r="Z54" s="243"/>
      <c r="AA54" s="243"/>
      <c r="AB54" s="243"/>
      <c r="AC54" s="243"/>
      <c r="AD54" s="243"/>
      <c r="AE54" s="243"/>
      <c r="AF54" s="243"/>
      <c r="AG54" s="243"/>
      <c r="AH54" s="243"/>
      <c r="AI54" s="243"/>
    </row>
    <row r="55" spans="2:35">
      <c r="B55" s="238"/>
      <c r="C55" s="241"/>
      <c r="D55" s="241"/>
      <c r="E55" s="241"/>
      <c r="F55" s="241"/>
      <c r="G55" s="241"/>
      <c r="H55" s="241"/>
      <c r="I55" s="241"/>
      <c r="J55" s="241"/>
      <c r="K55" s="241"/>
      <c r="L55" s="241"/>
      <c r="M55" s="241"/>
      <c r="N55" s="241"/>
      <c r="O55" s="241"/>
      <c r="P55" s="241"/>
      <c r="Q55" s="241"/>
      <c r="R55" s="243"/>
      <c r="S55" s="243"/>
      <c r="T55" s="243"/>
      <c r="U55" s="243"/>
      <c r="V55" s="243"/>
      <c r="W55" s="243"/>
      <c r="X55" s="243"/>
      <c r="Y55" s="243"/>
      <c r="Z55" s="243"/>
      <c r="AA55" s="243"/>
      <c r="AB55" s="243"/>
      <c r="AC55" s="243"/>
      <c r="AD55" s="243"/>
      <c r="AE55" s="243"/>
      <c r="AF55" s="243"/>
      <c r="AG55" s="243"/>
      <c r="AH55" s="243"/>
      <c r="AI55" s="243"/>
    </row>
    <row r="56" spans="2:35">
      <c r="B56" s="238"/>
      <c r="C56" s="241"/>
      <c r="D56" s="241"/>
      <c r="E56" s="241"/>
      <c r="F56" s="241"/>
      <c r="G56" s="241"/>
      <c r="H56" s="241"/>
      <c r="I56" s="241"/>
      <c r="J56" s="241"/>
      <c r="K56" s="241"/>
      <c r="L56" s="241"/>
      <c r="M56" s="241"/>
      <c r="N56" s="241"/>
      <c r="O56" s="241"/>
      <c r="P56" s="241"/>
      <c r="Q56" s="241"/>
      <c r="R56" s="243"/>
      <c r="S56" s="243"/>
      <c r="T56" s="243"/>
      <c r="U56" s="243"/>
      <c r="V56" s="243"/>
      <c r="W56" s="243"/>
      <c r="X56" s="243"/>
      <c r="Y56" s="243"/>
      <c r="Z56" s="243"/>
      <c r="AA56" s="243"/>
      <c r="AB56" s="243"/>
      <c r="AC56" s="243"/>
      <c r="AD56" s="243"/>
      <c r="AE56" s="243"/>
      <c r="AF56" s="243"/>
      <c r="AG56" s="243"/>
      <c r="AH56" s="243"/>
      <c r="AI56" s="243"/>
    </row>
    <row r="57" spans="2:35">
      <c r="B57" s="238"/>
      <c r="C57" s="241"/>
      <c r="D57" s="241"/>
      <c r="E57" s="241"/>
      <c r="F57" s="241"/>
      <c r="G57" s="241"/>
      <c r="H57" s="241"/>
      <c r="I57" s="241"/>
      <c r="J57" s="241"/>
      <c r="K57" s="241"/>
      <c r="L57" s="241"/>
      <c r="M57" s="241"/>
      <c r="N57" s="241"/>
      <c r="O57" s="241"/>
      <c r="P57" s="241"/>
      <c r="Q57" s="241"/>
      <c r="R57" s="243"/>
      <c r="S57" s="243"/>
      <c r="T57" s="243"/>
      <c r="U57" s="243"/>
      <c r="V57" s="243"/>
      <c r="W57" s="243"/>
      <c r="X57" s="243"/>
      <c r="Y57" s="243"/>
      <c r="Z57" s="243"/>
      <c r="AA57" s="243"/>
      <c r="AB57" s="243"/>
      <c r="AC57" s="243"/>
      <c r="AD57" s="243"/>
      <c r="AE57" s="243"/>
      <c r="AF57" s="243"/>
      <c r="AG57" s="243"/>
      <c r="AH57" s="243"/>
      <c r="AI57" s="243"/>
    </row>
    <row r="58" spans="2:35">
      <c r="B58" s="238"/>
      <c r="C58" s="238"/>
      <c r="D58" s="238"/>
      <c r="E58" s="238"/>
      <c r="F58" s="238"/>
      <c r="G58" s="238"/>
      <c r="H58" s="238"/>
      <c r="I58" s="238"/>
      <c r="J58" s="238"/>
      <c r="K58" s="238"/>
      <c r="L58" s="238"/>
      <c r="M58" s="238"/>
      <c r="N58" s="238"/>
      <c r="O58" s="238"/>
      <c r="P58" s="238"/>
      <c r="Q58" s="238"/>
      <c r="R58" s="238"/>
      <c r="S58" s="238"/>
      <c r="T58" s="238"/>
      <c r="U58" s="238"/>
      <c r="V58" s="238"/>
      <c r="W58" s="238"/>
      <c r="X58" s="238"/>
      <c r="Y58" s="238"/>
      <c r="Z58" s="238"/>
      <c r="AA58" s="238"/>
      <c r="AB58" s="238"/>
      <c r="AC58" s="238"/>
      <c r="AD58" s="238"/>
      <c r="AE58" s="238"/>
      <c r="AF58" s="238"/>
      <c r="AG58" s="238"/>
      <c r="AH58" s="238"/>
      <c r="AI58" s="238"/>
    </row>
    <row r="59" spans="2:35">
      <c r="B59" s="240" t="s">
        <v>793</v>
      </c>
      <c r="C59" s="240">
        <v>1998</v>
      </c>
      <c r="D59" s="240">
        <v>1999</v>
      </c>
      <c r="E59" s="240">
        <v>2000</v>
      </c>
      <c r="F59" s="240">
        <v>2001</v>
      </c>
      <c r="G59" s="240">
        <v>2002</v>
      </c>
      <c r="H59" s="240">
        <v>2003</v>
      </c>
      <c r="I59" s="240">
        <v>2004</v>
      </c>
      <c r="J59" s="240">
        <v>2005</v>
      </c>
      <c r="K59" s="240">
        <v>2006</v>
      </c>
      <c r="L59" s="240">
        <v>2007</v>
      </c>
      <c r="M59" s="240">
        <v>2008</v>
      </c>
      <c r="N59" s="240">
        <v>2009</v>
      </c>
      <c r="O59" s="240">
        <v>2010</v>
      </c>
      <c r="P59" s="240">
        <v>2011</v>
      </c>
      <c r="Q59" s="240">
        <v>2012</v>
      </c>
      <c r="R59" s="240">
        <v>2013</v>
      </c>
      <c r="S59" s="240">
        <v>2014</v>
      </c>
      <c r="T59" s="240">
        <v>2015</v>
      </c>
      <c r="U59" s="240">
        <v>2016</v>
      </c>
      <c r="V59" s="240">
        <v>2017</v>
      </c>
      <c r="W59" s="240">
        <v>2018</v>
      </c>
      <c r="X59" s="240">
        <v>2019</v>
      </c>
      <c r="Y59" s="240">
        <v>2020</v>
      </c>
      <c r="Z59" s="240">
        <v>2021</v>
      </c>
      <c r="AA59" s="240">
        <v>2022</v>
      </c>
      <c r="AB59" s="240">
        <v>2023</v>
      </c>
      <c r="AC59" s="240">
        <v>2024</v>
      </c>
      <c r="AD59" s="240">
        <v>2025</v>
      </c>
      <c r="AE59" s="240">
        <v>2026</v>
      </c>
      <c r="AF59" s="240">
        <v>2027</v>
      </c>
      <c r="AG59" s="240">
        <v>2028</v>
      </c>
      <c r="AH59" s="240">
        <v>2029</v>
      </c>
      <c r="AI59" s="240">
        <v>2030</v>
      </c>
    </row>
    <row r="60" spans="2:35">
      <c r="B60" s="248" t="s">
        <v>171</v>
      </c>
      <c r="C60" s="241"/>
      <c r="D60" s="241"/>
      <c r="E60" s="241"/>
      <c r="F60" s="242"/>
      <c r="G60" s="242"/>
      <c r="H60" s="241"/>
      <c r="I60" s="241"/>
      <c r="J60" s="241"/>
      <c r="K60" s="241"/>
      <c r="L60" s="244"/>
      <c r="M60" s="244"/>
      <c r="N60" s="244"/>
      <c r="O60" s="244"/>
      <c r="P60" s="594">
        <f>+'Model also  old'!B18</f>
        <v>1963</v>
      </c>
      <c r="Q60" s="594">
        <f>+'Model also  old'!C18</f>
        <v>1856</v>
      </c>
      <c r="R60" s="244">
        <f>Fixed!C34</f>
        <v>1749</v>
      </c>
      <c r="S60" s="244">
        <f>Fixed!D34</f>
        <v>1697.4514740094269</v>
      </c>
      <c r="T60" s="244">
        <f>Fixed!E34</f>
        <v>3604.8150000000001</v>
      </c>
      <c r="U60" s="244">
        <f>Fixed!F34</f>
        <v>3608</v>
      </c>
      <c r="V60" s="244">
        <f>Fixed!G34</f>
        <v>3592</v>
      </c>
      <c r="W60" s="244">
        <f>Fixed!H34</f>
        <v>3336.7130000000002</v>
      </c>
      <c r="X60" s="244">
        <f>Fixed!I34</f>
        <v>3379.4270000000001</v>
      </c>
      <c r="Y60" s="244">
        <f>Fixed!J34</f>
        <v>3334.1379999999999</v>
      </c>
      <c r="Z60" s="244">
        <f>Fixed!K34</f>
        <v>3269</v>
      </c>
      <c r="AA60" s="244">
        <f>Fixed!L34</f>
        <v>3164.877</v>
      </c>
      <c r="AB60" s="244">
        <f>Fixed!M34</f>
        <v>3097</v>
      </c>
      <c r="AC60" s="244">
        <f>Fixed!N34</f>
        <v>2966.7550000000001</v>
      </c>
      <c r="AD60" s="244">
        <f>Fixed!O34</f>
        <v>2936.7550000000001</v>
      </c>
      <c r="AE60" s="243"/>
      <c r="AF60" s="243"/>
      <c r="AG60" s="243"/>
      <c r="AH60" s="243"/>
      <c r="AI60" s="243"/>
    </row>
    <row r="61" spans="2:35">
      <c r="B61" s="249" t="s">
        <v>794</v>
      </c>
      <c r="C61" s="241"/>
      <c r="D61" s="241"/>
      <c r="E61" s="241"/>
      <c r="F61" s="250"/>
      <c r="G61" s="250"/>
      <c r="H61" s="250"/>
      <c r="I61" s="250"/>
      <c r="J61" s="250"/>
      <c r="K61" s="250"/>
      <c r="L61" s="251"/>
      <c r="M61" s="251"/>
      <c r="N61" s="251"/>
      <c r="O61" s="251"/>
      <c r="P61" s="597">
        <f>+'Model also  old'!B30</f>
        <v>11.6</v>
      </c>
      <c r="Q61" s="597">
        <f>+'Model also  old'!C30</f>
        <v>12.4</v>
      </c>
      <c r="R61" s="251">
        <f>Fixed!C149</f>
        <v>13.175993329082313</v>
      </c>
      <c r="S61" s="251">
        <f>Fixed!D149</f>
        <v>13.91206058787386</v>
      </c>
      <c r="T61" s="251">
        <f>Fixed!E149</f>
        <v>14.894551276655523</v>
      </c>
      <c r="U61" s="251">
        <f>Fixed!F149</f>
        <v>16.399999999999999</v>
      </c>
      <c r="V61" s="251">
        <f>Fixed!G149</f>
        <v>17.399999999999999</v>
      </c>
      <c r="W61" s="251">
        <f>Fixed!H149</f>
        <v>17.809211571098999</v>
      </c>
      <c r="X61" s="251">
        <f>Fixed!I149</f>
        <v>18.048956625210312</v>
      </c>
      <c r="Y61" s="251">
        <f>Fixed!J149</f>
        <v>17.768507903520447</v>
      </c>
      <c r="Z61" s="251">
        <f>Fixed!K149</f>
        <v>17.5</v>
      </c>
      <c r="AA61" s="251">
        <f>Fixed!L149</f>
        <v>17.7</v>
      </c>
      <c r="AB61" s="251">
        <f>Fixed!M149</f>
        <v>18.247097654515112</v>
      </c>
      <c r="AC61" s="251">
        <f ca="1">Fixed!N149</f>
        <v>21.82830040279859</v>
      </c>
      <c r="AD61" s="251">
        <f ca="1">Fixed!O149</f>
        <v>25.807971942911575</v>
      </c>
      <c r="AE61" s="243"/>
      <c r="AF61" s="243"/>
      <c r="AG61" s="243"/>
      <c r="AH61" s="243"/>
      <c r="AI61" s="243"/>
    </row>
    <row r="62" spans="2:35">
      <c r="B62" s="248" t="s">
        <v>570</v>
      </c>
      <c r="C62" s="241"/>
      <c r="D62" s="241"/>
      <c r="E62" s="241"/>
      <c r="F62" s="250"/>
      <c r="G62" s="250"/>
      <c r="H62" s="252"/>
      <c r="I62" s="252"/>
      <c r="J62" s="252"/>
      <c r="K62" s="252"/>
      <c r="L62" s="253"/>
      <c r="M62" s="253"/>
      <c r="N62" s="253"/>
      <c r="O62" s="253"/>
      <c r="P62" s="598">
        <f>+'Model also  old'!B21</f>
        <v>1447</v>
      </c>
      <c r="Q62" s="598">
        <f>+'Model also  old'!C21</f>
        <v>1353</v>
      </c>
      <c r="R62" s="253">
        <f>Fixed!C54</f>
        <v>1302</v>
      </c>
      <c r="S62" s="253">
        <f>Fixed!D54</f>
        <v>1282.3218599999998</v>
      </c>
      <c r="T62" s="253">
        <f>Fixed!E54</f>
        <v>2435.3780000000002</v>
      </c>
      <c r="U62" s="253">
        <f>Fixed!F54</f>
        <v>2416</v>
      </c>
      <c r="V62" s="253">
        <f>Fixed!G54</f>
        <v>2373</v>
      </c>
      <c r="W62" s="253">
        <f>Fixed!H54</f>
        <v>2292.0929999999998</v>
      </c>
      <c r="X62" s="253">
        <f>Fixed!I54</f>
        <v>2268.3629999999998</v>
      </c>
      <c r="Y62" s="253">
        <f>Fixed!J54</f>
        <v>2225.9465</v>
      </c>
      <c r="Z62" s="253">
        <f>Fixed!K54</f>
        <v>2141.6855</v>
      </c>
      <c r="AA62" s="253">
        <f>Fixed!L54</f>
        <v>2034.6155000000001</v>
      </c>
      <c r="AB62" s="253">
        <f>Fixed!M54</f>
        <v>1948</v>
      </c>
      <c r="AC62" s="253">
        <f>Fixed!N54</f>
        <v>1364.7073</v>
      </c>
      <c r="AD62" s="253">
        <f>Fixed!O54</f>
        <v>1439.0099500000001</v>
      </c>
      <c r="AE62" s="243"/>
      <c r="AF62" s="243"/>
      <c r="AG62" s="243"/>
      <c r="AH62" s="243"/>
      <c r="AI62" s="243"/>
    </row>
    <row r="63" spans="2:35">
      <c r="B63" s="248" t="s">
        <v>33</v>
      </c>
      <c r="C63" s="241"/>
      <c r="D63" s="241"/>
      <c r="E63" s="241"/>
      <c r="F63" s="242"/>
      <c r="G63" s="242"/>
      <c r="H63" s="241"/>
      <c r="I63" s="241"/>
      <c r="J63" s="241"/>
      <c r="K63" s="241"/>
      <c r="L63" s="244"/>
      <c r="M63" s="244"/>
      <c r="N63" s="244"/>
      <c r="O63" s="244"/>
      <c r="P63" s="594">
        <f>+'Model also  old'!B23+'Model also  old'!B25+'Model also  old'!B26</f>
        <v>1740</v>
      </c>
      <c r="Q63" s="594">
        <f>+'Model also  old'!C23+'Model also  old'!C25+'Model also  old'!C26</f>
        <v>1663</v>
      </c>
      <c r="R63" s="244">
        <f>Fixed!C74</f>
        <v>1996</v>
      </c>
      <c r="S63" s="244">
        <f>Fixed!D74</f>
        <v>2045.0853987866185</v>
      </c>
      <c r="T63" s="244">
        <f>Fixed!E74</f>
        <v>4235.9980849426211</v>
      </c>
      <c r="U63" s="244">
        <f>Fixed!F74</f>
        <v>4398</v>
      </c>
      <c r="V63" s="244">
        <f>Fixed!G74</f>
        <v>4508</v>
      </c>
      <c r="W63" s="244">
        <f>Fixed!H74</f>
        <v>4407.1059999999998</v>
      </c>
      <c r="X63" s="244">
        <f>Fixed!I74</f>
        <v>4361.7489267797991</v>
      </c>
      <c r="Y63" s="244">
        <f>Fixed!J74</f>
        <v>4320.5180005000002</v>
      </c>
      <c r="Z63" s="244">
        <f>Fixed!K74</f>
        <v>4285</v>
      </c>
      <c r="AA63" s="244">
        <f ca="1">Fixed!L74</f>
        <v>4191</v>
      </c>
      <c r="AB63" s="244">
        <f ca="1">Fixed!M74</f>
        <v>4264</v>
      </c>
      <c r="AC63" s="244">
        <f ca="1">Fixed!N74</f>
        <v>3795.0599922356851</v>
      </c>
      <c r="AD63" s="244">
        <f ca="1">Fixed!O74</f>
        <v>4070.6834899796959</v>
      </c>
      <c r="AE63" s="243"/>
      <c r="AF63" s="243"/>
      <c r="AG63" s="243"/>
      <c r="AH63" s="243"/>
      <c r="AI63" s="243"/>
    </row>
    <row r="64" spans="2:35">
      <c r="B64" s="248" t="s">
        <v>795</v>
      </c>
      <c r="C64" s="241"/>
      <c r="D64" s="241"/>
      <c r="E64" s="241"/>
      <c r="F64" s="242"/>
      <c r="G64" s="242"/>
      <c r="H64" s="241"/>
      <c r="I64" s="241"/>
      <c r="J64" s="241"/>
      <c r="K64" s="241"/>
      <c r="L64" s="244"/>
      <c r="M64" s="244"/>
      <c r="N64" s="244"/>
      <c r="O64" s="244"/>
      <c r="P64" s="594">
        <f>+'Model also  old'!B23</f>
        <v>1538</v>
      </c>
      <c r="Q64" s="594">
        <f>+'Model also  old'!C23</f>
        <v>1416</v>
      </c>
      <c r="R64" s="244">
        <f>Fixed!C67</f>
        <v>1338</v>
      </c>
      <c r="S64" s="244">
        <f>Fixed!D67</f>
        <v>1310.5260000000001</v>
      </c>
      <c r="T64" s="244">
        <f>Fixed!E67</f>
        <v>2458.1689997225999</v>
      </c>
      <c r="U64" s="244">
        <f>Fixed!F67</f>
        <v>2434</v>
      </c>
      <c r="V64" s="244">
        <f>Fixed!G67</f>
        <v>2367</v>
      </c>
      <c r="W64" s="244">
        <f>Fixed!H67</f>
        <v>2261.88</v>
      </c>
      <c r="X64" s="244">
        <f>Fixed!I67</f>
        <v>2218.0740000000001</v>
      </c>
      <c r="Y64" s="244">
        <f>Fixed!J67</f>
        <v>2137.2359999999999</v>
      </c>
      <c r="Z64" s="244">
        <f>Fixed!K67</f>
        <v>2034</v>
      </c>
      <c r="AA64" s="244">
        <f ca="1">Fixed!L67</f>
        <v>1902</v>
      </c>
      <c r="AB64" s="244">
        <f>Fixed!M67</f>
        <v>1790</v>
      </c>
      <c r="AC64" s="244">
        <f>Fixed!N67</f>
        <v>1171.8682250000002</v>
      </c>
      <c r="AD64" s="244">
        <f>Fixed!O67</f>
        <v>1204.0695499999999</v>
      </c>
      <c r="AE64" s="243"/>
      <c r="AF64" s="243"/>
      <c r="AG64" s="243"/>
      <c r="AH64" s="243"/>
      <c r="AI64" s="243"/>
    </row>
    <row r="65" spans="2:35">
      <c r="B65" s="248" t="s">
        <v>854</v>
      </c>
      <c r="C65" s="254"/>
      <c r="D65" s="254"/>
      <c r="E65" s="241"/>
      <c r="F65" s="242"/>
      <c r="G65" s="242"/>
      <c r="H65" s="241"/>
      <c r="I65" s="241"/>
      <c r="J65" s="241"/>
      <c r="K65" s="241"/>
      <c r="L65" s="244"/>
      <c r="M65" s="244"/>
      <c r="N65" s="244"/>
      <c r="O65" s="244"/>
      <c r="P65" s="594">
        <f>+'Model also  old'!B24</f>
        <v>142</v>
      </c>
      <c r="Q65" s="594">
        <f>+'Model also  old'!C24</f>
        <v>153</v>
      </c>
      <c r="R65" s="244">
        <f>Fixed!C68</f>
        <v>164</v>
      </c>
      <c r="S65" s="244">
        <f>Fixed!D68</f>
        <v>160.58839878661843</v>
      </c>
      <c r="T65" s="244">
        <f>Fixed!E68</f>
        <v>426.47508522002079</v>
      </c>
      <c r="U65" s="244">
        <f>Fixed!F68</f>
        <v>429</v>
      </c>
      <c r="V65" s="244">
        <f>Fixed!G68</f>
        <v>430</v>
      </c>
      <c r="W65" s="244">
        <f>Fixed!H68</f>
        <v>558.178</v>
      </c>
      <c r="X65" s="244">
        <f>Fixed!I68</f>
        <v>543.31299999999999</v>
      </c>
      <c r="Y65" s="244">
        <f>Fixed!J68</f>
        <v>540.64800029999992</v>
      </c>
      <c r="Z65" s="244">
        <f>Fixed!K68</f>
        <v>539</v>
      </c>
      <c r="AA65" s="244">
        <f ca="1">Fixed!L68</f>
        <v>496</v>
      </c>
      <c r="AB65" s="244">
        <f>Fixed!M68</f>
        <v>506</v>
      </c>
      <c r="AC65" s="244">
        <f>Fixed!N68</f>
        <v>512.90511780796101</v>
      </c>
      <c r="AD65" s="244">
        <f>Fixed!O68</f>
        <v>551.08043510474863</v>
      </c>
      <c r="AE65" s="243"/>
      <c r="AF65" s="243"/>
      <c r="AG65" s="243"/>
      <c r="AH65" s="243"/>
      <c r="AI65" s="243"/>
    </row>
    <row r="66" spans="2:35">
      <c r="B66" s="248" t="s">
        <v>796</v>
      </c>
      <c r="C66" s="241"/>
      <c r="D66" s="241"/>
      <c r="E66" s="241"/>
      <c r="F66" s="242"/>
      <c r="G66" s="242"/>
      <c r="H66" s="241"/>
      <c r="I66" s="241"/>
      <c r="J66" s="241"/>
      <c r="K66" s="241"/>
      <c r="L66" s="244"/>
      <c r="M66" s="244"/>
      <c r="N66" s="244"/>
      <c r="O66" s="244"/>
      <c r="P66" s="594">
        <f>+'Model also  old'!B25</f>
        <v>115</v>
      </c>
      <c r="Q66" s="594">
        <f>+'Model also  old'!C25</f>
        <v>135</v>
      </c>
      <c r="R66" s="244">
        <f>Fixed!C72</f>
        <v>174</v>
      </c>
      <c r="S66" s="244">
        <f>Fixed!D72</f>
        <v>202.00899999999999</v>
      </c>
      <c r="T66" s="244">
        <f>Fixed!E72</f>
        <v>462.16800000000001</v>
      </c>
      <c r="U66" s="244">
        <f>Fixed!F72</f>
        <v>520</v>
      </c>
      <c r="V66" s="244">
        <f>Fixed!G72</f>
        <v>578</v>
      </c>
      <c r="W66" s="244">
        <f>Fixed!H72</f>
        <v>573.98599999999999</v>
      </c>
      <c r="X66" s="244">
        <f>Fixed!I72</f>
        <v>584.0044633898998</v>
      </c>
      <c r="Y66" s="244">
        <f>Fixed!J72</f>
        <v>601.65100010000003</v>
      </c>
      <c r="Z66" s="244">
        <f>Fixed!K72</f>
        <v>629</v>
      </c>
      <c r="AA66" s="244">
        <f ca="1">Fixed!L72</f>
        <v>659</v>
      </c>
      <c r="AB66" s="244">
        <f>Fixed!M72</f>
        <v>718</v>
      </c>
      <c r="AC66" s="244">
        <f ca="1">Fixed!N72</f>
        <v>751.20313183552355</v>
      </c>
      <c r="AD66" s="244">
        <f ca="1">Fixed!O72</f>
        <v>828.65896311996619</v>
      </c>
      <c r="AE66" s="243"/>
      <c r="AF66" s="243"/>
      <c r="AG66" s="243"/>
      <c r="AH66" s="243"/>
      <c r="AI66" s="243"/>
    </row>
    <row r="67" spans="2:35">
      <c r="B67" s="238" t="s">
        <v>797</v>
      </c>
      <c r="C67" s="241"/>
      <c r="D67" s="241"/>
      <c r="E67" s="241"/>
      <c r="F67" s="241"/>
      <c r="G67" s="241"/>
      <c r="H67" s="241"/>
      <c r="I67" s="241"/>
      <c r="J67" s="241"/>
      <c r="K67" s="241"/>
      <c r="L67" s="244"/>
      <c r="M67" s="244"/>
      <c r="N67" s="244"/>
      <c r="O67" s="244"/>
      <c r="P67" s="594">
        <f>+'Model also  old'!B26</f>
        <v>87</v>
      </c>
      <c r="Q67" s="594">
        <f>+'Model also  old'!C26</f>
        <v>112</v>
      </c>
      <c r="R67" s="244">
        <f>Fixed!C73</f>
        <v>146</v>
      </c>
      <c r="S67" s="244">
        <f>Fixed!D73</f>
        <v>169.953</v>
      </c>
      <c r="T67" s="244">
        <f>Fixed!E73</f>
        <v>427.01799999999997</v>
      </c>
      <c r="U67" s="244">
        <f>Fixed!F73</f>
        <v>495</v>
      </c>
      <c r="V67" s="244">
        <f>Fixed!G73</f>
        <v>555</v>
      </c>
      <c r="W67" s="244">
        <f>Fixed!H73</f>
        <v>439.07600000000002</v>
      </c>
      <c r="X67" s="244">
        <f>Fixed!I73</f>
        <v>432.35300000000001</v>
      </c>
      <c r="Y67" s="244">
        <f>Fixed!J73</f>
        <v>439.33199999999999</v>
      </c>
      <c r="Z67" s="244">
        <f>Fixed!K73</f>
        <v>454</v>
      </c>
      <c r="AA67" s="244">
        <f ca="1">Fixed!L73</f>
        <v>475</v>
      </c>
      <c r="AB67" s="244">
        <f>Fixed!M73</f>
        <v>532</v>
      </c>
      <c r="AC67" s="244">
        <f>Fixed!N73</f>
        <v>607.88038575667656</v>
      </c>
      <c r="AD67" s="244">
        <f>Fixed!O73</f>
        <v>658.21557863501482</v>
      </c>
      <c r="AE67" s="243"/>
      <c r="AF67" s="243"/>
      <c r="AG67" s="243"/>
      <c r="AH67" s="243"/>
      <c r="AI67" s="243"/>
    </row>
    <row r="68" spans="2:35">
      <c r="B68" s="238" t="s">
        <v>798</v>
      </c>
      <c r="C68" s="241"/>
      <c r="D68" s="241"/>
      <c r="E68" s="241"/>
      <c r="F68" s="241"/>
      <c r="G68" s="241"/>
      <c r="H68" s="241"/>
      <c r="I68" s="241"/>
      <c r="J68" s="241"/>
      <c r="K68" s="241"/>
      <c r="L68" s="244"/>
      <c r="M68" s="244"/>
      <c r="N68" s="244"/>
      <c r="O68" s="244"/>
      <c r="P68" s="594"/>
      <c r="Q68" s="594"/>
      <c r="R68" s="244"/>
      <c r="S68" s="244"/>
      <c r="T68" s="244"/>
      <c r="U68" s="244"/>
      <c r="V68" s="244"/>
      <c r="W68" s="244"/>
      <c r="X68" s="244"/>
      <c r="Y68" s="244"/>
      <c r="Z68" s="244"/>
      <c r="AA68" s="244"/>
      <c r="AB68" s="244"/>
      <c r="AC68" s="244"/>
      <c r="AD68" s="244"/>
      <c r="AE68" s="243"/>
      <c r="AF68" s="243"/>
      <c r="AG68" s="243"/>
      <c r="AH68" s="243"/>
      <c r="AI68" s="243"/>
    </row>
    <row r="69" spans="2:35">
      <c r="B69" s="238"/>
      <c r="C69" s="241"/>
      <c r="D69" s="241"/>
      <c r="E69" s="241"/>
      <c r="F69" s="241"/>
      <c r="G69" s="241"/>
      <c r="H69" s="241"/>
      <c r="I69" s="241"/>
      <c r="J69" s="241"/>
      <c r="K69" s="241"/>
      <c r="L69" s="241"/>
      <c r="M69" s="241"/>
      <c r="N69" s="241"/>
      <c r="O69" s="241"/>
      <c r="P69" s="241"/>
      <c r="Q69" s="241"/>
      <c r="R69" s="243"/>
      <c r="S69" s="243"/>
      <c r="T69" s="243"/>
      <c r="U69" s="243"/>
      <c r="V69" s="243"/>
      <c r="W69" s="243"/>
      <c r="X69" s="243"/>
      <c r="Y69" s="243"/>
      <c r="Z69" s="243"/>
      <c r="AA69" s="243"/>
      <c r="AB69" s="243"/>
      <c r="AC69" s="243"/>
      <c r="AD69" s="243"/>
      <c r="AE69" s="243"/>
      <c r="AF69" s="243"/>
      <c r="AG69" s="243"/>
      <c r="AH69" s="243"/>
      <c r="AI69" s="243"/>
    </row>
    <row r="70" spans="2:35">
      <c r="B70" s="238"/>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c r="AA70" s="238"/>
      <c r="AB70" s="238"/>
      <c r="AC70" s="238"/>
      <c r="AD70" s="238"/>
      <c r="AE70" s="238"/>
      <c r="AF70" s="238"/>
      <c r="AG70" s="238"/>
      <c r="AH70" s="238"/>
      <c r="AI70" s="238"/>
    </row>
    <row r="71" spans="2:35">
      <c r="B71" s="240" t="s">
        <v>799</v>
      </c>
      <c r="C71" s="240">
        <v>1998</v>
      </c>
      <c r="D71" s="240">
        <v>1999</v>
      </c>
      <c r="E71" s="240">
        <v>2000</v>
      </c>
      <c r="F71" s="240">
        <v>2001</v>
      </c>
      <c r="G71" s="240">
        <v>2002</v>
      </c>
      <c r="H71" s="240">
        <v>2003</v>
      </c>
      <c r="I71" s="240">
        <v>2004</v>
      </c>
      <c r="J71" s="240">
        <v>2005</v>
      </c>
      <c r="K71" s="240">
        <v>2006</v>
      </c>
      <c r="L71" s="240">
        <v>2007</v>
      </c>
      <c r="M71" s="240">
        <v>2008</v>
      </c>
      <c r="N71" s="240">
        <v>2009</v>
      </c>
      <c r="O71" s="240">
        <v>2010</v>
      </c>
      <c r="P71" s="240">
        <v>2011</v>
      </c>
      <c r="Q71" s="240">
        <v>2012</v>
      </c>
      <c r="R71" s="240">
        <v>2013</v>
      </c>
      <c r="S71" s="240">
        <v>2014</v>
      </c>
      <c r="T71" s="240">
        <v>2015</v>
      </c>
      <c r="U71" s="240">
        <v>2016</v>
      </c>
      <c r="V71" s="240">
        <v>2017</v>
      </c>
      <c r="W71" s="240">
        <v>2018</v>
      </c>
      <c r="X71" s="240">
        <v>2019</v>
      </c>
      <c r="Y71" s="240">
        <v>2020</v>
      </c>
      <c r="Z71" s="240">
        <v>2021</v>
      </c>
      <c r="AA71" s="240">
        <v>2022</v>
      </c>
      <c r="AB71" s="240">
        <v>2023</v>
      </c>
      <c r="AC71" s="240">
        <v>2024</v>
      </c>
      <c r="AD71" s="240">
        <v>2025</v>
      </c>
      <c r="AE71" s="240">
        <v>2026</v>
      </c>
      <c r="AF71" s="240">
        <v>2027</v>
      </c>
      <c r="AG71" s="240">
        <v>2028</v>
      </c>
      <c r="AH71" s="240">
        <v>2029</v>
      </c>
      <c r="AI71" s="240">
        <v>2030</v>
      </c>
    </row>
    <row r="72" spans="2:35">
      <c r="B72" s="255" t="s">
        <v>800</v>
      </c>
      <c r="C72" s="241"/>
      <c r="D72" s="241"/>
      <c r="E72" s="241"/>
      <c r="F72" s="256"/>
      <c r="G72" s="256"/>
      <c r="H72" s="256"/>
      <c r="I72" s="256"/>
      <c r="J72" s="256"/>
      <c r="K72" s="256"/>
      <c r="L72" s="256"/>
      <c r="M72" s="256"/>
      <c r="N72" s="256"/>
      <c r="O72" s="256"/>
      <c r="P72" s="599">
        <f>+P75</f>
        <v>655</v>
      </c>
      <c r="Q72" s="599">
        <f t="shared" ref="Q72:AC72" si="2">+Q75</f>
        <v>658</v>
      </c>
      <c r="R72" s="256">
        <f t="shared" si="2"/>
        <v>621.60699999999997</v>
      </c>
      <c r="S72" s="256">
        <f t="shared" si="2"/>
        <v>643.173</v>
      </c>
      <c r="T72" s="256">
        <f t="shared" si="2"/>
        <v>1270.7881369500001</v>
      </c>
      <c r="U72" s="256">
        <f t="shared" si="2"/>
        <v>1260.7</v>
      </c>
      <c r="V72" s="256">
        <f t="shared" si="2"/>
        <v>1341.1000000000001</v>
      </c>
      <c r="W72" s="256">
        <f t="shared" si="2"/>
        <v>1415.87368335</v>
      </c>
      <c r="X72" s="256">
        <f t="shared" si="2"/>
        <v>1432.1749312300001</v>
      </c>
      <c r="Y72" s="256">
        <f t="shared" si="2"/>
        <v>1414.91032275</v>
      </c>
      <c r="Z72" s="256">
        <f t="shared" si="2"/>
        <v>1002.9197465220001</v>
      </c>
      <c r="AA72" s="256">
        <f t="shared" si="2"/>
        <v>1031.8268100645</v>
      </c>
      <c r="AB72" s="256">
        <f t="shared" si="2"/>
        <v>1182.4970605779999</v>
      </c>
      <c r="AC72" s="256">
        <f t="shared" ca="1" si="2"/>
        <v>1174.1871765042956</v>
      </c>
      <c r="AD72" s="256">
        <f ca="1">+AD75</f>
        <v>1206.9168754639954</v>
      </c>
      <c r="AE72" s="241"/>
      <c r="AF72" s="241"/>
      <c r="AG72" s="241"/>
      <c r="AH72" s="241"/>
      <c r="AI72" s="241"/>
    </row>
    <row r="73" spans="2:35">
      <c r="B73" s="255" t="s">
        <v>801</v>
      </c>
      <c r="C73" s="241"/>
      <c r="D73" s="241"/>
      <c r="E73" s="241"/>
      <c r="F73" s="256"/>
      <c r="G73" s="256"/>
      <c r="H73" s="256"/>
      <c r="I73" s="256"/>
      <c r="J73" s="256"/>
      <c r="K73" s="256"/>
      <c r="L73" s="256"/>
      <c r="M73" s="256"/>
      <c r="N73" s="256"/>
      <c r="O73" s="256"/>
      <c r="P73" s="599">
        <v>0</v>
      </c>
      <c r="Q73" s="599">
        <v>0</v>
      </c>
      <c r="R73" s="256">
        <v>0</v>
      </c>
      <c r="S73" s="256">
        <v>0</v>
      </c>
      <c r="T73" s="256">
        <v>0</v>
      </c>
      <c r="U73" s="256">
        <v>0</v>
      </c>
      <c r="V73" s="256">
        <v>0</v>
      </c>
      <c r="W73" s="256">
        <v>0</v>
      </c>
      <c r="X73" s="256">
        <v>0</v>
      </c>
      <c r="Y73" s="256">
        <v>0</v>
      </c>
      <c r="Z73" s="256">
        <v>0</v>
      </c>
      <c r="AA73" s="256">
        <v>0</v>
      </c>
      <c r="AB73" s="256">
        <v>0</v>
      </c>
      <c r="AC73" s="256">
        <v>0</v>
      </c>
      <c r="AD73" s="256">
        <v>0</v>
      </c>
      <c r="AE73" s="241"/>
      <c r="AF73" s="241"/>
      <c r="AG73" s="241"/>
      <c r="AH73" s="241"/>
      <c r="AI73" s="241"/>
    </row>
    <row r="74" spans="2:35">
      <c r="B74" s="255" t="s">
        <v>802</v>
      </c>
      <c r="C74" s="241"/>
      <c r="D74" s="241"/>
      <c r="E74" s="241"/>
      <c r="F74" s="256"/>
      <c r="G74" s="256"/>
      <c r="H74" s="256"/>
      <c r="I74" s="256"/>
      <c r="J74" s="256"/>
      <c r="K74" s="256"/>
      <c r="L74" s="256"/>
      <c r="M74" s="256"/>
      <c r="N74" s="256"/>
      <c r="O74" s="256"/>
      <c r="P74" s="599">
        <v>0</v>
      </c>
      <c r="Q74" s="599">
        <v>0</v>
      </c>
      <c r="R74" s="256">
        <v>0</v>
      </c>
      <c r="S74" s="256">
        <v>0</v>
      </c>
      <c r="T74" s="256">
        <v>0</v>
      </c>
      <c r="U74" s="256">
        <v>0</v>
      </c>
      <c r="V74" s="256">
        <v>0</v>
      </c>
      <c r="W74" s="256">
        <v>0</v>
      </c>
      <c r="X74" s="256">
        <v>0</v>
      </c>
      <c r="Y74" s="256">
        <v>0</v>
      </c>
      <c r="Z74" s="256">
        <v>0</v>
      </c>
      <c r="AA74" s="256">
        <v>0</v>
      </c>
      <c r="AB74" s="256">
        <v>0</v>
      </c>
      <c r="AC74" s="256">
        <v>0</v>
      </c>
      <c r="AD74" s="256">
        <v>0</v>
      </c>
      <c r="AE74" s="241"/>
      <c r="AF74" s="241"/>
      <c r="AG74" s="241"/>
      <c r="AH74" s="241"/>
      <c r="AI74" s="241"/>
    </row>
    <row r="75" spans="2:35">
      <c r="B75" s="255" t="s">
        <v>803</v>
      </c>
      <c r="C75" s="241"/>
      <c r="D75" s="241"/>
      <c r="E75" s="241"/>
      <c r="F75" s="256"/>
      <c r="G75" s="256"/>
      <c r="H75" s="256"/>
      <c r="I75" s="256"/>
      <c r="J75" s="256"/>
      <c r="K75" s="256"/>
      <c r="L75" s="256"/>
      <c r="M75" s="256"/>
      <c r="N75" s="256"/>
      <c r="O75" s="256"/>
      <c r="P75" s="599">
        <f>+'Model also  old'!B262</f>
        <v>655</v>
      </c>
      <c r="Q75" s="599">
        <f>+'Model also  old'!C262</f>
        <v>658</v>
      </c>
      <c r="R75" s="256">
        <f>Model!C222</f>
        <v>621.60699999999997</v>
      </c>
      <c r="S75" s="256">
        <f>Model!D222</f>
        <v>643.173</v>
      </c>
      <c r="T75" s="256">
        <f>Model!E222</f>
        <v>1270.7881369500001</v>
      </c>
      <c r="U75" s="256">
        <f>Model!F222</f>
        <v>1260.7</v>
      </c>
      <c r="V75" s="256">
        <f>Model!G222</f>
        <v>1341.1000000000001</v>
      </c>
      <c r="W75" s="256">
        <f>Model!H222</f>
        <v>1415.87368335</v>
      </c>
      <c r="X75" s="256">
        <f>Model!I222</f>
        <v>1432.1749312300001</v>
      </c>
      <c r="Y75" s="256">
        <f>Model!J222</f>
        <v>1414.91032275</v>
      </c>
      <c r="Z75" s="256">
        <f>Model!K222</f>
        <v>1002.9197465220001</v>
      </c>
      <c r="AA75" s="256">
        <f>Model!L222</f>
        <v>1031.8268100645</v>
      </c>
      <c r="AB75" s="256">
        <f>Model!M222</f>
        <v>1182.4970605779999</v>
      </c>
      <c r="AC75" s="256">
        <f ca="1">Model!N222</f>
        <v>1174.1871765042956</v>
      </c>
      <c r="AD75" s="256">
        <f ca="1">Model!O222</f>
        <v>1206.9168754639954</v>
      </c>
      <c r="AE75" s="241"/>
      <c r="AF75" s="241"/>
      <c r="AG75" s="241"/>
      <c r="AH75" s="241"/>
      <c r="AI75" s="241"/>
    </row>
    <row r="76" spans="2:35">
      <c r="B76" s="255" t="s">
        <v>804</v>
      </c>
      <c r="C76" s="241"/>
      <c r="D76" s="241"/>
      <c r="E76" s="241"/>
      <c r="F76" s="256"/>
      <c r="G76" s="256"/>
      <c r="H76" s="256"/>
      <c r="I76" s="256"/>
      <c r="J76" s="256"/>
      <c r="K76" s="256"/>
      <c r="L76" s="256"/>
      <c r="M76" s="256"/>
      <c r="N76" s="256"/>
      <c r="O76" s="256"/>
      <c r="P76" s="599">
        <f>+'Model also  old'!B257</f>
        <v>45.6</v>
      </c>
      <c r="Q76" s="599">
        <f>+'Model also  old'!C257</f>
        <v>22</v>
      </c>
      <c r="R76" s="256">
        <f>Model!C224</f>
        <v>70.5</v>
      </c>
      <c r="S76" s="256">
        <f>Model!D224</f>
        <v>24.440999999999999</v>
      </c>
      <c r="T76" s="256">
        <f>Model!E224</f>
        <v>85.177880950000002</v>
      </c>
      <c r="U76" s="256">
        <f>Model!F224</f>
        <v>55.2</v>
      </c>
      <c r="V76" s="256">
        <f>Model!G224</f>
        <v>31.8</v>
      </c>
      <c r="W76" s="256">
        <f>Model!H224</f>
        <v>26.287507739999999</v>
      </c>
      <c r="X76" s="256">
        <f>Model!I224</f>
        <v>10.128077169999999</v>
      </c>
      <c r="Y76" s="256">
        <f>Model!J224</f>
        <v>14.399999999999999</v>
      </c>
      <c r="Z76" s="256">
        <f>Model!K224</f>
        <v>18.513746521999998</v>
      </c>
      <c r="AA76" s="256">
        <f>Model!L224</f>
        <v>22.326810064500002</v>
      </c>
      <c r="AB76" s="256">
        <f>Model!M224</f>
        <v>22.603060578000001</v>
      </c>
      <c r="AC76" s="256">
        <f ca="1">Model!N224</f>
        <v>21.693231027283154</v>
      </c>
      <c r="AD76" s="256">
        <f ca="1">Model!O224</f>
        <v>21.707476837157163</v>
      </c>
      <c r="AE76" s="241"/>
      <c r="AF76" s="241"/>
      <c r="AG76" s="241"/>
      <c r="AH76" s="241"/>
      <c r="AI76" s="241"/>
    </row>
    <row r="77" spans="2:35">
      <c r="B77" s="255" t="s">
        <v>160</v>
      </c>
      <c r="C77" s="241"/>
      <c r="D77" s="241"/>
      <c r="E77" s="241"/>
      <c r="F77" s="256"/>
      <c r="G77" s="256"/>
      <c r="H77" s="256"/>
      <c r="I77" s="256"/>
      <c r="J77" s="256"/>
      <c r="K77" s="256"/>
      <c r="L77" s="256"/>
      <c r="M77" s="256"/>
      <c r="N77" s="256"/>
      <c r="O77" s="256"/>
      <c r="P77" s="599">
        <f>+P75-P76</f>
        <v>609.4</v>
      </c>
      <c r="Q77" s="599">
        <f t="shared" ref="Q77:AC77" si="3">+Q75-Q76</f>
        <v>636</v>
      </c>
      <c r="R77" s="256">
        <f t="shared" si="3"/>
        <v>551.10699999999997</v>
      </c>
      <c r="S77" s="256">
        <f t="shared" si="3"/>
        <v>618.73199999999997</v>
      </c>
      <c r="T77" s="256">
        <f t="shared" si="3"/>
        <v>1185.6102560000002</v>
      </c>
      <c r="U77" s="256">
        <f t="shared" si="3"/>
        <v>1205.5</v>
      </c>
      <c r="V77" s="256">
        <f t="shared" si="3"/>
        <v>1309.3000000000002</v>
      </c>
      <c r="W77" s="256">
        <f t="shared" si="3"/>
        <v>1389.5861756100001</v>
      </c>
      <c r="X77" s="256">
        <f t="shared" si="3"/>
        <v>1422.04685406</v>
      </c>
      <c r="Y77" s="256">
        <f t="shared" si="3"/>
        <v>1400.5103227499999</v>
      </c>
      <c r="Z77" s="256">
        <f t="shared" si="3"/>
        <v>984.40600000000006</v>
      </c>
      <c r="AA77" s="256">
        <f t="shared" si="3"/>
        <v>1009.5</v>
      </c>
      <c r="AB77" s="256">
        <f t="shared" si="3"/>
        <v>1159.894</v>
      </c>
      <c r="AC77" s="256">
        <f t="shared" ca="1" si="3"/>
        <v>1152.4939454770124</v>
      </c>
      <c r="AD77" s="256">
        <f ca="1">+AD75-AD76</f>
        <v>1185.2093986268383</v>
      </c>
      <c r="AE77" s="241"/>
      <c r="AF77" s="241"/>
      <c r="AG77" s="241"/>
      <c r="AH77" s="241"/>
      <c r="AI77" s="241"/>
    </row>
    <row r="78" spans="2:35">
      <c r="B78" s="255"/>
      <c r="C78" s="241"/>
      <c r="D78" s="241"/>
      <c r="E78" s="241"/>
      <c r="F78" s="256"/>
      <c r="G78" s="256"/>
      <c r="H78" s="256"/>
      <c r="I78" s="256"/>
      <c r="J78" s="256"/>
      <c r="K78" s="256"/>
      <c r="L78" s="256"/>
      <c r="M78" s="256"/>
      <c r="N78" s="256"/>
      <c r="O78" s="256"/>
      <c r="P78" s="599"/>
      <c r="Q78" s="599"/>
      <c r="R78" s="256"/>
      <c r="S78" s="256"/>
      <c r="T78" s="256"/>
      <c r="U78" s="256"/>
      <c r="V78" s="256"/>
      <c r="W78" s="256"/>
      <c r="X78" s="256"/>
      <c r="Y78" s="256"/>
      <c r="Z78" s="256"/>
      <c r="AA78" s="256"/>
      <c r="AB78" s="256"/>
      <c r="AC78" s="256"/>
      <c r="AD78" s="256"/>
      <c r="AE78" s="241"/>
      <c r="AF78" s="241"/>
      <c r="AG78" s="241"/>
      <c r="AH78" s="241"/>
      <c r="AI78" s="241"/>
    </row>
    <row r="79" spans="2:35">
      <c r="B79" s="255" t="s">
        <v>281</v>
      </c>
      <c r="C79" s="241"/>
      <c r="D79" s="241"/>
      <c r="E79" s="241"/>
      <c r="F79" s="256"/>
      <c r="G79" s="256"/>
      <c r="H79" s="256"/>
      <c r="I79" s="256"/>
      <c r="J79" s="256"/>
      <c r="K79" s="256"/>
      <c r="L79" s="256"/>
      <c r="M79" s="256"/>
      <c r="N79" s="256"/>
      <c r="O79" s="256"/>
      <c r="P79" s="599">
        <f>+P21</f>
        <v>78.400000000000006</v>
      </c>
      <c r="Q79" s="599">
        <f t="shared" ref="Q79:AC79" si="4">+Q21</f>
        <v>87.1</v>
      </c>
      <c r="R79" s="256">
        <f t="shared" si="4"/>
        <v>88.077000000000055</v>
      </c>
      <c r="S79" s="256">
        <f t="shared" si="4"/>
        <v>98.936668599896052</v>
      </c>
      <c r="T79" s="256">
        <f>+T21</f>
        <v>140.88094095</v>
      </c>
      <c r="U79" s="256">
        <f t="shared" si="4"/>
        <v>250.1</v>
      </c>
      <c r="V79" s="256">
        <f t="shared" si="4"/>
        <v>264.7</v>
      </c>
      <c r="W79" s="256">
        <f t="shared" si="4"/>
        <v>235.99661195000004</v>
      </c>
      <c r="X79" s="256">
        <f t="shared" si="4"/>
        <v>239.45407107999998</v>
      </c>
      <c r="Y79" s="256">
        <f t="shared" si="4"/>
        <v>242.18396066</v>
      </c>
      <c r="Z79" s="256">
        <f t="shared" si="4"/>
        <v>226.45299999999997</v>
      </c>
      <c r="AA79" s="256">
        <f t="shared" si="4"/>
        <v>181.58300000000003</v>
      </c>
      <c r="AB79" s="256">
        <f t="shared" ca="1" si="4"/>
        <v>190.85454653151407</v>
      </c>
      <c r="AC79" s="256">
        <f t="shared" ca="1" si="4"/>
        <v>184.97974954401991</v>
      </c>
      <c r="AD79" s="256">
        <f ca="1">+AD21</f>
        <v>192.26576222893047</v>
      </c>
      <c r="AE79" s="241"/>
      <c r="AF79" s="241"/>
      <c r="AG79" s="241"/>
      <c r="AH79" s="241"/>
      <c r="AI79" s="241"/>
    </row>
    <row r="80" spans="2:35">
      <c r="B80" s="255" t="s">
        <v>287</v>
      </c>
      <c r="C80" s="241"/>
      <c r="D80" s="241"/>
      <c r="E80" s="241"/>
      <c r="F80" s="256"/>
      <c r="G80" s="256"/>
      <c r="H80" s="256"/>
      <c r="I80" s="256"/>
      <c r="J80" s="256"/>
      <c r="K80" s="256"/>
      <c r="L80" s="256"/>
      <c r="M80" s="256"/>
      <c r="N80" s="256"/>
      <c r="O80" s="256"/>
      <c r="P80" s="599">
        <f>-'Model also  old'!B130</f>
        <v>34.9</v>
      </c>
      <c r="Q80" s="599">
        <f>-'Model also  old'!C130</f>
        <v>32.299999999999997</v>
      </c>
      <c r="R80" s="256">
        <f>-Model!C70</f>
        <v>28.321000000000002</v>
      </c>
      <c r="S80" s="256">
        <f>-Model!D70</f>
        <v>45.837435287806997</v>
      </c>
      <c r="T80" s="256">
        <f>-Model!E70</f>
        <v>46.057433880000005</v>
      </c>
      <c r="U80" s="256">
        <f>-Model!F70</f>
        <v>75.8</v>
      </c>
      <c r="V80" s="256">
        <f>-Model!G70</f>
        <v>57.6</v>
      </c>
      <c r="W80" s="256">
        <f>-Model!H70</f>
        <v>75.610099399999996</v>
      </c>
      <c r="X80" s="256">
        <f>-Model!I70</f>
        <v>62.576209759999998</v>
      </c>
      <c r="Y80" s="256">
        <f>-Model!J70</f>
        <v>47.2</v>
      </c>
      <c r="Z80" s="256">
        <f>-Model!K70</f>
        <v>82.3</v>
      </c>
      <c r="AA80" s="256">
        <f>-Model!L70</f>
        <v>58.9</v>
      </c>
      <c r="AB80" s="256">
        <f>-Model!M70</f>
        <v>47.825710110107565</v>
      </c>
      <c r="AC80" s="256">
        <f>-Model!N70</f>
        <v>53.612663818220199</v>
      </c>
      <c r="AD80" s="256">
        <f ca="1">-Model!O70</f>
        <v>53.29349719912706</v>
      </c>
      <c r="AE80" s="241"/>
      <c r="AF80" s="241"/>
      <c r="AG80" s="241"/>
      <c r="AH80" s="241"/>
      <c r="AI80" s="241"/>
    </row>
    <row r="81" spans="2:35">
      <c r="B81" s="255" t="s">
        <v>805</v>
      </c>
      <c r="C81" s="241"/>
      <c r="D81" s="241"/>
      <c r="E81" s="241"/>
      <c r="F81" s="256"/>
      <c r="G81" s="256"/>
      <c r="H81" s="256"/>
      <c r="I81" s="256"/>
      <c r="J81" s="256"/>
      <c r="K81" s="256"/>
      <c r="L81" s="256"/>
      <c r="M81" s="256"/>
      <c r="N81" s="256"/>
      <c r="O81" s="256"/>
      <c r="P81" s="599">
        <f>+'Model also  old'!B129</f>
        <v>0.5</v>
      </c>
      <c r="Q81" s="599">
        <f>+'Model also  old'!C129</f>
        <v>0.6</v>
      </c>
      <c r="R81" s="256">
        <f>Model!C69</f>
        <v>0.44700000000000001</v>
      </c>
      <c r="S81" s="256">
        <f>Model!D69</f>
        <v>0.11227459000000092</v>
      </c>
      <c r="T81" s="256">
        <f>Model!E69</f>
        <v>1.0845417900000001</v>
      </c>
      <c r="U81" s="256">
        <f>Model!F69</f>
        <v>0.3</v>
      </c>
      <c r="V81" s="256">
        <f>Model!G69</f>
        <v>0.1</v>
      </c>
      <c r="W81" s="256">
        <f>Model!H69</f>
        <v>0.35078279000000029</v>
      </c>
      <c r="X81" s="256">
        <f>Model!I69</f>
        <v>9.1187149999999995E-2</v>
      </c>
      <c r="Y81" s="256">
        <f>Model!J69</f>
        <v>5.1279129999999992E-2</v>
      </c>
      <c r="Z81" s="256">
        <f>Model!K69</f>
        <v>2.447044000000001E-2</v>
      </c>
      <c r="AA81" s="256">
        <f>Model!L69</f>
        <v>3.178819999999985E-3</v>
      </c>
      <c r="AB81" s="256">
        <f>Model!M69</f>
        <v>0.20350444025943107</v>
      </c>
      <c r="AC81" s="256">
        <f ca="1">Model!N69</f>
        <v>0.19531287908517417</v>
      </c>
      <c r="AD81" s="256">
        <f ca="1">Model!O69</f>
        <v>0.19544113983793585</v>
      </c>
      <c r="AE81" s="241"/>
      <c r="AF81" s="241"/>
      <c r="AG81" s="241"/>
      <c r="AH81" s="241"/>
      <c r="AI81" s="241"/>
    </row>
    <row r="82" spans="2:35">
      <c r="B82" s="255" t="s">
        <v>806</v>
      </c>
      <c r="C82" s="241"/>
      <c r="D82" s="241"/>
      <c r="E82" s="241"/>
      <c r="F82" s="256"/>
      <c r="G82" s="256"/>
      <c r="H82" s="256"/>
      <c r="I82" s="256"/>
      <c r="J82" s="256"/>
      <c r="K82" s="256"/>
      <c r="L82" s="256"/>
      <c r="M82" s="256"/>
      <c r="N82" s="256"/>
      <c r="O82" s="256"/>
      <c r="P82" s="599">
        <f>+P80-P81</f>
        <v>34.4</v>
      </c>
      <c r="Q82" s="599">
        <f t="shared" ref="Q82:AC82" si="5">+Q80-Q81</f>
        <v>31.699999999999996</v>
      </c>
      <c r="R82" s="256">
        <f t="shared" si="5"/>
        <v>27.874000000000002</v>
      </c>
      <c r="S82" s="256">
        <f t="shared" si="5"/>
        <v>45.725160697806999</v>
      </c>
      <c r="T82" s="256">
        <f t="shared" si="5"/>
        <v>44.972892090000002</v>
      </c>
      <c r="U82" s="256">
        <f t="shared" si="5"/>
        <v>75.5</v>
      </c>
      <c r="V82" s="256">
        <f t="shared" si="5"/>
        <v>57.5</v>
      </c>
      <c r="W82" s="256">
        <f t="shared" si="5"/>
        <v>75.259316609999999</v>
      </c>
      <c r="X82" s="256">
        <f t="shared" si="5"/>
        <v>62.485022609999994</v>
      </c>
      <c r="Y82" s="256">
        <f t="shared" si="5"/>
        <v>47.148720870000005</v>
      </c>
      <c r="Z82" s="256">
        <f t="shared" si="5"/>
        <v>82.275529559999995</v>
      </c>
      <c r="AA82" s="256">
        <f t="shared" si="5"/>
        <v>58.896821179999996</v>
      </c>
      <c r="AB82" s="256">
        <f t="shared" si="5"/>
        <v>47.622205669848135</v>
      </c>
      <c r="AC82" s="256">
        <f t="shared" ca="1" si="5"/>
        <v>53.417350939135027</v>
      </c>
      <c r="AD82" s="256">
        <f ca="1">+AD80-AD81</f>
        <v>53.098056059289121</v>
      </c>
      <c r="AE82" s="241"/>
      <c r="AF82" s="241"/>
      <c r="AG82" s="241"/>
      <c r="AH82" s="241"/>
      <c r="AI82" s="241"/>
    </row>
    <row r="83" spans="2:35">
      <c r="B83" s="255"/>
      <c r="C83" s="241"/>
      <c r="D83" s="241"/>
      <c r="E83" s="241"/>
      <c r="F83" s="256"/>
      <c r="G83" s="256"/>
      <c r="H83" s="256"/>
      <c r="I83" s="256"/>
      <c r="J83" s="256"/>
      <c r="K83" s="256"/>
      <c r="L83" s="256"/>
      <c r="M83" s="256"/>
      <c r="N83" s="256"/>
      <c r="O83" s="256"/>
      <c r="P83" s="599"/>
      <c r="Q83" s="599"/>
      <c r="R83" s="256"/>
      <c r="S83" s="256"/>
      <c r="T83" s="256"/>
      <c r="U83" s="256"/>
      <c r="V83" s="256"/>
      <c r="W83" s="256"/>
      <c r="X83" s="256"/>
      <c r="Y83" s="256"/>
      <c r="Z83" s="256"/>
      <c r="AA83" s="256"/>
      <c r="AB83" s="256"/>
      <c r="AC83" s="256"/>
      <c r="AD83" s="256"/>
      <c r="AE83" s="241"/>
      <c r="AF83" s="241"/>
      <c r="AG83" s="241"/>
      <c r="AH83" s="241"/>
      <c r="AI83" s="241"/>
    </row>
    <row r="84" spans="2:35">
      <c r="B84" s="255" t="s">
        <v>807</v>
      </c>
      <c r="C84" s="241"/>
      <c r="D84" s="241"/>
      <c r="E84" s="241"/>
      <c r="F84" s="256"/>
      <c r="G84" s="256"/>
      <c r="H84" s="256"/>
      <c r="I84" s="256"/>
      <c r="J84" s="256"/>
      <c r="K84" s="256"/>
      <c r="L84" s="256"/>
      <c r="M84" s="256"/>
      <c r="N84" s="256"/>
      <c r="O84" s="256"/>
      <c r="P84" s="599">
        <v>0</v>
      </c>
      <c r="Q84" s="599">
        <v>0</v>
      </c>
      <c r="R84" s="256">
        <v>0</v>
      </c>
      <c r="S84" s="256">
        <v>0</v>
      </c>
      <c r="T84" s="256">
        <f>+'Model also  old'!F294</f>
        <v>0</v>
      </c>
      <c r="U84" s="256">
        <f>+'Model also  old'!N294</f>
        <v>0</v>
      </c>
      <c r="V84" s="256">
        <f>+'Model also  old'!O294</f>
        <v>0</v>
      </c>
      <c r="W84" s="256">
        <f>+'Model also  old'!P294</f>
        <v>0</v>
      </c>
      <c r="X84" s="256">
        <f>+'Model also  old'!Q294</f>
        <v>0</v>
      </c>
      <c r="Y84" s="256">
        <f>+'Model also  old'!R294</f>
        <v>0</v>
      </c>
      <c r="Z84" s="256">
        <f>+'Model also  old'!S294</f>
        <v>0</v>
      </c>
      <c r="AA84" s="256">
        <f>+'Model also  old'!T294</f>
        <v>0</v>
      </c>
      <c r="AB84" s="256">
        <f>+'Model also  old'!U294</f>
        <v>0</v>
      </c>
      <c r="AC84" s="256">
        <f>+'Model also  old'!V294</f>
        <v>0</v>
      </c>
      <c r="AD84" s="256">
        <f>+'Model also  old'!W294</f>
        <v>0</v>
      </c>
      <c r="AE84" s="241"/>
      <c r="AF84" s="241"/>
      <c r="AG84" s="241"/>
      <c r="AH84" s="241"/>
      <c r="AI84" s="241"/>
    </row>
    <row r="85" spans="2:35">
      <c r="B85" s="255"/>
      <c r="C85" s="241"/>
      <c r="D85" s="241"/>
      <c r="E85" s="241"/>
      <c r="F85" s="256"/>
      <c r="G85" s="256"/>
      <c r="H85" s="256"/>
      <c r="I85" s="256"/>
      <c r="J85" s="256"/>
      <c r="K85" s="256"/>
      <c r="L85" s="256"/>
      <c r="M85" s="256"/>
      <c r="N85" s="256"/>
      <c r="O85" s="256"/>
      <c r="P85" s="599"/>
      <c r="Q85" s="599"/>
      <c r="R85" s="256"/>
      <c r="S85" s="256"/>
      <c r="T85" s="256"/>
      <c r="U85" s="256"/>
      <c r="V85" s="256"/>
      <c r="W85" s="256"/>
      <c r="X85" s="256"/>
      <c r="Y85" s="256"/>
      <c r="Z85" s="256"/>
      <c r="AA85" s="256"/>
      <c r="AB85" s="256"/>
      <c r="AC85" s="256"/>
      <c r="AD85" s="256"/>
      <c r="AE85" s="241"/>
      <c r="AF85" s="241"/>
      <c r="AG85" s="241"/>
      <c r="AH85" s="241"/>
      <c r="AI85" s="241"/>
    </row>
    <row r="86" spans="2:35">
      <c r="B86" s="255" t="s">
        <v>161</v>
      </c>
      <c r="C86" s="241"/>
      <c r="D86" s="241"/>
      <c r="E86" s="241"/>
      <c r="F86" s="256"/>
      <c r="G86" s="256"/>
      <c r="H86" s="256"/>
      <c r="I86" s="256"/>
      <c r="J86" s="256"/>
      <c r="K86" s="256"/>
      <c r="L86" s="256"/>
      <c r="M86" s="256"/>
      <c r="N86" s="256"/>
      <c r="O86" s="256"/>
      <c r="P86" s="599">
        <f t="shared" ref="P86:AC86" si="6">+P24</f>
        <v>68.099999999999994</v>
      </c>
      <c r="Q86" s="599">
        <f>+Q24</f>
        <v>59.6</v>
      </c>
      <c r="R86" s="256">
        <f t="shared" si="6"/>
        <v>51.5</v>
      </c>
      <c r="S86" s="256">
        <f t="shared" si="6"/>
        <v>84.1</v>
      </c>
      <c r="T86" s="256">
        <f t="shared" si="6"/>
        <v>113.2</v>
      </c>
      <c r="U86" s="256">
        <f t="shared" si="6"/>
        <v>152.30000000000001</v>
      </c>
      <c r="V86" s="256">
        <f t="shared" si="6"/>
        <v>155.9</v>
      </c>
      <c r="W86" s="256">
        <f t="shared" si="6"/>
        <v>159.03177321999999</v>
      </c>
      <c r="X86" s="256">
        <f t="shared" si="6"/>
        <v>162.0818753543538</v>
      </c>
      <c r="Y86" s="256">
        <f t="shared" si="6"/>
        <v>109.13800000000001</v>
      </c>
      <c r="Z86" s="256">
        <f t="shared" si="6"/>
        <v>134.16900000000001</v>
      </c>
      <c r="AA86" s="256">
        <f t="shared" si="6"/>
        <v>186</v>
      </c>
      <c r="AB86" s="256">
        <f t="shared" si="6"/>
        <v>187</v>
      </c>
      <c r="AC86" s="256">
        <f t="shared" ca="1" si="6"/>
        <v>193.26969502103239</v>
      </c>
      <c r="AD86" s="256">
        <f ca="1">+AD24</f>
        <v>187.46621537875632</v>
      </c>
      <c r="AE86" s="241"/>
      <c r="AF86" s="241"/>
      <c r="AG86" s="241"/>
      <c r="AH86" s="241"/>
      <c r="AI86" s="241"/>
    </row>
    <row r="87" spans="2:35">
      <c r="B87" s="255"/>
      <c r="C87" s="241"/>
      <c r="D87" s="241"/>
      <c r="E87" s="241"/>
      <c r="F87" s="256"/>
      <c r="G87" s="256"/>
      <c r="H87" s="256"/>
      <c r="I87" s="256"/>
      <c r="J87" s="256"/>
      <c r="K87" s="256"/>
      <c r="L87" s="256"/>
      <c r="M87" s="256"/>
      <c r="N87" s="256"/>
      <c r="O87" s="256"/>
      <c r="P87" s="599"/>
      <c r="Q87" s="599"/>
      <c r="R87" s="256"/>
      <c r="S87" s="256"/>
      <c r="T87" s="256"/>
      <c r="U87" s="256"/>
      <c r="V87" s="256"/>
      <c r="W87" s="256"/>
      <c r="X87" s="256"/>
      <c r="Y87" s="256"/>
      <c r="Z87" s="256"/>
      <c r="AA87" s="256"/>
      <c r="AB87" s="256"/>
      <c r="AC87" s="256"/>
      <c r="AD87" s="256"/>
      <c r="AE87" s="241"/>
      <c r="AF87" s="241"/>
      <c r="AG87" s="241"/>
      <c r="AH87" s="241"/>
      <c r="AI87" s="241"/>
    </row>
    <row r="88" spans="2:35">
      <c r="B88" s="255"/>
      <c r="C88" s="241"/>
      <c r="D88" s="241"/>
      <c r="E88" s="244"/>
      <c r="F88" s="256"/>
      <c r="G88" s="256"/>
      <c r="H88" s="256"/>
      <c r="I88" s="256"/>
      <c r="J88" s="256"/>
      <c r="K88" s="256"/>
      <c r="L88" s="256"/>
      <c r="M88" s="256"/>
      <c r="N88" s="256"/>
      <c r="O88" s="256"/>
      <c r="P88" s="599"/>
      <c r="Q88" s="599"/>
      <c r="R88" s="256"/>
      <c r="S88" s="256"/>
      <c r="T88" s="256"/>
      <c r="U88" s="256"/>
      <c r="V88" s="256"/>
      <c r="W88" s="256"/>
      <c r="X88" s="256"/>
      <c r="Y88" s="256"/>
      <c r="Z88" s="256"/>
      <c r="AA88" s="256"/>
      <c r="AB88" s="256"/>
      <c r="AC88" s="256"/>
      <c r="AD88" s="256"/>
      <c r="AE88" s="241"/>
      <c r="AF88" s="241"/>
      <c r="AG88" s="241"/>
      <c r="AH88" s="241"/>
      <c r="AI88" s="241"/>
    </row>
    <row r="89" spans="2:35">
      <c r="B89" s="255" t="s">
        <v>808</v>
      </c>
      <c r="C89" s="241"/>
      <c r="D89" s="241"/>
      <c r="E89" s="244"/>
      <c r="F89" s="256"/>
      <c r="G89" s="256"/>
      <c r="H89" s="257"/>
      <c r="I89" s="257"/>
      <c r="J89" s="257"/>
      <c r="K89" s="257"/>
      <c r="L89" s="257"/>
      <c r="M89" s="257"/>
      <c r="N89" s="257"/>
      <c r="O89" s="257"/>
      <c r="P89" s="600">
        <f t="shared" ref="P89:AC89" si="7">+P72/P79</f>
        <v>8.3545918367346932</v>
      </c>
      <c r="Q89" s="600">
        <f>+Q72/Q79</f>
        <v>7.5545350172215846</v>
      </c>
      <c r="R89" s="257">
        <f t="shared" si="7"/>
        <v>7.057540561099942</v>
      </c>
      <c r="S89" s="257">
        <f t="shared" si="7"/>
        <v>6.5008556392879777</v>
      </c>
      <c r="T89" s="257">
        <f>+T72/T79</f>
        <v>9.0202984760090086</v>
      </c>
      <c r="U89" s="257">
        <f t="shared" si="7"/>
        <v>5.0407836865253906</v>
      </c>
      <c r="V89" s="257">
        <f t="shared" si="7"/>
        <v>5.0664903664525882</v>
      </c>
      <c r="W89" s="257">
        <f t="shared" si="7"/>
        <v>5.9995508903745502</v>
      </c>
      <c r="X89" s="257">
        <f t="shared" si="7"/>
        <v>5.9810005516737288</v>
      </c>
      <c r="Y89" s="257">
        <f t="shared" si="7"/>
        <v>5.8422957444996966</v>
      </c>
      <c r="Z89" s="257">
        <f t="shared" si="7"/>
        <v>4.4288207553973677</v>
      </c>
      <c r="AA89" s="257">
        <f t="shared" si="7"/>
        <v>5.6823976366978179</v>
      </c>
      <c r="AB89" s="257">
        <f t="shared" ca="1" si="7"/>
        <v>6.1958024163849039</v>
      </c>
      <c r="AC89" s="257">
        <f t="shared" ca="1" si="7"/>
        <v>6.3476525370949997</v>
      </c>
      <c r="AD89" s="257">
        <f ca="1">+AD72/AD79</f>
        <v>6.2773364403118315</v>
      </c>
      <c r="AE89" s="241"/>
      <c r="AF89" s="241"/>
      <c r="AG89" s="241"/>
      <c r="AH89" s="241"/>
      <c r="AI89" s="241"/>
    </row>
    <row r="90" spans="2:35">
      <c r="B90" s="255" t="s">
        <v>809</v>
      </c>
      <c r="C90" s="241"/>
      <c r="D90" s="241"/>
      <c r="E90" s="241"/>
      <c r="F90" s="256"/>
      <c r="G90" s="256"/>
      <c r="H90" s="257"/>
      <c r="I90" s="257"/>
      <c r="J90" s="257"/>
      <c r="K90" s="257"/>
      <c r="L90" s="257"/>
      <c r="M90" s="257"/>
      <c r="N90" s="257"/>
      <c r="O90" s="257"/>
      <c r="P90" s="600">
        <f t="shared" ref="P90:AC90" si="8">+P75/P79</f>
        <v>8.3545918367346932</v>
      </c>
      <c r="Q90" s="600">
        <f>+Q75/Q79</f>
        <v>7.5545350172215846</v>
      </c>
      <c r="R90" s="257">
        <f t="shared" si="8"/>
        <v>7.057540561099942</v>
      </c>
      <c r="S90" s="257">
        <f t="shared" si="8"/>
        <v>6.5008556392879777</v>
      </c>
      <c r="T90" s="257">
        <f t="shared" si="8"/>
        <v>9.0202984760090086</v>
      </c>
      <c r="U90" s="257">
        <f t="shared" si="8"/>
        <v>5.0407836865253906</v>
      </c>
      <c r="V90" s="257">
        <f t="shared" si="8"/>
        <v>5.0664903664525882</v>
      </c>
      <c r="W90" s="257">
        <f t="shared" si="8"/>
        <v>5.9995508903745502</v>
      </c>
      <c r="X90" s="257">
        <f t="shared" si="8"/>
        <v>5.9810005516737288</v>
      </c>
      <c r="Y90" s="257">
        <f t="shared" si="8"/>
        <v>5.8422957444996966</v>
      </c>
      <c r="Z90" s="257">
        <f t="shared" si="8"/>
        <v>4.4288207553973677</v>
      </c>
      <c r="AA90" s="257">
        <f t="shared" si="8"/>
        <v>5.6823976366978179</v>
      </c>
      <c r="AB90" s="257">
        <f t="shared" ca="1" si="8"/>
        <v>6.1958024163849039</v>
      </c>
      <c r="AC90" s="257">
        <f t="shared" ca="1" si="8"/>
        <v>6.3476525370949997</v>
      </c>
      <c r="AD90" s="257">
        <f ca="1">+AD75/AD79</f>
        <v>6.2773364403118315</v>
      </c>
      <c r="AE90" s="241"/>
      <c r="AF90" s="241"/>
      <c r="AG90" s="241"/>
      <c r="AH90" s="241"/>
      <c r="AI90" s="241"/>
    </row>
    <row r="91" spans="2:35">
      <c r="B91" s="255" t="s">
        <v>810</v>
      </c>
      <c r="C91" s="241"/>
      <c r="D91" s="241"/>
      <c r="E91" s="241"/>
      <c r="F91" s="256"/>
      <c r="G91" s="256"/>
      <c r="H91" s="257"/>
      <c r="I91" s="257"/>
      <c r="J91" s="257"/>
      <c r="K91" s="257"/>
      <c r="L91" s="257"/>
      <c r="M91" s="257"/>
      <c r="N91" s="257"/>
      <c r="O91" s="257"/>
      <c r="P91" s="600">
        <f t="shared" ref="P91:AC91" si="9">+P77/P79</f>
        <v>7.7729591836734686</v>
      </c>
      <c r="Q91" s="600">
        <f>+Q77/Q79</f>
        <v>7.3019517795637201</v>
      </c>
      <c r="R91" s="257">
        <f t="shared" si="9"/>
        <v>6.2571045789479616</v>
      </c>
      <c r="S91" s="257">
        <f t="shared" si="9"/>
        <v>6.2538188192102728</v>
      </c>
      <c r="T91" s="257">
        <f t="shared" si="9"/>
        <v>8.4156895035275543</v>
      </c>
      <c r="U91" s="257">
        <f t="shared" si="9"/>
        <v>4.8200719712115152</v>
      </c>
      <c r="V91" s="257">
        <f t="shared" si="9"/>
        <v>4.9463543634302995</v>
      </c>
      <c r="W91" s="257">
        <f t="shared" si="9"/>
        <v>5.8881615465920669</v>
      </c>
      <c r="X91" s="257">
        <f t="shared" si="9"/>
        <v>5.9387040180448789</v>
      </c>
      <c r="Y91" s="257">
        <f t="shared" si="9"/>
        <v>5.7828368110477983</v>
      </c>
      <c r="Z91" s="257">
        <f t="shared" si="9"/>
        <v>4.347065395468376</v>
      </c>
      <c r="AA91" s="257">
        <f t="shared" si="9"/>
        <v>5.5594411371108521</v>
      </c>
      <c r="AB91" s="257">
        <f t="shared" ca="1" si="9"/>
        <v>6.0773715956956638</v>
      </c>
      <c r="AC91" s="257">
        <f t="shared" ca="1" si="9"/>
        <v>6.2303789918514925</v>
      </c>
      <c r="AD91" s="257">
        <f ca="1">+AD77/AD79</f>
        <v>6.1644329436855836</v>
      </c>
      <c r="AE91" s="241"/>
      <c r="AF91" s="241"/>
      <c r="AG91" s="241"/>
      <c r="AH91" s="241"/>
      <c r="AI91" s="241"/>
    </row>
    <row r="92" spans="2:35">
      <c r="B92" s="255"/>
      <c r="C92" s="241"/>
      <c r="D92" s="241"/>
      <c r="E92" s="244"/>
      <c r="F92" s="256"/>
      <c r="G92" s="256"/>
      <c r="H92" s="257"/>
      <c r="I92" s="257"/>
      <c r="J92" s="257"/>
      <c r="K92" s="257"/>
      <c r="L92" s="257"/>
      <c r="M92" s="257"/>
      <c r="N92" s="257"/>
      <c r="O92" s="257"/>
      <c r="P92" s="600"/>
      <c r="Q92" s="600"/>
      <c r="R92" s="257"/>
      <c r="S92" s="257"/>
      <c r="T92" s="257"/>
      <c r="U92" s="257"/>
      <c r="V92" s="257"/>
      <c r="W92" s="257"/>
      <c r="X92" s="257"/>
      <c r="Y92" s="257"/>
      <c r="Z92" s="257"/>
      <c r="AA92" s="257"/>
      <c r="AB92" s="257"/>
      <c r="AC92" s="257"/>
      <c r="AD92" s="257"/>
      <c r="AE92" s="241"/>
      <c r="AF92" s="241"/>
      <c r="AG92" s="241"/>
      <c r="AH92" s="241"/>
      <c r="AI92" s="241"/>
    </row>
    <row r="93" spans="2:35">
      <c r="B93" s="255" t="s">
        <v>811</v>
      </c>
      <c r="C93" s="241"/>
      <c r="D93" s="241"/>
      <c r="E93" s="244"/>
      <c r="F93" s="256"/>
      <c r="G93" s="256"/>
      <c r="H93" s="257"/>
      <c r="I93" s="257"/>
      <c r="J93" s="257"/>
      <c r="K93" s="257"/>
      <c r="L93" s="257"/>
      <c r="M93" s="257"/>
      <c r="N93" s="257"/>
      <c r="O93" s="257"/>
      <c r="P93" s="600">
        <f t="shared" ref="P93:AC93" si="10">+P79/P82</f>
        <v>2.2790697674418605</v>
      </c>
      <c r="Q93" s="600">
        <f>+Q79/Q82</f>
        <v>2.7476340694006312</v>
      </c>
      <c r="R93" s="257">
        <f t="shared" si="10"/>
        <v>3.1598263614838218</v>
      </c>
      <c r="S93" s="257">
        <f t="shared" si="10"/>
        <v>2.1637248965347236</v>
      </c>
      <c r="T93" s="257">
        <f t="shared" si="10"/>
        <v>3.1325746333606537</v>
      </c>
      <c r="U93" s="257">
        <f t="shared" si="10"/>
        <v>3.3125827814569537</v>
      </c>
      <c r="V93" s="257">
        <f t="shared" si="10"/>
        <v>4.603478260869565</v>
      </c>
      <c r="W93" s="257">
        <f t="shared" si="10"/>
        <v>3.1357793636760483</v>
      </c>
      <c r="X93" s="257">
        <f t="shared" si="10"/>
        <v>3.8321834749833021</v>
      </c>
      <c r="Y93" s="257">
        <f t="shared" si="10"/>
        <v>5.1365966285227023</v>
      </c>
      <c r="Z93" s="257">
        <f t="shared" si="10"/>
        <v>2.7523736548527173</v>
      </c>
      <c r="AA93" s="257">
        <f t="shared" si="10"/>
        <v>3.0830696183932833</v>
      </c>
      <c r="AB93" s="257">
        <f t="shared" ca="1" si="10"/>
        <v>4.0076796915845732</v>
      </c>
      <c r="AC93" s="257">
        <f t="shared" ca="1" si="10"/>
        <v>3.4629150695771145</v>
      </c>
      <c r="AD93" s="257">
        <f ca="1">+AD79/AD82</f>
        <v>3.6209567072332578</v>
      </c>
      <c r="AE93" s="241"/>
      <c r="AF93" s="241"/>
      <c r="AG93" s="241"/>
      <c r="AH93" s="241"/>
      <c r="AI93" s="241"/>
    </row>
    <row r="94" spans="2:35">
      <c r="B94" s="255" t="s">
        <v>812</v>
      </c>
      <c r="C94" s="241"/>
      <c r="D94" s="241"/>
      <c r="E94" s="241"/>
      <c r="F94" s="256"/>
      <c r="G94" s="256"/>
      <c r="H94" s="257"/>
      <c r="I94" s="257"/>
      <c r="J94" s="257"/>
      <c r="K94" s="257"/>
      <c r="L94" s="257"/>
      <c r="M94" s="257"/>
      <c r="N94" s="257"/>
      <c r="O94" s="257"/>
      <c r="P94" s="600">
        <f t="shared" ref="P94:AC94" si="11">+(P79-P86)/P82</f>
        <v>0.29941860465116316</v>
      </c>
      <c r="Q94" s="600">
        <f>+(Q79-Q86)/Q82</f>
        <v>0.86750788643533117</v>
      </c>
      <c r="R94" s="257">
        <f t="shared" si="11"/>
        <v>1.3122264475855654</v>
      </c>
      <c r="S94" s="257">
        <f t="shared" si="11"/>
        <v>0.32447493619432227</v>
      </c>
      <c r="T94" s="257">
        <f t="shared" si="11"/>
        <v>0.61550279876608205</v>
      </c>
      <c r="U94" s="257">
        <f t="shared" si="11"/>
        <v>1.2953642384105959</v>
      </c>
      <c r="V94" s="257">
        <f t="shared" si="11"/>
        <v>1.892173913043478</v>
      </c>
      <c r="W94" s="257">
        <f t="shared" si="11"/>
        <v>1.0226619400337928</v>
      </c>
      <c r="X94" s="257">
        <f t="shared" si="11"/>
        <v>1.2382518641077305</v>
      </c>
      <c r="Y94" s="257">
        <f t="shared" si="11"/>
        <v>2.8218360584338793</v>
      </c>
      <c r="Z94" s="257">
        <f t="shared" si="11"/>
        <v>1.1216457735796306</v>
      </c>
      <c r="AA94" s="257">
        <f t="shared" si="11"/>
        <v>-7.4995558529394532E-2</v>
      </c>
      <c r="AB94" s="257">
        <f t="shared" ca="1" si="11"/>
        <v>8.094010928927993E-2</v>
      </c>
      <c r="AC94" s="257">
        <f t="shared" ca="1" si="11"/>
        <v>-0.15519199906521455</v>
      </c>
      <c r="AD94" s="257">
        <f ca="1">+(AD79-AD86)/AD82</f>
        <v>9.0390255432609326E-2</v>
      </c>
      <c r="AE94" s="241"/>
      <c r="AF94" s="241"/>
      <c r="AG94" s="241"/>
      <c r="AH94" s="241"/>
      <c r="AI94" s="241"/>
    </row>
    <row r="95" spans="2:35">
      <c r="B95" s="255"/>
      <c r="C95" s="241"/>
      <c r="D95" s="241"/>
      <c r="E95" s="241"/>
      <c r="F95" s="256"/>
      <c r="G95" s="256"/>
      <c r="H95" s="257"/>
      <c r="I95" s="257"/>
      <c r="J95" s="257"/>
      <c r="K95" s="257"/>
      <c r="L95" s="257"/>
      <c r="M95" s="257"/>
      <c r="N95" s="257"/>
      <c r="O95" s="257"/>
      <c r="P95" s="600"/>
      <c r="Q95" s="600"/>
      <c r="R95" s="257"/>
      <c r="S95" s="257"/>
      <c r="T95" s="257"/>
      <c r="U95" s="257"/>
      <c r="V95" s="257"/>
      <c r="W95" s="257"/>
      <c r="X95" s="257"/>
      <c r="Y95" s="257"/>
      <c r="Z95" s="257"/>
      <c r="AA95" s="257"/>
      <c r="AB95" s="257"/>
      <c r="AC95" s="257"/>
      <c r="AD95" s="257"/>
      <c r="AE95" s="241"/>
      <c r="AF95" s="241"/>
      <c r="AG95" s="241"/>
      <c r="AH95" s="241"/>
      <c r="AI95" s="241"/>
    </row>
    <row r="96" spans="2:35">
      <c r="B96" s="255" t="s">
        <v>813</v>
      </c>
      <c r="C96" s="241"/>
      <c r="D96" s="241"/>
      <c r="E96" s="241"/>
      <c r="F96" s="256"/>
      <c r="G96" s="256"/>
      <c r="H96" s="257"/>
      <c r="I96" s="257"/>
      <c r="J96" s="257"/>
      <c r="K96" s="257"/>
      <c r="L96" s="257"/>
      <c r="M96" s="257"/>
      <c r="N96" s="257"/>
      <c r="O96" s="257"/>
      <c r="P96" s="600">
        <f t="shared" ref="P96:AC96" si="12">+(P79-P86)/(P82+P84)</f>
        <v>0.29941860465116316</v>
      </c>
      <c r="Q96" s="600">
        <f>+(Q79-Q86)/(Q82+Q84)</f>
        <v>0.86750788643533117</v>
      </c>
      <c r="R96" s="257">
        <f t="shared" si="12"/>
        <v>1.3122264475855654</v>
      </c>
      <c r="S96" s="257">
        <f t="shared" si="12"/>
        <v>0.32447493619432227</v>
      </c>
      <c r="T96" s="257">
        <f t="shared" si="12"/>
        <v>0.61550279876608205</v>
      </c>
      <c r="U96" s="257">
        <f t="shared" si="12"/>
        <v>1.2953642384105959</v>
      </c>
      <c r="V96" s="257">
        <f t="shared" si="12"/>
        <v>1.892173913043478</v>
      </c>
      <c r="W96" s="257">
        <f t="shared" si="12"/>
        <v>1.0226619400337928</v>
      </c>
      <c r="X96" s="257">
        <f t="shared" si="12"/>
        <v>1.2382518641077305</v>
      </c>
      <c r="Y96" s="257">
        <f t="shared" si="12"/>
        <v>2.8218360584338793</v>
      </c>
      <c r="Z96" s="257">
        <f t="shared" si="12"/>
        <v>1.1216457735796306</v>
      </c>
      <c r="AA96" s="257">
        <f t="shared" si="12"/>
        <v>-7.4995558529394532E-2</v>
      </c>
      <c r="AB96" s="257">
        <f t="shared" ca="1" si="12"/>
        <v>8.094010928927993E-2</v>
      </c>
      <c r="AC96" s="257">
        <f t="shared" ca="1" si="12"/>
        <v>-0.15519199906521455</v>
      </c>
      <c r="AD96" s="257">
        <f ca="1">+(AD79-AD86)/(AD82+AD84)</f>
        <v>9.0390255432609326E-2</v>
      </c>
      <c r="AE96" s="241"/>
      <c r="AF96" s="241"/>
      <c r="AG96" s="241"/>
      <c r="AH96" s="241"/>
      <c r="AI96" s="241"/>
    </row>
    <row r="97" spans="2:35">
      <c r="B97" s="255"/>
      <c r="C97" s="241"/>
      <c r="D97" s="241"/>
      <c r="E97" s="244"/>
      <c r="F97" s="256"/>
      <c r="G97" s="256"/>
      <c r="H97" s="256"/>
      <c r="I97" s="256"/>
      <c r="J97" s="256"/>
      <c r="K97" s="256"/>
      <c r="L97" s="256"/>
      <c r="M97" s="256"/>
      <c r="N97" s="256"/>
      <c r="O97" s="256"/>
      <c r="P97" s="256"/>
      <c r="Q97" s="256"/>
      <c r="R97" s="256"/>
      <c r="S97" s="256"/>
      <c r="T97" s="256"/>
      <c r="U97" s="241"/>
      <c r="V97" s="241"/>
      <c r="W97" s="241"/>
      <c r="X97" s="241"/>
      <c r="Y97" s="241"/>
      <c r="Z97" s="241"/>
      <c r="AA97" s="241"/>
      <c r="AB97" s="241"/>
      <c r="AC97" s="241"/>
      <c r="AD97" s="241"/>
      <c r="AE97" s="241"/>
      <c r="AF97" s="241"/>
      <c r="AG97" s="241"/>
      <c r="AH97" s="241"/>
      <c r="AI97" s="241"/>
    </row>
    <row r="98" spans="2:35">
      <c r="B98" s="255" t="s">
        <v>814</v>
      </c>
      <c r="C98" s="241"/>
      <c r="D98" s="241"/>
      <c r="E98" s="244"/>
      <c r="F98" s="256"/>
      <c r="G98" s="256"/>
      <c r="H98" s="256"/>
      <c r="I98" s="258"/>
      <c r="J98" s="258"/>
      <c r="K98" s="258"/>
      <c r="L98" s="258"/>
      <c r="M98" s="258"/>
      <c r="N98" s="258"/>
      <c r="O98" s="258"/>
      <c r="P98" s="258"/>
      <c r="Q98" s="258"/>
      <c r="R98" s="258"/>
      <c r="S98" s="258"/>
      <c r="T98" s="258"/>
      <c r="U98" s="241"/>
      <c r="V98" s="241"/>
      <c r="W98" s="241"/>
      <c r="X98" s="241"/>
      <c r="Y98" s="241"/>
      <c r="Z98" s="241"/>
      <c r="AA98" s="241"/>
      <c r="AB98" s="241"/>
      <c r="AC98" s="241"/>
      <c r="AD98" s="241"/>
      <c r="AE98" s="241"/>
      <c r="AF98" s="241"/>
      <c r="AG98" s="241"/>
      <c r="AH98" s="241"/>
      <c r="AI98" s="241"/>
    </row>
    <row r="99" spans="2:35">
      <c r="B99" s="255" t="s">
        <v>815</v>
      </c>
      <c r="C99" s="241"/>
      <c r="D99" s="241"/>
      <c r="E99" s="241"/>
      <c r="F99" s="256"/>
      <c r="G99" s="256"/>
      <c r="H99" s="256"/>
      <c r="I99" s="258"/>
      <c r="J99" s="258"/>
      <c r="K99" s="258"/>
      <c r="L99" s="258"/>
      <c r="M99" s="258"/>
      <c r="N99" s="258"/>
      <c r="O99" s="258"/>
      <c r="P99" s="258"/>
      <c r="Q99" s="258"/>
      <c r="R99" s="258"/>
      <c r="S99" s="258"/>
      <c r="T99" s="258"/>
      <c r="U99" s="241"/>
      <c r="V99" s="241"/>
      <c r="W99" s="241"/>
      <c r="X99" s="241"/>
      <c r="Y99" s="241"/>
      <c r="Z99" s="241"/>
      <c r="AA99" s="241"/>
      <c r="AB99" s="241"/>
      <c r="AC99" s="241"/>
      <c r="AD99" s="241"/>
      <c r="AE99" s="241"/>
      <c r="AF99" s="241"/>
      <c r="AG99" s="241"/>
      <c r="AH99" s="241"/>
      <c r="AI99" s="241"/>
    </row>
    <row r="100" spans="2:35">
      <c r="B100" s="255" t="s">
        <v>816</v>
      </c>
      <c r="C100" s="241"/>
      <c r="D100" s="241"/>
      <c r="E100" s="241"/>
      <c r="F100" s="256"/>
      <c r="G100" s="256"/>
      <c r="H100" s="256"/>
      <c r="I100" s="258"/>
      <c r="J100" s="258"/>
      <c r="K100" s="258"/>
      <c r="L100" s="258"/>
      <c r="M100" s="258"/>
      <c r="N100" s="258"/>
      <c r="O100" s="258"/>
      <c r="P100" s="258"/>
      <c r="Q100" s="258"/>
      <c r="R100" s="258"/>
      <c r="S100" s="258"/>
      <c r="T100" s="258"/>
      <c r="U100" s="241"/>
      <c r="V100" s="241"/>
      <c r="W100" s="241"/>
      <c r="X100" s="241"/>
      <c r="Y100" s="241"/>
      <c r="Z100" s="241"/>
      <c r="AA100" s="241"/>
      <c r="AB100" s="241"/>
      <c r="AC100" s="241"/>
      <c r="AD100" s="241"/>
      <c r="AE100" s="241"/>
      <c r="AF100" s="241"/>
      <c r="AG100" s="241"/>
      <c r="AH100" s="241"/>
      <c r="AI100" s="241"/>
    </row>
    <row r="101" spans="2:35">
      <c r="B101" s="255"/>
      <c r="C101" s="241"/>
      <c r="D101" s="241"/>
      <c r="E101" s="241"/>
      <c r="F101" s="244"/>
      <c r="G101" s="244"/>
      <c r="H101" s="244"/>
      <c r="I101" s="244"/>
      <c r="J101" s="244"/>
      <c r="K101" s="244"/>
      <c r="L101" s="244"/>
      <c r="M101" s="244"/>
      <c r="N101" s="244"/>
      <c r="O101" s="244"/>
      <c r="P101" s="244"/>
      <c r="Q101" s="244"/>
      <c r="R101" s="244"/>
      <c r="S101" s="244"/>
      <c r="T101" s="244"/>
      <c r="U101" s="241"/>
      <c r="V101" s="241"/>
      <c r="W101" s="241"/>
      <c r="X101" s="241"/>
      <c r="Y101" s="241"/>
      <c r="Z101" s="241"/>
      <c r="AA101" s="241"/>
      <c r="AB101" s="241"/>
      <c r="AC101" s="241"/>
      <c r="AD101" s="241"/>
      <c r="AE101" s="241"/>
      <c r="AF101" s="241"/>
      <c r="AG101" s="241"/>
      <c r="AH101" s="241"/>
      <c r="AI101" s="241"/>
    </row>
    <row r="102" spans="2:35">
      <c r="B102" s="255"/>
      <c r="C102" s="241"/>
      <c r="D102" s="241"/>
      <c r="E102" s="241"/>
      <c r="F102" s="244"/>
      <c r="G102" s="244"/>
      <c r="H102" s="244"/>
      <c r="I102" s="244"/>
      <c r="J102" s="244"/>
      <c r="K102" s="244"/>
      <c r="L102" s="244"/>
      <c r="M102" s="244"/>
      <c r="N102" s="244"/>
      <c r="O102" s="244"/>
      <c r="P102" s="244"/>
      <c r="Q102" s="244"/>
      <c r="R102" s="244"/>
      <c r="S102" s="244"/>
      <c r="T102" s="244"/>
      <c r="U102" s="241"/>
      <c r="V102" s="241"/>
      <c r="W102" s="241"/>
      <c r="X102" s="241"/>
      <c r="Y102" s="241"/>
      <c r="Z102" s="241"/>
      <c r="AA102" s="241"/>
      <c r="AB102" s="241"/>
      <c r="AC102" s="241"/>
      <c r="AD102" s="241"/>
      <c r="AE102" s="241"/>
      <c r="AF102" s="241"/>
      <c r="AG102" s="241"/>
      <c r="AH102" s="241"/>
      <c r="AI102" s="241"/>
    </row>
    <row r="103" spans="2:35">
      <c r="B103" s="255"/>
      <c r="C103" s="241"/>
      <c r="D103" s="241"/>
      <c r="E103" s="244"/>
      <c r="F103" s="244"/>
      <c r="G103" s="244"/>
      <c r="H103" s="244"/>
      <c r="I103" s="244"/>
      <c r="J103" s="244"/>
      <c r="K103" s="244"/>
      <c r="L103" s="244"/>
      <c r="M103" s="244"/>
      <c r="N103" s="244"/>
      <c r="O103" s="244"/>
      <c r="P103" s="244"/>
      <c r="Q103" s="244"/>
      <c r="R103" s="244"/>
      <c r="S103" s="244"/>
      <c r="T103" s="244"/>
      <c r="U103" s="241"/>
      <c r="V103" s="241"/>
      <c r="W103" s="241"/>
      <c r="X103" s="241"/>
      <c r="Y103" s="241"/>
      <c r="Z103" s="241"/>
      <c r="AA103" s="241"/>
      <c r="AB103" s="241"/>
      <c r="AC103" s="241"/>
      <c r="AD103" s="241"/>
      <c r="AE103" s="241"/>
      <c r="AF103" s="241"/>
      <c r="AG103" s="241"/>
      <c r="AH103" s="241"/>
      <c r="AI103" s="241"/>
    </row>
    <row r="104" spans="2:35">
      <c r="B104" s="255"/>
      <c r="C104" s="241"/>
      <c r="D104" s="241"/>
      <c r="E104" s="244"/>
      <c r="F104" s="244"/>
      <c r="G104" s="244"/>
      <c r="H104" s="244"/>
      <c r="I104" s="244"/>
      <c r="J104" s="244"/>
      <c r="K104" s="244"/>
      <c r="L104" s="244"/>
      <c r="M104" s="244"/>
      <c r="N104" s="244"/>
      <c r="O104" s="244"/>
      <c r="P104" s="244"/>
      <c r="Q104" s="244"/>
      <c r="R104" s="244"/>
      <c r="S104" s="244"/>
      <c r="T104" s="244"/>
      <c r="U104" s="241"/>
      <c r="V104" s="241"/>
      <c r="W104" s="241"/>
      <c r="X104" s="241"/>
      <c r="Y104" s="241"/>
      <c r="Z104" s="241"/>
      <c r="AA104" s="241"/>
      <c r="AB104" s="241"/>
      <c r="AC104" s="241"/>
      <c r="AD104" s="241"/>
      <c r="AE104" s="241"/>
      <c r="AF104" s="241"/>
      <c r="AG104" s="241"/>
      <c r="AH104" s="241"/>
      <c r="AI104" s="241"/>
    </row>
    <row r="105" spans="2:35">
      <c r="B105" s="255"/>
      <c r="C105" s="241"/>
      <c r="D105" s="241"/>
      <c r="E105" s="241"/>
      <c r="F105" s="244"/>
      <c r="G105" s="244"/>
      <c r="H105" s="244"/>
      <c r="I105" s="244"/>
      <c r="J105" s="244"/>
      <c r="K105" s="244"/>
      <c r="L105" s="244"/>
      <c r="M105" s="244"/>
      <c r="N105" s="244"/>
      <c r="O105" s="244"/>
      <c r="P105" s="244"/>
      <c r="Q105" s="244"/>
      <c r="R105" s="244"/>
      <c r="S105" s="244"/>
      <c r="T105" s="244"/>
      <c r="U105" s="241"/>
      <c r="V105" s="241"/>
      <c r="W105" s="241"/>
      <c r="X105" s="241"/>
      <c r="Y105" s="241"/>
      <c r="Z105" s="241"/>
      <c r="AA105" s="241"/>
      <c r="AB105" s="241"/>
      <c r="AC105" s="241"/>
      <c r="AD105" s="241"/>
      <c r="AE105" s="241"/>
      <c r="AF105" s="241"/>
      <c r="AG105" s="241"/>
      <c r="AH105" s="241"/>
      <c r="AI105" s="241"/>
    </row>
    <row r="106" spans="2:35">
      <c r="B106" s="255"/>
      <c r="C106" s="241"/>
      <c r="D106" s="241"/>
      <c r="E106" s="241"/>
      <c r="F106" s="244"/>
      <c r="G106" s="244"/>
      <c r="H106" s="244"/>
      <c r="I106" s="244"/>
      <c r="J106" s="244"/>
      <c r="K106" s="244"/>
      <c r="L106" s="244"/>
      <c r="M106" s="244"/>
      <c r="N106" s="244"/>
      <c r="O106" s="244"/>
      <c r="P106" s="244"/>
      <c r="Q106" s="244"/>
      <c r="R106" s="244"/>
      <c r="S106" s="244"/>
      <c r="T106" s="244"/>
      <c r="U106" s="241"/>
      <c r="V106" s="241"/>
      <c r="W106" s="241"/>
      <c r="X106" s="241"/>
      <c r="Y106" s="241"/>
      <c r="Z106" s="241"/>
      <c r="AA106" s="241"/>
      <c r="AB106" s="241"/>
      <c r="AC106" s="241"/>
      <c r="AD106" s="241"/>
      <c r="AE106" s="241"/>
      <c r="AF106" s="241"/>
      <c r="AG106" s="241"/>
      <c r="AH106" s="241"/>
      <c r="AI106" s="241"/>
    </row>
    <row r="107" spans="2:35">
      <c r="B107" s="259"/>
      <c r="C107" s="238"/>
      <c r="D107" s="238"/>
      <c r="E107" s="238"/>
      <c r="F107" s="238"/>
      <c r="G107" s="238"/>
      <c r="H107" s="238"/>
      <c r="I107" s="238"/>
      <c r="J107" s="238"/>
      <c r="K107" s="238"/>
      <c r="L107" s="238"/>
      <c r="M107" s="238"/>
      <c r="N107" s="238"/>
      <c r="O107" s="238"/>
      <c r="P107" s="238"/>
      <c r="Q107" s="238"/>
      <c r="R107" s="238"/>
      <c r="S107" s="238"/>
      <c r="T107" s="238"/>
      <c r="U107" s="238"/>
      <c r="V107" s="238"/>
      <c r="W107" s="238"/>
      <c r="X107" s="238"/>
      <c r="Y107" s="238"/>
      <c r="Z107" s="238"/>
      <c r="AA107" s="238"/>
      <c r="AB107" s="238"/>
      <c r="AC107" s="238"/>
      <c r="AD107" s="238"/>
      <c r="AE107" s="238"/>
      <c r="AF107" s="238"/>
      <c r="AG107" s="238"/>
      <c r="AH107" s="238"/>
      <c r="AI107" s="238"/>
    </row>
    <row r="108" spans="2:35">
      <c r="B108" s="240" t="s">
        <v>817</v>
      </c>
      <c r="C108" s="240">
        <v>1998</v>
      </c>
      <c r="D108" s="240">
        <v>1999</v>
      </c>
      <c r="E108" s="240">
        <v>2000</v>
      </c>
      <c r="F108" s="240">
        <v>2001</v>
      </c>
      <c r="G108" s="240">
        <v>2002</v>
      </c>
      <c r="H108" s="240">
        <v>2003</v>
      </c>
      <c r="I108" s="240">
        <v>2004</v>
      </c>
      <c r="J108" s="240">
        <v>2005</v>
      </c>
      <c r="K108" s="240">
        <v>2006</v>
      </c>
      <c r="L108" s="240">
        <v>2007</v>
      </c>
      <c r="M108" s="240">
        <v>2008</v>
      </c>
      <c r="N108" s="240">
        <v>2009</v>
      </c>
      <c r="O108" s="240">
        <v>2010</v>
      </c>
      <c r="P108" s="240">
        <v>2011</v>
      </c>
      <c r="Q108" s="240">
        <v>2012</v>
      </c>
      <c r="R108" s="240">
        <v>2013</v>
      </c>
      <c r="S108" s="240">
        <v>2014</v>
      </c>
      <c r="T108" s="240">
        <v>2015</v>
      </c>
      <c r="U108" s="240">
        <v>2016</v>
      </c>
      <c r="V108" s="240">
        <v>2017</v>
      </c>
      <c r="W108" s="240">
        <v>2018</v>
      </c>
      <c r="X108" s="240">
        <v>2019</v>
      </c>
      <c r="Y108" s="240">
        <v>2020</v>
      </c>
      <c r="Z108" s="240">
        <v>2021</v>
      </c>
      <c r="AA108" s="240">
        <v>2022</v>
      </c>
      <c r="AB108" s="240">
        <v>2023</v>
      </c>
      <c r="AC108" s="240">
        <v>2024</v>
      </c>
      <c r="AD108" s="240">
        <v>2025</v>
      </c>
      <c r="AE108" s="240">
        <v>2026</v>
      </c>
      <c r="AF108" s="240">
        <v>2027</v>
      </c>
      <c r="AG108" s="240">
        <v>2028</v>
      </c>
      <c r="AH108" s="240">
        <v>2029</v>
      </c>
      <c r="AI108" s="240">
        <v>2030</v>
      </c>
    </row>
    <row r="109" spans="2:35">
      <c r="B109" s="238" t="s">
        <v>351</v>
      </c>
      <c r="C109" s="244"/>
      <c r="D109" s="244"/>
      <c r="E109" s="244"/>
      <c r="F109" s="244"/>
      <c r="G109" s="244"/>
      <c r="H109" s="244"/>
      <c r="I109" s="244"/>
      <c r="J109" s="244"/>
      <c r="K109" s="244"/>
      <c r="L109" s="244"/>
      <c r="M109" s="244"/>
      <c r="N109" s="244"/>
      <c r="O109" s="244"/>
      <c r="P109" s="594">
        <f t="shared" ref="P109:U109" si="13">+P25</f>
        <v>10.300000000000011</v>
      </c>
      <c r="Q109" s="594">
        <f t="shared" si="13"/>
        <v>27.499999999999993</v>
      </c>
      <c r="R109" s="244">
        <f t="shared" si="13"/>
        <v>36.577000000000055</v>
      </c>
      <c r="S109" s="244">
        <f t="shared" si="13"/>
        <v>14.836668599896058</v>
      </c>
      <c r="T109" s="244">
        <f t="shared" si="13"/>
        <v>27.680940949999993</v>
      </c>
      <c r="U109" s="244">
        <f t="shared" si="13"/>
        <v>97.799999999999983</v>
      </c>
      <c r="V109" s="603">
        <f>Model!G127</f>
        <v>40.799999999999983</v>
      </c>
      <c r="W109" s="603">
        <f>Model!H127</f>
        <v>30.564052062000428</v>
      </c>
      <c r="X109" s="603">
        <f>Model!I127</f>
        <v>52.048413835646187</v>
      </c>
      <c r="Y109" s="603">
        <f>Model!J127</f>
        <v>113.762</v>
      </c>
      <c r="Z109" s="603">
        <f ca="1">Model!K127</f>
        <v>68.230999999999995</v>
      </c>
      <c r="AA109" s="603">
        <f ca="1">Model!L127</f>
        <v>-22.699999999999989</v>
      </c>
      <c r="AB109" s="603">
        <f>Model!M127</f>
        <v>-43.699999999999989</v>
      </c>
      <c r="AC109" s="603">
        <f ca="1">Model!N127</f>
        <v>-53.289945477012481</v>
      </c>
      <c r="AD109" s="603">
        <f ca="1">Model!O127</f>
        <v>-20.200453149825847</v>
      </c>
      <c r="AE109" s="243"/>
      <c r="AF109" s="243"/>
      <c r="AG109" s="243"/>
      <c r="AH109" s="243"/>
      <c r="AI109" s="243"/>
    </row>
    <row r="110" spans="2:35">
      <c r="B110" s="238" t="s">
        <v>818</v>
      </c>
      <c r="C110" s="244"/>
      <c r="D110" s="244"/>
      <c r="E110" s="244"/>
      <c r="F110" s="244"/>
      <c r="G110" s="244"/>
      <c r="H110" s="244"/>
      <c r="I110" s="244"/>
      <c r="J110" s="244"/>
      <c r="K110" s="244"/>
      <c r="L110" s="244"/>
      <c r="M110" s="244"/>
      <c r="N110" s="244"/>
      <c r="O110" s="244"/>
      <c r="P110" s="594">
        <f>'Model also  old'!B130+'Model also  old'!B129</f>
        <v>-34.4</v>
      </c>
      <c r="Q110" s="594">
        <f>'Model also  old'!C130+'Model also  old'!C129</f>
        <v>-31.699999999999996</v>
      </c>
      <c r="R110" s="244">
        <f>'Model also  old'!D130+'Model also  old'!D129</f>
        <v>-27.900000000000002</v>
      </c>
      <c r="S110" s="244">
        <f>'Model also  old'!E130+'Model also  old'!E129</f>
        <v>-45.699999999999996</v>
      </c>
      <c r="T110" s="244">
        <f>'Model also  old'!F130+'Model also  old'!F129</f>
        <v>-18.436</v>
      </c>
      <c r="U110" s="244">
        <f>'Model also  old'!N130+'Model also  old'!N129</f>
        <v>-80.761289706638578</v>
      </c>
      <c r="V110" s="603">
        <f>Model!G129</f>
        <v>-55</v>
      </c>
      <c r="W110" s="603">
        <f>Model!H129</f>
        <v>-53.000605451376124</v>
      </c>
      <c r="X110" s="603">
        <f>Model!I129</f>
        <v>-54.380977227798752</v>
      </c>
      <c r="Y110" s="603">
        <f>Model!J129</f>
        <v>-54.804000000000002</v>
      </c>
      <c r="Z110" s="603">
        <f>Model!K129</f>
        <v>-62.186</v>
      </c>
      <c r="AA110" s="603">
        <f>Model!L129</f>
        <v>-48.257999999999996</v>
      </c>
      <c r="AB110" s="603">
        <f>Model!M129</f>
        <v>-44.177999999999997</v>
      </c>
      <c r="AC110" s="603">
        <f>Model!N129</f>
        <v>-37.31</v>
      </c>
      <c r="AD110" s="603">
        <f>Model!O129</f>
        <v>-7.5150000000000006</v>
      </c>
      <c r="AE110" s="243"/>
      <c r="AF110" s="243"/>
      <c r="AG110" s="243"/>
      <c r="AH110" s="243"/>
      <c r="AI110" s="243"/>
    </row>
    <row r="111" spans="2:35">
      <c r="B111" s="238" t="s">
        <v>819</v>
      </c>
      <c r="C111" s="244"/>
      <c r="D111" s="244"/>
      <c r="E111" s="244"/>
      <c r="F111" s="244"/>
      <c r="G111" s="244"/>
      <c r="H111" s="244"/>
      <c r="I111" s="244"/>
      <c r="J111" s="244"/>
      <c r="K111" s="244"/>
      <c r="L111" s="244"/>
      <c r="M111" s="244"/>
      <c r="N111" s="244"/>
      <c r="O111" s="244"/>
      <c r="P111" s="594">
        <f>+'Model also  old'!B189</f>
        <v>2.5</v>
      </c>
      <c r="Q111" s="594">
        <f>+'Model also  old'!C189</f>
        <v>-2.4</v>
      </c>
      <c r="R111" s="244">
        <f>+'Model also  old'!D189</f>
        <v>-7.5</v>
      </c>
      <c r="S111" s="244">
        <f>+'Model also  old'!E189</f>
        <v>-2.7</v>
      </c>
      <c r="T111" s="244">
        <f>+'Model also  old'!F189</f>
        <v>-8</v>
      </c>
      <c r="U111" s="244">
        <f>+'Model also  old'!N189</f>
        <v>-2.2517624434590817</v>
      </c>
      <c r="V111" s="603">
        <f>Model!G130</f>
        <v>-6.8</v>
      </c>
      <c r="W111" s="603">
        <f>Model!H130</f>
        <v>-4.048</v>
      </c>
      <c r="X111" s="603">
        <f>Model!I130</f>
        <v>-8.92</v>
      </c>
      <c r="Y111" s="603">
        <f>Model!J130</f>
        <v>-1.327</v>
      </c>
      <c r="Z111" s="603">
        <f>Model!K130</f>
        <v>-3.5530000000000004</v>
      </c>
      <c r="AA111" s="603">
        <f>Model!L130</f>
        <v>-10.089</v>
      </c>
      <c r="AB111" s="603">
        <f>Model!M130</f>
        <v>0.22299999999999998</v>
      </c>
      <c r="AC111" s="603">
        <f>Model!N130</f>
        <v>-2</v>
      </c>
      <c r="AD111" s="603">
        <f ca="1">Model!O130</f>
        <v>0</v>
      </c>
      <c r="AE111" s="243"/>
      <c r="AF111" s="243"/>
      <c r="AG111" s="243"/>
      <c r="AH111" s="243"/>
      <c r="AI111" s="243"/>
    </row>
    <row r="112" spans="2:35">
      <c r="B112" s="238" t="s">
        <v>820</v>
      </c>
      <c r="C112" s="244"/>
      <c r="D112" s="244"/>
      <c r="E112" s="244"/>
      <c r="F112" s="244"/>
      <c r="G112" s="244"/>
      <c r="H112" s="244"/>
      <c r="I112" s="244"/>
      <c r="J112" s="244"/>
      <c r="K112" s="244"/>
      <c r="L112" s="244"/>
      <c r="M112" s="244"/>
      <c r="N112" s="244"/>
      <c r="O112" s="244"/>
      <c r="P112" s="594">
        <f>+'Model also  old'!B188</f>
        <v>6.9000000000000021</v>
      </c>
      <c r="Q112" s="594">
        <f>+'Model also  old'!C188</f>
        <v>-37.5</v>
      </c>
      <c r="R112" s="244">
        <f>+'Model also  old'!D188</f>
        <v>-10</v>
      </c>
      <c r="S112" s="244">
        <f>+'Model also  old'!E188</f>
        <v>-20.399999999999999</v>
      </c>
      <c r="T112" s="244">
        <f>+'Model also  old'!F188</f>
        <v>4.8588090492226925</v>
      </c>
      <c r="U112" s="244">
        <f>+'Model also  old'!N188</f>
        <v>2.4868995751603507E-14</v>
      </c>
      <c r="V112" s="603">
        <f>Model!G132</f>
        <v>-35.000000000000114</v>
      </c>
      <c r="W112" s="603">
        <f>Model!H132</f>
        <v>-39.059943249999748</v>
      </c>
      <c r="X112" s="603">
        <f>Model!I132</f>
        <v>4.580700000000002</v>
      </c>
      <c r="Y112" s="603">
        <f>Model!J132</f>
        <v>3.9852800000000013</v>
      </c>
      <c r="Z112" s="603">
        <f>Model!K132</f>
        <v>-10.285</v>
      </c>
      <c r="AA112" s="603">
        <f>Model!L132</f>
        <v>6.5010000000000012</v>
      </c>
      <c r="AB112" s="603">
        <f>Model!M132</f>
        <v>-12.202000000000002</v>
      </c>
      <c r="AC112" s="603">
        <f>Model!N132</f>
        <v>15</v>
      </c>
      <c r="AD112" s="603">
        <f>Model!O132</f>
        <v>-10</v>
      </c>
      <c r="AE112" s="243"/>
      <c r="AF112" s="243"/>
      <c r="AG112" s="243"/>
      <c r="AH112" s="243"/>
      <c r="AI112" s="243"/>
    </row>
    <row r="113" spans="2:35">
      <c r="B113" s="238"/>
      <c r="C113" s="244"/>
      <c r="D113" s="244"/>
      <c r="E113" s="244"/>
      <c r="F113" s="244"/>
      <c r="G113" s="244"/>
      <c r="H113" s="244"/>
      <c r="I113" s="244"/>
      <c r="J113" s="244"/>
      <c r="K113" s="244"/>
      <c r="L113" s="244"/>
      <c r="M113" s="244"/>
      <c r="N113" s="244"/>
      <c r="O113" s="244"/>
      <c r="P113" s="594"/>
      <c r="Q113" s="594"/>
      <c r="R113" s="244"/>
      <c r="S113" s="244"/>
      <c r="T113" s="244"/>
      <c r="U113" s="244"/>
      <c r="V113" s="603"/>
      <c r="W113" s="603"/>
      <c r="X113" s="603"/>
      <c r="Y113" s="603"/>
      <c r="Z113" s="603"/>
      <c r="AA113" s="603"/>
      <c r="AB113" s="603"/>
      <c r="AC113" s="603"/>
      <c r="AD113" s="603"/>
      <c r="AE113" s="243"/>
      <c r="AF113" s="243"/>
      <c r="AG113" s="243"/>
      <c r="AH113" s="243"/>
      <c r="AI113" s="243"/>
    </row>
    <row r="114" spans="2:35">
      <c r="B114" s="238" t="s">
        <v>821</v>
      </c>
      <c r="C114" s="244"/>
      <c r="D114" s="244"/>
      <c r="E114" s="244"/>
      <c r="F114" s="244"/>
      <c r="G114" s="244"/>
      <c r="H114" s="244"/>
      <c r="I114" s="244"/>
      <c r="J114" s="244"/>
      <c r="K114" s="244"/>
      <c r="L114" s="244"/>
      <c r="M114" s="244"/>
      <c r="N114" s="244"/>
      <c r="O114" s="244"/>
      <c r="P114" s="594">
        <f t="shared" ref="P114:U114" si="14">P118-P117-P116-P115-P113-P112-P111-P110-P109</f>
        <v>16.799999999999983</v>
      </c>
      <c r="Q114" s="594">
        <f t="shared" si="14"/>
        <v>20.6</v>
      </c>
      <c r="R114" s="244">
        <f t="shared" si="14"/>
        <v>80.515999999999977</v>
      </c>
      <c r="S114" s="244">
        <f t="shared" si="14"/>
        <v>-10.561668599896066</v>
      </c>
      <c r="T114" s="244">
        <f t="shared" si="14"/>
        <v>-572.98200599922291</v>
      </c>
      <c r="U114" s="244">
        <f t="shared" si="14"/>
        <v>-34.676691849902184</v>
      </c>
      <c r="V114" s="603">
        <f>Model!G135</f>
        <v>-35.404000000000053</v>
      </c>
      <c r="W114" s="603">
        <f>Model!H135</f>
        <v>1.2053210293755683</v>
      </c>
      <c r="X114" s="603">
        <f>Model!I135</f>
        <v>-2.8815057847367598E-2</v>
      </c>
      <c r="Y114" s="603">
        <f>Model!J135</f>
        <v>-2.8197486899998978</v>
      </c>
      <c r="Z114" s="603">
        <f ca="1">Model!K135</f>
        <v>-8.0046772500001566</v>
      </c>
      <c r="AA114" s="603">
        <f ca="1">Model!L135</f>
        <v>17.167000000000044</v>
      </c>
      <c r="AB114" s="603">
        <f>Model!M135</f>
        <v>-4.0570000000000164</v>
      </c>
      <c r="AC114" s="603">
        <f>Model!N135</f>
        <v>-120</v>
      </c>
      <c r="AD114" s="603">
        <f>Model!O135</f>
        <v>0</v>
      </c>
      <c r="AE114" s="243"/>
      <c r="AF114" s="243"/>
      <c r="AG114" s="243"/>
      <c r="AH114" s="243"/>
      <c r="AI114" s="243"/>
    </row>
    <row r="115" spans="2:35">
      <c r="B115" s="238" t="s">
        <v>822</v>
      </c>
      <c r="C115" s="244"/>
      <c r="D115" s="244"/>
      <c r="E115" s="244"/>
      <c r="F115" s="244"/>
      <c r="G115" s="244"/>
      <c r="H115" s="244"/>
      <c r="I115" s="244"/>
      <c r="J115" s="244"/>
      <c r="K115" s="244"/>
      <c r="L115" s="244"/>
      <c r="M115" s="244"/>
      <c r="N115" s="244"/>
      <c r="O115" s="244"/>
      <c r="P115" s="594">
        <f>+'Model also  old'!B194</f>
        <v>-2.1</v>
      </c>
      <c r="Q115" s="594">
        <f>+'Model also  old'!C194</f>
        <v>-2.5</v>
      </c>
      <c r="R115" s="244">
        <f>+'Model also  old'!D194</f>
        <v>-2.8</v>
      </c>
      <c r="S115" s="244">
        <f>+'Model also  old'!E194</f>
        <v>-3.1</v>
      </c>
      <c r="T115" s="244">
        <f>+'Model also  old'!F194</f>
        <v>0</v>
      </c>
      <c r="U115" s="244">
        <f>+'Model also  old'!N194</f>
        <v>0</v>
      </c>
      <c r="V115" s="603">
        <f>Model!G133</f>
        <v>-2.1</v>
      </c>
      <c r="W115" s="603">
        <f>Model!H133</f>
        <v>-1.5680000000000001</v>
      </c>
      <c r="X115" s="603">
        <f>Model!I133</f>
        <v>-2.0070000000000001</v>
      </c>
      <c r="Y115" s="603">
        <f>Model!J133</f>
        <v>-1.8109999999999999</v>
      </c>
      <c r="Z115" s="603">
        <f>Model!K133</f>
        <v>-1.88</v>
      </c>
      <c r="AA115" s="603">
        <f>Model!L133</f>
        <v>-2.7850000000000001</v>
      </c>
      <c r="AB115" s="603">
        <f>Model!M133</f>
        <v>-1.3940000000000001</v>
      </c>
      <c r="AC115" s="603">
        <f>Model!N133</f>
        <v>0</v>
      </c>
      <c r="AD115" s="603">
        <f>Model!O133</f>
        <v>0</v>
      </c>
      <c r="AE115" s="243"/>
      <c r="AF115" s="243"/>
      <c r="AG115" s="243"/>
      <c r="AH115" s="243"/>
      <c r="AI115" s="243"/>
    </row>
    <row r="116" spans="2:35">
      <c r="B116" s="238" t="s">
        <v>823</v>
      </c>
      <c r="C116" s="244"/>
      <c r="D116" s="244"/>
      <c r="E116" s="244"/>
      <c r="F116" s="244"/>
      <c r="G116" s="244"/>
      <c r="H116" s="244"/>
      <c r="I116" s="244"/>
      <c r="J116" s="244"/>
      <c r="K116" s="244"/>
      <c r="L116" s="244"/>
      <c r="M116" s="244"/>
      <c r="N116" s="244"/>
      <c r="O116" s="244"/>
      <c r="P116" s="594">
        <v>0</v>
      </c>
      <c r="Q116" s="594">
        <v>0</v>
      </c>
      <c r="R116" s="244">
        <v>0</v>
      </c>
      <c r="S116" s="244">
        <v>0</v>
      </c>
      <c r="T116" s="244">
        <v>0</v>
      </c>
      <c r="U116" s="244">
        <v>0</v>
      </c>
      <c r="V116" s="603"/>
      <c r="W116" s="603"/>
      <c r="X116" s="603"/>
      <c r="Y116" s="603"/>
      <c r="Z116" s="603"/>
      <c r="AA116" s="603"/>
      <c r="AB116" s="603"/>
      <c r="AC116" s="603"/>
      <c r="AD116" s="603"/>
      <c r="AE116" s="243"/>
      <c r="AF116" s="243"/>
      <c r="AG116" s="243"/>
      <c r="AH116" s="243"/>
      <c r="AI116" s="243"/>
    </row>
    <row r="117" spans="2:35">
      <c r="B117" s="238" t="s">
        <v>824</v>
      </c>
      <c r="C117" s="244"/>
      <c r="D117" s="244"/>
      <c r="E117" s="244"/>
      <c r="F117" s="244"/>
      <c r="G117" s="244"/>
      <c r="H117" s="244"/>
      <c r="I117" s="244"/>
      <c r="J117" s="244"/>
      <c r="K117" s="244"/>
      <c r="L117" s="244"/>
      <c r="M117" s="244"/>
      <c r="N117" s="244"/>
      <c r="O117" s="244"/>
      <c r="P117" s="594">
        <v>0</v>
      </c>
      <c r="Q117" s="594">
        <v>0</v>
      </c>
      <c r="R117" s="244">
        <v>0</v>
      </c>
      <c r="S117" s="244">
        <v>0</v>
      </c>
      <c r="T117" s="244">
        <v>0</v>
      </c>
      <c r="U117" s="244">
        <v>0</v>
      </c>
      <c r="V117" s="603"/>
      <c r="W117" s="603"/>
      <c r="X117" s="603"/>
      <c r="Y117" s="603"/>
      <c r="Z117" s="603"/>
      <c r="AA117" s="603"/>
      <c r="AB117" s="603"/>
      <c r="AC117" s="603"/>
      <c r="AD117" s="603"/>
      <c r="AE117" s="243"/>
      <c r="AF117" s="243"/>
      <c r="AG117" s="243"/>
      <c r="AH117" s="243"/>
      <c r="AI117" s="243"/>
    </row>
    <row r="118" spans="2:35">
      <c r="B118" s="238" t="s">
        <v>825</v>
      </c>
      <c r="C118" s="244"/>
      <c r="D118" s="244"/>
      <c r="E118" s="244"/>
      <c r="F118" s="244"/>
      <c r="G118" s="244"/>
      <c r="H118" s="244"/>
      <c r="I118" s="244"/>
      <c r="J118" s="244"/>
      <c r="K118" s="244"/>
      <c r="L118" s="244"/>
      <c r="M118" s="244"/>
      <c r="N118" s="244"/>
      <c r="O118" s="244"/>
      <c r="P118" s="594"/>
      <c r="Q118" s="594">
        <f t="shared" ref="Q118:AD118" si="15">-(Q119-P119)</f>
        <v>-26</v>
      </c>
      <c r="R118" s="244">
        <f t="shared" si="15"/>
        <v>68.893000000000029</v>
      </c>
      <c r="S118" s="244">
        <f t="shared" si="15"/>
        <v>-67.625</v>
      </c>
      <c r="T118" s="244">
        <f t="shared" si="15"/>
        <v>-566.87825600000019</v>
      </c>
      <c r="U118" s="244">
        <f t="shared" si="15"/>
        <v>-19.889743999999837</v>
      </c>
      <c r="V118" s="603">
        <f t="shared" si="15"/>
        <v>-103.80000000000018</v>
      </c>
      <c r="W118" s="603">
        <f t="shared" si="15"/>
        <v>-80.286175609999873</v>
      </c>
      <c r="X118" s="603">
        <f t="shared" si="15"/>
        <v>-32.460678449999932</v>
      </c>
      <c r="Y118" s="603">
        <f t="shared" si="15"/>
        <v>21.5365313100001</v>
      </c>
      <c r="Z118" s="603">
        <f t="shared" si="15"/>
        <v>416.10432274999982</v>
      </c>
      <c r="AA118" s="603">
        <f t="shared" si="15"/>
        <v>-25.093999999999937</v>
      </c>
      <c r="AB118" s="603">
        <f t="shared" si="15"/>
        <v>-150.39400000000001</v>
      </c>
      <c r="AC118" s="603">
        <f t="shared" ca="1" si="15"/>
        <v>7.4000545229876025</v>
      </c>
      <c r="AD118" s="603">
        <f t="shared" ca="1" si="15"/>
        <v>-32.715453149825862</v>
      </c>
      <c r="AE118" s="243"/>
      <c r="AF118" s="243"/>
      <c r="AG118" s="243"/>
      <c r="AH118" s="243"/>
      <c r="AI118" s="243"/>
    </row>
    <row r="119" spans="2:35">
      <c r="B119" s="238" t="s">
        <v>160</v>
      </c>
      <c r="C119" s="244"/>
      <c r="D119" s="244"/>
      <c r="E119" s="244"/>
      <c r="F119" s="244"/>
      <c r="G119" s="244"/>
      <c r="H119" s="244"/>
      <c r="I119" s="244"/>
      <c r="J119" s="244"/>
      <c r="K119" s="244"/>
      <c r="L119" s="244"/>
      <c r="M119" s="244"/>
      <c r="N119" s="244"/>
      <c r="O119" s="244"/>
      <c r="P119" s="594">
        <f t="shared" ref="P119:AC119" si="16">P27</f>
        <v>594</v>
      </c>
      <c r="Q119" s="594">
        <f t="shared" si="16"/>
        <v>620</v>
      </c>
      <c r="R119" s="244">
        <f t="shared" si="16"/>
        <v>551.10699999999997</v>
      </c>
      <c r="S119" s="244">
        <f t="shared" si="16"/>
        <v>618.73199999999997</v>
      </c>
      <c r="T119" s="244">
        <f t="shared" si="16"/>
        <v>1185.6102560000002</v>
      </c>
      <c r="U119" s="244">
        <f t="shared" si="16"/>
        <v>1205.5</v>
      </c>
      <c r="V119" s="603">
        <f>V27</f>
        <v>1309.3000000000002</v>
      </c>
      <c r="W119" s="603">
        <f t="shared" si="16"/>
        <v>1389.5861756100001</v>
      </c>
      <c r="X119" s="603">
        <f t="shared" si="16"/>
        <v>1422.04685406</v>
      </c>
      <c r="Y119" s="603">
        <f t="shared" si="16"/>
        <v>1400.5103227499999</v>
      </c>
      <c r="Z119" s="603">
        <f t="shared" si="16"/>
        <v>984.40600000000006</v>
      </c>
      <c r="AA119" s="603">
        <f t="shared" si="16"/>
        <v>1009.5</v>
      </c>
      <c r="AB119" s="603">
        <f t="shared" si="16"/>
        <v>1159.894</v>
      </c>
      <c r="AC119" s="603">
        <f t="shared" ca="1" si="16"/>
        <v>1152.4939454770124</v>
      </c>
      <c r="AD119" s="603">
        <f ca="1">AD27</f>
        <v>1185.2093986268383</v>
      </c>
      <c r="AE119" s="243"/>
      <c r="AF119" s="243"/>
      <c r="AG119" s="243"/>
      <c r="AH119" s="243"/>
      <c r="AI119" s="243"/>
    </row>
    <row r="120" spans="2:35">
      <c r="B120" s="238"/>
      <c r="C120" s="238"/>
      <c r="D120" s="238"/>
      <c r="E120" s="260"/>
      <c r="F120" s="260"/>
      <c r="G120" s="260"/>
      <c r="H120" s="238"/>
      <c r="I120" s="238"/>
      <c r="J120" s="238"/>
      <c r="K120" s="238"/>
      <c r="L120" s="238"/>
      <c r="M120" s="238"/>
      <c r="N120" s="238"/>
      <c r="O120" s="238"/>
      <c r="P120" s="238"/>
      <c r="Q120" s="238"/>
      <c r="R120" s="238"/>
      <c r="S120" s="238"/>
      <c r="T120" s="238"/>
      <c r="U120" s="238"/>
      <c r="V120" s="238"/>
      <c r="W120" s="238"/>
      <c r="X120" s="238"/>
      <c r="Y120" s="238"/>
      <c r="Z120" s="238"/>
      <c r="AA120" s="238"/>
      <c r="AB120" s="238"/>
      <c r="AC120" s="238"/>
      <c r="AD120" s="238"/>
      <c r="AE120" s="238"/>
      <c r="AF120" s="238"/>
      <c r="AG120" s="238"/>
      <c r="AH120" s="238"/>
      <c r="AI120" s="238"/>
    </row>
    <row r="121" spans="2:35">
      <c r="B121" s="240" t="s">
        <v>826</v>
      </c>
      <c r="C121" s="240">
        <v>1998</v>
      </c>
      <c r="D121" s="240">
        <v>1999</v>
      </c>
      <c r="E121" s="240">
        <v>2000</v>
      </c>
      <c r="F121" s="240">
        <v>2001</v>
      </c>
      <c r="G121" s="240">
        <v>2002</v>
      </c>
      <c r="H121" s="240">
        <v>2003</v>
      </c>
      <c r="I121" s="240">
        <v>2004</v>
      </c>
      <c r="J121" s="240">
        <v>2005</v>
      </c>
      <c r="K121" s="240">
        <v>2006</v>
      </c>
      <c r="L121" s="240">
        <v>2007</v>
      </c>
      <c r="M121" s="240">
        <v>2008</v>
      </c>
      <c r="N121" s="240">
        <v>2009</v>
      </c>
      <c r="O121" s="240">
        <v>2010</v>
      </c>
      <c r="P121" s="240">
        <v>2011</v>
      </c>
      <c r="Q121" s="240">
        <v>2012</v>
      </c>
      <c r="R121" s="240">
        <v>2013</v>
      </c>
      <c r="S121" s="240">
        <v>2014</v>
      </c>
      <c r="T121" s="240">
        <v>2015</v>
      </c>
      <c r="U121" s="240">
        <v>2016</v>
      </c>
      <c r="V121" s="240">
        <v>2017</v>
      </c>
      <c r="W121" s="240">
        <v>2018</v>
      </c>
      <c r="X121" s="240">
        <v>2019</v>
      </c>
      <c r="Y121" s="240">
        <v>2020</v>
      </c>
      <c r="Z121" s="240">
        <v>2021</v>
      </c>
      <c r="AA121" s="240">
        <v>2022</v>
      </c>
      <c r="AB121" s="240">
        <v>2023</v>
      </c>
      <c r="AC121" s="240">
        <v>2024</v>
      </c>
      <c r="AD121" s="240">
        <v>2025</v>
      </c>
      <c r="AE121" s="240">
        <v>2026</v>
      </c>
      <c r="AF121" s="240">
        <v>2027</v>
      </c>
      <c r="AG121" s="240">
        <v>2028</v>
      </c>
      <c r="AH121" s="240">
        <v>2029</v>
      </c>
      <c r="AI121" s="240">
        <v>2030</v>
      </c>
    </row>
    <row r="122" spans="2:35">
      <c r="B122" s="238" t="s">
        <v>827</v>
      </c>
      <c r="C122" s="241"/>
      <c r="D122" s="241"/>
      <c r="E122" s="241"/>
      <c r="F122" s="241"/>
      <c r="G122" s="241"/>
      <c r="H122" s="241"/>
      <c r="I122" s="241"/>
      <c r="J122" s="241"/>
      <c r="K122" s="241"/>
      <c r="L122" s="241"/>
      <c r="M122" s="241"/>
      <c r="N122" s="241"/>
      <c r="O122" s="241"/>
      <c r="P122" s="595">
        <f t="shared" ref="P122:U122" si="17">-P14</f>
        <v>0</v>
      </c>
      <c r="Q122" s="595">
        <f t="shared" si="17"/>
        <v>0</v>
      </c>
      <c r="R122" s="241">
        <f t="shared" ca="1" si="17"/>
        <v>91.4627256652591</v>
      </c>
      <c r="S122" s="241">
        <f t="shared" ca="1" si="17"/>
        <v>119.97337401686548</v>
      </c>
      <c r="T122" s="241">
        <f t="shared" ca="1" si="17"/>
        <v>142.10958581176018</v>
      </c>
      <c r="U122" s="241">
        <f t="shared" ca="1" si="17"/>
        <v>153.67960888977106</v>
      </c>
      <c r="V122" s="241">
        <f t="shared" ref="V122:AD122" ca="1" si="18">-V14</f>
        <v>162.15347261745993</v>
      </c>
      <c r="W122" s="241">
        <f t="shared" ca="1" si="18"/>
        <v>2222.5968096977535</v>
      </c>
      <c r="X122" s="241">
        <f t="shared" ca="1" si="18"/>
        <v>2348.7219367387115</v>
      </c>
      <c r="Y122" s="241">
        <f t="shared" ca="1" si="18"/>
        <v>2486.5101385332505</v>
      </c>
      <c r="Z122" s="241">
        <f t="shared" ca="1" si="18"/>
        <v>2587.795660999845</v>
      </c>
      <c r="AA122" s="241">
        <f t="shared" ca="1" si="18"/>
        <v>2723.0179750998354</v>
      </c>
      <c r="AB122" s="241">
        <f t="shared" ca="1" si="18"/>
        <v>2857.0390611771245</v>
      </c>
      <c r="AC122" s="241">
        <f t="shared" ca="1" si="18"/>
        <v>3020.9022242897831</v>
      </c>
      <c r="AD122" s="241">
        <f t="shared" ca="1" si="18"/>
        <v>3189.7068754951952</v>
      </c>
      <c r="AE122" s="243"/>
      <c r="AF122" s="243"/>
      <c r="AG122" s="243"/>
      <c r="AH122" s="243"/>
      <c r="AI122" s="243"/>
    </row>
    <row r="123" spans="2:35">
      <c r="B123" s="238" t="s">
        <v>828</v>
      </c>
      <c r="C123" s="241"/>
      <c r="D123" s="241"/>
      <c r="E123" s="241"/>
      <c r="F123" s="241"/>
      <c r="G123" s="241"/>
      <c r="H123" s="241"/>
      <c r="I123" s="241"/>
      <c r="J123" s="241"/>
      <c r="K123" s="241"/>
      <c r="L123" s="241"/>
      <c r="M123" s="241"/>
      <c r="N123" s="241"/>
      <c r="O123" s="241"/>
      <c r="P123" s="595">
        <f t="shared" ref="P123:U123" si="19">+P10</f>
        <v>10</v>
      </c>
      <c r="Q123" s="595">
        <f t="shared" si="19"/>
        <v>10</v>
      </c>
      <c r="R123" s="241">
        <f t="shared" si="19"/>
        <v>73.442999999999998</v>
      </c>
      <c r="S123" s="241">
        <f t="shared" si="19"/>
        <v>73.442999999999998</v>
      </c>
      <c r="T123" s="241">
        <f t="shared" si="19"/>
        <v>73.442999999999998</v>
      </c>
      <c r="U123" s="241">
        <f t="shared" si="19"/>
        <v>70.442999999999998</v>
      </c>
      <c r="V123" s="241">
        <f t="shared" ref="V123:AD123" si="20">+V10</f>
        <v>70.442999999999998</v>
      </c>
      <c r="W123" s="241">
        <f t="shared" si="20"/>
        <v>70.442999999999998</v>
      </c>
      <c r="X123" s="241">
        <f t="shared" si="20"/>
        <v>457.98541807853769</v>
      </c>
      <c r="Y123" s="241">
        <f t="shared" si="20"/>
        <v>476.69698156976511</v>
      </c>
      <c r="Z123" s="241">
        <f t="shared" si="20"/>
        <v>480.88968416906732</v>
      </c>
      <c r="AA123" s="241">
        <f t="shared" si="20"/>
        <v>499.04527188317502</v>
      </c>
      <c r="AB123" s="241">
        <f t="shared" si="20"/>
        <v>514.13148426355497</v>
      </c>
      <c r="AC123" s="241">
        <f t="shared" si="20"/>
        <v>530.42444878484366</v>
      </c>
      <c r="AD123" s="241">
        <f t="shared" si="20"/>
        <v>547.95567860975029</v>
      </c>
      <c r="AE123" s="243"/>
      <c r="AF123" s="243"/>
      <c r="AG123" s="243"/>
      <c r="AH123" s="243"/>
      <c r="AI123" s="243"/>
    </row>
    <row r="124" spans="2:35">
      <c r="B124" s="238"/>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c r="Y124" s="243"/>
      <c r="Z124" s="243"/>
      <c r="AA124" s="243"/>
      <c r="AB124" s="243"/>
      <c r="AC124" s="243"/>
      <c r="AD124" s="243"/>
      <c r="AE124" s="243"/>
      <c r="AF124" s="243"/>
      <c r="AG124" s="243"/>
      <c r="AH124" s="243"/>
      <c r="AI124" s="243"/>
    </row>
    <row r="125" spans="2:35">
      <c r="B125" s="238"/>
      <c r="C125" s="243"/>
      <c r="D125" s="243"/>
      <c r="E125" s="243"/>
      <c r="F125" s="243"/>
      <c r="G125" s="243"/>
      <c r="H125" s="243"/>
      <c r="I125" s="243"/>
      <c r="J125" s="261"/>
      <c r="K125" s="261"/>
      <c r="L125" s="261"/>
      <c r="M125" s="261"/>
      <c r="N125" s="261"/>
      <c r="O125" s="261"/>
      <c r="P125" s="261"/>
      <c r="Q125" s="261"/>
      <c r="R125" s="261"/>
      <c r="S125" s="261"/>
      <c r="T125" s="261"/>
      <c r="U125" s="261"/>
      <c r="V125" s="261"/>
      <c r="W125" s="261"/>
      <c r="X125" s="261"/>
      <c r="Y125" s="261"/>
      <c r="Z125" s="243"/>
      <c r="AA125" s="243"/>
      <c r="AB125" s="243"/>
      <c r="AC125" s="243"/>
      <c r="AD125" s="243"/>
      <c r="AE125" s="243"/>
      <c r="AF125" s="243"/>
      <c r="AG125" s="243"/>
      <c r="AH125" s="243"/>
      <c r="AI125" s="243"/>
    </row>
    <row r="126" spans="2:35">
      <c r="B126" s="238"/>
      <c r="C126" s="243"/>
      <c r="D126" s="243"/>
      <c r="E126" s="243"/>
      <c r="F126" s="243"/>
      <c r="G126" s="243"/>
      <c r="H126" s="262"/>
      <c r="I126" s="243"/>
      <c r="J126" s="261"/>
      <c r="K126" s="261"/>
      <c r="L126" s="261"/>
      <c r="M126" s="261"/>
      <c r="N126" s="261"/>
      <c r="O126" s="261"/>
      <c r="P126" s="261"/>
      <c r="Q126" s="261"/>
      <c r="R126" s="261"/>
      <c r="S126" s="261"/>
      <c r="T126" s="261"/>
      <c r="U126" s="261"/>
      <c r="V126" s="261"/>
      <c r="W126" s="261"/>
      <c r="X126" s="261"/>
      <c r="Y126" s="261"/>
      <c r="Z126" s="243"/>
      <c r="AA126" s="243"/>
      <c r="AB126" s="243"/>
      <c r="AC126" s="243"/>
      <c r="AD126" s="243"/>
      <c r="AE126" s="243"/>
      <c r="AF126" s="243"/>
      <c r="AG126" s="243"/>
      <c r="AH126" s="243"/>
      <c r="AI126" s="243"/>
    </row>
    <row r="127" spans="2:35">
      <c r="B127" s="238"/>
      <c r="C127" s="243"/>
      <c r="D127" s="243"/>
      <c r="E127" s="243"/>
      <c r="F127" s="243"/>
      <c r="G127" s="243"/>
      <c r="H127" s="243"/>
      <c r="I127" s="243"/>
      <c r="J127" s="244"/>
      <c r="K127" s="244"/>
      <c r="L127" s="244"/>
      <c r="M127" s="244"/>
      <c r="N127" s="244"/>
      <c r="O127" s="244"/>
      <c r="P127" s="244"/>
      <c r="Q127" s="244"/>
      <c r="R127" s="244"/>
      <c r="S127" s="244"/>
      <c r="T127" s="244"/>
      <c r="U127" s="244"/>
      <c r="V127" s="244"/>
      <c r="W127" s="244"/>
      <c r="X127" s="244"/>
      <c r="Y127" s="244"/>
      <c r="Z127" s="243"/>
      <c r="AA127" s="243"/>
      <c r="AB127" s="243"/>
      <c r="AC127" s="243"/>
      <c r="AD127" s="243"/>
      <c r="AE127" s="243"/>
      <c r="AF127" s="243"/>
      <c r="AG127" s="243"/>
      <c r="AH127" s="243"/>
      <c r="AI127" s="243"/>
    </row>
    <row r="128" spans="2:35">
      <c r="B128" s="238"/>
      <c r="C128" s="238"/>
      <c r="D128" s="238"/>
      <c r="E128" s="238"/>
      <c r="F128" s="238"/>
      <c r="G128" s="238"/>
      <c r="H128" s="238"/>
      <c r="I128" s="238"/>
      <c r="J128" s="238"/>
      <c r="K128" s="238"/>
      <c r="L128" s="238"/>
      <c r="M128" s="238"/>
      <c r="N128" s="238"/>
      <c r="O128" s="238"/>
      <c r="P128" s="238"/>
      <c r="Q128" s="238"/>
      <c r="R128" s="238"/>
      <c r="S128" s="238"/>
      <c r="T128" s="238"/>
      <c r="U128" s="238"/>
      <c r="V128" s="238"/>
      <c r="W128" s="238"/>
      <c r="X128" s="238"/>
      <c r="Y128" s="238"/>
      <c r="Z128" s="238"/>
      <c r="AA128" s="238"/>
      <c r="AB128" s="238"/>
      <c r="AC128" s="238"/>
      <c r="AD128" s="238"/>
      <c r="AE128" s="238"/>
      <c r="AF128" s="238"/>
      <c r="AG128" s="238"/>
      <c r="AH128" s="238"/>
      <c r="AI128" s="238"/>
    </row>
    <row r="129" spans="2:35">
      <c r="B129" s="240" t="s">
        <v>829</v>
      </c>
      <c r="C129" s="240">
        <v>1998</v>
      </c>
      <c r="D129" s="240">
        <v>1999</v>
      </c>
      <c r="E129" s="240">
        <v>2000</v>
      </c>
      <c r="F129" s="240">
        <v>2001</v>
      </c>
      <c r="G129" s="240">
        <v>2002</v>
      </c>
      <c r="H129" s="240">
        <v>2003</v>
      </c>
      <c r="I129" s="240">
        <v>2004</v>
      </c>
      <c r="J129" s="240">
        <v>2005</v>
      </c>
      <c r="K129" s="240">
        <v>2006</v>
      </c>
      <c r="L129" s="240">
        <v>2007</v>
      </c>
      <c r="M129" s="240">
        <v>2008</v>
      </c>
      <c r="N129" s="240">
        <v>2009</v>
      </c>
      <c r="O129" s="240">
        <v>2010</v>
      </c>
      <c r="P129" s="240">
        <v>2011</v>
      </c>
      <c r="Q129" s="240">
        <v>2012</v>
      </c>
      <c r="R129" s="240">
        <v>2013</v>
      </c>
      <c r="S129" s="240">
        <v>2014</v>
      </c>
      <c r="T129" s="240">
        <v>2015</v>
      </c>
      <c r="U129" s="240">
        <v>2016</v>
      </c>
      <c r="V129" s="240">
        <v>2017</v>
      </c>
      <c r="W129" s="240">
        <v>2018</v>
      </c>
      <c r="X129" s="240">
        <v>2019</v>
      </c>
      <c r="Y129" s="240">
        <v>2020</v>
      </c>
      <c r="Z129" s="240">
        <v>2021</v>
      </c>
      <c r="AA129" s="240">
        <v>2022</v>
      </c>
      <c r="AB129" s="240">
        <v>2023</v>
      </c>
      <c r="AC129" s="240">
        <v>2024</v>
      </c>
      <c r="AD129" s="240">
        <v>2025</v>
      </c>
      <c r="AE129" s="240">
        <v>2026</v>
      </c>
      <c r="AF129" s="240">
        <v>2027</v>
      </c>
      <c r="AG129" s="240">
        <v>2028</v>
      </c>
      <c r="AH129" s="240">
        <v>2029</v>
      </c>
      <c r="AI129" s="240">
        <v>2030</v>
      </c>
    </row>
    <row r="130" spans="2:35">
      <c r="B130" s="237"/>
      <c r="C130" s="241"/>
      <c r="D130" s="241"/>
      <c r="E130" s="241"/>
      <c r="F130" s="241"/>
      <c r="G130" s="241"/>
      <c r="H130" s="241"/>
      <c r="I130" s="241"/>
      <c r="J130" s="241"/>
      <c r="K130" s="241"/>
      <c r="L130" s="241"/>
      <c r="M130" s="241"/>
      <c r="N130" s="241"/>
      <c r="O130" s="241"/>
      <c r="P130" s="241"/>
      <c r="Q130" s="241"/>
      <c r="R130" s="243"/>
      <c r="S130" s="243"/>
      <c r="T130" s="243"/>
      <c r="U130" s="243"/>
      <c r="V130" s="243"/>
      <c r="W130" s="243"/>
      <c r="X130" s="243"/>
      <c r="Y130" s="243"/>
      <c r="Z130" s="243"/>
      <c r="AA130" s="243"/>
      <c r="AB130" s="243"/>
      <c r="AC130" s="243"/>
      <c r="AD130" s="243"/>
      <c r="AE130" s="243"/>
      <c r="AF130" s="243"/>
      <c r="AG130" s="243"/>
      <c r="AH130" s="243"/>
      <c r="AI130" s="243"/>
    </row>
    <row r="131" spans="2:35">
      <c r="B131" s="238"/>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243"/>
      <c r="AF131" s="243"/>
      <c r="AG131" s="243"/>
      <c r="AH131" s="243"/>
      <c r="AI131" s="243"/>
    </row>
    <row r="132" spans="2:35">
      <c r="B132" s="238"/>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1"/>
      <c r="Y132" s="241"/>
      <c r="Z132" s="241"/>
      <c r="AA132" s="241"/>
      <c r="AB132" s="241"/>
      <c r="AC132" s="241"/>
      <c r="AD132" s="241"/>
      <c r="AE132" s="243"/>
      <c r="AF132" s="243"/>
      <c r="AG132" s="243"/>
      <c r="AH132" s="243"/>
      <c r="AI132" s="243"/>
    </row>
    <row r="133" spans="2:35">
      <c r="B133" s="238"/>
      <c r="C133" s="241"/>
      <c r="D133" s="241"/>
      <c r="E133" s="241"/>
      <c r="F133" s="241"/>
      <c r="G133" s="241"/>
      <c r="H133" s="241"/>
      <c r="I133" s="241"/>
      <c r="J133" s="241"/>
      <c r="K133" s="241"/>
      <c r="L133" s="241"/>
      <c r="M133" s="241"/>
      <c r="N133" s="241"/>
      <c r="O133" s="241"/>
      <c r="P133" s="241"/>
      <c r="Q133" s="241"/>
      <c r="R133" s="241"/>
      <c r="S133" s="241"/>
      <c r="T133" s="241"/>
      <c r="U133" s="241"/>
      <c r="V133" s="241"/>
      <c r="W133" s="241"/>
      <c r="X133" s="241"/>
      <c r="Y133" s="241"/>
      <c r="Z133" s="241"/>
      <c r="AA133" s="241"/>
      <c r="AB133" s="241"/>
      <c r="AC133" s="241"/>
      <c r="AD133" s="241"/>
      <c r="AE133" s="243"/>
      <c r="AF133" s="243"/>
      <c r="AG133" s="243"/>
      <c r="AH133" s="243"/>
      <c r="AI133" s="243"/>
    </row>
    <row r="134" spans="2:35">
      <c r="B134" s="238"/>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1"/>
      <c r="Z134" s="241"/>
      <c r="AA134" s="241"/>
      <c r="AB134" s="241"/>
      <c r="AC134" s="241"/>
      <c r="AD134" s="241"/>
      <c r="AE134" s="243"/>
      <c r="AF134" s="243"/>
      <c r="AG134" s="243"/>
      <c r="AH134" s="243"/>
      <c r="AI134" s="243"/>
    </row>
    <row r="135" spans="2:35">
      <c r="B135" s="238"/>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c r="Y135" s="241"/>
      <c r="Z135" s="243"/>
      <c r="AA135" s="243"/>
      <c r="AB135" s="243"/>
      <c r="AC135" s="243"/>
      <c r="AD135" s="243"/>
      <c r="AE135" s="243"/>
      <c r="AF135" s="243"/>
      <c r="AG135" s="243"/>
      <c r="AH135" s="243"/>
      <c r="AI135" s="243"/>
    </row>
    <row r="136" spans="2:35">
      <c r="B136" s="238"/>
      <c r="C136" s="241"/>
      <c r="D136" s="241"/>
      <c r="E136" s="241"/>
      <c r="F136" s="241"/>
      <c r="G136" s="241"/>
      <c r="H136" s="241"/>
      <c r="I136" s="241"/>
      <c r="J136" s="241"/>
      <c r="K136" s="241"/>
      <c r="L136" s="241"/>
      <c r="M136" s="241"/>
      <c r="N136" s="241"/>
      <c r="O136" s="241"/>
      <c r="P136" s="241"/>
      <c r="Q136" s="241"/>
      <c r="R136" s="241"/>
      <c r="S136" s="241"/>
      <c r="T136" s="241"/>
      <c r="U136" s="243"/>
      <c r="V136" s="243"/>
      <c r="W136" s="243"/>
      <c r="X136" s="243"/>
      <c r="Y136" s="243"/>
      <c r="Z136" s="243"/>
      <c r="AA136" s="243"/>
      <c r="AB136" s="243"/>
      <c r="AC136" s="243"/>
      <c r="AD136" s="243"/>
      <c r="AE136" s="243"/>
      <c r="AF136" s="243"/>
      <c r="AG136" s="243"/>
      <c r="AH136" s="243"/>
      <c r="AI136" s="243"/>
    </row>
    <row r="137" spans="2:35">
      <c r="B137" s="238"/>
      <c r="C137" s="241"/>
      <c r="D137" s="241"/>
      <c r="E137" s="241"/>
      <c r="F137" s="241"/>
      <c r="G137" s="241"/>
      <c r="H137" s="241"/>
      <c r="I137" s="241"/>
      <c r="J137" s="241"/>
      <c r="K137" s="241"/>
      <c r="L137" s="241"/>
      <c r="M137" s="241"/>
      <c r="N137" s="241"/>
      <c r="O137" s="241"/>
      <c r="P137" s="241"/>
      <c r="Q137" s="241"/>
      <c r="R137" s="241"/>
      <c r="S137" s="241"/>
      <c r="T137" s="241"/>
      <c r="U137" s="243"/>
      <c r="V137" s="243"/>
      <c r="W137" s="243"/>
      <c r="X137" s="243"/>
      <c r="Y137" s="243"/>
      <c r="Z137" s="243"/>
      <c r="AA137" s="243"/>
      <c r="AB137" s="243"/>
      <c r="AC137" s="243"/>
      <c r="AD137" s="243"/>
      <c r="AE137" s="243"/>
      <c r="AF137" s="243"/>
      <c r="AG137" s="243"/>
      <c r="AH137" s="243"/>
      <c r="AI137" s="243"/>
    </row>
    <row r="138" spans="2:35">
      <c r="B138" s="237"/>
      <c r="C138" s="241"/>
      <c r="D138" s="241"/>
      <c r="E138" s="241"/>
      <c r="F138" s="241"/>
      <c r="G138" s="241"/>
      <c r="H138" s="241"/>
      <c r="I138" s="241"/>
      <c r="J138" s="241"/>
      <c r="K138" s="241"/>
      <c r="L138" s="241"/>
      <c r="M138" s="241"/>
      <c r="N138" s="241"/>
      <c r="O138" s="241"/>
      <c r="P138" s="241"/>
      <c r="Q138" s="241"/>
      <c r="R138" s="243"/>
      <c r="S138" s="243"/>
      <c r="T138" s="243"/>
      <c r="U138" s="243"/>
      <c r="V138" s="243"/>
      <c r="W138" s="243"/>
      <c r="X138" s="243"/>
      <c r="Y138" s="243"/>
      <c r="Z138" s="243"/>
      <c r="AA138" s="243"/>
      <c r="AB138" s="243"/>
      <c r="AC138" s="243"/>
      <c r="AD138" s="243"/>
      <c r="AE138" s="243"/>
      <c r="AF138" s="243"/>
      <c r="AG138" s="243"/>
      <c r="AH138" s="243"/>
      <c r="AI138" s="243"/>
    </row>
    <row r="139" spans="2:35">
      <c r="B139" s="238"/>
      <c r="C139" s="241"/>
      <c r="D139" s="241"/>
      <c r="E139" s="241"/>
      <c r="F139" s="241"/>
      <c r="G139" s="241"/>
      <c r="H139" s="241"/>
      <c r="I139" s="241"/>
      <c r="J139" s="241"/>
      <c r="K139" s="241"/>
      <c r="L139" s="241"/>
      <c r="M139" s="241"/>
      <c r="N139" s="241"/>
      <c r="O139" s="241"/>
      <c r="P139" s="241"/>
      <c r="Q139" s="241"/>
      <c r="R139" s="241"/>
      <c r="S139" s="241"/>
      <c r="T139" s="241"/>
      <c r="U139" s="243"/>
      <c r="V139" s="243"/>
      <c r="W139" s="243"/>
      <c r="X139" s="243"/>
      <c r="Y139" s="243"/>
      <c r="Z139" s="243"/>
      <c r="AA139" s="243"/>
      <c r="AB139" s="243"/>
      <c r="AC139" s="243"/>
      <c r="AD139" s="243"/>
      <c r="AE139" s="243"/>
      <c r="AF139" s="243"/>
      <c r="AG139" s="243"/>
      <c r="AH139" s="243"/>
      <c r="AI139" s="243"/>
    </row>
    <row r="140" spans="2:35">
      <c r="B140" s="238"/>
      <c r="C140" s="241"/>
      <c r="D140" s="241"/>
      <c r="E140" s="241"/>
      <c r="F140" s="241"/>
      <c r="G140" s="241"/>
      <c r="H140" s="241"/>
      <c r="I140" s="241"/>
      <c r="J140" s="241"/>
      <c r="K140" s="241"/>
      <c r="L140" s="241"/>
      <c r="M140" s="241"/>
      <c r="N140" s="241"/>
      <c r="O140" s="241"/>
      <c r="P140" s="241"/>
      <c r="Q140" s="241"/>
      <c r="R140" s="241"/>
      <c r="S140" s="241"/>
      <c r="T140" s="241"/>
      <c r="U140" s="243"/>
      <c r="V140" s="243"/>
      <c r="W140" s="243"/>
      <c r="X140" s="243"/>
      <c r="Y140" s="243"/>
      <c r="Z140" s="243"/>
      <c r="AA140" s="243"/>
      <c r="AB140" s="243"/>
      <c r="AC140" s="243"/>
      <c r="AD140" s="243"/>
      <c r="AE140" s="243"/>
      <c r="AF140" s="243"/>
      <c r="AG140" s="243"/>
      <c r="AH140" s="243"/>
      <c r="AI140" s="243"/>
    </row>
    <row r="141" spans="2:35">
      <c r="B141" s="238"/>
      <c r="C141" s="241"/>
      <c r="D141" s="241"/>
      <c r="E141" s="241"/>
      <c r="F141" s="241"/>
      <c r="G141" s="241"/>
      <c r="H141" s="241"/>
      <c r="I141" s="241"/>
      <c r="J141" s="241"/>
      <c r="K141" s="241"/>
      <c r="L141" s="241"/>
      <c r="M141" s="241"/>
      <c r="N141" s="241"/>
      <c r="O141" s="241"/>
      <c r="P141" s="241"/>
      <c r="Q141" s="241"/>
      <c r="R141" s="241"/>
      <c r="S141" s="241"/>
      <c r="T141" s="241"/>
      <c r="U141" s="243"/>
      <c r="V141" s="243"/>
      <c r="W141" s="243"/>
      <c r="X141" s="243"/>
      <c r="Y141" s="243"/>
      <c r="Z141" s="243"/>
      <c r="AA141" s="243"/>
      <c r="AB141" s="243"/>
      <c r="AC141" s="243"/>
      <c r="AD141" s="243"/>
      <c r="AE141" s="243"/>
      <c r="AF141" s="243"/>
      <c r="AG141" s="243"/>
      <c r="AH141" s="243"/>
      <c r="AI141" s="243"/>
    </row>
    <row r="142" spans="2:35">
      <c r="B142" s="238"/>
      <c r="C142" s="241"/>
      <c r="D142" s="241"/>
      <c r="E142" s="241"/>
      <c r="F142" s="241"/>
      <c r="G142" s="241"/>
      <c r="H142" s="241"/>
      <c r="I142" s="241"/>
      <c r="J142" s="241"/>
      <c r="K142" s="241"/>
      <c r="L142" s="241"/>
      <c r="M142" s="241"/>
      <c r="N142" s="241"/>
      <c r="O142" s="241"/>
      <c r="P142" s="241"/>
      <c r="Q142" s="241"/>
      <c r="R142" s="241"/>
      <c r="S142" s="241"/>
      <c r="T142" s="241"/>
      <c r="U142" s="243"/>
      <c r="V142" s="243"/>
      <c r="W142" s="243"/>
      <c r="X142" s="243"/>
      <c r="Y142" s="243"/>
      <c r="Z142" s="243"/>
      <c r="AA142" s="243"/>
      <c r="AB142" s="243"/>
      <c r="AC142" s="243"/>
      <c r="AD142" s="243"/>
      <c r="AE142" s="243"/>
      <c r="AF142" s="243"/>
      <c r="AG142" s="243"/>
      <c r="AH142" s="243"/>
      <c r="AI142" s="243"/>
    </row>
    <row r="143" spans="2:35">
      <c r="B143" s="238"/>
      <c r="C143" s="241"/>
      <c r="D143" s="241"/>
      <c r="E143" s="241"/>
      <c r="F143" s="241"/>
      <c r="G143" s="241"/>
      <c r="H143" s="241"/>
      <c r="I143" s="241"/>
      <c r="J143" s="241"/>
      <c r="K143" s="241"/>
      <c r="L143" s="241"/>
      <c r="M143" s="241"/>
      <c r="N143" s="241"/>
      <c r="O143" s="241"/>
      <c r="P143" s="241"/>
      <c r="Q143" s="241"/>
      <c r="R143" s="241"/>
      <c r="S143" s="241"/>
      <c r="T143" s="241"/>
      <c r="U143" s="243"/>
      <c r="V143" s="243"/>
      <c r="W143" s="243"/>
      <c r="X143" s="243"/>
      <c r="Y143" s="243"/>
      <c r="Z143" s="243"/>
      <c r="AA143" s="243"/>
      <c r="AB143" s="243"/>
      <c r="AC143" s="243"/>
      <c r="AD143" s="243"/>
      <c r="AE143" s="243"/>
      <c r="AF143" s="243"/>
      <c r="AG143" s="243"/>
      <c r="AH143" s="243"/>
      <c r="AI143" s="243"/>
    </row>
    <row r="144" spans="2:35">
      <c r="B144" s="238"/>
      <c r="C144" s="241"/>
      <c r="D144" s="241"/>
      <c r="E144" s="241"/>
      <c r="F144" s="241"/>
      <c r="G144" s="241"/>
      <c r="H144" s="241"/>
      <c r="I144" s="241"/>
      <c r="J144" s="241"/>
      <c r="K144" s="241"/>
      <c r="L144" s="241"/>
      <c r="M144" s="241"/>
      <c r="N144" s="241"/>
      <c r="O144" s="241"/>
      <c r="P144" s="241"/>
      <c r="Q144" s="241"/>
      <c r="R144" s="241"/>
      <c r="S144" s="241"/>
      <c r="T144" s="241"/>
      <c r="U144" s="243"/>
      <c r="V144" s="243"/>
      <c r="W144" s="243"/>
      <c r="X144" s="243"/>
      <c r="Y144" s="243"/>
      <c r="Z144" s="243"/>
      <c r="AA144" s="243"/>
      <c r="AB144" s="243"/>
      <c r="AC144" s="243"/>
      <c r="AD144" s="243"/>
      <c r="AE144" s="243"/>
      <c r="AF144" s="243"/>
      <c r="AG144" s="243"/>
      <c r="AH144" s="243"/>
      <c r="AI144" s="243"/>
    </row>
    <row r="145" spans="2:35">
      <c r="B145" s="238"/>
      <c r="C145" s="241"/>
      <c r="D145" s="241"/>
      <c r="E145" s="241"/>
      <c r="F145" s="241"/>
      <c r="G145" s="241"/>
      <c r="H145" s="241"/>
      <c r="I145" s="241"/>
      <c r="J145" s="241"/>
      <c r="K145" s="241"/>
      <c r="L145" s="241"/>
      <c r="M145" s="241"/>
      <c r="N145" s="241"/>
      <c r="O145" s="241"/>
      <c r="P145" s="241"/>
      <c r="Q145" s="241"/>
      <c r="R145" s="241"/>
      <c r="S145" s="241"/>
      <c r="T145" s="241"/>
      <c r="U145" s="243"/>
      <c r="V145" s="243"/>
      <c r="W145" s="243"/>
      <c r="X145" s="243"/>
      <c r="Y145" s="243"/>
      <c r="Z145" s="243"/>
      <c r="AA145" s="243"/>
      <c r="AB145" s="243"/>
      <c r="AC145" s="243"/>
      <c r="AD145" s="243"/>
      <c r="AE145" s="243"/>
      <c r="AF145" s="243"/>
      <c r="AG145" s="243"/>
      <c r="AH145" s="243"/>
      <c r="AI145" s="243"/>
    </row>
    <row r="146" spans="2:35">
      <c r="B146" s="237"/>
      <c r="C146" s="241"/>
      <c r="D146" s="241"/>
      <c r="E146" s="241"/>
      <c r="F146" s="241"/>
      <c r="G146" s="241"/>
      <c r="H146" s="241"/>
      <c r="I146" s="241"/>
      <c r="J146" s="241"/>
      <c r="K146" s="241"/>
      <c r="L146" s="241"/>
      <c r="M146" s="241"/>
      <c r="N146" s="241"/>
      <c r="O146" s="241"/>
      <c r="P146" s="241"/>
      <c r="Q146" s="241"/>
      <c r="R146" s="243"/>
      <c r="S146" s="243"/>
      <c r="T146" s="243"/>
      <c r="U146" s="243"/>
      <c r="V146" s="243"/>
      <c r="W146" s="243"/>
      <c r="X146" s="243"/>
      <c r="Y146" s="243"/>
      <c r="Z146" s="243"/>
      <c r="AA146" s="243"/>
      <c r="AB146" s="243"/>
      <c r="AC146" s="243"/>
      <c r="AD146" s="243"/>
      <c r="AE146" s="243"/>
      <c r="AF146" s="243"/>
      <c r="AG146" s="243"/>
      <c r="AH146" s="243"/>
      <c r="AI146" s="243"/>
    </row>
    <row r="147" spans="2:35">
      <c r="B147" s="238"/>
      <c r="C147" s="241"/>
      <c r="D147" s="241"/>
      <c r="E147" s="241"/>
      <c r="F147" s="241"/>
      <c r="G147" s="241"/>
      <c r="H147" s="241"/>
      <c r="I147" s="241"/>
      <c r="J147" s="241"/>
      <c r="K147" s="241"/>
      <c r="L147" s="241"/>
      <c r="M147" s="241"/>
      <c r="N147" s="241"/>
      <c r="O147" s="241"/>
      <c r="P147" s="241"/>
      <c r="Q147" s="241"/>
      <c r="R147" s="243"/>
      <c r="S147" s="243"/>
      <c r="T147" s="243"/>
      <c r="U147" s="243"/>
      <c r="V147" s="243"/>
      <c r="W147" s="243"/>
      <c r="X147" s="243"/>
      <c r="Y147" s="243"/>
      <c r="Z147" s="243"/>
      <c r="AA147" s="243"/>
      <c r="AB147" s="243"/>
      <c r="AC147" s="243"/>
      <c r="AD147" s="243"/>
      <c r="AE147" s="243"/>
      <c r="AF147" s="243"/>
      <c r="AG147" s="243"/>
      <c r="AH147" s="243"/>
      <c r="AI147" s="243"/>
    </row>
    <row r="148" spans="2:35">
      <c r="B148" s="238"/>
      <c r="C148" s="241"/>
      <c r="D148" s="241"/>
      <c r="E148" s="241"/>
      <c r="F148" s="241"/>
      <c r="G148" s="241"/>
      <c r="H148" s="241"/>
      <c r="I148" s="241"/>
      <c r="J148" s="241"/>
      <c r="K148" s="241"/>
      <c r="L148" s="241"/>
      <c r="M148" s="241"/>
      <c r="N148" s="241"/>
      <c r="O148" s="241"/>
      <c r="P148" s="241"/>
      <c r="Q148" s="241"/>
      <c r="R148" s="243"/>
      <c r="S148" s="243"/>
      <c r="T148" s="243"/>
      <c r="U148" s="243"/>
      <c r="V148" s="243"/>
      <c r="W148" s="243"/>
      <c r="X148" s="243"/>
      <c r="Y148" s="243"/>
      <c r="Z148" s="243"/>
      <c r="AA148" s="243"/>
      <c r="AB148" s="243"/>
      <c r="AC148" s="243"/>
      <c r="AD148" s="243"/>
      <c r="AE148" s="243"/>
      <c r="AF148" s="243"/>
      <c r="AG148" s="243"/>
      <c r="AH148" s="243"/>
      <c r="AI148" s="243"/>
    </row>
    <row r="149" spans="2:35">
      <c r="B149" s="238"/>
      <c r="C149" s="241"/>
      <c r="D149" s="241"/>
      <c r="E149" s="241"/>
      <c r="F149" s="241"/>
      <c r="G149" s="241"/>
      <c r="H149" s="241"/>
      <c r="I149" s="241"/>
      <c r="J149" s="241"/>
      <c r="K149" s="241"/>
      <c r="L149" s="241"/>
      <c r="M149" s="241"/>
      <c r="N149" s="241"/>
      <c r="O149" s="241"/>
      <c r="P149" s="241"/>
      <c r="Q149" s="241"/>
      <c r="R149" s="243"/>
      <c r="S149" s="243"/>
      <c r="T149" s="243"/>
      <c r="U149" s="243"/>
      <c r="V149" s="243"/>
      <c r="W149" s="243"/>
      <c r="X149" s="243"/>
      <c r="Y149" s="243"/>
      <c r="Z149" s="243"/>
      <c r="AA149" s="243"/>
      <c r="AB149" s="243"/>
      <c r="AC149" s="243"/>
      <c r="AD149" s="243"/>
      <c r="AE149" s="243"/>
      <c r="AF149" s="243"/>
      <c r="AG149" s="243"/>
      <c r="AH149" s="243"/>
      <c r="AI149" s="243"/>
    </row>
    <row r="150" spans="2:35">
      <c r="B150" s="238"/>
      <c r="C150" s="241"/>
      <c r="D150" s="241"/>
      <c r="E150" s="241"/>
      <c r="F150" s="241"/>
      <c r="G150" s="241"/>
      <c r="H150" s="241"/>
      <c r="I150" s="241"/>
      <c r="J150" s="241"/>
      <c r="K150" s="241"/>
      <c r="L150" s="241"/>
      <c r="M150" s="241"/>
      <c r="N150" s="241"/>
      <c r="O150" s="241"/>
      <c r="P150" s="241"/>
      <c r="Q150" s="241"/>
      <c r="R150" s="243"/>
      <c r="S150" s="243"/>
      <c r="T150" s="243"/>
      <c r="U150" s="243"/>
      <c r="V150" s="243"/>
      <c r="W150" s="243"/>
      <c r="X150" s="243"/>
      <c r="Y150" s="243"/>
      <c r="Z150" s="243"/>
      <c r="AA150" s="243"/>
      <c r="AB150" s="243"/>
      <c r="AC150" s="243"/>
      <c r="AD150" s="243"/>
      <c r="AE150" s="243"/>
      <c r="AF150" s="243"/>
      <c r="AG150" s="243"/>
      <c r="AH150" s="243"/>
      <c r="AI150" s="243"/>
    </row>
    <row r="151" spans="2:35">
      <c r="B151" s="238"/>
      <c r="C151" s="241"/>
      <c r="D151" s="241"/>
      <c r="E151" s="241"/>
      <c r="F151" s="241"/>
      <c r="G151" s="241"/>
      <c r="H151" s="241"/>
      <c r="I151" s="241"/>
      <c r="J151" s="241"/>
      <c r="K151" s="241"/>
      <c r="L151" s="241"/>
      <c r="M151" s="241"/>
      <c r="N151" s="241"/>
      <c r="O151" s="241"/>
      <c r="P151" s="241"/>
      <c r="Q151" s="241"/>
      <c r="R151" s="243"/>
      <c r="S151" s="243"/>
      <c r="T151" s="243"/>
      <c r="U151" s="243"/>
      <c r="V151" s="243"/>
      <c r="W151" s="243"/>
      <c r="X151" s="243"/>
      <c r="Y151" s="243"/>
      <c r="Z151" s="243"/>
      <c r="AA151" s="243"/>
      <c r="AB151" s="243"/>
      <c r="AC151" s="243"/>
      <c r="AD151" s="243"/>
      <c r="AE151" s="243"/>
      <c r="AF151" s="243"/>
      <c r="AG151" s="243"/>
      <c r="AH151" s="243"/>
      <c r="AI151" s="243"/>
    </row>
    <row r="152" spans="2:35">
      <c r="B152" s="238"/>
      <c r="C152" s="241"/>
      <c r="D152" s="241"/>
      <c r="E152" s="241"/>
      <c r="F152" s="241"/>
      <c r="G152" s="241"/>
      <c r="H152" s="241"/>
      <c r="I152" s="241"/>
      <c r="J152" s="241"/>
      <c r="K152" s="241"/>
      <c r="L152" s="241"/>
      <c r="M152" s="241"/>
      <c r="N152" s="241"/>
      <c r="O152" s="241"/>
      <c r="P152" s="241"/>
      <c r="Q152" s="241"/>
      <c r="R152" s="243"/>
      <c r="S152" s="243"/>
      <c r="T152" s="243"/>
      <c r="U152" s="243"/>
      <c r="V152" s="243"/>
      <c r="W152" s="243"/>
      <c r="X152" s="243"/>
      <c r="Y152" s="243"/>
      <c r="Z152" s="243"/>
      <c r="AA152" s="243"/>
      <c r="AB152" s="243"/>
      <c r="AC152" s="243"/>
      <c r="AD152" s="243"/>
      <c r="AE152" s="243"/>
      <c r="AF152" s="243"/>
      <c r="AG152" s="243"/>
      <c r="AH152" s="243"/>
      <c r="AI152" s="243"/>
    </row>
    <row r="153" spans="2:35">
      <c r="B153" s="238"/>
      <c r="C153" s="241"/>
      <c r="D153" s="241"/>
      <c r="E153" s="241"/>
      <c r="F153" s="241"/>
      <c r="G153" s="241"/>
      <c r="H153" s="241"/>
      <c r="I153" s="241"/>
      <c r="J153" s="241"/>
      <c r="K153" s="241"/>
      <c r="L153" s="241"/>
      <c r="M153" s="241"/>
      <c r="N153" s="241"/>
      <c r="O153" s="241"/>
      <c r="P153" s="241"/>
      <c r="Q153" s="241"/>
      <c r="R153" s="243"/>
      <c r="S153" s="243"/>
      <c r="T153" s="243"/>
      <c r="U153" s="243"/>
      <c r="V153" s="243"/>
      <c r="W153" s="243"/>
      <c r="X153" s="243"/>
      <c r="Y153" s="243"/>
      <c r="Z153" s="243"/>
      <c r="AA153" s="243"/>
      <c r="AB153" s="243"/>
      <c r="AC153" s="243"/>
      <c r="AD153" s="243"/>
      <c r="AE153" s="243"/>
      <c r="AF153" s="243"/>
      <c r="AG153" s="243"/>
      <c r="AH153" s="243"/>
      <c r="AI153" s="243"/>
    </row>
    <row r="154" spans="2:35">
      <c r="B154" s="238"/>
      <c r="C154" s="238"/>
      <c r="D154" s="238"/>
      <c r="E154" s="238"/>
      <c r="F154" s="238"/>
      <c r="G154" s="238"/>
      <c r="H154" s="238"/>
      <c r="I154" s="238"/>
      <c r="J154" s="238"/>
      <c r="K154" s="238"/>
      <c r="L154" s="238"/>
      <c r="M154" s="238"/>
      <c r="N154" s="238"/>
      <c r="O154" s="238"/>
      <c r="P154" s="238"/>
      <c r="Q154" s="238"/>
      <c r="R154" s="238"/>
      <c r="S154" s="238"/>
      <c r="T154" s="238"/>
      <c r="U154" s="238"/>
      <c r="V154" s="238"/>
      <c r="W154" s="238"/>
      <c r="X154" s="238"/>
      <c r="Y154" s="238"/>
      <c r="Z154" s="238"/>
      <c r="AA154" s="238"/>
      <c r="AB154" s="238"/>
      <c r="AC154" s="238"/>
      <c r="AD154" s="238"/>
      <c r="AE154" s="238"/>
      <c r="AF154" s="238"/>
      <c r="AG154" s="238"/>
      <c r="AH154" s="238"/>
      <c r="AI154" s="238"/>
    </row>
    <row r="155" spans="2:35">
      <c r="B155" s="240" t="s">
        <v>384</v>
      </c>
      <c r="C155" s="240">
        <v>1998</v>
      </c>
      <c r="D155" s="240">
        <v>1999</v>
      </c>
      <c r="E155" s="240">
        <v>2000</v>
      </c>
      <c r="F155" s="240">
        <v>2001</v>
      </c>
      <c r="G155" s="240">
        <v>2002</v>
      </c>
      <c r="H155" s="240">
        <v>2003</v>
      </c>
      <c r="I155" s="240">
        <v>2004</v>
      </c>
      <c r="J155" s="240">
        <v>2005</v>
      </c>
      <c r="K155" s="240">
        <v>2006</v>
      </c>
      <c r="L155" s="240">
        <v>2007</v>
      </c>
      <c r="M155" s="240">
        <v>2008</v>
      </c>
      <c r="N155" s="240">
        <v>2009</v>
      </c>
      <c r="O155" s="240">
        <v>2010</v>
      </c>
      <c r="P155" s="240">
        <v>2011</v>
      </c>
      <c r="Q155" s="240">
        <v>2012</v>
      </c>
      <c r="R155" s="240">
        <f t="shared" ref="R155:AI155" si="21">Q155+1</f>
        <v>2013</v>
      </c>
      <c r="S155" s="240">
        <f t="shared" si="21"/>
        <v>2014</v>
      </c>
      <c r="T155" s="240">
        <f t="shared" si="21"/>
        <v>2015</v>
      </c>
      <c r="U155" s="240">
        <f t="shared" si="21"/>
        <v>2016</v>
      </c>
      <c r="V155" s="240">
        <f t="shared" si="21"/>
        <v>2017</v>
      </c>
      <c r="W155" s="240">
        <f t="shared" si="21"/>
        <v>2018</v>
      </c>
      <c r="X155" s="240">
        <f t="shared" si="21"/>
        <v>2019</v>
      </c>
      <c r="Y155" s="240">
        <f t="shared" si="21"/>
        <v>2020</v>
      </c>
      <c r="Z155" s="240">
        <f t="shared" si="21"/>
        <v>2021</v>
      </c>
      <c r="AA155" s="240">
        <f t="shared" si="21"/>
        <v>2022</v>
      </c>
      <c r="AB155" s="240">
        <f t="shared" si="21"/>
        <v>2023</v>
      </c>
      <c r="AC155" s="240">
        <f t="shared" si="21"/>
        <v>2024</v>
      </c>
      <c r="AD155" s="240">
        <f t="shared" si="21"/>
        <v>2025</v>
      </c>
      <c r="AE155" s="240">
        <f t="shared" si="21"/>
        <v>2026</v>
      </c>
      <c r="AF155" s="240">
        <f t="shared" si="21"/>
        <v>2027</v>
      </c>
      <c r="AG155" s="240">
        <f t="shared" si="21"/>
        <v>2028</v>
      </c>
      <c r="AH155" s="240">
        <f t="shared" si="21"/>
        <v>2029</v>
      </c>
      <c r="AI155" s="240">
        <f t="shared" si="21"/>
        <v>2030</v>
      </c>
    </row>
    <row r="156" spans="2:35">
      <c r="B156" s="238"/>
      <c r="C156" s="241"/>
      <c r="D156" s="241"/>
      <c r="E156" s="241"/>
      <c r="F156" s="241"/>
      <c r="G156" s="241"/>
      <c r="H156" s="241"/>
      <c r="I156" s="241"/>
      <c r="J156" s="241"/>
      <c r="K156" s="241"/>
      <c r="L156" s="241"/>
      <c r="M156" s="241"/>
      <c r="N156" s="241"/>
      <c r="O156" s="241"/>
      <c r="P156" s="241"/>
      <c r="Q156" s="241"/>
      <c r="R156" s="241"/>
      <c r="S156" s="241"/>
      <c r="T156" s="241"/>
      <c r="U156" s="241"/>
      <c r="V156" s="241"/>
      <c r="W156" s="241"/>
      <c r="X156" s="241"/>
      <c r="Y156" s="241"/>
      <c r="Z156" s="243"/>
      <c r="AA156" s="243"/>
      <c r="AB156" s="243"/>
      <c r="AC156" s="243"/>
      <c r="AD156" s="243"/>
      <c r="AE156" s="243"/>
      <c r="AF156" s="243"/>
      <c r="AG156" s="243"/>
      <c r="AH156" s="243"/>
      <c r="AI156" s="243"/>
    </row>
    <row r="157" spans="2:35">
      <c r="B157" s="238"/>
      <c r="C157" s="241"/>
      <c r="D157" s="241"/>
      <c r="E157" s="241"/>
      <c r="F157" s="241"/>
      <c r="G157" s="241"/>
      <c r="H157" s="241"/>
      <c r="I157" s="241"/>
      <c r="J157" s="241"/>
      <c r="K157" s="241"/>
      <c r="L157" s="241"/>
      <c r="M157" s="241"/>
      <c r="N157" s="241"/>
      <c r="O157" s="241"/>
      <c r="P157" s="241"/>
      <c r="Q157" s="241"/>
      <c r="R157" s="241"/>
      <c r="S157" s="241"/>
      <c r="T157" s="241"/>
      <c r="U157" s="241"/>
      <c r="V157" s="241"/>
      <c r="W157" s="241"/>
      <c r="X157" s="241"/>
      <c r="Y157" s="241"/>
      <c r="Z157" s="243"/>
      <c r="AA157" s="243"/>
      <c r="AB157" s="243"/>
      <c r="AC157" s="243"/>
      <c r="AD157" s="243"/>
      <c r="AE157" s="243"/>
      <c r="AF157" s="243"/>
      <c r="AG157" s="243"/>
      <c r="AH157" s="243"/>
      <c r="AI157" s="243"/>
    </row>
    <row r="158" spans="2:35">
      <c r="B158" s="238"/>
      <c r="C158" s="241"/>
      <c r="D158" s="241"/>
      <c r="E158" s="241"/>
      <c r="F158" s="241"/>
      <c r="G158" s="241"/>
      <c r="H158" s="241"/>
      <c r="I158" s="241"/>
      <c r="J158" s="241"/>
      <c r="K158" s="241"/>
      <c r="L158" s="241"/>
      <c r="M158" s="241"/>
      <c r="N158" s="241"/>
      <c r="O158" s="241"/>
      <c r="P158" s="241"/>
      <c r="Q158" s="241"/>
      <c r="R158" s="241"/>
      <c r="S158" s="241"/>
      <c r="T158" s="241"/>
      <c r="U158" s="241"/>
      <c r="V158" s="241"/>
      <c r="W158" s="241"/>
      <c r="X158" s="241"/>
      <c r="Y158" s="241"/>
      <c r="Z158" s="243"/>
      <c r="AA158" s="243"/>
      <c r="AB158" s="243"/>
      <c r="AC158" s="243"/>
      <c r="AD158" s="243"/>
      <c r="AE158" s="243"/>
      <c r="AF158" s="243"/>
      <c r="AG158" s="243"/>
      <c r="AH158" s="243"/>
      <c r="AI158" s="243"/>
    </row>
    <row r="159" spans="2:35">
      <c r="B159" s="238"/>
      <c r="C159" s="241"/>
      <c r="D159" s="241"/>
      <c r="E159" s="241"/>
      <c r="F159" s="241"/>
      <c r="G159" s="241"/>
      <c r="H159" s="241"/>
      <c r="I159" s="241"/>
      <c r="J159" s="241"/>
      <c r="K159" s="241"/>
      <c r="L159" s="241"/>
      <c r="M159" s="241"/>
      <c r="N159" s="241"/>
      <c r="O159" s="241"/>
      <c r="P159" s="241"/>
      <c r="Q159" s="241"/>
      <c r="R159" s="241"/>
      <c r="S159" s="241"/>
      <c r="T159" s="241"/>
      <c r="U159" s="241"/>
      <c r="V159" s="241"/>
      <c r="W159" s="241"/>
      <c r="X159" s="241"/>
      <c r="Y159" s="241"/>
      <c r="Z159" s="243"/>
      <c r="AA159" s="243"/>
      <c r="AB159" s="243"/>
      <c r="AC159" s="243"/>
      <c r="AD159" s="243"/>
      <c r="AE159" s="243"/>
      <c r="AF159" s="243"/>
      <c r="AG159" s="243"/>
      <c r="AH159" s="243"/>
      <c r="AI159" s="243"/>
    </row>
    <row r="160" spans="2:35">
      <c r="B160" s="238"/>
      <c r="C160" s="241"/>
      <c r="D160" s="241"/>
      <c r="E160" s="241"/>
      <c r="F160" s="241"/>
      <c r="G160" s="241"/>
      <c r="H160" s="241"/>
      <c r="I160" s="241"/>
      <c r="J160" s="241"/>
      <c r="K160" s="241"/>
      <c r="L160" s="241"/>
      <c r="M160" s="241"/>
      <c r="N160" s="241"/>
      <c r="O160" s="241"/>
      <c r="P160" s="241"/>
      <c r="Q160" s="241"/>
      <c r="R160" s="241"/>
      <c r="S160" s="241"/>
      <c r="T160" s="241"/>
      <c r="U160" s="241"/>
      <c r="V160" s="241"/>
      <c r="W160" s="241"/>
      <c r="X160" s="241"/>
      <c r="Y160" s="241"/>
      <c r="Z160" s="243"/>
      <c r="AA160" s="243"/>
      <c r="AB160" s="243"/>
      <c r="AC160" s="243"/>
      <c r="AD160" s="243"/>
      <c r="AE160" s="243"/>
      <c r="AF160" s="243"/>
      <c r="AG160" s="243"/>
      <c r="AH160" s="243"/>
      <c r="AI160" s="243"/>
    </row>
    <row r="161" spans="2:35">
      <c r="B161" s="238"/>
      <c r="C161" s="263"/>
      <c r="D161" s="263"/>
      <c r="E161" s="263"/>
      <c r="F161" s="263"/>
      <c r="G161" s="263"/>
      <c r="H161" s="263"/>
      <c r="I161" s="263"/>
      <c r="J161" s="263"/>
      <c r="K161" s="263"/>
      <c r="L161" s="263"/>
      <c r="M161" s="263"/>
      <c r="N161" s="263"/>
      <c r="O161" s="263"/>
      <c r="P161" s="263"/>
      <c r="Q161" s="263"/>
      <c r="R161" s="263"/>
      <c r="S161" s="263"/>
      <c r="T161" s="263"/>
      <c r="U161" s="263"/>
      <c r="V161" s="263"/>
      <c r="W161" s="263"/>
      <c r="X161" s="263"/>
      <c r="Y161" s="263"/>
      <c r="Z161" s="421"/>
      <c r="AA161" s="421"/>
      <c r="AB161" s="421"/>
      <c r="AC161" s="421"/>
      <c r="AD161" s="421"/>
      <c r="AE161" s="421"/>
      <c r="AF161" s="421"/>
      <c r="AG161" s="421"/>
      <c r="AH161" s="421"/>
      <c r="AI161" s="421"/>
    </row>
    <row r="162" spans="2:35">
      <c r="B162" s="238"/>
      <c r="C162" s="241"/>
      <c r="D162" s="241"/>
      <c r="E162" s="241"/>
      <c r="F162" s="241"/>
      <c r="G162" s="241"/>
      <c r="H162" s="241"/>
      <c r="I162" s="241"/>
      <c r="J162" s="241"/>
      <c r="K162" s="241"/>
      <c r="L162" s="241"/>
      <c r="M162" s="241"/>
      <c r="N162" s="241"/>
      <c r="O162" s="241"/>
      <c r="P162" s="241"/>
      <c r="Q162" s="241"/>
      <c r="R162" s="241"/>
      <c r="S162" s="241"/>
      <c r="T162" s="241"/>
      <c r="U162" s="241"/>
      <c r="V162" s="241"/>
      <c r="W162" s="241"/>
      <c r="X162" s="241"/>
      <c r="Y162" s="241"/>
      <c r="Z162" s="243"/>
      <c r="AA162" s="243"/>
      <c r="AB162" s="243"/>
      <c r="AC162" s="243"/>
      <c r="AD162" s="243"/>
      <c r="AE162" s="243"/>
      <c r="AF162" s="243"/>
      <c r="AG162" s="243"/>
      <c r="AH162" s="243"/>
      <c r="AI162" s="243"/>
    </row>
    <row r="163" spans="2:35">
      <c r="B163" s="238"/>
      <c r="C163" s="241"/>
      <c r="D163" s="241"/>
      <c r="E163" s="241"/>
      <c r="F163" s="241"/>
      <c r="G163" s="241"/>
      <c r="H163" s="241"/>
      <c r="I163" s="241"/>
      <c r="J163" s="241"/>
      <c r="K163" s="241"/>
      <c r="L163" s="241"/>
      <c r="M163" s="241"/>
      <c r="N163" s="241"/>
      <c r="O163" s="241"/>
      <c r="P163" s="241"/>
      <c r="Q163" s="241"/>
      <c r="R163" s="241"/>
      <c r="S163" s="241"/>
      <c r="T163" s="241"/>
      <c r="U163" s="241"/>
      <c r="V163" s="241"/>
      <c r="W163" s="241"/>
      <c r="X163" s="241"/>
      <c r="Y163" s="241"/>
      <c r="Z163" s="243"/>
      <c r="AA163" s="243"/>
      <c r="AB163" s="243"/>
      <c r="AC163" s="243"/>
      <c r="AD163" s="243"/>
      <c r="AE163" s="243"/>
      <c r="AF163" s="243"/>
      <c r="AG163" s="243"/>
      <c r="AH163" s="243"/>
      <c r="AI163" s="243"/>
    </row>
    <row r="164" spans="2:35">
      <c r="B164" s="238"/>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3"/>
      <c r="AA164" s="243"/>
      <c r="AB164" s="243"/>
      <c r="AC164" s="243"/>
      <c r="AD164" s="243"/>
      <c r="AE164" s="243"/>
      <c r="AF164" s="243"/>
      <c r="AG164" s="243"/>
      <c r="AH164" s="243"/>
      <c r="AI164" s="243"/>
    </row>
    <row r="165" spans="2:35">
      <c r="B165" s="238"/>
      <c r="C165" s="241"/>
      <c r="D165" s="241"/>
      <c r="E165" s="241"/>
      <c r="F165" s="241"/>
      <c r="G165" s="241"/>
      <c r="H165" s="241"/>
      <c r="I165" s="241"/>
      <c r="J165" s="241"/>
      <c r="K165" s="241"/>
      <c r="L165" s="241"/>
      <c r="M165" s="241"/>
      <c r="N165" s="241"/>
      <c r="O165" s="241"/>
      <c r="P165" s="241"/>
      <c r="Q165" s="241"/>
      <c r="R165" s="241"/>
      <c r="S165" s="241"/>
      <c r="T165" s="241"/>
      <c r="U165" s="241"/>
      <c r="V165" s="241"/>
      <c r="W165" s="241"/>
      <c r="X165" s="241"/>
      <c r="Y165" s="241"/>
      <c r="Z165" s="243"/>
      <c r="AA165" s="243"/>
      <c r="AB165" s="243"/>
      <c r="AC165" s="243"/>
      <c r="AD165" s="243"/>
      <c r="AE165" s="243"/>
      <c r="AF165" s="243"/>
      <c r="AG165" s="243"/>
      <c r="AH165" s="243"/>
      <c r="AI165" s="243"/>
    </row>
    <row r="166" spans="2:35">
      <c r="B166" s="238"/>
      <c r="C166" s="241"/>
      <c r="D166" s="241"/>
      <c r="E166" s="241"/>
      <c r="F166" s="241"/>
      <c r="G166" s="241"/>
      <c r="H166" s="241"/>
      <c r="I166" s="241"/>
      <c r="J166" s="241"/>
      <c r="K166" s="241"/>
      <c r="L166" s="241"/>
      <c r="M166" s="241"/>
      <c r="N166" s="241"/>
      <c r="O166" s="241"/>
      <c r="P166" s="241"/>
      <c r="Q166" s="241"/>
      <c r="R166" s="241"/>
      <c r="S166" s="241"/>
      <c r="T166" s="241"/>
      <c r="U166" s="241"/>
      <c r="V166" s="241"/>
      <c r="W166" s="241"/>
      <c r="X166" s="241"/>
      <c r="Y166" s="241"/>
      <c r="Z166" s="243"/>
      <c r="AA166" s="243"/>
      <c r="AB166" s="243"/>
      <c r="AC166" s="243"/>
      <c r="AD166" s="243"/>
      <c r="AE166" s="243"/>
      <c r="AF166" s="243"/>
      <c r="AG166" s="243"/>
      <c r="AH166" s="243"/>
      <c r="AI166" s="243"/>
    </row>
    <row r="167" spans="2:35">
      <c r="B167" s="238"/>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1"/>
      <c r="Y167" s="241"/>
      <c r="Z167" s="243"/>
      <c r="AA167" s="243"/>
      <c r="AB167" s="243"/>
      <c r="AC167" s="243"/>
      <c r="AD167" s="243"/>
      <c r="AE167" s="243"/>
      <c r="AF167" s="243"/>
      <c r="AG167" s="243"/>
      <c r="AH167" s="243"/>
      <c r="AI167" s="243"/>
    </row>
    <row r="168" spans="2:35">
      <c r="B168" s="238"/>
      <c r="C168" s="254"/>
      <c r="D168" s="254"/>
      <c r="E168" s="254"/>
      <c r="F168" s="254"/>
      <c r="G168" s="254"/>
      <c r="H168" s="254"/>
      <c r="I168" s="254"/>
      <c r="J168" s="254"/>
      <c r="K168" s="254"/>
      <c r="L168" s="254"/>
      <c r="M168" s="254"/>
      <c r="N168" s="254"/>
      <c r="O168" s="254"/>
      <c r="P168" s="254"/>
      <c r="Q168" s="254"/>
      <c r="R168" s="243"/>
      <c r="S168" s="243"/>
      <c r="T168" s="243"/>
      <c r="U168" s="243"/>
      <c r="V168" s="243"/>
      <c r="W168" s="243"/>
      <c r="X168" s="243"/>
      <c r="Y168" s="243"/>
      <c r="Z168" s="243"/>
      <c r="AA168" s="243"/>
      <c r="AB168" s="243"/>
      <c r="AC168" s="243"/>
      <c r="AD168" s="243"/>
      <c r="AE168" s="243"/>
      <c r="AF168" s="243"/>
      <c r="AG168" s="243"/>
      <c r="AH168" s="243"/>
      <c r="AI168" s="243"/>
    </row>
    <row r="169" spans="2:35">
      <c r="B169" s="238"/>
      <c r="C169" s="254"/>
      <c r="D169" s="254"/>
      <c r="E169" s="254"/>
      <c r="F169" s="254"/>
      <c r="G169" s="254"/>
      <c r="H169" s="254"/>
      <c r="I169" s="254"/>
      <c r="J169" s="254"/>
      <c r="K169" s="254"/>
      <c r="L169" s="254"/>
      <c r="M169" s="254"/>
      <c r="N169" s="254"/>
      <c r="O169" s="254"/>
      <c r="P169" s="254"/>
      <c r="Q169" s="254"/>
      <c r="R169" s="243"/>
      <c r="S169" s="243"/>
      <c r="T169" s="243"/>
      <c r="U169" s="243"/>
      <c r="V169" s="243"/>
      <c r="W169" s="243"/>
      <c r="X169" s="243"/>
      <c r="Y169" s="243"/>
      <c r="Z169" s="243"/>
      <c r="AA169" s="243"/>
      <c r="AB169" s="243"/>
      <c r="AC169" s="243"/>
      <c r="AD169" s="243"/>
      <c r="AE169" s="243"/>
      <c r="AF169" s="243"/>
      <c r="AG169" s="243"/>
      <c r="AH169" s="243"/>
      <c r="AI169" s="243"/>
    </row>
    <row r="170" spans="2:35">
      <c r="B170" s="238"/>
      <c r="C170" s="238"/>
      <c r="D170" s="238"/>
      <c r="E170" s="238"/>
      <c r="F170" s="238"/>
      <c r="G170" s="238"/>
      <c r="H170" s="238"/>
      <c r="I170" s="238"/>
      <c r="J170" s="238"/>
      <c r="K170" s="238"/>
      <c r="L170" s="238"/>
      <c r="M170" s="238"/>
      <c r="N170" s="238"/>
      <c r="O170" s="238"/>
      <c r="P170" s="238"/>
      <c r="Q170" s="238"/>
      <c r="R170" s="238"/>
      <c r="S170" s="238"/>
      <c r="T170" s="238"/>
      <c r="U170" s="238"/>
      <c r="V170" s="238"/>
      <c r="W170" s="238"/>
      <c r="X170" s="238"/>
      <c r="Y170" s="238"/>
      <c r="Z170" s="238"/>
      <c r="AA170" s="238"/>
      <c r="AB170" s="238"/>
      <c r="AC170" s="238"/>
      <c r="AD170" s="238"/>
      <c r="AE170" s="238"/>
      <c r="AF170" s="238"/>
      <c r="AG170" s="238"/>
      <c r="AH170" s="238"/>
      <c r="AI170" s="238"/>
    </row>
    <row r="171" spans="2:35">
      <c r="B171" s="240" t="s">
        <v>319</v>
      </c>
      <c r="C171" s="240">
        <v>1998</v>
      </c>
      <c r="D171" s="240">
        <v>1999</v>
      </c>
      <c r="E171" s="240">
        <v>2000</v>
      </c>
      <c r="F171" s="240">
        <v>2001</v>
      </c>
      <c r="G171" s="240">
        <v>2002</v>
      </c>
      <c r="H171" s="240">
        <v>2003</v>
      </c>
      <c r="I171" s="240">
        <v>2004</v>
      </c>
      <c r="J171" s="240">
        <v>2005</v>
      </c>
      <c r="K171" s="240">
        <v>2006</v>
      </c>
      <c r="L171" s="240">
        <v>2007</v>
      </c>
      <c r="M171" s="240">
        <v>2008</v>
      </c>
      <c r="N171" s="240">
        <v>2009</v>
      </c>
      <c r="O171" s="240">
        <v>2010</v>
      </c>
      <c r="P171" s="240">
        <v>2011</v>
      </c>
      <c r="Q171" s="240">
        <v>2012</v>
      </c>
      <c r="R171" s="240">
        <f t="shared" ref="R171:AI171" si="22">Q171+1</f>
        <v>2013</v>
      </c>
      <c r="S171" s="240">
        <f t="shared" si="22"/>
        <v>2014</v>
      </c>
      <c r="T171" s="240">
        <f t="shared" si="22"/>
        <v>2015</v>
      </c>
      <c r="U171" s="240">
        <f t="shared" si="22"/>
        <v>2016</v>
      </c>
      <c r="V171" s="240">
        <f t="shared" si="22"/>
        <v>2017</v>
      </c>
      <c r="W171" s="240">
        <f t="shared" si="22"/>
        <v>2018</v>
      </c>
      <c r="X171" s="240">
        <f t="shared" si="22"/>
        <v>2019</v>
      </c>
      <c r="Y171" s="240">
        <f t="shared" si="22"/>
        <v>2020</v>
      </c>
      <c r="Z171" s="240">
        <f t="shared" si="22"/>
        <v>2021</v>
      </c>
      <c r="AA171" s="240">
        <f t="shared" si="22"/>
        <v>2022</v>
      </c>
      <c r="AB171" s="240">
        <f t="shared" si="22"/>
        <v>2023</v>
      </c>
      <c r="AC171" s="240">
        <f t="shared" si="22"/>
        <v>2024</v>
      </c>
      <c r="AD171" s="240">
        <f t="shared" si="22"/>
        <v>2025</v>
      </c>
      <c r="AE171" s="240">
        <f t="shared" si="22"/>
        <v>2026</v>
      </c>
      <c r="AF171" s="240">
        <f t="shared" si="22"/>
        <v>2027</v>
      </c>
      <c r="AG171" s="240">
        <f t="shared" si="22"/>
        <v>2028</v>
      </c>
      <c r="AH171" s="240">
        <f t="shared" si="22"/>
        <v>2029</v>
      </c>
      <c r="AI171" s="240">
        <f t="shared" si="22"/>
        <v>2030</v>
      </c>
    </row>
    <row r="172" spans="2:35">
      <c r="B172" s="264" t="s">
        <v>830</v>
      </c>
      <c r="C172" s="265"/>
      <c r="D172" s="265"/>
      <c r="E172" s="265"/>
      <c r="F172" s="265"/>
      <c r="G172" s="243"/>
      <c r="H172" s="243"/>
      <c r="I172" s="243"/>
      <c r="J172" s="243"/>
      <c r="K172" s="243"/>
      <c r="L172" s="243"/>
      <c r="M172" s="243"/>
      <c r="N172" s="265"/>
      <c r="O172" s="265"/>
      <c r="P172" s="265"/>
      <c r="Q172" s="265"/>
      <c r="R172" s="243"/>
      <c r="S172" s="243"/>
      <c r="T172" s="243"/>
      <c r="U172" s="243"/>
      <c r="V172" s="243"/>
      <c r="W172" s="243"/>
      <c r="X172" s="243"/>
      <c r="Y172" s="243"/>
      <c r="Z172" s="243"/>
      <c r="AA172" s="243"/>
      <c r="AB172" s="243"/>
      <c r="AC172" s="243"/>
      <c r="AD172" s="243"/>
      <c r="AE172" s="243"/>
      <c r="AF172" s="243"/>
      <c r="AG172" s="243"/>
      <c r="AH172" s="243"/>
      <c r="AI172" s="243"/>
    </row>
    <row r="173" spans="2:35">
      <c r="B173" s="239" t="s">
        <v>323</v>
      </c>
      <c r="C173" s="265"/>
      <c r="D173" s="258"/>
      <c r="E173" s="265"/>
      <c r="F173" s="265"/>
      <c r="G173" s="243"/>
      <c r="H173" s="265"/>
      <c r="I173" s="243"/>
      <c r="J173" s="265"/>
      <c r="K173" s="265"/>
      <c r="L173" s="265"/>
      <c r="M173" s="265"/>
      <c r="N173" s="265"/>
      <c r="O173" s="265"/>
      <c r="P173" s="265"/>
      <c r="Q173" s="265"/>
      <c r="R173" s="265"/>
      <c r="S173" s="265"/>
      <c r="T173" s="265"/>
      <c r="U173" s="241"/>
      <c r="V173" s="241"/>
      <c r="W173" s="241"/>
      <c r="X173" s="241"/>
      <c r="Y173" s="241"/>
      <c r="Z173" s="241"/>
      <c r="AA173" s="241"/>
      <c r="AB173" s="241"/>
      <c r="AC173" s="241"/>
      <c r="AD173" s="241"/>
      <c r="AE173" s="241"/>
      <c r="AF173" s="241"/>
      <c r="AG173" s="241"/>
      <c r="AH173" s="241"/>
      <c r="AI173" s="241"/>
    </row>
    <row r="174" spans="2:35">
      <c r="B174" s="239" t="s">
        <v>831</v>
      </c>
      <c r="C174" s="265"/>
      <c r="D174" s="258"/>
      <c r="E174" s="265"/>
      <c r="F174" s="265"/>
      <c r="G174" s="258"/>
      <c r="H174" s="258"/>
      <c r="I174" s="243"/>
      <c r="J174" s="265"/>
      <c r="K174" s="265"/>
      <c r="L174" s="265"/>
      <c r="M174" s="265"/>
      <c r="N174" s="265"/>
      <c r="O174" s="265"/>
      <c r="P174" s="265"/>
      <c r="Q174" s="265"/>
      <c r="R174" s="265"/>
      <c r="S174" s="265"/>
      <c r="T174" s="265"/>
      <c r="U174" s="241"/>
      <c r="V174" s="241"/>
      <c r="W174" s="241"/>
      <c r="X174" s="241"/>
      <c r="Y174" s="241"/>
      <c r="Z174" s="241"/>
      <c r="AA174" s="241"/>
      <c r="AB174" s="241"/>
      <c r="AC174" s="241"/>
      <c r="AD174" s="241"/>
      <c r="AE174" s="241"/>
      <c r="AF174" s="241"/>
      <c r="AG174" s="241"/>
      <c r="AH174" s="241"/>
      <c r="AI174" s="241"/>
    </row>
    <row r="175" spans="2:35">
      <c r="B175" s="239" t="s">
        <v>832</v>
      </c>
      <c r="C175" s="265"/>
      <c r="D175" s="258"/>
      <c r="E175" s="265"/>
      <c r="F175" s="265"/>
      <c r="G175" s="258"/>
      <c r="H175" s="258"/>
      <c r="I175" s="243"/>
      <c r="J175" s="265"/>
      <c r="K175" s="265"/>
      <c r="L175" s="265"/>
      <c r="M175" s="265"/>
      <c r="N175" s="265"/>
      <c r="O175" s="265"/>
      <c r="P175" s="265"/>
      <c r="Q175" s="265"/>
      <c r="R175" s="265"/>
      <c r="S175" s="265"/>
      <c r="T175" s="265"/>
      <c r="U175" s="241"/>
      <c r="V175" s="241"/>
      <c r="W175" s="241"/>
      <c r="X175" s="241"/>
      <c r="Y175" s="241"/>
      <c r="Z175" s="241"/>
      <c r="AA175" s="241"/>
      <c r="AB175" s="241"/>
      <c r="AC175" s="241"/>
      <c r="AD175" s="241"/>
      <c r="AE175" s="241"/>
      <c r="AF175" s="241"/>
      <c r="AG175" s="241"/>
      <c r="AH175" s="241"/>
      <c r="AI175" s="241"/>
    </row>
    <row r="176" spans="2:35">
      <c r="B176" s="239" t="s">
        <v>833</v>
      </c>
      <c r="C176" s="265"/>
      <c r="D176" s="258"/>
      <c r="E176" s="265"/>
      <c r="F176" s="265"/>
      <c r="G176" s="265"/>
      <c r="H176" s="266"/>
      <c r="I176" s="243"/>
      <c r="J176" s="265"/>
      <c r="K176" s="265"/>
      <c r="L176" s="265"/>
      <c r="M176" s="265"/>
      <c r="N176" s="265"/>
      <c r="O176" s="265"/>
      <c r="P176" s="265"/>
      <c r="Q176" s="265"/>
      <c r="R176" s="265"/>
      <c r="S176" s="265"/>
      <c r="T176" s="265"/>
      <c r="U176" s="241"/>
      <c r="V176" s="241"/>
      <c r="W176" s="241"/>
      <c r="X176" s="241"/>
      <c r="Y176" s="241"/>
      <c r="Z176" s="241"/>
      <c r="AA176" s="241"/>
      <c r="AB176" s="241"/>
      <c r="AC176" s="241"/>
      <c r="AD176" s="241"/>
      <c r="AE176" s="241"/>
      <c r="AF176" s="241"/>
      <c r="AG176" s="241"/>
      <c r="AH176" s="241"/>
      <c r="AI176" s="241"/>
    </row>
    <row r="177" spans="2:35">
      <c r="B177" s="239" t="s">
        <v>160</v>
      </c>
      <c r="C177" s="265"/>
      <c r="D177" s="258"/>
      <c r="E177" s="265"/>
      <c r="F177" s="265"/>
      <c r="G177" s="265"/>
      <c r="H177" s="267"/>
      <c r="I177" s="243"/>
      <c r="J177" s="265"/>
      <c r="K177" s="265"/>
      <c r="L177" s="265"/>
      <c r="M177" s="265"/>
      <c r="N177" s="265"/>
      <c r="O177" s="265"/>
      <c r="P177" s="265"/>
      <c r="Q177" s="265"/>
      <c r="R177" s="265"/>
      <c r="S177" s="265"/>
      <c r="T177" s="265"/>
      <c r="U177" s="241"/>
      <c r="V177" s="241"/>
      <c r="W177" s="241"/>
      <c r="X177" s="241"/>
      <c r="Y177" s="241"/>
      <c r="Z177" s="241"/>
      <c r="AA177" s="241"/>
      <c r="AB177" s="241"/>
      <c r="AC177" s="241"/>
      <c r="AD177" s="241"/>
      <c r="AE177" s="241"/>
      <c r="AF177" s="241"/>
      <c r="AG177" s="241"/>
      <c r="AH177" s="241"/>
      <c r="AI177" s="241"/>
    </row>
    <row r="178" spans="2:35">
      <c r="B178" s="239" t="s">
        <v>315</v>
      </c>
      <c r="C178" s="265"/>
      <c r="D178" s="258"/>
      <c r="E178" s="265"/>
      <c r="F178" s="265"/>
      <c r="G178" s="265"/>
      <c r="H178" s="266"/>
      <c r="I178" s="265"/>
      <c r="J178" s="265"/>
      <c r="K178" s="265"/>
      <c r="L178" s="265"/>
      <c r="M178" s="265"/>
      <c r="N178" s="265"/>
      <c r="O178" s="265"/>
      <c r="P178" s="265"/>
      <c r="Q178" s="265"/>
      <c r="R178" s="265"/>
      <c r="S178" s="265"/>
      <c r="T178" s="265"/>
      <c r="U178" s="241"/>
      <c r="V178" s="241"/>
      <c r="W178" s="241"/>
      <c r="X178" s="241"/>
      <c r="Y178" s="241"/>
      <c r="Z178" s="241"/>
      <c r="AA178" s="241"/>
      <c r="AB178" s="241"/>
      <c r="AC178" s="241"/>
      <c r="AD178" s="241"/>
      <c r="AE178" s="241"/>
      <c r="AF178" s="241"/>
      <c r="AG178" s="241"/>
      <c r="AH178" s="241"/>
      <c r="AI178" s="241"/>
    </row>
    <row r="179" spans="2:35">
      <c r="B179" s="238"/>
      <c r="C179" s="265"/>
      <c r="D179" s="265"/>
      <c r="E179" s="265"/>
      <c r="F179" s="265"/>
      <c r="G179" s="265"/>
      <c r="H179" s="265"/>
      <c r="I179" s="265"/>
      <c r="J179" s="265"/>
      <c r="K179" s="265"/>
      <c r="L179" s="265"/>
      <c r="M179" s="265"/>
      <c r="N179" s="265"/>
      <c r="O179" s="265"/>
      <c r="P179" s="265"/>
      <c r="Q179" s="265"/>
      <c r="R179" s="265"/>
      <c r="S179" s="265"/>
      <c r="T179" s="265"/>
      <c r="U179" s="241"/>
      <c r="V179" s="241"/>
      <c r="W179" s="241"/>
      <c r="X179" s="241"/>
      <c r="Y179" s="241"/>
      <c r="Z179" s="241"/>
      <c r="AA179" s="241"/>
      <c r="AB179" s="241"/>
      <c r="AC179" s="241"/>
      <c r="AD179" s="241"/>
      <c r="AE179" s="241"/>
      <c r="AF179" s="241"/>
      <c r="AG179" s="241"/>
      <c r="AH179" s="241"/>
      <c r="AI179" s="241"/>
    </row>
    <row r="180" spans="2:35">
      <c r="B180" s="238" t="s">
        <v>834</v>
      </c>
      <c r="C180" s="265"/>
      <c r="D180" s="265"/>
      <c r="E180" s="265"/>
      <c r="F180" s="265"/>
      <c r="G180" s="265"/>
      <c r="H180" s="265"/>
      <c r="I180" s="257"/>
      <c r="J180" s="257"/>
      <c r="K180" s="257"/>
      <c r="L180" s="257"/>
      <c r="M180" s="257"/>
      <c r="N180" s="257"/>
      <c r="O180" s="257"/>
      <c r="P180" s="257"/>
      <c r="Q180" s="257"/>
      <c r="R180" s="257"/>
      <c r="S180" s="257"/>
      <c r="T180" s="257"/>
      <c r="U180" s="241"/>
      <c r="V180" s="241"/>
      <c r="W180" s="241"/>
      <c r="X180" s="241"/>
      <c r="Y180" s="241"/>
      <c r="Z180" s="241"/>
      <c r="AA180" s="241"/>
      <c r="AB180" s="241"/>
      <c r="AC180" s="241"/>
      <c r="AD180" s="241"/>
      <c r="AE180" s="241"/>
      <c r="AF180" s="241"/>
      <c r="AG180" s="241"/>
      <c r="AH180" s="241"/>
      <c r="AI180" s="241"/>
    </row>
    <row r="181" spans="2:35">
      <c r="B181" s="238" t="s">
        <v>835</v>
      </c>
      <c r="C181" s="265"/>
      <c r="D181" s="265"/>
      <c r="E181" s="265"/>
      <c r="F181" s="265"/>
      <c r="G181" s="265"/>
      <c r="H181" s="265"/>
      <c r="I181" s="257"/>
      <c r="J181" s="257"/>
      <c r="K181" s="257"/>
      <c r="L181" s="257"/>
      <c r="M181" s="257"/>
      <c r="N181" s="257"/>
      <c r="O181" s="257"/>
      <c r="P181" s="257"/>
      <c r="Q181" s="257"/>
      <c r="R181" s="257"/>
      <c r="S181" s="257"/>
      <c r="T181" s="257"/>
      <c r="U181" s="241"/>
      <c r="V181" s="241"/>
      <c r="W181" s="241"/>
      <c r="X181" s="241"/>
      <c r="Y181" s="241"/>
      <c r="Z181" s="241"/>
      <c r="AA181" s="241"/>
      <c r="AB181" s="241"/>
      <c r="AC181" s="241"/>
      <c r="AD181" s="241"/>
      <c r="AE181" s="241"/>
      <c r="AF181" s="241"/>
      <c r="AG181" s="241"/>
      <c r="AH181" s="241"/>
      <c r="AI181" s="241"/>
    </row>
    <row r="182" spans="2:35">
      <c r="B182" s="238" t="s">
        <v>836</v>
      </c>
      <c r="C182" s="265"/>
      <c r="D182" s="265"/>
      <c r="E182" s="265"/>
      <c r="F182" s="265"/>
      <c r="G182" s="265"/>
      <c r="H182" s="265"/>
      <c r="I182" s="257"/>
      <c r="J182" s="257"/>
      <c r="K182" s="257"/>
      <c r="L182" s="257"/>
      <c r="M182" s="257"/>
      <c r="N182" s="257"/>
      <c r="O182" s="257"/>
      <c r="P182" s="257"/>
      <c r="Q182" s="257"/>
      <c r="R182" s="257"/>
      <c r="S182" s="257"/>
      <c r="T182" s="257"/>
      <c r="U182" s="241"/>
      <c r="V182" s="241"/>
      <c r="W182" s="241"/>
      <c r="X182" s="241"/>
      <c r="Y182" s="241"/>
      <c r="Z182" s="241"/>
      <c r="AA182" s="241"/>
      <c r="AB182" s="241"/>
      <c r="AC182" s="241"/>
      <c r="AD182" s="241"/>
      <c r="AE182" s="241"/>
      <c r="AF182" s="241"/>
      <c r="AG182" s="241"/>
      <c r="AH182" s="241"/>
      <c r="AI182" s="241"/>
    </row>
    <row r="183" spans="2:35">
      <c r="B183" s="238" t="s">
        <v>837</v>
      </c>
      <c r="C183" s="265"/>
      <c r="D183" s="265"/>
      <c r="E183" s="265"/>
      <c r="F183" s="265"/>
      <c r="G183" s="265"/>
      <c r="H183" s="265"/>
      <c r="I183" s="257"/>
      <c r="J183" s="257"/>
      <c r="K183" s="257"/>
      <c r="L183" s="257"/>
      <c r="M183" s="257"/>
      <c r="N183" s="257"/>
      <c r="O183" s="257"/>
      <c r="P183" s="257"/>
      <c r="Q183" s="257"/>
      <c r="R183" s="257"/>
      <c r="S183" s="257"/>
      <c r="T183" s="257"/>
      <c r="U183" s="241"/>
      <c r="V183" s="241"/>
      <c r="W183" s="241"/>
      <c r="X183" s="241"/>
      <c r="Y183" s="241"/>
      <c r="Z183" s="241"/>
      <c r="AA183" s="241"/>
      <c r="AB183" s="241"/>
      <c r="AC183" s="241"/>
      <c r="AD183" s="241"/>
      <c r="AE183" s="241"/>
      <c r="AF183" s="241"/>
      <c r="AG183" s="241"/>
      <c r="AH183" s="241"/>
      <c r="AI183" s="241"/>
    </row>
    <row r="184" spans="2:35">
      <c r="B184" s="238" t="s">
        <v>838</v>
      </c>
      <c r="C184" s="265"/>
      <c r="D184" s="265"/>
      <c r="E184" s="265"/>
      <c r="F184" s="265"/>
      <c r="G184" s="265"/>
      <c r="H184" s="265"/>
      <c r="I184" s="257"/>
      <c r="J184" s="257"/>
      <c r="K184" s="257"/>
      <c r="L184" s="257"/>
      <c r="M184" s="257"/>
      <c r="N184" s="257"/>
      <c r="O184" s="257"/>
      <c r="P184" s="257"/>
      <c r="Q184" s="257"/>
      <c r="R184" s="257"/>
      <c r="S184" s="257"/>
      <c r="T184" s="257"/>
      <c r="U184" s="241"/>
      <c r="V184" s="241"/>
      <c r="W184" s="241"/>
      <c r="X184" s="241"/>
      <c r="Y184" s="241"/>
      <c r="Z184" s="241"/>
      <c r="AA184" s="241"/>
      <c r="AB184" s="241"/>
      <c r="AC184" s="241"/>
      <c r="AD184" s="241"/>
      <c r="AE184" s="241"/>
      <c r="AF184" s="241"/>
      <c r="AG184" s="241"/>
      <c r="AH184" s="241"/>
      <c r="AI184" s="241"/>
    </row>
    <row r="185" spans="2:35">
      <c r="B185" s="238" t="s">
        <v>839</v>
      </c>
      <c r="C185" s="265"/>
      <c r="D185" s="265"/>
      <c r="E185" s="265"/>
      <c r="F185" s="265"/>
      <c r="G185" s="265"/>
      <c r="H185" s="265"/>
      <c r="I185" s="257"/>
      <c r="J185" s="257"/>
      <c r="K185" s="257"/>
      <c r="L185" s="257"/>
      <c r="M185" s="257"/>
      <c r="N185" s="257"/>
      <c r="O185" s="257"/>
      <c r="P185" s="257"/>
      <c r="Q185" s="257"/>
      <c r="R185" s="257"/>
      <c r="S185" s="257"/>
      <c r="T185" s="257"/>
      <c r="U185" s="241"/>
      <c r="V185" s="241"/>
      <c r="W185" s="241"/>
      <c r="X185" s="241"/>
      <c r="Y185" s="241"/>
      <c r="Z185" s="241"/>
      <c r="AA185" s="241"/>
      <c r="AB185" s="241"/>
      <c r="AC185" s="241"/>
      <c r="AD185" s="241"/>
      <c r="AE185" s="241"/>
      <c r="AF185" s="241"/>
      <c r="AG185" s="241"/>
      <c r="AH185" s="241"/>
      <c r="AI185" s="241"/>
    </row>
    <row r="186" spans="2:35">
      <c r="B186" s="238" t="s">
        <v>840</v>
      </c>
      <c r="C186" s="265"/>
      <c r="D186" s="265"/>
      <c r="E186" s="265"/>
      <c r="F186" s="265"/>
      <c r="G186" s="265"/>
      <c r="H186" s="265"/>
      <c r="I186" s="258"/>
      <c r="J186" s="258"/>
      <c r="K186" s="258"/>
      <c r="L186" s="258"/>
      <c r="M186" s="258"/>
      <c r="N186" s="258"/>
      <c r="O186" s="258"/>
      <c r="P186" s="258"/>
      <c r="Q186" s="258"/>
      <c r="R186" s="258"/>
      <c r="S186" s="258"/>
      <c r="T186" s="258"/>
      <c r="U186" s="241"/>
      <c r="V186" s="241"/>
      <c r="W186" s="241"/>
      <c r="X186" s="241"/>
      <c r="Y186" s="241"/>
      <c r="Z186" s="241"/>
      <c r="AA186" s="241"/>
      <c r="AB186" s="241"/>
      <c r="AC186" s="241"/>
      <c r="AD186" s="241"/>
      <c r="AE186" s="241"/>
      <c r="AF186" s="241"/>
      <c r="AG186" s="241"/>
      <c r="AH186" s="241"/>
      <c r="AI186" s="241"/>
    </row>
    <row r="187" spans="2:35">
      <c r="B187" s="238" t="s">
        <v>841</v>
      </c>
      <c r="C187" s="265"/>
      <c r="D187" s="265"/>
      <c r="E187" s="265"/>
      <c r="F187" s="265"/>
      <c r="G187" s="265"/>
      <c r="H187" s="265"/>
      <c r="I187" s="268"/>
      <c r="J187" s="268"/>
      <c r="K187" s="268"/>
      <c r="L187" s="268"/>
      <c r="M187" s="268"/>
      <c r="N187" s="268"/>
      <c r="O187" s="268"/>
      <c r="P187" s="268"/>
      <c r="Q187" s="268"/>
      <c r="R187" s="268"/>
      <c r="S187" s="268"/>
      <c r="T187" s="268"/>
      <c r="U187" s="241"/>
      <c r="V187" s="241"/>
      <c r="W187" s="241"/>
      <c r="X187" s="241"/>
      <c r="Y187" s="241"/>
      <c r="Z187" s="241"/>
      <c r="AA187" s="241"/>
      <c r="AB187" s="241"/>
      <c r="AC187" s="241"/>
      <c r="AD187" s="241"/>
      <c r="AE187" s="241"/>
      <c r="AF187" s="241"/>
      <c r="AG187" s="241"/>
      <c r="AH187" s="241"/>
      <c r="AI187" s="241"/>
    </row>
    <row r="188" spans="2:35">
      <c r="B188" s="238"/>
      <c r="C188" s="238"/>
      <c r="D188" s="238"/>
      <c r="E188" s="238"/>
      <c r="F188" s="238"/>
      <c r="G188" s="238"/>
      <c r="H188" s="238"/>
      <c r="I188" s="238"/>
      <c r="J188" s="238"/>
      <c r="K188" s="238"/>
      <c r="L188" s="238"/>
      <c r="M188" s="238"/>
      <c r="N188" s="238"/>
      <c r="O188" s="238"/>
      <c r="P188" s="238"/>
      <c r="Q188" s="238"/>
      <c r="R188" s="238"/>
      <c r="S188" s="238"/>
      <c r="T188" s="238"/>
      <c r="U188" s="238"/>
      <c r="V188" s="238"/>
      <c r="W188" s="238"/>
      <c r="X188" s="238"/>
      <c r="Y188" s="238"/>
      <c r="Z188" s="238"/>
      <c r="AA188" s="238"/>
      <c r="AB188" s="238"/>
      <c r="AC188" s="238"/>
      <c r="AD188" s="238"/>
      <c r="AE188" s="238"/>
      <c r="AF188" s="238"/>
      <c r="AG188" s="238"/>
      <c r="AH188" s="238"/>
      <c r="AI188" s="238"/>
    </row>
    <row r="189" spans="2:35">
      <c r="B189" s="269" t="s">
        <v>842</v>
      </c>
      <c r="C189" s="269">
        <v>1998</v>
      </c>
      <c r="D189" s="270">
        <v>1999</v>
      </c>
      <c r="E189" s="270">
        <v>2000</v>
      </c>
      <c r="F189" s="270">
        <f>E189+1</f>
        <v>2001</v>
      </c>
      <c r="G189" s="270">
        <f>F189+1</f>
        <v>2002</v>
      </c>
      <c r="H189" s="270">
        <v>2003</v>
      </c>
      <c r="I189" s="270">
        <f t="shared" ref="I189:AI189" si="23">H189+1</f>
        <v>2004</v>
      </c>
      <c r="J189" s="270">
        <f t="shared" si="23"/>
        <v>2005</v>
      </c>
      <c r="K189" s="270">
        <f t="shared" si="23"/>
        <v>2006</v>
      </c>
      <c r="L189" s="270">
        <f t="shared" si="23"/>
        <v>2007</v>
      </c>
      <c r="M189" s="270">
        <f t="shared" si="23"/>
        <v>2008</v>
      </c>
      <c r="N189" s="270">
        <f t="shared" si="23"/>
        <v>2009</v>
      </c>
      <c r="O189" s="270">
        <f t="shared" si="23"/>
        <v>2010</v>
      </c>
      <c r="P189" s="270">
        <f t="shared" si="23"/>
        <v>2011</v>
      </c>
      <c r="Q189" s="270">
        <f t="shared" si="23"/>
        <v>2012</v>
      </c>
      <c r="R189" s="270">
        <f t="shared" si="23"/>
        <v>2013</v>
      </c>
      <c r="S189" s="270">
        <f t="shared" si="23"/>
        <v>2014</v>
      </c>
      <c r="T189" s="270">
        <f t="shared" si="23"/>
        <v>2015</v>
      </c>
      <c r="U189" s="270">
        <f t="shared" si="23"/>
        <v>2016</v>
      </c>
      <c r="V189" s="270">
        <f t="shared" si="23"/>
        <v>2017</v>
      </c>
      <c r="W189" s="270">
        <f t="shared" si="23"/>
        <v>2018</v>
      </c>
      <c r="X189" s="270">
        <f t="shared" si="23"/>
        <v>2019</v>
      </c>
      <c r="Y189" s="270">
        <f t="shared" si="23"/>
        <v>2020</v>
      </c>
      <c r="Z189" s="270">
        <f t="shared" si="23"/>
        <v>2021</v>
      </c>
      <c r="AA189" s="270">
        <f t="shared" si="23"/>
        <v>2022</v>
      </c>
      <c r="AB189" s="270">
        <f t="shared" si="23"/>
        <v>2023</v>
      </c>
      <c r="AC189" s="270">
        <f t="shared" si="23"/>
        <v>2024</v>
      </c>
      <c r="AD189" s="270">
        <f t="shared" si="23"/>
        <v>2025</v>
      </c>
      <c r="AE189" s="270">
        <f t="shared" si="23"/>
        <v>2026</v>
      </c>
      <c r="AF189" s="270">
        <f t="shared" si="23"/>
        <v>2027</v>
      </c>
      <c r="AG189" s="270">
        <f t="shared" si="23"/>
        <v>2028</v>
      </c>
      <c r="AH189" s="270">
        <f t="shared" si="23"/>
        <v>2029</v>
      </c>
      <c r="AI189" s="270">
        <f t="shared" si="23"/>
        <v>2030</v>
      </c>
    </row>
    <row r="190" spans="2:35">
      <c r="B190" s="248" t="s">
        <v>843</v>
      </c>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271"/>
      <c r="AF190" s="271"/>
      <c r="AG190" s="271"/>
      <c r="AH190" s="271"/>
      <c r="AI190" s="271"/>
    </row>
    <row r="191" spans="2:35">
      <c r="B191" s="248" t="s">
        <v>355</v>
      </c>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c r="AE191" s="272"/>
      <c r="AF191" s="272"/>
      <c r="AG191" s="272"/>
      <c r="AH191" s="272"/>
      <c r="AI191" s="272"/>
    </row>
    <row r="192" spans="2:35">
      <c r="B192" s="248" t="s">
        <v>844</v>
      </c>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273"/>
      <c r="AE192" s="273"/>
      <c r="AF192" s="273"/>
      <c r="AG192" s="273"/>
      <c r="AH192" s="273"/>
      <c r="AI192" s="273"/>
    </row>
    <row r="193" spans="2:35">
      <c r="B193" s="248" t="s">
        <v>845</v>
      </c>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73"/>
      <c r="AE193" s="273"/>
      <c r="AF193" s="273"/>
      <c r="AG193" s="273"/>
      <c r="AH193" s="273"/>
      <c r="AI193" s="273"/>
    </row>
    <row r="194" spans="2:35">
      <c r="B194" s="248" t="s">
        <v>846</v>
      </c>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73"/>
      <c r="AE194" s="273"/>
      <c r="AF194" s="273"/>
      <c r="AG194" s="273"/>
      <c r="AH194" s="273"/>
      <c r="AI194" s="273"/>
    </row>
    <row r="195" spans="2:35">
      <c r="B195" s="248" t="s">
        <v>847</v>
      </c>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73"/>
      <c r="AE195" s="273"/>
      <c r="AF195" s="273"/>
      <c r="AG195" s="273"/>
      <c r="AH195" s="273"/>
      <c r="AI195" s="273"/>
    </row>
    <row r="196" spans="2:35">
      <c r="B196" s="248" t="s">
        <v>848</v>
      </c>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row>
    <row r="197" spans="2:35">
      <c r="B197" s="248" t="s">
        <v>849</v>
      </c>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c r="AE197" s="272"/>
      <c r="AF197" s="272"/>
      <c r="AG197" s="272"/>
      <c r="AH197" s="272"/>
      <c r="AI197" s="272"/>
    </row>
    <row r="198" spans="2:35">
      <c r="B198" s="248" t="s">
        <v>850</v>
      </c>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74"/>
      <c r="AE198" s="274"/>
      <c r="AF198" s="274"/>
      <c r="AG198" s="274"/>
      <c r="AH198" s="274"/>
      <c r="AI198" s="274"/>
    </row>
    <row r="199" spans="2:35">
      <c r="B199" s="248" t="s">
        <v>851</v>
      </c>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74"/>
      <c r="AE199" s="274"/>
      <c r="AF199" s="274"/>
      <c r="AG199" s="274"/>
      <c r="AH199" s="274"/>
      <c r="AI199" s="274"/>
    </row>
    <row r="200" spans="2:35">
      <c r="B200" s="248" t="s">
        <v>852</v>
      </c>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73"/>
      <c r="AE200" s="273"/>
      <c r="AF200" s="273"/>
      <c r="AG200" s="273"/>
      <c r="AH200" s="273"/>
      <c r="AI200" s="273"/>
    </row>
    <row r="201" spans="2:35">
      <c r="B201" s="275"/>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73"/>
      <c r="AE201" s="273"/>
      <c r="AF201" s="273"/>
      <c r="AG201" s="273"/>
      <c r="AH201" s="273"/>
      <c r="AI201" s="273"/>
    </row>
    <row r="202" spans="2:35">
      <c r="B202" s="238"/>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73"/>
      <c r="AE202" s="273"/>
      <c r="AF202" s="273"/>
      <c r="AG202" s="273"/>
      <c r="AH202" s="273"/>
      <c r="AI202" s="273"/>
    </row>
    <row r="203" spans="2:35">
      <c r="B203" s="275"/>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73"/>
      <c r="AE203" s="273"/>
      <c r="AF203" s="273"/>
      <c r="AG203" s="273"/>
      <c r="AH203" s="273"/>
      <c r="AI203" s="273"/>
    </row>
    <row r="204" spans="2:35">
      <c r="B204" s="238"/>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73"/>
      <c r="AE204" s="273"/>
      <c r="AF204" s="273"/>
      <c r="AG204" s="273"/>
      <c r="AH204" s="273"/>
      <c r="AI204" s="273"/>
    </row>
    <row r="205" spans="2:35">
      <c r="B205" s="275"/>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73"/>
      <c r="AE205" s="273"/>
      <c r="AF205" s="273"/>
      <c r="AG205" s="273"/>
      <c r="AH205" s="273"/>
      <c r="AI205" s="273"/>
    </row>
    <row r="206" spans="2:35">
      <c r="B206" s="238"/>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73"/>
      <c r="AE206" s="273"/>
      <c r="AF206" s="273"/>
      <c r="AG206" s="273"/>
      <c r="AH206" s="273"/>
      <c r="AI206" s="273"/>
    </row>
    <row r="207" spans="2:35">
      <c r="B207" s="275"/>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73"/>
      <c r="AE207" s="273"/>
      <c r="AF207" s="273"/>
      <c r="AG207" s="273"/>
      <c r="AH207" s="273"/>
      <c r="AI207" s="273"/>
    </row>
    <row r="208" spans="2:35">
      <c r="B208" s="238"/>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73"/>
      <c r="AE208" s="273"/>
      <c r="AF208" s="273"/>
      <c r="AG208" s="273"/>
      <c r="AH208" s="273"/>
      <c r="AI208" s="273"/>
    </row>
    <row r="209" spans="2:35">
      <c r="B209" s="275"/>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73"/>
      <c r="AE209" s="273"/>
      <c r="AF209" s="273"/>
      <c r="AG209" s="273"/>
      <c r="AH209" s="273"/>
      <c r="AI209" s="273"/>
    </row>
    <row r="210" spans="2:35">
      <c r="B210" s="238"/>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73"/>
      <c r="AE210" s="273"/>
      <c r="AF210" s="273"/>
      <c r="AG210" s="273"/>
      <c r="AH210" s="273"/>
      <c r="AI210" s="273"/>
    </row>
    <row r="211" spans="2:35">
      <c r="B211" s="275"/>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73"/>
      <c r="AE211" s="273"/>
      <c r="AF211" s="273"/>
      <c r="AG211" s="273"/>
      <c r="AH211" s="273"/>
      <c r="AI211" s="273"/>
    </row>
    <row r="212" spans="2:35">
      <c r="B212" s="238"/>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73"/>
      <c r="AE212" s="273"/>
      <c r="AF212" s="273"/>
      <c r="AG212" s="273"/>
      <c r="AH212" s="273"/>
      <c r="AI212" s="273"/>
    </row>
    <row r="213" spans="2:35">
      <c r="B213" s="275"/>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73"/>
      <c r="AE213" s="273"/>
      <c r="AF213" s="273"/>
      <c r="AG213" s="273"/>
      <c r="AH213" s="273"/>
      <c r="AI213" s="273"/>
    </row>
    <row r="214" spans="2:35">
      <c r="B214" s="238"/>
      <c r="C214" s="238"/>
      <c r="D214" s="238"/>
      <c r="E214" s="238"/>
      <c r="F214" s="238"/>
      <c r="G214" s="238"/>
      <c r="H214" s="238"/>
      <c r="I214" s="238"/>
      <c r="J214" s="238"/>
      <c r="K214" s="238"/>
      <c r="L214" s="238"/>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row>
    <row r="215" spans="2:35">
      <c r="B215" s="269" t="s">
        <v>588</v>
      </c>
      <c r="C215" s="269">
        <v>1998</v>
      </c>
      <c r="D215" s="269">
        <v>1999</v>
      </c>
      <c r="E215" s="269">
        <v>2000</v>
      </c>
      <c r="F215" s="269">
        <v>2001</v>
      </c>
      <c r="G215" s="269">
        <v>2002</v>
      </c>
      <c r="H215" s="269">
        <v>2003</v>
      </c>
      <c r="I215" s="269">
        <v>2004</v>
      </c>
      <c r="J215" s="269">
        <v>2005</v>
      </c>
      <c r="K215" s="269">
        <v>2006</v>
      </c>
      <c r="L215" s="269">
        <v>2007</v>
      </c>
      <c r="M215" s="269">
        <v>2008</v>
      </c>
      <c r="N215" s="269">
        <v>2009</v>
      </c>
      <c r="O215" s="269">
        <v>2010</v>
      </c>
      <c r="P215" s="269">
        <v>2011</v>
      </c>
      <c r="Q215" s="269">
        <v>2012</v>
      </c>
      <c r="R215" s="269">
        <v>2013</v>
      </c>
      <c r="S215" s="269">
        <v>2014</v>
      </c>
      <c r="T215" s="269">
        <v>2015</v>
      </c>
      <c r="U215" s="269">
        <v>2016</v>
      </c>
      <c r="V215" s="270">
        <f t="shared" ref="V215:AI215" si="24">U215+1</f>
        <v>2017</v>
      </c>
      <c r="W215" s="270">
        <f t="shared" si="24"/>
        <v>2018</v>
      </c>
      <c r="X215" s="270">
        <f t="shared" si="24"/>
        <v>2019</v>
      </c>
      <c r="Y215" s="270">
        <f t="shared" si="24"/>
        <v>2020</v>
      </c>
      <c r="Z215" s="270">
        <f t="shared" si="24"/>
        <v>2021</v>
      </c>
      <c r="AA215" s="270">
        <f t="shared" si="24"/>
        <v>2022</v>
      </c>
      <c r="AB215" s="270">
        <f t="shared" si="24"/>
        <v>2023</v>
      </c>
      <c r="AC215" s="270">
        <f t="shared" si="24"/>
        <v>2024</v>
      </c>
      <c r="AD215" s="270">
        <f t="shared" si="24"/>
        <v>2025</v>
      </c>
      <c r="AE215" s="270">
        <f t="shared" si="24"/>
        <v>2026</v>
      </c>
      <c r="AF215" s="270">
        <f t="shared" si="24"/>
        <v>2027</v>
      </c>
      <c r="AG215" s="270">
        <f t="shared" si="24"/>
        <v>2028</v>
      </c>
      <c r="AH215" s="270">
        <f t="shared" si="24"/>
        <v>2029</v>
      </c>
      <c r="AI215" s="270">
        <f t="shared" si="24"/>
        <v>2030</v>
      </c>
    </row>
    <row r="216" spans="2:35">
      <c r="B216" s="275" t="s">
        <v>568</v>
      </c>
      <c r="C216" s="276"/>
      <c r="D216" s="276"/>
      <c r="E216" s="276"/>
      <c r="F216" s="276"/>
      <c r="G216" s="276"/>
      <c r="H216" s="276"/>
      <c r="I216" s="276"/>
      <c r="J216" s="276"/>
      <c r="K216" s="276"/>
      <c r="L216" s="276"/>
      <c r="M216" s="276"/>
      <c r="N216" s="276"/>
      <c r="O216" s="276"/>
      <c r="P216" s="601">
        <f>+'Model also  old'!B18</f>
        <v>1963</v>
      </c>
      <c r="Q216" s="601">
        <f>+'Model also  old'!C18</f>
        <v>1856</v>
      </c>
      <c r="R216" s="276">
        <f>Fixed!C34</f>
        <v>1749</v>
      </c>
      <c r="S216" s="276">
        <f>Fixed!D34</f>
        <v>1697.4514740094269</v>
      </c>
      <c r="T216" s="276">
        <f>Fixed!E34</f>
        <v>3604.8150000000001</v>
      </c>
      <c r="U216" s="276">
        <f>Fixed!F34</f>
        <v>3608</v>
      </c>
      <c r="V216" s="276">
        <f>Fixed!G34</f>
        <v>3592</v>
      </c>
      <c r="W216" s="276">
        <f>Fixed!H34</f>
        <v>3336.7130000000002</v>
      </c>
      <c r="X216" s="276">
        <f>Fixed!I34</f>
        <v>3379.4270000000001</v>
      </c>
      <c r="Y216" s="276">
        <f>Fixed!J34</f>
        <v>3334.1379999999999</v>
      </c>
      <c r="Z216" s="276">
        <f>Fixed!K34</f>
        <v>3269</v>
      </c>
      <c r="AA216" s="276">
        <f>Fixed!L34</f>
        <v>3164.877</v>
      </c>
      <c r="AB216" s="276">
        <f>Fixed!M34</f>
        <v>3097</v>
      </c>
      <c r="AC216" s="276">
        <f>Fixed!N34</f>
        <v>2966.7550000000001</v>
      </c>
      <c r="AD216" s="276">
        <f>Fixed!O34</f>
        <v>2936.7550000000001</v>
      </c>
      <c r="AE216" s="273"/>
      <c r="AF216" s="273"/>
      <c r="AG216" s="273"/>
      <c r="AH216" s="273"/>
      <c r="AI216" s="273"/>
    </row>
    <row r="217" spans="2:35">
      <c r="B217" s="275" t="s">
        <v>572</v>
      </c>
      <c r="C217" s="276"/>
      <c r="D217" s="276"/>
      <c r="E217" s="276"/>
      <c r="F217" s="276"/>
      <c r="G217" s="276"/>
      <c r="H217" s="276"/>
      <c r="I217" s="276"/>
      <c r="J217" s="276"/>
      <c r="K217" s="276"/>
      <c r="L217" s="276"/>
      <c r="M217" s="276"/>
      <c r="N217" s="276"/>
      <c r="O217" s="276"/>
      <c r="P217" s="601">
        <f>+'Model also  old'!B19</f>
        <v>789</v>
      </c>
      <c r="Q217" s="601">
        <f>+'Model also  old'!C19</f>
        <v>881</v>
      </c>
      <c r="R217" s="276">
        <f>Fixed!C38</f>
        <v>891</v>
      </c>
      <c r="S217" s="276">
        <f>Fixed!D38</f>
        <v>933.16899999999998</v>
      </c>
      <c r="T217" s="276">
        <f>Fixed!E38</f>
        <v>2192.7669999999998</v>
      </c>
      <c r="U217" s="276">
        <f>Fixed!F38</f>
        <v>2282</v>
      </c>
      <c r="V217" s="276">
        <f>Fixed!G38</f>
        <v>2327</v>
      </c>
      <c r="W217" s="276">
        <f>Fixed!H38</f>
        <v>2298.29</v>
      </c>
      <c r="X217" s="276">
        <f>Fixed!I38</f>
        <v>2350.4050000000002</v>
      </c>
      <c r="Y217" s="276">
        <f>Fixed!J38</f>
        <v>2367.09</v>
      </c>
      <c r="Z217" s="276">
        <f>Fixed!K38</f>
        <v>2337.5970000000002</v>
      </c>
      <c r="AA217" s="276">
        <f>Fixed!L38</f>
        <v>2305.1010000000001</v>
      </c>
      <c r="AB217" s="276">
        <f>Fixed!M38</f>
        <v>2359</v>
      </c>
      <c r="AC217" s="276">
        <f>Fixed!N38</f>
        <v>2379</v>
      </c>
      <c r="AD217" s="276">
        <f>Fixed!O38</f>
        <v>2389</v>
      </c>
      <c r="AE217" s="273"/>
      <c r="AF217" s="273"/>
      <c r="AG217" s="273"/>
      <c r="AH217" s="273"/>
      <c r="AI217" s="273"/>
    </row>
    <row r="218" spans="2:35">
      <c r="B218" s="275" t="s">
        <v>570</v>
      </c>
      <c r="C218" s="276"/>
      <c r="D218" s="276"/>
      <c r="E218" s="276"/>
      <c r="F218" s="276"/>
      <c r="G218" s="276"/>
      <c r="H218" s="276"/>
      <c r="I218" s="276"/>
      <c r="J218" s="276"/>
      <c r="K218" s="276"/>
      <c r="L218" s="276"/>
      <c r="M218" s="276"/>
      <c r="N218" s="276"/>
      <c r="O218" s="276"/>
      <c r="P218" s="601">
        <f>+'Model also  old'!B21</f>
        <v>1447</v>
      </c>
      <c r="Q218" s="601">
        <f>+'Model also  old'!C21</f>
        <v>1353</v>
      </c>
      <c r="R218" s="276">
        <f>Fixed!C54</f>
        <v>1302</v>
      </c>
      <c r="S218" s="276">
        <f>Fixed!D54</f>
        <v>1282.3218599999998</v>
      </c>
      <c r="T218" s="276">
        <f>Fixed!E54</f>
        <v>2435.3780000000002</v>
      </c>
      <c r="U218" s="276">
        <f>Fixed!F54</f>
        <v>2416</v>
      </c>
      <c r="V218" s="276">
        <f>Fixed!G54</f>
        <v>2373</v>
      </c>
      <c r="W218" s="276">
        <f>Fixed!H54</f>
        <v>2292.0929999999998</v>
      </c>
      <c r="X218" s="276">
        <f>Fixed!I54</f>
        <v>2268.3629999999998</v>
      </c>
      <c r="Y218" s="276">
        <f>Fixed!J54</f>
        <v>2225.9465</v>
      </c>
      <c r="Z218" s="276">
        <f>Fixed!K54</f>
        <v>2141.6855</v>
      </c>
      <c r="AA218" s="276">
        <f>Fixed!L54</f>
        <v>2034.6155000000001</v>
      </c>
      <c r="AB218" s="276">
        <f>Fixed!M54</f>
        <v>1948</v>
      </c>
      <c r="AC218" s="276">
        <f>Fixed!N54</f>
        <v>1364.7073</v>
      </c>
      <c r="AD218" s="276">
        <f>Fixed!O54</f>
        <v>1439.0099500000001</v>
      </c>
      <c r="AE218" s="273"/>
      <c r="AF218" s="273"/>
      <c r="AG218" s="273"/>
      <c r="AH218" s="273"/>
      <c r="AI218" s="273"/>
    </row>
    <row r="219" spans="2:35">
      <c r="B219" s="275" t="s">
        <v>573</v>
      </c>
      <c r="C219" s="276"/>
      <c r="D219" s="276"/>
      <c r="E219" s="276"/>
      <c r="F219" s="276"/>
      <c r="G219" s="276"/>
      <c r="H219" s="276"/>
      <c r="I219" s="276"/>
      <c r="J219" s="276"/>
      <c r="K219" s="276"/>
      <c r="L219" s="276"/>
      <c r="M219" s="276"/>
      <c r="N219" s="276"/>
      <c r="O219" s="276"/>
      <c r="P219" s="601">
        <f>+'Model also  old'!B23</f>
        <v>1538</v>
      </c>
      <c r="Q219" s="601">
        <f>+'Model also  old'!C23</f>
        <v>1416</v>
      </c>
      <c r="R219" s="276">
        <f>Fixed!C67</f>
        <v>1338</v>
      </c>
      <c r="S219" s="276">
        <f>Fixed!D67</f>
        <v>1310.5260000000001</v>
      </c>
      <c r="T219" s="276">
        <f>Fixed!E67</f>
        <v>2458.1689997225999</v>
      </c>
      <c r="U219" s="276">
        <f>Fixed!F67</f>
        <v>2434</v>
      </c>
      <c r="V219" s="276">
        <f>Fixed!G67</f>
        <v>2367</v>
      </c>
      <c r="W219" s="276">
        <f>Fixed!H67</f>
        <v>2261.88</v>
      </c>
      <c r="X219" s="276">
        <f>Fixed!I67</f>
        <v>2218.0740000000001</v>
      </c>
      <c r="Y219" s="276">
        <f>Fixed!J67</f>
        <v>2137.2359999999999</v>
      </c>
      <c r="Z219" s="276">
        <f>Fixed!K67</f>
        <v>2034</v>
      </c>
      <c r="AA219" s="276">
        <f ca="1">Fixed!L67</f>
        <v>1902</v>
      </c>
      <c r="AB219" s="276">
        <f>Fixed!M67</f>
        <v>1790</v>
      </c>
      <c r="AC219" s="276">
        <f>Fixed!N67</f>
        <v>1171.8682250000002</v>
      </c>
      <c r="AD219" s="276">
        <f>Fixed!O67</f>
        <v>1204.0695499999999</v>
      </c>
      <c r="AE219" s="273"/>
      <c r="AF219" s="273"/>
      <c r="AG219" s="273"/>
      <c r="AH219" s="273"/>
      <c r="AI219" s="273"/>
    </row>
    <row r="220" spans="2:35">
      <c r="B220" s="275" t="s">
        <v>574</v>
      </c>
      <c r="C220" s="276"/>
      <c r="D220" s="276"/>
      <c r="E220" s="276"/>
      <c r="F220" s="276"/>
      <c r="G220" s="276"/>
      <c r="H220" s="276"/>
      <c r="I220" s="276"/>
      <c r="J220" s="276"/>
      <c r="K220" s="276"/>
      <c r="L220" s="276"/>
      <c r="M220" s="276"/>
      <c r="N220" s="276"/>
      <c r="O220" s="276"/>
      <c r="P220" s="601"/>
      <c r="Q220" s="601"/>
      <c r="R220" s="276"/>
      <c r="S220" s="276"/>
      <c r="T220" s="276"/>
      <c r="U220" s="276"/>
      <c r="V220" s="276"/>
      <c r="W220" s="276"/>
      <c r="X220" s="276"/>
      <c r="Y220" s="276"/>
      <c r="Z220" s="276"/>
      <c r="AA220" s="276"/>
      <c r="AB220" s="276"/>
      <c r="AC220" s="276"/>
      <c r="AD220" s="276"/>
      <c r="AE220" s="273"/>
      <c r="AF220" s="273"/>
      <c r="AG220" s="273"/>
      <c r="AH220" s="273"/>
      <c r="AI220" s="273"/>
    </row>
    <row r="221" spans="2:35">
      <c r="B221" s="275" t="s">
        <v>575</v>
      </c>
      <c r="C221" s="276"/>
      <c r="D221" s="276"/>
      <c r="E221" s="276"/>
      <c r="F221" s="276"/>
      <c r="G221" s="276"/>
      <c r="H221" s="276"/>
      <c r="I221" s="276"/>
      <c r="J221" s="276"/>
      <c r="K221" s="276"/>
      <c r="L221" s="276"/>
      <c r="M221" s="276"/>
      <c r="N221" s="276"/>
      <c r="O221" s="276"/>
      <c r="P221" s="601"/>
      <c r="Q221" s="601"/>
      <c r="R221" s="276"/>
      <c r="S221" s="276"/>
      <c r="T221" s="276"/>
      <c r="U221" s="276"/>
      <c r="V221" s="276"/>
      <c r="W221" s="276"/>
      <c r="X221" s="276"/>
      <c r="Y221" s="276"/>
      <c r="Z221" s="276"/>
      <c r="AA221" s="276"/>
      <c r="AB221" s="276"/>
      <c r="AC221" s="276"/>
      <c r="AD221" s="276"/>
      <c r="AE221" s="273"/>
      <c r="AF221" s="273"/>
      <c r="AG221" s="273"/>
      <c r="AH221" s="273"/>
      <c r="AI221" s="273"/>
    </row>
    <row r="222" spans="2:35">
      <c r="B222" s="275" t="s">
        <v>576</v>
      </c>
      <c r="C222" s="276"/>
      <c r="D222" s="276"/>
      <c r="E222" s="276"/>
      <c r="F222" s="276"/>
      <c r="G222" s="276"/>
      <c r="H222" s="276"/>
      <c r="I222" s="276"/>
      <c r="J222" s="276"/>
      <c r="K222" s="276"/>
      <c r="L222" s="276"/>
      <c r="M222" s="276"/>
      <c r="N222" s="276"/>
      <c r="O222" s="276"/>
      <c r="P222" s="601">
        <f>+'Model also  old'!B26</f>
        <v>87</v>
      </c>
      <c r="Q222" s="601">
        <f>+'Model also  old'!C26</f>
        <v>112</v>
      </c>
      <c r="R222" s="276">
        <f>Fixed!C73</f>
        <v>146</v>
      </c>
      <c r="S222" s="276">
        <f>Fixed!D73</f>
        <v>169.953</v>
      </c>
      <c r="T222" s="276">
        <f>Fixed!E73</f>
        <v>427.01799999999997</v>
      </c>
      <c r="U222" s="276">
        <f>Fixed!F73</f>
        <v>495</v>
      </c>
      <c r="V222" s="276">
        <f>Fixed!G73</f>
        <v>555</v>
      </c>
      <c r="W222" s="276">
        <f>Fixed!H73</f>
        <v>439.07600000000002</v>
      </c>
      <c r="X222" s="276">
        <f>Fixed!I73</f>
        <v>432.35300000000001</v>
      </c>
      <c r="Y222" s="276">
        <f>Fixed!J73</f>
        <v>439.33199999999999</v>
      </c>
      <c r="Z222" s="276">
        <f>Fixed!K73</f>
        <v>454</v>
      </c>
      <c r="AA222" s="276">
        <f ca="1">Fixed!L73</f>
        <v>475</v>
      </c>
      <c r="AB222" s="276">
        <f>Fixed!M73</f>
        <v>532</v>
      </c>
      <c r="AC222" s="276">
        <f>Fixed!N73</f>
        <v>607.88038575667656</v>
      </c>
      <c r="AD222" s="276">
        <f>Fixed!O73</f>
        <v>658.21557863501482</v>
      </c>
      <c r="AE222" s="273"/>
      <c r="AF222" s="273"/>
      <c r="AG222" s="273"/>
      <c r="AH222" s="273"/>
      <c r="AI222" s="273"/>
    </row>
    <row r="223" spans="2:35">
      <c r="B223" s="275" t="s">
        <v>577</v>
      </c>
      <c r="C223" s="276"/>
      <c r="D223" s="276"/>
      <c r="E223" s="276"/>
      <c r="F223" s="276"/>
      <c r="G223" s="276"/>
      <c r="H223" s="276"/>
      <c r="I223" s="276"/>
      <c r="J223" s="276"/>
      <c r="K223" s="276"/>
      <c r="L223" s="276"/>
      <c r="M223" s="276"/>
      <c r="N223" s="276"/>
      <c r="O223" s="276"/>
      <c r="P223" s="601">
        <f>+'Model also  old'!B25</f>
        <v>115</v>
      </c>
      <c r="Q223" s="601">
        <f>+'Model also  old'!C25</f>
        <v>135</v>
      </c>
      <c r="R223" s="276">
        <f>Fixed!C72</f>
        <v>174</v>
      </c>
      <c r="S223" s="276">
        <f>Fixed!D72</f>
        <v>202.00899999999999</v>
      </c>
      <c r="T223" s="276">
        <f>Fixed!E72</f>
        <v>462.16800000000001</v>
      </c>
      <c r="U223" s="276">
        <f>Fixed!F72</f>
        <v>520</v>
      </c>
      <c r="V223" s="276">
        <f>Fixed!G72</f>
        <v>578</v>
      </c>
      <c r="W223" s="276">
        <f>Fixed!H72</f>
        <v>573.98599999999999</v>
      </c>
      <c r="X223" s="276">
        <f>Fixed!I72</f>
        <v>584.0044633898998</v>
      </c>
      <c r="Y223" s="276">
        <f>Fixed!J72</f>
        <v>601.65100010000003</v>
      </c>
      <c r="Z223" s="276">
        <f>Fixed!K72</f>
        <v>629</v>
      </c>
      <c r="AA223" s="276">
        <f ca="1">Fixed!L72</f>
        <v>659</v>
      </c>
      <c r="AB223" s="276">
        <f>Fixed!M72</f>
        <v>718</v>
      </c>
      <c r="AC223" s="276">
        <f ca="1">Fixed!N72</f>
        <v>751.20313183552355</v>
      </c>
      <c r="AD223" s="276">
        <f ca="1">Fixed!O72</f>
        <v>828.65896311996619</v>
      </c>
      <c r="AE223" s="273"/>
      <c r="AF223" s="273"/>
      <c r="AG223" s="273"/>
      <c r="AH223" s="273"/>
      <c r="AI223" s="273"/>
    </row>
    <row r="224" spans="2:35">
      <c r="B224" s="275" t="s">
        <v>578</v>
      </c>
      <c r="C224" s="276"/>
      <c r="D224" s="276"/>
      <c r="E224" s="276"/>
      <c r="F224" s="276"/>
      <c r="G224" s="276"/>
      <c r="H224" s="276"/>
      <c r="I224" s="276"/>
      <c r="J224" s="276"/>
      <c r="K224" s="276"/>
      <c r="L224" s="276"/>
      <c r="M224" s="276"/>
      <c r="N224" s="276"/>
      <c r="O224" s="276"/>
      <c r="P224" s="601">
        <f>+P219+P222+P223</f>
        <v>1740</v>
      </c>
      <c r="Q224" s="601">
        <f>+Q219+Q222+Q223</f>
        <v>1663</v>
      </c>
      <c r="R224" s="276">
        <f>Fixed!C74</f>
        <v>1996</v>
      </c>
      <c r="S224" s="276">
        <f>Fixed!D74</f>
        <v>2045.0853987866185</v>
      </c>
      <c r="T224" s="276">
        <f>Fixed!E74</f>
        <v>4235.9980849426211</v>
      </c>
      <c r="U224" s="276">
        <f>Fixed!F74</f>
        <v>4398</v>
      </c>
      <c r="V224" s="276">
        <f>Fixed!G74</f>
        <v>4508</v>
      </c>
      <c r="W224" s="276">
        <f>Fixed!H74</f>
        <v>4407.1059999999998</v>
      </c>
      <c r="X224" s="276">
        <f>Fixed!I74</f>
        <v>4361.7489267797991</v>
      </c>
      <c r="Y224" s="276">
        <f>Fixed!J74</f>
        <v>4320.5180005000002</v>
      </c>
      <c r="Z224" s="276">
        <f>Fixed!K74</f>
        <v>4285</v>
      </c>
      <c r="AA224" s="276">
        <f ca="1">Fixed!L74</f>
        <v>4191</v>
      </c>
      <c r="AB224" s="276">
        <f ca="1">Fixed!M74</f>
        <v>4264</v>
      </c>
      <c r="AC224" s="276">
        <f ca="1">Fixed!N74</f>
        <v>3795.0599922356851</v>
      </c>
      <c r="AD224" s="276">
        <f ca="1">Fixed!O74</f>
        <v>4070.6834899796959</v>
      </c>
      <c r="AE224" s="273"/>
      <c r="AF224" s="273"/>
      <c r="AG224" s="273"/>
      <c r="AH224" s="273"/>
      <c r="AI224" s="273"/>
    </row>
    <row r="225" spans="2:35">
      <c r="B225" s="275" t="s">
        <v>143</v>
      </c>
      <c r="C225" s="276"/>
      <c r="D225" s="276"/>
      <c r="E225" s="276"/>
      <c r="F225" s="276"/>
      <c r="G225" s="276"/>
      <c r="H225" s="276"/>
      <c r="I225" s="276"/>
      <c r="J225" s="276"/>
      <c r="K225" s="276"/>
      <c r="L225" s="276"/>
      <c r="M225" s="276"/>
      <c r="N225" s="276"/>
      <c r="O225" s="276"/>
      <c r="P225" s="601">
        <f>+'Model also  old'!B4</f>
        <v>204.7</v>
      </c>
      <c r="Q225" s="601">
        <f>+'Model also  old'!C4</f>
        <v>205.3</v>
      </c>
      <c r="R225" s="276">
        <f>Model!C9</f>
        <v>206.22200000000001</v>
      </c>
      <c r="S225" s="276">
        <f>Model!D9</f>
        <v>212.99453461000002</v>
      </c>
      <c r="T225" s="276">
        <f>Model!E9</f>
        <v>279.16592631999998</v>
      </c>
      <c r="U225" s="276">
        <f>Model!F9</f>
        <v>478.20000000000005</v>
      </c>
      <c r="V225" s="276">
        <f>Model!G9</f>
        <v>496.9</v>
      </c>
      <c r="W225" s="276">
        <f>Model!H9</f>
        <v>494.33764154200037</v>
      </c>
      <c r="X225" s="276">
        <f>Model!I9</f>
        <v>499.40475366000004</v>
      </c>
      <c r="Y225" s="276">
        <f>Model!J9</f>
        <v>480</v>
      </c>
      <c r="Z225" s="276">
        <f>Model!K9</f>
        <v>462.84366304999998</v>
      </c>
      <c r="AA225" s="276">
        <f>Model!L9</f>
        <v>446.53620129000001</v>
      </c>
      <c r="AB225" s="276">
        <f>Model!M9</f>
        <v>452.06121156</v>
      </c>
      <c r="AC225" s="276">
        <f ca="1">Model!N9</f>
        <v>433.86462054566306</v>
      </c>
      <c r="AD225" s="276">
        <f ca="1">Model!O9</f>
        <v>434.14953674314324</v>
      </c>
      <c r="AE225" s="273"/>
      <c r="AF225" s="273"/>
      <c r="AG225" s="273"/>
      <c r="AH225" s="273"/>
      <c r="AI225" s="273"/>
    </row>
    <row r="226" spans="2:35">
      <c r="B226" s="275" t="s">
        <v>579</v>
      </c>
      <c r="C226" s="276"/>
      <c r="D226" s="276"/>
      <c r="E226" s="276"/>
      <c r="F226" s="276"/>
      <c r="G226" s="276"/>
      <c r="H226" s="276"/>
      <c r="I226" s="276"/>
      <c r="J226" s="276"/>
      <c r="K226" s="276"/>
      <c r="L226" s="276"/>
      <c r="M226" s="276"/>
      <c r="N226" s="276"/>
      <c r="O226" s="276"/>
      <c r="P226" s="601">
        <f>+P225</f>
        <v>204.7</v>
      </c>
      <c r="Q226" s="601">
        <f>+Q225</f>
        <v>205.3</v>
      </c>
      <c r="R226" s="276">
        <f>Fixed!C5</f>
        <v>206.22200000000001</v>
      </c>
      <c r="S226" s="276">
        <f>Fixed!D5</f>
        <v>212.99453461000002</v>
      </c>
      <c r="T226" s="276">
        <f>Fixed!E5</f>
        <v>279.16592631999998</v>
      </c>
      <c r="U226" s="276">
        <f>Fixed!F5</f>
        <v>478.20000000000005</v>
      </c>
      <c r="V226" s="276">
        <f>Fixed!G5</f>
        <v>496.9</v>
      </c>
      <c r="W226" s="276">
        <f>Fixed!H5</f>
        <v>494.33764154200037</v>
      </c>
      <c r="X226" s="276">
        <f>Fixed!I5</f>
        <v>499.40475365999998</v>
      </c>
      <c r="Y226" s="276">
        <f>Fixed!J5</f>
        <v>480</v>
      </c>
      <c r="Z226" s="276">
        <f>Fixed!K5</f>
        <v>462.84366304999998</v>
      </c>
      <c r="AA226" s="276">
        <f>Fixed!L5</f>
        <v>446.53620129000001</v>
      </c>
      <c r="AB226" s="276">
        <f>Fixed!M5</f>
        <v>452.06121155999995</v>
      </c>
      <c r="AC226" s="276">
        <f ca="1">Fixed!N5</f>
        <v>433.864620545663</v>
      </c>
      <c r="AD226" s="276">
        <f ca="1">Fixed!O5</f>
        <v>434.14953674314319</v>
      </c>
      <c r="AE226" s="273"/>
      <c r="AF226" s="273"/>
      <c r="AG226" s="273"/>
      <c r="AH226" s="273"/>
      <c r="AI226" s="273"/>
    </row>
    <row r="227" spans="2:35">
      <c r="B227" s="275" t="s">
        <v>580</v>
      </c>
      <c r="C227" s="276"/>
      <c r="D227" s="276"/>
      <c r="E227" s="276"/>
      <c r="F227" s="276"/>
      <c r="G227" s="276"/>
      <c r="H227" s="276"/>
      <c r="I227" s="276"/>
      <c r="J227" s="276"/>
      <c r="K227" s="276"/>
      <c r="L227" s="276"/>
      <c r="M227" s="276"/>
      <c r="N227" s="276"/>
      <c r="O227" s="276"/>
      <c r="P227" s="601">
        <v>0</v>
      </c>
      <c r="Q227" s="601">
        <v>0</v>
      </c>
      <c r="R227" s="276">
        <v>0</v>
      </c>
      <c r="S227" s="276">
        <v>0</v>
      </c>
      <c r="T227" s="276">
        <v>0</v>
      </c>
      <c r="U227" s="276">
        <v>0</v>
      </c>
      <c r="V227" s="276">
        <v>0</v>
      </c>
      <c r="W227" s="276">
        <v>0</v>
      </c>
      <c r="X227" s="276">
        <v>0</v>
      </c>
      <c r="Y227" s="276">
        <v>0</v>
      </c>
      <c r="Z227" s="276">
        <v>0</v>
      </c>
      <c r="AA227" s="276">
        <v>0</v>
      </c>
      <c r="AB227" s="276">
        <v>0</v>
      </c>
      <c r="AC227" s="276">
        <v>0</v>
      </c>
      <c r="AD227" s="276">
        <v>0</v>
      </c>
      <c r="AE227" s="273"/>
      <c r="AF227" s="273"/>
      <c r="AG227" s="273"/>
      <c r="AH227" s="273"/>
      <c r="AI227" s="273"/>
    </row>
    <row r="228" spans="2:35">
      <c r="B228" s="275" t="s">
        <v>581</v>
      </c>
      <c r="C228" s="276"/>
      <c r="D228" s="276"/>
      <c r="E228" s="276"/>
      <c r="F228" s="276"/>
      <c r="G228" s="276"/>
      <c r="H228" s="276"/>
      <c r="I228" s="276"/>
      <c r="J228" s="276"/>
      <c r="K228" s="276"/>
      <c r="L228" s="276"/>
      <c r="M228" s="276"/>
      <c r="N228" s="276"/>
      <c r="O228" s="276"/>
      <c r="P228" s="601">
        <v>0</v>
      </c>
      <c r="Q228" s="601">
        <v>0</v>
      </c>
      <c r="R228" s="276">
        <v>0</v>
      </c>
      <c r="S228" s="276">
        <v>0</v>
      </c>
      <c r="T228" s="276">
        <v>0</v>
      </c>
      <c r="U228" s="276">
        <v>0</v>
      </c>
      <c r="V228" s="276">
        <v>0</v>
      </c>
      <c r="W228" s="276">
        <v>0</v>
      </c>
      <c r="X228" s="276">
        <v>0</v>
      </c>
      <c r="Y228" s="276">
        <v>0</v>
      </c>
      <c r="Z228" s="276">
        <v>0</v>
      </c>
      <c r="AA228" s="276">
        <v>0</v>
      </c>
      <c r="AB228" s="276">
        <v>0</v>
      </c>
      <c r="AC228" s="276">
        <v>0</v>
      </c>
      <c r="AD228" s="276">
        <v>0</v>
      </c>
      <c r="AE228" s="273"/>
      <c r="AF228" s="273"/>
      <c r="AG228" s="273"/>
      <c r="AH228" s="273"/>
      <c r="AI228" s="273"/>
    </row>
    <row r="229" spans="2:35">
      <c r="B229" s="275" t="s">
        <v>281</v>
      </c>
      <c r="C229" s="276"/>
      <c r="D229" s="276"/>
      <c r="E229" s="276"/>
      <c r="F229" s="276"/>
      <c r="G229" s="276"/>
      <c r="H229" s="276"/>
      <c r="I229" s="276"/>
      <c r="J229" s="276"/>
      <c r="K229" s="276"/>
      <c r="L229" s="276"/>
      <c r="M229" s="276"/>
      <c r="N229" s="276"/>
      <c r="O229" s="276"/>
      <c r="P229" s="601">
        <f>+P21</f>
        <v>78.400000000000006</v>
      </c>
      <c r="Q229" s="601">
        <f t="shared" ref="Q229:AC229" si="25">+Q21</f>
        <v>87.1</v>
      </c>
      <c r="R229" s="276">
        <f t="shared" si="25"/>
        <v>88.077000000000055</v>
      </c>
      <c r="S229" s="276">
        <f t="shared" si="25"/>
        <v>98.936668599896052</v>
      </c>
      <c r="T229" s="276">
        <f t="shared" si="25"/>
        <v>140.88094095</v>
      </c>
      <c r="U229" s="276">
        <f t="shared" si="25"/>
        <v>250.1</v>
      </c>
      <c r="V229" s="276">
        <f t="shared" si="25"/>
        <v>264.7</v>
      </c>
      <c r="W229" s="276">
        <f t="shared" si="25"/>
        <v>235.99661195000004</v>
      </c>
      <c r="X229" s="276">
        <f t="shared" si="25"/>
        <v>239.45407107999998</v>
      </c>
      <c r="Y229" s="276">
        <f t="shared" si="25"/>
        <v>242.18396066</v>
      </c>
      <c r="Z229" s="276">
        <f t="shared" si="25"/>
        <v>226.45299999999997</v>
      </c>
      <c r="AA229" s="276">
        <f t="shared" si="25"/>
        <v>181.58300000000003</v>
      </c>
      <c r="AB229" s="276">
        <f t="shared" ca="1" si="25"/>
        <v>190.85454653151407</v>
      </c>
      <c r="AC229" s="276">
        <f t="shared" ca="1" si="25"/>
        <v>184.97974954401991</v>
      </c>
      <c r="AD229" s="276">
        <f ca="1">+AD21</f>
        <v>192.26576222893047</v>
      </c>
      <c r="AE229" s="273"/>
      <c r="AF229" s="273"/>
      <c r="AG229" s="273"/>
      <c r="AH229" s="273"/>
      <c r="AI229" s="273"/>
    </row>
    <row r="230" spans="2:35">
      <c r="B230" s="275" t="s">
        <v>582</v>
      </c>
      <c r="C230" s="276"/>
      <c r="D230" s="276"/>
      <c r="E230" s="276"/>
      <c r="F230" s="276"/>
      <c r="G230" s="276"/>
      <c r="H230" s="276"/>
      <c r="I230" s="276"/>
      <c r="J230" s="276"/>
      <c r="K230" s="276"/>
      <c r="L230" s="276"/>
      <c r="M230" s="276"/>
      <c r="N230" s="276"/>
      <c r="O230" s="276"/>
      <c r="P230" s="601">
        <f>+P229</f>
        <v>78.400000000000006</v>
      </c>
      <c r="Q230" s="601">
        <f t="shared" ref="Q230:AC230" si="26">+Q229</f>
        <v>87.1</v>
      </c>
      <c r="R230" s="276">
        <f t="shared" si="26"/>
        <v>88.077000000000055</v>
      </c>
      <c r="S230" s="276">
        <f t="shared" si="26"/>
        <v>98.936668599896052</v>
      </c>
      <c r="T230" s="276">
        <f t="shared" si="26"/>
        <v>140.88094095</v>
      </c>
      <c r="U230" s="276">
        <f t="shared" si="26"/>
        <v>250.1</v>
      </c>
      <c r="V230" s="276">
        <f t="shared" si="26"/>
        <v>264.7</v>
      </c>
      <c r="W230" s="276">
        <f t="shared" si="26"/>
        <v>235.99661195000004</v>
      </c>
      <c r="X230" s="276">
        <f t="shared" si="26"/>
        <v>239.45407107999998</v>
      </c>
      <c r="Y230" s="276">
        <f t="shared" si="26"/>
        <v>242.18396066</v>
      </c>
      <c r="Z230" s="276">
        <f t="shared" si="26"/>
        <v>226.45299999999997</v>
      </c>
      <c r="AA230" s="276">
        <f t="shared" si="26"/>
        <v>181.58300000000003</v>
      </c>
      <c r="AB230" s="276">
        <f t="shared" ca="1" si="26"/>
        <v>190.85454653151407</v>
      </c>
      <c r="AC230" s="276">
        <f t="shared" ca="1" si="26"/>
        <v>184.97974954401991</v>
      </c>
      <c r="AD230" s="276">
        <f ca="1">+AD229</f>
        <v>192.26576222893047</v>
      </c>
      <c r="AE230" s="273"/>
      <c r="AF230" s="273"/>
      <c r="AG230" s="273"/>
      <c r="AH230" s="273"/>
      <c r="AI230" s="273"/>
    </row>
    <row r="231" spans="2:35">
      <c r="B231" s="275" t="s">
        <v>583</v>
      </c>
      <c r="C231" s="276"/>
      <c r="D231" s="276"/>
      <c r="E231" s="276"/>
      <c r="F231" s="276"/>
      <c r="G231" s="276"/>
      <c r="H231" s="276"/>
      <c r="I231" s="276"/>
      <c r="J231" s="276"/>
      <c r="K231" s="276"/>
      <c r="L231" s="276"/>
      <c r="M231" s="276"/>
      <c r="N231" s="276"/>
      <c r="O231" s="276"/>
      <c r="P231" s="601">
        <v>0</v>
      </c>
      <c r="Q231" s="601">
        <v>0</v>
      </c>
      <c r="R231" s="276">
        <v>0</v>
      </c>
      <c r="S231" s="276">
        <v>0</v>
      </c>
      <c r="T231" s="276">
        <v>0</v>
      </c>
      <c r="U231" s="276">
        <v>0</v>
      </c>
      <c r="V231" s="276">
        <v>0</v>
      </c>
      <c r="W231" s="276">
        <v>0</v>
      </c>
      <c r="X231" s="276">
        <v>0</v>
      </c>
      <c r="Y231" s="276">
        <v>0</v>
      </c>
      <c r="Z231" s="276">
        <v>0</v>
      </c>
      <c r="AA231" s="276">
        <v>0</v>
      </c>
      <c r="AB231" s="276">
        <v>0</v>
      </c>
      <c r="AC231" s="276">
        <v>0</v>
      </c>
      <c r="AD231" s="276">
        <v>0</v>
      </c>
      <c r="AE231" s="273"/>
      <c r="AF231" s="273"/>
      <c r="AG231" s="273"/>
      <c r="AH231" s="273"/>
      <c r="AI231" s="273"/>
    </row>
    <row r="232" spans="2:35">
      <c r="B232" s="275" t="s">
        <v>161</v>
      </c>
      <c r="C232" s="276"/>
      <c r="D232" s="276"/>
      <c r="E232" s="276"/>
      <c r="F232" s="276"/>
      <c r="G232" s="276"/>
      <c r="H232" s="276"/>
      <c r="I232" s="276"/>
      <c r="J232" s="276"/>
      <c r="K232" s="276"/>
      <c r="L232" s="276"/>
      <c r="M232" s="276"/>
      <c r="N232" s="276"/>
      <c r="O232" s="276"/>
      <c r="P232" s="601">
        <f>+P24</f>
        <v>68.099999999999994</v>
      </c>
      <c r="Q232" s="601">
        <f t="shared" ref="Q232:AC232" si="27">+Q24</f>
        <v>59.6</v>
      </c>
      <c r="R232" s="276">
        <f t="shared" si="27"/>
        <v>51.5</v>
      </c>
      <c r="S232" s="276">
        <f t="shared" si="27"/>
        <v>84.1</v>
      </c>
      <c r="T232" s="276">
        <f t="shared" si="27"/>
        <v>113.2</v>
      </c>
      <c r="U232" s="276">
        <f t="shared" si="27"/>
        <v>152.30000000000001</v>
      </c>
      <c r="V232" s="276">
        <f t="shared" si="27"/>
        <v>155.9</v>
      </c>
      <c r="W232" s="276">
        <f t="shared" si="27"/>
        <v>159.03177321999999</v>
      </c>
      <c r="X232" s="276">
        <f t="shared" si="27"/>
        <v>162.0818753543538</v>
      </c>
      <c r="Y232" s="276">
        <f t="shared" si="27"/>
        <v>109.13800000000001</v>
      </c>
      <c r="Z232" s="276">
        <f t="shared" si="27"/>
        <v>134.16900000000001</v>
      </c>
      <c r="AA232" s="276">
        <f t="shared" si="27"/>
        <v>186</v>
      </c>
      <c r="AB232" s="276">
        <f t="shared" si="27"/>
        <v>187</v>
      </c>
      <c r="AC232" s="276">
        <f t="shared" ca="1" si="27"/>
        <v>193.26969502103239</v>
      </c>
      <c r="AD232" s="276">
        <f ca="1">+AD24</f>
        <v>187.46621537875632</v>
      </c>
      <c r="AE232" s="273"/>
      <c r="AF232" s="273"/>
      <c r="AG232" s="273"/>
      <c r="AH232" s="273"/>
      <c r="AI232" s="273"/>
    </row>
    <row r="233" spans="2:35">
      <c r="B233" s="275" t="s">
        <v>584</v>
      </c>
      <c r="C233" s="276"/>
      <c r="D233" s="276"/>
      <c r="E233" s="276"/>
      <c r="F233" s="276"/>
      <c r="G233" s="276"/>
      <c r="H233" s="276"/>
      <c r="I233" s="276"/>
      <c r="J233" s="276"/>
      <c r="K233" s="276"/>
      <c r="L233" s="276"/>
      <c r="M233" s="276"/>
      <c r="N233" s="276"/>
      <c r="O233" s="276"/>
      <c r="P233" s="601">
        <f>+P232</f>
        <v>68.099999999999994</v>
      </c>
      <c r="Q233" s="601">
        <f t="shared" ref="Q233:AC233" si="28">+Q232</f>
        <v>59.6</v>
      </c>
      <c r="R233" s="276">
        <f t="shared" si="28"/>
        <v>51.5</v>
      </c>
      <c r="S233" s="276">
        <f t="shared" si="28"/>
        <v>84.1</v>
      </c>
      <c r="T233" s="276">
        <f t="shared" si="28"/>
        <v>113.2</v>
      </c>
      <c r="U233" s="276">
        <f t="shared" si="28"/>
        <v>152.30000000000001</v>
      </c>
      <c r="V233" s="276">
        <f t="shared" si="28"/>
        <v>155.9</v>
      </c>
      <c r="W233" s="276">
        <f t="shared" si="28"/>
        <v>159.03177321999999</v>
      </c>
      <c r="X233" s="276">
        <f t="shared" si="28"/>
        <v>162.0818753543538</v>
      </c>
      <c r="Y233" s="276">
        <f t="shared" si="28"/>
        <v>109.13800000000001</v>
      </c>
      <c r="Z233" s="276">
        <f t="shared" si="28"/>
        <v>134.16900000000001</v>
      </c>
      <c r="AA233" s="276">
        <f t="shared" si="28"/>
        <v>186</v>
      </c>
      <c r="AB233" s="276">
        <f t="shared" si="28"/>
        <v>187</v>
      </c>
      <c r="AC233" s="276">
        <f t="shared" ca="1" si="28"/>
        <v>193.26969502103239</v>
      </c>
      <c r="AD233" s="276">
        <f ca="1">+AD232</f>
        <v>187.46621537875632</v>
      </c>
      <c r="AE233" s="273"/>
      <c r="AF233" s="273"/>
      <c r="AG233" s="273"/>
      <c r="AH233" s="273"/>
      <c r="AI233" s="273"/>
    </row>
    <row r="234" spans="2:35">
      <c r="B234" s="275" t="s">
        <v>585</v>
      </c>
      <c r="C234" s="276"/>
      <c r="D234" s="276"/>
      <c r="E234" s="276"/>
      <c r="F234" s="276"/>
      <c r="G234" s="276"/>
      <c r="H234" s="276"/>
      <c r="I234" s="276"/>
      <c r="J234" s="276"/>
      <c r="K234" s="276"/>
      <c r="L234" s="276"/>
      <c r="M234" s="276"/>
      <c r="N234" s="276"/>
      <c r="O234" s="276"/>
      <c r="P234" s="601">
        <v>0</v>
      </c>
      <c r="Q234" s="601">
        <v>0</v>
      </c>
      <c r="R234" s="276">
        <v>0</v>
      </c>
      <c r="S234" s="276">
        <v>0</v>
      </c>
      <c r="T234" s="276">
        <v>0</v>
      </c>
      <c r="U234" s="276">
        <v>0</v>
      </c>
      <c r="V234" s="276">
        <v>0</v>
      </c>
      <c r="W234" s="276">
        <v>0</v>
      </c>
      <c r="X234" s="276">
        <v>0</v>
      </c>
      <c r="Y234" s="276">
        <v>0</v>
      </c>
      <c r="Z234" s="276">
        <v>0</v>
      </c>
      <c r="AA234" s="276">
        <v>0</v>
      </c>
      <c r="AB234" s="276">
        <v>0</v>
      </c>
      <c r="AC234" s="276">
        <v>0</v>
      </c>
      <c r="AD234" s="276">
        <v>0</v>
      </c>
      <c r="AE234" s="273"/>
      <c r="AF234" s="273"/>
      <c r="AG234" s="273"/>
      <c r="AH234" s="273"/>
      <c r="AI234" s="273"/>
    </row>
    <row r="235" spans="2:35">
      <c r="B235" s="275" t="s">
        <v>351</v>
      </c>
      <c r="C235" s="276"/>
      <c r="D235" s="276"/>
      <c r="E235" s="276"/>
      <c r="F235" s="276"/>
      <c r="G235" s="276"/>
      <c r="H235" s="276"/>
      <c r="I235" s="276"/>
      <c r="J235" s="276"/>
      <c r="K235" s="276"/>
      <c r="L235" s="276"/>
      <c r="M235" s="276"/>
      <c r="N235" s="276"/>
      <c r="O235" s="276"/>
      <c r="P235" s="601">
        <f>+P229-P232</f>
        <v>10.300000000000011</v>
      </c>
      <c r="Q235" s="601">
        <f t="shared" ref="Q235:AC235" si="29">+Q229-Q232</f>
        <v>27.499999999999993</v>
      </c>
      <c r="R235" s="276">
        <f t="shared" si="29"/>
        <v>36.577000000000055</v>
      </c>
      <c r="S235" s="276">
        <f t="shared" si="29"/>
        <v>14.836668599896058</v>
      </c>
      <c r="T235" s="276">
        <f t="shared" si="29"/>
        <v>27.680940949999993</v>
      </c>
      <c r="U235" s="276">
        <f t="shared" si="29"/>
        <v>97.799999999999983</v>
      </c>
      <c r="V235" s="276">
        <f t="shared" si="29"/>
        <v>108.79999999999998</v>
      </c>
      <c r="W235" s="276">
        <f t="shared" si="29"/>
        <v>76.964838730000054</v>
      </c>
      <c r="X235" s="276">
        <f t="shared" si="29"/>
        <v>77.372195725646179</v>
      </c>
      <c r="Y235" s="276">
        <f t="shared" si="29"/>
        <v>133.04596065999999</v>
      </c>
      <c r="Z235" s="276">
        <f t="shared" si="29"/>
        <v>92.283999999999963</v>
      </c>
      <c r="AA235" s="276">
        <f t="shared" si="29"/>
        <v>-4.4169999999999732</v>
      </c>
      <c r="AB235" s="276">
        <f t="shared" ca="1" si="29"/>
        <v>3.8545465315140746</v>
      </c>
      <c r="AC235" s="276">
        <f t="shared" ca="1" si="29"/>
        <v>-8.2899454770124805</v>
      </c>
      <c r="AD235" s="276">
        <f ca="1">+AD229-AD232</f>
        <v>4.7995468501741527</v>
      </c>
      <c r="AE235" s="273"/>
      <c r="AF235" s="273"/>
      <c r="AG235" s="273"/>
      <c r="AH235" s="273"/>
      <c r="AI235" s="273"/>
    </row>
    <row r="236" spans="2:35">
      <c r="B236" s="275" t="s">
        <v>586</v>
      </c>
      <c r="C236" s="276"/>
      <c r="D236" s="276"/>
      <c r="E236" s="276"/>
      <c r="F236" s="276"/>
      <c r="G236" s="276"/>
      <c r="H236" s="276"/>
      <c r="I236" s="276"/>
      <c r="J236" s="276"/>
      <c r="K236" s="276"/>
      <c r="L236" s="276"/>
      <c r="M236" s="276"/>
      <c r="N236" s="276"/>
      <c r="O236" s="276"/>
      <c r="P236" s="601">
        <f>+P33</f>
        <v>-26.899999999999991</v>
      </c>
      <c r="Q236" s="601">
        <f t="shared" ref="Q236:AC236" si="30">+Q33</f>
        <v>-14.630000000000003</v>
      </c>
      <c r="R236" s="276">
        <f t="shared" si="30"/>
        <v>8.7178500000000376</v>
      </c>
      <c r="S236" s="276">
        <f t="shared" si="30"/>
        <v>-26.306440709300333</v>
      </c>
      <c r="T236" s="276">
        <f t="shared" si="30"/>
        <v>4.3152065123000209</v>
      </c>
      <c r="U236" s="276">
        <f t="shared" si="30"/>
        <v>24.805900000000008</v>
      </c>
      <c r="V236" s="276">
        <f t="shared" si="30"/>
        <v>59.88300000000001</v>
      </c>
      <c r="W236" s="276">
        <f t="shared" si="30"/>
        <v>53.027907843399923</v>
      </c>
      <c r="X236" s="276">
        <f t="shared" si="30"/>
        <v>25.930600699646206</v>
      </c>
      <c r="Y236" s="276">
        <f t="shared" si="30"/>
        <v>141.26185605099997</v>
      </c>
      <c r="Z236" s="276">
        <f t="shared" ca="1" si="30"/>
        <v>37.817282982999949</v>
      </c>
      <c r="AA236" s="276">
        <f t="shared" ca="1" si="30"/>
        <v>-25.784774825999964</v>
      </c>
      <c r="AB236" s="276">
        <f t="shared" ca="1" si="30"/>
        <v>-27.637361396833828</v>
      </c>
      <c r="AC236" s="276">
        <f t="shared" ca="1" si="30"/>
        <v>-40.195107491303247</v>
      </c>
      <c r="AD236" s="276">
        <f ca="1">+AD33</f>
        <v>-30.808956446380481</v>
      </c>
      <c r="AE236" s="273"/>
      <c r="AF236" s="273"/>
      <c r="AG236" s="273"/>
      <c r="AH236" s="273"/>
      <c r="AI236" s="273"/>
    </row>
    <row r="237" spans="2:35">
      <c r="B237" s="275" t="s">
        <v>160</v>
      </c>
      <c r="C237" s="276"/>
      <c r="D237" s="276"/>
      <c r="E237" s="276"/>
      <c r="F237" s="276"/>
      <c r="G237" s="276"/>
      <c r="H237" s="276"/>
      <c r="I237" s="276"/>
      <c r="J237" s="276"/>
      <c r="K237" s="276"/>
      <c r="L237" s="276"/>
      <c r="M237" s="276"/>
      <c r="N237" s="276"/>
      <c r="O237" s="276"/>
      <c r="P237" s="601">
        <f>+P9</f>
        <v>594</v>
      </c>
      <c r="Q237" s="601">
        <f t="shared" ref="Q237:AC237" si="31">+Q9</f>
        <v>620</v>
      </c>
      <c r="R237" s="276">
        <f t="shared" si="31"/>
        <v>551.10699999999997</v>
      </c>
      <c r="S237" s="276">
        <f t="shared" si="31"/>
        <v>618.73199999999997</v>
      </c>
      <c r="T237" s="276">
        <f t="shared" si="31"/>
        <v>1185.6102560000002</v>
      </c>
      <c r="U237" s="276">
        <f t="shared" si="31"/>
        <v>1205.5</v>
      </c>
      <c r="V237" s="276">
        <f t="shared" si="31"/>
        <v>1309.3000000000002</v>
      </c>
      <c r="W237" s="276">
        <f t="shared" si="31"/>
        <v>1389.5861756100001</v>
      </c>
      <c r="X237" s="276">
        <f t="shared" si="31"/>
        <v>1422.04685406</v>
      </c>
      <c r="Y237" s="276">
        <f t="shared" si="31"/>
        <v>1400.5103227499999</v>
      </c>
      <c r="Z237" s="276">
        <f t="shared" si="31"/>
        <v>984.40600000000006</v>
      </c>
      <c r="AA237" s="276">
        <f t="shared" si="31"/>
        <v>1009.5</v>
      </c>
      <c r="AB237" s="276">
        <f t="shared" si="31"/>
        <v>1159.894</v>
      </c>
      <c r="AC237" s="276">
        <f t="shared" ca="1" si="31"/>
        <v>1152.4939454770124</v>
      </c>
      <c r="AD237" s="276">
        <f ca="1">+AD9</f>
        <v>1185.2093986268383</v>
      </c>
      <c r="AE237" s="273"/>
      <c r="AF237" s="273"/>
      <c r="AG237" s="273"/>
      <c r="AH237" s="273"/>
      <c r="AI237" s="273"/>
    </row>
    <row r="238" spans="2:35">
      <c r="B238" s="275" t="s">
        <v>587</v>
      </c>
      <c r="C238" s="276"/>
      <c r="D238" s="276"/>
      <c r="E238" s="276"/>
      <c r="F238" s="276"/>
      <c r="G238" s="276"/>
      <c r="H238" s="276"/>
      <c r="I238" s="276"/>
      <c r="J238" s="276"/>
      <c r="K238" s="276"/>
      <c r="L238" s="276"/>
      <c r="M238" s="276"/>
      <c r="N238" s="276"/>
      <c r="O238" s="276"/>
      <c r="P238" s="601">
        <f>+P68</f>
        <v>0</v>
      </c>
      <c r="Q238" s="601">
        <f t="shared" ref="Q238:AC238" si="32">+Q68</f>
        <v>0</v>
      </c>
      <c r="R238" s="276">
        <f t="shared" si="32"/>
        <v>0</v>
      </c>
      <c r="S238" s="276">
        <f t="shared" si="32"/>
        <v>0</v>
      </c>
      <c r="T238" s="276">
        <f t="shared" si="32"/>
        <v>0</v>
      </c>
      <c r="U238" s="276">
        <f t="shared" si="32"/>
        <v>0</v>
      </c>
      <c r="V238" s="276">
        <f t="shared" si="32"/>
        <v>0</v>
      </c>
      <c r="W238" s="276">
        <f t="shared" si="32"/>
        <v>0</v>
      </c>
      <c r="X238" s="276">
        <f t="shared" si="32"/>
        <v>0</v>
      </c>
      <c r="Y238" s="276">
        <f t="shared" si="32"/>
        <v>0</v>
      </c>
      <c r="Z238" s="276">
        <f t="shared" si="32"/>
        <v>0</v>
      </c>
      <c r="AA238" s="276">
        <f t="shared" si="32"/>
        <v>0</v>
      </c>
      <c r="AB238" s="276">
        <f t="shared" si="32"/>
        <v>0</v>
      </c>
      <c r="AC238" s="276">
        <f t="shared" si="32"/>
        <v>0</v>
      </c>
      <c r="AD238" s="276">
        <f>+AD68</f>
        <v>0</v>
      </c>
      <c r="AE238" s="273"/>
      <c r="AF238" s="273"/>
      <c r="AG238" s="273"/>
      <c r="AH238" s="273"/>
      <c r="AI238" s="27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0F927-899A-46E4-AD4D-F58E7040D247}">
  <sheetPr>
    <tabColor rgb="FF00B0F0"/>
  </sheetPr>
  <dimension ref="A1:S109"/>
  <sheetViews>
    <sheetView showGridLines="0" zoomScale="70" zoomScaleNormal="70" workbookViewId="0">
      <selection activeCell="B2" sqref="B2"/>
    </sheetView>
  </sheetViews>
  <sheetFormatPr defaultColWidth="9.1328125" defaultRowHeight="13.15"/>
  <cols>
    <col min="1" max="1" width="2.796875" style="998" customWidth="1"/>
    <col min="2" max="2" width="26.796875" style="998" customWidth="1"/>
    <col min="3" max="16384" width="9.1328125" style="998"/>
  </cols>
  <sheetData>
    <row r="1" spans="1:19">
      <c r="A1" s="1335"/>
      <c r="B1" s="1335"/>
      <c r="C1" s="1335"/>
      <c r="D1" s="1335"/>
      <c r="E1" s="1335"/>
      <c r="F1" s="1335"/>
      <c r="G1" s="1335"/>
      <c r="H1" s="1335"/>
      <c r="I1" s="1335"/>
      <c r="J1" s="1335"/>
      <c r="K1" s="1335"/>
      <c r="L1" s="1335"/>
      <c r="M1" s="1335"/>
      <c r="N1" s="1335"/>
      <c r="O1" s="1335"/>
      <c r="P1" s="1335"/>
      <c r="Q1" s="1335"/>
      <c r="R1" s="1335"/>
      <c r="S1" s="1335"/>
    </row>
    <row r="2" spans="1:19" s="1064" customFormat="1">
      <c r="A2" s="1339"/>
      <c r="B2" s="1340" t="s">
        <v>2107</v>
      </c>
      <c r="C2" s="1340"/>
      <c r="D2" s="1340"/>
      <c r="E2" s="1340"/>
      <c r="F2" s="1340"/>
      <c r="G2" s="1340"/>
      <c r="H2" s="1340"/>
      <c r="I2" s="1340"/>
      <c r="J2" s="1340"/>
      <c r="K2" s="1340"/>
      <c r="L2" s="1340"/>
      <c r="M2" s="1340"/>
      <c r="N2" s="1340"/>
      <c r="O2" s="1340"/>
      <c r="P2" s="1340"/>
      <c r="Q2" s="1340"/>
      <c r="R2" s="1340"/>
      <c r="S2" s="1340"/>
    </row>
    <row r="3" spans="1:19">
      <c r="A3" s="1335"/>
      <c r="B3" s="1336"/>
      <c r="C3" s="1336"/>
      <c r="D3" s="1336"/>
      <c r="E3" s="1336"/>
      <c r="F3" s="1336"/>
      <c r="G3" s="1336"/>
      <c r="H3" s="1336"/>
      <c r="I3" s="1336"/>
      <c r="J3" s="1336"/>
      <c r="K3" s="1336"/>
      <c r="L3" s="1336"/>
      <c r="M3" s="1336"/>
      <c r="N3" s="1336"/>
      <c r="O3" s="1336"/>
      <c r="P3" s="1336"/>
      <c r="Q3" s="1336"/>
      <c r="R3" s="1336"/>
      <c r="S3" s="1336"/>
    </row>
    <row r="4" spans="1:19">
      <c r="A4" s="1335"/>
      <c r="B4" s="1160" t="s">
        <v>773</v>
      </c>
      <c r="C4" s="1160">
        <v>2014</v>
      </c>
      <c r="D4" s="1160">
        <v>2015</v>
      </c>
      <c r="E4" s="1160">
        <v>2016</v>
      </c>
      <c r="F4" s="1160">
        <v>2017</v>
      </c>
      <c r="G4" s="1160">
        <v>2018</v>
      </c>
      <c r="H4" s="1160">
        <v>2019</v>
      </c>
      <c r="I4" s="1160">
        <v>2020</v>
      </c>
      <c r="J4" s="1160">
        <v>2021</v>
      </c>
      <c r="K4" s="1160">
        <v>2022</v>
      </c>
      <c r="L4" s="1160">
        <v>2023</v>
      </c>
      <c r="M4" s="1160">
        <v>2024</v>
      </c>
      <c r="N4" s="1160">
        <v>2025</v>
      </c>
      <c r="O4" s="1160">
        <v>2026</v>
      </c>
      <c r="P4" s="1160">
        <v>2027</v>
      </c>
      <c r="Q4" s="1160">
        <v>2028</v>
      </c>
      <c r="R4" s="1160">
        <v>2029</v>
      </c>
      <c r="S4" s="1160">
        <v>2030</v>
      </c>
    </row>
    <row r="5" spans="1:19">
      <c r="A5" s="1335"/>
      <c r="B5" s="998" t="s">
        <v>774</v>
      </c>
      <c r="C5" s="1341"/>
      <c r="D5" s="1341"/>
      <c r="E5" s="1341"/>
      <c r="F5" s="1341"/>
      <c r="G5" s="1341"/>
      <c r="H5" s="1341"/>
      <c r="I5" s="1341"/>
      <c r="J5" s="1341"/>
      <c r="K5" s="1341"/>
      <c r="L5" s="1341"/>
      <c r="M5" s="1341"/>
      <c r="N5" s="1341"/>
      <c r="O5" s="1336"/>
      <c r="P5" s="1336"/>
      <c r="Q5" s="1336"/>
      <c r="R5" s="1336"/>
      <c r="S5" s="1336"/>
    </row>
    <row r="6" spans="1:19">
      <c r="A6" s="1335"/>
      <c r="B6" s="998" t="s">
        <v>775</v>
      </c>
      <c r="C6" s="1341"/>
      <c r="D6" s="1341"/>
      <c r="E6" s="1341"/>
      <c r="F6" s="1341"/>
      <c r="G6" s="1341"/>
      <c r="H6" s="1341"/>
      <c r="I6" s="1341"/>
      <c r="J6" s="1341"/>
      <c r="K6" s="1341"/>
      <c r="L6" s="1341"/>
      <c r="M6" s="1341"/>
      <c r="N6" s="1341"/>
      <c r="O6" s="1336"/>
      <c r="P6" s="1336"/>
      <c r="Q6" s="1336"/>
      <c r="R6" s="1336"/>
      <c r="S6" s="1336"/>
    </row>
    <row r="7" spans="1:19">
      <c r="A7" s="1335"/>
      <c r="B7" s="998" t="s">
        <v>776</v>
      </c>
      <c r="C7" s="1336"/>
      <c r="D7" s="1336"/>
      <c r="E7" s="1336"/>
      <c r="F7" s="1336"/>
      <c r="G7" s="1336"/>
      <c r="H7" s="1336"/>
      <c r="I7" s="1336"/>
      <c r="J7" s="1336"/>
      <c r="K7" s="1336"/>
      <c r="L7" s="1336"/>
      <c r="M7" s="1336"/>
      <c r="N7" s="1336"/>
      <c r="O7" s="1336"/>
      <c r="P7" s="1336"/>
      <c r="Q7" s="1336"/>
      <c r="R7" s="1336"/>
      <c r="S7" s="1336"/>
    </row>
    <row r="8" spans="1:19">
      <c r="A8" s="1335"/>
      <c r="B8" s="998" t="s">
        <v>777</v>
      </c>
      <c r="C8" s="1336"/>
      <c r="D8" s="1336"/>
      <c r="E8" s="1336"/>
      <c r="F8" s="1336"/>
      <c r="G8" s="1336"/>
      <c r="H8" s="1336"/>
      <c r="I8" s="1336"/>
      <c r="J8" s="1336"/>
      <c r="K8" s="1336"/>
      <c r="L8" s="1336"/>
      <c r="M8" s="1336"/>
      <c r="N8" s="1336"/>
      <c r="O8" s="1336"/>
      <c r="P8" s="1336"/>
      <c r="Q8" s="1336"/>
      <c r="R8" s="1336"/>
      <c r="S8" s="1336"/>
    </row>
    <row r="9" spans="1:19">
      <c r="A9" s="1335"/>
      <c r="B9" s="998" t="s">
        <v>160</v>
      </c>
      <c r="C9" s="1342"/>
      <c r="D9" s="1342"/>
      <c r="E9" s="1342"/>
      <c r="F9" s="1342"/>
      <c r="G9" s="1342"/>
      <c r="H9" s="1342"/>
      <c r="I9" s="1342"/>
      <c r="J9" s="1342"/>
      <c r="K9" s="1342"/>
      <c r="L9" s="1342"/>
      <c r="M9" s="1342"/>
      <c r="N9" s="1342"/>
      <c r="O9" s="1336"/>
      <c r="P9" s="1336"/>
      <c r="Q9" s="1336"/>
      <c r="R9" s="1336"/>
      <c r="S9" s="1336"/>
    </row>
    <row r="10" spans="1:19">
      <c r="A10" s="1335"/>
      <c r="B10" s="998" t="s">
        <v>58</v>
      </c>
      <c r="C10" s="1342"/>
      <c r="D10" s="1342"/>
      <c r="E10" s="1342"/>
      <c r="F10" s="1342"/>
      <c r="G10" s="1342"/>
      <c r="H10" s="1342"/>
      <c r="I10" s="1342"/>
      <c r="J10" s="1342"/>
      <c r="K10" s="1342"/>
      <c r="L10" s="1342"/>
      <c r="M10" s="1342"/>
      <c r="N10" s="1342"/>
      <c r="O10" s="1336"/>
      <c r="P10" s="1336"/>
      <c r="Q10" s="1336"/>
      <c r="R10" s="1336"/>
      <c r="S10" s="1336"/>
    </row>
    <row r="11" spans="1:19">
      <c r="A11" s="1335"/>
      <c r="B11" s="998" t="s">
        <v>778</v>
      </c>
      <c r="C11" s="1338"/>
      <c r="D11" s="1338"/>
      <c r="E11" s="1336"/>
      <c r="F11" s="1336"/>
      <c r="G11" s="1336"/>
      <c r="H11" s="1336"/>
      <c r="I11" s="1336"/>
      <c r="J11" s="1336"/>
      <c r="K11" s="1336"/>
      <c r="L11" s="1336"/>
      <c r="M11" s="1336"/>
      <c r="N11" s="1336"/>
      <c r="O11" s="1336"/>
      <c r="P11" s="1336"/>
      <c r="Q11" s="1336"/>
      <c r="R11" s="1336"/>
      <c r="S11" s="1336"/>
    </row>
    <row r="12" spans="1:19">
      <c r="A12" s="1335"/>
      <c r="B12" s="998" t="s">
        <v>752</v>
      </c>
      <c r="C12" s="1338"/>
      <c r="D12" s="1338"/>
      <c r="E12" s="1338"/>
      <c r="F12" s="1338"/>
      <c r="G12" s="1338"/>
      <c r="H12" s="1338"/>
      <c r="I12" s="1338"/>
      <c r="J12" s="1338"/>
      <c r="K12" s="1338"/>
      <c r="L12" s="1338"/>
      <c r="M12" s="1338"/>
      <c r="N12" s="1338"/>
      <c r="O12" s="1336"/>
      <c r="P12" s="1336"/>
      <c r="Q12" s="1336"/>
      <c r="R12" s="1336"/>
      <c r="S12" s="1336"/>
    </row>
    <row r="13" spans="1:19">
      <c r="A13" s="1335"/>
      <c r="B13" s="998" t="s">
        <v>779</v>
      </c>
      <c r="C13" s="1342"/>
      <c r="D13" s="1342"/>
      <c r="E13" s="1342"/>
      <c r="F13" s="1342"/>
      <c r="G13" s="1342"/>
      <c r="H13" s="1342"/>
      <c r="I13" s="1342"/>
      <c r="J13" s="1342"/>
      <c r="K13" s="1342"/>
      <c r="L13" s="1342"/>
      <c r="M13" s="1342"/>
      <c r="N13" s="1342"/>
      <c r="O13" s="1336"/>
      <c r="P13" s="1336"/>
      <c r="Q13" s="1336"/>
      <c r="R13" s="1336"/>
      <c r="S13" s="1336"/>
    </row>
    <row r="14" spans="1:19">
      <c r="A14" s="1335"/>
      <c r="B14" s="998" t="s">
        <v>780</v>
      </c>
      <c r="C14" s="1338"/>
      <c r="D14" s="1338"/>
      <c r="E14" s="1338"/>
      <c r="F14" s="1338"/>
      <c r="G14" s="1338"/>
      <c r="H14" s="1338"/>
      <c r="I14" s="1338"/>
      <c r="J14" s="1338"/>
      <c r="K14" s="1338"/>
      <c r="L14" s="1338"/>
      <c r="M14" s="1338"/>
      <c r="N14" s="1338"/>
      <c r="O14" s="1336"/>
      <c r="P14" s="1336"/>
      <c r="Q14" s="1336"/>
      <c r="R14" s="1336"/>
      <c r="S14" s="1336"/>
    </row>
    <row r="15" spans="1:19">
      <c r="A15" s="1335"/>
      <c r="B15" s="998" t="s">
        <v>354</v>
      </c>
      <c r="C15" s="1343"/>
      <c r="D15" s="1343"/>
      <c r="E15" s="1343"/>
      <c r="F15" s="1343"/>
      <c r="G15" s="1343"/>
      <c r="H15" s="1343"/>
      <c r="I15" s="1343"/>
      <c r="J15" s="1343"/>
      <c r="K15" s="1343"/>
      <c r="L15" s="1343"/>
      <c r="M15" s="1343"/>
      <c r="N15" s="1343"/>
      <c r="O15" s="1336"/>
      <c r="P15" s="1336"/>
      <c r="Q15" s="1336"/>
      <c r="R15" s="1336"/>
      <c r="S15" s="1336"/>
    </row>
    <row r="16" spans="1:19">
      <c r="A16" s="1335"/>
      <c r="B16" s="998" t="s">
        <v>781</v>
      </c>
      <c r="C16" s="1343"/>
      <c r="D16" s="1343"/>
      <c r="E16" s="1343"/>
      <c r="F16" s="1343"/>
      <c r="G16" s="1343"/>
      <c r="H16" s="1343"/>
      <c r="I16" s="1343"/>
      <c r="J16" s="1343"/>
      <c r="K16" s="1343"/>
      <c r="L16" s="1343"/>
      <c r="M16" s="1343"/>
      <c r="N16" s="1343"/>
      <c r="O16" s="1336"/>
      <c r="P16" s="1336"/>
      <c r="Q16" s="1336"/>
      <c r="R16" s="1336"/>
      <c r="S16" s="1336"/>
    </row>
    <row r="17" spans="1:19">
      <c r="A17" s="1335"/>
      <c r="B17" s="998" t="s">
        <v>353</v>
      </c>
      <c r="C17" s="1343"/>
      <c r="D17" s="1343"/>
      <c r="E17" s="1343"/>
      <c r="F17" s="1343"/>
      <c r="G17" s="1343"/>
      <c r="H17" s="1343"/>
      <c r="I17" s="1343"/>
      <c r="J17" s="1343"/>
      <c r="K17" s="1343"/>
      <c r="L17" s="1343"/>
      <c r="M17" s="1343"/>
      <c r="N17" s="1343"/>
      <c r="O17" s="1336"/>
      <c r="P17" s="1336"/>
      <c r="Q17" s="1336"/>
      <c r="R17" s="1336"/>
      <c r="S17" s="1336"/>
    </row>
    <row r="18" spans="1:19">
      <c r="A18" s="1335"/>
      <c r="C18" s="1336"/>
      <c r="D18" s="1336"/>
      <c r="E18" s="1336"/>
      <c r="F18" s="1336"/>
      <c r="G18" s="1337"/>
      <c r="H18" s="1336"/>
      <c r="I18" s="1336"/>
      <c r="J18" s="1336"/>
      <c r="K18" s="1336"/>
      <c r="L18" s="1336"/>
      <c r="M18" s="1336"/>
      <c r="N18" s="1336"/>
      <c r="O18" s="1336"/>
      <c r="P18" s="1336"/>
      <c r="Q18" s="1336"/>
      <c r="R18" s="1336"/>
      <c r="S18" s="1336"/>
    </row>
    <row r="19" spans="1:19">
      <c r="A19" s="1335"/>
      <c r="B19" s="1160" t="s">
        <v>782</v>
      </c>
      <c r="C19" s="1160">
        <v>2014</v>
      </c>
      <c r="D19" s="1160">
        <v>2015</v>
      </c>
      <c r="E19" s="1160">
        <v>2016</v>
      </c>
      <c r="F19" s="1160">
        <v>2017</v>
      </c>
      <c r="G19" s="1160">
        <v>2018</v>
      </c>
      <c r="H19" s="1160">
        <v>2019</v>
      </c>
      <c r="I19" s="1160">
        <v>2020</v>
      </c>
      <c r="J19" s="1160">
        <v>2021</v>
      </c>
      <c r="K19" s="1160">
        <v>2022</v>
      </c>
      <c r="L19" s="1160">
        <v>2023</v>
      </c>
      <c r="M19" s="1160">
        <v>2024</v>
      </c>
      <c r="N19" s="1160">
        <v>2025</v>
      </c>
      <c r="O19" s="1160">
        <v>2026</v>
      </c>
      <c r="P19" s="1160">
        <v>2027</v>
      </c>
      <c r="Q19" s="1160">
        <v>2028</v>
      </c>
      <c r="R19" s="1160">
        <v>2029</v>
      </c>
      <c r="S19" s="1160">
        <v>2030</v>
      </c>
    </row>
    <row r="20" spans="1:19">
      <c r="A20" s="1335"/>
      <c r="B20" s="998" t="s">
        <v>143</v>
      </c>
      <c r="C20" s="1164">
        <f>Model!D9</f>
        <v>212.99453461000002</v>
      </c>
      <c r="D20" s="1164">
        <f>Model!E9</f>
        <v>279.16592631999998</v>
      </c>
      <c r="E20" s="1164">
        <f>Model!F9</f>
        <v>478.20000000000005</v>
      </c>
      <c r="F20" s="1164">
        <f>Model!G9</f>
        <v>496.9</v>
      </c>
      <c r="G20" s="1164">
        <f>Model!H9</f>
        <v>494.33764154200037</v>
      </c>
      <c r="H20" s="1164">
        <f>Model!I9</f>
        <v>499.40475366000004</v>
      </c>
      <c r="I20" s="1164">
        <f>Model!J9</f>
        <v>480</v>
      </c>
      <c r="J20" s="1164">
        <f>Model!K9</f>
        <v>462.84366304999998</v>
      </c>
      <c r="K20" s="1164">
        <f>Model!L9</f>
        <v>446.53620129000001</v>
      </c>
      <c r="L20" s="1164">
        <f>Model!M9</f>
        <v>452.06121156</v>
      </c>
      <c r="M20" s="1164">
        <f ca="1">Model!N9</f>
        <v>433.86462054566306</v>
      </c>
      <c r="N20" s="1164">
        <f ca="1">Model!O9</f>
        <v>434.14953674314324</v>
      </c>
      <c r="O20" s="1164">
        <f ca="1">Model!P9</f>
        <v>462.82185958200864</v>
      </c>
      <c r="P20" s="1164">
        <f ca="1">Model!Q9</f>
        <v>489.86188981053959</v>
      </c>
      <c r="Q20" s="1164">
        <f ca="1">Model!R9</f>
        <v>518.46892095649082</v>
      </c>
      <c r="R20" s="1164">
        <f ca="1">Model!S9</f>
        <v>551.9682456787674</v>
      </c>
      <c r="S20" s="1164">
        <f ca="1">Model!T9</f>
        <v>585.33632681154825</v>
      </c>
    </row>
    <row r="21" spans="1:19">
      <c r="A21" s="1335"/>
      <c r="B21" s="998" t="s">
        <v>281</v>
      </c>
      <c r="C21" s="1164">
        <f>Model!D12</f>
        <v>98.936668599896052</v>
      </c>
      <c r="D21" s="1164">
        <f>Model!E12</f>
        <v>140.88094095</v>
      </c>
      <c r="E21" s="1164">
        <f>Model!F12</f>
        <v>250.1</v>
      </c>
      <c r="F21" s="1164">
        <f>Model!G12</f>
        <v>264.7</v>
      </c>
      <c r="G21" s="1164">
        <f>Model!H12</f>
        <v>235.99661195000004</v>
      </c>
      <c r="H21" s="1164">
        <f>Model!I12</f>
        <v>239.45407107999998</v>
      </c>
      <c r="I21" s="1164">
        <f>Model!J12</f>
        <v>242.18396066</v>
      </c>
      <c r="J21" s="1164">
        <f>Model!K12</f>
        <v>226.45299999999997</v>
      </c>
      <c r="K21" s="1164">
        <f>Model!L12</f>
        <v>181.58300000000003</v>
      </c>
      <c r="L21" s="1164">
        <f ca="1">Model!M12</f>
        <v>190.85454653151407</v>
      </c>
      <c r="M21" s="1164">
        <f ca="1">Model!N12</f>
        <v>184.97974954401991</v>
      </c>
      <c r="N21" s="1164">
        <f ca="1">Model!O12</f>
        <v>192.26576222893047</v>
      </c>
      <c r="O21" s="1164">
        <f ca="1">Model!P12</f>
        <v>209.68398168306288</v>
      </c>
      <c r="P21" s="1164">
        <f ca="1">Model!Q12</f>
        <v>228.62711092244257</v>
      </c>
      <c r="Q21" s="1164">
        <f ca="1">Model!R12</f>
        <v>249.10503433769716</v>
      </c>
      <c r="R21" s="1164">
        <f ca="1">Model!S12</f>
        <v>273.47661400054051</v>
      </c>
      <c r="S21" s="1164">
        <f ca="1">Model!T12</f>
        <v>298.79495662173173</v>
      </c>
    </row>
    <row r="22" spans="1:19">
      <c r="A22" s="1335"/>
      <c r="B22" s="998" t="s">
        <v>783</v>
      </c>
      <c r="C22" s="1164">
        <f>Model!D200+Model!D212</f>
        <v>-43.206999999999994</v>
      </c>
      <c r="D22" s="1164">
        <f>Model!E200+Model!E212</f>
        <v>-55.681000000000004</v>
      </c>
      <c r="E22" s="1164">
        <f>Model!F200+Model!F212</f>
        <v>-99.650999999999996</v>
      </c>
      <c r="F22" s="1164">
        <f>Model!G200+Model!G212</f>
        <v>-97.185999999999993</v>
      </c>
      <c r="G22" s="1164">
        <f>Model!H200+Model!H212</f>
        <v>-103.66</v>
      </c>
      <c r="H22" s="1164">
        <f>Model!I200+Model!I212</f>
        <v>-119.229</v>
      </c>
      <c r="I22" s="1164">
        <f>Model!J200+Model!J212</f>
        <v>-126.28437325500003</v>
      </c>
      <c r="J22" s="1164">
        <f>Model!K200+Model!K212</f>
        <v>-103.532164512931</v>
      </c>
      <c r="K22" s="1164">
        <f>Model!L200+Model!L212</f>
        <v>-100.26654382528461</v>
      </c>
      <c r="L22" s="1164">
        <f>Model!M200+Model!M212</f>
        <v>-102.43450611351462</v>
      </c>
      <c r="M22" s="1164">
        <f>Model!N200+Model!N212</f>
        <v>-104.33547317947212</v>
      </c>
      <c r="N22" s="1164">
        <f ca="1">Model!O200+Model!O212</f>
        <v>-106.51104417943229</v>
      </c>
      <c r="O22" s="1164">
        <f>Model!P200+Model!P212</f>
        <v>0</v>
      </c>
      <c r="P22" s="1164">
        <f>Model!Q200+Model!Q212</f>
        <v>0</v>
      </c>
      <c r="Q22" s="1164">
        <f>Model!R200+Model!R212</f>
        <v>0</v>
      </c>
      <c r="R22" s="1164">
        <f>Model!S200+Model!S212</f>
        <v>0</v>
      </c>
      <c r="S22" s="1164">
        <f>Model!T200+Model!T212</f>
        <v>0</v>
      </c>
    </row>
    <row r="23" spans="1:19">
      <c r="A23" s="1335"/>
      <c r="B23" s="998" t="s">
        <v>784</v>
      </c>
      <c r="C23" s="1164">
        <f>Model!D206</f>
        <v>-7.5821759100000037</v>
      </c>
      <c r="D23" s="1164">
        <f>Model!E206</f>
        <v>-20.115081609999983</v>
      </c>
      <c r="E23" s="1164">
        <f>Model!F206</f>
        <v>-55.003999999999998</v>
      </c>
      <c r="F23" s="1164">
        <f>Model!G206</f>
        <v>-58.423999999999999</v>
      </c>
      <c r="G23" s="1164">
        <f>Model!H206</f>
        <v>-55.134</v>
      </c>
      <c r="H23" s="1164">
        <f>Model!I206</f>
        <v>-64.944999999999993</v>
      </c>
      <c r="I23" s="1164">
        <f>Model!J206</f>
        <v>-65.729503013306399</v>
      </c>
      <c r="J23" s="1164">
        <f>Model!K206</f>
        <v>-64.78207449636885</v>
      </c>
      <c r="K23" s="1164">
        <f>Model!L206</f>
        <v>-64.444045895885182</v>
      </c>
      <c r="L23" s="1164">
        <f>Model!M206</f>
        <v>-65.28410486153318</v>
      </c>
      <c r="M23" s="1164">
        <f>Model!N206</f>
        <v>-66.103213483831809</v>
      </c>
      <c r="N23" s="1164">
        <f ca="1">Model!O206</f>
        <v>-67.020456501878456</v>
      </c>
      <c r="O23" s="1164">
        <f>Model!P206</f>
        <v>0</v>
      </c>
      <c r="P23" s="1164">
        <f>Model!Q206</f>
        <v>0</v>
      </c>
      <c r="Q23" s="1164">
        <f>Model!R206</f>
        <v>0</v>
      </c>
      <c r="R23" s="1164">
        <f>Model!S206</f>
        <v>0</v>
      </c>
      <c r="S23" s="1164">
        <f>Model!T206</f>
        <v>0</v>
      </c>
    </row>
    <row r="24" spans="1:19">
      <c r="A24" s="1335"/>
      <c r="B24" s="998" t="s">
        <v>161</v>
      </c>
      <c r="C24" s="1164">
        <f>Model!D23</f>
        <v>84.1</v>
      </c>
      <c r="D24" s="1164">
        <f>Model!E23</f>
        <v>113.2</v>
      </c>
      <c r="E24" s="1164">
        <f>Model!F23</f>
        <v>152.30000000000001</v>
      </c>
      <c r="F24" s="1164">
        <f>Model!G23</f>
        <v>155.9</v>
      </c>
      <c r="G24" s="1164">
        <f>Model!H23</f>
        <v>159.03177321999999</v>
      </c>
      <c r="H24" s="1164">
        <f>Model!I23</f>
        <v>162.0818753543538</v>
      </c>
      <c r="I24" s="1164">
        <f>Model!J23</f>
        <v>109.13800000000001</v>
      </c>
      <c r="J24" s="1164">
        <f>Model!K23</f>
        <v>134.16900000000001</v>
      </c>
      <c r="K24" s="1164">
        <f>Model!L23</f>
        <v>186</v>
      </c>
      <c r="L24" s="1164">
        <f>Model!M23</f>
        <v>187</v>
      </c>
      <c r="M24" s="1164">
        <f ca="1">Model!N23</f>
        <v>193.26969502103239</v>
      </c>
      <c r="N24" s="1164">
        <f ca="1">Model!O23</f>
        <v>187.46621537875632</v>
      </c>
      <c r="O24" s="1164">
        <f ca="1">Model!P23</f>
        <v>190.60693133023656</v>
      </c>
      <c r="P24" s="1164">
        <f ca="1">Model!Q23</f>
        <v>202.94415147376913</v>
      </c>
      <c r="Q24" s="1164">
        <f ca="1">Model!R23</f>
        <v>202.99840863051455</v>
      </c>
      <c r="R24" s="1164">
        <f ca="1">Model!S23</f>
        <v>231.88698917188097</v>
      </c>
      <c r="S24" s="1164">
        <f ca="1">Model!T23</f>
        <v>230.4678702221118</v>
      </c>
    </row>
    <row r="25" spans="1:19">
      <c r="A25" s="1335"/>
      <c r="B25" s="998" t="s">
        <v>351</v>
      </c>
      <c r="C25" s="1164">
        <f t="shared" ref="C25:M25" si="0">C21-C24</f>
        <v>14.836668599896058</v>
      </c>
      <c r="D25" s="1164">
        <f t="shared" si="0"/>
        <v>27.680940949999993</v>
      </c>
      <c r="E25" s="1164">
        <f t="shared" si="0"/>
        <v>97.799999999999983</v>
      </c>
      <c r="F25" s="1164">
        <f t="shared" si="0"/>
        <v>108.79999999999998</v>
      </c>
      <c r="G25" s="1164">
        <f t="shared" si="0"/>
        <v>76.964838730000054</v>
      </c>
      <c r="H25" s="1164">
        <f t="shared" si="0"/>
        <v>77.372195725646179</v>
      </c>
      <c r="I25" s="1164">
        <f t="shared" si="0"/>
        <v>133.04596065999999</v>
      </c>
      <c r="J25" s="1164">
        <f t="shared" si="0"/>
        <v>92.283999999999963</v>
      </c>
      <c r="K25" s="1164">
        <f t="shared" si="0"/>
        <v>-4.4169999999999732</v>
      </c>
      <c r="L25" s="1164">
        <f t="shared" ca="1" si="0"/>
        <v>3.8545465315140746</v>
      </c>
      <c r="M25" s="1164">
        <f t="shared" ca="1" si="0"/>
        <v>-8.2899454770124805</v>
      </c>
      <c r="N25" s="1164">
        <f ca="1">N21-N24</f>
        <v>4.7995468501741527</v>
      </c>
      <c r="O25" s="1164">
        <f t="shared" ref="O25:S25" ca="1" si="1">O21-O24</f>
        <v>19.077050352826319</v>
      </c>
      <c r="P25" s="1164">
        <f t="shared" ca="1" si="1"/>
        <v>25.682959448673444</v>
      </c>
      <c r="Q25" s="1164">
        <f t="shared" ca="1" si="1"/>
        <v>46.106625707182616</v>
      </c>
      <c r="R25" s="1164">
        <f t="shared" ca="1" si="1"/>
        <v>41.589624828659538</v>
      </c>
      <c r="S25" s="1164">
        <f t="shared" ca="1" si="1"/>
        <v>68.32708639961993</v>
      </c>
    </row>
    <row r="26" spans="1:19">
      <c r="A26" s="1335"/>
      <c r="B26" s="998" t="s">
        <v>320</v>
      </c>
      <c r="C26" s="1164">
        <f>+C25*(1-'SOP OLD'!D38)</f>
        <v>9.9405679619303573</v>
      </c>
      <c r="D26" s="1164">
        <f>+D25*(1-'SOP OLD'!E38)</f>
        <v>18.546230436499993</v>
      </c>
      <c r="E26" s="1164">
        <f>+E25*(1-'SOP OLD'!F38)</f>
        <v>68.45999999999998</v>
      </c>
      <c r="F26" s="1164">
        <f>+F25*(1-'SOP OLD'!G38)</f>
        <v>76.159999999999982</v>
      </c>
      <c r="G26" s="1164">
        <f>+G25*(1-'SOP OLD'!H38)</f>
        <v>53.875387111000038</v>
      </c>
      <c r="H26" s="1164">
        <f>+H25*(1-'SOP OLD'!I38)</f>
        <v>54.160537007952321</v>
      </c>
      <c r="I26" s="1164">
        <f>+I25*(1-'SOP OLD'!J38)</f>
        <v>93.132172461999986</v>
      </c>
      <c r="J26" s="1164">
        <f>+J25*(1-'SOP OLD'!K38)</f>
        <v>64.598799999999969</v>
      </c>
      <c r="K26" s="1164">
        <f>+K25*(1-'SOP OLD'!L38)</f>
        <v>-3.0918999999999812</v>
      </c>
      <c r="L26" s="1164">
        <f ca="1">+L25*(1-'SOP OLD'!M38)</f>
        <v>2.698182572059852</v>
      </c>
      <c r="M26" s="1164">
        <f ca="1">+M25*(1-'SOP OLD'!N38)</f>
        <v>-5.8029618339087357</v>
      </c>
      <c r="N26" s="1164">
        <f ca="1">+N25*(1-'SOP OLD'!O38)</f>
        <v>3.3596827951219068</v>
      </c>
      <c r="O26" s="1164">
        <f ca="1">+O25*(1-'SOP OLD'!P38)</f>
        <v>19.077050352826319</v>
      </c>
      <c r="P26" s="1164">
        <f ca="1">+P25*(1-'SOP OLD'!Q38)</f>
        <v>25.682959448673444</v>
      </c>
      <c r="Q26" s="1164">
        <f ca="1">+Q25*(1-'SOP OLD'!R38)</f>
        <v>46.106625707182616</v>
      </c>
      <c r="R26" s="1164">
        <f ca="1">+R25*(1-'SOP OLD'!S38)</f>
        <v>41.589624828659538</v>
      </c>
      <c r="S26" s="1164">
        <f ca="1">+S25*(1-'SOP OLD'!T38)</f>
        <v>68.32708639961993</v>
      </c>
    </row>
    <row r="27" spans="1:19">
      <c r="A27" s="1335"/>
      <c r="B27" s="998" t="s">
        <v>160</v>
      </c>
      <c r="C27" s="1164">
        <f t="shared" ref="C27:M27" si="2">C9</f>
        <v>0</v>
      </c>
      <c r="D27" s="1164">
        <f t="shared" si="2"/>
        <v>0</v>
      </c>
      <c r="E27" s="1164">
        <f t="shared" si="2"/>
        <v>0</v>
      </c>
      <c r="F27" s="1164">
        <f t="shared" si="2"/>
        <v>0</v>
      </c>
      <c r="G27" s="1164">
        <f t="shared" si="2"/>
        <v>0</v>
      </c>
      <c r="H27" s="1164">
        <f t="shared" si="2"/>
        <v>0</v>
      </c>
      <c r="I27" s="1164">
        <f t="shared" si="2"/>
        <v>0</v>
      </c>
      <c r="J27" s="1164">
        <f t="shared" si="2"/>
        <v>0</v>
      </c>
      <c r="K27" s="1164">
        <f t="shared" si="2"/>
        <v>0</v>
      </c>
      <c r="L27" s="1164">
        <f t="shared" si="2"/>
        <v>0</v>
      </c>
      <c r="M27" s="1164">
        <f t="shared" si="2"/>
        <v>0</v>
      </c>
      <c r="N27" s="1164">
        <f>N9</f>
        <v>0</v>
      </c>
      <c r="O27" s="1164">
        <f t="shared" ref="O27:S27" si="3">O9</f>
        <v>0</v>
      </c>
      <c r="P27" s="1164">
        <f t="shared" si="3"/>
        <v>0</v>
      </c>
      <c r="Q27" s="1164">
        <f t="shared" si="3"/>
        <v>0</v>
      </c>
      <c r="R27" s="1164">
        <f t="shared" si="3"/>
        <v>0</v>
      </c>
      <c r="S27" s="1164">
        <f t="shared" si="3"/>
        <v>0</v>
      </c>
    </row>
    <row r="28" spans="1:19">
      <c r="A28" s="1335"/>
      <c r="B28" s="998" t="s">
        <v>785</v>
      </c>
      <c r="C28" s="1164"/>
      <c r="D28" s="1164"/>
      <c r="E28" s="1164"/>
      <c r="F28" s="1164"/>
      <c r="G28" s="1164"/>
      <c r="H28" s="1164"/>
      <c r="I28" s="1164"/>
      <c r="J28" s="1164"/>
      <c r="K28" s="1164"/>
      <c r="L28" s="1164"/>
      <c r="M28" s="1164"/>
      <c r="N28" s="1164"/>
      <c r="O28" s="1164"/>
      <c r="P28" s="1164"/>
      <c r="Q28" s="1164"/>
      <c r="R28" s="1164"/>
      <c r="S28" s="1164"/>
    </row>
    <row r="29" spans="1:19">
      <c r="A29" s="1335"/>
      <c r="B29" s="998" t="s">
        <v>786</v>
      </c>
      <c r="C29" s="1164">
        <f>Model!D318</f>
        <v>-107.316</v>
      </c>
      <c r="D29" s="1164">
        <f>Model!E318</f>
        <v>545.68164860000002</v>
      </c>
      <c r="E29" s="1164">
        <f>Model!F318</f>
        <v>529.6</v>
      </c>
      <c r="F29" s="1164">
        <f>Model!G318</f>
        <v>517.20000000000005</v>
      </c>
      <c r="G29" s="1164">
        <f>Model!H318</f>
        <v>354.66833104</v>
      </c>
      <c r="H29" s="1164">
        <f>Model!I318</f>
        <v>318.57911505999999</v>
      </c>
      <c r="I29" s="1164">
        <f>Model!J318</f>
        <v>131.03039418999998</v>
      </c>
      <c r="J29" s="1164">
        <f ca="1">Model!K318</f>
        <v>45.034352379999987</v>
      </c>
      <c r="K29" s="1164">
        <f ca="1">Model!L318</f>
        <v>-82.845536650330104</v>
      </c>
      <c r="L29" s="1164">
        <f ca="1">Model!M318</f>
        <v>-120.48289804716393</v>
      </c>
      <c r="M29" s="1164">
        <f ca="1">Model!N318</f>
        <v>-170.67800553846718</v>
      </c>
      <c r="N29" s="1164">
        <f ca="1">Model!O318</f>
        <v>-211.48696198484765</v>
      </c>
      <c r="O29" s="1164">
        <f>Model!P318</f>
        <v>0</v>
      </c>
      <c r="P29" s="1164">
        <f>Model!Q318</f>
        <v>0</v>
      </c>
      <c r="Q29" s="1164">
        <f>Model!R318</f>
        <v>0</v>
      </c>
      <c r="R29" s="1164">
        <f>Model!S318</f>
        <v>0</v>
      </c>
      <c r="S29" s="1164">
        <f>Model!T318</f>
        <v>0</v>
      </c>
    </row>
    <row r="30" spans="1:19">
      <c r="A30" s="1335"/>
      <c r="B30" s="998" t="s">
        <v>787</v>
      </c>
      <c r="C30" s="1164">
        <f>-Model!D69-Model!D70</f>
        <v>45.725160697806999</v>
      </c>
      <c r="D30" s="1164">
        <f>-Model!E69-Model!E70</f>
        <v>44.972892090000002</v>
      </c>
      <c r="E30" s="1164">
        <f>-Model!F69-Model!F70</f>
        <v>75.5</v>
      </c>
      <c r="F30" s="1164">
        <f>-Model!G69-Model!G70</f>
        <v>57.5</v>
      </c>
      <c r="G30" s="1164">
        <f>-Model!H69-Model!H70</f>
        <v>75.259316609999999</v>
      </c>
      <c r="H30" s="1164">
        <f>-Model!I69-Model!I70</f>
        <v>62.485022609999994</v>
      </c>
      <c r="I30" s="1164">
        <f>-Model!J69-Model!J70</f>
        <v>47.148720870000005</v>
      </c>
      <c r="J30" s="1164">
        <f>-Model!K69-Model!K70</f>
        <v>82.275529559999995</v>
      </c>
      <c r="K30" s="1164">
        <f>-Model!L69-Model!L70</f>
        <v>58.896821179999996</v>
      </c>
      <c r="L30" s="1164">
        <f>-Model!M69-Model!M70</f>
        <v>47.622205669848135</v>
      </c>
      <c r="M30" s="1164">
        <f ca="1">-Model!N69-Model!N70</f>
        <v>53.417350939135027</v>
      </c>
      <c r="N30" s="1164">
        <f ca="1">-Model!O69-Model!O70</f>
        <v>53.098056059289121</v>
      </c>
      <c r="O30" s="1164">
        <f>-Model!P69-Model!P70</f>
        <v>0</v>
      </c>
      <c r="P30" s="1164">
        <f>-Model!Q69-Model!Q70</f>
        <v>0</v>
      </c>
      <c r="Q30" s="1164">
        <f>-Model!R69-Model!R70</f>
        <v>0</v>
      </c>
      <c r="R30" s="1164">
        <f>-Model!S69-Model!S70</f>
        <v>0</v>
      </c>
      <c r="S30" s="1164">
        <f>-Model!T69-Model!T70</f>
        <v>0</v>
      </c>
    </row>
    <row r="31" spans="1:19">
      <c r="A31" s="1335"/>
      <c r="B31" s="998" t="s">
        <v>788</v>
      </c>
      <c r="C31" s="1164">
        <f>Model!D77</f>
        <v>-21.894180017910934</v>
      </c>
      <c r="D31" s="1164">
        <f>Model!E77</f>
        <v>-66.380534260000104</v>
      </c>
      <c r="E31" s="1164">
        <f>Model!F77</f>
        <v>-7.9529999999999852</v>
      </c>
      <c r="F31" s="1164">
        <f>Model!G77</f>
        <v>-16.583000000000027</v>
      </c>
      <c r="G31" s="1164">
        <f>Model!H77</f>
        <v>-161.22414710799956</v>
      </c>
      <c r="H31" s="1164">
        <f>Model!I77</f>
        <v>-35.550145060000055</v>
      </c>
      <c r="I31" s="1164">
        <f>Model!J77</f>
        <v>-187.54872087000001</v>
      </c>
      <c r="J31" s="1164">
        <f ca="1">Model!K77</f>
        <v>-85.996041809999994</v>
      </c>
      <c r="K31" s="1164">
        <f ca="1">Model!L77</f>
        <v>-124.89682117999998</v>
      </c>
      <c r="L31" s="1164">
        <f ca="1">Model!M77</f>
        <v>-37.637361396833839</v>
      </c>
      <c r="M31" s="1164">
        <f ca="1">Model!N77</f>
        <v>-50.195107491303247</v>
      </c>
      <c r="N31" s="1164">
        <f ca="1">Model!O77</f>
        <v>-40.808956446380478</v>
      </c>
      <c r="O31" s="1164">
        <f ca="1">Model!P77</f>
        <v>200.68398168306288</v>
      </c>
      <c r="P31" s="1164">
        <f ca="1">Model!Q77</f>
        <v>220.62711092244257</v>
      </c>
      <c r="Q31" s="1164">
        <f ca="1">Model!R77</f>
        <v>242.10503433769716</v>
      </c>
      <c r="R31" s="1164">
        <f ca="1">Model!S77</f>
        <v>267.47661400054051</v>
      </c>
      <c r="S31" s="1164">
        <f ca="1">Model!T77</f>
        <v>293.79495662173173</v>
      </c>
    </row>
    <row r="32" spans="1:19">
      <c r="A32" s="1335"/>
      <c r="B32" s="998" t="s">
        <v>303</v>
      </c>
      <c r="C32" s="1164">
        <f>Model!D388</f>
        <v>4.7772348002004756</v>
      </c>
      <c r="D32" s="1164">
        <f>Model!E388</f>
        <v>39.366867212300036</v>
      </c>
      <c r="E32" s="1164">
        <f>Model!F388</f>
        <v>19.950900000000019</v>
      </c>
      <c r="F32" s="1164">
        <f>Model!G388</f>
        <v>57.673000000000009</v>
      </c>
      <c r="G32" s="1164">
        <f>Model!H388</f>
        <v>50.777291743399914</v>
      </c>
      <c r="H32" s="1164">
        <f>Model!I388</f>
        <v>1.7899696440000064</v>
      </c>
      <c r="I32" s="1164">
        <f>Model!J388</f>
        <v>57.588455792693559</v>
      </c>
      <c r="J32" s="1164">
        <f ca="1">Model!K388</f>
        <v>3.3145198337001238</v>
      </c>
      <c r="K32" s="1164">
        <f ca="1">Model!L388</f>
        <v>-5.0598910871697713</v>
      </c>
      <c r="L32" s="1164">
        <f ca="1">Model!M388</f>
        <v>-8.9204989118816371</v>
      </c>
      <c r="M32" s="1164">
        <f ca="1">Model!N388</f>
        <v>-17.928625673574793</v>
      </c>
      <c r="N32" s="1164">
        <f ca="1">Model!O388</f>
        <v>-17.438768288934906</v>
      </c>
      <c r="O32" s="1164">
        <f>Model!P388</f>
        <v>0</v>
      </c>
      <c r="P32" s="1164">
        <f>Model!Q388</f>
        <v>0</v>
      </c>
      <c r="Q32" s="1164">
        <f>Model!R388</f>
        <v>0</v>
      </c>
      <c r="R32" s="1164">
        <f>Model!S388</f>
        <v>0</v>
      </c>
      <c r="S32" s="1164">
        <f>Model!T388</f>
        <v>0</v>
      </c>
    </row>
    <row r="33" spans="1:19">
      <c r="A33" s="1335"/>
      <c r="B33" s="998" t="s">
        <v>789</v>
      </c>
      <c r="C33" s="1164">
        <f>Model!D407</f>
        <v>-26.306440709300333</v>
      </c>
      <c r="D33" s="1164">
        <f>Model!E407</f>
        <v>4.3152065123000209</v>
      </c>
      <c r="E33" s="1164">
        <f>Model!F407</f>
        <v>24.805900000000008</v>
      </c>
      <c r="F33" s="1164">
        <f>Model!G407</f>
        <v>59.88300000000001</v>
      </c>
      <c r="G33" s="1164">
        <f>Model!H407</f>
        <v>53.027907843399923</v>
      </c>
      <c r="H33" s="1164">
        <f>Model!I407</f>
        <v>25.930600699646206</v>
      </c>
      <c r="I33" s="1164">
        <f>Model!J407</f>
        <v>141.26185605099997</v>
      </c>
      <c r="J33" s="1164">
        <f ca="1">Model!K407</f>
        <v>37.817282982999949</v>
      </c>
      <c r="K33" s="1164">
        <f ca="1">Model!L407</f>
        <v>-25.784774825999964</v>
      </c>
      <c r="L33" s="1164">
        <f ca="1">Model!M407</f>
        <v>-27.637361396833828</v>
      </c>
      <c r="M33" s="1164">
        <f ca="1">Model!N407</f>
        <v>-40.195107491303247</v>
      </c>
      <c r="N33" s="1164">
        <f ca="1">Model!O407</f>
        <v>-30.808956446380481</v>
      </c>
      <c r="O33" s="1164">
        <f>Model!P407</f>
        <v>0</v>
      </c>
      <c r="P33" s="1164">
        <f>Model!Q407</f>
        <v>0</v>
      </c>
      <c r="Q33" s="1164">
        <f>Model!R407</f>
        <v>0</v>
      </c>
      <c r="R33" s="1164">
        <f>Model!S407</f>
        <v>0</v>
      </c>
      <c r="S33" s="1164">
        <f>Model!T407</f>
        <v>0</v>
      </c>
    </row>
    <row r="34" spans="1:19">
      <c r="A34" s="1335"/>
      <c r="B34" s="998" t="s">
        <v>790</v>
      </c>
      <c r="C34" s="1164"/>
      <c r="D34" s="1164"/>
      <c r="E34" s="1164"/>
      <c r="F34" s="1164"/>
      <c r="G34" s="1164"/>
      <c r="H34" s="1164"/>
      <c r="I34" s="1164"/>
      <c r="J34" s="1164"/>
      <c r="K34" s="1164"/>
      <c r="L34" s="1164"/>
      <c r="M34" s="1164"/>
      <c r="N34" s="1164"/>
      <c r="O34" s="1164"/>
      <c r="P34" s="1164"/>
      <c r="Q34" s="1164"/>
      <c r="R34" s="1164"/>
      <c r="S34" s="1164"/>
    </row>
    <row r="35" spans="1:19">
      <c r="A35" s="1335"/>
      <c r="B35" s="998" t="s">
        <v>791</v>
      </c>
      <c r="C35" s="1165">
        <f>Model!D89+Model!D90</f>
        <v>591.74400000000003</v>
      </c>
      <c r="D35" s="1165">
        <f>Model!E89+Model!E90</f>
        <v>2027.4068813200001</v>
      </c>
      <c r="E35" s="1165">
        <f>Model!F89+Model!F90</f>
        <v>1992.4</v>
      </c>
      <c r="F35" s="1165">
        <f>Model!G89+Model!G90</f>
        <v>1999.9</v>
      </c>
      <c r="G35" s="1165">
        <f>Model!H89+Model!H90</f>
        <v>1898.1745633999999</v>
      </c>
      <c r="H35" s="1165">
        <f>Model!I89+Model!I90</f>
        <v>1943.1051322000003</v>
      </c>
      <c r="I35" s="1165">
        <f>Model!J89+Model!J90</f>
        <v>1895.6783295516939</v>
      </c>
      <c r="J35" s="1165">
        <f>Model!K89+Model!K90</f>
        <v>1899.6510905423943</v>
      </c>
      <c r="K35" s="1165">
        <f>Model!L89+Model!L90</f>
        <v>1959.6705008212243</v>
      </c>
      <c r="L35" s="1165">
        <f>Model!M89+Model!M90</f>
        <v>2024.0378898461768</v>
      </c>
      <c r="M35" s="1165">
        <f ca="1">Model!N89+Model!N90</f>
        <v>2091.8688982039052</v>
      </c>
      <c r="N35" s="1165">
        <f ca="1">Model!O89+Model!O90</f>
        <v>2150.8036129013508</v>
      </c>
      <c r="O35" s="1165">
        <f>Model!P89+Model!P90</f>
        <v>0</v>
      </c>
      <c r="P35" s="1165">
        <f>Model!Q89+Model!Q90</f>
        <v>0</v>
      </c>
      <c r="Q35" s="1165">
        <f>Model!R89+Model!R90</f>
        <v>0</v>
      </c>
      <c r="R35" s="1165">
        <f>Model!S89+Model!S90</f>
        <v>0</v>
      </c>
      <c r="S35" s="1165">
        <f>Model!T89+Model!T90</f>
        <v>0</v>
      </c>
    </row>
    <row r="36" spans="1:19">
      <c r="A36" s="1335"/>
      <c r="B36" s="1336"/>
      <c r="C36" s="1338"/>
      <c r="D36" s="1338"/>
      <c r="E36" s="1338"/>
      <c r="F36" s="1338"/>
      <c r="G36" s="1338"/>
      <c r="H36" s="1338"/>
      <c r="I36" s="1338"/>
      <c r="J36" s="1338"/>
      <c r="K36" s="1338"/>
      <c r="L36" s="1338"/>
      <c r="M36" s="1338"/>
      <c r="N36" s="1338"/>
      <c r="O36" s="1338"/>
      <c r="P36" s="1338"/>
      <c r="Q36" s="1338"/>
      <c r="R36" s="1338"/>
      <c r="S36" s="1338"/>
    </row>
    <row r="37" spans="1:19">
      <c r="A37" s="1335"/>
      <c r="B37" s="1160" t="s">
        <v>1230</v>
      </c>
      <c r="C37" s="1160">
        <v>2014</v>
      </c>
      <c r="D37" s="1160">
        <v>2015</v>
      </c>
      <c r="E37" s="1160">
        <v>2016</v>
      </c>
      <c r="F37" s="1160">
        <v>2017</v>
      </c>
      <c r="G37" s="1160">
        <v>2018</v>
      </c>
      <c r="H37" s="1160">
        <v>2019</v>
      </c>
      <c r="I37" s="1160">
        <v>2020</v>
      </c>
      <c r="J37" s="1160">
        <v>2021</v>
      </c>
      <c r="K37" s="1160">
        <v>2022</v>
      </c>
      <c r="L37" s="1160">
        <v>2023</v>
      </c>
      <c r="M37" s="1160">
        <v>2024</v>
      </c>
      <c r="N37" s="1160">
        <v>2025</v>
      </c>
      <c r="O37" s="1160">
        <v>2026</v>
      </c>
      <c r="P37" s="1160">
        <v>2027</v>
      </c>
      <c r="Q37" s="1160">
        <v>2028</v>
      </c>
      <c r="R37" s="1160">
        <v>2029</v>
      </c>
      <c r="S37" s="1160">
        <v>2030</v>
      </c>
    </row>
    <row r="38" spans="1:19">
      <c r="A38" s="1335"/>
      <c r="B38" s="1161" t="s">
        <v>0</v>
      </c>
    </row>
    <row r="39" spans="1:19">
      <c r="A39" s="1335"/>
      <c r="B39" s="1161" t="s">
        <v>281</v>
      </c>
    </row>
    <row r="40" spans="1:19">
      <c r="A40" s="1335"/>
      <c r="B40" s="1161" t="s">
        <v>1601</v>
      </c>
    </row>
    <row r="41" spans="1:19">
      <c r="A41" s="1335"/>
      <c r="B41" s="1161" t="s">
        <v>1707</v>
      </c>
    </row>
    <row r="42" spans="1:19">
      <c r="A42" s="1335"/>
      <c r="B42" s="1162" t="s">
        <v>1540</v>
      </c>
    </row>
    <row r="43" spans="1:19">
      <c r="A43" s="1335"/>
      <c r="B43" s="1163" t="s">
        <v>351</v>
      </c>
    </row>
    <row r="44" spans="1:19">
      <c r="A44" s="1335"/>
      <c r="B44" s="1161" t="s">
        <v>1708</v>
      </c>
    </row>
    <row r="45" spans="1:19">
      <c r="A45" s="1335"/>
      <c r="B45" s="1161" t="s">
        <v>360</v>
      </c>
    </row>
    <row r="46" spans="1:19">
      <c r="A46" s="1335"/>
      <c r="B46" s="1162" t="s">
        <v>1553</v>
      </c>
    </row>
    <row r="47" spans="1:19">
      <c r="A47" s="1335"/>
      <c r="B47" s="1163" t="s">
        <v>1709</v>
      </c>
    </row>
    <row r="48" spans="1:19">
      <c r="A48" s="1335"/>
      <c r="B48" s="1161" t="s">
        <v>1710</v>
      </c>
    </row>
    <row r="49" spans="1:19">
      <c r="A49" s="1335"/>
      <c r="B49" s="1161" t="s">
        <v>1711</v>
      </c>
    </row>
    <row r="50" spans="1:19">
      <c r="A50" s="1335"/>
      <c r="B50" s="1161" t="s">
        <v>1712</v>
      </c>
    </row>
    <row r="51" spans="1:19">
      <c r="A51" s="1335"/>
      <c r="B51" s="1161" t="s">
        <v>1713</v>
      </c>
    </row>
    <row r="52" spans="1:19">
      <c r="A52" s="1335"/>
      <c r="B52" s="1161" t="s">
        <v>1714</v>
      </c>
    </row>
    <row r="53" spans="1:19">
      <c r="A53" s="1335"/>
      <c r="B53" s="1162" t="s">
        <v>1715</v>
      </c>
    </row>
    <row r="54" spans="1:19">
      <c r="A54" s="1335"/>
      <c r="B54" s="1163" t="s">
        <v>1716</v>
      </c>
    </row>
    <row r="55" spans="1:19">
      <c r="A55" s="1335"/>
      <c r="B55" s="1163" t="s">
        <v>1717</v>
      </c>
    </row>
    <row r="56" spans="1:19">
      <c r="A56" s="1335"/>
      <c r="B56" s="1163" t="s">
        <v>1718</v>
      </c>
    </row>
    <row r="57" spans="1:19">
      <c r="A57" s="1335"/>
      <c r="B57" s="1163"/>
    </row>
    <row r="58" spans="1:19">
      <c r="A58" s="1335"/>
      <c r="B58" s="1160" t="s">
        <v>169</v>
      </c>
      <c r="C58" s="1160">
        <v>2014</v>
      </c>
      <c r="D58" s="1160">
        <v>2015</v>
      </c>
      <c r="E58" s="1160">
        <v>2016</v>
      </c>
      <c r="F58" s="1160">
        <v>2017</v>
      </c>
      <c r="G58" s="1160">
        <v>2018</v>
      </c>
      <c r="H58" s="1160">
        <v>2019</v>
      </c>
      <c r="I58" s="1160">
        <v>2020</v>
      </c>
      <c r="J58" s="1160">
        <v>2021</v>
      </c>
      <c r="K58" s="1160">
        <v>2022</v>
      </c>
      <c r="L58" s="1160">
        <v>2023</v>
      </c>
      <c r="M58" s="1160">
        <v>2024</v>
      </c>
      <c r="N58" s="1160">
        <v>2025</v>
      </c>
      <c r="O58" s="1160">
        <v>2026</v>
      </c>
      <c r="P58" s="1160">
        <v>2027</v>
      </c>
      <c r="Q58" s="1160">
        <v>2028</v>
      </c>
      <c r="R58" s="1160">
        <v>2029</v>
      </c>
      <c r="S58" s="1160">
        <v>2030</v>
      </c>
    </row>
    <row r="59" spans="1:19">
      <c r="A59" s="1335"/>
      <c r="B59" s="1161" t="s">
        <v>1719</v>
      </c>
    </row>
    <row r="60" spans="1:19">
      <c r="A60" s="1335"/>
      <c r="B60" s="1161" t="s">
        <v>1720</v>
      </c>
    </row>
    <row r="61" spans="1:19">
      <c r="A61" s="1335"/>
      <c r="B61" s="1161" t="s">
        <v>1721</v>
      </c>
    </row>
    <row r="62" spans="1:19">
      <c r="A62" s="1335"/>
      <c r="B62" s="1161" t="s">
        <v>1533</v>
      </c>
    </row>
    <row r="63" spans="1:19">
      <c r="A63" s="1335"/>
      <c r="B63" s="1161" t="s">
        <v>159</v>
      </c>
    </row>
    <row r="64" spans="1:19">
      <c r="A64" s="1335"/>
      <c r="B64" s="1161"/>
    </row>
    <row r="65" spans="1:19">
      <c r="A65" s="1335"/>
      <c r="B65" s="1160" t="s">
        <v>1722</v>
      </c>
      <c r="C65" s="1160">
        <v>2014</v>
      </c>
      <c r="D65" s="1160">
        <v>2015</v>
      </c>
      <c r="E65" s="1160">
        <v>2016</v>
      </c>
      <c r="F65" s="1160">
        <v>2017</v>
      </c>
      <c r="G65" s="1160">
        <v>2018</v>
      </c>
      <c r="H65" s="1160">
        <v>2019</v>
      </c>
      <c r="I65" s="1160">
        <v>2020</v>
      </c>
      <c r="J65" s="1160">
        <v>2021</v>
      </c>
      <c r="K65" s="1160">
        <v>2022</v>
      </c>
      <c r="L65" s="1160">
        <v>2023</v>
      </c>
      <c r="M65" s="1160">
        <v>2024</v>
      </c>
      <c r="N65" s="1160">
        <v>2025</v>
      </c>
      <c r="O65" s="1160">
        <v>2026</v>
      </c>
      <c r="P65" s="1160">
        <v>2027</v>
      </c>
      <c r="Q65" s="1160">
        <v>2028</v>
      </c>
      <c r="R65" s="1160">
        <v>2029</v>
      </c>
      <c r="S65" s="1160">
        <v>2030</v>
      </c>
    </row>
    <row r="66" spans="1:19">
      <c r="A66" s="1335"/>
      <c r="B66" s="1161" t="s">
        <v>1723</v>
      </c>
    </row>
    <row r="67" spans="1:19">
      <c r="A67" s="1335"/>
      <c r="B67" s="1161" t="s">
        <v>1724</v>
      </c>
    </row>
    <row r="68" spans="1:19">
      <c r="A68" s="1335"/>
      <c r="B68" s="1161" t="s">
        <v>1725</v>
      </c>
    </row>
    <row r="69" spans="1:19">
      <c r="A69" s="1335"/>
      <c r="B69" s="1161" t="s">
        <v>1726</v>
      </c>
    </row>
    <row r="70" spans="1:19">
      <c r="A70" s="1335"/>
      <c r="B70" s="1161" t="s">
        <v>1727</v>
      </c>
    </row>
    <row r="71" spans="1:19">
      <c r="A71" s="1335"/>
      <c r="B71" s="1161" t="s">
        <v>1728</v>
      </c>
    </row>
    <row r="72" spans="1:19">
      <c r="A72" s="1335"/>
      <c r="B72" s="1161" t="s">
        <v>1729</v>
      </c>
    </row>
    <row r="73" spans="1:19">
      <c r="A73" s="1335"/>
      <c r="B73" s="1161" t="s">
        <v>0</v>
      </c>
    </row>
    <row r="74" spans="1:19">
      <c r="A74" s="1335"/>
      <c r="B74" s="1161" t="s">
        <v>281</v>
      </c>
    </row>
    <row r="75" spans="1:19">
      <c r="A75" s="1335"/>
      <c r="B75" s="1161" t="s">
        <v>1348</v>
      </c>
    </row>
    <row r="76" spans="1:19">
      <c r="A76" s="1335"/>
      <c r="B76" s="1161" t="s">
        <v>720</v>
      </c>
    </row>
    <row r="77" spans="1:19">
      <c r="A77" s="1335"/>
      <c r="B77" s="1161" t="s">
        <v>351</v>
      </c>
    </row>
    <row r="78" spans="1:19">
      <c r="A78" s="1335"/>
      <c r="B78" s="1161" t="s">
        <v>1730</v>
      </c>
    </row>
    <row r="79" spans="1:19">
      <c r="A79" s="1335"/>
      <c r="B79" s="1161" t="s">
        <v>1731</v>
      </c>
    </row>
    <row r="80" spans="1:19">
      <c r="A80" s="1335"/>
      <c r="B80" s="1161"/>
    </row>
    <row r="81" spans="1:2">
      <c r="A81" s="1335"/>
      <c r="B81" s="1161" t="s">
        <v>1732</v>
      </c>
    </row>
    <row r="82" spans="1:2">
      <c r="A82" s="1335"/>
      <c r="B82" s="1161" t="s">
        <v>1733</v>
      </c>
    </row>
    <row r="83" spans="1:2">
      <c r="A83" s="1335"/>
      <c r="B83" s="1161" t="s">
        <v>1734</v>
      </c>
    </row>
    <row r="84" spans="1:2">
      <c r="A84" s="1335"/>
      <c r="B84" s="1161" t="s">
        <v>798</v>
      </c>
    </row>
    <row r="85" spans="1:2">
      <c r="A85" s="1335"/>
      <c r="B85" s="1161" t="s">
        <v>1735</v>
      </c>
    </row>
    <row r="86" spans="1:2">
      <c r="A86" s="1335"/>
      <c r="B86" s="1161" t="s">
        <v>1736</v>
      </c>
    </row>
    <row r="87" spans="1:2">
      <c r="A87" s="1335"/>
      <c r="B87" s="1161" t="s">
        <v>1737</v>
      </c>
    </row>
    <row r="88" spans="1:2">
      <c r="A88" s="1335"/>
      <c r="B88" s="1161" t="s">
        <v>1738</v>
      </c>
    </row>
    <row r="89" spans="1:2">
      <c r="A89" s="1335"/>
      <c r="B89" s="1161" t="s">
        <v>1202</v>
      </c>
    </row>
    <row r="90" spans="1:2">
      <c r="A90" s="1335"/>
      <c r="B90" s="1161" t="s">
        <v>1739</v>
      </c>
    </row>
    <row r="91" spans="1:2">
      <c r="A91" s="1335"/>
      <c r="B91" s="1161" t="s">
        <v>1740</v>
      </c>
    </row>
    <row r="92" spans="1:2">
      <c r="A92" s="1335"/>
      <c r="B92" s="1161" t="s">
        <v>1741</v>
      </c>
    </row>
    <row r="93" spans="1:2">
      <c r="A93" s="1335"/>
      <c r="B93" s="1161" t="s">
        <v>1742</v>
      </c>
    </row>
    <row r="94" spans="1:2">
      <c r="A94" s="1335"/>
      <c r="B94" s="1161" t="s">
        <v>1743</v>
      </c>
    </row>
    <row r="95" spans="1:2">
      <c r="A95" s="1335"/>
      <c r="B95" s="1161" t="s">
        <v>1744</v>
      </c>
    </row>
    <row r="96" spans="1:2">
      <c r="A96" s="1335"/>
      <c r="B96" s="1161" t="s">
        <v>1745</v>
      </c>
    </row>
    <row r="97" spans="1:19">
      <c r="A97" s="1335"/>
      <c r="B97" s="1161" t="s">
        <v>1746</v>
      </c>
    </row>
    <row r="98" spans="1:19">
      <c r="A98" s="1335"/>
      <c r="B98" s="1161" t="s">
        <v>1705</v>
      </c>
    </row>
    <row r="99" spans="1:19">
      <c r="A99" s="1335"/>
      <c r="B99" s="1161" t="s">
        <v>1700</v>
      </c>
    </row>
    <row r="100" spans="1:19">
      <c r="A100" s="1335"/>
      <c r="B100" s="1161" t="s">
        <v>1747</v>
      </c>
    </row>
    <row r="101" spans="1:19">
      <c r="A101" s="1335"/>
      <c r="B101" s="1161" t="s">
        <v>1701</v>
      </c>
    </row>
    <row r="102" spans="1:19">
      <c r="A102" s="1335"/>
    </row>
    <row r="103" spans="1:19">
      <c r="B103" s="1160" t="s">
        <v>1698</v>
      </c>
      <c r="C103" s="1160">
        <v>2014</v>
      </c>
      <c r="D103" s="1160">
        <v>2015</v>
      </c>
      <c r="E103" s="1160">
        <v>2016</v>
      </c>
      <c r="F103" s="1160">
        <v>2017</v>
      </c>
      <c r="G103" s="1160">
        <v>2018</v>
      </c>
      <c r="H103" s="1160">
        <v>2019</v>
      </c>
      <c r="I103" s="1160">
        <v>2020</v>
      </c>
      <c r="J103" s="1160">
        <v>2021</v>
      </c>
      <c r="K103" s="1160">
        <v>2022</v>
      </c>
      <c r="L103" s="1160">
        <v>2023</v>
      </c>
      <c r="M103" s="1160">
        <v>2024</v>
      </c>
      <c r="N103" s="1160">
        <v>2025</v>
      </c>
      <c r="O103" s="1160">
        <v>2026</v>
      </c>
      <c r="P103" s="1160">
        <v>2027</v>
      </c>
      <c r="Q103" s="1160">
        <v>2028</v>
      </c>
      <c r="R103" s="1160">
        <v>2029</v>
      </c>
      <c r="S103" s="1160">
        <v>2030</v>
      </c>
    </row>
    <row r="104" spans="1:19">
      <c r="B104" s="998" t="s">
        <v>1704</v>
      </c>
      <c r="C104" s="1334">
        <v>0</v>
      </c>
      <c r="D104" s="1334">
        <v>0</v>
      </c>
      <c r="E104" s="1334">
        <v>0</v>
      </c>
      <c r="F104" s="1334">
        <v>0</v>
      </c>
      <c r="G104" s="1334">
        <v>0</v>
      </c>
      <c r="H104" s="1334">
        <v>0</v>
      </c>
      <c r="I104" s="1334">
        <v>0</v>
      </c>
      <c r="J104" s="1334">
        <v>0</v>
      </c>
      <c r="K104" s="1334">
        <v>0</v>
      </c>
      <c r="L104" s="1334">
        <v>0</v>
      </c>
      <c r="M104" s="1334">
        <v>0</v>
      </c>
      <c r="N104" s="1334">
        <v>0</v>
      </c>
      <c r="O104" s="1334">
        <v>0</v>
      </c>
      <c r="P104" s="1334">
        <v>0</v>
      </c>
      <c r="Q104" s="1334">
        <v>0</v>
      </c>
      <c r="R104" s="1334">
        <v>0</v>
      </c>
      <c r="S104" s="1334">
        <v>0</v>
      </c>
    </row>
    <row r="105" spans="1:19">
      <c r="B105" s="998" t="s">
        <v>1705</v>
      </c>
      <c r="C105" s="1334">
        <v>0</v>
      </c>
      <c r="D105" s="1334">
        <v>0</v>
      </c>
      <c r="E105" s="1334">
        <v>0</v>
      </c>
      <c r="F105" s="1334">
        <v>0</v>
      </c>
      <c r="G105" s="1334">
        <v>0</v>
      </c>
      <c r="H105" s="1334">
        <v>0</v>
      </c>
      <c r="I105" s="1334">
        <v>0</v>
      </c>
      <c r="J105" s="1334">
        <v>0</v>
      </c>
      <c r="K105" s="1334">
        <v>0</v>
      </c>
      <c r="L105" s="1334">
        <v>0</v>
      </c>
      <c r="M105" s="1334">
        <v>0</v>
      </c>
      <c r="N105" s="1334">
        <v>0</v>
      </c>
      <c r="O105" s="1334">
        <v>0</v>
      </c>
      <c r="P105" s="1334">
        <v>0</v>
      </c>
      <c r="Q105" s="1334">
        <v>0</v>
      </c>
      <c r="R105" s="1334">
        <v>0</v>
      </c>
      <c r="S105" s="1334">
        <v>0</v>
      </c>
    </row>
    <row r="106" spans="1:19">
      <c r="B106" s="998" t="s">
        <v>1706</v>
      </c>
      <c r="C106" s="1334">
        <v>0</v>
      </c>
      <c r="D106" s="1334">
        <v>0</v>
      </c>
      <c r="E106" s="1334">
        <v>0</v>
      </c>
      <c r="F106" s="1334">
        <v>0</v>
      </c>
      <c r="G106" s="1334">
        <v>0</v>
      </c>
      <c r="H106" s="1334">
        <v>0</v>
      </c>
      <c r="I106" s="1334">
        <v>0</v>
      </c>
      <c r="J106" s="1334">
        <v>0</v>
      </c>
      <c r="K106" s="1334">
        <v>0</v>
      </c>
      <c r="L106" s="1334">
        <v>0</v>
      </c>
      <c r="M106" s="1334">
        <v>0</v>
      </c>
      <c r="N106" s="1334">
        <v>0</v>
      </c>
      <c r="O106" s="1334">
        <v>0</v>
      </c>
      <c r="P106" s="1334">
        <v>0</v>
      </c>
      <c r="Q106" s="1334">
        <v>0</v>
      </c>
      <c r="R106" s="1334">
        <v>0</v>
      </c>
      <c r="S106" s="1334">
        <v>0</v>
      </c>
    </row>
    <row r="107" spans="1:19">
      <c r="B107" s="998" t="s">
        <v>1699</v>
      </c>
      <c r="C107" s="1334">
        <f>Model!D9</f>
        <v>212.99453461000002</v>
      </c>
      <c r="D107" s="1334">
        <f>Model!E9</f>
        <v>279.16592631999998</v>
      </c>
      <c r="E107" s="1334">
        <f>Model!F9</f>
        <v>478.20000000000005</v>
      </c>
      <c r="F107" s="1334">
        <f>Model!G9</f>
        <v>496.9</v>
      </c>
      <c r="G107" s="1334">
        <f>Model!H9</f>
        <v>494.33764154200037</v>
      </c>
      <c r="H107" s="1334">
        <f>Model!I9</f>
        <v>499.40475366000004</v>
      </c>
      <c r="I107" s="1334">
        <f>Model!J9</f>
        <v>480</v>
      </c>
      <c r="J107" s="1334">
        <f>Model!K9</f>
        <v>462.84366304999998</v>
      </c>
      <c r="K107" s="1334">
        <f>Model!L9</f>
        <v>446.53620129000001</v>
      </c>
      <c r="L107" s="1334">
        <f>Model!M9</f>
        <v>452.06121156</v>
      </c>
      <c r="M107" s="1334">
        <f ca="1">Model!N9</f>
        <v>433.86462054566306</v>
      </c>
      <c r="N107" s="1334">
        <f ca="1">Model!O9</f>
        <v>434.14953674314324</v>
      </c>
      <c r="O107" s="1334">
        <f ca="1">Model!P9</f>
        <v>462.82185958200864</v>
      </c>
      <c r="P107" s="1334">
        <f ca="1">Model!Q9</f>
        <v>489.86188981053959</v>
      </c>
      <c r="Q107" s="1334">
        <f ca="1">Model!R9</f>
        <v>518.46892095649082</v>
      </c>
      <c r="R107" s="1334">
        <f ca="1">Model!S9</f>
        <v>551.9682456787674</v>
      </c>
      <c r="S107" s="1334">
        <f ca="1">Model!T9</f>
        <v>585.33632681154825</v>
      </c>
    </row>
    <row r="108" spans="1:19">
      <c r="B108" s="998" t="s">
        <v>1700</v>
      </c>
      <c r="C108" s="1334">
        <f>Model!D418</f>
        <v>84.15436877989606</v>
      </c>
      <c r="D108" s="1334">
        <f>Model!E418</f>
        <v>72.788536319999892</v>
      </c>
      <c r="E108" s="1334">
        <f>Model!F418</f>
        <v>218.8</v>
      </c>
      <c r="F108" s="1334">
        <f>Model!G418</f>
        <v>186.404</v>
      </c>
      <c r="G108" s="1334">
        <f>Model!H418</f>
        <v>175.21682528200043</v>
      </c>
      <c r="H108" s="1334">
        <f>Model!I418</f>
        <v>190.37728919</v>
      </c>
      <c r="I108" s="1334">
        <f>Model!J418</f>
        <v>194.16656861000001</v>
      </c>
      <c r="J108" s="1334">
        <f ca="1">Model!K418</f>
        <v>164.28200000000001</v>
      </c>
      <c r="K108" s="1334">
        <f ca="1">Model!L418</f>
        <v>124.57000000000001</v>
      </c>
      <c r="L108" s="1334">
        <f>Model!M418</f>
        <v>98.214000000000013</v>
      </c>
      <c r="M108" s="1334">
        <f ca="1">Model!N418</f>
        <v>94.97974954401991</v>
      </c>
      <c r="N108" s="1334">
        <f ca="1">Model!O418</f>
        <v>122.26576222893047</v>
      </c>
      <c r="O108" s="1334">
        <f ca="1">Model!P418</f>
        <v>144.68398168306288</v>
      </c>
      <c r="P108" s="1334">
        <f ca="1">Model!Q418</f>
        <v>173.62711092244257</v>
      </c>
      <c r="Q108" s="1334">
        <f ca="1">Model!R418</f>
        <v>194.10503433769716</v>
      </c>
      <c r="R108" s="1334">
        <f ca="1">Model!S418</f>
        <v>218.47661400054051</v>
      </c>
      <c r="S108" s="1334">
        <f ca="1">Model!T418</f>
        <v>243.79495662173173</v>
      </c>
    </row>
    <row r="109" spans="1:19">
      <c r="B109" s="998" t="s">
        <v>1701</v>
      </c>
      <c r="C109" s="1334">
        <f>Model!D23</f>
        <v>84.1</v>
      </c>
      <c r="D109" s="1334">
        <f>Model!E23</f>
        <v>113.2</v>
      </c>
      <c r="E109" s="1334">
        <f>Model!F23</f>
        <v>152.30000000000001</v>
      </c>
      <c r="F109" s="1334">
        <f>Model!G23</f>
        <v>155.9</v>
      </c>
      <c r="G109" s="1334">
        <f>Model!H23</f>
        <v>159.03177321999999</v>
      </c>
      <c r="H109" s="1334">
        <f>Model!I23</f>
        <v>162.0818753543538</v>
      </c>
      <c r="I109" s="1334">
        <f>Model!J23</f>
        <v>109.13800000000001</v>
      </c>
      <c r="J109" s="1334">
        <f>Model!K23</f>
        <v>134.16900000000001</v>
      </c>
      <c r="K109" s="1334">
        <f>Model!L23</f>
        <v>186</v>
      </c>
      <c r="L109" s="1334">
        <f>Model!M23</f>
        <v>187</v>
      </c>
      <c r="M109" s="1334">
        <f ca="1">Model!N23</f>
        <v>193.26969502103239</v>
      </c>
      <c r="N109" s="1334">
        <f ca="1">Model!O23</f>
        <v>187.46621537875632</v>
      </c>
      <c r="O109" s="1334">
        <f ca="1">Model!P23</f>
        <v>190.60693133023656</v>
      </c>
      <c r="P109" s="1334">
        <f ca="1">Model!Q23</f>
        <v>202.94415147376913</v>
      </c>
      <c r="Q109" s="1334">
        <f ca="1">Model!R23</f>
        <v>202.99840863051455</v>
      </c>
      <c r="R109" s="1334">
        <f ca="1">Model!S23</f>
        <v>231.88698917188097</v>
      </c>
      <c r="S109" s="1334">
        <f ca="1">Model!T23</f>
        <v>230.4678702221118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00B0F0"/>
  </sheetPr>
  <dimension ref="B2:AR97"/>
  <sheetViews>
    <sheetView topLeftCell="A50" zoomScale="70" zoomScaleNormal="70" workbookViewId="0">
      <pane xSplit="2" topLeftCell="AA1" activePane="topRight" state="frozen"/>
      <selection pane="topRight" activeCell="AJ86" sqref="AJ86"/>
    </sheetView>
  </sheetViews>
  <sheetFormatPr defaultColWidth="9.1328125" defaultRowHeight="13.9" outlineLevelRow="1"/>
  <cols>
    <col min="1" max="1" width="2.86328125" style="66" customWidth="1"/>
    <col min="2" max="2" width="42.86328125" style="66" customWidth="1"/>
    <col min="3" max="30" width="9.1328125" style="66"/>
    <col min="31" max="33" width="9.19921875" style="66" bestFit="1" customWidth="1"/>
    <col min="34" max="34" width="11.6640625" style="66" bestFit="1" customWidth="1"/>
    <col min="35" max="35" width="9.6640625" style="66" bestFit="1" customWidth="1"/>
    <col min="36" max="41" width="9.19921875" style="66" bestFit="1" customWidth="1"/>
    <col min="42" max="16384" width="9.1328125" style="66"/>
  </cols>
  <sheetData>
    <row r="2" spans="2:42" s="663" customFormat="1" ht="15.4">
      <c r="B2" s="663" t="s">
        <v>1331</v>
      </c>
      <c r="C2" s="664"/>
      <c r="D2" s="664"/>
      <c r="E2" s="664"/>
      <c r="F2" s="664"/>
      <c r="G2" s="664"/>
      <c r="H2" s="664"/>
      <c r="I2" s="664"/>
      <c r="J2" s="664"/>
      <c r="K2" s="664"/>
      <c r="L2" s="664"/>
      <c r="M2" s="664"/>
      <c r="N2" s="664"/>
      <c r="O2" s="664"/>
      <c r="P2" s="664"/>
      <c r="Q2" s="664"/>
      <c r="R2" s="664"/>
      <c r="S2" s="664"/>
      <c r="T2" s="664"/>
      <c r="U2" s="664"/>
      <c r="V2" s="664"/>
      <c r="W2" s="664"/>
      <c r="X2" s="664"/>
      <c r="Y2" s="664"/>
      <c r="Z2" s="664"/>
      <c r="AA2" s="664"/>
    </row>
    <row r="3" spans="2:42">
      <c r="C3" s="665"/>
      <c r="D3" s="665"/>
      <c r="E3" s="665"/>
      <c r="F3" s="665"/>
      <c r="G3" s="665"/>
      <c r="H3" s="665"/>
      <c r="I3" s="665"/>
      <c r="J3" s="665"/>
      <c r="K3" s="665"/>
      <c r="L3" s="665"/>
      <c r="M3" s="665"/>
      <c r="N3" s="665"/>
      <c r="O3" s="665"/>
      <c r="P3" s="665"/>
      <c r="Q3" s="665"/>
      <c r="R3" s="665"/>
      <c r="S3" s="665"/>
      <c r="T3" s="665"/>
      <c r="U3" s="665"/>
      <c r="V3" s="665"/>
      <c r="W3" s="665"/>
      <c r="X3" s="665"/>
      <c r="Y3" s="665"/>
      <c r="Z3" s="665"/>
      <c r="AA3" s="665"/>
    </row>
    <row r="4" spans="2:42">
      <c r="B4" s="541" t="s">
        <v>1361</v>
      </c>
      <c r="C4" s="542" t="s">
        <v>977</v>
      </c>
      <c r="D4" s="542" t="s">
        <v>992</v>
      </c>
      <c r="E4" s="542" t="s">
        <v>1034</v>
      </c>
      <c r="F4" s="542" t="s">
        <v>1044</v>
      </c>
      <c r="G4" s="542" t="s">
        <v>1115</v>
      </c>
      <c r="H4" s="542" t="s">
        <v>1121</v>
      </c>
      <c r="I4" s="542" t="s">
        <v>1142</v>
      </c>
      <c r="J4" s="542" t="s">
        <v>1144</v>
      </c>
      <c r="K4" s="542" t="s">
        <v>1306</v>
      </c>
      <c r="L4" s="542" t="s">
        <v>1307</v>
      </c>
      <c r="M4" s="542" t="s">
        <v>1308</v>
      </c>
      <c r="N4" s="542" t="s">
        <v>1309</v>
      </c>
      <c r="O4" s="542" t="s">
        <v>1310</v>
      </c>
      <c r="P4" s="542" t="s">
        <v>1311</v>
      </c>
      <c r="Q4" s="542" t="s">
        <v>1324</v>
      </c>
      <c r="R4" s="542" t="s">
        <v>1325</v>
      </c>
      <c r="S4" s="542" t="s">
        <v>1326</v>
      </c>
      <c r="T4" s="542" t="s">
        <v>1341</v>
      </c>
      <c r="U4" s="542" t="s">
        <v>1342</v>
      </c>
      <c r="V4" s="542" t="s">
        <v>1343</v>
      </c>
      <c r="W4" s="542" t="s">
        <v>1376</v>
      </c>
      <c r="X4" s="542" t="s">
        <v>1480</v>
      </c>
      <c r="Y4" s="542" t="s">
        <v>1495</v>
      </c>
      <c r="Z4" s="542" t="s">
        <v>1491</v>
      </c>
      <c r="AA4" s="542" t="s">
        <v>1501</v>
      </c>
      <c r="AB4" s="542" t="s">
        <v>1554</v>
      </c>
      <c r="AC4" s="542" t="s">
        <v>1555</v>
      </c>
      <c r="AD4" s="542" t="s">
        <v>1556</v>
      </c>
      <c r="AE4" s="542" t="s">
        <v>1557</v>
      </c>
      <c r="AF4" s="542" t="s">
        <v>1558</v>
      </c>
      <c r="AG4" s="542" t="s">
        <v>1559</v>
      </c>
      <c r="AH4" s="542" t="s">
        <v>1560</v>
      </c>
      <c r="AI4" s="542" t="s">
        <v>1561</v>
      </c>
      <c r="AJ4" s="542" t="s">
        <v>1641</v>
      </c>
      <c r="AK4" s="542" t="s">
        <v>1642</v>
      </c>
      <c r="AL4" s="542" t="s">
        <v>1643</v>
      </c>
      <c r="AM4" s="542" t="s">
        <v>1691</v>
      </c>
      <c r="AN4" s="542" t="s">
        <v>1697</v>
      </c>
      <c r="AO4" s="542" t="s">
        <v>1937</v>
      </c>
      <c r="AP4" s="542" t="s">
        <v>2057</v>
      </c>
    </row>
    <row r="5" spans="2:42">
      <c r="B5" s="66" t="s">
        <v>7</v>
      </c>
      <c r="C5" s="666">
        <f>Interims!M66</f>
        <v>53.672637200000025</v>
      </c>
      <c r="D5" s="666">
        <f>Interims!O66</f>
        <v>53.615176787563165</v>
      </c>
      <c r="E5" s="666">
        <f>Interims!P66</f>
        <v>54.300000000000004</v>
      </c>
      <c r="F5" s="666">
        <f>Interims!Q66</f>
        <v>74</v>
      </c>
      <c r="G5" s="666">
        <f>Interims!R66</f>
        <v>96.9</v>
      </c>
      <c r="H5" s="666">
        <f>Interims!U66</f>
        <v>116.1</v>
      </c>
      <c r="I5" s="666">
        <f>Interims!V66</f>
        <v>119.9</v>
      </c>
      <c r="J5" s="666">
        <f>Interims!W66</f>
        <v>118.2</v>
      </c>
      <c r="K5" s="666">
        <f>Interims!X66</f>
        <v>124.1</v>
      </c>
      <c r="L5" s="666">
        <f>Interims!Z66</f>
        <v>121</v>
      </c>
      <c r="M5" s="666">
        <f>Interims!AA66</f>
        <v>124.36948038000001</v>
      </c>
      <c r="N5" s="666">
        <f>Interims!AB66</f>
        <v>123.26492087999996</v>
      </c>
      <c r="O5" s="666">
        <f>Interims!AC66</f>
        <v>128.19999999999999</v>
      </c>
      <c r="P5" s="666">
        <f>Interims!AE66</f>
        <v>123.39999999999999</v>
      </c>
      <c r="Q5" s="666">
        <f>Interims!AF66</f>
        <v>116.59352496999999</v>
      </c>
      <c r="R5" s="666">
        <f>Interims!AG66</f>
        <v>127.72728695000001</v>
      </c>
      <c r="S5" s="666">
        <f>Interims!AH66</f>
        <v>126.62886659</v>
      </c>
      <c r="T5" s="666">
        <f>Interims!AJ66</f>
        <v>120.14045779999998</v>
      </c>
      <c r="U5" s="666">
        <f>Interims!AK66</f>
        <v>126.33641969000001</v>
      </c>
      <c r="V5" s="666">
        <f>Interims!AL66</f>
        <v>123.21828449999998</v>
      </c>
      <c r="W5" s="666">
        <f>Interims!AM66</f>
        <v>129.70959167000001</v>
      </c>
      <c r="X5" s="666">
        <f>Interims!AO66</f>
        <v>118.49999999999999</v>
      </c>
      <c r="Y5" s="666">
        <f>Interims!AP66</f>
        <v>119.89999999999999</v>
      </c>
      <c r="Z5" s="666">
        <f>Interims!AQ66</f>
        <v>118.5</v>
      </c>
      <c r="AA5" s="666">
        <f>Interims!AR66</f>
        <v>123.1</v>
      </c>
      <c r="AB5" s="666">
        <f>Interims!AT66</f>
        <v>120.31740826000001</v>
      </c>
      <c r="AC5" s="666">
        <f>Interims!AU66</f>
        <v>116.89861353000001</v>
      </c>
      <c r="AD5" s="666">
        <f>Interims!AV66</f>
        <v>114.62449000999999</v>
      </c>
      <c r="AE5" s="666">
        <f>Interims!AW66</f>
        <v>111.00315124999999</v>
      </c>
      <c r="AF5" s="666">
        <f>Interims!AY66</f>
        <v>111.44918919</v>
      </c>
      <c r="AG5" s="666">
        <f>Interims!AZ66</f>
        <v>112.58421442000001</v>
      </c>
      <c r="AH5" s="666">
        <f>Interims!BA66</f>
        <v>110.42555842000002</v>
      </c>
      <c r="AI5" s="666">
        <f>Interims!BB66</f>
        <v>112.07723925999994</v>
      </c>
      <c r="AJ5" s="666">
        <f>Interims!BD66</f>
        <v>110.8</v>
      </c>
      <c r="AK5" s="666">
        <f>Interims!BE66</f>
        <v>110.40893118999998</v>
      </c>
      <c r="AL5" s="666">
        <f>Interims!BF66</f>
        <v>111.38130171000002</v>
      </c>
      <c r="AM5" s="666">
        <f>Interims!BG66</f>
        <v>119.47097866000001</v>
      </c>
      <c r="AN5" s="666">
        <f>Interims!BI66</f>
        <v>112.3</v>
      </c>
      <c r="AO5" s="666">
        <f>Interims!BJ66</f>
        <v>110.39999999999999</v>
      </c>
      <c r="AP5" s="666">
        <f>Interims!BK66</f>
        <v>102.39999999999999</v>
      </c>
    </row>
    <row r="6" spans="2:42">
      <c r="B6" s="66" t="s">
        <v>1344</v>
      </c>
      <c r="C6" s="665">
        <f>C5-C7</f>
        <v>5.0373845199999892</v>
      </c>
      <c r="D6" s="665">
        <f t="shared" ref="D6:V6" si="0">D5-D7</f>
        <v>5.5492235399999998</v>
      </c>
      <c r="E6" s="665">
        <f t="shared" si="0"/>
        <v>5.5</v>
      </c>
      <c r="F6" s="665">
        <f t="shared" si="0"/>
        <v>6.3000000000000114</v>
      </c>
      <c r="G6" s="665">
        <f t="shared" si="0"/>
        <v>11.800000000000011</v>
      </c>
      <c r="H6" s="665">
        <f t="shared" si="0"/>
        <v>17.900000000000006</v>
      </c>
      <c r="I6" s="665">
        <f t="shared" si="0"/>
        <v>21.900000000000006</v>
      </c>
      <c r="J6" s="665">
        <f t="shared" si="0"/>
        <v>19.899999999999991</v>
      </c>
      <c r="K6" s="665">
        <f t="shared" si="0"/>
        <v>25.799999999999997</v>
      </c>
      <c r="L6" s="665">
        <f t="shared" si="0"/>
        <v>25.099999999999994</v>
      </c>
      <c r="M6" s="665">
        <f t="shared" si="0"/>
        <v>20.415798977846009</v>
      </c>
      <c r="N6" s="665">
        <f t="shared" si="0"/>
        <v>20.729772346727572</v>
      </c>
      <c r="O6" s="665">
        <f t="shared" si="0"/>
        <v>29.099999999999994</v>
      </c>
      <c r="P6" s="665">
        <f t="shared" si="0"/>
        <v>23.299999999999997</v>
      </c>
      <c r="Q6" s="665">
        <f t="shared" si="0"/>
        <v>20.584690987634659</v>
      </c>
      <c r="R6" s="665">
        <f t="shared" si="0"/>
        <v>30.957470976371667</v>
      </c>
      <c r="S6" s="665">
        <f t="shared" si="0"/>
        <v>30.169875003993326</v>
      </c>
      <c r="T6" s="665">
        <f t="shared" si="0"/>
        <v>24.3751873377702</v>
      </c>
      <c r="U6" s="665">
        <f t="shared" si="0"/>
        <v>31.478855522305793</v>
      </c>
      <c r="V6" s="665">
        <f t="shared" si="0"/>
        <v>27.500130599963796</v>
      </c>
      <c r="W6" s="665">
        <f>W5-W7</f>
        <v>35.017141717670398</v>
      </c>
      <c r="X6" s="665">
        <f>X5-X7</f>
        <v>25.199999999999989</v>
      </c>
      <c r="Y6" s="665">
        <f>Y5-Y7</f>
        <v>27.099999999999994</v>
      </c>
      <c r="Z6" s="665">
        <f>Z5-Z7</f>
        <v>25.099999999999994</v>
      </c>
      <c r="AA6" s="665">
        <f t="shared" ref="AA6:AJ6" si="1">AA5-AA7</f>
        <v>29.5</v>
      </c>
      <c r="AB6" s="665">
        <f t="shared" si="1"/>
        <v>27.577662878500803</v>
      </c>
      <c r="AC6" s="665">
        <f t="shared" si="1"/>
        <v>24.621604571704069</v>
      </c>
      <c r="AD6" s="665">
        <f t="shared" si="1"/>
        <v>23.093694699502038</v>
      </c>
      <c r="AE6" s="665">
        <f t="shared" si="1"/>
        <v>18.45205607070946</v>
      </c>
      <c r="AF6" s="665">
        <f t="shared" si="1"/>
        <v>20.786309727325261</v>
      </c>
      <c r="AG6" s="665">
        <f t="shared" si="1"/>
        <v>21.730262234462955</v>
      </c>
      <c r="AH6" s="665">
        <f t="shared" si="1"/>
        <v>21.338690641489137</v>
      </c>
      <c r="AI6" s="665">
        <f t="shared" si="1"/>
        <v>22.60773142124134</v>
      </c>
      <c r="AJ6" s="665">
        <f t="shared" si="1"/>
        <v>22</v>
      </c>
      <c r="AK6" s="665">
        <f t="shared" ref="AK6:AP6" si="2">AK5-AK7</f>
        <v>22.138807543968937</v>
      </c>
      <c r="AL6" s="665">
        <f t="shared" si="2"/>
        <v>22.114027420690462</v>
      </c>
      <c r="AM6" s="665">
        <f t="shared" si="2"/>
        <v>28.966349526187216</v>
      </c>
      <c r="AN6" s="665">
        <f t="shared" si="2"/>
        <v>23.299999999999997</v>
      </c>
      <c r="AO6" s="665">
        <f t="shared" si="2"/>
        <v>23.599999999999994</v>
      </c>
      <c r="AP6" s="665">
        <f t="shared" si="2"/>
        <v>24.699999999999989</v>
      </c>
    </row>
    <row r="7" spans="2:42">
      <c r="B7" s="66" t="s">
        <v>1345</v>
      </c>
      <c r="C7" s="665">
        <f>C14+C18</f>
        <v>48.635252680000036</v>
      </c>
      <c r="D7" s="665">
        <f t="shared" ref="D7:V7" si="3">D14+D18</f>
        <v>48.065953247563165</v>
      </c>
      <c r="E7" s="665">
        <f t="shared" si="3"/>
        <v>48.800000000000004</v>
      </c>
      <c r="F7" s="665">
        <f t="shared" si="3"/>
        <v>67.699999999999989</v>
      </c>
      <c r="G7" s="665">
        <f t="shared" si="3"/>
        <v>85.1</v>
      </c>
      <c r="H7" s="665">
        <f t="shared" si="3"/>
        <v>98.199999999999989</v>
      </c>
      <c r="I7" s="665">
        <f t="shared" si="3"/>
        <v>98</v>
      </c>
      <c r="J7" s="665">
        <f t="shared" si="3"/>
        <v>98.300000000000011</v>
      </c>
      <c r="K7" s="665">
        <f t="shared" si="3"/>
        <v>98.3</v>
      </c>
      <c r="L7" s="665">
        <f t="shared" si="3"/>
        <v>95.9</v>
      </c>
      <c r="M7" s="665">
        <f t="shared" si="3"/>
        <v>103.953681402154</v>
      </c>
      <c r="N7" s="665">
        <f t="shared" si="3"/>
        <v>102.53514853327239</v>
      </c>
      <c r="O7" s="665">
        <f t="shared" si="3"/>
        <v>99.1</v>
      </c>
      <c r="P7" s="665">
        <f t="shared" si="3"/>
        <v>100.1</v>
      </c>
      <c r="Q7" s="665">
        <f t="shared" si="3"/>
        <v>96.008833982365331</v>
      </c>
      <c r="R7" s="665">
        <f t="shared" si="3"/>
        <v>96.76981597362834</v>
      </c>
      <c r="S7" s="665">
        <f t="shared" si="3"/>
        <v>96.458991586006675</v>
      </c>
      <c r="T7" s="665">
        <f t="shared" si="3"/>
        <v>95.765270462229779</v>
      </c>
      <c r="U7" s="665">
        <f t="shared" si="3"/>
        <v>94.857564167694221</v>
      </c>
      <c r="V7" s="665">
        <f t="shared" si="3"/>
        <v>95.718153900036185</v>
      </c>
      <c r="W7" s="665">
        <f>W14+W18</f>
        <v>94.692449952329611</v>
      </c>
      <c r="X7" s="665">
        <f>X14+X18</f>
        <v>93.3</v>
      </c>
      <c r="Y7" s="665">
        <f>Y14+Y18</f>
        <v>92.8</v>
      </c>
      <c r="Z7" s="665">
        <f>Z14+Z18</f>
        <v>93.4</v>
      </c>
      <c r="AA7" s="665">
        <f>AA14+AA18</f>
        <v>93.6</v>
      </c>
      <c r="AB7" s="665">
        <f t="shared" ref="AB7:AJ7" si="4">AB14+AB18</f>
        <v>92.739745381499205</v>
      </c>
      <c r="AC7" s="665">
        <f t="shared" si="4"/>
        <v>92.277008958295937</v>
      </c>
      <c r="AD7" s="665">
        <f t="shared" si="4"/>
        <v>91.53079531049795</v>
      </c>
      <c r="AE7" s="665">
        <f t="shared" si="4"/>
        <v>92.551095179290527</v>
      </c>
      <c r="AF7" s="665">
        <f t="shared" si="4"/>
        <v>90.662879462674738</v>
      </c>
      <c r="AG7" s="665">
        <f t="shared" si="4"/>
        <v>90.853952185537054</v>
      </c>
      <c r="AH7" s="665">
        <f t="shared" si="4"/>
        <v>89.086867778510879</v>
      </c>
      <c r="AI7" s="665">
        <f t="shared" si="4"/>
        <v>89.469507838758602</v>
      </c>
      <c r="AJ7" s="665">
        <f t="shared" si="4"/>
        <v>88.8</v>
      </c>
      <c r="AK7" s="665">
        <f t="shared" ref="AK7:AP7" si="5">AK14+AK18</f>
        <v>88.270123646031038</v>
      </c>
      <c r="AL7" s="665">
        <f t="shared" si="5"/>
        <v>89.267274289309555</v>
      </c>
      <c r="AM7" s="665">
        <f t="shared" si="5"/>
        <v>90.504629133812799</v>
      </c>
      <c r="AN7" s="665">
        <f t="shared" si="5"/>
        <v>89</v>
      </c>
      <c r="AO7" s="665">
        <f t="shared" si="5"/>
        <v>86.8</v>
      </c>
      <c r="AP7" s="665">
        <f t="shared" si="5"/>
        <v>77.7</v>
      </c>
    </row>
    <row r="8" spans="2:42">
      <c r="B8" s="667" t="s">
        <v>1346</v>
      </c>
      <c r="C8" s="665">
        <f>C7-C9</f>
        <v>48.635252680000036</v>
      </c>
      <c r="D8" s="665">
        <f t="shared" ref="D8:V8" si="6">D7-D9</f>
        <v>48.065953247563165</v>
      </c>
      <c r="E8" s="665">
        <f t="shared" si="6"/>
        <v>48.800000000000004</v>
      </c>
      <c r="F8" s="665">
        <f t="shared" si="6"/>
        <v>67.699999999999989</v>
      </c>
      <c r="G8" s="665">
        <f t="shared" si="6"/>
        <v>85.1</v>
      </c>
      <c r="H8" s="665">
        <f t="shared" si="6"/>
        <v>98.199999999999989</v>
      </c>
      <c r="I8" s="665">
        <f t="shared" si="6"/>
        <v>98</v>
      </c>
      <c r="J8" s="665">
        <f t="shared" si="6"/>
        <v>98.300000000000011</v>
      </c>
      <c r="K8" s="665">
        <f t="shared" si="6"/>
        <v>98.3</v>
      </c>
      <c r="L8" s="665">
        <f t="shared" si="6"/>
        <v>95.9</v>
      </c>
      <c r="M8" s="665">
        <f t="shared" si="6"/>
        <v>103.953681402154</v>
      </c>
      <c r="N8" s="665">
        <f t="shared" si="6"/>
        <v>102.53514853327239</v>
      </c>
      <c r="O8" s="665">
        <f t="shared" si="6"/>
        <v>99.1</v>
      </c>
      <c r="P8" s="665">
        <f t="shared" si="6"/>
        <v>100.1</v>
      </c>
      <c r="Q8" s="665">
        <f t="shared" si="6"/>
        <v>96.008833982365331</v>
      </c>
      <c r="R8" s="665">
        <f t="shared" si="6"/>
        <v>96.76981597362834</v>
      </c>
      <c r="S8" s="665">
        <f t="shared" si="6"/>
        <v>96.458991586006675</v>
      </c>
      <c r="T8" s="665">
        <f t="shared" si="6"/>
        <v>95.765270462229779</v>
      </c>
      <c r="U8" s="665">
        <f t="shared" si="6"/>
        <v>94.857564167694221</v>
      </c>
      <c r="V8" s="665">
        <f t="shared" si="6"/>
        <v>95.718153900036185</v>
      </c>
      <c r="W8" s="665">
        <f>W7-W9</f>
        <v>94.692449952329611</v>
      </c>
      <c r="X8" s="665">
        <f>X7-X9</f>
        <v>93.3</v>
      </c>
      <c r="Y8" s="665">
        <f>Y7-Y9</f>
        <v>92.8</v>
      </c>
      <c r="Z8" s="665">
        <f>Z7-Z9</f>
        <v>93.4</v>
      </c>
      <c r="AA8" s="665">
        <f t="shared" ref="AA8:AJ8" si="7">AA7-AA9</f>
        <v>93.6</v>
      </c>
      <c r="AB8" s="665">
        <f t="shared" si="7"/>
        <v>92.739745381499205</v>
      </c>
      <c r="AC8" s="665">
        <f t="shared" si="7"/>
        <v>92.277008958295937</v>
      </c>
      <c r="AD8" s="665">
        <f t="shared" si="7"/>
        <v>91.53079531049795</v>
      </c>
      <c r="AE8" s="665">
        <f t="shared" si="7"/>
        <v>92.551095179290527</v>
      </c>
      <c r="AF8" s="665">
        <f t="shared" si="7"/>
        <v>90.662879462674738</v>
      </c>
      <c r="AG8" s="665">
        <f t="shared" si="7"/>
        <v>90.853952185537054</v>
      </c>
      <c r="AH8" s="665">
        <f t="shared" si="7"/>
        <v>89.086867778510879</v>
      </c>
      <c r="AI8" s="665">
        <f t="shared" si="7"/>
        <v>89.469507838758602</v>
      </c>
      <c r="AJ8" s="665">
        <f t="shared" si="7"/>
        <v>88.8</v>
      </c>
      <c r="AK8" s="665">
        <f t="shared" ref="AK8:AP8" si="8">AK7-AK9</f>
        <v>88.270123646031038</v>
      </c>
      <c r="AL8" s="665">
        <f t="shared" si="8"/>
        <v>89.267274289309555</v>
      </c>
      <c r="AM8" s="665">
        <f t="shared" si="8"/>
        <v>90.504629133812799</v>
      </c>
      <c r="AN8" s="665">
        <f t="shared" si="8"/>
        <v>89</v>
      </c>
      <c r="AO8" s="665">
        <f t="shared" si="8"/>
        <v>86.8</v>
      </c>
      <c r="AP8" s="665">
        <f t="shared" si="8"/>
        <v>77.7</v>
      </c>
    </row>
    <row r="9" spans="2:42">
      <c r="B9" s="667" t="s">
        <v>1347</v>
      </c>
      <c r="C9" s="671">
        <v>0</v>
      </c>
      <c r="D9" s="671">
        <v>0</v>
      </c>
      <c r="E9" s="671">
        <v>0</v>
      </c>
      <c r="F9" s="671">
        <v>0</v>
      </c>
      <c r="G9" s="671">
        <v>0</v>
      </c>
      <c r="H9" s="671">
        <v>0</v>
      </c>
      <c r="I9" s="671">
        <v>0</v>
      </c>
      <c r="J9" s="671">
        <v>0</v>
      </c>
      <c r="K9" s="671">
        <v>0</v>
      </c>
      <c r="L9" s="671">
        <v>0</v>
      </c>
      <c r="M9" s="671">
        <v>0</v>
      </c>
      <c r="N9" s="671">
        <v>0</v>
      </c>
      <c r="O9" s="671">
        <v>0</v>
      </c>
      <c r="P9" s="671">
        <v>0</v>
      </c>
      <c r="Q9" s="671">
        <v>0</v>
      </c>
      <c r="R9" s="671">
        <v>0</v>
      </c>
      <c r="S9" s="671">
        <v>0</v>
      </c>
      <c r="T9" s="671">
        <v>0</v>
      </c>
      <c r="U9" s="671">
        <v>0</v>
      </c>
      <c r="V9" s="671">
        <v>0</v>
      </c>
      <c r="W9" s="671">
        <v>0</v>
      </c>
      <c r="X9" s="671">
        <v>0</v>
      </c>
      <c r="Y9" s="671">
        <v>0</v>
      </c>
      <c r="Z9" s="671">
        <v>0</v>
      </c>
      <c r="AA9" s="671">
        <v>0</v>
      </c>
      <c r="AB9" s="671">
        <v>0</v>
      </c>
      <c r="AC9" s="671">
        <v>0</v>
      </c>
      <c r="AD9" s="671">
        <v>0</v>
      </c>
      <c r="AE9" s="671">
        <v>0</v>
      </c>
      <c r="AF9" s="671">
        <v>0</v>
      </c>
      <c r="AG9" s="671">
        <v>0</v>
      </c>
      <c r="AH9" s="671">
        <v>0</v>
      </c>
      <c r="AI9" s="671">
        <v>0</v>
      </c>
      <c r="AJ9" s="671">
        <v>0</v>
      </c>
      <c r="AK9" s="671">
        <v>0</v>
      </c>
      <c r="AL9" s="671">
        <v>0</v>
      </c>
      <c r="AM9" s="671">
        <v>0</v>
      </c>
      <c r="AN9" s="671">
        <v>0</v>
      </c>
      <c r="AO9" s="671">
        <v>0</v>
      </c>
      <c r="AP9" s="671">
        <v>0</v>
      </c>
    </row>
    <row r="10" spans="2:42">
      <c r="B10" s="66" t="s">
        <v>1348</v>
      </c>
      <c r="C10" s="666">
        <f>Interims!M86</f>
        <v>25.990195639896069</v>
      </c>
      <c r="D10" s="666">
        <f>Interims!O86</f>
        <v>24.395153703194065</v>
      </c>
      <c r="E10" s="666">
        <f>Interims!P86</f>
        <v>27.700000000000017</v>
      </c>
      <c r="F10" s="666">
        <f>Interims!Q86</f>
        <v>36.999999999999993</v>
      </c>
      <c r="G10" s="666">
        <f>Interims!R86</f>
        <v>51.900000000000013</v>
      </c>
      <c r="H10" s="666">
        <f>Interims!U86</f>
        <v>56.415450489999984</v>
      </c>
      <c r="I10" s="666">
        <f>Interims!V86</f>
        <v>59.05868808000001</v>
      </c>
      <c r="J10" s="666">
        <f>Interims!W86</f>
        <v>63.59999999999998</v>
      </c>
      <c r="K10" s="666">
        <f>Interims!X86</f>
        <v>71.100000000000009</v>
      </c>
      <c r="L10" s="666">
        <f>Interims!Z86</f>
        <v>61.1</v>
      </c>
      <c r="M10" s="666">
        <f>Interims!AA86</f>
        <v>62.43201336000002</v>
      </c>
      <c r="N10" s="666">
        <f>Interims!AB86</f>
        <v>68.284728079999951</v>
      </c>
      <c r="O10" s="666">
        <f>Interims!AC86</f>
        <v>72.8</v>
      </c>
      <c r="P10" s="666">
        <f>Interims!AE86</f>
        <v>62.421794239999983</v>
      </c>
      <c r="Q10" s="666">
        <f>Interims!AF86</f>
        <v>52.60494147</v>
      </c>
      <c r="R10" s="666">
        <f>Interims!AG86</f>
        <v>58.627616579999994</v>
      </c>
      <c r="S10" s="666">
        <f>Interims!AH86</f>
        <v>59.342259660000025</v>
      </c>
      <c r="T10" s="666">
        <f>Interims!AJ86</f>
        <v>56.814654069999982</v>
      </c>
      <c r="U10" s="666">
        <f>Interims!AK86</f>
        <v>58.350954819999998</v>
      </c>
      <c r="V10" s="666">
        <f>Interims!AL86</f>
        <v>61.223350130000007</v>
      </c>
      <c r="W10" s="666">
        <f>Interims!AM86</f>
        <v>63.065112059999969</v>
      </c>
      <c r="X10" s="666">
        <f>Interims!AO86</f>
        <v>57.117667949999976</v>
      </c>
      <c r="Y10" s="666">
        <f>Interims!AP86</f>
        <v>60.742908499999992</v>
      </c>
      <c r="Z10" s="666">
        <f>Interims!AQ86</f>
        <v>59.530961770000033</v>
      </c>
      <c r="AA10" s="666">
        <f>Interims!AR86</f>
        <v>64.792422439999953</v>
      </c>
      <c r="AB10" s="666">
        <f>Interims!AT86</f>
        <v>62.027999999999999</v>
      </c>
      <c r="AC10" s="666">
        <f>Interims!AU86</f>
        <v>57.342000000000006</v>
      </c>
      <c r="AD10" s="666">
        <f>Interims!AV86</f>
        <v>58.277999999999984</v>
      </c>
      <c r="AE10" s="666">
        <f>Interims!AW86</f>
        <v>48.805</v>
      </c>
      <c r="AF10" s="666">
        <f>Interims!AY86</f>
        <v>48.966999999999999</v>
      </c>
      <c r="AG10" s="666">
        <f>Interims!AZ86</f>
        <v>48.570000000000007</v>
      </c>
      <c r="AH10" s="666">
        <f>Interims!BA86</f>
        <v>48.346000000000004</v>
      </c>
      <c r="AI10" s="666">
        <f>Interims!BB86</f>
        <v>35.700000000000003</v>
      </c>
      <c r="AJ10" s="666">
        <f>Interims!BD86</f>
        <v>44.160000000000004</v>
      </c>
      <c r="AK10" s="666">
        <f>Interims!BE86</f>
        <v>48.670860909999988</v>
      </c>
      <c r="AL10" s="666">
        <f>Interims!BF86</f>
        <v>48.622492620000024</v>
      </c>
      <c r="AM10" s="666">
        <f>Interims!BG86</f>
        <v>51.6</v>
      </c>
      <c r="AN10" s="666">
        <f>Interims!BI86</f>
        <v>47.9</v>
      </c>
      <c r="AO10" s="666">
        <f>Interims!BJ86</f>
        <v>45.1</v>
      </c>
      <c r="AP10" s="666">
        <f>Interims!BK86</f>
        <v>48.6</v>
      </c>
    </row>
    <row r="11" spans="2:42">
      <c r="B11" s="66" t="s">
        <v>1349</v>
      </c>
      <c r="C11" s="666">
        <f>Interims!M127</f>
        <v>44.056355217532484</v>
      </c>
      <c r="D11" s="666">
        <f>Interims!O127</f>
        <v>14.694021029999998</v>
      </c>
      <c r="E11" s="666">
        <f>Interims!P127</f>
        <v>23.4</v>
      </c>
      <c r="F11" s="666">
        <f>Interims!Q127</f>
        <v>21</v>
      </c>
      <c r="G11" s="666">
        <f>Interims!R127</f>
        <v>54.1</v>
      </c>
      <c r="H11" s="666">
        <f>Interims!U127</f>
        <v>19.5</v>
      </c>
      <c r="I11" s="666">
        <f>Interims!V127</f>
        <v>28.3</v>
      </c>
      <c r="J11" s="666">
        <f>Interims!W127</f>
        <v>31.1</v>
      </c>
      <c r="K11" s="666">
        <f>Interims!X127</f>
        <v>73.447223860521575</v>
      </c>
      <c r="L11" s="666">
        <f>Interims!Z127</f>
        <v>21.9</v>
      </c>
      <c r="M11" s="666">
        <f>Interims!AA127</f>
        <v>24.7</v>
      </c>
      <c r="N11" s="666">
        <f>Interims!AB127</f>
        <v>22.2</v>
      </c>
      <c r="O11" s="666">
        <f>Interims!AC127</f>
        <v>86.5</v>
      </c>
      <c r="P11" s="666">
        <f>Interims!AE127</f>
        <v>31.45286661122995</v>
      </c>
      <c r="Q11" s="666">
        <f>Interims!AF127</f>
        <v>45.679408636511994</v>
      </c>
      <c r="R11" s="666">
        <f>Interims!AG127</f>
        <v>47.030824565000003</v>
      </c>
      <c r="S11" s="666">
        <f>Interims!AH127</f>
        <v>34.868673407258044</v>
      </c>
      <c r="T11" s="666">
        <f>Interims!AJ127</f>
        <v>34.299999999999997</v>
      </c>
      <c r="U11" s="666">
        <f>Interims!AK127</f>
        <v>32.299999999999997</v>
      </c>
      <c r="V11" s="666">
        <f>Interims!AL127</f>
        <v>41.499999999999993</v>
      </c>
      <c r="W11" s="666">
        <f>Interims!AM127</f>
        <v>53.981875354353804</v>
      </c>
      <c r="X11" s="666">
        <f>Interims!AO127</f>
        <v>30.199999999999996</v>
      </c>
      <c r="Y11" s="666">
        <f>Interims!AP127</f>
        <v>32.200000000000003</v>
      </c>
      <c r="Z11" s="666">
        <f>Interims!AQ127</f>
        <v>33.700000000000003</v>
      </c>
      <c r="AA11" s="666">
        <f>Interims!AR127</f>
        <v>53.963011508699992</v>
      </c>
      <c r="AB11" s="666">
        <f>Interims!AT127</f>
        <v>32.471877443399997</v>
      </c>
      <c r="AC11" s="666">
        <f>Interims!AU131</f>
        <v>27.762999999999998</v>
      </c>
      <c r="AD11" s="666">
        <f>Interims!AV131</f>
        <v>32.528000000000006</v>
      </c>
      <c r="AE11" s="666">
        <f>Interims!AW131</f>
        <v>53.439000000000014</v>
      </c>
      <c r="AF11" s="666">
        <f>Interims!AY131</f>
        <v>26.881</v>
      </c>
      <c r="AG11" s="666">
        <f>Interims!AZ131</f>
        <v>44.837999999999994</v>
      </c>
      <c r="AH11" s="666">
        <f>Interims!BA131</f>
        <v>53.212000000000003</v>
      </c>
      <c r="AI11" s="666">
        <f>Interims!BB131</f>
        <v>49.94</v>
      </c>
      <c r="AJ11" s="666">
        <f>Interims!BD131</f>
        <v>43.558</v>
      </c>
      <c r="AK11" s="666">
        <f>Interims!BE131</f>
        <v>44.473000000000006</v>
      </c>
      <c r="AL11" s="666">
        <f>Interims!BF131</f>
        <v>41.894999999999982</v>
      </c>
      <c r="AM11" s="666">
        <f>Interims!BG131</f>
        <v>57.2</v>
      </c>
      <c r="AN11" s="666">
        <f>Interims!BI131</f>
        <v>46.3</v>
      </c>
      <c r="AO11" s="666">
        <f>Interims!BJ131</f>
        <v>52.3</v>
      </c>
      <c r="AP11" s="666">
        <f>Interims!BK131</f>
        <v>50</v>
      </c>
    </row>
    <row r="12" spans="2:42">
      <c r="B12" s="66" t="s">
        <v>1239</v>
      </c>
      <c r="C12" s="668"/>
      <c r="D12" s="668"/>
      <c r="E12" s="669"/>
      <c r="F12" s="669"/>
      <c r="G12" s="669"/>
      <c r="H12" s="668"/>
      <c r="I12" s="669"/>
      <c r="J12" s="669"/>
      <c r="K12" s="669"/>
      <c r="L12" s="668"/>
      <c r="M12" s="669"/>
      <c r="N12" s="669"/>
      <c r="O12" s="669"/>
      <c r="P12" s="668"/>
      <c r="Q12" s="669"/>
      <c r="R12" s="669"/>
      <c r="S12" s="669"/>
      <c r="T12" s="668"/>
      <c r="U12" s="669"/>
      <c r="V12" s="669"/>
      <c r="W12" s="669"/>
      <c r="X12" s="669"/>
      <c r="Y12" s="669"/>
      <c r="Z12" s="669"/>
      <c r="AA12" s="669"/>
      <c r="AB12" s="669"/>
      <c r="AC12" s="669"/>
      <c r="AD12" s="669"/>
      <c r="AE12" s="669"/>
      <c r="AF12" s="669"/>
      <c r="AG12" s="669"/>
      <c r="AH12" s="669"/>
      <c r="AI12" s="669"/>
      <c r="AJ12" s="669"/>
      <c r="AK12" s="669"/>
      <c r="AL12" s="669"/>
      <c r="AM12" s="669"/>
      <c r="AN12" s="669"/>
      <c r="AO12" s="669"/>
      <c r="AP12" s="669"/>
    </row>
    <row r="13" spans="2:42">
      <c r="C13" s="665"/>
      <c r="D13" s="665"/>
      <c r="E13" s="665"/>
      <c r="F13" s="665"/>
      <c r="G13" s="665"/>
      <c r="H13" s="669"/>
      <c r="I13" s="665"/>
      <c r="J13" s="665"/>
      <c r="K13" s="665"/>
      <c r="L13" s="665"/>
      <c r="M13" s="665"/>
      <c r="N13" s="665"/>
      <c r="O13" s="665"/>
      <c r="P13" s="665"/>
      <c r="Q13" s="665"/>
      <c r="R13" s="665"/>
      <c r="S13" s="665"/>
      <c r="T13" s="665"/>
      <c r="U13" s="665"/>
      <c r="V13" s="665"/>
      <c r="W13" s="665"/>
      <c r="X13" s="665"/>
      <c r="Y13" s="665"/>
      <c r="Z13" s="665"/>
      <c r="AA13" s="665"/>
      <c r="AB13" s="665"/>
      <c r="AC13" s="665"/>
      <c r="AD13" s="665"/>
      <c r="AE13" s="665"/>
      <c r="AF13" s="665"/>
      <c r="AG13" s="665"/>
      <c r="AH13" s="665"/>
      <c r="AI13" s="665"/>
      <c r="AJ13" s="665"/>
      <c r="AK13" s="665"/>
      <c r="AL13" s="665"/>
      <c r="AM13" s="665"/>
      <c r="AN13" s="665"/>
      <c r="AO13" s="665"/>
      <c r="AP13" s="665"/>
    </row>
    <row r="14" spans="2:42">
      <c r="B14" s="66" t="s">
        <v>1350</v>
      </c>
      <c r="C14" s="671">
        <v>0</v>
      </c>
      <c r="D14" s="671">
        <v>0</v>
      </c>
      <c r="E14" s="671">
        <v>0</v>
      </c>
      <c r="F14" s="671">
        <v>0</v>
      </c>
      <c r="G14" s="671">
        <v>0</v>
      </c>
      <c r="H14" s="671">
        <v>0</v>
      </c>
      <c r="I14" s="671">
        <v>0</v>
      </c>
      <c r="J14" s="671">
        <v>0</v>
      </c>
      <c r="K14" s="671">
        <v>0</v>
      </c>
      <c r="L14" s="671">
        <v>0</v>
      </c>
      <c r="M14" s="671">
        <v>0</v>
      </c>
      <c r="N14" s="671">
        <v>0</v>
      </c>
      <c r="O14" s="671">
        <v>0</v>
      </c>
      <c r="P14" s="671">
        <v>0</v>
      </c>
      <c r="Q14" s="671">
        <v>0</v>
      </c>
      <c r="R14" s="671">
        <v>0</v>
      </c>
      <c r="S14" s="671">
        <v>0</v>
      </c>
      <c r="T14" s="671">
        <v>0</v>
      </c>
      <c r="U14" s="671">
        <v>0</v>
      </c>
      <c r="V14" s="671">
        <v>0</v>
      </c>
      <c r="W14" s="671">
        <v>0</v>
      </c>
      <c r="X14" s="671">
        <v>0</v>
      </c>
      <c r="Y14" s="671">
        <v>0</v>
      </c>
      <c r="Z14" s="671">
        <v>0</v>
      </c>
      <c r="AA14" s="671">
        <v>0</v>
      </c>
      <c r="AB14" s="671">
        <v>0</v>
      </c>
      <c r="AC14" s="671">
        <v>0</v>
      </c>
      <c r="AD14" s="671">
        <v>0</v>
      </c>
      <c r="AE14" s="671">
        <v>0</v>
      </c>
      <c r="AF14" s="671">
        <v>0</v>
      </c>
      <c r="AG14" s="671">
        <v>0</v>
      </c>
      <c r="AH14" s="671">
        <v>0</v>
      </c>
      <c r="AI14" s="671">
        <v>0</v>
      </c>
      <c r="AJ14" s="671">
        <v>0</v>
      </c>
      <c r="AK14" s="671">
        <v>0</v>
      </c>
      <c r="AL14" s="671">
        <v>0</v>
      </c>
      <c r="AM14" s="671">
        <v>0</v>
      </c>
      <c r="AN14" s="671">
        <v>0</v>
      </c>
      <c r="AO14" s="671">
        <v>0</v>
      </c>
      <c r="AP14" s="671">
        <v>0</v>
      </c>
    </row>
    <row r="15" spans="2:42">
      <c r="B15" s="66" t="s">
        <v>1351</v>
      </c>
      <c r="C15" s="671">
        <v>0</v>
      </c>
      <c r="D15" s="671">
        <v>0</v>
      </c>
      <c r="E15" s="671">
        <v>0</v>
      </c>
      <c r="F15" s="671">
        <v>0</v>
      </c>
      <c r="G15" s="671">
        <v>0</v>
      </c>
      <c r="H15" s="671">
        <v>0</v>
      </c>
      <c r="I15" s="671">
        <v>0</v>
      </c>
      <c r="J15" s="671">
        <v>0</v>
      </c>
      <c r="K15" s="671">
        <v>0</v>
      </c>
      <c r="L15" s="671">
        <v>0</v>
      </c>
      <c r="M15" s="671">
        <v>0</v>
      </c>
      <c r="N15" s="671">
        <v>0</v>
      </c>
      <c r="O15" s="671">
        <v>0</v>
      </c>
      <c r="P15" s="671">
        <v>0</v>
      </c>
      <c r="Q15" s="671">
        <v>0</v>
      </c>
      <c r="R15" s="671">
        <v>0</v>
      </c>
      <c r="S15" s="671">
        <v>0</v>
      </c>
      <c r="T15" s="671">
        <v>0</v>
      </c>
      <c r="U15" s="671">
        <v>0</v>
      </c>
      <c r="V15" s="671">
        <v>0</v>
      </c>
      <c r="W15" s="671">
        <v>0</v>
      </c>
      <c r="X15" s="671">
        <v>0</v>
      </c>
      <c r="Y15" s="671">
        <v>0</v>
      </c>
      <c r="Z15" s="671">
        <v>0</v>
      </c>
      <c r="AA15" s="671">
        <v>0</v>
      </c>
      <c r="AB15" s="671">
        <v>0</v>
      </c>
      <c r="AC15" s="671">
        <v>0</v>
      </c>
      <c r="AD15" s="671">
        <v>0</v>
      </c>
      <c r="AE15" s="671">
        <v>0</v>
      </c>
      <c r="AF15" s="671">
        <v>0</v>
      </c>
      <c r="AG15" s="671">
        <v>0</v>
      </c>
      <c r="AH15" s="671">
        <v>0</v>
      </c>
      <c r="AI15" s="671">
        <v>0</v>
      </c>
      <c r="AJ15" s="671">
        <v>0</v>
      </c>
      <c r="AK15" s="671">
        <v>0</v>
      </c>
      <c r="AL15" s="671">
        <v>0</v>
      </c>
      <c r="AM15" s="671">
        <v>0</v>
      </c>
      <c r="AN15" s="671">
        <v>0</v>
      </c>
      <c r="AO15" s="671">
        <v>0</v>
      </c>
      <c r="AP15" s="671">
        <v>0</v>
      </c>
    </row>
    <row r="16" spans="2:42">
      <c r="B16" s="66" t="s">
        <v>1352</v>
      </c>
      <c r="C16" s="671">
        <v>0</v>
      </c>
      <c r="D16" s="671">
        <v>0</v>
      </c>
      <c r="E16" s="671">
        <v>0</v>
      </c>
      <c r="F16" s="671">
        <v>0</v>
      </c>
      <c r="G16" s="671">
        <v>0</v>
      </c>
      <c r="H16" s="671">
        <v>0</v>
      </c>
      <c r="I16" s="671">
        <v>0</v>
      </c>
      <c r="J16" s="671">
        <v>0</v>
      </c>
      <c r="K16" s="671">
        <v>0</v>
      </c>
      <c r="L16" s="671">
        <v>0</v>
      </c>
      <c r="M16" s="671">
        <v>0</v>
      </c>
      <c r="N16" s="671">
        <v>0</v>
      </c>
      <c r="O16" s="671">
        <v>0</v>
      </c>
      <c r="P16" s="671">
        <v>0</v>
      </c>
      <c r="Q16" s="671">
        <v>0</v>
      </c>
      <c r="R16" s="671">
        <v>0</v>
      </c>
      <c r="S16" s="671">
        <v>0</v>
      </c>
      <c r="T16" s="671">
        <v>0</v>
      </c>
      <c r="U16" s="671">
        <v>0</v>
      </c>
      <c r="V16" s="671">
        <v>0</v>
      </c>
      <c r="W16" s="671">
        <v>0</v>
      </c>
      <c r="X16" s="671">
        <v>0</v>
      </c>
      <c r="Y16" s="671">
        <v>0</v>
      </c>
      <c r="Z16" s="671">
        <v>0</v>
      </c>
      <c r="AA16" s="671">
        <v>0</v>
      </c>
      <c r="AB16" s="671">
        <v>0</v>
      </c>
      <c r="AC16" s="671">
        <v>0</v>
      </c>
      <c r="AD16" s="671">
        <v>0</v>
      </c>
      <c r="AE16" s="671">
        <v>0</v>
      </c>
      <c r="AF16" s="671">
        <v>0</v>
      </c>
      <c r="AG16" s="671">
        <v>0</v>
      </c>
      <c r="AH16" s="671">
        <v>0</v>
      </c>
      <c r="AI16" s="671">
        <v>0</v>
      </c>
      <c r="AJ16" s="671">
        <v>0</v>
      </c>
      <c r="AK16" s="671">
        <v>0</v>
      </c>
      <c r="AL16" s="671">
        <v>0</v>
      </c>
      <c r="AM16" s="671">
        <v>0</v>
      </c>
      <c r="AN16" s="671">
        <v>0</v>
      </c>
      <c r="AO16" s="671">
        <v>0</v>
      </c>
      <c r="AP16" s="671">
        <v>0</v>
      </c>
    </row>
    <row r="17" spans="2:42">
      <c r="C17" s="665"/>
      <c r="D17" s="665"/>
      <c r="E17" s="665"/>
      <c r="F17" s="665"/>
      <c r="G17" s="665"/>
      <c r="H17" s="665"/>
      <c r="I17" s="665"/>
      <c r="J17" s="665"/>
      <c r="K17" s="665"/>
      <c r="L17" s="665"/>
      <c r="M17" s="665"/>
      <c r="N17" s="665"/>
      <c r="O17" s="665"/>
      <c r="P17" s="665"/>
      <c r="Q17" s="665"/>
      <c r="R17" s="665"/>
      <c r="S17" s="665"/>
      <c r="T17" s="665"/>
      <c r="U17" s="665"/>
      <c r="V17" s="665"/>
      <c r="W17" s="665"/>
      <c r="X17" s="665"/>
      <c r="Y17" s="665"/>
      <c r="Z17" s="665"/>
      <c r="AA17" s="665"/>
      <c r="AB17" s="665"/>
      <c r="AC17" s="665"/>
      <c r="AD17" s="665"/>
      <c r="AE17" s="665"/>
      <c r="AF17" s="665"/>
      <c r="AG17" s="665"/>
      <c r="AH17" s="665"/>
      <c r="AI17" s="665"/>
      <c r="AJ17" s="665"/>
      <c r="AK17" s="665"/>
      <c r="AL17" s="665"/>
      <c r="AM17" s="665"/>
      <c r="AN17" s="665"/>
      <c r="AO17" s="665"/>
      <c r="AP17" s="665"/>
    </row>
    <row r="18" spans="2:42">
      <c r="B18" s="66" t="s">
        <v>1353</v>
      </c>
      <c r="C18" s="666">
        <f>Interims!M62+Interims!M63</f>
        <v>48.635252680000036</v>
      </c>
      <c r="D18" s="666">
        <f>Interims!O62+Interims!O63</f>
        <v>48.065953247563165</v>
      </c>
      <c r="E18" s="666">
        <f>Interims!P62+Interims!P63</f>
        <v>48.800000000000004</v>
      </c>
      <c r="F18" s="666">
        <f>Interims!Q62+Interims!Q63</f>
        <v>67.699999999999989</v>
      </c>
      <c r="G18" s="666">
        <f>Interims!R62+Interims!R63</f>
        <v>85.1</v>
      </c>
      <c r="H18" s="666">
        <f>Interims!U62+Interims!U63</f>
        <v>98.199999999999989</v>
      </c>
      <c r="I18" s="666">
        <f>Interims!V62+Interims!V63</f>
        <v>98</v>
      </c>
      <c r="J18" s="666">
        <f>Interims!W62+Interims!W63</f>
        <v>98.300000000000011</v>
      </c>
      <c r="K18" s="666">
        <f>Interims!X62+Interims!X63</f>
        <v>98.3</v>
      </c>
      <c r="L18" s="666">
        <f>Interims!Z62+Interims!Z63</f>
        <v>95.9</v>
      </c>
      <c r="M18" s="666">
        <f>Interims!AA62+Interims!AA63</f>
        <v>103.953681402154</v>
      </c>
      <c r="N18" s="666">
        <f>Interims!AB62+Interims!AB63</f>
        <v>102.53514853327239</v>
      </c>
      <c r="O18" s="666">
        <f>Interims!AC62+Interims!AC63</f>
        <v>99.1</v>
      </c>
      <c r="P18" s="666">
        <f>Interims!AE62+Interims!AE63</f>
        <v>100.1</v>
      </c>
      <c r="Q18" s="666">
        <f>Interims!AF62+Interims!AF63</f>
        <v>96.008833982365331</v>
      </c>
      <c r="R18" s="666">
        <f>Interims!AG62+Interims!AG63</f>
        <v>96.76981597362834</v>
      </c>
      <c r="S18" s="666">
        <f>Interims!AH62+Interims!AH63</f>
        <v>96.458991586006675</v>
      </c>
      <c r="T18" s="666">
        <f>Interims!AJ62+Interims!AJ63</f>
        <v>95.765270462229779</v>
      </c>
      <c r="U18" s="666">
        <f>Interims!AK62+Interims!AK63</f>
        <v>94.857564167694221</v>
      </c>
      <c r="V18" s="666">
        <f>Interims!AL62+Interims!AL63</f>
        <v>95.718153900036185</v>
      </c>
      <c r="W18" s="666">
        <f>Interims!AM62+Interims!AM63</f>
        <v>94.692449952329611</v>
      </c>
      <c r="X18" s="666">
        <f>Interims!AO62+Interims!AO63</f>
        <v>93.3</v>
      </c>
      <c r="Y18" s="666">
        <f>Interims!AP62+Interims!AP63</f>
        <v>92.8</v>
      </c>
      <c r="Z18" s="666">
        <f>Interims!AQ62+Interims!AQ63</f>
        <v>93.4</v>
      </c>
      <c r="AA18" s="666">
        <f>Interims!AR62+Interims!AR63</f>
        <v>93.6</v>
      </c>
      <c r="AB18" s="666">
        <f>Interims!AT62+Interims!AT63</f>
        <v>92.739745381499205</v>
      </c>
      <c r="AC18" s="666">
        <f>Interims!AU62+Interims!AU63</f>
        <v>92.277008958295937</v>
      </c>
      <c r="AD18" s="666">
        <f>Interims!AV62+Interims!AV63</f>
        <v>91.53079531049795</v>
      </c>
      <c r="AE18" s="666">
        <f>Interims!AW62+Interims!AW63</f>
        <v>92.551095179290527</v>
      </c>
      <c r="AF18" s="666">
        <f>Interims!AY62+Interims!AY63</f>
        <v>90.662879462674738</v>
      </c>
      <c r="AG18" s="666">
        <f>Interims!AZ62+Interims!AZ63</f>
        <v>90.853952185537054</v>
      </c>
      <c r="AH18" s="666">
        <f>Interims!BA62+Interims!BA63</f>
        <v>89.086867778510879</v>
      </c>
      <c r="AI18" s="666">
        <f>Interims!BB62+Interims!BB63</f>
        <v>89.469507838758602</v>
      </c>
      <c r="AJ18" s="666">
        <f>Interims!BD62+Interims!BD63</f>
        <v>88.8</v>
      </c>
      <c r="AK18" s="666">
        <f>Interims!BE62+Interims!BE63</f>
        <v>88.270123646031038</v>
      </c>
      <c r="AL18" s="666">
        <f>Interims!BF62+Interims!BF63</f>
        <v>89.267274289309555</v>
      </c>
      <c r="AM18" s="666">
        <f>Interims!BG62+Interims!BG63</f>
        <v>90.504629133812799</v>
      </c>
      <c r="AN18" s="666">
        <f>Interims!BI62+Interims!BI63</f>
        <v>89</v>
      </c>
      <c r="AO18" s="666">
        <f>Interims!BJ62+Interims!BJ63</f>
        <v>86.8</v>
      </c>
      <c r="AP18" s="666">
        <f>Interims!BK62+Interims!BK63</f>
        <v>77.7</v>
      </c>
    </row>
    <row r="19" spans="2:42">
      <c r="B19" s="66" t="s">
        <v>1354</v>
      </c>
      <c r="C19" s="666">
        <f>Interims!M21</f>
        <v>202.00899999999999</v>
      </c>
      <c r="D19" s="666">
        <f>Interims!O21</f>
        <v>208</v>
      </c>
      <c r="E19" s="666">
        <f>Interims!P21</f>
        <v>213</v>
      </c>
      <c r="F19" s="666">
        <f>Interims!Q21</f>
        <v>363</v>
      </c>
      <c r="G19" s="666">
        <f>Interims!R21</f>
        <v>462</v>
      </c>
      <c r="H19" s="666">
        <f>Interims!U21</f>
        <v>475</v>
      </c>
      <c r="I19" s="666">
        <f>Interims!V21</f>
        <v>485</v>
      </c>
      <c r="J19" s="666">
        <f>Interims!W21</f>
        <v>500</v>
      </c>
      <c r="K19" s="666">
        <f>Interims!X21</f>
        <v>520</v>
      </c>
      <c r="L19" s="666">
        <f>Interims!Z21</f>
        <v>535</v>
      </c>
      <c r="M19" s="666">
        <f>Interims!AA21</f>
        <v>549</v>
      </c>
      <c r="N19" s="666">
        <f>Interims!AB21</f>
        <v>564.40899999999999</v>
      </c>
      <c r="O19" s="666">
        <f>Interims!AC21</f>
        <v>578</v>
      </c>
      <c r="P19" s="666">
        <f>Interims!AE21</f>
        <v>575</v>
      </c>
      <c r="Q19" s="666">
        <f>Interims!AF21</f>
        <v>571.37400000000002</v>
      </c>
      <c r="R19" s="666">
        <f>Interims!AG21</f>
        <v>570.51900000000001</v>
      </c>
      <c r="S19" s="666">
        <f>Interims!AH21</f>
        <v>573.98599999999999</v>
      </c>
      <c r="T19" s="666">
        <f>Interims!AJ21</f>
        <v>575</v>
      </c>
      <c r="U19" s="666">
        <f>Interims!AK21</f>
        <v>577</v>
      </c>
      <c r="V19" s="666">
        <f>Interims!AL21</f>
        <v>578.61779630620003</v>
      </c>
      <c r="W19" s="666">
        <f>Interims!AM21</f>
        <v>584.0044633898998</v>
      </c>
      <c r="X19" s="666">
        <f>Interims!AO21</f>
        <v>585.14854124499971</v>
      </c>
      <c r="Y19" s="666">
        <f>Interims!AP21</f>
        <v>589.30354124499979</v>
      </c>
      <c r="Z19" s="666">
        <f>Interims!AQ21</f>
        <v>596.76599999999996</v>
      </c>
      <c r="AA19" s="666">
        <f>Interims!AR21</f>
        <v>601.65100010000003</v>
      </c>
      <c r="AB19" s="666">
        <f>Interims!AT21</f>
        <v>609.71700010000006</v>
      </c>
      <c r="AC19" s="666">
        <f>Interims!AU21</f>
        <v>615.53300010000009</v>
      </c>
      <c r="AD19" s="666">
        <f>Interims!AV21</f>
        <v>620</v>
      </c>
      <c r="AE19" s="666">
        <f>Interims!AW21</f>
        <v>629</v>
      </c>
      <c r="AF19" s="666">
        <f>Interims!AY21</f>
        <v>633</v>
      </c>
      <c r="AG19" s="666">
        <f>Interims!AZ21</f>
        <v>640</v>
      </c>
      <c r="AH19" s="666">
        <f>Interims!BA21</f>
        <v>646</v>
      </c>
      <c r="AI19" s="666">
        <f ca="1">Interims!BB21</f>
        <v>659</v>
      </c>
      <c r="AJ19" s="666">
        <f>Interims!BD21</f>
        <v>671</v>
      </c>
      <c r="AK19" s="666">
        <f>Interims!BE21</f>
        <v>683.00800020000008</v>
      </c>
      <c r="AL19" s="666">
        <f>Interims!BF21</f>
        <v>693.04700019999996</v>
      </c>
      <c r="AM19" s="666">
        <f>Interims!BG21</f>
        <v>718.20100020000007</v>
      </c>
      <c r="AN19" s="666">
        <f>Interims!BI21</f>
        <v>732.73200000000008</v>
      </c>
      <c r="AO19" s="666">
        <f>Interims!BJ21</f>
        <v>706</v>
      </c>
      <c r="AP19" s="666">
        <f>Interims!BK21</f>
        <v>728</v>
      </c>
    </row>
    <row r="20" spans="2:42">
      <c r="B20" s="66" t="s">
        <v>1355</v>
      </c>
      <c r="C20" s="666">
        <f>Interims!M23</f>
        <v>169.953</v>
      </c>
      <c r="D20" s="666">
        <f>Interims!O23</f>
        <v>175</v>
      </c>
      <c r="E20" s="666">
        <f>Interims!P23</f>
        <v>202</v>
      </c>
      <c r="F20" s="666">
        <f>Interims!Q23</f>
        <v>352</v>
      </c>
      <c r="G20" s="666">
        <f>Interims!R23</f>
        <v>427</v>
      </c>
      <c r="H20" s="666">
        <f>Interims!U23</f>
        <v>441</v>
      </c>
      <c r="I20" s="666">
        <f>Interims!V23</f>
        <v>452</v>
      </c>
      <c r="J20" s="666">
        <f>Interims!W23</f>
        <v>463</v>
      </c>
      <c r="K20" s="666">
        <f>Interims!X23</f>
        <v>495</v>
      </c>
      <c r="L20" s="666">
        <f>Interims!Z23</f>
        <v>513</v>
      </c>
      <c r="M20" s="666">
        <f>Interims!AA23</f>
        <v>528</v>
      </c>
      <c r="N20" s="666">
        <f>Interims!AB23</f>
        <v>544.74</v>
      </c>
      <c r="O20" s="666">
        <f>Interims!AC23</f>
        <v>555</v>
      </c>
      <c r="P20" s="666">
        <f>Interims!AE23</f>
        <v>547</v>
      </c>
      <c r="Q20" s="666">
        <f>Interims!AF23</f>
        <v>538.86900000000003</v>
      </c>
      <c r="R20" s="666">
        <f>Interims!AG23</f>
        <v>447.87900000000002</v>
      </c>
      <c r="S20" s="666">
        <f>Interims!AH23</f>
        <v>439.07600000000002</v>
      </c>
      <c r="T20" s="666">
        <f>Interims!AJ23</f>
        <v>435</v>
      </c>
      <c r="U20" s="666">
        <f>Interims!AK23</f>
        <v>431</v>
      </c>
      <c r="V20" s="666">
        <f>Interims!AL23</f>
        <v>429.26299999999998</v>
      </c>
      <c r="W20" s="666">
        <f>Interims!AM23</f>
        <v>432.35300000000001</v>
      </c>
      <c r="X20" s="666">
        <f>Interims!AO23</f>
        <v>430.45699999999999</v>
      </c>
      <c r="Y20" s="666">
        <f>Interims!AP23</f>
        <v>433.18</v>
      </c>
      <c r="Z20" s="666">
        <f>Interims!AQ23</f>
        <v>437.435</v>
      </c>
      <c r="AA20" s="666">
        <f>Interims!AR23</f>
        <v>439.33199999999999</v>
      </c>
      <c r="AB20" s="666">
        <f>Interims!AT23</f>
        <v>444.46800000000002</v>
      </c>
      <c r="AC20" s="666">
        <f>Interims!AU23</f>
        <v>448.06</v>
      </c>
      <c r="AD20" s="666">
        <f>Interims!AV23</f>
        <v>452</v>
      </c>
      <c r="AE20" s="666">
        <f>Interims!AW23</f>
        <v>454</v>
      </c>
      <c r="AF20" s="666">
        <f>Interims!AY23</f>
        <v>455</v>
      </c>
      <c r="AG20" s="666">
        <f>Interims!AZ23</f>
        <v>458</v>
      </c>
      <c r="AH20" s="666">
        <f>Interims!BA23</f>
        <v>462</v>
      </c>
      <c r="AI20" s="666">
        <f ca="1">Interims!BB23</f>
        <v>475</v>
      </c>
      <c r="AJ20" s="666">
        <f>Interims!BD23</f>
        <v>485</v>
      </c>
      <c r="AK20" s="666">
        <f>Interims!BE23</f>
        <v>491.66800000000001</v>
      </c>
      <c r="AL20" s="666">
        <f>Interims!BF23</f>
        <v>504.01</v>
      </c>
      <c r="AM20" s="666">
        <f>Interims!BG23</f>
        <v>532.15499999999997</v>
      </c>
      <c r="AN20" s="666">
        <f>Interims!BI23</f>
        <v>550</v>
      </c>
      <c r="AO20" s="666">
        <f>Interims!BJ23</f>
        <v>570</v>
      </c>
      <c r="AP20" s="666">
        <f>Interims!BK23</f>
        <v>584</v>
      </c>
    </row>
    <row r="21" spans="2:42">
      <c r="B21" s="66" t="s">
        <v>1356</v>
      </c>
      <c r="C21" s="666">
        <f>Interims!M19+Interims!M20</f>
        <v>1471.1143987866185</v>
      </c>
      <c r="D21" s="666">
        <f>Interims!O19</f>
        <v>1293</v>
      </c>
      <c r="E21" s="666">
        <f>Interims!P19</f>
        <v>1259</v>
      </c>
      <c r="F21" s="666">
        <f>Interims!Q19</f>
        <v>1889</v>
      </c>
      <c r="G21" s="666">
        <f>Interims!R19</f>
        <v>2458</v>
      </c>
      <c r="H21" s="666">
        <f>Interims!U19</f>
        <v>2451</v>
      </c>
      <c r="I21" s="666">
        <f>Interims!V19</f>
        <v>2443</v>
      </c>
      <c r="J21" s="666">
        <f>Interims!W19</f>
        <v>2437</v>
      </c>
      <c r="K21" s="666">
        <f>Interims!X19</f>
        <v>2434</v>
      </c>
      <c r="L21" s="666">
        <f>Interims!Z19</f>
        <v>2398</v>
      </c>
      <c r="M21" s="666">
        <f>Interims!AA19</f>
        <v>2392</v>
      </c>
      <c r="N21" s="666">
        <f>Interims!AB19</f>
        <v>2379.7179999999998</v>
      </c>
      <c r="O21" s="666">
        <f>Interims!AC19</f>
        <v>2367</v>
      </c>
      <c r="P21" s="666">
        <f>Interims!AE19</f>
        <v>2309</v>
      </c>
      <c r="Q21" s="666">
        <f>Interims!AF19</f>
        <v>2308.2979999999998</v>
      </c>
      <c r="R21" s="666">
        <f>Interims!AG19</f>
        <v>2277.605</v>
      </c>
      <c r="S21" s="666">
        <f>Interims!AH19</f>
        <v>2261.88</v>
      </c>
      <c r="T21" s="666">
        <f>Interims!AJ19</f>
        <v>2269</v>
      </c>
      <c r="U21" s="666">
        <f>Interims!AK19</f>
        <v>2258</v>
      </c>
      <c r="V21" s="666">
        <f>Interims!AL19</f>
        <v>2234</v>
      </c>
      <c r="W21" s="666">
        <f>Interims!AM19</f>
        <v>2218.0740000000001</v>
      </c>
      <c r="X21" s="666">
        <f>Interims!AO19</f>
        <v>2184.1990000000001</v>
      </c>
      <c r="Y21" s="666">
        <f>Interims!AP19</f>
        <v>2167.5250000000001</v>
      </c>
      <c r="Z21" s="666">
        <f>Interims!AQ19</f>
        <v>2152.395</v>
      </c>
      <c r="AA21" s="666">
        <f>Interims!AR19</f>
        <v>2137.2359999999999</v>
      </c>
      <c r="AB21" s="666">
        <f>Interims!AT19</f>
        <v>2123.047</v>
      </c>
      <c r="AC21" s="666">
        <f>Interims!AU19</f>
        <v>2100.663</v>
      </c>
      <c r="AD21" s="666">
        <f>Interims!AV19</f>
        <v>2079</v>
      </c>
      <c r="AE21" s="666">
        <f>Interims!AW19</f>
        <v>2034</v>
      </c>
      <c r="AF21" s="666">
        <f>Interims!AY19</f>
        <v>2011</v>
      </c>
      <c r="AG21" s="666">
        <f>Interims!AZ19</f>
        <v>1993</v>
      </c>
      <c r="AH21" s="666">
        <f>Interims!BA19</f>
        <v>1942</v>
      </c>
      <c r="AI21" s="666">
        <f ca="1">Interims!BB19</f>
        <v>1902</v>
      </c>
      <c r="AJ21" s="666">
        <f>Interims!BD19</f>
        <v>1903</v>
      </c>
      <c r="AK21" s="666">
        <f>Interims!BE19</f>
        <v>1878.232</v>
      </c>
      <c r="AL21" s="666">
        <f>Interims!BF19</f>
        <v>1871.3019999999999</v>
      </c>
      <c r="AM21" s="666">
        <f>Interims!BG19</f>
        <v>1789.5409999999999</v>
      </c>
      <c r="AN21" s="666">
        <f>Interims!BI19</f>
        <v>1788</v>
      </c>
      <c r="AO21" s="666">
        <f>Interims!BJ19</f>
        <v>1106</v>
      </c>
      <c r="AP21" s="666">
        <f>Interims!BK19</f>
        <v>1116</v>
      </c>
    </row>
    <row r="22" spans="2:42">
      <c r="B22" s="66" t="s">
        <v>1357</v>
      </c>
      <c r="C22" s="665"/>
      <c r="D22" s="665"/>
      <c r="E22" s="665"/>
      <c r="F22" s="665"/>
      <c r="G22" s="665"/>
      <c r="H22" s="665"/>
      <c r="I22" s="665"/>
      <c r="J22" s="665"/>
      <c r="K22" s="665"/>
      <c r="L22" s="665"/>
      <c r="M22" s="665"/>
      <c r="N22" s="665"/>
      <c r="O22" s="665"/>
      <c r="P22" s="665"/>
      <c r="Q22" s="665"/>
      <c r="R22" s="665"/>
      <c r="S22" s="665"/>
      <c r="T22" s="665"/>
      <c r="U22" s="665"/>
      <c r="V22" s="665"/>
      <c r="W22" s="665"/>
      <c r="X22" s="665"/>
      <c r="Y22" s="665"/>
      <c r="Z22" s="665"/>
      <c r="AA22" s="665"/>
    </row>
    <row r="23" spans="2:42">
      <c r="C23" s="665"/>
      <c r="D23" s="665"/>
      <c r="E23" s="665"/>
      <c r="F23" s="665"/>
      <c r="G23" s="665"/>
      <c r="H23" s="665"/>
      <c r="I23" s="665"/>
      <c r="J23" s="665"/>
      <c r="K23" s="665"/>
      <c r="L23" s="665"/>
      <c r="M23" s="665"/>
      <c r="N23" s="665"/>
      <c r="O23" s="665"/>
      <c r="P23" s="665"/>
      <c r="Q23" s="665"/>
      <c r="R23" s="665"/>
      <c r="S23" s="665"/>
      <c r="T23" s="665"/>
      <c r="U23" s="665"/>
      <c r="V23" s="665"/>
      <c r="W23" s="665"/>
      <c r="X23" s="665"/>
      <c r="Y23" s="665"/>
      <c r="Z23" s="665"/>
      <c r="AA23" s="665"/>
    </row>
    <row r="24" spans="2:42" hidden="1" outlineLevel="1">
      <c r="B24" s="670" t="s">
        <v>1358</v>
      </c>
      <c r="C24" s="665"/>
      <c r="D24" s="665"/>
      <c r="E24" s="665"/>
      <c r="F24" s="665"/>
      <c r="G24" s="665"/>
      <c r="H24" s="665"/>
      <c r="I24" s="665"/>
      <c r="J24" s="665"/>
      <c r="K24" s="665"/>
      <c r="L24" s="665"/>
      <c r="M24" s="665"/>
      <c r="N24" s="665"/>
      <c r="O24" s="665"/>
      <c r="P24" s="665"/>
      <c r="Q24" s="665"/>
      <c r="R24" s="665"/>
      <c r="S24" s="665"/>
      <c r="T24" s="665"/>
      <c r="U24" s="665"/>
      <c r="V24" s="665"/>
      <c r="W24" s="665"/>
      <c r="X24" s="665"/>
      <c r="Y24" s="665"/>
      <c r="Z24" s="665"/>
      <c r="AA24" s="665"/>
    </row>
    <row r="25" spans="2:42" hidden="1" outlineLevel="1">
      <c r="B25" s="66" t="s">
        <v>7</v>
      </c>
      <c r="C25" s="665">
        <f>SUM(C26:C27)</f>
        <v>97</v>
      </c>
      <c r="D25" s="665">
        <f t="shared" ref="D25:V25" si="9">SUM(D26:D27)</f>
        <v>110.53646627000001</v>
      </c>
      <c r="E25" s="665">
        <f t="shared" si="9"/>
        <v>114.96722457320001</v>
      </c>
      <c r="F25" s="665">
        <f t="shared" si="9"/>
        <v>114.71367426979998</v>
      </c>
      <c r="G25" s="665">
        <f t="shared" si="9"/>
        <v>120.43498896342223</v>
      </c>
      <c r="H25" s="665">
        <f t="shared" si="9"/>
        <v>116.1</v>
      </c>
      <c r="I25" s="665">
        <f t="shared" si="9"/>
        <v>119.9</v>
      </c>
      <c r="J25" s="665">
        <f t="shared" si="9"/>
        <v>118.2</v>
      </c>
      <c r="K25" s="665">
        <f t="shared" si="9"/>
        <v>124.1</v>
      </c>
      <c r="L25" s="665">
        <f t="shared" si="9"/>
        <v>121</v>
      </c>
      <c r="M25" s="665">
        <f t="shared" si="9"/>
        <v>124.36948038000001</v>
      </c>
      <c r="N25" s="665">
        <f t="shared" si="9"/>
        <v>123.26492087999996</v>
      </c>
      <c r="O25" s="665">
        <f t="shared" si="9"/>
        <v>128.19999999999999</v>
      </c>
      <c r="P25" s="665">
        <f t="shared" si="9"/>
        <v>123.39999999999999</v>
      </c>
      <c r="Q25" s="665">
        <f t="shared" si="9"/>
        <v>116.59352496999999</v>
      </c>
      <c r="R25" s="665">
        <f t="shared" si="9"/>
        <v>127.72728695000001</v>
      </c>
      <c r="S25" s="665">
        <f t="shared" si="9"/>
        <v>126.62886659</v>
      </c>
      <c r="T25" s="665">
        <f t="shared" si="9"/>
        <v>120.14045779999998</v>
      </c>
      <c r="U25" s="665">
        <f t="shared" si="9"/>
        <v>126.33641969000001</v>
      </c>
      <c r="V25" s="665">
        <f t="shared" si="9"/>
        <v>123.21828449999998</v>
      </c>
      <c r="W25" s="665">
        <f>SUM(W26:W27)</f>
        <v>129.70959167000001</v>
      </c>
      <c r="X25" s="665">
        <f>SUM(X26:X27)</f>
        <v>118.49999999999999</v>
      </c>
      <c r="Y25" s="665">
        <f>SUM(Y26:Y27)</f>
        <v>119.89999999999999</v>
      </c>
      <c r="Z25" s="665">
        <f>SUM(Z26:Z27)</f>
        <v>118.5</v>
      </c>
      <c r="AA25" s="665">
        <f t="shared" ref="AA25:AH25" si="10">SUM(AA26:AA27)</f>
        <v>123.1</v>
      </c>
      <c r="AB25" s="665">
        <f t="shared" si="10"/>
        <v>120.31740826000001</v>
      </c>
      <c r="AC25" s="665">
        <f t="shared" si="10"/>
        <v>116.89861353000001</v>
      </c>
      <c r="AD25" s="665">
        <f t="shared" si="10"/>
        <v>114.62449000999999</v>
      </c>
      <c r="AE25" s="665">
        <f t="shared" si="10"/>
        <v>111.00315124999999</v>
      </c>
      <c r="AF25" s="665">
        <f t="shared" si="10"/>
        <v>111.44918919</v>
      </c>
      <c r="AG25" s="665">
        <f t="shared" si="10"/>
        <v>112.58421442000001</v>
      </c>
      <c r="AH25" s="665">
        <f t="shared" si="10"/>
        <v>110.42555842000002</v>
      </c>
      <c r="AI25" s="665">
        <f t="shared" ref="AI25:AN25" si="11">SUM(AI26:AI27)</f>
        <v>112.07723925999994</v>
      </c>
      <c r="AJ25" s="665">
        <f t="shared" si="11"/>
        <v>110.8</v>
      </c>
      <c r="AK25" s="665">
        <f t="shared" si="11"/>
        <v>110.40893118999998</v>
      </c>
      <c r="AL25" s="665">
        <f t="shared" si="11"/>
        <v>111.38130171000002</v>
      </c>
      <c r="AM25" s="665">
        <f t="shared" si="11"/>
        <v>119.47097866000001</v>
      </c>
      <c r="AN25" s="665">
        <f t="shared" si="11"/>
        <v>112.3</v>
      </c>
      <c r="AO25" s="665">
        <f t="shared" ref="AO25" si="12">SUM(AO26:AO27)</f>
        <v>110.39999999999999</v>
      </c>
      <c r="AP25" s="665">
        <f>SUM(AP26:AP27)</f>
        <v>102.39999999999999</v>
      </c>
    </row>
    <row r="26" spans="2:42" hidden="1" outlineLevel="1">
      <c r="B26" s="66" t="s">
        <v>1344</v>
      </c>
      <c r="C26" s="672">
        <v>12</v>
      </c>
      <c r="D26" s="672">
        <v>17.036466270000002</v>
      </c>
      <c r="E26" s="672">
        <v>17.067224573200004</v>
      </c>
      <c r="F26" s="672">
        <v>16.613674269799994</v>
      </c>
      <c r="G26" s="672">
        <v>20.434988963422228</v>
      </c>
      <c r="H26" s="665">
        <f t="shared" ref="H26:V26" si="13">H6</f>
        <v>17.900000000000006</v>
      </c>
      <c r="I26" s="665">
        <f t="shared" si="13"/>
        <v>21.900000000000006</v>
      </c>
      <c r="J26" s="665">
        <f t="shared" si="13"/>
        <v>19.899999999999991</v>
      </c>
      <c r="K26" s="665">
        <f t="shared" si="13"/>
        <v>25.799999999999997</v>
      </c>
      <c r="L26" s="665">
        <f t="shared" si="13"/>
        <v>25.099999999999994</v>
      </c>
      <c r="M26" s="665">
        <f t="shared" si="13"/>
        <v>20.415798977846009</v>
      </c>
      <c r="N26" s="665">
        <f t="shared" si="13"/>
        <v>20.729772346727572</v>
      </c>
      <c r="O26" s="665">
        <f t="shared" si="13"/>
        <v>29.099999999999994</v>
      </c>
      <c r="P26" s="665">
        <f t="shared" si="13"/>
        <v>23.299999999999997</v>
      </c>
      <c r="Q26" s="665">
        <f t="shared" si="13"/>
        <v>20.584690987634659</v>
      </c>
      <c r="R26" s="665">
        <f t="shared" si="13"/>
        <v>30.957470976371667</v>
      </c>
      <c r="S26" s="665">
        <f t="shared" si="13"/>
        <v>30.169875003993326</v>
      </c>
      <c r="T26" s="665">
        <f t="shared" si="13"/>
        <v>24.3751873377702</v>
      </c>
      <c r="U26" s="665">
        <f t="shared" si="13"/>
        <v>31.478855522305793</v>
      </c>
      <c r="V26" s="665">
        <f t="shared" si="13"/>
        <v>27.500130599963796</v>
      </c>
      <c r="W26" s="665">
        <f>W6</f>
        <v>35.017141717670398</v>
      </c>
      <c r="X26" s="665">
        <f>X6</f>
        <v>25.199999999999989</v>
      </c>
      <c r="Y26" s="665">
        <f>Y6</f>
        <v>27.099999999999994</v>
      </c>
      <c r="Z26" s="665">
        <f>Z6</f>
        <v>25.099999999999994</v>
      </c>
      <c r="AA26" s="665">
        <f t="shared" ref="AA26:AH26" si="14">AA6</f>
        <v>29.5</v>
      </c>
      <c r="AB26" s="665">
        <f t="shared" si="14"/>
        <v>27.577662878500803</v>
      </c>
      <c r="AC26" s="665">
        <f t="shared" si="14"/>
        <v>24.621604571704069</v>
      </c>
      <c r="AD26" s="665">
        <f t="shared" si="14"/>
        <v>23.093694699502038</v>
      </c>
      <c r="AE26" s="665">
        <f t="shared" si="14"/>
        <v>18.45205607070946</v>
      </c>
      <c r="AF26" s="665">
        <f t="shared" si="14"/>
        <v>20.786309727325261</v>
      </c>
      <c r="AG26" s="665">
        <f t="shared" si="14"/>
        <v>21.730262234462955</v>
      </c>
      <c r="AH26" s="665">
        <f t="shared" si="14"/>
        <v>21.338690641489137</v>
      </c>
      <c r="AI26" s="665">
        <f t="shared" ref="AI26:AN26" si="15">AI6</f>
        <v>22.60773142124134</v>
      </c>
      <c r="AJ26" s="665">
        <f t="shared" si="15"/>
        <v>22</v>
      </c>
      <c r="AK26" s="665">
        <f t="shared" si="15"/>
        <v>22.138807543968937</v>
      </c>
      <c r="AL26" s="665">
        <f t="shared" si="15"/>
        <v>22.114027420690462</v>
      </c>
      <c r="AM26" s="665">
        <f t="shared" si="15"/>
        <v>28.966349526187216</v>
      </c>
      <c r="AN26" s="665">
        <f t="shared" si="15"/>
        <v>23.299999999999997</v>
      </c>
      <c r="AO26" s="665">
        <f t="shared" ref="AO26" si="16">AO6</f>
        <v>23.599999999999994</v>
      </c>
      <c r="AP26" s="665">
        <f>AP6</f>
        <v>24.699999999999989</v>
      </c>
    </row>
    <row r="27" spans="2:42" hidden="1" outlineLevel="1">
      <c r="B27" s="66" t="s">
        <v>1345</v>
      </c>
      <c r="C27" s="665">
        <f>C34+C38</f>
        <v>85</v>
      </c>
      <c r="D27" s="665">
        <f t="shared" ref="D27:V27" si="17">D34+D38</f>
        <v>93.5</v>
      </c>
      <c r="E27" s="665">
        <f t="shared" si="17"/>
        <v>97.9</v>
      </c>
      <c r="F27" s="665">
        <f t="shared" si="17"/>
        <v>98.1</v>
      </c>
      <c r="G27" s="665">
        <f t="shared" si="17"/>
        <v>100</v>
      </c>
      <c r="H27" s="665">
        <f t="shared" si="17"/>
        <v>98.199999999999989</v>
      </c>
      <c r="I27" s="665">
        <f t="shared" si="17"/>
        <v>98</v>
      </c>
      <c r="J27" s="665">
        <f t="shared" si="17"/>
        <v>98.300000000000011</v>
      </c>
      <c r="K27" s="665">
        <f t="shared" si="17"/>
        <v>98.3</v>
      </c>
      <c r="L27" s="665">
        <f t="shared" si="17"/>
        <v>95.9</v>
      </c>
      <c r="M27" s="665">
        <f t="shared" si="17"/>
        <v>103.953681402154</v>
      </c>
      <c r="N27" s="665">
        <f t="shared" si="17"/>
        <v>102.53514853327239</v>
      </c>
      <c r="O27" s="665">
        <f t="shared" si="17"/>
        <v>99.1</v>
      </c>
      <c r="P27" s="665">
        <f t="shared" si="17"/>
        <v>100.1</v>
      </c>
      <c r="Q27" s="665">
        <f t="shared" si="17"/>
        <v>96.008833982365331</v>
      </c>
      <c r="R27" s="665">
        <f t="shared" si="17"/>
        <v>96.76981597362834</v>
      </c>
      <c r="S27" s="665">
        <f t="shared" si="17"/>
        <v>96.458991586006675</v>
      </c>
      <c r="T27" s="665">
        <f t="shared" si="17"/>
        <v>95.765270462229779</v>
      </c>
      <c r="U27" s="665">
        <f t="shared" si="17"/>
        <v>94.857564167694221</v>
      </c>
      <c r="V27" s="665">
        <f t="shared" si="17"/>
        <v>95.718153900036185</v>
      </c>
      <c r="W27" s="665">
        <f>W34+W38</f>
        <v>94.692449952329611</v>
      </c>
      <c r="X27" s="665">
        <f>X34+X38</f>
        <v>93.3</v>
      </c>
      <c r="Y27" s="665">
        <f>Y34+Y38</f>
        <v>92.8</v>
      </c>
      <c r="Z27" s="665">
        <f>Z34+Z38</f>
        <v>93.4</v>
      </c>
      <c r="AA27" s="665">
        <f t="shared" ref="AA27:AH27" si="18">AA34+AA38</f>
        <v>93.6</v>
      </c>
      <c r="AB27" s="665">
        <f t="shared" si="18"/>
        <v>92.739745381499205</v>
      </c>
      <c r="AC27" s="665">
        <f t="shared" si="18"/>
        <v>92.277008958295937</v>
      </c>
      <c r="AD27" s="665">
        <f t="shared" si="18"/>
        <v>91.53079531049795</v>
      </c>
      <c r="AE27" s="665">
        <f t="shared" si="18"/>
        <v>92.551095179290527</v>
      </c>
      <c r="AF27" s="665">
        <f t="shared" si="18"/>
        <v>90.662879462674738</v>
      </c>
      <c r="AG27" s="665">
        <f t="shared" si="18"/>
        <v>90.853952185537054</v>
      </c>
      <c r="AH27" s="665">
        <f t="shared" si="18"/>
        <v>89.086867778510879</v>
      </c>
      <c r="AI27" s="665">
        <f t="shared" ref="AI27:AN27" si="19">AI34+AI38</f>
        <v>89.469507838758602</v>
      </c>
      <c r="AJ27" s="665">
        <f t="shared" si="19"/>
        <v>88.8</v>
      </c>
      <c r="AK27" s="665">
        <f t="shared" si="19"/>
        <v>88.270123646031038</v>
      </c>
      <c r="AL27" s="665">
        <f t="shared" si="19"/>
        <v>89.267274289309555</v>
      </c>
      <c r="AM27" s="665">
        <f t="shared" si="19"/>
        <v>90.504629133812799</v>
      </c>
      <c r="AN27" s="665">
        <f t="shared" si="19"/>
        <v>89</v>
      </c>
      <c r="AO27" s="665">
        <f t="shared" ref="AO27" si="20">AO34+AO38</f>
        <v>86.8</v>
      </c>
      <c r="AP27" s="665">
        <f>AP34+AP38</f>
        <v>77.7</v>
      </c>
    </row>
    <row r="28" spans="2:42" hidden="1" outlineLevel="1">
      <c r="B28" s="667" t="s">
        <v>1346</v>
      </c>
      <c r="C28" s="665">
        <f t="shared" ref="C28:AA28" si="21">C27-C29</f>
        <v>85</v>
      </c>
      <c r="D28" s="665">
        <f t="shared" si="21"/>
        <v>93.5</v>
      </c>
      <c r="E28" s="665">
        <f t="shared" si="21"/>
        <v>97.9</v>
      </c>
      <c r="F28" s="665">
        <f t="shared" si="21"/>
        <v>98.1</v>
      </c>
      <c r="G28" s="665">
        <f t="shared" si="21"/>
        <v>100</v>
      </c>
      <c r="H28" s="665">
        <f t="shared" si="21"/>
        <v>98.199999999999989</v>
      </c>
      <c r="I28" s="665">
        <f t="shared" si="21"/>
        <v>98</v>
      </c>
      <c r="J28" s="665">
        <f t="shared" si="21"/>
        <v>98.300000000000011</v>
      </c>
      <c r="K28" s="665">
        <f t="shared" si="21"/>
        <v>98.3</v>
      </c>
      <c r="L28" s="665">
        <f t="shared" si="21"/>
        <v>95.9</v>
      </c>
      <c r="M28" s="665">
        <f t="shared" si="21"/>
        <v>103.953681402154</v>
      </c>
      <c r="N28" s="665">
        <f t="shared" si="21"/>
        <v>102.53514853327239</v>
      </c>
      <c r="O28" s="665">
        <f t="shared" si="21"/>
        <v>99.1</v>
      </c>
      <c r="P28" s="665">
        <f t="shared" si="21"/>
        <v>100.1</v>
      </c>
      <c r="Q28" s="665">
        <f t="shared" si="21"/>
        <v>96.008833982365331</v>
      </c>
      <c r="R28" s="665">
        <f t="shared" si="21"/>
        <v>96.76981597362834</v>
      </c>
      <c r="S28" s="665">
        <f t="shared" si="21"/>
        <v>96.458991586006675</v>
      </c>
      <c r="T28" s="665">
        <f t="shared" si="21"/>
        <v>95.765270462229779</v>
      </c>
      <c r="U28" s="665">
        <f t="shared" si="21"/>
        <v>94.857564167694221</v>
      </c>
      <c r="V28" s="665">
        <f t="shared" si="21"/>
        <v>95.718153900036185</v>
      </c>
      <c r="W28" s="665">
        <f t="shared" si="21"/>
        <v>94.692449952329611</v>
      </c>
      <c r="X28" s="665">
        <f t="shared" si="21"/>
        <v>93.3</v>
      </c>
      <c r="Y28" s="665">
        <f t="shared" si="21"/>
        <v>92.8</v>
      </c>
      <c r="Z28" s="665">
        <f t="shared" si="21"/>
        <v>93.4</v>
      </c>
      <c r="AA28" s="665">
        <f t="shared" si="21"/>
        <v>93.6</v>
      </c>
      <c r="AB28" s="665">
        <f t="shared" ref="AB28:AH28" si="22">AB27-AB29</f>
        <v>92.739745381499205</v>
      </c>
      <c r="AC28" s="665">
        <f t="shared" si="22"/>
        <v>92.277008958295937</v>
      </c>
      <c r="AD28" s="665">
        <f t="shared" si="22"/>
        <v>91.53079531049795</v>
      </c>
      <c r="AE28" s="665">
        <f t="shared" si="22"/>
        <v>92.551095179290527</v>
      </c>
      <c r="AF28" s="665">
        <f t="shared" si="22"/>
        <v>90.662879462674738</v>
      </c>
      <c r="AG28" s="665">
        <f t="shared" si="22"/>
        <v>90.853952185537054</v>
      </c>
      <c r="AH28" s="665">
        <f t="shared" si="22"/>
        <v>89.086867778510879</v>
      </c>
      <c r="AI28" s="665">
        <f t="shared" ref="AI28:AN28" si="23">AI27-AI29</f>
        <v>89.469507838758602</v>
      </c>
      <c r="AJ28" s="665">
        <f t="shared" si="23"/>
        <v>88.8</v>
      </c>
      <c r="AK28" s="665">
        <f t="shared" si="23"/>
        <v>88.270123646031038</v>
      </c>
      <c r="AL28" s="665">
        <f t="shared" si="23"/>
        <v>89.267274289309555</v>
      </c>
      <c r="AM28" s="665">
        <f t="shared" si="23"/>
        <v>90.504629133812799</v>
      </c>
      <c r="AN28" s="665">
        <f t="shared" si="23"/>
        <v>89</v>
      </c>
      <c r="AO28" s="665">
        <f t="shared" ref="AO28" si="24">AO27-AO29</f>
        <v>86.8</v>
      </c>
      <c r="AP28" s="665">
        <f>AP27-AP29</f>
        <v>77.7</v>
      </c>
    </row>
    <row r="29" spans="2:42" hidden="1" outlineLevel="1">
      <c r="B29" s="667" t="s">
        <v>1347</v>
      </c>
      <c r="C29" s="665">
        <f t="shared" ref="C29:V29" si="25">C9</f>
        <v>0</v>
      </c>
      <c r="D29" s="665">
        <f t="shared" si="25"/>
        <v>0</v>
      </c>
      <c r="E29" s="665">
        <f t="shared" si="25"/>
        <v>0</v>
      </c>
      <c r="F29" s="665">
        <f t="shared" si="25"/>
        <v>0</v>
      </c>
      <c r="G29" s="665">
        <f t="shared" si="25"/>
        <v>0</v>
      </c>
      <c r="H29" s="665">
        <f t="shared" si="25"/>
        <v>0</v>
      </c>
      <c r="I29" s="665">
        <f t="shared" si="25"/>
        <v>0</v>
      </c>
      <c r="J29" s="665">
        <f t="shared" si="25"/>
        <v>0</v>
      </c>
      <c r="K29" s="665">
        <f t="shared" si="25"/>
        <v>0</v>
      </c>
      <c r="L29" s="665">
        <f t="shared" si="25"/>
        <v>0</v>
      </c>
      <c r="M29" s="665">
        <f t="shared" si="25"/>
        <v>0</v>
      </c>
      <c r="N29" s="665">
        <f t="shared" si="25"/>
        <v>0</v>
      </c>
      <c r="O29" s="665">
        <f t="shared" si="25"/>
        <v>0</v>
      </c>
      <c r="P29" s="665">
        <f t="shared" si="25"/>
        <v>0</v>
      </c>
      <c r="Q29" s="665">
        <f t="shared" si="25"/>
        <v>0</v>
      </c>
      <c r="R29" s="665">
        <f t="shared" si="25"/>
        <v>0</v>
      </c>
      <c r="S29" s="665">
        <f t="shared" si="25"/>
        <v>0</v>
      </c>
      <c r="T29" s="665">
        <f t="shared" si="25"/>
        <v>0</v>
      </c>
      <c r="U29" s="665">
        <f t="shared" si="25"/>
        <v>0</v>
      </c>
      <c r="V29" s="665">
        <f t="shared" si="25"/>
        <v>0</v>
      </c>
      <c r="W29" s="665">
        <f t="shared" ref="W29:Z31" si="26">W9</f>
        <v>0</v>
      </c>
      <c r="X29" s="665">
        <f t="shared" si="26"/>
        <v>0</v>
      </c>
      <c r="Y29" s="665">
        <f t="shared" si="26"/>
        <v>0</v>
      </c>
      <c r="Z29" s="665">
        <f t="shared" si="26"/>
        <v>0</v>
      </c>
      <c r="AA29" s="665">
        <f t="shared" ref="AA29:AH29" si="27">AA9</f>
        <v>0</v>
      </c>
      <c r="AB29" s="665">
        <f t="shared" si="27"/>
        <v>0</v>
      </c>
      <c r="AC29" s="665">
        <f t="shared" si="27"/>
        <v>0</v>
      </c>
      <c r="AD29" s="665">
        <f t="shared" si="27"/>
        <v>0</v>
      </c>
      <c r="AE29" s="665">
        <f t="shared" si="27"/>
        <v>0</v>
      </c>
      <c r="AF29" s="665">
        <f t="shared" si="27"/>
        <v>0</v>
      </c>
      <c r="AG29" s="665">
        <f t="shared" si="27"/>
        <v>0</v>
      </c>
      <c r="AH29" s="665">
        <f t="shared" si="27"/>
        <v>0</v>
      </c>
      <c r="AI29" s="665">
        <f t="shared" ref="AI29:AL31" si="28">AI9</f>
        <v>0</v>
      </c>
      <c r="AJ29" s="665">
        <f t="shared" si="28"/>
        <v>0</v>
      </c>
      <c r="AK29" s="665">
        <f t="shared" si="28"/>
        <v>0</v>
      </c>
      <c r="AL29" s="665">
        <f t="shared" si="28"/>
        <v>0</v>
      </c>
      <c r="AM29" s="665">
        <f t="shared" ref="AM29" si="29">AM9</f>
        <v>0</v>
      </c>
      <c r="AN29" s="665">
        <f t="shared" ref="AN29:AO29" si="30">AN9</f>
        <v>0</v>
      </c>
      <c r="AO29" s="665">
        <f t="shared" si="30"/>
        <v>0</v>
      </c>
      <c r="AP29" s="665">
        <f>AP9</f>
        <v>0</v>
      </c>
    </row>
    <row r="30" spans="2:42" hidden="1" outlineLevel="1">
      <c r="B30" s="66" t="s">
        <v>1348</v>
      </c>
      <c r="C30" s="665">
        <f t="shared" ref="C30:V30" si="31">C10</f>
        <v>25.990195639896069</v>
      </c>
      <c r="D30" s="665">
        <f t="shared" si="31"/>
        <v>24.395153703194065</v>
      </c>
      <c r="E30" s="665">
        <f t="shared" si="31"/>
        <v>27.700000000000017</v>
      </c>
      <c r="F30" s="665">
        <f t="shared" si="31"/>
        <v>36.999999999999993</v>
      </c>
      <c r="G30" s="665">
        <f t="shared" si="31"/>
        <v>51.900000000000013</v>
      </c>
      <c r="H30" s="665">
        <f t="shared" si="31"/>
        <v>56.415450489999984</v>
      </c>
      <c r="I30" s="665">
        <f t="shared" si="31"/>
        <v>59.05868808000001</v>
      </c>
      <c r="J30" s="665">
        <f t="shared" si="31"/>
        <v>63.59999999999998</v>
      </c>
      <c r="K30" s="665">
        <f t="shared" si="31"/>
        <v>71.100000000000009</v>
      </c>
      <c r="L30" s="665">
        <f t="shared" si="31"/>
        <v>61.1</v>
      </c>
      <c r="M30" s="665">
        <f t="shared" si="31"/>
        <v>62.43201336000002</v>
      </c>
      <c r="N30" s="665">
        <f t="shared" si="31"/>
        <v>68.284728079999951</v>
      </c>
      <c r="O30" s="665">
        <f t="shared" si="31"/>
        <v>72.8</v>
      </c>
      <c r="P30" s="858">
        <f>T10/(1+T50)</f>
        <v>64.598773154359137</v>
      </c>
      <c r="Q30" s="858">
        <f>U10/(1+U50)</f>
        <v>54.424619911785719</v>
      </c>
      <c r="R30" s="858">
        <f>V10/(1+V50)</f>
        <v>60.529158468207989</v>
      </c>
      <c r="S30" s="858">
        <f>W10/(1+W50)</f>
        <v>61.756208834183454</v>
      </c>
      <c r="T30" s="665">
        <f t="shared" si="31"/>
        <v>56.814654069999982</v>
      </c>
      <c r="U30" s="665">
        <f t="shared" si="31"/>
        <v>58.350954819999998</v>
      </c>
      <c r="V30" s="665">
        <f t="shared" si="31"/>
        <v>61.223350130000007</v>
      </c>
      <c r="W30" s="665">
        <f t="shared" si="26"/>
        <v>63.065112059999969</v>
      </c>
      <c r="X30" s="665">
        <f t="shared" si="26"/>
        <v>57.117667949999976</v>
      </c>
      <c r="Y30" s="665">
        <f t="shared" si="26"/>
        <v>60.742908499999992</v>
      </c>
      <c r="Z30" s="665">
        <f t="shared" si="26"/>
        <v>59.530961770000033</v>
      </c>
      <c r="AA30" s="665">
        <f t="shared" ref="AA30:AH30" si="32">AA10</f>
        <v>64.792422439999953</v>
      </c>
      <c r="AB30" s="665">
        <f t="shared" si="32"/>
        <v>62.027999999999999</v>
      </c>
      <c r="AC30" s="665">
        <f t="shared" si="32"/>
        <v>57.342000000000006</v>
      </c>
      <c r="AD30" s="665">
        <f t="shared" si="32"/>
        <v>58.277999999999984</v>
      </c>
      <c r="AE30" s="665">
        <f t="shared" si="32"/>
        <v>48.805</v>
      </c>
      <c r="AF30" s="665">
        <f t="shared" si="32"/>
        <v>48.966999999999999</v>
      </c>
      <c r="AG30" s="665">
        <f t="shared" si="32"/>
        <v>48.570000000000007</v>
      </c>
      <c r="AH30" s="665">
        <f t="shared" si="32"/>
        <v>48.346000000000004</v>
      </c>
      <c r="AI30" s="665">
        <f t="shared" si="28"/>
        <v>35.700000000000003</v>
      </c>
      <c r="AJ30" s="665">
        <f t="shared" si="28"/>
        <v>44.160000000000004</v>
      </c>
      <c r="AK30" s="665">
        <f t="shared" si="28"/>
        <v>48.670860909999988</v>
      </c>
      <c r="AL30" s="665">
        <f t="shared" si="28"/>
        <v>48.622492620000024</v>
      </c>
      <c r="AM30" s="665">
        <f t="shared" ref="AM30" si="33">AM10</f>
        <v>51.6</v>
      </c>
      <c r="AN30" s="665">
        <f t="shared" ref="AN30:AO30" si="34">AN10</f>
        <v>47.9</v>
      </c>
      <c r="AO30" s="665">
        <f t="shared" si="34"/>
        <v>45.1</v>
      </c>
      <c r="AP30" s="665">
        <f>AP10</f>
        <v>48.6</v>
      </c>
    </row>
    <row r="31" spans="2:42" hidden="1" outlineLevel="1">
      <c r="B31" s="66" t="s">
        <v>1349</v>
      </c>
      <c r="C31" s="665">
        <f t="shared" ref="C31:V31" si="35">C11</f>
        <v>44.056355217532484</v>
      </c>
      <c r="D31" s="665">
        <f t="shared" si="35"/>
        <v>14.694021029999998</v>
      </c>
      <c r="E31" s="665">
        <f t="shared" si="35"/>
        <v>23.4</v>
      </c>
      <c r="F31" s="665">
        <f t="shared" si="35"/>
        <v>21</v>
      </c>
      <c r="G31" s="665">
        <f t="shared" si="35"/>
        <v>54.1</v>
      </c>
      <c r="H31" s="665">
        <f t="shared" si="35"/>
        <v>19.5</v>
      </c>
      <c r="I31" s="665">
        <f t="shared" si="35"/>
        <v>28.3</v>
      </c>
      <c r="J31" s="665">
        <f t="shared" si="35"/>
        <v>31.1</v>
      </c>
      <c r="K31" s="665">
        <f t="shared" si="35"/>
        <v>73.447223860521575</v>
      </c>
      <c r="L31" s="665">
        <f t="shared" si="35"/>
        <v>21.9</v>
      </c>
      <c r="M31" s="665">
        <f t="shared" si="35"/>
        <v>24.7</v>
      </c>
      <c r="N31" s="665">
        <f t="shared" si="35"/>
        <v>22.2</v>
      </c>
      <c r="O31" s="665">
        <f t="shared" si="35"/>
        <v>86.5</v>
      </c>
      <c r="P31" s="665">
        <f t="shared" si="35"/>
        <v>31.45286661122995</v>
      </c>
      <c r="Q31" s="665">
        <f t="shared" si="35"/>
        <v>45.679408636511994</v>
      </c>
      <c r="R31" s="665">
        <f t="shared" si="35"/>
        <v>47.030824565000003</v>
      </c>
      <c r="S31" s="665">
        <f t="shared" si="35"/>
        <v>34.868673407258044</v>
      </c>
      <c r="T31" s="665">
        <f t="shared" si="35"/>
        <v>34.299999999999997</v>
      </c>
      <c r="U31" s="665">
        <f t="shared" si="35"/>
        <v>32.299999999999997</v>
      </c>
      <c r="V31" s="665">
        <f t="shared" si="35"/>
        <v>41.499999999999993</v>
      </c>
      <c r="W31" s="665">
        <f t="shared" si="26"/>
        <v>53.981875354353804</v>
      </c>
      <c r="X31" s="665">
        <f t="shared" si="26"/>
        <v>30.199999999999996</v>
      </c>
      <c r="Y31" s="665">
        <f t="shared" si="26"/>
        <v>32.200000000000003</v>
      </c>
      <c r="Z31" s="665">
        <f t="shared" si="26"/>
        <v>33.700000000000003</v>
      </c>
      <c r="AA31" s="665">
        <f t="shared" ref="AA31:AH31" si="36">AA11</f>
        <v>53.963011508699992</v>
      </c>
      <c r="AB31" s="665">
        <f t="shared" si="36"/>
        <v>32.471877443399997</v>
      </c>
      <c r="AC31" s="665">
        <f t="shared" si="36"/>
        <v>27.762999999999998</v>
      </c>
      <c r="AD31" s="665">
        <f t="shared" si="36"/>
        <v>32.528000000000006</v>
      </c>
      <c r="AE31" s="665">
        <f t="shared" si="36"/>
        <v>53.439000000000014</v>
      </c>
      <c r="AF31" s="665">
        <f t="shared" si="36"/>
        <v>26.881</v>
      </c>
      <c r="AG31" s="665">
        <f t="shared" si="36"/>
        <v>44.837999999999994</v>
      </c>
      <c r="AH31" s="665">
        <f t="shared" si="36"/>
        <v>53.212000000000003</v>
      </c>
      <c r="AI31" s="665">
        <f t="shared" si="28"/>
        <v>49.94</v>
      </c>
      <c r="AJ31" s="665">
        <f t="shared" si="28"/>
        <v>43.558</v>
      </c>
      <c r="AK31" s="665">
        <f t="shared" si="28"/>
        <v>44.473000000000006</v>
      </c>
      <c r="AL31" s="665">
        <f t="shared" si="28"/>
        <v>41.894999999999982</v>
      </c>
      <c r="AM31" s="665">
        <f t="shared" ref="AM31" si="37">AM11</f>
        <v>57.2</v>
      </c>
      <c r="AN31" s="665">
        <f t="shared" ref="AN31:AO31" si="38">AN11</f>
        <v>46.3</v>
      </c>
      <c r="AO31" s="665">
        <f t="shared" si="38"/>
        <v>52.3</v>
      </c>
      <c r="AP31" s="665">
        <f>AP11</f>
        <v>50</v>
      </c>
    </row>
    <row r="32" spans="2:42" hidden="1" outlineLevel="1">
      <c r="B32" s="66" t="s">
        <v>1239</v>
      </c>
      <c r="C32" s="665"/>
      <c r="D32" s="66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F32" s="665"/>
      <c r="AG32" s="665"/>
      <c r="AH32" s="665"/>
      <c r="AI32" s="665"/>
      <c r="AJ32" s="665"/>
      <c r="AK32" s="665"/>
      <c r="AL32" s="665"/>
      <c r="AM32" s="665"/>
      <c r="AN32" s="665"/>
      <c r="AO32" s="665"/>
      <c r="AP32" s="665"/>
    </row>
    <row r="33" spans="2:42" hidden="1" outlineLevel="1">
      <c r="C33" s="665"/>
      <c r="D33" s="665"/>
      <c r="E33" s="665"/>
      <c r="F33" s="665"/>
      <c r="G33" s="665"/>
      <c r="H33" s="665"/>
      <c r="I33" s="665"/>
      <c r="J33" s="665"/>
      <c r="K33" s="665"/>
      <c r="L33" s="665"/>
      <c r="M33" s="665"/>
      <c r="N33" s="665"/>
      <c r="O33" s="665"/>
      <c r="P33" s="665"/>
      <c r="Q33" s="665"/>
      <c r="R33" s="665"/>
      <c r="S33" s="665"/>
      <c r="T33" s="665"/>
      <c r="U33" s="665"/>
      <c r="V33" s="665"/>
      <c r="W33" s="665"/>
      <c r="X33" s="665"/>
      <c r="Y33" s="665"/>
      <c r="Z33" s="665"/>
      <c r="AA33" s="665"/>
      <c r="AB33" s="665"/>
      <c r="AC33" s="665"/>
      <c r="AD33" s="665"/>
      <c r="AE33" s="665"/>
      <c r="AF33" s="665"/>
      <c r="AG33" s="665"/>
      <c r="AH33" s="665"/>
      <c r="AI33" s="665"/>
      <c r="AJ33" s="665"/>
      <c r="AK33" s="665"/>
      <c r="AL33" s="665"/>
      <c r="AM33" s="665"/>
      <c r="AN33" s="665"/>
      <c r="AO33" s="665"/>
      <c r="AP33" s="665"/>
    </row>
    <row r="34" spans="2:42" hidden="1" outlineLevel="1">
      <c r="B34" s="66" t="s">
        <v>1359</v>
      </c>
      <c r="C34" s="665">
        <f t="shared" ref="C34:V34" si="39">C14</f>
        <v>0</v>
      </c>
      <c r="D34" s="665">
        <f t="shared" si="39"/>
        <v>0</v>
      </c>
      <c r="E34" s="665">
        <f t="shared" si="39"/>
        <v>0</v>
      </c>
      <c r="F34" s="665">
        <f t="shared" si="39"/>
        <v>0</v>
      </c>
      <c r="G34" s="665">
        <f t="shared" si="39"/>
        <v>0</v>
      </c>
      <c r="H34" s="665">
        <f t="shared" si="39"/>
        <v>0</v>
      </c>
      <c r="I34" s="665">
        <f t="shared" si="39"/>
        <v>0</v>
      </c>
      <c r="J34" s="665">
        <f t="shared" si="39"/>
        <v>0</v>
      </c>
      <c r="K34" s="665">
        <f t="shared" si="39"/>
        <v>0</v>
      </c>
      <c r="L34" s="665">
        <f t="shared" si="39"/>
        <v>0</v>
      </c>
      <c r="M34" s="665">
        <f t="shared" si="39"/>
        <v>0</v>
      </c>
      <c r="N34" s="665">
        <f t="shared" si="39"/>
        <v>0</v>
      </c>
      <c r="O34" s="665">
        <f t="shared" si="39"/>
        <v>0</v>
      </c>
      <c r="P34" s="665">
        <f t="shared" si="39"/>
        <v>0</v>
      </c>
      <c r="Q34" s="665">
        <f t="shared" si="39"/>
        <v>0</v>
      </c>
      <c r="R34" s="665">
        <f t="shared" si="39"/>
        <v>0</v>
      </c>
      <c r="S34" s="665">
        <f t="shared" si="39"/>
        <v>0</v>
      </c>
      <c r="T34" s="665">
        <f t="shared" si="39"/>
        <v>0</v>
      </c>
      <c r="U34" s="665">
        <f t="shared" si="39"/>
        <v>0</v>
      </c>
      <c r="V34" s="665">
        <f t="shared" si="39"/>
        <v>0</v>
      </c>
      <c r="W34" s="665">
        <f t="shared" ref="W34:Z36" si="40">W14</f>
        <v>0</v>
      </c>
      <c r="X34" s="665">
        <f t="shared" si="40"/>
        <v>0</v>
      </c>
      <c r="Y34" s="665">
        <f t="shared" si="40"/>
        <v>0</v>
      </c>
      <c r="Z34" s="665">
        <f t="shared" si="40"/>
        <v>0</v>
      </c>
      <c r="AA34" s="665">
        <f t="shared" ref="AA34:AH34" si="41">AA14</f>
        <v>0</v>
      </c>
      <c r="AB34" s="665">
        <f t="shared" si="41"/>
        <v>0</v>
      </c>
      <c r="AC34" s="665">
        <f t="shared" si="41"/>
        <v>0</v>
      </c>
      <c r="AD34" s="665">
        <f t="shared" si="41"/>
        <v>0</v>
      </c>
      <c r="AE34" s="665">
        <f t="shared" si="41"/>
        <v>0</v>
      </c>
      <c r="AF34" s="665">
        <f t="shared" si="41"/>
        <v>0</v>
      </c>
      <c r="AG34" s="665">
        <f t="shared" si="41"/>
        <v>0</v>
      </c>
      <c r="AH34" s="665">
        <f t="shared" si="41"/>
        <v>0</v>
      </c>
      <c r="AI34" s="665">
        <f t="shared" ref="AI34:AL36" si="42">AI14</f>
        <v>0</v>
      </c>
      <c r="AJ34" s="665">
        <f t="shared" si="42"/>
        <v>0</v>
      </c>
      <c r="AK34" s="665">
        <f t="shared" si="42"/>
        <v>0</v>
      </c>
      <c r="AL34" s="665">
        <f t="shared" si="42"/>
        <v>0</v>
      </c>
      <c r="AM34" s="665">
        <f t="shared" ref="AM34" si="43">AM14</f>
        <v>0</v>
      </c>
      <c r="AN34" s="665">
        <f t="shared" ref="AN34:AO34" si="44">AN14</f>
        <v>0</v>
      </c>
      <c r="AO34" s="665">
        <f t="shared" si="44"/>
        <v>0</v>
      </c>
      <c r="AP34" s="665">
        <f>AP14</f>
        <v>0</v>
      </c>
    </row>
    <row r="35" spans="2:42" hidden="1" outlineLevel="1">
      <c r="B35" s="66" t="s">
        <v>1351</v>
      </c>
      <c r="C35" s="665">
        <f t="shared" ref="C35:V35" si="45">C15</f>
        <v>0</v>
      </c>
      <c r="D35" s="665">
        <f t="shared" si="45"/>
        <v>0</v>
      </c>
      <c r="E35" s="665">
        <f t="shared" si="45"/>
        <v>0</v>
      </c>
      <c r="F35" s="665">
        <f t="shared" si="45"/>
        <v>0</v>
      </c>
      <c r="G35" s="665">
        <f t="shared" si="45"/>
        <v>0</v>
      </c>
      <c r="H35" s="665">
        <f t="shared" si="45"/>
        <v>0</v>
      </c>
      <c r="I35" s="665">
        <f t="shared" si="45"/>
        <v>0</v>
      </c>
      <c r="J35" s="665">
        <f t="shared" si="45"/>
        <v>0</v>
      </c>
      <c r="K35" s="665">
        <f t="shared" si="45"/>
        <v>0</v>
      </c>
      <c r="L35" s="665">
        <f t="shared" si="45"/>
        <v>0</v>
      </c>
      <c r="M35" s="665">
        <f t="shared" si="45"/>
        <v>0</v>
      </c>
      <c r="N35" s="665">
        <f t="shared" si="45"/>
        <v>0</v>
      </c>
      <c r="O35" s="665">
        <f t="shared" si="45"/>
        <v>0</v>
      </c>
      <c r="P35" s="665">
        <f t="shared" si="45"/>
        <v>0</v>
      </c>
      <c r="Q35" s="665">
        <f t="shared" si="45"/>
        <v>0</v>
      </c>
      <c r="R35" s="665">
        <f t="shared" si="45"/>
        <v>0</v>
      </c>
      <c r="S35" s="665">
        <f t="shared" si="45"/>
        <v>0</v>
      </c>
      <c r="T35" s="665">
        <f t="shared" si="45"/>
        <v>0</v>
      </c>
      <c r="U35" s="665">
        <f t="shared" si="45"/>
        <v>0</v>
      </c>
      <c r="V35" s="665">
        <f t="shared" si="45"/>
        <v>0</v>
      </c>
      <c r="W35" s="665">
        <f t="shared" si="40"/>
        <v>0</v>
      </c>
      <c r="X35" s="665">
        <f t="shared" si="40"/>
        <v>0</v>
      </c>
      <c r="Y35" s="665">
        <f t="shared" si="40"/>
        <v>0</v>
      </c>
      <c r="Z35" s="665">
        <f t="shared" si="40"/>
        <v>0</v>
      </c>
      <c r="AA35" s="665">
        <f t="shared" ref="AA35:AH35" si="46">AA15</f>
        <v>0</v>
      </c>
      <c r="AB35" s="665">
        <f t="shared" si="46"/>
        <v>0</v>
      </c>
      <c r="AC35" s="665">
        <f t="shared" si="46"/>
        <v>0</v>
      </c>
      <c r="AD35" s="665">
        <f t="shared" si="46"/>
        <v>0</v>
      </c>
      <c r="AE35" s="665">
        <f t="shared" si="46"/>
        <v>0</v>
      </c>
      <c r="AF35" s="665">
        <f t="shared" si="46"/>
        <v>0</v>
      </c>
      <c r="AG35" s="665">
        <f t="shared" si="46"/>
        <v>0</v>
      </c>
      <c r="AH35" s="665">
        <f t="shared" si="46"/>
        <v>0</v>
      </c>
      <c r="AI35" s="665">
        <f t="shared" si="42"/>
        <v>0</v>
      </c>
      <c r="AJ35" s="665">
        <f t="shared" si="42"/>
        <v>0</v>
      </c>
      <c r="AK35" s="665">
        <f t="shared" si="42"/>
        <v>0</v>
      </c>
      <c r="AL35" s="665">
        <f t="shared" si="42"/>
        <v>0</v>
      </c>
      <c r="AM35" s="665">
        <f t="shared" ref="AM35" si="47">AM15</f>
        <v>0</v>
      </c>
      <c r="AN35" s="665">
        <f t="shared" ref="AN35:AO35" si="48">AN15</f>
        <v>0</v>
      </c>
      <c r="AO35" s="665">
        <f t="shared" si="48"/>
        <v>0</v>
      </c>
      <c r="AP35" s="665">
        <f>AP15</f>
        <v>0</v>
      </c>
    </row>
    <row r="36" spans="2:42" hidden="1" outlineLevel="1">
      <c r="B36" s="66" t="s">
        <v>1352</v>
      </c>
      <c r="C36" s="665">
        <f t="shared" ref="C36:V36" si="49">C16</f>
        <v>0</v>
      </c>
      <c r="D36" s="665">
        <f t="shared" si="49"/>
        <v>0</v>
      </c>
      <c r="E36" s="665">
        <f t="shared" si="49"/>
        <v>0</v>
      </c>
      <c r="F36" s="665">
        <f t="shared" si="49"/>
        <v>0</v>
      </c>
      <c r="G36" s="665">
        <f t="shared" si="49"/>
        <v>0</v>
      </c>
      <c r="H36" s="665">
        <f t="shared" si="49"/>
        <v>0</v>
      </c>
      <c r="I36" s="665">
        <f t="shared" si="49"/>
        <v>0</v>
      </c>
      <c r="J36" s="665">
        <f t="shared" si="49"/>
        <v>0</v>
      </c>
      <c r="K36" s="665">
        <f t="shared" si="49"/>
        <v>0</v>
      </c>
      <c r="L36" s="665">
        <f t="shared" si="49"/>
        <v>0</v>
      </c>
      <c r="M36" s="665">
        <f t="shared" si="49"/>
        <v>0</v>
      </c>
      <c r="N36" s="665">
        <f t="shared" si="49"/>
        <v>0</v>
      </c>
      <c r="O36" s="665">
        <f t="shared" si="49"/>
        <v>0</v>
      </c>
      <c r="P36" s="665">
        <f t="shared" si="49"/>
        <v>0</v>
      </c>
      <c r="Q36" s="665">
        <f t="shared" si="49"/>
        <v>0</v>
      </c>
      <c r="R36" s="665">
        <f t="shared" si="49"/>
        <v>0</v>
      </c>
      <c r="S36" s="665">
        <f t="shared" si="49"/>
        <v>0</v>
      </c>
      <c r="T36" s="665">
        <f t="shared" si="49"/>
        <v>0</v>
      </c>
      <c r="U36" s="665">
        <f t="shared" si="49"/>
        <v>0</v>
      </c>
      <c r="V36" s="665">
        <f t="shared" si="49"/>
        <v>0</v>
      </c>
      <c r="W36" s="665">
        <f t="shared" si="40"/>
        <v>0</v>
      </c>
      <c r="X36" s="665">
        <f t="shared" si="40"/>
        <v>0</v>
      </c>
      <c r="Y36" s="665">
        <f t="shared" si="40"/>
        <v>0</v>
      </c>
      <c r="Z36" s="665">
        <f t="shared" si="40"/>
        <v>0</v>
      </c>
      <c r="AA36" s="665">
        <f t="shared" ref="AA36:AH36" si="50">AA16</f>
        <v>0</v>
      </c>
      <c r="AB36" s="665">
        <f t="shared" si="50"/>
        <v>0</v>
      </c>
      <c r="AC36" s="665">
        <f t="shared" si="50"/>
        <v>0</v>
      </c>
      <c r="AD36" s="665">
        <f t="shared" si="50"/>
        <v>0</v>
      </c>
      <c r="AE36" s="665">
        <f t="shared" si="50"/>
        <v>0</v>
      </c>
      <c r="AF36" s="665">
        <f t="shared" si="50"/>
        <v>0</v>
      </c>
      <c r="AG36" s="665">
        <f t="shared" si="50"/>
        <v>0</v>
      </c>
      <c r="AH36" s="665">
        <f t="shared" si="50"/>
        <v>0</v>
      </c>
      <c r="AI36" s="665">
        <f t="shared" si="42"/>
        <v>0</v>
      </c>
      <c r="AJ36" s="665">
        <f t="shared" si="42"/>
        <v>0</v>
      </c>
      <c r="AK36" s="665">
        <f t="shared" si="42"/>
        <v>0</v>
      </c>
      <c r="AL36" s="665">
        <f t="shared" si="42"/>
        <v>0</v>
      </c>
      <c r="AM36" s="665">
        <f t="shared" ref="AM36" si="51">AM16</f>
        <v>0</v>
      </c>
      <c r="AN36" s="665">
        <f t="shared" ref="AN36:AO36" si="52">AN16</f>
        <v>0</v>
      </c>
      <c r="AO36" s="665">
        <f t="shared" si="52"/>
        <v>0</v>
      </c>
      <c r="AP36" s="665">
        <f>AP16</f>
        <v>0</v>
      </c>
    </row>
    <row r="37" spans="2:42" hidden="1" outlineLevel="1">
      <c r="C37" s="665"/>
      <c r="D37" s="665"/>
      <c r="E37" s="665"/>
      <c r="F37" s="665"/>
      <c r="G37" s="665"/>
      <c r="H37" s="665"/>
      <c r="I37" s="665"/>
      <c r="J37" s="665"/>
      <c r="K37" s="665"/>
      <c r="L37" s="665"/>
      <c r="M37" s="665"/>
      <c r="N37" s="665"/>
      <c r="O37" s="665"/>
      <c r="P37" s="665"/>
      <c r="Q37" s="665"/>
      <c r="R37" s="665"/>
      <c r="S37" s="665"/>
      <c r="T37" s="665"/>
      <c r="U37" s="665"/>
      <c r="V37" s="665"/>
      <c r="W37" s="665"/>
      <c r="X37" s="665"/>
      <c r="Y37" s="665"/>
      <c r="Z37" s="665"/>
      <c r="AA37" s="665"/>
      <c r="AB37" s="665"/>
      <c r="AC37" s="665"/>
      <c r="AD37" s="665"/>
      <c r="AE37" s="665"/>
      <c r="AF37" s="665"/>
      <c r="AG37" s="665"/>
      <c r="AH37" s="665"/>
      <c r="AI37" s="665"/>
      <c r="AJ37" s="665"/>
      <c r="AK37" s="665"/>
      <c r="AL37" s="665"/>
      <c r="AM37" s="665"/>
      <c r="AN37" s="665"/>
      <c r="AO37" s="665"/>
      <c r="AP37" s="665"/>
    </row>
    <row r="38" spans="2:42" hidden="1" outlineLevel="1">
      <c r="B38" s="66" t="s">
        <v>1353</v>
      </c>
      <c r="C38" s="672">
        <v>85</v>
      </c>
      <c r="D38" s="672">
        <v>93.5</v>
      </c>
      <c r="E38" s="672">
        <v>97.9</v>
      </c>
      <c r="F38" s="672">
        <v>98.1</v>
      </c>
      <c r="G38" s="672">
        <v>100</v>
      </c>
      <c r="H38" s="665">
        <f t="shared" ref="H38:V38" si="53">H18</f>
        <v>98.199999999999989</v>
      </c>
      <c r="I38" s="665">
        <f t="shared" si="53"/>
        <v>98</v>
      </c>
      <c r="J38" s="665">
        <f t="shared" si="53"/>
        <v>98.300000000000011</v>
      </c>
      <c r="K38" s="665">
        <f t="shared" si="53"/>
        <v>98.3</v>
      </c>
      <c r="L38" s="665">
        <f t="shared" si="53"/>
        <v>95.9</v>
      </c>
      <c r="M38" s="665">
        <f t="shared" si="53"/>
        <v>103.953681402154</v>
      </c>
      <c r="N38" s="665">
        <f t="shared" si="53"/>
        <v>102.53514853327239</v>
      </c>
      <c r="O38" s="665">
        <f t="shared" si="53"/>
        <v>99.1</v>
      </c>
      <c r="P38" s="665">
        <f t="shared" si="53"/>
        <v>100.1</v>
      </c>
      <c r="Q38" s="665">
        <f t="shared" si="53"/>
        <v>96.008833982365331</v>
      </c>
      <c r="R38" s="665">
        <f t="shared" si="53"/>
        <v>96.76981597362834</v>
      </c>
      <c r="S38" s="665">
        <f t="shared" si="53"/>
        <v>96.458991586006675</v>
      </c>
      <c r="T38" s="665">
        <f t="shared" si="53"/>
        <v>95.765270462229779</v>
      </c>
      <c r="U38" s="665">
        <f t="shared" si="53"/>
        <v>94.857564167694221</v>
      </c>
      <c r="V38" s="665">
        <f t="shared" si="53"/>
        <v>95.718153900036185</v>
      </c>
      <c r="W38" s="665">
        <f t="shared" ref="W38:Z42" si="54">W18</f>
        <v>94.692449952329611</v>
      </c>
      <c r="X38" s="665">
        <f t="shared" si="54"/>
        <v>93.3</v>
      </c>
      <c r="Y38" s="665">
        <f t="shared" si="54"/>
        <v>92.8</v>
      </c>
      <c r="Z38" s="665">
        <f t="shared" si="54"/>
        <v>93.4</v>
      </c>
      <c r="AA38" s="665">
        <f t="shared" ref="AA38:AH38" si="55">AA18</f>
        <v>93.6</v>
      </c>
      <c r="AB38" s="665">
        <f t="shared" si="55"/>
        <v>92.739745381499205</v>
      </c>
      <c r="AC38" s="665">
        <f t="shared" si="55"/>
        <v>92.277008958295937</v>
      </c>
      <c r="AD38" s="665">
        <f t="shared" si="55"/>
        <v>91.53079531049795</v>
      </c>
      <c r="AE38" s="665">
        <f t="shared" si="55"/>
        <v>92.551095179290527</v>
      </c>
      <c r="AF38" s="665">
        <f t="shared" si="55"/>
        <v>90.662879462674738</v>
      </c>
      <c r="AG38" s="665">
        <f t="shared" si="55"/>
        <v>90.853952185537054</v>
      </c>
      <c r="AH38" s="665">
        <f t="shared" si="55"/>
        <v>89.086867778510879</v>
      </c>
      <c r="AI38" s="665">
        <f t="shared" ref="AI38:AL42" si="56">AI18</f>
        <v>89.469507838758602</v>
      </c>
      <c r="AJ38" s="665">
        <f t="shared" si="56"/>
        <v>88.8</v>
      </c>
      <c r="AK38" s="665">
        <f t="shared" si="56"/>
        <v>88.270123646031038</v>
      </c>
      <c r="AL38" s="665">
        <f t="shared" si="56"/>
        <v>89.267274289309555</v>
      </c>
      <c r="AM38" s="665">
        <f t="shared" ref="AM38" si="57">AM18</f>
        <v>90.504629133812799</v>
      </c>
      <c r="AN38" s="665">
        <f t="shared" ref="AN38:AO38" si="58">AN18</f>
        <v>89</v>
      </c>
      <c r="AO38" s="665">
        <f t="shared" si="58"/>
        <v>86.8</v>
      </c>
      <c r="AP38" s="665">
        <f>AP18</f>
        <v>77.7</v>
      </c>
    </row>
    <row r="39" spans="2:42" hidden="1" outlineLevel="1">
      <c r="B39" s="66" t="s">
        <v>1354</v>
      </c>
      <c r="C39" s="665">
        <f t="shared" ref="C39:V39" si="59">C19</f>
        <v>202.00899999999999</v>
      </c>
      <c r="D39" s="665">
        <f t="shared" si="59"/>
        <v>208</v>
      </c>
      <c r="E39" s="672">
        <f>F39-10</f>
        <v>442</v>
      </c>
      <c r="F39" s="672">
        <f>G39-10</f>
        <v>452</v>
      </c>
      <c r="G39" s="665">
        <f t="shared" si="59"/>
        <v>462</v>
      </c>
      <c r="H39" s="665">
        <f t="shared" si="59"/>
        <v>475</v>
      </c>
      <c r="I39" s="665">
        <f t="shared" si="59"/>
        <v>485</v>
      </c>
      <c r="J39" s="665">
        <f t="shared" si="59"/>
        <v>500</v>
      </c>
      <c r="K39" s="665">
        <f t="shared" si="59"/>
        <v>520</v>
      </c>
      <c r="L39" s="665">
        <f t="shared" si="59"/>
        <v>535</v>
      </c>
      <c r="M39" s="665">
        <f t="shared" si="59"/>
        <v>549</v>
      </c>
      <c r="N39" s="665">
        <f t="shared" si="59"/>
        <v>564.40899999999999</v>
      </c>
      <c r="O39" s="665">
        <f t="shared" si="59"/>
        <v>578</v>
      </c>
      <c r="P39" s="665">
        <f t="shared" si="59"/>
        <v>575</v>
      </c>
      <c r="Q39" s="665">
        <f t="shared" si="59"/>
        <v>571.37400000000002</v>
      </c>
      <c r="R39" s="665">
        <f t="shared" si="59"/>
        <v>570.51900000000001</v>
      </c>
      <c r="S39" s="665">
        <f t="shared" si="59"/>
        <v>573.98599999999999</v>
      </c>
      <c r="T39" s="665">
        <f t="shared" si="59"/>
        <v>575</v>
      </c>
      <c r="U39" s="665">
        <f t="shared" si="59"/>
        <v>577</v>
      </c>
      <c r="V39" s="665">
        <f t="shared" si="59"/>
        <v>578.61779630620003</v>
      </c>
      <c r="W39" s="665">
        <f t="shared" si="54"/>
        <v>584.0044633898998</v>
      </c>
      <c r="X39" s="665">
        <f t="shared" si="54"/>
        <v>585.14854124499971</v>
      </c>
      <c r="Y39" s="665">
        <f t="shared" si="54"/>
        <v>589.30354124499979</v>
      </c>
      <c r="Z39" s="665">
        <f t="shared" si="54"/>
        <v>596.76599999999996</v>
      </c>
      <c r="AA39" s="665">
        <f t="shared" ref="AA39:AH39" si="60">AA19</f>
        <v>601.65100010000003</v>
      </c>
      <c r="AB39" s="665">
        <f t="shared" si="60"/>
        <v>609.71700010000006</v>
      </c>
      <c r="AC39" s="665">
        <f t="shared" si="60"/>
        <v>615.53300010000009</v>
      </c>
      <c r="AD39" s="665">
        <f t="shared" si="60"/>
        <v>620</v>
      </c>
      <c r="AE39" s="665">
        <f t="shared" si="60"/>
        <v>629</v>
      </c>
      <c r="AF39" s="665">
        <f t="shared" si="60"/>
        <v>633</v>
      </c>
      <c r="AG39" s="665">
        <f t="shared" si="60"/>
        <v>640</v>
      </c>
      <c r="AH39" s="665">
        <f t="shared" si="60"/>
        <v>646</v>
      </c>
      <c r="AI39" s="665">
        <f t="shared" ca="1" si="56"/>
        <v>659</v>
      </c>
      <c r="AJ39" s="665">
        <f t="shared" si="56"/>
        <v>671</v>
      </c>
      <c r="AK39" s="665">
        <f t="shared" si="56"/>
        <v>683.00800020000008</v>
      </c>
      <c r="AL39" s="665">
        <f t="shared" si="56"/>
        <v>693.04700019999996</v>
      </c>
      <c r="AM39" s="665">
        <f t="shared" ref="AM39" si="61">AM19</f>
        <v>718.20100020000007</v>
      </c>
      <c r="AN39" s="665">
        <f t="shared" ref="AN39:AO39" si="62">AN19</f>
        <v>732.73200000000008</v>
      </c>
      <c r="AO39" s="665">
        <f t="shared" si="62"/>
        <v>706</v>
      </c>
      <c r="AP39" s="665">
        <f>AP19</f>
        <v>728</v>
      </c>
    </row>
    <row r="40" spans="2:42" hidden="1" outlineLevel="1">
      <c r="B40" s="66" t="s">
        <v>1355</v>
      </c>
      <c r="C40" s="665">
        <f t="shared" ref="C40:V40" si="63">C20</f>
        <v>169.953</v>
      </c>
      <c r="D40" s="665">
        <f t="shared" si="63"/>
        <v>175</v>
      </c>
      <c r="E40" s="672">
        <f>F40-10</f>
        <v>407</v>
      </c>
      <c r="F40" s="672">
        <f>G40-10</f>
        <v>417</v>
      </c>
      <c r="G40" s="665">
        <f t="shared" si="63"/>
        <v>427</v>
      </c>
      <c r="H40" s="665">
        <f t="shared" si="63"/>
        <v>441</v>
      </c>
      <c r="I40" s="665">
        <f t="shared" si="63"/>
        <v>452</v>
      </c>
      <c r="J40" s="665">
        <f t="shared" si="63"/>
        <v>463</v>
      </c>
      <c r="K40" s="665">
        <f t="shared" si="63"/>
        <v>495</v>
      </c>
      <c r="L40" s="665">
        <f t="shared" si="63"/>
        <v>513</v>
      </c>
      <c r="M40" s="665">
        <f t="shared" si="63"/>
        <v>528</v>
      </c>
      <c r="N40" s="665">
        <f t="shared" si="63"/>
        <v>544.74</v>
      </c>
      <c r="O40" s="665">
        <f t="shared" si="63"/>
        <v>555</v>
      </c>
      <c r="P40" s="665">
        <f t="shared" si="63"/>
        <v>547</v>
      </c>
      <c r="Q40" s="665">
        <f t="shared" si="63"/>
        <v>538.86900000000003</v>
      </c>
      <c r="R40" s="665">
        <f t="shared" si="63"/>
        <v>447.87900000000002</v>
      </c>
      <c r="S40" s="665">
        <f t="shared" si="63"/>
        <v>439.07600000000002</v>
      </c>
      <c r="T40" s="665">
        <f t="shared" si="63"/>
        <v>435</v>
      </c>
      <c r="U40" s="665">
        <f t="shared" si="63"/>
        <v>431</v>
      </c>
      <c r="V40" s="665">
        <f t="shared" si="63"/>
        <v>429.26299999999998</v>
      </c>
      <c r="W40" s="665">
        <f t="shared" si="54"/>
        <v>432.35300000000001</v>
      </c>
      <c r="X40" s="665">
        <f t="shared" si="54"/>
        <v>430.45699999999999</v>
      </c>
      <c r="Y40" s="665">
        <f t="shared" si="54"/>
        <v>433.18</v>
      </c>
      <c r="Z40" s="665">
        <f t="shared" si="54"/>
        <v>437.435</v>
      </c>
      <c r="AA40" s="665">
        <f t="shared" ref="AA40:AH40" si="64">AA20</f>
        <v>439.33199999999999</v>
      </c>
      <c r="AB40" s="665">
        <f t="shared" si="64"/>
        <v>444.46800000000002</v>
      </c>
      <c r="AC40" s="665">
        <f t="shared" si="64"/>
        <v>448.06</v>
      </c>
      <c r="AD40" s="665">
        <f t="shared" si="64"/>
        <v>452</v>
      </c>
      <c r="AE40" s="665">
        <f t="shared" si="64"/>
        <v>454</v>
      </c>
      <c r="AF40" s="665">
        <f t="shared" si="64"/>
        <v>455</v>
      </c>
      <c r="AG40" s="665">
        <f t="shared" si="64"/>
        <v>458</v>
      </c>
      <c r="AH40" s="665">
        <f t="shared" si="64"/>
        <v>462</v>
      </c>
      <c r="AI40" s="665">
        <f t="shared" ca="1" si="56"/>
        <v>475</v>
      </c>
      <c r="AJ40" s="665">
        <f t="shared" si="56"/>
        <v>485</v>
      </c>
      <c r="AK40" s="665">
        <f t="shared" si="56"/>
        <v>491.66800000000001</v>
      </c>
      <c r="AL40" s="665">
        <f t="shared" si="56"/>
        <v>504.01</v>
      </c>
      <c r="AM40" s="665">
        <f t="shared" ref="AM40" si="65">AM20</f>
        <v>532.15499999999997</v>
      </c>
      <c r="AN40" s="665">
        <f t="shared" ref="AN40:AO40" si="66">AN20</f>
        <v>550</v>
      </c>
      <c r="AO40" s="665">
        <f t="shared" si="66"/>
        <v>570</v>
      </c>
      <c r="AP40" s="665">
        <f>AP20</f>
        <v>584</v>
      </c>
    </row>
    <row r="41" spans="2:42" hidden="1" outlineLevel="1">
      <c r="B41" s="66" t="s">
        <v>1356</v>
      </c>
      <c r="C41" s="665">
        <f t="shared" ref="C41:V41" si="67">C21</f>
        <v>1471.1143987866185</v>
      </c>
      <c r="D41" s="665">
        <f t="shared" si="67"/>
        <v>1293</v>
      </c>
      <c r="E41" s="672">
        <f>F41+10</f>
        <v>2478</v>
      </c>
      <c r="F41" s="672">
        <f>G41+10</f>
        <v>2468</v>
      </c>
      <c r="G41" s="665">
        <f t="shared" si="67"/>
        <v>2458</v>
      </c>
      <c r="H41" s="665">
        <f t="shared" si="67"/>
        <v>2451</v>
      </c>
      <c r="I41" s="665">
        <f t="shared" si="67"/>
        <v>2443</v>
      </c>
      <c r="J41" s="665">
        <f t="shared" si="67"/>
        <v>2437</v>
      </c>
      <c r="K41" s="665">
        <f t="shared" si="67"/>
        <v>2434</v>
      </c>
      <c r="L41" s="665">
        <f t="shared" si="67"/>
        <v>2398</v>
      </c>
      <c r="M41" s="665">
        <f t="shared" si="67"/>
        <v>2392</v>
      </c>
      <c r="N41" s="665">
        <f t="shared" si="67"/>
        <v>2379.7179999999998</v>
      </c>
      <c r="O41" s="665">
        <f t="shared" si="67"/>
        <v>2367</v>
      </c>
      <c r="P41" s="665">
        <f t="shared" si="67"/>
        <v>2309</v>
      </c>
      <c r="Q41" s="665">
        <f t="shared" si="67"/>
        <v>2308.2979999999998</v>
      </c>
      <c r="R41" s="665">
        <f t="shared" si="67"/>
        <v>2277.605</v>
      </c>
      <c r="S41" s="665">
        <f t="shared" si="67"/>
        <v>2261.88</v>
      </c>
      <c r="T41" s="665">
        <f t="shared" si="67"/>
        <v>2269</v>
      </c>
      <c r="U41" s="665">
        <f t="shared" si="67"/>
        <v>2258</v>
      </c>
      <c r="V41" s="665">
        <f t="shared" si="67"/>
        <v>2234</v>
      </c>
      <c r="W41" s="665">
        <f t="shared" si="54"/>
        <v>2218.0740000000001</v>
      </c>
      <c r="X41" s="665">
        <f t="shared" si="54"/>
        <v>2184.1990000000001</v>
      </c>
      <c r="Y41" s="665">
        <f t="shared" si="54"/>
        <v>2167.5250000000001</v>
      </c>
      <c r="Z41" s="665">
        <f t="shared" si="54"/>
        <v>2152.395</v>
      </c>
      <c r="AA41" s="665">
        <f t="shared" ref="AA41:AH41" si="68">AA21</f>
        <v>2137.2359999999999</v>
      </c>
      <c r="AB41" s="665">
        <f t="shared" si="68"/>
        <v>2123.047</v>
      </c>
      <c r="AC41" s="665">
        <f t="shared" si="68"/>
        <v>2100.663</v>
      </c>
      <c r="AD41" s="665">
        <f t="shared" si="68"/>
        <v>2079</v>
      </c>
      <c r="AE41" s="665">
        <f t="shared" si="68"/>
        <v>2034</v>
      </c>
      <c r="AF41" s="665">
        <f t="shared" si="68"/>
        <v>2011</v>
      </c>
      <c r="AG41" s="665">
        <f t="shared" si="68"/>
        <v>1993</v>
      </c>
      <c r="AH41" s="665">
        <f t="shared" si="68"/>
        <v>1942</v>
      </c>
      <c r="AI41" s="665">
        <f t="shared" ca="1" si="56"/>
        <v>1902</v>
      </c>
      <c r="AJ41" s="665">
        <f t="shared" si="56"/>
        <v>1903</v>
      </c>
      <c r="AK41" s="665">
        <f t="shared" si="56"/>
        <v>1878.232</v>
      </c>
      <c r="AL41" s="665">
        <f t="shared" si="56"/>
        <v>1871.3019999999999</v>
      </c>
      <c r="AM41" s="665">
        <f t="shared" ref="AM41" si="69">AM21</f>
        <v>1789.5409999999999</v>
      </c>
      <c r="AN41" s="665">
        <f t="shared" ref="AN41:AO41" si="70">AN21</f>
        <v>1788</v>
      </c>
      <c r="AO41" s="665">
        <f t="shared" si="70"/>
        <v>1106</v>
      </c>
      <c r="AP41" s="665">
        <f>AP21</f>
        <v>1116</v>
      </c>
    </row>
    <row r="42" spans="2:42" hidden="1" outlineLevel="1">
      <c r="B42" s="66" t="s">
        <v>1357</v>
      </c>
      <c r="C42" s="665">
        <f t="shared" ref="C42:V42" si="71">C22</f>
        <v>0</v>
      </c>
      <c r="D42" s="665">
        <f t="shared" si="71"/>
        <v>0</v>
      </c>
      <c r="E42" s="665">
        <f t="shared" si="71"/>
        <v>0</v>
      </c>
      <c r="F42" s="665">
        <f t="shared" si="71"/>
        <v>0</v>
      </c>
      <c r="G42" s="665">
        <f t="shared" si="71"/>
        <v>0</v>
      </c>
      <c r="H42" s="665">
        <f t="shared" si="71"/>
        <v>0</v>
      </c>
      <c r="I42" s="665">
        <f t="shared" si="71"/>
        <v>0</v>
      </c>
      <c r="J42" s="665">
        <f t="shared" si="71"/>
        <v>0</v>
      </c>
      <c r="K42" s="665">
        <f t="shared" si="71"/>
        <v>0</v>
      </c>
      <c r="L42" s="665">
        <f t="shared" si="71"/>
        <v>0</v>
      </c>
      <c r="M42" s="665">
        <f t="shared" si="71"/>
        <v>0</v>
      </c>
      <c r="N42" s="665">
        <f t="shared" si="71"/>
        <v>0</v>
      </c>
      <c r="O42" s="665">
        <f t="shared" si="71"/>
        <v>0</v>
      </c>
      <c r="P42" s="665">
        <f t="shared" si="71"/>
        <v>0</v>
      </c>
      <c r="Q42" s="665">
        <f t="shared" si="71"/>
        <v>0</v>
      </c>
      <c r="R42" s="665">
        <f t="shared" si="71"/>
        <v>0</v>
      </c>
      <c r="S42" s="665">
        <f t="shared" si="71"/>
        <v>0</v>
      </c>
      <c r="T42" s="665">
        <f t="shared" si="71"/>
        <v>0</v>
      </c>
      <c r="U42" s="665">
        <f t="shared" si="71"/>
        <v>0</v>
      </c>
      <c r="V42" s="665">
        <f t="shared" si="71"/>
        <v>0</v>
      </c>
      <c r="W42" s="665">
        <f t="shared" si="54"/>
        <v>0</v>
      </c>
      <c r="X42" s="665">
        <f t="shared" si="54"/>
        <v>0</v>
      </c>
      <c r="Y42" s="665">
        <f t="shared" si="54"/>
        <v>0</v>
      </c>
      <c r="Z42" s="665">
        <f t="shared" si="54"/>
        <v>0</v>
      </c>
      <c r="AA42" s="665">
        <f t="shared" ref="AA42:AH42" si="72">AA22</f>
        <v>0</v>
      </c>
      <c r="AB42" s="665">
        <f t="shared" si="72"/>
        <v>0</v>
      </c>
      <c r="AC42" s="665">
        <f t="shared" si="72"/>
        <v>0</v>
      </c>
      <c r="AD42" s="665">
        <f t="shared" si="72"/>
        <v>0</v>
      </c>
      <c r="AE42" s="665">
        <f t="shared" si="72"/>
        <v>0</v>
      </c>
      <c r="AF42" s="665">
        <f t="shared" si="72"/>
        <v>0</v>
      </c>
      <c r="AG42" s="665">
        <f t="shared" si="72"/>
        <v>0</v>
      </c>
      <c r="AH42" s="665">
        <f t="shared" si="72"/>
        <v>0</v>
      </c>
      <c r="AI42" s="665">
        <f t="shared" si="56"/>
        <v>0</v>
      </c>
      <c r="AJ42" s="665">
        <f t="shared" si="56"/>
        <v>0</v>
      </c>
      <c r="AK42" s="665">
        <f t="shared" si="56"/>
        <v>0</v>
      </c>
      <c r="AL42" s="665">
        <f t="shared" si="56"/>
        <v>0</v>
      </c>
      <c r="AM42" s="665">
        <f t="shared" ref="AM42" si="73">AM22</f>
        <v>0</v>
      </c>
      <c r="AN42" s="665">
        <f t="shared" ref="AN42:AO42" si="74">AN22</f>
        <v>0</v>
      </c>
      <c r="AO42" s="665">
        <f t="shared" si="74"/>
        <v>0</v>
      </c>
      <c r="AP42" s="665">
        <f>AP22</f>
        <v>0</v>
      </c>
    </row>
    <row r="43" spans="2:42" hidden="1" outlineLevel="1">
      <c r="C43" s="665"/>
      <c r="D43" s="665"/>
      <c r="E43" s="665"/>
      <c r="F43" s="665"/>
      <c r="G43" s="665"/>
      <c r="H43" s="665"/>
      <c r="I43" s="665"/>
      <c r="J43" s="665"/>
      <c r="K43" s="665"/>
      <c r="L43" s="665"/>
      <c r="M43" s="665"/>
      <c r="N43" s="665"/>
      <c r="O43" s="665"/>
      <c r="P43" s="665"/>
      <c r="Q43" s="665"/>
      <c r="R43" s="665"/>
      <c r="S43" s="665"/>
      <c r="T43" s="665"/>
      <c r="U43" s="665"/>
      <c r="V43" s="665"/>
      <c r="W43" s="665"/>
      <c r="X43" s="665"/>
      <c r="Y43" s="665"/>
      <c r="Z43" s="665"/>
      <c r="AA43" s="665"/>
    </row>
    <row r="44" spans="2:42" collapsed="1">
      <c r="B44" s="670" t="s">
        <v>1360</v>
      </c>
      <c r="C44" s="665"/>
      <c r="D44" s="665"/>
      <c r="E44" s="665"/>
      <c r="F44" s="665"/>
      <c r="G44" s="669"/>
      <c r="H44" s="669"/>
      <c r="I44" s="669"/>
      <c r="J44" s="669"/>
      <c r="K44" s="669"/>
      <c r="L44" s="669"/>
      <c r="M44" s="669"/>
      <c r="N44" s="669"/>
      <c r="O44" s="669"/>
      <c r="P44" s="669"/>
      <c r="Q44" s="669"/>
      <c r="R44" s="669"/>
      <c r="S44" s="669"/>
      <c r="T44" s="669"/>
      <c r="U44" s="669"/>
      <c r="V44" s="669"/>
      <c r="W44" s="669"/>
      <c r="X44" s="669"/>
      <c r="Y44" s="669"/>
      <c r="Z44" s="669"/>
      <c r="AA44" s="669"/>
    </row>
    <row r="45" spans="2:42">
      <c r="B45" s="66" t="s">
        <v>7</v>
      </c>
      <c r="C45" s="669"/>
      <c r="D45" s="669"/>
      <c r="E45" s="669"/>
      <c r="F45" s="669"/>
      <c r="G45" s="669">
        <f>IFERROR(G5/C25-1, "")</f>
        <v>-1.0309278350515427E-3</v>
      </c>
      <c r="H45" s="669">
        <f t="shared" ref="H45:AA45" si="75">IFERROR(H5/D25-1, "")</f>
        <v>5.0332111363234011E-2</v>
      </c>
      <c r="I45" s="669">
        <f t="shared" si="75"/>
        <v>4.2905927712113101E-2</v>
      </c>
      <c r="J45" s="669">
        <f t="shared" si="75"/>
        <v>3.0391544446570329E-2</v>
      </c>
      <c r="K45" s="669">
        <f t="shared" si="75"/>
        <v>3.0431447440003367E-2</v>
      </c>
      <c r="L45" s="669">
        <f t="shared" si="75"/>
        <v>4.2204995693367886E-2</v>
      </c>
      <c r="M45" s="669">
        <f t="shared" si="75"/>
        <v>3.7276733778148552E-2</v>
      </c>
      <c r="N45" s="669">
        <f t="shared" si="75"/>
        <v>4.285043045685244E-2</v>
      </c>
      <c r="O45" s="669">
        <f t="shared" si="75"/>
        <v>3.3037872683319813E-2</v>
      </c>
      <c r="P45" s="669">
        <f t="shared" si="75"/>
        <v>1.9834710743801498E-2</v>
      </c>
      <c r="Q45" s="669">
        <f t="shared" si="75"/>
        <v>-6.2523019202470498E-2</v>
      </c>
      <c r="R45" s="669">
        <f t="shared" si="75"/>
        <v>3.6201427284768384E-2</v>
      </c>
      <c r="S45" s="669">
        <f t="shared" si="75"/>
        <v>-1.2255330811232312E-2</v>
      </c>
      <c r="T45" s="669">
        <f t="shared" si="75"/>
        <v>-2.6414442463533305E-2</v>
      </c>
      <c r="U45" s="669">
        <f t="shared" si="75"/>
        <v>8.3562914171322333E-2</v>
      </c>
      <c r="V45" s="669">
        <f t="shared" si="75"/>
        <v>-3.5301794609988946E-2</v>
      </c>
      <c r="W45" s="669">
        <f t="shared" si="75"/>
        <v>2.432877402255218E-2</v>
      </c>
      <c r="X45" s="669">
        <f t="shared" si="75"/>
        <v>-1.3654499325538527E-2</v>
      </c>
      <c r="Y45" s="669">
        <f t="shared" si="75"/>
        <v>-5.0946668472903411E-2</v>
      </c>
      <c r="Z45" s="669">
        <f t="shared" si="75"/>
        <v>-3.8292080750401802E-2</v>
      </c>
      <c r="AA45" s="669">
        <f t="shared" si="75"/>
        <v>-5.0956845865460565E-2</v>
      </c>
      <c r="AB45" s="669">
        <f t="shared" ref="AB45:AB51" si="76">IFERROR(AB5/X25-1, "")</f>
        <v>1.5336778565401055E-2</v>
      </c>
      <c r="AC45" s="669">
        <f t="shared" ref="AC45:AC51" si="77">IFERROR(AC5/Y25-1, "")</f>
        <v>-2.5032414261884739E-2</v>
      </c>
      <c r="AD45" s="669">
        <f t="shared" ref="AD45:AD51" si="78">IFERROR(AD5/Z25-1, "")</f>
        <v>-3.2704725654008504E-2</v>
      </c>
      <c r="AE45" s="669">
        <f t="shared" ref="AE45:AE51" si="79">IFERROR(AE5/AA25-1, "")</f>
        <v>-9.8268470755483395E-2</v>
      </c>
      <c r="AF45" s="669">
        <f t="shared" ref="AF45:AF51" si="80">IFERROR(AF5/AB25-1, "")</f>
        <v>-7.3706865849671788E-2</v>
      </c>
      <c r="AG45" s="669">
        <f t="shared" ref="AG45:AG51" si="81">IFERROR(AG5/AC25-1, "")</f>
        <v>-3.6907188030017024E-2</v>
      </c>
      <c r="AH45" s="669">
        <f t="shared" ref="AH45:AO51" si="82">IFERROR(AH5/AD25-1, "")</f>
        <v>-3.6632063441535467E-2</v>
      </c>
      <c r="AI45" s="669">
        <f t="shared" si="82"/>
        <v>9.6761938549014825E-3</v>
      </c>
      <c r="AJ45" s="669">
        <f t="shared" si="82"/>
        <v>-5.8249790305181515E-3</v>
      </c>
      <c r="AK45" s="669">
        <f t="shared" si="82"/>
        <v>-1.9321387471649021E-2</v>
      </c>
      <c r="AL45" s="669">
        <f t="shared" si="82"/>
        <v>8.6550913001939289E-3</v>
      </c>
      <c r="AM45" s="669">
        <f t="shared" si="82"/>
        <v>6.5970035029573326E-2</v>
      </c>
      <c r="AN45" s="669">
        <f t="shared" si="82"/>
        <v>1.3537906137184086E-2</v>
      </c>
      <c r="AO45" s="669">
        <f t="shared" si="82"/>
        <v>-8.0891916113379203E-5</v>
      </c>
      <c r="AP45" s="669">
        <f t="shared" ref="AP45:AP51" si="83">IFERROR(AP5/AL25-1, "")</f>
        <v>-8.0635632481512509E-2</v>
      </c>
    </row>
    <row r="46" spans="2:42">
      <c r="B46" s="66" t="s">
        <v>1344</v>
      </c>
      <c r="C46" s="669"/>
      <c r="D46" s="669"/>
      <c r="E46" s="669"/>
      <c r="F46" s="669"/>
      <c r="G46" s="669">
        <f t="shared" ref="G46:AA46" si="84">IFERROR(G6/C26-1, "")</f>
        <v>-1.6666666666665719E-2</v>
      </c>
      <c r="H46" s="669">
        <f t="shared" si="84"/>
        <v>5.0687373561771221E-2</v>
      </c>
      <c r="I46" s="669">
        <f t="shared" si="84"/>
        <v>0.28316117867158797</v>
      </c>
      <c r="J46" s="669">
        <f t="shared" si="84"/>
        <v>0.19780848455502809</v>
      </c>
      <c r="K46" s="669">
        <f t="shared" si="84"/>
        <v>0.26254044209081373</v>
      </c>
      <c r="L46" s="669">
        <f t="shared" si="84"/>
        <v>0.40223463687150751</v>
      </c>
      <c r="M46" s="669">
        <f t="shared" si="84"/>
        <v>-6.7771736171415298E-2</v>
      </c>
      <c r="N46" s="669">
        <f t="shared" si="84"/>
        <v>4.1697102850632106E-2</v>
      </c>
      <c r="O46" s="669">
        <f t="shared" si="84"/>
        <v>0.12790697674418605</v>
      </c>
      <c r="P46" s="669">
        <f t="shared" si="84"/>
        <v>-7.1713147410358502E-2</v>
      </c>
      <c r="Q46" s="669">
        <f t="shared" si="84"/>
        <v>8.2726132820920562E-3</v>
      </c>
      <c r="R46" s="669">
        <f t="shared" si="84"/>
        <v>0.49338210080530165</v>
      </c>
      <c r="S46" s="669">
        <f t="shared" si="84"/>
        <v>3.6765464054753672E-2</v>
      </c>
      <c r="T46" s="669">
        <f t="shared" si="84"/>
        <v>4.6145379303442091E-2</v>
      </c>
      <c r="U46" s="669">
        <f t="shared" si="84"/>
        <v>0.52923624363442334</v>
      </c>
      <c r="V46" s="669">
        <f t="shared" si="84"/>
        <v>-0.11168032359770896</v>
      </c>
      <c r="W46" s="669">
        <f t="shared" si="84"/>
        <v>0.16066578708183177</v>
      </c>
      <c r="X46" s="669">
        <f t="shared" si="84"/>
        <v>3.3838208125346991E-2</v>
      </c>
      <c r="Y46" s="669">
        <f t="shared" si="84"/>
        <v>-0.13910466087952145</v>
      </c>
      <c r="Z46" s="669">
        <f t="shared" si="84"/>
        <v>-8.7277061875733808E-2</v>
      </c>
      <c r="AA46" s="669">
        <f t="shared" si="84"/>
        <v>-0.15755545561522322</v>
      </c>
      <c r="AB46" s="669">
        <f t="shared" si="76"/>
        <v>9.4351701527810139E-2</v>
      </c>
      <c r="AC46" s="669">
        <f t="shared" si="77"/>
        <v>-9.1453705841178068E-2</v>
      </c>
      <c r="AD46" s="669">
        <f t="shared" si="78"/>
        <v>-7.9932482091552126E-2</v>
      </c>
      <c r="AE46" s="669">
        <f t="shared" si="79"/>
        <v>-0.37450657387425557</v>
      </c>
      <c r="AF46" s="669">
        <f t="shared" si="80"/>
        <v>-0.24626282441323177</v>
      </c>
      <c r="AG46" s="669">
        <f t="shared" si="81"/>
        <v>-0.11743110928537681</v>
      </c>
      <c r="AH46" s="669">
        <f t="shared" si="82"/>
        <v>-7.5994944977372691E-2</v>
      </c>
      <c r="AI46" s="669">
        <f t="shared" si="82"/>
        <v>0.22521475843163841</v>
      </c>
      <c r="AJ46" s="669">
        <f t="shared" si="82"/>
        <v>5.8388924662237995E-2</v>
      </c>
      <c r="AK46" s="669">
        <f t="shared" si="82"/>
        <v>1.8800753764400158E-2</v>
      </c>
      <c r="AL46" s="669">
        <f t="shared" si="82"/>
        <v>3.6334786994560275E-2</v>
      </c>
      <c r="AM46" s="669">
        <f t="shared" si="82"/>
        <v>0.28125856533183891</v>
      </c>
      <c r="AN46" s="669">
        <f t="shared" si="82"/>
        <v>5.9090909090908861E-2</v>
      </c>
      <c r="AO46" s="669">
        <f t="shared" si="82"/>
        <v>6.6001407398706746E-2</v>
      </c>
      <c r="AP46" s="669">
        <f t="shared" si="83"/>
        <v>0.11693811037287682</v>
      </c>
    </row>
    <row r="47" spans="2:42">
      <c r="B47" s="66" t="s">
        <v>1345</v>
      </c>
      <c r="C47" s="669"/>
      <c r="D47" s="669"/>
      <c r="E47" s="669"/>
      <c r="F47" s="669"/>
      <c r="G47" s="669">
        <f t="shared" ref="G47:AA47" si="85">IFERROR(G7/C27-1, "")</f>
        <v>1.1764705882353343E-3</v>
      </c>
      <c r="H47" s="669">
        <f t="shared" si="85"/>
        <v>5.0267379679144186E-2</v>
      </c>
      <c r="I47" s="669">
        <f t="shared" si="85"/>
        <v>1.0214504596526286E-3</v>
      </c>
      <c r="J47" s="669">
        <f t="shared" si="85"/>
        <v>2.0387359836901986E-3</v>
      </c>
      <c r="K47" s="669">
        <f t="shared" si="85"/>
        <v>-1.7000000000000015E-2</v>
      </c>
      <c r="L47" s="669">
        <f t="shared" si="85"/>
        <v>-2.3421588594704557E-2</v>
      </c>
      <c r="M47" s="669">
        <f t="shared" si="85"/>
        <v>6.0751851042387894E-2</v>
      </c>
      <c r="N47" s="669">
        <f t="shared" si="85"/>
        <v>4.3083911833900146E-2</v>
      </c>
      <c r="O47" s="669">
        <f t="shared" si="85"/>
        <v>8.1383519837232576E-3</v>
      </c>
      <c r="P47" s="669">
        <f t="shared" si="85"/>
        <v>4.3795620437956151E-2</v>
      </c>
      <c r="Q47" s="669">
        <f t="shared" si="85"/>
        <v>-7.6426801943197398E-2</v>
      </c>
      <c r="R47" s="669">
        <f t="shared" si="85"/>
        <v>-5.6227865684255751E-2</v>
      </c>
      <c r="S47" s="669">
        <f t="shared" si="85"/>
        <v>-2.6649933541809445E-2</v>
      </c>
      <c r="T47" s="669">
        <f t="shared" si="85"/>
        <v>-4.3303991386315799E-2</v>
      </c>
      <c r="U47" s="669">
        <f t="shared" si="85"/>
        <v>-1.1991290456486281E-2</v>
      </c>
      <c r="V47" s="669">
        <f t="shared" si="85"/>
        <v>-1.0867666358678973E-2</v>
      </c>
      <c r="W47" s="669">
        <f t="shared" si="85"/>
        <v>-1.8313913556746497E-2</v>
      </c>
      <c r="X47" s="669">
        <f t="shared" si="85"/>
        <v>-2.5742844460530101E-2</v>
      </c>
      <c r="Y47" s="669">
        <f t="shared" si="85"/>
        <v>-2.1691092173279469E-2</v>
      </c>
      <c r="Z47" s="669">
        <f t="shared" si="85"/>
        <v>-2.4218539593410471E-2</v>
      </c>
      <c r="AA47" s="669">
        <f t="shared" si="85"/>
        <v>-1.153682213185514E-2</v>
      </c>
      <c r="AB47" s="669">
        <f t="shared" si="76"/>
        <v>-6.004872652741633E-3</v>
      </c>
      <c r="AC47" s="669">
        <f t="shared" si="77"/>
        <v>-5.6356793287075657E-3</v>
      </c>
      <c r="AD47" s="669">
        <f t="shared" si="78"/>
        <v>-2.0012898174540217E-2</v>
      </c>
      <c r="AE47" s="669">
        <f t="shared" si="79"/>
        <v>-1.1206248084502879E-2</v>
      </c>
      <c r="AF47" s="669">
        <f t="shared" si="80"/>
        <v>-2.2394561363964893E-2</v>
      </c>
      <c r="AG47" s="669">
        <f t="shared" si="81"/>
        <v>-1.542157454845583E-2</v>
      </c>
      <c r="AH47" s="669">
        <f t="shared" si="82"/>
        <v>-2.6700604137619321E-2</v>
      </c>
      <c r="AI47" s="669">
        <f t="shared" si="82"/>
        <v>-3.3296065644196404E-2</v>
      </c>
      <c r="AJ47" s="669">
        <f t="shared" si="82"/>
        <v>-2.0547322936524171E-2</v>
      </c>
      <c r="AK47" s="669">
        <f t="shared" si="82"/>
        <v>-2.8439363146574581E-2</v>
      </c>
      <c r="AL47" s="669">
        <f t="shared" si="82"/>
        <v>2.025062899811525E-3</v>
      </c>
      <c r="AM47" s="669">
        <f t="shared" si="82"/>
        <v>1.1569542742089212E-2</v>
      </c>
      <c r="AN47" s="669">
        <f t="shared" si="82"/>
        <v>2.2522522522523403E-3</v>
      </c>
      <c r="AO47" s="669">
        <f t="shared" si="82"/>
        <v>-1.6654827084261581E-2</v>
      </c>
      <c r="AP47" s="669">
        <f t="shared" si="83"/>
        <v>-0.12958023398161289</v>
      </c>
    </row>
    <row r="48" spans="2:42">
      <c r="B48" s="667" t="s">
        <v>1346</v>
      </c>
      <c r="C48" s="669"/>
      <c r="D48" s="669"/>
      <c r="E48" s="669"/>
      <c r="F48" s="669"/>
      <c r="G48" s="669">
        <f t="shared" ref="G48:AA48" si="86">IFERROR(G8/C28-1, "")</f>
        <v>1.1764705882353343E-3</v>
      </c>
      <c r="H48" s="669">
        <f t="shared" si="86"/>
        <v>5.0267379679144186E-2</v>
      </c>
      <c r="I48" s="669">
        <f t="shared" si="86"/>
        <v>1.0214504596526286E-3</v>
      </c>
      <c r="J48" s="669">
        <f t="shared" si="86"/>
        <v>2.0387359836901986E-3</v>
      </c>
      <c r="K48" s="669">
        <f t="shared" si="86"/>
        <v>-1.7000000000000015E-2</v>
      </c>
      <c r="L48" s="669">
        <f t="shared" si="86"/>
        <v>-2.3421588594704557E-2</v>
      </c>
      <c r="M48" s="669">
        <f t="shared" si="86"/>
        <v>6.0751851042387894E-2</v>
      </c>
      <c r="N48" s="669">
        <f t="shared" si="86"/>
        <v>4.3083911833900146E-2</v>
      </c>
      <c r="O48" s="669">
        <f t="shared" si="86"/>
        <v>8.1383519837232576E-3</v>
      </c>
      <c r="P48" s="669">
        <f t="shared" si="86"/>
        <v>4.3795620437956151E-2</v>
      </c>
      <c r="Q48" s="669">
        <f t="shared" si="86"/>
        <v>-7.6426801943197398E-2</v>
      </c>
      <c r="R48" s="669">
        <f t="shared" si="86"/>
        <v>-5.6227865684255751E-2</v>
      </c>
      <c r="S48" s="669">
        <f t="shared" si="86"/>
        <v>-2.6649933541809445E-2</v>
      </c>
      <c r="T48" s="669">
        <f t="shared" si="86"/>
        <v>-4.3303991386315799E-2</v>
      </c>
      <c r="U48" s="669">
        <f t="shared" si="86"/>
        <v>-1.1991290456486281E-2</v>
      </c>
      <c r="V48" s="669">
        <f t="shared" si="86"/>
        <v>-1.0867666358678973E-2</v>
      </c>
      <c r="W48" s="669">
        <f t="shared" si="86"/>
        <v>-1.8313913556746497E-2</v>
      </c>
      <c r="X48" s="669">
        <f t="shared" si="86"/>
        <v>-2.5742844460530101E-2</v>
      </c>
      <c r="Y48" s="669">
        <f t="shared" si="86"/>
        <v>-2.1691092173279469E-2</v>
      </c>
      <c r="Z48" s="669">
        <f t="shared" si="86"/>
        <v>-2.4218539593410471E-2</v>
      </c>
      <c r="AA48" s="669">
        <f t="shared" si="86"/>
        <v>-1.153682213185514E-2</v>
      </c>
      <c r="AB48" s="669">
        <f t="shared" si="76"/>
        <v>-6.004872652741633E-3</v>
      </c>
      <c r="AC48" s="669">
        <f t="shared" si="77"/>
        <v>-5.6356793287075657E-3</v>
      </c>
      <c r="AD48" s="669">
        <f t="shared" si="78"/>
        <v>-2.0012898174540217E-2</v>
      </c>
      <c r="AE48" s="669">
        <f t="shared" si="79"/>
        <v>-1.1206248084502879E-2</v>
      </c>
      <c r="AF48" s="669">
        <f t="shared" si="80"/>
        <v>-2.2394561363964893E-2</v>
      </c>
      <c r="AG48" s="669">
        <f t="shared" si="81"/>
        <v>-1.542157454845583E-2</v>
      </c>
      <c r="AH48" s="669">
        <f t="shared" si="82"/>
        <v>-2.6700604137619321E-2</v>
      </c>
      <c r="AI48" s="669">
        <f t="shared" si="82"/>
        <v>-3.3296065644196404E-2</v>
      </c>
      <c r="AJ48" s="669">
        <f t="shared" si="82"/>
        <v>-2.0547322936524171E-2</v>
      </c>
      <c r="AK48" s="669">
        <f t="shared" si="82"/>
        <v>-2.8439363146574581E-2</v>
      </c>
      <c r="AL48" s="669">
        <f t="shared" si="82"/>
        <v>2.025062899811525E-3</v>
      </c>
      <c r="AM48" s="669">
        <f t="shared" si="82"/>
        <v>1.1569542742089212E-2</v>
      </c>
      <c r="AN48" s="669">
        <f t="shared" si="82"/>
        <v>2.2522522522523403E-3</v>
      </c>
      <c r="AO48" s="669">
        <f t="shared" si="82"/>
        <v>-1.6654827084261581E-2</v>
      </c>
      <c r="AP48" s="669">
        <f t="shared" si="83"/>
        <v>-0.12958023398161289</v>
      </c>
    </row>
    <row r="49" spans="2:42">
      <c r="B49" s="667" t="s">
        <v>1347</v>
      </c>
      <c r="C49" s="669"/>
      <c r="D49" s="669"/>
      <c r="E49" s="669"/>
      <c r="F49" s="669"/>
      <c r="G49" s="669" t="str">
        <f t="shared" ref="G49:AA49" si="87">IFERROR(G9/C29-1, "")</f>
        <v/>
      </c>
      <c r="H49" s="669" t="str">
        <f t="shared" si="87"/>
        <v/>
      </c>
      <c r="I49" s="669" t="str">
        <f t="shared" si="87"/>
        <v/>
      </c>
      <c r="J49" s="669" t="str">
        <f t="shared" si="87"/>
        <v/>
      </c>
      <c r="K49" s="669" t="str">
        <f t="shared" si="87"/>
        <v/>
      </c>
      <c r="L49" s="669" t="str">
        <f t="shared" si="87"/>
        <v/>
      </c>
      <c r="M49" s="669" t="str">
        <f t="shared" si="87"/>
        <v/>
      </c>
      <c r="N49" s="669" t="str">
        <f t="shared" si="87"/>
        <v/>
      </c>
      <c r="O49" s="669" t="str">
        <f t="shared" si="87"/>
        <v/>
      </c>
      <c r="P49" s="669" t="str">
        <f t="shared" si="87"/>
        <v/>
      </c>
      <c r="Q49" s="669" t="str">
        <f t="shared" si="87"/>
        <v/>
      </c>
      <c r="R49" s="669" t="str">
        <f t="shared" si="87"/>
        <v/>
      </c>
      <c r="S49" s="669" t="str">
        <f t="shared" si="87"/>
        <v/>
      </c>
      <c r="T49" s="669" t="str">
        <f t="shared" si="87"/>
        <v/>
      </c>
      <c r="U49" s="669" t="str">
        <f t="shared" si="87"/>
        <v/>
      </c>
      <c r="V49" s="669" t="str">
        <f t="shared" si="87"/>
        <v/>
      </c>
      <c r="W49" s="669" t="str">
        <f t="shared" si="87"/>
        <v/>
      </c>
      <c r="X49" s="669" t="str">
        <f t="shared" si="87"/>
        <v/>
      </c>
      <c r="Y49" s="669" t="str">
        <f t="shared" si="87"/>
        <v/>
      </c>
      <c r="Z49" s="669" t="str">
        <f t="shared" si="87"/>
        <v/>
      </c>
      <c r="AA49" s="669" t="str">
        <f t="shared" si="87"/>
        <v/>
      </c>
      <c r="AB49" s="669" t="str">
        <f t="shared" si="76"/>
        <v/>
      </c>
      <c r="AC49" s="669" t="str">
        <f t="shared" si="77"/>
        <v/>
      </c>
      <c r="AD49" s="669" t="str">
        <f t="shared" si="78"/>
        <v/>
      </c>
      <c r="AE49" s="669" t="str">
        <f t="shared" si="79"/>
        <v/>
      </c>
      <c r="AF49" s="669" t="str">
        <f t="shared" si="80"/>
        <v/>
      </c>
      <c r="AG49" s="669" t="str">
        <f t="shared" si="81"/>
        <v/>
      </c>
      <c r="AH49" s="669" t="str">
        <f t="shared" si="82"/>
        <v/>
      </c>
      <c r="AI49" s="669" t="str">
        <f t="shared" si="82"/>
        <v/>
      </c>
      <c r="AJ49" s="669" t="str">
        <f t="shared" si="82"/>
        <v/>
      </c>
      <c r="AK49" s="669" t="str">
        <f t="shared" si="82"/>
        <v/>
      </c>
      <c r="AL49" s="669" t="str">
        <f t="shared" si="82"/>
        <v/>
      </c>
      <c r="AM49" s="669" t="str">
        <f t="shared" si="82"/>
        <v/>
      </c>
      <c r="AN49" s="669" t="str">
        <f t="shared" si="82"/>
        <v/>
      </c>
      <c r="AO49" s="669" t="str">
        <f t="shared" si="82"/>
        <v/>
      </c>
      <c r="AP49" s="669" t="str">
        <f t="shared" si="83"/>
        <v/>
      </c>
    </row>
    <row r="50" spans="2:42">
      <c r="B50" s="66" t="s">
        <v>1348</v>
      </c>
      <c r="C50" s="669"/>
      <c r="D50" s="669"/>
      <c r="E50" s="669"/>
      <c r="F50" s="669"/>
      <c r="G50" s="669">
        <f t="shared" ref="G50:AA50" si="88">IFERROR(G10/C30-1, "")</f>
        <v>0.99690686130624129</v>
      </c>
      <c r="H50" s="669">
        <f t="shared" si="88"/>
        <v>1.3125679459282722</v>
      </c>
      <c r="I50" s="669">
        <f t="shared" si="88"/>
        <v>1.1320826021660642</v>
      </c>
      <c r="J50" s="669">
        <f t="shared" si="88"/>
        <v>0.71891891891891868</v>
      </c>
      <c r="K50" s="669">
        <f t="shared" si="88"/>
        <v>0.36994219653179172</v>
      </c>
      <c r="L50" s="669">
        <f t="shared" si="88"/>
        <v>8.3036641014333279E-2</v>
      </c>
      <c r="M50" s="669">
        <f t="shared" si="88"/>
        <v>5.7118188528511693E-2</v>
      </c>
      <c r="N50" s="669">
        <f t="shared" si="88"/>
        <v>7.3659246540880075E-2</v>
      </c>
      <c r="O50" s="669">
        <f t="shared" si="88"/>
        <v>2.3909985935302247E-2</v>
      </c>
      <c r="P50" s="669">
        <f t="shared" si="88"/>
        <v>2.1633293617020932E-2</v>
      </c>
      <c r="Q50" s="669">
        <f t="shared" si="88"/>
        <v>-0.1574043725505766</v>
      </c>
      <c r="R50" s="669">
        <f t="shared" si="88"/>
        <v>-0.14142417743373059</v>
      </c>
      <c r="S50" s="669">
        <f t="shared" si="88"/>
        <v>-0.18485907060439521</v>
      </c>
      <c r="T50" s="857">
        <f>Interims!DF86</f>
        <v>-0.12049948790449871</v>
      </c>
      <c r="U50" s="857">
        <f>Interims!DG86</f>
        <v>7.2142624322931281E-2</v>
      </c>
      <c r="V50" s="857">
        <f>Interims!DH86</f>
        <v>1.1468714903027033E-2</v>
      </c>
      <c r="W50" s="857">
        <f>Interims!DI86</f>
        <v>2.1194682292284828E-2</v>
      </c>
      <c r="X50" s="669">
        <f t="shared" si="88"/>
        <v>5.3333754285762591E-3</v>
      </c>
      <c r="Y50" s="669">
        <f t="shared" si="88"/>
        <v>4.0992537095213777E-2</v>
      </c>
      <c r="Z50" s="669">
        <f t="shared" si="88"/>
        <v>-2.7642857772506746E-2</v>
      </c>
      <c r="AA50" s="669">
        <f t="shared" si="88"/>
        <v>2.7389317541474112E-2</v>
      </c>
      <c r="AB50" s="669">
        <f t="shared" si="76"/>
        <v>8.596870681587454E-2</v>
      </c>
      <c r="AC50" s="669">
        <f t="shared" si="77"/>
        <v>-5.5988568607971523E-2</v>
      </c>
      <c r="AD50" s="669">
        <f t="shared" si="78"/>
        <v>-2.1047228748645286E-2</v>
      </c>
      <c r="AE50" s="669">
        <f t="shared" si="79"/>
        <v>-0.24674833627041592</v>
      </c>
      <c r="AF50" s="669">
        <f t="shared" si="80"/>
        <v>-0.21056619591152381</v>
      </c>
      <c r="AG50" s="669">
        <f t="shared" si="81"/>
        <v>-0.15297687558857376</v>
      </c>
      <c r="AH50" s="669">
        <f t="shared" si="82"/>
        <v>-0.17042451697038308</v>
      </c>
      <c r="AI50" s="669">
        <f t="shared" si="82"/>
        <v>-0.26851756992111453</v>
      </c>
      <c r="AJ50" s="669">
        <f t="shared" si="82"/>
        <v>-9.8168154062940216E-2</v>
      </c>
      <c r="AK50" s="669">
        <f t="shared" si="82"/>
        <v>2.0766092238002631E-3</v>
      </c>
      <c r="AL50" s="669">
        <f t="shared" si="82"/>
        <v>5.7190381830971582E-3</v>
      </c>
      <c r="AM50" s="669">
        <f t="shared" si="82"/>
        <v>0.44537815126050417</v>
      </c>
      <c r="AN50" s="669">
        <f t="shared" si="82"/>
        <v>8.4692028985507095E-2</v>
      </c>
      <c r="AO50" s="669">
        <f t="shared" si="82"/>
        <v>-7.3367531275090103E-2</v>
      </c>
      <c r="AP50" s="669">
        <f t="shared" si="83"/>
        <v>-4.6259701607254122E-4</v>
      </c>
    </row>
    <row r="51" spans="2:42">
      <c r="B51" s="66" t="s">
        <v>1349</v>
      </c>
      <c r="C51" s="669"/>
      <c r="D51" s="669"/>
      <c r="E51" s="669"/>
      <c r="F51" s="669"/>
      <c r="G51" s="669">
        <f t="shared" ref="G51:AA51" si="89">IFERROR(G11/C31-1, "")</f>
        <v>0.22797266666468574</v>
      </c>
      <c r="H51" s="669">
        <f t="shared" si="89"/>
        <v>0.32707037509936132</v>
      </c>
      <c r="I51" s="669">
        <f t="shared" si="89"/>
        <v>0.20940170940170955</v>
      </c>
      <c r="J51" s="669">
        <f t="shared" si="89"/>
        <v>0.48095238095238102</v>
      </c>
      <c r="K51" s="669">
        <f t="shared" si="89"/>
        <v>0.35761966470465012</v>
      </c>
      <c r="L51" s="669">
        <f t="shared" si="89"/>
        <v>0.12307692307692308</v>
      </c>
      <c r="M51" s="669">
        <f t="shared" si="89"/>
        <v>-0.12720848056537104</v>
      </c>
      <c r="N51" s="669">
        <f t="shared" si="89"/>
        <v>-0.2861736334405145</v>
      </c>
      <c r="O51" s="669">
        <f t="shared" si="89"/>
        <v>0.17771639897875557</v>
      </c>
      <c r="P51" s="669">
        <f t="shared" si="89"/>
        <v>0.43620395485068286</v>
      </c>
      <c r="Q51" s="669">
        <f t="shared" si="89"/>
        <v>0.84936877070898764</v>
      </c>
      <c r="R51" s="669">
        <f t="shared" si="89"/>
        <v>1.1185056110360363</v>
      </c>
      <c r="S51" s="669">
        <f t="shared" si="89"/>
        <v>-0.59689394904903992</v>
      </c>
      <c r="T51" s="669">
        <f t="shared" si="89"/>
        <v>9.0520632791972755E-2</v>
      </c>
      <c r="U51" s="669">
        <f t="shared" si="89"/>
        <v>-0.29289802639471352</v>
      </c>
      <c r="V51" s="669">
        <f t="shared" si="89"/>
        <v>-0.11759999141320621</v>
      </c>
      <c r="W51" s="669">
        <f t="shared" si="89"/>
        <v>0.54814823964932602</v>
      </c>
      <c r="X51" s="669">
        <f t="shared" si="89"/>
        <v>-0.11953352769679304</v>
      </c>
      <c r="Y51" s="669">
        <f t="shared" si="89"/>
        <v>-3.0959752321979561E-3</v>
      </c>
      <c r="Z51" s="669">
        <f t="shared" si="89"/>
        <v>-0.18795180722891547</v>
      </c>
      <c r="AA51" s="669">
        <f t="shared" si="89"/>
        <v>-3.4944776427237034E-4</v>
      </c>
      <c r="AB51" s="669">
        <f t="shared" si="76"/>
        <v>7.5227729913907249E-2</v>
      </c>
      <c r="AC51" s="669">
        <f t="shared" si="77"/>
        <v>-0.13779503105590074</v>
      </c>
      <c r="AD51" s="669">
        <f t="shared" si="78"/>
        <v>-3.4777448071216521E-2</v>
      </c>
      <c r="AE51" s="669">
        <f t="shared" si="79"/>
        <v>-9.7105682957574491E-3</v>
      </c>
      <c r="AF51" s="669">
        <f t="shared" si="80"/>
        <v>-0.17217598376149201</v>
      </c>
      <c r="AG51" s="669">
        <f t="shared" si="81"/>
        <v>0.61502719446745657</v>
      </c>
      <c r="AH51" s="669">
        <f t="shared" si="82"/>
        <v>0.63588293162813558</v>
      </c>
      <c r="AI51" s="669">
        <f t="shared" si="82"/>
        <v>-6.547652463556608E-2</v>
      </c>
      <c r="AJ51" s="669">
        <f t="shared" si="82"/>
        <v>0.62040102674751685</v>
      </c>
      <c r="AK51" s="669">
        <f t="shared" si="82"/>
        <v>-8.1404166109101395E-3</v>
      </c>
      <c r="AL51" s="669">
        <f t="shared" si="82"/>
        <v>-0.21267759152070997</v>
      </c>
      <c r="AM51" s="669">
        <f t="shared" si="82"/>
        <v>0.14537444933920707</v>
      </c>
      <c r="AN51" s="669">
        <f t="shared" si="82"/>
        <v>6.2950548693695652E-2</v>
      </c>
      <c r="AO51" s="669">
        <f t="shared" si="82"/>
        <v>0.17599442358284789</v>
      </c>
      <c r="AP51" s="669">
        <f t="shared" si="83"/>
        <v>0.19345984007638184</v>
      </c>
    </row>
    <row r="52" spans="2:42">
      <c r="B52" s="66" t="s">
        <v>1239</v>
      </c>
      <c r="C52" s="669"/>
      <c r="D52" s="669"/>
      <c r="E52" s="669"/>
      <c r="F52" s="669"/>
      <c r="G52" s="669"/>
      <c r="H52" s="669"/>
      <c r="I52" s="669"/>
      <c r="J52" s="669"/>
      <c r="K52" s="669"/>
      <c r="L52" s="669"/>
      <c r="M52" s="669"/>
      <c r="N52" s="669"/>
      <c r="O52" s="669"/>
      <c r="P52" s="669"/>
      <c r="Q52" s="669"/>
      <c r="R52" s="669"/>
      <c r="S52" s="669"/>
      <c r="T52" s="669"/>
      <c r="U52" s="669"/>
      <c r="V52" s="669"/>
      <c r="W52" s="669"/>
      <c r="X52" s="669"/>
      <c r="Y52" s="669"/>
      <c r="Z52" s="669"/>
      <c r="AA52" s="669"/>
      <c r="AB52" s="669"/>
      <c r="AC52" s="669"/>
      <c r="AD52" s="669"/>
      <c r="AE52" s="669"/>
      <c r="AF52" s="669"/>
      <c r="AG52" s="669"/>
      <c r="AH52" s="669"/>
      <c r="AI52" s="669"/>
      <c r="AJ52" s="669"/>
      <c r="AK52" s="669"/>
      <c r="AL52" s="669"/>
      <c r="AM52" s="669"/>
      <c r="AN52" s="669"/>
      <c r="AO52" s="669"/>
      <c r="AP52" s="669"/>
    </row>
    <row r="53" spans="2:42">
      <c r="C53" s="669"/>
      <c r="D53" s="669"/>
      <c r="E53" s="669"/>
      <c r="F53" s="669"/>
      <c r="G53" s="669"/>
      <c r="H53" s="669"/>
      <c r="I53" s="669"/>
      <c r="J53" s="669"/>
      <c r="K53" s="669"/>
      <c r="L53" s="669"/>
      <c r="M53" s="669"/>
      <c r="N53" s="669"/>
      <c r="O53" s="669"/>
      <c r="P53" s="669"/>
      <c r="Q53" s="669"/>
      <c r="R53" s="669"/>
      <c r="S53" s="669"/>
      <c r="T53" s="669"/>
      <c r="U53" s="669"/>
      <c r="V53" s="669"/>
      <c r="W53" s="669"/>
      <c r="X53" s="669"/>
      <c r="Y53" s="669"/>
      <c r="Z53" s="669"/>
      <c r="AA53" s="669"/>
      <c r="AB53" s="669"/>
      <c r="AC53" s="669"/>
      <c r="AD53" s="669"/>
      <c r="AE53" s="669"/>
      <c r="AF53" s="669"/>
      <c r="AG53" s="669"/>
      <c r="AH53" s="669"/>
      <c r="AI53" s="669"/>
      <c r="AJ53" s="669"/>
      <c r="AK53" s="669"/>
      <c r="AL53" s="669"/>
      <c r="AM53" s="669"/>
      <c r="AN53" s="669"/>
      <c r="AO53" s="669"/>
      <c r="AP53" s="669"/>
    </row>
    <row r="54" spans="2:42">
      <c r="B54" s="66" t="s">
        <v>1359</v>
      </c>
      <c r="C54" s="669"/>
      <c r="D54" s="669"/>
      <c r="E54" s="669"/>
      <c r="F54" s="669"/>
      <c r="G54" s="669" t="str">
        <f t="shared" ref="G54:U54" si="90">IFERROR(G14/C34-1, "")</f>
        <v/>
      </c>
      <c r="H54" s="669" t="str">
        <f t="shared" si="90"/>
        <v/>
      </c>
      <c r="I54" s="669" t="str">
        <f t="shared" si="90"/>
        <v/>
      </c>
      <c r="J54" s="669" t="str">
        <f t="shared" si="90"/>
        <v/>
      </c>
      <c r="K54" s="669" t="str">
        <f t="shared" si="90"/>
        <v/>
      </c>
      <c r="L54" s="669" t="str">
        <f t="shared" si="90"/>
        <v/>
      </c>
      <c r="M54" s="669" t="str">
        <f t="shared" si="90"/>
        <v/>
      </c>
      <c r="N54" s="669" t="str">
        <f t="shared" si="90"/>
        <v/>
      </c>
      <c r="O54" s="669" t="str">
        <f t="shared" si="90"/>
        <v/>
      </c>
      <c r="P54" s="669" t="str">
        <f t="shared" si="90"/>
        <v/>
      </c>
      <c r="Q54" s="669" t="str">
        <f t="shared" si="90"/>
        <v/>
      </c>
      <c r="R54" s="669" t="str">
        <f t="shared" si="90"/>
        <v/>
      </c>
      <c r="S54" s="669" t="str">
        <f t="shared" si="90"/>
        <v/>
      </c>
      <c r="T54" s="669" t="str">
        <f t="shared" si="90"/>
        <v/>
      </c>
      <c r="U54" s="669" t="str">
        <f t="shared" si="90"/>
        <v/>
      </c>
      <c r="V54" s="669" t="str">
        <f t="shared" ref="V54:AA54" si="91">IFERROR(V14/R34-1, "")</f>
        <v/>
      </c>
      <c r="W54" s="669" t="str">
        <f t="shared" si="91"/>
        <v/>
      </c>
      <c r="X54" s="669" t="str">
        <f t="shared" si="91"/>
        <v/>
      </c>
      <c r="Y54" s="669" t="str">
        <f t="shared" si="91"/>
        <v/>
      </c>
      <c r="Z54" s="669" t="str">
        <f t="shared" si="91"/>
        <v/>
      </c>
      <c r="AA54" s="669" t="str">
        <f t="shared" si="91"/>
        <v/>
      </c>
      <c r="AB54" s="669" t="str">
        <f t="shared" ref="AB54:AO54" si="92">IFERROR(AB14/X34-1, "")</f>
        <v/>
      </c>
      <c r="AC54" s="669" t="str">
        <f t="shared" si="92"/>
        <v/>
      </c>
      <c r="AD54" s="669" t="str">
        <f t="shared" si="92"/>
        <v/>
      </c>
      <c r="AE54" s="669" t="str">
        <f t="shared" si="92"/>
        <v/>
      </c>
      <c r="AF54" s="669" t="str">
        <f t="shared" si="92"/>
        <v/>
      </c>
      <c r="AG54" s="669" t="str">
        <f t="shared" si="92"/>
        <v/>
      </c>
      <c r="AH54" s="669" t="str">
        <f t="shared" si="92"/>
        <v/>
      </c>
      <c r="AI54" s="669" t="str">
        <f t="shared" si="92"/>
        <v/>
      </c>
      <c r="AJ54" s="669" t="str">
        <f t="shared" si="92"/>
        <v/>
      </c>
      <c r="AK54" s="669" t="str">
        <f t="shared" si="92"/>
        <v/>
      </c>
      <c r="AL54" s="669" t="str">
        <f t="shared" si="92"/>
        <v/>
      </c>
      <c r="AM54" s="669" t="str">
        <f t="shared" si="92"/>
        <v/>
      </c>
      <c r="AN54" s="669" t="str">
        <f t="shared" si="92"/>
        <v/>
      </c>
      <c r="AO54" s="669" t="str">
        <f t="shared" si="92"/>
        <v/>
      </c>
      <c r="AP54" s="669" t="str">
        <f>IFERROR(AP14/AL34-1, "")</f>
        <v/>
      </c>
    </row>
    <row r="55" spans="2:42">
      <c r="B55" s="66" t="s">
        <v>1351</v>
      </c>
      <c r="C55" s="669"/>
      <c r="D55" s="669"/>
      <c r="E55" s="669"/>
      <c r="F55" s="669"/>
      <c r="G55" s="665">
        <f>G15-F35</f>
        <v>0</v>
      </c>
      <c r="H55" s="665">
        <f t="shared" ref="H55:AA55" si="93">H15-G35</f>
        <v>0</v>
      </c>
      <c r="I55" s="665">
        <f t="shared" si="93"/>
        <v>0</v>
      </c>
      <c r="J55" s="665">
        <f t="shared" si="93"/>
        <v>0</v>
      </c>
      <c r="K55" s="665">
        <f t="shared" si="93"/>
        <v>0</v>
      </c>
      <c r="L55" s="665">
        <f t="shared" si="93"/>
        <v>0</v>
      </c>
      <c r="M55" s="665">
        <f t="shared" si="93"/>
        <v>0</v>
      </c>
      <c r="N55" s="665">
        <f t="shared" si="93"/>
        <v>0</v>
      </c>
      <c r="O55" s="665">
        <f t="shared" si="93"/>
        <v>0</v>
      </c>
      <c r="P55" s="665">
        <f t="shared" si="93"/>
        <v>0</v>
      </c>
      <c r="Q55" s="665">
        <f t="shared" si="93"/>
        <v>0</v>
      </c>
      <c r="R55" s="665">
        <f t="shared" si="93"/>
        <v>0</v>
      </c>
      <c r="S55" s="665">
        <f t="shared" si="93"/>
        <v>0</v>
      </c>
      <c r="T55" s="665">
        <f t="shared" si="93"/>
        <v>0</v>
      </c>
      <c r="U55" s="665">
        <f t="shared" si="93"/>
        <v>0</v>
      </c>
      <c r="V55" s="665">
        <f t="shared" si="93"/>
        <v>0</v>
      </c>
      <c r="W55" s="665">
        <f t="shared" si="93"/>
        <v>0</v>
      </c>
      <c r="X55" s="665">
        <f t="shared" si="93"/>
        <v>0</v>
      </c>
      <c r="Y55" s="665">
        <f t="shared" si="93"/>
        <v>0</v>
      </c>
      <c r="Z55" s="665">
        <f t="shared" si="93"/>
        <v>0</v>
      </c>
      <c r="AA55" s="665">
        <f t="shared" si="93"/>
        <v>0</v>
      </c>
      <c r="AB55" s="665">
        <f t="shared" ref="AB55:AG56" si="94">AB15-AA35</f>
        <v>0</v>
      </c>
      <c r="AC55" s="665">
        <f t="shared" si="94"/>
        <v>0</v>
      </c>
      <c r="AD55" s="665">
        <f t="shared" si="94"/>
        <v>0</v>
      </c>
      <c r="AE55" s="665">
        <f t="shared" si="94"/>
        <v>0</v>
      </c>
      <c r="AF55" s="665">
        <f t="shared" si="94"/>
        <v>0</v>
      </c>
      <c r="AG55" s="665">
        <f t="shared" si="94"/>
        <v>0</v>
      </c>
      <c r="AH55" s="665">
        <f t="shared" ref="AH55:AO56" si="95">AH15-AG35</f>
        <v>0</v>
      </c>
      <c r="AI55" s="665">
        <f t="shared" si="95"/>
        <v>0</v>
      </c>
      <c r="AJ55" s="665">
        <f t="shared" si="95"/>
        <v>0</v>
      </c>
      <c r="AK55" s="665">
        <f t="shared" si="95"/>
        <v>0</v>
      </c>
      <c r="AL55" s="665">
        <f t="shared" si="95"/>
        <v>0</v>
      </c>
      <c r="AM55" s="665">
        <f t="shared" si="95"/>
        <v>0</v>
      </c>
      <c r="AN55" s="665">
        <f t="shared" si="95"/>
        <v>0</v>
      </c>
      <c r="AO55" s="665">
        <f t="shared" si="95"/>
        <v>0</v>
      </c>
      <c r="AP55" s="665">
        <f>AP15-AO35</f>
        <v>0</v>
      </c>
    </row>
    <row r="56" spans="2:42">
      <c r="B56" s="66" t="s">
        <v>1352</v>
      </c>
      <c r="C56" s="669"/>
      <c r="D56" s="669"/>
      <c r="E56" s="669"/>
      <c r="F56" s="669"/>
      <c r="G56" s="665">
        <f t="shared" ref="G56:AA56" si="96">G16-F36</f>
        <v>0</v>
      </c>
      <c r="H56" s="665">
        <f t="shared" si="96"/>
        <v>0</v>
      </c>
      <c r="I56" s="665">
        <f t="shared" si="96"/>
        <v>0</v>
      </c>
      <c r="J56" s="665">
        <f t="shared" si="96"/>
        <v>0</v>
      </c>
      <c r="K56" s="665">
        <f t="shared" si="96"/>
        <v>0</v>
      </c>
      <c r="L56" s="665">
        <f t="shared" si="96"/>
        <v>0</v>
      </c>
      <c r="M56" s="665">
        <f t="shared" si="96"/>
        <v>0</v>
      </c>
      <c r="N56" s="665">
        <f t="shared" si="96"/>
        <v>0</v>
      </c>
      <c r="O56" s="665">
        <f t="shared" si="96"/>
        <v>0</v>
      </c>
      <c r="P56" s="665">
        <f t="shared" si="96"/>
        <v>0</v>
      </c>
      <c r="Q56" s="665">
        <f t="shared" si="96"/>
        <v>0</v>
      </c>
      <c r="R56" s="665">
        <f t="shared" si="96"/>
        <v>0</v>
      </c>
      <c r="S56" s="665">
        <f t="shared" si="96"/>
        <v>0</v>
      </c>
      <c r="T56" s="665">
        <f t="shared" si="96"/>
        <v>0</v>
      </c>
      <c r="U56" s="665">
        <f t="shared" si="96"/>
        <v>0</v>
      </c>
      <c r="V56" s="665">
        <f t="shared" si="96"/>
        <v>0</v>
      </c>
      <c r="W56" s="665">
        <f t="shared" si="96"/>
        <v>0</v>
      </c>
      <c r="X56" s="665">
        <f t="shared" si="96"/>
        <v>0</v>
      </c>
      <c r="Y56" s="665">
        <f t="shared" si="96"/>
        <v>0</v>
      </c>
      <c r="Z56" s="665">
        <f t="shared" si="96"/>
        <v>0</v>
      </c>
      <c r="AA56" s="665">
        <f t="shared" si="96"/>
        <v>0</v>
      </c>
      <c r="AB56" s="665">
        <f t="shared" si="94"/>
        <v>0</v>
      </c>
      <c r="AC56" s="665">
        <f t="shared" si="94"/>
        <v>0</v>
      </c>
      <c r="AD56" s="665">
        <f t="shared" si="94"/>
        <v>0</v>
      </c>
      <c r="AE56" s="665">
        <f t="shared" si="94"/>
        <v>0</v>
      </c>
      <c r="AF56" s="665">
        <f t="shared" si="94"/>
        <v>0</v>
      </c>
      <c r="AG56" s="665">
        <f t="shared" si="94"/>
        <v>0</v>
      </c>
      <c r="AH56" s="665">
        <f t="shared" si="95"/>
        <v>0</v>
      </c>
      <c r="AI56" s="665">
        <f t="shared" si="95"/>
        <v>0</v>
      </c>
      <c r="AJ56" s="665">
        <f t="shared" si="95"/>
        <v>0</v>
      </c>
      <c r="AK56" s="665">
        <f t="shared" si="95"/>
        <v>0</v>
      </c>
      <c r="AL56" s="665">
        <f t="shared" si="95"/>
        <v>0</v>
      </c>
      <c r="AM56" s="665">
        <f t="shared" si="95"/>
        <v>0</v>
      </c>
      <c r="AN56" s="665">
        <f t="shared" si="95"/>
        <v>0</v>
      </c>
      <c r="AO56" s="665">
        <f t="shared" si="95"/>
        <v>0</v>
      </c>
      <c r="AP56" s="665">
        <f>AP16-AO36</f>
        <v>0</v>
      </c>
    </row>
    <row r="57" spans="2:42">
      <c r="C57" s="669"/>
      <c r="D57" s="669"/>
      <c r="E57" s="669"/>
      <c r="F57" s="669"/>
      <c r="G57" s="669"/>
      <c r="H57" s="669"/>
      <c r="I57" s="669"/>
      <c r="J57" s="669"/>
      <c r="K57" s="669"/>
      <c r="L57" s="669"/>
      <c r="M57" s="669"/>
      <c r="N57" s="669"/>
      <c r="O57" s="669"/>
      <c r="P57" s="669"/>
      <c r="Q57" s="669"/>
      <c r="R57" s="669"/>
      <c r="S57" s="669"/>
      <c r="T57" s="669"/>
      <c r="U57" s="669"/>
      <c r="V57" s="669"/>
      <c r="W57" s="669"/>
      <c r="X57" s="669"/>
      <c r="Y57" s="669"/>
      <c r="Z57" s="669"/>
      <c r="AA57" s="669"/>
      <c r="AB57" s="669"/>
      <c r="AC57" s="669"/>
      <c r="AD57" s="669"/>
      <c r="AE57" s="669"/>
      <c r="AF57" s="669"/>
      <c r="AG57" s="669"/>
      <c r="AH57" s="669"/>
      <c r="AI57" s="669"/>
      <c r="AJ57" s="669"/>
      <c r="AK57" s="669"/>
      <c r="AL57" s="669"/>
      <c r="AM57" s="669"/>
      <c r="AN57" s="669"/>
      <c r="AO57" s="669"/>
      <c r="AP57" s="669"/>
    </row>
    <row r="58" spans="2:42">
      <c r="B58" s="66" t="s">
        <v>1353</v>
      </c>
      <c r="C58" s="669"/>
      <c r="D58" s="669"/>
      <c r="E58" s="669"/>
      <c r="F58" s="669"/>
      <c r="G58" s="669">
        <f t="shared" ref="G58:U58" si="97">IFERROR(G18/C38-1, "")</f>
        <v>1.1764705882353343E-3</v>
      </c>
      <c r="H58" s="669">
        <f t="shared" si="97"/>
        <v>5.0267379679144186E-2</v>
      </c>
      <c r="I58" s="669">
        <f t="shared" si="97"/>
        <v>1.0214504596526286E-3</v>
      </c>
      <c r="J58" s="669">
        <f t="shared" si="97"/>
        <v>2.0387359836901986E-3</v>
      </c>
      <c r="K58" s="669">
        <f t="shared" si="97"/>
        <v>-1.7000000000000015E-2</v>
      </c>
      <c r="L58" s="669">
        <f t="shared" si="97"/>
        <v>-2.3421588594704557E-2</v>
      </c>
      <c r="M58" s="669">
        <f t="shared" si="97"/>
        <v>6.0751851042387894E-2</v>
      </c>
      <c r="N58" s="669">
        <f t="shared" si="97"/>
        <v>4.3083911833900146E-2</v>
      </c>
      <c r="O58" s="669">
        <f t="shared" si="97"/>
        <v>8.1383519837232576E-3</v>
      </c>
      <c r="P58" s="669">
        <f t="shared" si="97"/>
        <v>4.3795620437956151E-2</v>
      </c>
      <c r="Q58" s="669">
        <f t="shared" si="97"/>
        <v>-7.6426801943197398E-2</v>
      </c>
      <c r="R58" s="669">
        <f t="shared" si="97"/>
        <v>-5.6227865684255751E-2</v>
      </c>
      <c r="S58" s="669">
        <f t="shared" si="97"/>
        <v>-2.6649933541809445E-2</v>
      </c>
      <c r="T58" s="669">
        <f t="shared" si="97"/>
        <v>-4.3303991386315799E-2</v>
      </c>
      <c r="U58" s="669">
        <f t="shared" si="97"/>
        <v>-1.1991290456486281E-2</v>
      </c>
      <c r="V58" s="669">
        <f t="shared" ref="V58:AA58" si="98">IFERROR(V18/R38-1, "")</f>
        <v>-1.0867666358678973E-2</v>
      </c>
      <c r="W58" s="669">
        <f t="shared" si="98"/>
        <v>-1.8313913556746497E-2</v>
      </c>
      <c r="X58" s="669">
        <f t="shared" si="98"/>
        <v>-2.5742844460530101E-2</v>
      </c>
      <c r="Y58" s="669">
        <f t="shared" si="98"/>
        <v>-2.1691092173279469E-2</v>
      </c>
      <c r="Z58" s="669">
        <f t="shared" si="98"/>
        <v>-2.4218539593410471E-2</v>
      </c>
      <c r="AA58" s="669">
        <f t="shared" si="98"/>
        <v>-1.153682213185514E-2</v>
      </c>
      <c r="AB58" s="669">
        <f t="shared" ref="AB58:AO58" si="99">IFERROR(AB18/X38-1, "")</f>
        <v>-6.004872652741633E-3</v>
      </c>
      <c r="AC58" s="669">
        <f t="shared" si="99"/>
        <v>-5.6356793287075657E-3</v>
      </c>
      <c r="AD58" s="669">
        <f t="shared" si="99"/>
        <v>-2.0012898174540217E-2</v>
      </c>
      <c r="AE58" s="669">
        <f t="shared" si="99"/>
        <v>-1.1206248084502879E-2</v>
      </c>
      <c r="AF58" s="669">
        <f t="shared" si="99"/>
        <v>-2.2394561363964893E-2</v>
      </c>
      <c r="AG58" s="669">
        <f t="shared" si="99"/>
        <v>-1.542157454845583E-2</v>
      </c>
      <c r="AH58" s="669">
        <f t="shared" si="99"/>
        <v>-2.6700604137619321E-2</v>
      </c>
      <c r="AI58" s="669">
        <f t="shared" si="99"/>
        <v>-3.3296065644196404E-2</v>
      </c>
      <c r="AJ58" s="669">
        <f t="shared" si="99"/>
        <v>-2.0547322936524171E-2</v>
      </c>
      <c r="AK58" s="669">
        <f t="shared" si="99"/>
        <v>-2.8439363146574581E-2</v>
      </c>
      <c r="AL58" s="669">
        <f t="shared" si="99"/>
        <v>2.025062899811525E-3</v>
      </c>
      <c r="AM58" s="669">
        <f t="shared" si="99"/>
        <v>1.1569542742089212E-2</v>
      </c>
      <c r="AN58" s="669">
        <f t="shared" si="99"/>
        <v>2.2522522522523403E-3</v>
      </c>
      <c r="AO58" s="669">
        <f t="shared" si="99"/>
        <v>-1.6654827084261581E-2</v>
      </c>
      <c r="AP58" s="669">
        <f>IFERROR(AP18/AL38-1, "")</f>
        <v>-0.12958023398161289</v>
      </c>
    </row>
    <row r="59" spans="2:42">
      <c r="B59" s="66" t="s">
        <v>1354</v>
      </c>
      <c r="C59" s="669"/>
      <c r="D59" s="669"/>
      <c r="E59" s="669"/>
      <c r="F59" s="669"/>
      <c r="G59" s="665">
        <f>G19-F39</f>
        <v>10</v>
      </c>
      <c r="H59" s="665">
        <f t="shared" ref="H59:AA61" si="100">H19-G39</f>
        <v>13</v>
      </c>
      <c r="I59" s="665">
        <f t="shared" si="100"/>
        <v>10</v>
      </c>
      <c r="J59" s="665">
        <f t="shared" si="100"/>
        <v>15</v>
      </c>
      <c r="K59" s="665">
        <f t="shared" si="100"/>
        <v>20</v>
      </c>
      <c r="L59" s="665">
        <f t="shared" si="100"/>
        <v>15</v>
      </c>
      <c r="M59" s="665">
        <f t="shared" si="100"/>
        <v>14</v>
      </c>
      <c r="N59" s="665">
        <f t="shared" si="100"/>
        <v>15.408999999999992</v>
      </c>
      <c r="O59" s="665">
        <f t="shared" si="100"/>
        <v>13.591000000000008</v>
      </c>
      <c r="P59" s="665">
        <f t="shared" si="100"/>
        <v>-3</v>
      </c>
      <c r="Q59" s="665">
        <f t="shared" si="100"/>
        <v>-3.6259999999999764</v>
      </c>
      <c r="R59" s="665">
        <f t="shared" si="100"/>
        <v>-0.85500000000001819</v>
      </c>
      <c r="S59" s="665">
        <f t="shared" si="100"/>
        <v>3.4669999999999845</v>
      </c>
      <c r="T59" s="665">
        <f t="shared" si="100"/>
        <v>1.01400000000001</v>
      </c>
      <c r="U59" s="665">
        <f t="shared" si="100"/>
        <v>2</v>
      </c>
      <c r="V59" s="665">
        <f t="shared" si="100"/>
        <v>1.6177963062000345</v>
      </c>
      <c r="W59" s="665">
        <f t="shared" si="100"/>
        <v>5.3866670836997628</v>
      </c>
      <c r="X59" s="665">
        <f t="shared" si="100"/>
        <v>1.1440778550999084</v>
      </c>
      <c r="Y59" s="665">
        <f t="shared" si="100"/>
        <v>4.1550000000000864</v>
      </c>
      <c r="Z59" s="665">
        <f t="shared" si="100"/>
        <v>7.4624587550001706</v>
      </c>
      <c r="AA59" s="665">
        <f t="shared" si="100"/>
        <v>4.8850001000000702</v>
      </c>
      <c r="AB59" s="665">
        <f t="shared" ref="AB59:AG62" si="101">AB19-AA39</f>
        <v>8.0660000000000309</v>
      </c>
      <c r="AC59" s="665">
        <f t="shared" si="101"/>
        <v>5.8160000000000309</v>
      </c>
      <c r="AD59" s="665">
        <f t="shared" si="101"/>
        <v>4.4669998999999052</v>
      </c>
      <c r="AE59" s="665">
        <f t="shared" si="101"/>
        <v>9</v>
      </c>
      <c r="AF59" s="665">
        <f t="shared" si="101"/>
        <v>4</v>
      </c>
      <c r="AG59" s="665">
        <f t="shared" si="101"/>
        <v>7</v>
      </c>
      <c r="AH59" s="665">
        <f t="shared" ref="AH59:AO62" si="102">AH19-AG39</f>
        <v>6</v>
      </c>
      <c r="AI59" s="665">
        <f t="shared" ca="1" si="102"/>
        <v>13</v>
      </c>
      <c r="AJ59" s="665">
        <f t="shared" ca="1" si="102"/>
        <v>12</v>
      </c>
      <c r="AK59" s="665">
        <f t="shared" si="102"/>
        <v>12.008000200000083</v>
      </c>
      <c r="AL59" s="665">
        <f t="shared" si="102"/>
        <v>10.038999999999874</v>
      </c>
      <c r="AM59" s="665">
        <f t="shared" si="102"/>
        <v>25.15400000000011</v>
      </c>
      <c r="AN59" s="665">
        <f t="shared" si="102"/>
        <v>14.530999800000018</v>
      </c>
      <c r="AO59" s="665">
        <f t="shared" si="102"/>
        <v>-26.732000000000085</v>
      </c>
      <c r="AP59" s="665">
        <f>AP19-AO39</f>
        <v>22</v>
      </c>
    </row>
    <row r="60" spans="2:42">
      <c r="B60" s="66" t="s">
        <v>1355</v>
      </c>
      <c r="C60" s="669"/>
      <c r="D60" s="669"/>
      <c r="E60" s="669"/>
      <c r="F60" s="669"/>
      <c r="G60" s="665">
        <f>G20-F40</f>
        <v>10</v>
      </c>
      <c r="H60" s="665">
        <f t="shared" si="100"/>
        <v>14</v>
      </c>
      <c r="I60" s="665">
        <f t="shared" si="100"/>
        <v>11</v>
      </c>
      <c r="J60" s="665">
        <f t="shared" si="100"/>
        <v>11</v>
      </c>
      <c r="K60" s="665">
        <f t="shared" si="100"/>
        <v>32</v>
      </c>
      <c r="L60" s="665">
        <f t="shared" si="100"/>
        <v>18</v>
      </c>
      <c r="M60" s="665">
        <f t="shared" si="100"/>
        <v>15</v>
      </c>
      <c r="N60" s="665">
        <f t="shared" si="100"/>
        <v>16.740000000000009</v>
      </c>
      <c r="O60" s="665">
        <f t="shared" si="100"/>
        <v>10.259999999999991</v>
      </c>
      <c r="P60" s="665">
        <f t="shared" si="100"/>
        <v>-8</v>
      </c>
      <c r="Q60" s="665">
        <f t="shared" si="100"/>
        <v>-8.1309999999999718</v>
      </c>
      <c r="R60" s="665">
        <f t="shared" si="100"/>
        <v>-90.990000000000009</v>
      </c>
      <c r="S60" s="665">
        <f t="shared" si="100"/>
        <v>-8.8029999999999973</v>
      </c>
      <c r="T60" s="665">
        <f t="shared" si="100"/>
        <v>-4.0760000000000218</v>
      </c>
      <c r="U60" s="665">
        <f t="shared" si="100"/>
        <v>-4</v>
      </c>
      <c r="V60" s="665">
        <f t="shared" si="100"/>
        <v>-1.7370000000000232</v>
      </c>
      <c r="W60" s="665">
        <f t="shared" si="100"/>
        <v>3.0900000000000318</v>
      </c>
      <c r="X60" s="665">
        <f t="shared" si="100"/>
        <v>-1.896000000000015</v>
      </c>
      <c r="Y60" s="665">
        <f t="shared" si="100"/>
        <v>2.7230000000000132</v>
      </c>
      <c r="Z60" s="665">
        <f t="shared" si="100"/>
        <v>4.2549999999999955</v>
      </c>
      <c r="AA60" s="665">
        <f t="shared" si="100"/>
        <v>1.8969999999999914</v>
      </c>
      <c r="AB60" s="665">
        <f t="shared" si="101"/>
        <v>5.1360000000000241</v>
      </c>
      <c r="AC60" s="665">
        <f t="shared" si="101"/>
        <v>3.5919999999999845</v>
      </c>
      <c r="AD60" s="665">
        <f t="shared" si="101"/>
        <v>3.9399999999999977</v>
      </c>
      <c r="AE60" s="665">
        <f t="shared" si="101"/>
        <v>2</v>
      </c>
      <c r="AF60" s="665">
        <f t="shared" si="101"/>
        <v>1</v>
      </c>
      <c r="AG60" s="665">
        <f t="shared" si="101"/>
        <v>3</v>
      </c>
      <c r="AH60" s="665">
        <f t="shared" si="102"/>
        <v>4</v>
      </c>
      <c r="AI60" s="665">
        <f t="shared" ca="1" si="102"/>
        <v>13</v>
      </c>
      <c r="AJ60" s="665">
        <f t="shared" ca="1" si="102"/>
        <v>10</v>
      </c>
      <c r="AK60" s="665">
        <f t="shared" si="102"/>
        <v>6.6680000000000064</v>
      </c>
      <c r="AL60" s="665">
        <f t="shared" si="102"/>
        <v>12.341999999999985</v>
      </c>
      <c r="AM60" s="665">
        <f t="shared" si="102"/>
        <v>28.144999999999982</v>
      </c>
      <c r="AN60" s="665">
        <f t="shared" si="102"/>
        <v>17.845000000000027</v>
      </c>
      <c r="AO60" s="665">
        <f t="shared" si="102"/>
        <v>20</v>
      </c>
      <c r="AP60" s="665">
        <f>AP20-AO40</f>
        <v>14</v>
      </c>
    </row>
    <row r="61" spans="2:42">
      <c r="B61" s="66" t="s">
        <v>1356</v>
      </c>
      <c r="C61" s="669"/>
      <c r="D61" s="669"/>
      <c r="E61" s="669"/>
      <c r="F61" s="669"/>
      <c r="G61" s="665">
        <f>G21-F41</f>
        <v>-10</v>
      </c>
      <c r="H61" s="665">
        <f t="shared" si="100"/>
        <v>-7</v>
      </c>
      <c r="I61" s="665">
        <f t="shared" si="100"/>
        <v>-8</v>
      </c>
      <c r="J61" s="665">
        <f t="shared" si="100"/>
        <v>-6</v>
      </c>
      <c r="K61" s="665">
        <f t="shared" si="100"/>
        <v>-3</v>
      </c>
      <c r="L61" s="665">
        <f t="shared" si="100"/>
        <v>-36</v>
      </c>
      <c r="M61" s="665">
        <f t="shared" si="100"/>
        <v>-6</v>
      </c>
      <c r="N61" s="665">
        <f t="shared" si="100"/>
        <v>-12.282000000000153</v>
      </c>
      <c r="O61" s="665">
        <f t="shared" si="100"/>
        <v>-12.717999999999847</v>
      </c>
      <c r="P61" s="665">
        <f t="shared" si="100"/>
        <v>-58</v>
      </c>
      <c r="Q61" s="665">
        <f t="shared" si="100"/>
        <v>-0.70200000000022555</v>
      </c>
      <c r="R61" s="665">
        <f t="shared" si="100"/>
        <v>-30.692999999999756</v>
      </c>
      <c r="S61" s="665">
        <f t="shared" si="100"/>
        <v>-15.724999999999909</v>
      </c>
      <c r="T61" s="665">
        <f t="shared" si="100"/>
        <v>7.1199999999998909</v>
      </c>
      <c r="U61" s="665">
        <f t="shared" si="100"/>
        <v>-11</v>
      </c>
      <c r="V61" s="665">
        <f t="shared" si="100"/>
        <v>-24</v>
      </c>
      <c r="W61" s="665">
        <f t="shared" si="100"/>
        <v>-15.925999999999931</v>
      </c>
      <c r="X61" s="665">
        <f t="shared" si="100"/>
        <v>-33.875</v>
      </c>
      <c r="Y61" s="665">
        <f t="shared" si="100"/>
        <v>-16.673999999999978</v>
      </c>
      <c r="Z61" s="665">
        <f t="shared" si="100"/>
        <v>-15.130000000000109</v>
      </c>
      <c r="AA61" s="665">
        <f t="shared" si="100"/>
        <v>-15.159000000000106</v>
      </c>
      <c r="AB61" s="665">
        <f t="shared" si="101"/>
        <v>-14.188999999999851</v>
      </c>
      <c r="AC61" s="665">
        <f t="shared" si="101"/>
        <v>-22.384000000000015</v>
      </c>
      <c r="AD61" s="665">
        <f t="shared" si="101"/>
        <v>-21.663000000000011</v>
      </c>
      <c r="AE61" s="665">
        <f t="shared" si="101"/>
        <v>-45</v>
      </c>
      <c r="AF61" s="665">
        <f t="shared" si="101"/>
        <v>-23</v>
      </c>
      <c r="AG61" s="665">
        <f t="shared" si="101"/>
        <v>-18</v>
      </c>
      <c r="AH61" s="665">
        <f t="shared" si="102"/>
        <v>-51</v>
      </c>
      <c r="AI61" s="665">
        <f t="shared" ca="1" si="102"/>
        <v>-40</v>
      </c>
      <c r="AJ61" s="665">
        <f t="shared" ca="1" si="102"/>
        <v>1</v>
      </c>
      <c r="AK61" s="665">
        <f t="shared" si="102"/>
        <v>-24.768000000000029</v>
      </c>
      <c r="AL61" s="665">
        <f t="shared" si="102"/>
        <v>-6.9300000000000637</v>
      </c>
      <c r="AM61" s="665">
        <f t="shared" si="102"/>
        <v>-81.760999999999967</v>
      </c>
      <c r="AN61" s="665">
        <f t="shared" si="102"/>
        <v>-1.54099999999994</v>
      </c>
      <c r="AO61" s="665">
        <f t="shared" si="102"/>
        <v>-682</v>
      </c>
      <c r="AP61" s="665">
        <f>AP21-AO41</f>
        <v>10</v>
      </c>
    </row>
    <row r="62" spans="2:42">
      <c r="B62" s="66" t="s">
        <v>1357</v>
      </c>
      <c r="C62" s="669"/>
      <c r="D62" s="669"/>
      <c r="E62" s="669"/>
      <c r="F62" s="669"/>
      <c r="G62" s="665">
        <f t="shared" ref="G62:AA62" si="103">G22-F42</f>
        <v>0</v>
      </c>
      <c r="H62" s="665">
        <f t="shared" si="103"/>
        <v>0</v>
      </c>
      <c r="I62" s="665">
        <f t="shared" si="103"/>
        <v>0</v>
      </c>
      <c r="J62" s="665">
        <f t="shared" si="103"/>
        <v>0</v>
      </c>
      <c r="K62" s="665">
        <f t="shared" si="103"/>
        <v>0</v>
      </c>
      <c r="L62" s="665">
        <f t="shared" si="103"/>
        <v>0</v>
      </c>
      <c r="M62" s="665">
        <f t="shared" si="103"/>
        <v>0</v>
      </c>
      <c r="N62" s="665">
        <f t="shared" si="103"/>
        <v>0</v>
      </c>
      <c r="O62" s="665">
        <f t="shared" si="103"/>
        <v>0</v>
      </c>
      <c r="P62" s="665">
        <f t="shared" si="103"/>
        <v>0</v>
      </c>
      <c r="Q62" s="665">
        <f t="shared" si="103"/>
        <v>0</v>
      </c>
      <c r="R62" s="665">
        <f t="shared" si="103"/>
        <v>0</v>
      </c>
      <c r="S62" s="665">
        <f t="shared" si="103"/>
        <v>0</v>
      </c>
      <c r="T62" s="665">
        <f t="shared" si="103"/>
        <v>0</v>
      </c>
      <c r="U62" s="665">
        <f t="shared" si="103"/>
        <v>0</v>
      </c>
      <c r="V62" s="665">
        <f t="shared" si="103"/>
        <v>0</v>
      </c>
      <c r="W62" s="665">
        <f t="shared" si="103"/>
        <v>0</v>
      </c>
      <c r="X62" s="665">
        <f t="shared" si="103"/>
        <v>0</v>
      </c>
      <c r="Y62" s="665">
        <f t="shared" si="103"/>
        <v>0</v>
      </c>
      <c r="Z62" s="665">
        <f t="shared" si="103"/>
        <v>0</v>
      </c>
      <c r="AA62" s="665">
        <f t="shared" si="103"/>
        <v>0</v>
      </c>
      <c r="AB62" s="665">
        <f t="shared" si="101"/>
        <v>0</v>
      </c>
      <c r="AC62" s="665">
        <f t="shared" si="101"/>
        <v>0</v>
      </c>
      <c r="AD62" s="665">
        <f t="shared" si="101"/>
        <v>0</v>
      </c>
      <c r="AE62" s="665">
        <f t="shared" si="101"/>
        <v>0</v>
      </c>
      <c r="AF62" s="665">
        <f t="shared" si="101"/>
        <v>0</v>
      </c>
      <c r="AG62" s="665">
        <f t="shared" si="101"/>
        <v>0</v>
      </c>
      <c r="AH62" s="665">
        <f t="shared" si="102"/>
        <v>0</v>
      </c>
      <c r="AI62" s="665">
        <f t="shared" si="102"/>
        <v>0</v>
      </c>
      <c r="AJ62" s="665">
        <f t="shared" si="102"/>
        <v>0</v>
      </c>
      <c r="AK62" s="665">
        <f t="shared" si="102"/>
        <v>0</v>
      </c>
      <c r="AL62" s="665">
        <f t="shared" si="102"/>
        <v>0</v>
      </c>
      <c r="AM62" s="665">
        <f t="shared" si="102"/>
        <v>0</v>
      </c>
      <c r="AN62" s="665">
        <f t="shared" si="102"/>
        <v>0</v>
      </c>
      <c r="AO62" s="665">
        <f t="shared" si="102"/>
        <v>0</v>
      </c>
      <c r="AP62" s="665">
        <f>AP22-AO42</f>
        <v>0</v>
      </c>
    </row>
    <row r="67" spans="2:44" ht="15.4">
      <c r="B67" s="663" t="s">
        <v>2055</v>
      </c>
    </row>
    <row r="68" spans="2:44" ht="14.25">
      <c r="B68" s="941"/>
      <c r="C68" s="941"/>
      <c r="D68" s="941"/>
      <c r="E68" s="941"/>
      <c r="F68" s="941"/>
      <c r="G68" s="941"/>
      <c r="H68" s="941"/>
      <c r="I68" s="941"/>
      <c r="J68" s="941"/>
      <c r="K68" s="941"/>
      <c r="L68" s="941"/>
      <c r="M68" s="941"/>
      <c r="N68" s="942" t="str">
        <f t="shared" ref="N68:AK68" si="104">N4</f>
        <v>3Q17</v>
      </c>
      <c r="O68" s="942" t="str">
        <f t="shared" si="104"/>
        <v>4Q17</v>
      </c>
      <c r="P68" s="942" t="str">
        <f t="shared" si="104"/>
        <v>1Q18</v>
      </c>
      <c r="Q68" s="942" t="str">
        <f t="shared" si="104"/>
        <v>2Q18</v>
      </c>
      <c r="R68" s="942" t="str">
        <f t="shared" si="104"/>
        <v>3Q18</v>
      </c>
      <c r="S68" s="942" t="str">
        <f t="shared" si="104"/>
        <v>4Q18</v>
      </c>
      <c r="T68" s="942" t="str">
        <f t="shared" si="104"/>
        <v>1Q19</v>
      </c>
      <c r="U68" s="942" t="str">
        <f t="shared" si="104"/>
        <v>2Q19</v>
      </c>
      <c r="V68" s="942" t="str">
        <f t="shared" si="104"/>
        <v>3Q19</v>
      </c>
      <c r="W68" s="942" t="str">
        <f t="shared" si="104"/>
        <v>4Q19</v>
      </c>
      <c r="X68" s="942" t="str">
        <f t="shared" si="104"/>
        <v>1Q20</v>
      </c>
      <c r="Y68" s="942" t="str">
        <f t="shared" si="104"/>
        <v>2Q20</v>
      </c>
      <c r="Z68" s="942" t="str">
        <f t="shared" si="104"/>
        <v>3Q20</v>
      </c>
      <c r="AA68" s="942" t="str">
        <f t="shared" si="104"/>
        <v>4Q20</v>
      </c>
      <c r="AB68" s="942" t="str">
        <f t="shared" si="104"/>
        <v>1Q21</v>
      </c>
      <c r="AC68" s="942" t="str">
        <f t="shared" si="104"/>
        <v>2Q21</v>
      </c>
      <c r="AD68" s="942" t="str">
        <f t="shared" si="104"/>
        <v>3Q21</v>
      </c>
      <c r="AE68" s="942" t="str">
        <f t="shared" si="104"/>
        <v>4Q21</v>
      </c>
      <c r="AF68" s="942" t="str">
        <f t="shared" si="104"/>
        <v>1Q22</v>
      </c>
      <c r="AG68" s="942" t="str">
        <f t="shared" si="104"/>
        <v>2Q22</v>
      </c>
      <c r="AH68" s="942" t="str">
        <f t="shared" si="104"/>
        <v>3Q22</v>
      </c>
      <c r="AI68" s="942" t="str">
        <f t="shared" si="104"/>
        <v>4Q22</v>
      </c>
      <c r="AJ68" s="942" t="str">
        <f t="shared" si="104"/>
        <v>1Q23</v>
      </c>
      <c r="AK68" s="942" t="str">
        <f t="shared" si="104"/>
        <v>2Q23</v>
      </c>
      <c r="AL68" s="942" t="str">
        <f t="shared" ref="AL68:AN69" si="105">AL4</f>
        <v>3Q23</v>
      </c>
      <c r="AM68" s="942" t="str">
        <f t="shared" si="105"/>
        <v>4Q23</v>
      </c>
      <c r="AN68" s="942" t="str">
        <f t="shared" si="105"/>
        <v>1Q24</v>
      </c>
      <c r="AO68" s="942" t="str">
        <f t="shared" ref="AO68:AP68" si="106">AO4</f>
        <v>2Q24</v>
      </c>
      <c r="AP68" s="942" t="str">
        <f t="shared" si="106"/>
        <v>3Q24</v>
      </c>
      <c r="AQ68" s="1305"/>
      <c r="AR68" s="1305"/>
    </row>
    <row r="69" spans="2:44" ht="14.25">
      <c r="B69" s="564" t="s">
        <v>0</v>
      </c>
      <c r="C69" s="941"/>
      <c r="D69" s="941"/>
      <c r="E69" s="941"/>
      <c r="F69" s="941"/>
      <c r="G69" s="941"/>
      <c r="H69" s="941"/>
      <c r="I69" s="941"/>
      <c r="J69" s="941"/>
      <c r="K69" s="941"/>
      <c r="L69" s="941"/>
      <c r="M69" s="941"/>
      <c r="N69" s="943">
        <f>N5</f>
        <v>123.26492087999996</v>
      </c>
      <c r="O69" s="943">
        <f t="shared" ref="O69:AH69" si="107">O5</f>
        <v>128.19999999999999</v>
      </c>
      <c r="P69" s="943">
        <f t="shared" si="107"/>
        <v>123.39999999999999</v>
      </c>
      <c r="Q69" s="943">
        <f t="shared" si="107"/>
        <v>116.59352496999999</v>
      </c>
      <c r="R69" s="943">
        <f t="shared" si="107"/>
        <v>127.72728695000001</v>
      </c>
      <c r="S69" s="943">
        <f t="shared" si="107"/>
        <v>126.62886659</v>
      </c>
      <c r="T69" s="943">
        <f t="shared" si="107"/>
        <v>120.14045779999998</v>
      </c>
      <c r="U69" s="943">
        <f t="shared" si="107"/>
        <v>126.33641969000001</v>
      </c>
      <c r="V69" s="943">
        <f t="shared" si="107"/>
        <v>123.21828449999998</v>
      </c>
      <c r="W69" s="943">
        <f t="shared" si="107"/>
        <v>129.70959167000001</v>
      </c>
      <c r="X69" s="943">
        <f t="shared" si="107"/>
        <v>118.49999999999999</v>
      </c>
      <c r="Y69" s="943">
        <f t="shared" si="107"/>
        <v>119.89999999999999</v>
      </c>
      <c r="Z69" s="943">
        <f t="shared" si="107"/>
        <v>118.5</v>
      </c>
      <c r="AA69" s="943">
        <f t="shared" si="107"/>
        <v>123.1</v>
      </c>
      <c r="AB69" s="943">
        <f t="shared" si="107"/>
        <v>120.31740826000001</v>
      </c>
      <c r="AC69" s="943">
        <f t="shared" si="107"/>
        <v>116.89861353000001</v>
      </c>
      <c r="AD69" s="943">
        <f t="shared" si="107"/>
        <v>114.62449000999999</v>
      </c>
      <c r="AE69" s="943">
        <f t="shared" si="107"/>
        <v>111.00315124999999</v>
      </c>
      <c r="AF69" s="943">
        <f t="shared" si="107"/>
        <v>111.44918919</v>
      </c>
      <c r="AG69" s="943">
        <f t="shared" si="107"/>
        <v>112.58421442000001</v>
      </c>
      <c r="AH69" s="943">
        <f t="shared" si="107"/>
        <v>110.42555842000002</v>
      </c>
      <c r="AI69" s="943">
        <f>AI5</f>
        <v>112.07723925999994</v>
      </c>
      <c r="AJ69" s="943">
        <f>AJ5</f>
        <v>110.8</v>
      </c>
      <c r="AK69" s="943">
        <f>AK5</f>
        <v>110.40893118999998</v>
      </c>
      <c r="AL69" s="943">
        <f t="shared" si="105"/>
        <v>111.38130171000002</v>
      </c>
      <c r="AM69" s="943">
        <f t="shared" si="105"/>
        <v>119.47097866000001</v>
      </c>
      <c r="AN69" s="943">
        <f t="shared" si="105"/>
        <v>112.3</v>
      </c>
      <c r="AO69" s="943">
        <f t="shared" ref="AO69:AP69" si="108">AO5</f>
        <v>110.39999999999999</v>
      </c>
      <c r="AP69" s="943">
        <f t="shared" si="108"/>
        <v>102.39999999999999</v>
      </c>
    </row>
    <row r="70" spans="2:44">
      <c r="B70" s="564" t="s">
        <v>1348</v>
      </c>
      <c r="T70" s="665">
        <f>T81+Interims!AJ144</f>
        <v>51.19965406999998</v>
      </c>
      <c r="U70" s="665">
        <f>U81+Interims!AK144</f>
        <v>52.771954819999998</v>
      </c>
      <c r="V70" s="665">
        <f>V81+Interims!AL144</f>
        <v>55.53935013000001</v>
      </c>
      <c r="W70" s="665">
        <f>W81+Interims!AM144</f>
        <v>56.190112059999969</v>
      </c>
      <c r="X70" s="665">
        <f>X81+Interims!AO144</f>
        <v>50.891667949999977</v>
      </c>
      <c r="Y70" s="665">
        <f>Y81+Interims!AP144</f>
        <v>52.64590849999999</v>
      </c>
      <c r="Z70" s="665">
        <f>Z81+Interims!AQ144</f>
        <v>53.223961770000031</v>
      </c>
      <c r="AA70" s="665">
        <f>AA81+Interims!AR144</f>
        <v>49.97342243999995</v>
      </c>
      <c r="AB70" s="665">
        <f>AB81+Interims!AT144</f>
        <v>53.335000000000001</v>
      </c>
      <c r="AC70" s="665">
        <f>AC81+Interims!AU144</f>
        <v>48.393000000000008</v>
      </c>
      <c r="AD70" s="665">
        <f>AD81+Interims!AV144</f>
        <v>48.915999999999983</v>
      </c>
      <c r="AE70" s="665">
        <f>AE81+Interims!AW144</f>
        <v>37.690999999999995</v>
      </c>
      <c r="AF70" s="665">
        <f>AF81+Interims!AY144</f>
        <v>40.091999999999999</v>
      </c>
      <c r="AG70" s="665">
        <f>AG81+Interims!AZ144</f>
        <v>39.274000000000008</v>
      </c>
      <c r="AH70" s="665">
        <f>AH81+Interims!BA144</f>
        <v>38.287000000000006</v>
      </c>
      <c r="AI70" s="665">
        <f>AI81+Interims!BB144</f>
        <v>25.200000000000003</v>
      </c>
      <c r="AJ70" s="665">
        <f>AJ81+Interims!BD144</f>
        <v>33.908000000000001</v>
      </c>
      <c r="AK70" s="665">
        <f>AK81+Interims!BE144</f>
        <v>37.97186090999999</v>
      </c>
      <c r="AL70" s="665">
        <f>AL81+Interims!BF144</f>
        <v>37.707492620000025</v>
      </c>
      <c r="AM70" s="665">
        <f>AM81+Interims!BG144</f>
        <v>38.380000000000003</v>
      </c>
      <c r="AN70" s="665">
        <f>AN81+Interims!BH144</f>
        <v>2.8140000000000001</v>
      </c>
      <c r="AO70" s="665">
        <f>AO81+Interims!BI144</f>
        <v>31.367000000000001</v>
      </c>
      <c r="AP70" s="665">
        <f>AP81+Interims!BJ144</f>
        <v>37.799999999999997</v>
      </c>
    </row>
    <row r="71" spans="2:44" ht="14.25">
      <c r="B71" s="564" t="s">
        <v>161</v>
      </c>
      <c r="C71" s="941"/>
      <c r="D71" s="941"/>
      <c r="E71" s="941"/>
      <c r="F71" s="941"/>
      <c r="G71" s="941"/>
      <c r="H71" s="941"/>
      <c r="I71" s="941"/>
      <c r="J71" s="941"/>
      <c r="K71" s="941"/>
      <c r="L71" s="941"/>
      <c r="M71" s="941"/>
      <c r="N71" s="943">
        <f>N11</f>
        <v>22.2</v>
      </c>
      <c r="O71" s="943">
        <f t="shared" ref="O71:AH71" si="109">O11</f>
        <v>86.5</v>
      </c>
      <c r="P71" s="943">
        <f t="shared" si="109"/>
        <v>31.45286661122995</v>
      </c>
      <c r="Q71" s="943">
        <f t="shared" si="109"/>
        <v>45.679408636511994</v>
      </c>
      <c r="R71" s="943">
        <f t="shared" si="109"/>
        <v>47.030824565000003</v>
      </c>
      <c r="S71" s="943">
        <f t="shared" si="109"/>
        <v>34.868673407258044</v>
      </c>
      <c r="T71" s="943">
        <f t="shared" si="109"/>
        <v>34.299999999999997</v>
      </c>
      <c r="U71" s="943">
        <f t="shared" si="109"/>
        <v>32.299999999999997</v>
      </c>
      <c r="V71" s="943">
        <f t="shared" si="109"/>
        <v>41.499999999999993</v>
      </c>
      <c r="W71" s="943">
        <f t="shared" si="109"/>
        <v>53.981875354353804</v>
      </c>
      <c r="X71" s="943">
        <f t="shared" si="109"/>
        <v>30.199999999999996</v>
      </c>
      <c r="Y71" s="943">
        <f t="shared" si="109"/>
        <v>32.200000000000003</v>
      </c>
      <c r="Z71" s="943">
        <f t="shared" si="109"/>
        <v>33.700000000000003</v>
      </c>
      <c r="AA71" s="943">
        <f t="shared" si="109"/>
        <v>53.963011508699992</v>
      </c>
      <c r="AB71" s="943">
        <f t="shared" si="109"/>
        <v>32.471877443399997</v>
      </c>
      <c r="AC71" s="943">
        <f t="shared" si="109"/>
        <v>27.762999999999998</v>
      </c>
      <c r="AD71" s="943">
        <f t="shared" si="109"/>
        <v>32.528000000000006</v>
      </c>
      <c r="AE71" s="943">
        <f t="shared" si="109"/>
        <v>53.439000000000014</v>
      </c>
      <c r="AF71" s="943">
        <f t="shared" si="109"/>
        <v>26.881</v>
      </c>
      <c r="AG71" s="943">
        <f t="shared" si="109"/>
        <v>44.837999999999994</v>
      </c>
      <c r="AH71" s="943">
        <f t="shared" si="109"/>
        <v>53.212000000000003</v>
      </c>
      <c r="AI71" s="943">
        <f t="shared" ref="AI71:AN71" si="110">AI11</f>
        <v>49.94</v>
      </c>
      <c r="AJ71" s="943">
        <f t="shared" si="110"/>
        <v>43.558</v>
      </c>
      <c r="AK71" s="943">
        <f t="shared" si="110"/>
        <v>44.473000000000006</v>
      </c>
      <c r="AL71" s="943">
        <f t="shared" si="110"/>
        <v>41.894999999999982</v>
      </c>
      <c r="AM71" s="943">
        <f t="shared" si="110"/>
        <v>57.2</v>
      </c>
      <c r="AN71" s="943">
        <f t="shared" si="110"/>
        <v>46.3</v>
      </c>
      <c r="AO71" s="943">
        <f t="shared" ref="AO71:AP71" si="111">AO11</f>
        <v>52.3</v>
      </c>
      <c r="AP71" s="943">
        <f t="shared" si="111"/>
        <v>50</v>
      </c>
    </row>
    <row r="72" spans="2:44" ht="14.25">
      <c r="B72" s="564" t="s">
        <v>351</v>
      </c>
      <c r="C72" s="941"/>
      <c r="D72" s="941"/>
      <c r="E72" s="941"/>
      <c r="F72" s="941"/>
      <c r="G72" s="941"/>
      <c r="H72" s="941"/>
      <c r="I72" s="941"/>
      <c r="J72" s="941"/>
      <c r="K72" s="941"/>
      <c r="L72" s="941"/>
      <c r="M72" s="941"/>
      <c r="N72" s="941"/>
      <c r="O72" s="941"/>
      <c r="P72" s="943"/>
      <c r="Q72" s="943"/>
      <c r="R72" s="943"/>
      <c r="S72" s="943"/>
      <c r="T72" s="943">
        <f>T70-T71</f>
        <v>16.899654069999983</v>
      </c>
      <c r="U72" s="943">
        <f t="shared" ref="U72:AI72" si="112">U70-U71</f>
        <v>20.471954820000001</v>
      </c>
      <c r="V72" s="943">
        <f t="shared" si="112"/>
        <v>14.039350130000017</v>
      </c>
      <c r="W72" s="943">
        <f t="shared" si="112"/>
        <v>2.2082367056461649</v>
      </c>
      <c r="X72" s="943">
        <f t="shared" si="112"/>
        <v>20.691667949999982</v>
      </c>
      <c r="Y72" s="943">
        <f t="shared" si="112"/>
        <v>20.445908499999987</v>
      </c>
      <c r="Z72" s="943">
        <f t="shared" si="112"/>
        <v>19.523961770000028</v>
      </c>
      <c r="AA72" s="943">
        <f t="shared" si="112"/>
        <v>-3.9895890687000417</v>
      </c>
      <c r="AB72" s="943">
        <f t="shared" si="112"/>
        <v>20.863122556600004</v>
      </c>
      <c r="AC72" s="943">
        <f t="shared" si="112"/>
        <v>20.63000000000001</v>
      </c>
      <c r="AD72" s="943">
        <f t="shared" si="112"/>
        <v>16.387999999999977</v>
      </c>
      <c r="AE72" s="943">
        <f t="shared" si="112"/>
        <v>-15.748000000000019</v>
      </c>
      <c r="AF72" s="943">
        <f t="shared" si="112"/>
        <v>13.210999999999999</v>
      </c>
      <c r="AG72" s="943">
        <f t="shared" si="112"/>
        <v>-5.5639999999999858</v>
      </c>
      <c r="AH72" s="943">
        <f t="shared" si="112"/>
        <v>-14.924999999999997</v>
      </c>
      <c r="AI72" s="943">
        <f t="shared" si="112"/>
        <v>-24.739999999999995</v>
      </c>
      <c r="AJ72" s="943">
        <f t="shared" ref="AJ72:AO72" si="113">AJ70-AJ71</f>
        <v>-9.6499999999999986</v>
      </c>
      <c r="AK72" s="943">
        <f t="shared" si="113"/>
        <v>-6.5011390900000166</v>
      </c>
      <c r="AL72" s="943">
        <f t="shared" si="113"/>
        <v>-4.1875073799999569</v>
      </c>
      <c r="AM72" s="943">
        <f t="shared" si="113"/>
        <v>-18.82</v>
      </c>
      <c r="AN72" s="943">
        <f t="shared" si="113"/>
        <v>-43.485999999999997</v>
      </c>
      <c r="AO72" s="943">
        <f t="shared" si="113"/>
        <v>-20.932999999999996</v>
      </c>
      <c r="AP72" s="943">
        <f t="shared" ref="AP72" si="114">AP70-AP71</f>
        <v>-12.200000000000003</v>
      </c>
    </row>
    <row r="73" spans="2:44" ht="14.25">
      <c r="B73" s="564" t="s">
        <v>1552</v>
      </c>
      <c r="C73" s="941"/>
      <c r="D73" s="941"/>
      <c r="E73" s="941"/>
      <c r="F73" s="941"/>
      <c r="G73" s="941"/>
      <c r="H73" s="941"/>
      <c r="I73" s="941"/>
      <c r="J73" s="941"/>
      <c r="K73" s="941"/>
      <c r="L73" s="941"/>
      <c r="M73" s="941"/>
      <c r="N73" s="941"/>
      <c r="O73" s="941"/>
      <c r="P73" s="941"/>
      <c r="Q73" s="941"/>
      <c r="R73" s="941"/>
      <c r="S73" s="941"/>
      <c r="T73" s="944">
        <f>Interims!AJ142</f>
        <v>-12.551631781075987</v>
      </c>
      <c r="U73" s="944">
        <f>Interims!AK142</f>
        <v>-14.3803386989056</v>
      </c>
      <c r="V73" s="944">
        <f>Interims!AL142</f>
        <v>-12.582060633810791</v>
      </c>
      <c r="W73" s="944">
        <f>Interims!AM142</f>
        <v>-14.866946114006382</v>
      </c>
      <c r="X73" s="944">
        <f>Interims!AO142</f>
        <v>-12.725028040974284</v>
      </c>
      <c r="Y73" s="944">
        <f>Interims!AP142</f>
        <v>-14.358790770143028</v>
      </c>
      <c r="Z73" s="944">
        <f>Interims!AQ142</f>
        <v>-12.872181188882692</v>
      </c>
      <c r="AA73" s="944">
        <f>Interims!AR142</f>
        <v>-14.847999999999999</v>
      </c>
      <c r="AB73" s="944">
        <f>Interims!AT142</f>
        <v>-14.378</v>
      </c>
      <c r="AC73" s="944">
        <f>Interims!AU142</f>
        <v>-17.756999999999998</v>
      </c>
      <c r="AD73" s="944">
        <f>Interims!AV142</f>
        <v>-11.630000000000003</v>
      </c>
      <c r="AE73" s="944">
        <f>Interims!AW142</f>
        <v>-18.420999999999999</v>
      </c>
      <c r="AF73" s="944">
        <f>Interims!AY142</f>
        <v>-6.6929999999999996</v>
      </c>
      <c r="AG73" s="944">
        <f>Interims!AZ142</f>
        <v>-19.439999999999998</v>
      </c>
      <c r="AH73" s="944">
        <f>Interims!BA142</f>
        <v>-6.8250000000000011</v>
      </c>
      <c r="AI73" s="944">
        <f>Interims!BB142</f>
        <v>-15.3</v>
      </c>
      <c r="AJ73" s="944">
        <f>Interims!BD142</f>
        <v>-15.236000000000001</v>
      </c>
      <c r="AK73" s="944">
        <f>Interims!BE142</f>
        <v>-22.801999999999996</v>
      </c>
      <c r="AL73" s="944">
        <f>Interims!BF142</f>
        <v>-2.740000000000002</v>
      </c>
      <c r="AM73" s="944">
        <f>Interims!BG142</f>
        <v>-3.4</v>
      </c>
      <c r="AN73" s="944">
        <f>Interims!BH142</f>
        <v>-44.177999999999997</v>
      </c>
      <c r="AO73" s="944">
        <f>Interims!BI142</f>
        <v>-27</v>
      </c>
      <c r="AP73" s="944">
        <f>Interims!BJ142</f>
        <v>-4</v>
      </c>
    </row>
    <row r="74" spans="2:44" ht="14.25">
      <c r="B74" s="564" t="s">
        <v>360</v>
      </c>
      <c r="C74" s="941"/>
      <c r="D74" s="941"/>
      <c r="E74" s="941"/>
      <c r="F74" s="941"/>
      <c r="G74" s="941"/>
      <c r="H74" s="941"/>
      <c r="I74" s="941"/>
      <c r="J74" s="941"/>
      <c r="K74" s="941"/>
      <c r="L74" s="941"/>
      <c r="M74" s="941"/>
      <c r="N74" s="941"/>
      <c r="O74" s="941"/>
      <c r="P74" s="941"/>
      <c r="Q74" s="941"/>
      <c r="R74" s="941"/>
      <c r="S74" s="941"/>
      <c r="T74" s="944">
        <f>Interims!AJ143</f>
        <v>-0.42799999999999999</v>
      </c>
      <c r="U74" s="944">
        <f>Interims!AK143</f>
        <v>-1.7080000000000002</v>
      </c>
      <c r="V74" s="944">
        <f>Interims!AL143</f>
        <v>-8.4439999999999991</v>
      </c>
      <c r="W74" s="944">
        <f>Interims!AM143</f>
        <v>1.6600000000000001</v>
      </c>
      <c r="X74" s="944">
        <f>Interims!AO143</f>
        <v>-0.37</v>
      </c>
      <c r="Y74" s="944">
        <f>Interims!AP143</f>
        <v>0.223</v>
      </c>
      <c r="Z74" s="944">
        <f>Interims!AQ143</f>
        <v>-1.2989999999999999</v>
      </c>
      <c r="AA74" s="944">
        <f>Interims!AR143</f>
        <v>0.11899999999999999</v>
      </c>
      <c r="AB74" s="944">
        <f>Interims!AT143</f>
        <v>-0.17199999999999999</v>
      </c>
      <c r="AC74" s="944">
        <f>Interims!AU143</f>
        <v>-1.8030000000000002</v>
      </c>
      <c r="AD74" s="944">
        <f>Interims!AV143</f>
        <v>4.0830000000000002</v>
      </c>
      <c r="AE74" s="944">
        <f>Interims!AW143</f>
        <v>-5.6610000000000005</v>
      </c>
      <c r="AF74" s="944">
        <f>Interims!AY143</f>
        <v>-3.45</v>
      </c>
      <c r="AG74" s="944">
        <f>Interims!AZ143</f>
        <v>-0.82599999999999962</v>
      </c>
      <c r="AH74" s="944">
        <f>Interims!BA143</f>
        <v>-1.3130000000000006</v>
      </c>
      <c r="AI74" s="944">
        <f>Interims!BB143</f>
        <v>-4.5</v>
      </c>
      <c r="AJ74" s="944">
        <f>Interims!BD143</f>
        <v>0.873</v>
      </c>
      <c r="AK74" s="944">
        <f>Interims!BE143</f>
        <v>-0.253</v>
      </c>
      <c r="AL74" s="944">
        <f>Interims!BF143</f>
        <v>3.0000000000000027E-3</v>
      </c>
      <c r="AM74" s="944">
        <f>Interims!BG143</f>
        <v>-0.4</v>
      </c>
      <c r="AN74" s="944">
        <f>Interims!BH143</f>
        <v>0.22299999999999998</v>
      </c>
      <c r="AO74" s="944">
        <f>Interims!BI143</f>
        <v>-0.1</v>
      </c>
      <c r="AP74" s="944">
        <f>Interims!BJ143</f>
        <v>-0.7</v>
      </c>
    </row>
    <row r="75" spans="2:44" ht="14.25">
      <c r="B75" s="564" t="s">
        <v>1553</v>
      </c>
      <c r="C75" s="941"/>
      <c r="D75" s="941"/>
      <c r="E75" s="941"/>
      <c r="F75" s="941"/>
      <c r="G75" s="941"/>
      <c r="H75" s="941"/>
      <c r="I75" s="941"/>
      <c r="J75" s="941"/>
      <c r="K75" s="941"/>
      <c r="L75" s="941"/>
      <c r="M75" s="941"/>
      <c r="N75" s="941"/>
      <c r="O75" s="941"/>
      <c r="P75" s="941"/>
      <c r="Q75" s="941"/>
      <c r="R75" s="941"/>
      <c r="S75" s="941"/>
      <c r="T75" s="944">
        <f>Interims!AJ145</f>
        <v>11.345690000000001</v>
      </c>
      <c r="U75" s="944">
        <f>Interims!AK145</f>
        <v>-15.896710000000002</v>
      </c>
      <c r="V75" s="944">
        <f>Interims!AL145</f>
        <v>-0.53226999999999691</v>
      </c>
      <c r="W75" s="944">
        <f>Interims!AM145</f>
        <v>9.6639900000000001</v>
      </c>
      <c r="X75" s="944">
        <f>Interims!AO145</f>
        <v>4.9745699999999999</v>
      </c>
      <c r="Y75" s="944">
        <f>Interims!AP145</f>
        <v>-11.58849</v>
      </c>
      <c r="Z75" s="944">
        <f>Interims!AQ145</f>
        <v>0.45892000000000266</v>
      </c>
      <c r="AA75" s="944">
        <f>Interims!AR145</f>
        <v>10.140279999999999</v>
      </c>
      <c r="AB75" s="944">
        <f>Interims!AT145</f>
        <v>5.5639999999999983</v>
      </c>
      <c r="AC75" s="944">
        <f>Interims!AU145</f>
        <v>-26.859000000000002</v>
      </c>
      <c r="AD75" s="944">
        <f>Interims!AV145</f>
        <v>7.5990000000000038</v>
      </c>
      <c r="AE75" s="944">
        <f>Interims!AW145</f>
        <v>3.4109999999999996</v>
      </c>
      <c r="AF75" s="944">
        <f>Interims!AY145</f>
        <v>-2.6030000000000015</v>
      </c>
      <c r="AG75" s="944">
        <f>Interims!AZ145</f>
        <v>-2.1819999999999986</v>
      </c>
      <c r="AH75" s="944">
        <f>Interims!BA145</f>
        <v>-3.2139999999999986</v>
      </c>
      <c r="AI75" s="944">
        <f>Interims!BB145</f>
        <v>14.5</v>
      </c>
      <c r="AJ75" s="944">
        <f>Interims!BD145</f>
        <v>-25.329000000000001</v>
      </c>
      <c r="AK75" s="944">
        <f>Interims!BE145</f>
        <v>15.226999999999999</v>
      </c>
      <c r="AL75" s="944">
        <f>Interims!BF145</f>
        <v>-10.1</v>
      </c>
      <c r="AM75" s="944">
        <f>Interims!BG145</f>
        <v>8</v>
      </c>
      <c r="AN75" s="944">
        <f>Interims!BH145</f>
        <v>-12.202000000000002</v>
      </c>
      <c r="AO75" s="944">
        <f>Interims!BI145</f>
        <v>18.899999999999999</v>
      </c>
      <c r="AP75" s="944">
        <f>Interims!BJ145</f>
        <v>-4</v>
      </c>
    </row>
    <row r="76" spans="2:44" ht="14.25">
      <c r="B76" s="564" t="s">
        <v>1536</v>
      </c>
      <c r="C76" s="941"/>
      <c r="D76" s="941"/>
      <c r="E76" s="941"/>
      <c r="F76" s="941"/>
      <c r="G76" s="941"/>
      <c r="H76" s="941"/>
      <c r="I76" s="941"/>
      <c r="J76" s="941"/>
      <c r="K76" s="941"/>
      <c r="L76" s="941"/>
      <c r="M76" s="941"/>
      <c r="N76" s="941"/>
      <c r="O76" s="941"/>
      <c r="P76" s="943"/>
      <c r="Q76" s="943"/>
      <c r="R76" s="943"/>
      <c r="S76" s="943"/>
      <c r="T76" s="944">
        <f t="shared" ref="T76:AG76" si="115">T72+T73+T74+T75</f>
        <v>15.265712288923996</v>
      </c>
      <c r="U76" s="944">
        <f t="shared" si="115"/>
        <v>-11.513093878905602</v>
      </c>
      <c r="V76" s="944">
        <f t="shared" si="115"/>
        <v>-7.51898050381077</v>
      </c>
      <c r="W76" s="944">
        <f t="shared" si="115"/>
        <v>-1.3347194083602165</v>
      </c>
      <c r="X76" s="944">
        <f t="shared" si="115"/>
        <v>12.571209909025697</v>
      </c>
      <c r="Y76" s="944">
        <f t="shared" si="115"/>
        <v>-5.2783722701430404</v>
      </c>
      <c r="Z76" s="944">
        <f t="shared" si="115"/>
        <v>5.8117005811173392</v>
      </c>
      <c r="AA76" s="944">
        <f t="shared" si="115"/>
        <v>-8.5783090687000421</v>
      </c>
      <c r="AB76" s="944">
        <f t="shared" si="115"/>
        <v>11.877122556600003</v>
      </c>
      <c r="AC76" s="944">
        <f t="shared" si="115"/>
        <v>-25.788999999999991</v>
      </c>
      <c r="AD76" s="944">
        <f t="shared" si="115"/>
        <v>16.439999999999976</v>
      </c>
      <c r="AE76" s="944">
        <f t="shared" si="115"/>
        <v>-36.419000000000018</v>
      </c>
      <c r="AF76" s="944">
        <f t="shared" si="115"/>
        <v>0.46499999999999719</v>
      </c>
      <c r="AG76" s="944">
        <f t="shared" si="115"/>
        <v>-28.011999999999983</v>
      </c>
      <c r="AH76" s="944">
        <f t="shared" ref="AH76:AM76" si="116">AH72+AH73+AH74+AH75</f>
        <v>-26.277000000000001</v>
      </c>
      <c r="AI76" s="944">
        <f t="shared" si="116"/>
        <v>-30.039999999999992</v>
      </c>
      <c r="AJ76" s="944">
        <f t="shared" si="116"/>
        <v>-49.341999999999999</v>
      </c>
      <c r="AK76" s="944">
        <f t="shared" si="116"/>
        <v>-14.329139090000014</v>
      </c>
      <c r="AL76" s="944">
        <f t="shared" si="116"/>
        <v>-17.02450737999996</v>
      </c>
      <c r="AM76" s="944">
        <f t="shared" si="116"/>
        <v>-14.619999999999997</v>
      </c>
      <c r="AN76" s="944">
        <f t="shared" ref="AN76:AO76" si="117">AN72+AN73+AN74+AN75</f>
        <v>-99.642999999999986</v>
      </c>
      <c r="AO76" s="944">
        <f t="shared" si="117"/>
        <v>-29.132999999999996</v>
      </c>
      <c r="AP76" s="944">
        <f t="shared" ref="AP76" si="118">AP72+AP73+AP74+AP75</f>
        <v>-20.900000000000002</v>
      </c>
    </row>
    <row r="77" spans="2:44">
      <c r="B77" s="564" t="s">
        <v>1570</v>
      </c>
      <c r="T77" s="964">
        <f t="shared" ref="T77:AI77" si="119">T80</f>
        <v>1386.4327870700001</v>
      </c>
      <c r="U77" s="964">
        <f t="shared" si="119"/>
        <v>1402.77031081</v>
      </c>
      <c r="V77" s="964">
        <f t="shared" si="119"/>
        <v>1418.0442445699998</v>
      </c>
      <c r="W77" s="964">
        <f t="shared" si="119"/>
        <v>1422.04685406</v>
      </c>
      <c r="X77" s="964">
        <f t="shared" si="119"/>
        <v>1409.1620117700002</v>
      </c>
      <c r="Y77" s="964">
        <f t="shared" si="119"/>
        <v>1410.9633064700001</v>
      </c>
      <c r="Z77" s="964">
        <f t="shared" si="119"/>
        <v>1404.2671379000001</v>
      </c>
      <c r="AA77" s="964">
        <f t="shared" si="119"/>
        <v>1400.5103227499999</v>
      </c>
      <c r="AB77" s="964">
        <f t="shared" si="119"/>
        <v>1400.5159999999998</v>
      </c>
      <c r="AC77" s="964">
        <f t="shared" si="119"/>
        <v>970.81600000000003</v>
      </c>
      <c r="AD77" s="964">
        <f t="shared" si="119"/>
        <v>960.22400000000016</v>
      </c>
      <c r="AE77" s="964">
        <f t="shared" si="119"/>
        <v>984.40600000000006</v>
      </c>
      <c r="AF77" s="964">
        <f t="shared" si="119"/>
        <v>992.35099999999989</v>
      </c>
      <c r="AG77" s="964">
        <f t="shared" si="119"/>
        <v>1015.474</v>
      </c>
      <c r="AH77" s="964">
        <f t="shared" si="119"/>
        <v>1047.8989999999999</v>
      </c>
      <c r="AI77" s="964">
        <f t="shared" si="119"/>
        <v>1019.5</v>
      </c>
      <c r="AJ77" s="964">
        <f t="shared" ref="AJ77:AO77" si="120">AJ80</f>
        <v>1072.373</v>
      </c>
      <c r="AK77" s="964">
        <f t="shared" si="120"/>
        <v>1083.7769999999998</v>
      </c>
      <c r="AL77" s="964">
        <f t="shared" si="120"/>
        <v>1104.6910000000003</v>
      </c>
      <c r="AM77" s="964">
        <f t="shared" si="120"/>
        <v>1193.894</v>
      </c>
      <c r="AN77" s="964">
        <f t="shared" si="120"/>
        <v>1193.894</v>
      </c>
      <c r="AO77" s="964">
        <f t="shared" si="120"/>
        <v>1323.096</v>
      </c>
      <c r="AP77" s="964">
        <f t="shared" ref="AP77" si="121">AP80</f>
        <v>1394.4</v>
      </c>
    </row>
    <row r="78" spans="2:44" ht="14.25">
      <c r="B78" s="564" t="s">
        <v>825</v>
      </c>
      <c r="C78" s="941"/>
      <c r="D78" s="941"/>
      <c r="E78" s="941"/>
      <c r="F78" s="941"/>
      <c r="G78" s="941"/>
      <c r="H78" s="941"/>
      <c r="I78" s="941"/>
      <c r="J78" s="941"/>
      <c r="K78" s="941"/>
      <c r="L78" s="941"/>
      <c r="M78" s="941"/>
      <c r="N78" s="941"/>
      <c r="O78" s="941"/>
      <c r="P78" s="941"/>
      <c r="Q78" s="941"/>
      <c r="R78" s="941"/>
      <c r="S78" s="941"/>
      <c r="T78" s="944">
        <f>Interims!AJ149</f>
        <v>3.1533885399999235</v>
      </c>
      <c r="U78" s="944">
        <f>Interims!AK149</f>
        <v>-16.337523739999824</v>
      </c>
      <c r="V78" s="944">
        <f>Interims!AL149</f>
        <v>-15.273933759999863</v>
      </c>
      <c r="W78" s="944">
        <f>Interims!AM149</f>
        <v>-4.0026094900001681</v>
      </c>
      <c r="X78" s="944">
        <f>Interims!AO149</f>
        <v>12.884842289999824</v>
      </c>
      <c r="Y78" s="944">
        <f>Interims!AP149</f>
        <v>-1.8012946999999713</v>
      </c>
      <c r="Z78" s="944">
        <f>Interims!AQ149</f>
        <v>6.6961685700000544</v>
      </c>
      <c r="AA78" s="944">
        <f>Interims!AR149</f>
        <v>3.7568151500001932</v>
      </c>
      <c r="AB78" s="944">
        <f>Interims!AT149</f>
        <v>-5.6772499999624415E-3</v>
      </c>
      <c r="AC78" s="944">
        <f>Interims!AU149</f>
        <v>429.69999999999982</v>
      </c>
      <c r="AD78" s="944">
        <f>Interims!AV149</f>
        <v>10.591999999999871</v>
      </c>
      <c r="AE78" s="944">
        <f>Interims!AW149</f>
        <v>-24.181999999999903</v>
      </c>
      <c r="AF78" s="944">
        <f>Interims!AY149</f>
        <v>-7.9449999999998226</v>
      </c>
      <c r="AG78" s="944">
        <f>Interims!AZ149</f>
        <v>-23.123000000000161</v>
      </c>
      <c r="AH78" s="944">
        <f>Interims!BA149</f>
        <v>-32.424999999999841</v>
      </c>
      <c r="AI78" s="944">
        <f>Interims!BB149</f>
        <v>28.398999999999887</v>
      </c>
      <c r="AJ78" s="944">
        <f>Interims!BD149</f>
        <v>-52.873000000000047</v>
      </c>
      <c r="AK78" s="944">
        <f>Interims!BE149</f>
        <v>-11.403999999999769</v>
      </c>
      <c r="AL78" s="944">
        <f>Interims!BF149</f>
        <v>-20.914000000000442</v>
      </c>
      <c r="AM78" s="944">
        <f>Interims!BG149</f>
        <v>-89.202999999999747</v>
      </c>
      <c r="AN78" s="944">
        <f>Interims!BH149</f>
        <v>-150.39400000000001</v>
      </c>
      <c r="AO78" s="944">
        <f>Interims!BI149</f>
        <v>-129.202</v>
      </c>
      <c r="AP78" s="944">
        <f>Interims!BJ149</f>
        <v>-71.304000000000087</v>
      </c>
    </row>
    <row r="79" spans="2:44">
      <c r="B79" s="564"/>
    </row>
    <row r="80" spans="2:44" ht="14.25">
      <c r="B80" s="564" t="s">
        <v>160</v>
      </c>
      <c r="C80" s="941"/>
      <c r="D80" s="941"/>
      <c r="E80" s="941"/>
      <c r="F80" s="941"/>
      <c r="G80" s="941"/>
      <c r="H80" s="941"/>
      <c r="I80" s="941"/>
      <c r="J80" s="941"/>
      <c r="K80" s="941"/>
      <c r="L80" s="941"/>
      <c r="M80" s="941"/>
      <c r="N80" s="941"/>
      <c r="O80" s="941"/>
      <c r="P80" s="941"/>
      <c r="Q80" s="941"/>
      <c r="R80" s="941"/>
      <c r="S80" s="941"/>
      <c r="T80" s="944">
        <f>Interims!AJ155</f>
        <v>1386.4327870700001</v>
      </c>
      <c r="U80" s="944">
        <f>Interims!AK155</f>
        <v>1402.77031081</v>
      </c>
      <c r="V80" s="944">
        <f>Interims!AL155</f>
        <v>1418.0442445699998</v>
      </c>
      <c r="W80" s="944">
        <f>Interims!AM155</f>
        <v>1422.04685406</v>
      </c>
      <c r="X80" s="944">
        <f>Interims!AO155</f>
        <v>1409.1620117700002</v>
      </c>
      <c r="Y80" s="944">
        <f>Interims!AP155</f>
        <v>1410.9633064700001</v>
      </c>
      <c r="Z80" s="944">
        <f>Interims!AQ155</f>
        <v>1404.2671379000001</v>
      </c>
      <c r="AA80" s="944">
        <f>Interims!AR155</f>
        <v>1400.5103227499999</v>
      </c>
      <c r="AB80" s="944">
        <f>Interims!AT155</f>
        <v>1400.5159999999998</v>
      </c>
      <c r="AC80" s="944">
        <f>Interims!AU155</f>
        <v>970.81600000000003</v>
      </c>
      <c r="AD80" s="944">
        <f>Interims!AV155</f>
        <v>960.22400000000016</v>
      </c>
      <c r="AE80" s="944">
        <f>Interims!AW155</f>
        <v>984.40600000000006</v>
      </c>
      <c r="AF80" s="944">
        <f>Interims!AY155</f>
        <v>992.35099999999989</v>
      </c>
      <c r="AG80" s="944">
        <f>Interims!AZ155</f>
        <v>1015.474</v>
      </c>
      <c r="AH80" s="944">
        <f>Interims!BA155</f>
        <v>1047.8989999999999</v>
      </c>
      <c r="AI80" s="944">
        <f>Interims!BB155</f>
        <v>1019.5</v>
      </c>
      <c r="AJ80" s="944">
        <f>Interims!BD155</f>
        <v>1072.373</v>
      </c>
      <c r="AK80" s="944">
        <f>Interims!BE155</f>
        <v>1083.7769999999998</v>
      </c>
      <c r="AL80" s="944">
        <f>Interims!BF155</f>
        <v>1104.6910000000003</v>
      </c>
      <c r="AM80" s="944">
        <f>Interims!BG155</f>
        <v>1193.894</v>
      </c>
      <c r="AN80" s="944">
        <f>Interims!BH155</f>
        <v>1193.894</v>
      </c>
      <c r="AO80" s="944">
        <f>Interims!BI155</f>
        <v>1323.096</v>
      </c>
      <c r="AP80" s="944">
        <f>Interims!BJ155</f>
        <v>1394.4</v>
      </c>
    </row>
    <row r="81" spans="2:42" ht="14.25">
      <c r="B81" s="564" t="s">
        <v>281</v>
      </c>
      <c r="C81" s="941"/>
      <c r="D81" s="941"/>
      <c r="E81" s="941"/>
      <c r="F81" s="941"/>
      <c r="G81" s="941"/>
      <c r="H81" s="941"/>
      <c r="I81" s="941"/>
      <c r="J81" s="941"/>
      <c r="K81" s="941"/>
      <c r="L81" s="941"/>
      <c r="M81" s="941"/>
      <c r="N81" s="943">
        <f t="shared" ref="N81:AI81" si="122">N10</f>
        <v>68.284728079999951</v>
      </c>
      <c r="O81" s="943">
        <f t="shared" si="122"/>
        <v>72.8</v>
      </c>
      <c r="P81" s="943">
        <f t="shared" si="122"/>
        <v>62.421794239999983</v>
      </c>
      <c r="Q81" s="943">
        <f t="shared" si="122"/>
        <v>52.60494147</v>
      </c>
      <c r="R81" s="943">
        <f t="shared" si="122"/>
        <v>58.627616579999994</v>
      </c>
      <c r="S81" s="943">
        <f t="shared" si="122"/>
        <v>59.342259660000025</v>
      </c>
      <c r="T81" s="943">
        <f t="shared" si="122"/>
        <v>56.814654069999982</v>
      </c>
      <c r="U81" s="943">
        <f t="shared" si="122"/>
        <v>58.350954819999998</v>
      </c>
      <c r="V81" s="943">
        <f t="shared" si="122"/>
        <v>61.223350130000007</v>
      </c>
      <c r="W81" s="943">
        <f t="shared" si="122"/>
        <v>63.065112059999969</v>
      </c>
      <c r="X81" s="943">
        <f t="shared" si="122"/>
        <v>57.117667949999976</v>
      </c>
      <c r="Y81" s="943">
        <f t="shared" si="122"/>
        <v>60.742908499999992</v>
      </c>
      <c r="Z81" s="943">
        <f t="shared" si="122"/>
        <v>59.530961770000033</v>
      </c>
      <c r="AA81" s="943">
        <f t="shared" si="122"/>
        <v>64.792422439999953</v>
      </c>
      <c r="AB81" s="943">
        <f t="shared" si="122"/>
        <v>62.027999999999999</v>
      </c>
      <c r="AC81" s="943">
        <f t="shared" si="122"/>
        <v>57.342000000000006</v>
      </c>
      <c r="AD81" s="943">
        <f t="shared" si="122"/>
        <v>58.277999999999984</v>
      </c>
      <c r="AE81" s="943">
        <f t="shared" si="122"/>
        <v>48.805</v>
      </c>
      <c r="AF81" s="943">
        <f t="shared" si="122"/>
        <v>48.966999999999999</v>
      </c>
      <c r="AG81" s="943">
        <f t="shared" si="122"/>
        <v>48.570000000000007</v>
      </c>
      <c r="AH81" s="943">
        <f t="shared" si="122"/>
        <v>48.346000000000004</v>
      </c>
      <c r="AI81" s="943">
        <f t="shared" si="122"/>
        <v>35.700000000000003</v>
      </c>
      <c r="AJ81" s="943">
        <f t="shared" ref="AJ81:AN81" si="123">AJ10</f>
        <v>44.160000000000004</v>
      </c>
      <c r="AK81" s="943">
        <f t="shared" si="123"/>
        <v>48.670860909999988</v>
      </c>
      <c r="AL81" s="943">
        <f t="shared" si="123"/>
        <v>48.622492620000024</v>
      </c>
      <c r="AM81" s="943">
        <f t="shared" si="123"/>
        <v>51.6</v>
      </c>
      <c r="AN81" s="943">
        <f t="shared" si="123"/>
        <v>47.9</v>
      </c>
      <c r="AO81" s="943">
        <f>AO10</f>
        <v>45.1</v>
      </c>
      <c r="AP81" s="943">
        <f>AP10</f>
        <v>48.6</v>
      </c>
    </row>
    <row r="82" spans="2:42" ht="14.25">
      <c r="B82" s="1286"/>
    </row>
    <row r="83" spans="2:42" ht="14.25">
      <c r="B83" s="1286"/>
    </row>
    <row r="84" spans="2:42" ht="14.25">
      <c r="B84" s="1286"/>
      <c r="AB84" s="1306">
        <v>2022</v>
      </c>
      <c r="AC84" s="1306">
        <v>2023</v>
      </c>
      <c r="AD84" s="1306">
        <f t="shared" ref="AD84:AJ84" si="124">AC84+1</f>
        <v>2024</v>
      </c>
      <c r="AE84" s="1306">
        <f t="shared" si="124"/>
        <v>2025</v>
      </c>
      <c r="AF84" s="1306">
        <f t="shared" si="124"/>
        <v>2026</v>
      </c>
      <c r="AG84" s="1306">
        <f t="shared" si="124"/>
        <v>2027</v>
      </c>
      <c r="AH84" s="1306">
        <f t="shared" si="124"/>
        <v>2028</v>
      </c>
      <c r="AI84" s="1306">
        <f t="shared" si="124"/>
        <v>2029</v>
      </c>
      <c r="AJ84" s="1306">
        <f t="shared" si="124"/>
        <v>2030</v>
      </c>
    </row>
    <row r="85" spans="2:42">
      <c r="B85" s="564" t="s">
        <v>0</v>
      </c>
      <c r="AB85" s="1307">
        <f>Model!L9</f>
        <v>446.53620129000001</v>
      </c>
      <c r="AC85" s="1307">
        <f>Model!M9</f>
        <v>452.06121156</v>
      </c>
      <c r="AD85" s="1307">
        <f ca="1">Model!N9</f>
        <v>433.86462054566306</v>
      </c>
      <c r="AE85" s="1307">
        <f ca="1">Model!O9</f>
        <v>434.14953674314324</v>
      </c>
      <c r="AF85" s="1307">
        <f ca="1">Model!P9</f>
        <v>462.82185958200864</v>
      </c>
      <c r="AG85" s="1307">
        <f ca="1">Model!Q9</f>
        <v>489.86188981053959</v>
      </c>
      <c r="AH85" s="1307">
        <f ca="1">Model!R9</f>
        <v>518.46892095649082</v>
      </c>
      <c r="AI85" s="1307">
        <f ca="1">Model!S9</f>
        <v>551.9682456787674</v>
      </c>
      <c r="AJ85" s="1307">
        <f ca="1">Model!T9</f>
        <v>585.33632681154825</v>
      </c>
    </row>
    <row r="86" spans="2:42">
      <c r="B86" s="564" t="s">
        <v>281</v>
      </c>
      <c r="AB86" s="1308">
        <f>Model!L12+Model!M131</f>
        <v>136.49700000000001</v>
      </c>
      <c r="AC86" s="1308">
        <f ca="1">Model!M12+Model!N131</f>
        <v>145.85454653151407</v>
      </c>
      <c r="AD86" s="1308">
        <f ca="1">Model!N12+Model!O131</f>
        <v>139.97974954401991</v>
      </c>
      <c r="AE86" s="1308">
        <f ca="1">Model!O12+Model!P131</f>
        <v>147.26576222893047</v>
      </c>
      <c r="AF86" s="1308">
        <f ca="1">Model!P12+Model!Q131</f>
        <v>164.68398168306288</v>
      </c>
      <c r="AG86" s="1308">
        <f ca="1">Model!Q12+Model!R131</f>
        <v>183.62711092244257</v>
      </c>
      <c r="AH86" s="1308">
        <f ca="1">Model!R12+Model!S131</f>
        <v>204.10503433769716</v>
      </c>
      <c r="AI86" s="1308">
        <f ca="1">Model!S12+Model!T131</f>
        <v>228.47661400054051</v>
      </c>
      <c r="AJ86" s="1308">
        <f ca="1">Model!T12+Model!U131</f>
        <v>253.79495662173173</v>
      </c>
    </row>
    <row r="87" spans="2:42">
      <c r="B87" s="564" t="s">
        <v>161</v>
      </c>
      <c r="AB87" s="1308">
        <f>Model!L23</f>
        <v>186</v>
      </c>
      <c r="AC87" s="1308">
        <f>Model!M23</f>
        <v>187</v>
      </c>
      <c r="AD87" s="1308">
        <f ca="1">Model!N23</f>
        <v>193.26969502103239</v>
      </c>
      <c r="AE87" s="1308">
        <f ca="1">Model!O23</f>
        <v>187.46621537875632</v>
      </c>
      <c r="AF87" s="1308">
        <f ca="1">Model!P23</f>
        <v>190.60693133023656</v>
      </c>
      <c r="AG87" s="1308">
        <f ca="1">Model!Q23</f>
        <v>202.94415147376913</v>
      </c>
      <c r="AH87" s="1308">
        <f ca="1">Model!R23</f>
        <v>202.99840863051455</v>
      </c>
      <c r="AI87" s="1308">
        <f ca="1">Model!S23</f>
        <v>231.88698917188097</v>
      </c>
      <c r="AJ87" s="1308">
        <f ca="1">Model!T23</f>
        <v>230.4678702221118</v>
      </c>
    </row>
    <row r="88" spans="2:42">
      <c r="B88" s="564" t="s">
        <v>351</v>
      </c>
      <c r="AB88" s="1308">
        <f>AB86-AB87</f>
        <v>-49.502999999999986</v>
      </c>
      <c r="AC88" s="1308">
        <f t="shared" ref="AC88:AJ88" ca="1" si="125">AC86-AC87</f>
        <v>-41.145453468485925</v>
      </c>
      <c r="AD88" s="1308">
        <f t="shared" ca="1" si="125"/>
        <v>-53.289945477012481</v>
      </c>
      <c r="AE88" s="1308">
        <f t="shared" ca="1" si="125"/>
        <v>-40.200453149825847</v>
      </c>
      <c r="AF88" s="1308">
        <f t="shared" ca="1" si="125"/>
        <v>-25.922949647173681</v>
      </c>
      <c r="AG88" s="1308">
        <f t="shared" ca="1" si="125"/>
        <v>-19.317040551326556</v>
      </c>
      <c r="AH88" s="1308">
        <f t="shared" ca="1" si="125"/>
        <v>1.1066257071826158</v>
      </c>
      <c r="AI88" s="1308">
        <f t="shared" ca="1" si="125"/>
        <v>-3.410375171340462</v>
      </c>
      <c r="AJ88" s="1308">
        <f t="shared" ca="1" si="125"/>
        <v>23.32708639961993</v>
      </c>
    </row>
    <row r="89" spans="2:42">
      <c r="B89" s="564" t="s">
        <v>1552</v>
      </c>
      <c r="AB89" s="1307">
        <f>Model!L129</f>
        <v>-48.257999999999996</v>
      </c>
      <c r="AC89" s="1307">
        <f>Model!M129</f>
        <v>-44.177999999999997</v>
      </c>
      <c r="AD89" s="1307">
        <f>Model!N129</f>
        <v>-37.31</v>
      </c>
      <c r="AE89" s="1307">
        <f>Model!O129</f>
        <v>-7.5150000000000006</v>
      </c>
      <c r="AF89" s="1307">
        <f>Model!P129</f>
        <v>-9.6150000000000002</v>
      </c>
      <c r="AG89" s="1307">
        <f ca="1">Model!Q129</f>
        <v>-11.648314379180837</v>
      </c>
      <c r="AH89" s="1307">
        <f ca="1">Model!R129</f>
        <v>-14.515889224316352</v>
      </c>
      <c r="AI89" s="1307">
        <f ca="1">Model!S129</f>
        <v>-615.01856336828996</v>
      </c>
      <c r="AJ89" s="1307">
        <f ca="1">Model!T129</f>
        <v>-137.19856336828985</v>
      </c>
    </row>
    <row r="90" spans="2:42">
      <c r="B90" s="564" t="s">
        <v>360</v>
      </c>
      <c r="AB90" s="1307">
        <f>Model!L130</f>
        <v>-10.089</v>
      </c>
      <c r="AC90" s="1307">
        <f>Model!M130</f>
        <v>0.22299999999999998</v>
      </c>
      <c r="AD90" s="1307">
        <f>Model!N130</f>
        <v>-2</v>
      </c>
      <c r="AE90" s="1307">
        <f ca="1">Model!O130</f>
        <v>0</v>
      </c>
      <c r="AF90" s="1307">
        <f ca="1">Model!P130</f>
        <v>0</v>
      </c>
      <c r="AG90" s="1307">
        <f ca="1">Model!Q130</f>
        <v>0</v>
      </c>
      <c r="AH90" s="1307">
        <f ca="1">Model!R130</f>
        <v>0</v>
      </c>
      <c r="AI90" s="1307">
        <f ca="1">Model!S130</f>
        <v>0</v>
      </c>
      <c r="AJ90" s="1307">
        <f ca="1">Model!T130</f>
        <v>0</v>
      </c>
    </row>
    <row r="91" spans="2:42">
      <c r="B91" s="564" t="s">
        <v>1553</v>
      </c>
      <c r="AB91" s="1307">
        <f>Model!L132</f>
        <v>6.5010000000000012</v>
      </c>
      <c r="AC91" s="1307">
        <f>Model!M132</f>
        <v>-12.202000000000002</v>
      </c>
      <c r="AD91" s="1307">
        <f>Model!N132</f>
        <v>15</v>
      </c>
      <c r="AE91" s="1307">
        <f>Model!O132</f>
        <v>-10</v>
      </c>
      <c r="AF91" s="1307">
        <f>Model!P132</f>
        <v>-5</v>
      </c>
      <c r="AG91" s="1307">
        <f>Model!Q132</f>
        <v>0</v>
      </c>
      <c r="AH91" s="1307">
        <f>Model!R132</f>
        <v>0</v>
      </c>
      <c r="AI91" s="1307">
        <f>Model!S132</f>
        <v>0</v>
      </c>
      <c r="AJ91" s="1307">
        <f>Model!T132</f>
        <v>0</v>
      </c>
    </row>
    <row r="92" spans="2:42">
      <c r="B92" s="564" t="s">
        <v>1536</v>
      </c>
      <c r="AB92" s="1308">
        <f>AB91+AB88+AB89+AB90</f>
        <v>-101.34899999999998</v>
      </c>
      <c r="AC92" s="1308">
        <f t="shared" ref="AC92:AJ92" ca="1" si="126">AC91+AC88+AC89+AC90</f>
        <v>-97.302453468485922</v>
      </c>
      <c r="AD92" s="1308">
        <f t="shared" ca="1" si="126"/>
        <v>-77.599945477012483</v>
      </c>
      <c r="AE92" s="1308">
        <f t="shared" ca="1" si="126"/>
        <v>-57.715453149825848</v>
      </c>
      <c r="AF92" s="1308">
        <f t="shared" ca="1" si="126"/>
        <v>-40.537949647173683</v>
      </c>
      <c r="AG92" s="1308">
        <f t="shared" ca="1" si="126"/>
        <v>-30.965354930507395</v>
      </c>
      <c r="AH92" s="1308">
        <f t="shared" ca="1" si="126"/>
        <v>-13.409263517133736</v>
      </c>
      <c r="AI92" s="1308">
        <f t="shared" ca="1" si="126"/>
        <v>-618.42893853963039</v>
      </c>
      <c r="AJ92" s="1308">
        <f t="shared" ca="1" si="126"/>
        <v>-113.87147696866992</v>
      </c>
    </row>
    <row r="93" spans="2:42">
      <c r="B93" s="564" t="s">
        <v>160</v>
      </c>
      <c r="AB93" s="1307">
        <f>Model!L138-Model!L171</f>
        <v>1009.5</v>
      </c>
      <c r="AC93" s="1307">
        <f>Model!M138-Model!M171</f>
        <v>1159.894</v>
      </c>
      <c r="AD93" s="1307">
        <f ca="1">Model!N138-Model!N171</f>
        <v>1073.7939454770124</v>
      </c>
      <c r="AE93" s="1307">
        <f ca="1">Model!O138-Model!O171</f>
        <v>1106.5093986268382</v>
      </c>
      <c r="AF93" s="1307">
        <f ca="1">Model!P138-Model!P171</f>
        <v>1167.0473482740119</v>
      </c>
      <c r="AG93" s="1307">
        <f ca="1">Model!Q138-Model!Q171</f>
        <v>1208.0127032045193</v>
      </c>
      <c r="AH93" s="1307">
        <f ca="1">Model!R138-Model!R171</f>
        <v>1231.421966721653</v>
      </c>
      <c r="AI93" s="1307">
        <f ca="1">Model!S138-Model!S171</f>
        <v>1858.5509052612833</v>
      </c>
      <c r="AJ93" s="1307">
        <f ca="1">Model!T138-Model!T171</f>
        <v>1982.4223822299532</v>
      </c>
    </row>
    <row r="94" spans="2:42">
      <c r="B94" s="564" t="s">
        <v>825</v>
      </c>
      <c r="AB94" s="1307">
        <f ca="1">Model!L136</f>
        <v>-25.093999999999937</v>
      </c>
      <c r="AC94" s="1307">
        <f>Model!M136</f>
        <v>-150.39400000000001</v>
      </c>
      <c r="AD94" s="1307">
        <f ca="1">Model!N136</f>
        <v>7.4000545229875172</v>
      </c>
      <c r="AE94" s="1307">
        <f ca="1">Model!O136</f>
        <v>-32.715453149825848</v>
      </c>
      <c r="AF94" s="1307">
        <f ca="1">Model!P136</f>
        <v>-60.537949647173683</v>
      </c>
      <c r="AG94" s="1307">
        <f ca="1">Model!Q136</f>
        <v>-40.965354930507395</v>
      </c>
      <c r="AH94" s="1307">
        <f ca="1">Model!R136</f>
        <v>-23.409263517133738</v>
      </c>
      <c r="AI94" s="1307">
        <f ca="1">Model!S136</f>
        <v>-548.42893853963039</v>
      </c>
      <c r="AJ94" s="1307">
        <f ca="1">Model!T136</f>
        <v>-123.87147696866992</v>
      </c>
    </row>
    <row r="95" spans="2:42">
      <c r="B95" s="564" t="s">
        <v>1533</v>
      </c>
      <c r="AB95" s="1307">
        <f>Model!L173</f>
        <v>1114</v>
      </c>
      <c r="AC95" s="1307">
        <f>Model!M173</f>
        <v>1183.0940000000001</v>
      </c>
      <c r="AD95" s="1307">
        <f ca="1">Model!N173</f>
        <v>1216.7</v>
      </c>
      <c r="AE95" s="1307">
        <f ca="1">Model!O173</f>
        <v>1246.7</v>
      </c>
      <c r="AF95" s="1307">
        <f ca="1">Model!P173</f>
        <v>1275.747348274012</v>
      </c>
      <c r="AG95" s="1307">
        <f ca="1">Model!Q173</f>
        <v>1316.7127032045194</v>
      </c>
      <c r="AH95" s="1307">
        <f ca="1">Model!R173</f>
        <v>1340.1219667216531</v>
      </c>
      <c r="AI95" s="1307">
        <f ca="1">Model!S173</f>
        <v>1888.5509052612833</v>
      </c>
      <c r="AJ95" s="1307">
        <f ca="1">Model!T173</f>
        <v>2012.4223822299532</v>
      </c>
    </row>
    <row r="96" spans="2:42">
      <c r="B96" s="564" t="s">
        <v>159</v>
      </c>
      <c r="AB96" s="1307">
        <f>AB95-AB93</f>
        <v>104.5</v>
      </c>
      <c r="AC96" s="1307">
        <f t="shared" ref="AC96:AJ96" si="127">AC95-AC93</f>
        <v>23.200000000000045</v>
      </c>
      <c r="AD96" s="1307">
        <f t="shared" ca="1" si="127"/>
        <v>142.90605452298769</v>
      </c>
      <c r="AE96" s="1307">
        <f t="shared" ca="1" si="127"/>
        <v>140.19060137316183</v>
      </c>
      <c r="AF96" s="1307">
        <f t="shared" ca="1" si="127"/>
        <v>108.70000000000005</v>
      </c>
      <c r="AG96" s="1307">
        <f t="shared" ca="1" si="127"/>
        <v>108.70000000000005</v>
      </c>
      <c r="AH96" s="1307">
        <f t="shared" ca="1" si="127"/>
        <v>108.70000000000005</v>
      </c>
      <c r="AI96" s="1307">
        <f t="shared" ca="1" si="127"/>
        <v>30</v>
      </c>
      <c r="AJ96" s="1307">
        <f t="shared" ca="1" si="127"/>
        <v>30</v>
      </c>
    </row>
    <row r="97" spans="2:36">
      <c r="B97" s="564" t="s">
        <v>2056</v>
      </c>
      <c r="AE97" s="1309">
        <f ca="1">Model!N169+Model!N170+Model!N171-Model!O169-Model!O170-Model!O171</f>
        <v>0</v>
      </c>
      <c r="AF97" s="1309">
        <f ca="1">Model!O169+Model!O170+Model!O171-Model!P169-Model!P170-Model!P171</f>
        <v>0</v>
      </c>
      <c r="AG97" s="1309">
        <f ca="1">Model!P169+Model!P170+Model!P171-Model!Q169-Model!Q170-Model!Q171</f>
        <v>0</v>
      </c>
      <c r="AH97" s="1309">
        <f ca="1">Model!Q169+Model!Q170+Model!Q171-Model!R169-Model!R170-Model!R171</f>
        <v>0</v>
      </c>
      <c r="AI97" s="1309">
        <f ca="1">Model!R169+Model!R170+Model!R171-Model!S169-Model!S170-Model!S171</f>
        <v>1216.7</v>
      </c>
      <c r="AJ97" s="1309">
        <f>Model!S169+Model!S170+Model!S171-Model!T169-Model!T170-Model!T171</f>
        <v>0</v>
      </c>
    </row>
  </sheetData>
  <phoneticPr fontId="6"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5BC2C-4A38-4490-91C8-AB93FB41F3F5}">
  <sheetPr codeName="Sheet20"/>
  <dimension ref="A1"/>
  <sheetViews>
    <sheetView workbookViewId="0"/>
  </sheetViews>
  <sheetFormatPr defaultRowHeight="12.7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2:R91"/>
  <sheetViews>
    <sheetView workbookViewId="0"/>
  </sheetViews>
  <sheetFormatPr defaultColWidth="9.1328125" defaultRowHeight="13.9"/>
  <cols>
    <col min="1" max="1" width="2.86328125" style="212" customWidth="1"/>
    <col min="2" max="2" width="28" style="212" customWidth="1"/>
    <col min="3" max="12" width="9.6640625" style="212" customWidth="1"/>
    <col min="13" max="14" width="9.33203125" style="212" bestFit="1" customWidth="1"/>
    <col min="15" max="15" width="9.1328125" style="212"/>
    <col min="16" max="16" width="9.6640625" style="212" customWidth="1"/>
    <col min="17" max="17" width="12" style="212" bestFit="1" customWidth="1"/>
    <col min="18" max="20" width="9.33203125" style="212" bestFit="1" customWidth="1"/>
    <col min="21" max="21" width="24.53125" style="212" customWidth="1"/>
    <col min="22" max="22" width="9.1328125" style="212"/>
    <col min="23" max="23" width="10.86328125" style="212" bestFit="1" customWidth="1"/>
    <col min="24" max="24" width="9.1328125" style="212"/>
    <col min="25" max="25" width="11.86328125" style="212" customWidth="1"/>
    <col min="26" max="27" width="9.1328125" style="212"/>
    <col min="28" max="28" width="23.53125" style="212" customWidth="1"/>
    <col min="29" max="29" width="9.53125" style="212" customWidth="1"/>
    <col min="30" max="16384" width="9.1328125" style="212"/>
  </cols>
  <sheetData>
    <row r="2" spans="2:18">
      <c r="B2" s="73" t="s">
        <v>358</v>
      </c>
      <c r="C2" s="286"/>
      <c r="D2" s="286"/>
      <c r="E2" s="342"/>
      <c r="F2" s="342"/>
      <c r="G2" s="342"/>
      <c r="H2" s="342"/>
      <c r="I2" s="342"/>
      <c r="J2" s="342"/>
      <c r="K2" s="342"/>
      <c r="L2" s="342"/>
      <c r="M2" s="286"/>
      <c r="N2" s="286"/>
      <c r="O2" s="286"/>
      <c r="P2" s="286"/>
      <c r="Q2" s="286"/>
    </row>
    <row r="3" spans="2:18">
      <c r="B3" s="73"/>
      <c r="C3" s="286"/>
      <c r="D3" s="286"/>
      <c r="E3" s="342"/>
      <c r="F3" s="342"/>
      <c r="G3" s="342"/>
      <c r="H3" s="342"/>
      <c r="I3" s="342"/>
      <c r="J3" s="342"/>
      <c r="K3" s="342"/>
      <c r="L3" s="342"/>
      <c r="M3" s="291"/>
      <c r="N3" s="286"/>
      <c r="O3" s="340"/>
      <c r="P3" s="292"/>
      <c r="Q3" s="286"/>
    </row>
    <row r="4" spans="2:18">
      <c r="B4" s="73" t="s">
        <v>314</v>
      </c>
      <c r="C4" s="643">
        <v>3.7</v>
      </c>
      <c r="D4" s="673"/>
      <c r="E4" s="342"/>
      <c r="F4" s="342"/>
      <c r="G4" s="342"/>
      <c r="H4" s="342"/>
      <c r="I4" s="342"/>
      <c r="J4" s="342"/>
      <c r="K4" s="342"/>
      <c r="L4" s="342"/>
      <c r="M4" s="291"/>
      <c r="N4" s="286"/>
      <c r="O4" s="340"/>
      <c r="P4" s="292"/>
      <c r="Q4" s="286"/>
    </row>
    <row r="5" spans="2:18">
      <c r="B5" s="73" t="s">
        <v>1339</v>
      </c>
      <c r="C5" s="642">
        <f ca="1">'SOP OLD'!F18</f>
        <v>-31.241622960416098</v>
      </c>
      <c r="D5" s="286"/>
      <c r="E5" s="612"/>
      <c r="F5" s="342"/>
      <c r="G5" s="342"/>
      <c r="H5" s="342"/>
      <c r="I5" s="342"/>
      <c r="J5" s="342"/>
      <c r="K5" s="342"/>
      <c r="L5" s="342"/>
      <c r="M5" s="291"/>
      <c r="N5" s="286"/>
      <c r="O5" s="340"/>
      <c r="P5" s="292"/>
      <c r="Q5" s="286"/>
    </row>
    <row r="6" spans="2:18">
      <c r="B6" s="73" t="s">
        <v>316</v>
      </c>
      <c r="C6" s="299">
        <f ca="1">+C5/C4-1</f>
        <v>-9.4436818811935392</v>
      </c>
      <c r="D6" s="286"/>
      <c r="E6" s="342"/>
      <c r="F6" s="342"/>
      <c r="G6" s="342"/>
      <c r="H6" s="342"/>
      <c r="I6" s="342"/>
      <c r="J6" s="342"/>
      <c r="K6" s="342"/>
      <c r="L6" s="342"/>
      <c r="M6" s="291"/>
      <c r="N6" s="286"/>
      <c r="O6" s="340"/>
      <c r="P6" s="292"/>
      <c r="Q6" s="286"/>
    </row>
    <row r="7" spans="2:18">
      <c r="B7" s="286"/>
      <c r="C7" s="286"/>
      <c r="D7" s="286"/>
      <c r="E7" s="286"/>
      <c r="F7" s="286"/>
      <c r="G7" s="286"/>
      <c r="H7" s="286"/>
      <c r="I7" s="286"/>
      <c r="J7" s="286"/>
      <c r="K7" s="286"/>
      <c r="L7" s="286"/>
      <c r="M7" s="286"/>
      <c r="N7" s="286"/>
      <c r="O7" s="286"/>
      <c r="P7" s="286"/>
      <c r="Q7" s="286"/>
    </row>
    <row r="8" spans="2:18">
      <c r="B8" s="285" t="s">
        <v>319</v>
      </c>
      <c r="C8" s="285">
        <v>2013</v>
      </c>
      <c r="D8" s="285">
        <v>2014</v>
      </c>
      <c r="E8" s="285">
        <v>2015</v>
      </c>
      <c r="F8" s="285">
        <v>2016</v>
      </c>
      <c r="G8" s="285">
        <v>2017</v>
      </c>
      <c r="H8" s="285">
        <v>2018</v>
      </c>
      <c r="I8" s="285">
        <v>2019</v>
      </c>
      <c r="J8" s="285">
        <v>2020</v>
      </c>
      <c r="K8" s="285">
        <v>2021</v>
      </c>
      <c r="L8" s="285">
        <v>2022</v>
      </c>
      <c r="M8" s="285">
        <v>2023</v>
      </c>
      <c r="N8" s="285">
        <v>2024</v>
      </c>
      <c r="O8" s="285">
        <v>2025</v>
      </c>
      <c r="P8" s="73"/>
      <c r="Q8" s="73"/>
      <c r="R8" s="286"/>
    </row>
    <row r="9" spans="2:18">
      <c r="B9" s="286" t="s">
        <v>281</v>
      </c>
      <c r="C9" s="291">
        <f>Model!C12</f>
        <v>88.077000000000055</v>
      </c>
      <c r="D9" s="291">
        <f>Model!D12</f>
        <v>98.936668599896052</v>
      </c>
      <c r="E9" s="291">
        <f>Model!E12</f>
        <v>140.88094095</v>
      </c>
      <c r="F9" s="291">
        <f>Model!F12</f>
        <v>250.1</v>
      </c>
      <c r="G9" s="291">
        <f>Model!G12</f>
        <v>264.7</v>
      </c>
      <c r="H9" s="291">
        <f>Model!H12</f>
        <v>235.99661195000004</v>
      </c>
      <c r="I9" s="291">
        <f>Model!I12</f>
        <v>239.45407107999998</v>
      </c>
      <c r="J9" s="291">
        <f>Model!J12</f>
        <v>242.18396066</v>
      </c>
      <c r="K9" s="291">
        <f>Model!K12</f>
        <v>226.45299999999997</v>
      </c>
      <c r="L9" s="291">
        <f>Model!L12</f>
        <v>181.58300000000003</v>
      </c>
      <c r="M9" s="291">
        <f ca="1">Model!M12</f>
        <v>190.85454653151407</v>
      </c>
      <c r="N9" s="291">
        <f ca="1">Model!N12</f>
        <v>184.97974954401991</v>
      </c>
      <c r="O9" s="291">
        <f ca="1">Model!O12</f>
        <v>192.26576222893047</v>
      </c>
      <c r="P9" s="437"/>
      <c r="Q9" s="291"/>
      <c r="R9" s="291"/>
    </row>
    <row r="10" spans="2:18">
      <c r="B10" s="286" t="s">
        <v>161</v>
      </c>
      <c r="C10" s="291">
        <f>-Model!C23</f>
        <v>-51.5</v>
      </c>
      <c r="D10" s="291">
        <f>-Model!D23</f>
        <v>-84.1</v>
      </c>
      <c r="E10" s="291">
        <f>-Model!E23</f>
        <v>-113.2</v>
      </c>
      <c r="F10" s="291">
        <f>-Model!F23</f>
        <v>-152.30000000000001</v>
      </c>
      <c r="G10" s="291">
        <f>-Model!G23</f>
        <v>-155.9</v>
      </c>
      <c r="H10" s="291">
        <f>-Model!H23</f>
        <v>-159.03177321999999</v>
      </c>
      <c r="I10" s="291">
        <f>-Model!I23</f>
        <v>-162.0818753543538</v>
      </c>
      <c r="J10" s="291">
        <f>-Model!J23</f>
        <v>-109.13800000000001</v>
      </c>
      <c r="K10" s="291">
        <f>-Model!K23</f>
        <v>-134.16900000000001</v>
      </c>
      <c r="L10" s="291">
        <f>-Model!L23</f>
        <v>-186</v>
      </c>
      <c r="M10" s="291">
        <f>-Model!M23</f>
        <v>-187</v>
      </c>
      <c r="N10" s="291">
        <f ca="1">-Model!N23</f>
        <v>-193.26969502103239</v>
      </c>
      <c r="O10" s="291">
        <f ca="1">-Model!O23</f>
        <v>-187.46621537875632</v>
      </c>
      <c r="P10" s="340"/>
      <c r="Q10" s="438"/>
      <c r="R10" s="286"/>
    </row>
    <row r="11" spans="2:18">
      <c r="B11" s="286" t="s">
        <v>1009</v>
      </c>
      <c r="C11" s="293">
        <f>(C9+C10)*-'SOP OLD'!C38</f>
        <v>-12.070410000000019</v>
      </c>
      <c r="D11" s="293">
        <f>(D9+D10)*-'SOP OLD'!D38</f>
        <v>-4.8961006379656995</v>
      </c>
      <c r="E11" s="293">
        <f>(E9+E10)*-'SOP OLD'!E38</f>
        <v>-9.1347105134999982</v>
      </c>
      <c r="F11" s="293">
        <f>(F9+F10)*-'SOP OLD'!F38</f>
        <v>-29.339999999999993</v>
      </c>
      <c r="G11" s="293">
        <f>(G9+G10)*-'SOP OLD'!G38</f>
        <v>-32.639999999999993</v>
      </c>
      <c r="H11" s="293">
        <f>(H9+H10)*-'SOP OLD'!H38</f>
        <v>-23.089451619000016</v>
      </c>
      <c r="I11" s="293">
        <f>(I9+I10)*-'SOP OLD'!I38</f>
        <v>-23.211658717693854</v>
      </c>
      <c r="J11" s="293">
        <f>(J9+J10)*-'SOP OLD'!J38</f>
        <v>-39.913788197999999</v>
      </c>
      <c r="K11" s="293">
        <f>(K9+K10)*-'SOP OLD'!K38</f>
        <v>-27.685199999999988</v>
      </c>
      <c r="L11" s="293">
        <f>(L9+L10)*-'SOP OLD'!L38</f>
        <v>1.325099999999992</v>
      </c>
      <c r="M11" s="293">
        <f ca="1">(M9+M10)*-'SOP OLD'!M38</f>
        <v>-1.1563639594542223</v>
      </c>
      <c r="N11" s="293">
        <f ca="1">(N9+N10)*-'SOP OLD'!N38</f>
        <v>2.486983643103744</v>
      </c>
      <c r="O11" s="293">
        <f ca="1">(O9+O10)*-'SOP OLD'!O38</f>
        <v>-1.4398640550522457</v>
      </c>
      <c r="P11" s="340"/>
      <c r="Q11" s="438"/>
      <c r="R11" s="286"/>
    </row>
    <row r="12" spans="2:18">
      <c r="B12" s="286" t="s">
        <v>320</v>
      </c>
      <c r="C12" s="291">
        <f>SUM(C9:C11)</f>
        <v>24.506590000000038</v>
      </c>
      <c r="D12" s="291">
        <f t="shared" ref="D12:O12" si="0">SUM(D9:D11)</f>
        <v>9.9405679619303591</v>
      </c>
      <c r="E12" s="291">
        <f t="shared" si="0"/>
        <v>18.546230436499997</v>
      </c>
      <c r="F12" s="291">
        <f t="shared" si="0"/>
        <v>68.459999999999994</v>
      </c>
      <c r="G12" s="291">
        <f t="shared" si="0"/>
        <v>76.16</v>
      </c>
      <c r="H12" s="291">
        <f t="shared" si="0"/>
        <v>53.875387111000038</v>
      </c>
      <c r="I12" s="291">
        <f t="shared" si="0"/>
        <v>54.160537007952328</v>
      </c>
      <c r="J12" s="291">
        <f t="shared" si="0"/>
        <v>93.132172462</v>
      </c>
      <c r="K12" s="291">
        <f t="shared" si="0"/>
        <v>64.598799999999983</v>
      </c>
      <c r="L12" s="291">
        <f t="shared" si="0"/>
        <v>-3.0918999999999812</v>
      </c>
      <c r="M12" s="291">
        <f t="shared" ca="1" si="0"/>
        <v>2.698182572059852</v>
      </c>
      <c r="N12" s="291">
        <f t="shared" ca="1" si="0"/>
        <v>-5.8029618339087365</v>
      </c>
      <c r="O12" s="291">
        <f t="shared" ca="1" si="0"/>
        <v>3.3596827951219073</v>
      </c>
      <c r="P12" s="340"/>
      <c r="Q12" s="438"/>
      <c r="R12" s="286"/>
    </row>
    <row r="13" spans="2:18">
      <c r="B13" s="286"/>
      <c r="C13" s="294"/>
      <c r="D13" s="294"/>
      <c r="E13" s="294"/>
      <c r="F13" s="294"/>
      <c r="G13" s="286"/>
      <c r="H13" s="286"/>
      <c r="I13" s="286"/>
      <c r="J13" s="286"/>
      <c r="K13" s="286"/>
      <c r="L13" s="286"/>
      <c r="M13" s="286"/>
      <c r="N13" s="286"/>
      <c r="O13" s="286"/>
      <c r="P13" s="340"/>
    </row>
    <row r="14" spans="2:18">
      <c r="B14" s="286" t="s">
        <v>321</v>
      </c>
      <c r="C14" s="440">
        <v>6.3E-2</v>
      </c>
      <c r="D14" s="295">
        <f>+C14</f>
        <v>6.3E-2</v>
      </c>
      <c r="E14" s="295">
        <f t="shared" ref="E14:K14" si="1">+D14</f>
        <v>6.3E-2</v>
      </c>
      <c r="F14" s="295">
        <f t="shared" si="1"/>
        <v>6.3E-2</v>
      </c>
      <c r="G14" s="295">
        <f t="shared" si="1"/>
        <v>6.3E-2</v>
      </c>
      <c r="H14" s="295">
        <f t="shared" si="1"/>
        <v>6.3E-2</v>
      </c>
      <c r="I14" s="295">
        <f t="shared" si="1"/>
        <v>6.3E-2</v>
      </c>
      <c r="J14" s="295">
        <f t="shared" si="1"/>
        <v>6.3E-2</v>
      </c>
      <c r="K14" s="295">
        <f t="shared" si="1"/>
        <v>6.3E-2</v>
      </c>
      <c r="L14" s="295">
        <f>+K14</f>
        <v>6.3E-2</v>
      </c>
      <c r="M14" s="295">
        <f>+L14</f>
        <v>6.3E-2</v>
      </c>
      <c r="N14" s="295">
        <f>+M14</f>
        <v>6.3E-2</v>
      </c>
      <c r="O14" s="295">
        <f>+N14</f>
        <v>6.3E-2</v>
      </c>
      <c r="P14" s="340"/>
    </row>
    <row r="15" spans="2:18">
      <c r="B15" s="291" t="s">
        <v>322</v>
      </c>
      <c r="C15" s="441">
        <v>12</v>
      </c>
      <c r="D15" s="296">
        <f>C15-1</f>
        <v>11</v>
      </c>
      <c r="E15" s="296">
        <f t="shared" ref="E15:O15" si="2">D15-1</f>
        <v>10</v>
      </c>
      <c r="F15" s="296">
        <f t="shared" si="2"/>
        <v>9</v>
      </c>
      <c r="G15" s="296">
        <f t="shared" si="2"/>
        <v>8</v>
      </c>
      <c r="H15" s="296">
        <f t="shared" si="2"/>
        <v>7</v>
      </c>
      <c r="I15" s="296">
        <f t="shared" si="2"/>
        <v>6</v>
      </c>
      <c r="J15" s="296">
        <f t="shared" si="2"/>
        <v>5</v>
      </c>
      <c r="K15" s="296">
        <f t="shared" si="2"/>
        <v>4</v>
      </c>
      <c r="L15" s="296">
        <f t="shared" si="2"/>
        <v>3</v>
      </c>
      <c r="M15" s="296">
        <f t="shared" si="2"/>
        <v>2</v>
      </c>
      <c r="N15" s="296">
        <f t="shared" si="2"/>
        <v>1</v>
      </c>
      <c r="O15" s="296">
        <f t="shared" si="2"/>
        <v>0</v>
      </c>
      <c r="P15" s="340"/>
    </row>
    <row r="16" spans="2:18">
      <c r="B16" s="286"/>
      <c r="C16" s="286"/>
      <c r="D16" s="286"/>
      <c r="E16" s="286"/>
      <c r="F16" s="286"/>
      <c r="G16" s="286"/>
      <c r="H16" s="286"/>
      <c r="I16" s="286"/>
      <c r="J16" s="286"/>
      <c r="K16" s="286"/>
      <c r="L16" s="286"/>
      <c r="O16" s="340"/>
      <c r="P16" s="340"/>
    </row>
    <row r="17" spans="2:16">
      <c r="B17" s="286"/>
      <c r="C17" s="286"/>
      <c r="D17" s="286"/>
      <c r="E17" s="286"/>
      <c r="F17" s="286"/>
      <c r="G17" s="286"/>
      <c r="H17" s="286"/>
      <c r="I17" s="286"/>
      <c r="J17" s="286"/>
      <c r="K17" s="286"/>
      <c r="L17" s="286"/>
      <c r="O17" s="340"/>
      <c r="P17" s="340"/>
    </row>
    <row r="18" spans="2:16">
      <c r="B18" s="286" t="s">
        <v>323</v>
      </c>
      <c r="C18" s="297">
        <f ca="1">NPV(C14,D12:$O12)</f>
        <v>318.32030525429172</v>
      </c>
      <c r="D18" s="297">
        <f ca="1">NPV(D14,E12:$O12)</f>
        <v>328.43391652338175</v>
      </c>
      <c r="E18" s="297">
        <f ca="1">NPV(E14,F12:$O12)</f>
        <v>330.57902282785471</v>
      </c>
      <c r="F18" s="297">
        <f ca="1">NPV(F14,G12:$O12)</f>
        <v>282.9455012660095</v>
      </c>
      <c r="G18" s="297">
        <f ca="1">NPV(G14,H12:$O12)</f>
        <v>224.61106784576813</v>
      </c>
      <c r="H18" s="297">
        <f ca="1">NPV(H14,I12:$O12)</f>
        <v>184.88617800905149</v>
      </c>
      <c r="I18" s="297">
        <f ca="1">NPV(I14,J12:$O12)</f>
        <v>142.37347021566936</v>
      </c>
      <c r="J18" s="297">
        <f ca="1">NPV(J14,K12:$O12)</f>
        <v>58.210826377256531</v>
      </c>
      <c r="K18" s="297">
        <f ca="1">NPV(K14,L12:$O12)</f>
        <v>-2.7206915609762992</v>
      </c>
      <c r="L18" s="297">
        <f ca="1">NPV(L14,M12:$O12)</f>
        <v>0.19980487068217631</v>
      </c>
      <c r="M18" s="297">
        <f ca="1">NPV(M14,N12:$O12)</f>
        <v>-2.4857899945246991</v>
      </c>
      <c r="N18" s="297">
        <f ca="1">NPV(N14,O12:$O12)</f>
        <v>3.1605670697289816</v>
      </c>
      <c r="O18" s="297">
        <f ca="1">NPV(O14,$O12:P12)</f>
        <v>3.1605670697289816</v>
      </c>
    </row>
    <row r="19" spans="2:16">
      <c r="B19" s="286" t="s">
        <v>324</v>
      </c>
      <c r="C19" s="298">
        <f>1/(C14-C20)</f>
        <v>15.873015873015873</v>
      </c>
      <c r="D19" s="298">
        <f>1/(D14-D20)</f>
        <v>15.873015873015873</v>
      </c>
      <c r="E19" s="298">
        <f t="shared" ref="E19:O19" si="3">1/(E14-E20)</f>
        <v>15.873015873015873</v>
      </c>
      <c r="F19" s="298">
        <f t="shared" si="3"/>
        <v>15.873015873015873</v>
      </c>
      <c r="G19" s="298">
        <f t="shared" si="3"/>
        <v>15.873015873015873</v>
      </c>
      <c r="H19" s="298">
        <f t="shared" si="3"/>
        <v>15.873015873015873</v>
      </c>
      <c r="I19" s="298">
        <f t="shared" si="3"/>
        <v>15.873015873015873</v>
      </c>
      <c r="J19" s="298">
        <f t="shared" si="3"/>
        <v>15.873015873015873</v>
      </c>
      <c r="K19" s="298">
        <f t="shared" si="3"/>
        <v>15.873015873015873</v>
      </c>
      <c r="L19" s="298">
        <f t="shared" si="3"/>
        <v>15.873015873015873</v>
      </c>
      <c r="M19" s="298">
        <f t="shared" si="3"/>
        <v>15.873015873015873</v>
      </c>
      <c r="N19" s="298">
        <f t="shared" si="3"/>
        <v>15.873015873015873</v>
      </c>
      <c r="O19" s="298">
        <f t="shared" si="3"/>
        <v>15.873015873015873</v>
      </c>
    </row>
    <row r="20" spans="2:16">
      <c r="B20" s="286" t="s">
        <v>325</v>
      </c>
      <c r="C20" s="439">
        <v>0</v>
      </c>
      <c r="D20" s="289">
        <f>+C20</f>
        <v>0</v>
      </c>
      <c r="E20" s="289">
        <f t="shared" ref="E20:O20" si="4">+D20</f>
        <v>0</v>
      </c>
      <c r="F20" s="289">
        <f t="shared" si="4"/>
        <v>0</v>
      </c>
      <c r="G20" s="289">
        <f t="shared" si="4"/>
        <v>0</v>
      </c>
      <c r="H20" s="289">
        <f t="shared" si="4"/>
        <v>0</v>
      </c>
      <c r="I20" s="289">
        <f t="shared" si="4"/>
        <v>0</v>
      </c>
      <c r="J20" s="289">
        <f t="shared" si="4"/>
        <v>0</v>
      </c>
      <c r="K20" s="289">
        <f t="shared" si="4"/>
        <v>0</v>
      </c>
      <c r="L20" s="289">
        <f t="shared" si="4"/>
        <v>0</v>
      </c>
      <c r="M20" s="289">
        <f t="shared" si="4"/>
        <v>0</v>
      </c>
      <c r="N20" s="289">
        <f t="shared" si="4"/>
        <v>0</v>
      </c>
      <c r="O20" s="289">
        <f t="shared" si="4"/>
        <v>0</v>
      </c>
    </row>
    <row r="21" spans="2:16">
      <c r="B21" s="286" t="s">
        <v>93</v>
      </c>
      <c r="C21" s="297">
        <f ca="1">+$O12*C19</f>
        <v>53.328298335268371</v>
      </c>
      <c r="D21" s="297">
        <f t="shared" ref="D21:O21" ca="1" si="5">+$O12*D19</f>
        <v>53.328298335268371</v>
      </c>
      <c r="E21" s="297">
        <f t="shared" ca="1" si="5"/>
        <v>53.328298335268371</v>
      </c>
      <c r="F21" s="297">
        <f t="shared" ca="1" si="5"/>
        <v>53.328298335268371</v>
      </c>
      <c r="G21" s="297">
        <f t="shared" ca="1" si="5"/>
        <v>53.328298335268371</v>
      </c>
      <c r="H21" s="297">
        <f t="shared" ca="1" si="5"/>
        <v>53.328298335268371</v>
      </c>
      <c r="I21" s="297">
        <f t="shared" ca="1" si="5"/>
        <v>53.328298335268371</v>
      </c>
      <c r="J21" s="297">
        <f t="shared" ca="1" si="5"/>
        <v>53.328298335268371</v>
      </c>
      <c r="K21" s="297">
        <f t="shared" ca="1" si="5"/>
        <v>53.328298335268371</v>
      </c>
      <c r="L21" s="297">
        <f t="shared" ca="1" si="5"/>
        <v>53.328298335268371</v>
      </c>
      <c r="M21" s="297">
        <f t="shared" ca="1" si="5"/>
        <v>53.328298335268371</v>
      </c>
      <c r="N21" s="297">
        <f t="shared" ca="1" si="5"/>
        <v>53.328298335268371</v>
      </c>
      <c r="O21" s="297">
        <f t="shared" ca="1" si="5"/>
        <v>53.328298335268371</v>
      </c>
    </row>
    <row r="22" spans="2:16">
      <c r="B22" s="286" t="s">
        <v>326</v>
      </c>
      <c r="C22" s="297">
        <f ca="1">+C21/((C14+1)^C15)</f>
        <v>25.618786335283652</v>
      </c>
      <c r="D22" s="297">
        <f t="shared" ref="D22:O22" ca="1" si="6">+D21/((D14+1)^D15)</f>
        <v>27.232769874406522</v>
      </c>
      <c r="E22" s="297">
        <f t="shared" ca="1" si="6"/>
        <v>28.948434376494131</v>
      </c>
      <c r="F22" s="297">
        <f t="shared" ca="1" si="6"/>
        <v>30.772185742213253</v>
      </c>
      <c r="G22" s="297">
        <f t="shared" ca="1" si="6"/>
        <v>32.710833443972689</v>
      </c>
      <c r="H22" s="297">
        <f t="shared" ca="1" si="6"/>
        <v>34.771615950942966</v>
      </c>
      <c r="I22" s="297">
        <f t="shared" ca="1" si="6"/>
        <v>36.962227755852375</v>
      </c>
      <c r="J22" s="297">
        <f t="shared" ca="1" si="6"/>
        <v>39.290848104471067</v>
      </c>
      <c r="K22" s="297">
        <f t="shared" ca="1" si="6"/>
        <v>41.766171535052742</v>
      </c>
      <c r="L22" s="297">
        <f t="shared" ca="1" si="6"/>
        <v>44.397440341761062</v>
      </c>
      <c r="M22" s="297">
        <f t="shared" ca="1" si="6"/>
        <v>47.194479083292002</v>
      </c>
      <c r="N22" s="297">
        <f t="shared" ca="1" si="6"/>
        <v>50.167731265539395</v>
      </c>
      <c r="O22" s="297">
        <f t="shared" ca="1" si="6"/>
        <v>53.328298335268371</v>
      </c>
    </row>
    <row r="23" spans="2:16">
      <c r="B23" s="286"/>
      <c r="C23" s="73"/>
      <c r="D23" s="299"/>
      <c r="E23" s="286"/>
      <c r="F23" s="286"/>
      <c r="G23" s="286"/>
      <c r="H23" s="286"/>
      <c r="I23" s="286"/>
      <c r="J23" s="286"/>
      <c r="K23" s="286"/>
      <c r="L23" s="286"/>
    </row>
    <row r="24" spans="2:16">
      <c r="B24" s="286" t="s">
        <v>327</v>
      </c>
      <c r="C24" s="791">
        <f ca="1">Model!C305</f>
        <v>-91.4627256652591</v>
      </c>
      <c r="D24" s="791">
        <f ca="1">Model!D305</f>
        <v>-119.97337401686548</v>
      </c>
      <c r="E24" s="791">
        <f ca="1">Model!E305</f>
        <v>-142.10958581176018</v>
      </c>
      <c r="F24" s="791">
        <f ca="1">Model!F305</f>
        <v>-153.67960888977106</v>
      </c>
      <c r="G24" s="791">
        <f ca="1">Model!G305</f>
        <v>-162.15347261745993</v>
      </c>
      <c r="H24" s="791">
        <f ca="1">Model!H305</f>
        <v>-2222.5968096977535</v>
      </c>
      <c r="I24" s="791">
        <f ca="1">Model!I305</f>
        <v>-2348.7219367387115</v>
      </c>
      <c r="J24" s="791">
        <f ca="1">Model!J305</f>
        <v>-2486.5101385332505</v>
      </c>
      <c r="K24" s="791">
        <f ca="1">Model!K305</f>
        <v>-2587.795660999845</v>
      </c>
      <c r="L24" s="791">
        <f ca="1">Model!L305</f>
        <v>-2723.0179750998354</v>
      </c>
      <c r="M24" s="791">
        <f ca="1">Model!M305</f>
        <v>-2857.0390611771245</v>
      </c>
      <c r="N24" s="791">
        <f ca="1">Model!N305</f>
        <v>-3020.9022242897831</v>
      </c>
      <c r="O24" s="791">
        <f ca="1">Model!O305</f>
        <v>-3189.7068754951952</v>
      </c>
    </row>
    <row r="25" spans="2:16">
      <c r="B25" s="286"/>
      <c r="C25" s="286"/>
      <c r="D25" s="286"/>
      <c r="E25" s="297"/>
      <c r="F25" s="297"/>
      <c r="G25" s="297"/>
      <c r="H25" s="297"/>
      <c r="I25" s="286"/>
      <c r="J25" s="286"/>
      <c r="K25" s="286"/>
      <c r="L25" s="286"/>
    </row>
    <row r="26" spans="2:16">
      <c r="B26" s="286" t="s">
        <v>317</v>
      </c>
      <c r="C26" s="790">
        <f ca="1">+C18+C22+C24</f>
        <v>252.47636592431627</v>
      </c>
      <c r="D26" s="790">
        <f t="shared" ref="D26:O26" ca="1" si="7">+D18+D22+D24</f>
        <v>235.69331238092281</v>
      </c>
      <c r="E26" s="790">
        <f t="shared" ca="1" si="7"/>
        <v>217.41787139258864</v>
      </c>
      <c r="F26" s="790">
        <f t="shared" ca="1" si="7"/>
        <v>160.03807811845169</v>
      </c>
      <c r="G26" s="790">
        <f t="shared" ca="1" si="7"/>
        <v>95.168428672280896</v>
      </c>
      <c r="H26" s="790">
        <f t="shared" ca="1" si="7"/>
        <v>-2002.9390157377591</v>
      </c>
      <c r="I26" s="790">
        <f t="shared" ca="1" si="7"/>
        <v>-2169.3862387671898</v>
      </c>
      <c r="J26" s="790">
        <f t="shared" ca="1" si="7"/>
        <v>-2389.0084640515229</v>
      </c>
      <c r="K26" s="790">
        <f t="shared" ca="1" si="7"/>
        <v>-2548.7501810257686</v>
      </c>
      <c r="L26" s="790">
        <f t="shared" ca="1" si="7"/>
        <v>-2678.4207298873921</v>
      </c>
      <c r="M26" s="790">
        <f t="shared" ca="1" si="7"/>
        <v>-2812.3303720883573</v>
      </c>
      <c r="N26" s="790">
        <f t="shared" ca="1" si="7"/>
        <v>-2967.5739259545148</v>
      </c>
      <c r="O26" s="790">
        <f t="shared" ca="1" si="7"/>
        <v>-3133.2180100901978</v>
      </c>
    </row>
    <row r="27" spans="2:16">
      <c r="B27" s="286" t="s">
        <v>328</v>
      </c>
      <c r="C27" s="790">
        <f>-C76</f>
        <v>0</v>
      </c>
      <c r="D27" s="790">
        <f t="shared" ref="D27:O27" si="8">-D76</f>
        <v>0</v>
      </c>
      <c r="E27" s="790">
        <f t="shared" si="8"/>
        <v>0</v>
      </c>
      <c r="F27" s="790">
        <f t="shared" si="8"/>
        <v>0</v>
      </c>
      <c r="G27" s="790">
        <f t="shared" si="8"/>
        <v>0</v>
      </c>
      <c r="H27" s="790">
        <f t="shared" si="8"/>
        <v>0</v>
      </c>
      <c r="I27" s="790">
        <f t="shared" si="8"/>
        <v>0</v>
      </c>
      <c r="J27" s="790">
        <f t="shared" si="8"/>
        <v>0</v>
      </c>
      <c r="K27" s="790">
        <f t="shared" si="8"/>
        <v>0</v>
      </c>
      <c r="L27" s="790">
        <f t="shared" ca="1" si="8"/>
        <v>2.9830678503301118</v>
      </c>
      <c r="M27" s="790">
        <f t="shared" ca="1" si="8"/>
        <v>2.9830678503301118</v>
      </c>
      <c r="N27" s="790">
        <f t="shared" ca="1" si="8"/>
        <v>2.9830678503301118</v>
      </c>
      <c r="O27" s="790">
        <f t="shared" ca="1" si="8"/>
        <v>2.9830678503301118</v>
      </c>
    </row>
    <row r="28" spans="2:16">
      <c r="B28" s="286" t="s">
        <v>160</v>
      </c>
      <c r="C28" s="791">
        <f>-Model!C138</f>
        <v>-551.10699999999997</v>
      </c>
      <c r="D28" s="791">
        <f>-Model!D138</f>
        <v>-618.73199999999997</v>
      </c>
      <c r="E28" s="791">
        <f>-Model!E138</f>
        <v>-1185.6102560000002</v>
      </c>
      <c r="F28" s="791">
        <f>-Model!F138</f>
        <v>-1205.5</v>
      </c>
      <c r="G28" s="791">
        <f>-Model!G138</f>
        <v>-1309.3000000000002</v>
      </c>
      <c r="H28" s="791">
        <f>-Model!H138</f>
        <v>-1389.5861756100001</v>
      </c>
      <c r="I28" s="791">
        <f>-Model!I138</f>
        <v>-1422.04685406</v>
      </c>
      <c r="J28" s="791">
        <f>-Model!J138</f>
        <v>-1400.5103227499999</v>
      </c>
      <c r="K28" s="791">
        <f>-Model!K138</f>
        <v>-984.40600000000006</v>
      </c>
      <c r="L28" s="791">
        <f>-Model!L138</f>
        <v>-1009.5</v>
      </c>
      <c r="M28" s="791">
        <f>-Model!M138</f>
        <v>-1159.894</v>
      </c>
      <c r="N28" s="791">
        <f ca="1">-Model!N138</f>
        <v>-1152.4939454770124</v>
      </c>
      <c r="O28" s="791">
        <f ca="1">-Model!O138</f>
        <v>-1185.2093986268383</v>
      </c>
    </row>
    <row r="29" spans="2:16">
      <c r="B29" s="286" t="s">
        <v>1446</v>
      </c>
      <c r="C29" s="791">
        <f>-Model!$H$120+Value!C91</f>
        <v>-63.442999999999998</v>
      </c>
      <c r="D29" s="791">
        <f>-Model!$H$120+Value!D91</f>
        <v>-63.442999999999998</v>
      </c>
      <c r="E29" s="791">
        <f>-Model!$H$120+Value!E91</f>
        <v>-63.442999999999998</v>
      </c>
      <c r="F29" s="791">
        <f>-Model!$H$120+Value!F91</f>
        <v>-63.442999999999998</v>
      </c>
      <c r="G29" s="791">
        <f>-Model!$H$120+Value!G91</f>
        <v>-63.442999999999998</v>
      </c>
      <c r="H29" s="791">
        <f>-Model!$H$120+Value!H91</f>
        <v>-63.442999999999998</v>
      </c>
      <c r="I29" s="791">
        <f>-Model!$H$120+Value!I91</f>
        <v>-450.98541807853769</v>
      </c>
      <c r="J29" s="791">
        <f>-Model!$H$120+Value!J91</f>
        <v>-469.69698156976511</v>
      </c>
      <c r="K29" s="791">
        <f>-Model!$H$120+Value!K91</f>
        <v>-473.88968416906732</v>
      </c>
      <c r="L29" s="791">
        <f>-Model!$H$120+Value!L91</f>
        <v>-492.04527188317502</v>
      </c>
      <c r="M29" s="791">
        <f>-Model!$H$120+Value!M91</f>
        <v>-507.13148426355491</v>
      </c>
      <c r="N29" s="791">
        <f>-Model!$H$120+Value!N91</f>
        <v>-523.42444878484366</v>
      </c>
      <c r="O29" s="791">
        <f>-Model!$H$120+Value!O91</f>
        <v>-540.95567860975029</v>
      </c>
    </row>
    <row r="30" spans="2:16">
      <c r="B30" s="286" t="s">
        <v>759</v>
      </c>
      <c r="C30" s="792">
        <v>-10</v>
      </c>
      <c r="D30" s="791">
        <f>+C30</f>
        <v>-10</v>
      </c>
      <c r="E30" s="791">
        <f t="shared" ref="E30:J30" si="9">+D30</f>
        <v>-10</v>
      </c>
      <c r="F30" s="792">
        <f>'SOP OLD'!$F11</f>
        <v>-7</v>
      </c>
      <c r="G30" s="791">
        <f t="shared" si="9"/>
        <v>-7</v>
      </c>
      <c r="H30" s="791">
        <f t="shared" si="9"/>
        <v>-7</v>
      </c>
      <c r="I30" s="791">
        <f t="shared" si="9"/>
        <v>-7</v>
      </c>
      <c r="J30" s="791">
        <f t="shared" si="9"/>
        <v>-7</v>
      </c>
      <c r="K30" s="791">
        <f>+J30</f>
        <v>-7</v>
      </c>
      <c r="L30" s="791">
        <f>+K30</f>
        <v>-7</v>
      </c>
      <c r="M30" s="791">
        <f>+L30</f>
        <v>-7</v>
      </c>
      <c r="N30" s="791">
        <f>+M30</f>
        <v>-7</v>
      </c>
      <c r="O30" s="791">
        <f>+N30</f>
        <v>-7</v>
      </c>
    </row>
    <row r="31" spans="2:16">
      <c r="B31" s="286" t="s">
        <v>752</v>
      </c>
      <c r="C31" s="791">
        <f>-'Model also  old'!D385</f>
        <v>-42.826000000000001</v>
      </c>
      <c r="D31" s="791">
        <f>-'Model also  old'!E385</f>
        <v>-43.711919999999999</v>
      </c>
      <c r="E31" s="791">
        <f>-'Model also  old'!F385</f>
        <v>-44.615558400000005</v>
      </c>
      <c r="F31" s="792">
        <f>'SOP OLD'!F10</f>
        <v>-34.453593143999996</v>
      </c>
      <c r="G31" s="791">
        <f>-Model!G373</f>
        <v>-31.747640147999999</v>
      </c>
      <c r="H31" s="791">
        <f>-Model!H373</f>
        <v>-32.091644411999994</v>
      </c>
      <c r="I31" s="791">
        <f>-Model!I373</f>
        <v>-34.453593143999996</v>
      </c>
      <c r="J31" s="791">
        <f>-Model!J373</f>
        <v>-34.453593143999996</v>
      </c>
      <c r="K31" s="791">
        <f>-Model!K373</f>
        <v>-34.453593143999996</v>
      </c>
      <c r="L31" s="791">
        <f>-Model!L373</f>
        <v>-34.453593143999996</v>
      </c>
      <c r="M31" s="791">
        <f>-Model!M373</f>
        <v>-34.453593143999996</v>
      </c>
      <c r="N31" s="791">
        <f>-Model!N373</f>
        <v>-34.453593143999996</v>
      </c>
      <c r="O31" s="791">
        <f>-Model!O373</f>
        <v>-34.453593143999996</v>
      </c>
    </row>
    <row r="32" spans="2:16">
      <c r="B32" s="301" t="s">
        <v>315</v>
      </c>
      <c r="C32" s="793">
        <f t="shared" ref="C32:O32" ca="1" si="10">SUM(C26:C31)</f>
        <v>-414.89963407568371</v>
      </c>
      <c r="D32" s="793">
        <f t="shared" ca="1" si="10"/>
        <v>-500.19360761907717</v>
      </c>
      <c r="E32" s="793">
        <f t="shared" ca="1" si="10"/>
        <v>-1086.2509430074117</v>
      </c>
      <c r="F32" s="793">
        <f t="shared" ca="1" si="10"/>
        <v>-1150.3585150255483</v>
      </c>
      <c r="G32" s="793">
        <f t="shared" ca="1" si="10"/>
        <v>-1316.3222114757193</v>
      </c>
      <c r="H32" s="793">
        <f t="shared" ca="1" si="10"/>
        <v>-3495.0598357597592</v>
      </c>
      <c r="I32" s="793">
        <f t="shared" ca="1" si="10"/>
        <v>-4083.8721040497276</v>
      </c>
      <c r="J32" s="793">
        <f t="shared" ca="1" si="10"/>
        <v>-4300.6693615152872</v>
      </c>
      <c r="K32" s="793">
        <f t="shared" ca="1" si="10"/>
        <v>-4048.4994583388357</v>
      </c>
      <c r="L32" s="793">
        <f t="shared" ca="1" si="10"/>
        <v>-4218.4365270642365</v>
      </c>
      <c r="M32" s="793">
        <f t="shared" ca="1" si="10"/>
        <v>-4517.8263816455819</v>
      </c>
      <c r="N32" s="793">
        <f t="shared" ca="1" si="10"/>
        <v>-4681.962845510041</v>
      </c>
      <c r="O32" s="793">
        <f t="shared" ca="1" si="10"/>
        <v>-4897.8536126204563</v>
      </c>
    </row>
    <row r="33" spans="2:15">
      <c r="B33" s="286"/>
      <c r="C33" s="300"/>
      <c r="D33" s="300"/>
      <c r="E33" s="300"/>
      <c r="F33" s="300"/>
      <c r="G33" s="300"/>
      <c r="H33" s="300"/>
      <c r="I33" s="300"/>
      <c r="J33" s="300"/>
      <c r="K33" s="300"/>
      <c r="L33" s="286"/>
    </row>
    <row r="34" spans="2:15">
      <c r="B34" s="286" t="s">
        <v>329</v>
      </c>
      <c r="C34" s="302">
        <f>Model!C378</f>
        <v>56.7</v>
      </c>
      <c r="D34" s="302">
        <f>Model!D378</f>
        <v>56.7</v>
      </c>
      <c r="E34" s="302">
        <f>Model!E378</f>
        <v>127.575</v>
      </c>
      <c r="F34" s="302">
        <f>Model!F378</f>
        <v>127.575</v>
      </c>
      <c r="G34" s="302">
        <f>Model!G378</f>
        <v>127.556</v>
      </c>
      <c r="H34" s="302">
        <f>Model!H378</f>
        <v>127.556</v>
      </c>
      <c r="I34" s="302">
        <f>Model!I378</f>
        <v>127.556</v>
      </c>
      <c r="J34" s="302">
        <f>Model!J378</f>
        <v>127.556</v>
      </c>
      <c r="K34" s="302">
        <f>Model!K378</f>
        <v>127.556</v>
      </c>
      <c r="L34" s="302">
        <f>Model!L378</f>
        <v>127.556</v>
      </c>
      <c r="M34" s="302">
        <f>Model!M378</f>
        <v>127.556</v>
      </c>
      <c r="N34" s="302">
        <f>Model!N378</f>
        <v>127.556</v>
      </c>
      <c r="O34" s="302">
        <f>Model!O378</f>
        <v>127.556</v>
      </c>
    </row>
    <row r="35" spans="2:15">
      <c r="B35" s="286" t="s">
        <v>330</v>
      </c>
      <c r="C35" s="302">
        <f>AVERAGE(C34:C34)</f>
        <v>56.7</v>
      </c>
      <c r="D35" s="302">
        <f>AVERAGE(C34:D34)</f>
        <v>56.7</v>
      </c>
      <c r="E35" s="302">
        <f t="shared" ref="E35:O35" si="11">AVERAGE(D34:E34)</f>
        <v>92.137500000000003</v>
      </c>
      <c r="F35" s="302">
        <f t="shared" si="11"/>
        <v>127.575</v>
      </c>
      <c r="G35" s="302">
        <f t="shared" si="11"/>
        <v>127.5655</v>
      </c>
      <c r="H35" s="302">
        <f t="shared" si="11"/>
        <v>127.556</v>
      </c>
      <c r="I35" s="302">
        <f t="shared" si="11"/>
        <v>127.556</v>
      </c>
      <c r="J35" s="302">
        <f t="shared" si="11"/>
        <v>127.556</v>
      </c>
      <c r="K35" s="302">
        <f t="shared" si="11"/>
        <v>127.556</v>
      </c>
      <c r="L35" s="302">
        <f t="shared" si="11"/>
        <v>127.556</v>
      </c>
      <c r="M35" s="302">
        <f t="shared" si="11"/>
        <v>127.556</v>
      </c>
      <c r="N35" s="302">
        <f t="shared" si="11"/>
        <v>127.556</v>
      </c>
      <c r="O35" s="302">
        <f t="shared" si="11"/>
        <v>127.556</v>
      </c>
    </row>
    <row r="36" spans="2:15" ht="14.25" thickBot="1">
      <c r="B36" s="286" t="s">
        <v>331</v>
      </c>
      <c r="C36" s="303">
        <f ca="1">+C32/C34</f>
        <v>-7.3174538637686721</v>
      </c>
      <c r="D36" s="303">
        <f t="shared" ref="D36:J36" ca="1" si="12">+D32/D34</f>
        <v>-8.8217567481318717</v>
      </c>
      <c r="E36" s="303">
        <f ca="1">+E32/E34</f>
        <v>-8.5146066471284474</v>
      </c>
      <c r="F36" s="303">
        <f ca="1">+F32/F34</f>
        <v>-9.0171155400787644</v>
      </c>
      <c r="G36" s="303">
        <f ca="1">+G32/G34</f>
        <v>-10.319563262219882</v>
      </c>
      <c r="H36" s="303">
        <f t="shared" ca="1" si="12"/>
        <v>-27.400199408571602</v>
      </c>
      <c r="I36" s="303">
        <f t="shared" ca="1" si="12"/>
        <v>-32.016307379109783</v>
      </c>
      <c r="J36" s="303">
        <f t="shared" ca="1" si="12"/>
        <v>-33.715931524313142</v>
      </c>
      <c r="K36" s="303">
        <f ca="1">+K32/K34</f>
        <v>-31.73899666294675</v>
      </c>
      <c r="L36" s="303">
        <f ca="1">+L32/L34</f>
        <v>-33.071251270534013</v>
      </c>
      <c r="M36" s="303">
        <f ca="1">+M32/M34</f>
        <v>-35.418376098698467</v>
      </c>
      <c r="N36" s="303">
        <f ca="1">+N32/N34</f>
        <v>-36.705155739518652</v>
      </c>
      <c r="O36" s="303">
        <f ca="1">+O32/O34</f>
        <v>-38.39767327777961</v>
      </c>
    </row>
    <row r="37" spans="2:15" ht="14.25" thickBot="1">
      <c r="B37" s="286" t="s">
        <v>332</v>
      </c>
      <c r="C37" s="303">
        <f t="shared" ref="C37:O37" ca="1" si="13">+C36</f>
        <v>-7.3174538637686721</v>
      </c>
      <c r="D37" s="303">
        <f t="shared" ca="1" si="13"/>
        <v>-8.8217567481318717</v>
      </c>
      <c r="E37" s="303">
        <f t="shared" ca="1" si="13"/>
        <v>-8.5146066471284474</v>
      </c>
      <c r="F37" s="303">
        <f t="shared" ca="1" si="13"/>
        <v>-9.0171155400787644</v>
      </c>
      <c r="G37" s="303">
        <f t="shared" ca="1" si="13"/>
        <v>-10.319563262219882</v>
      </c>
      <c r="H37" s="303">
        <f t="shared" ca="1" si="13"/>
        <v>-27.400199408571602</v>
      </c>
      <c r="I37" s="303">
        <f t="shared" ca="1" si="13"/>
        <v>-32.016307379109783</v>
      </c>
      <c r="J37" s="312">
        <f t="shared" ca="1" si="13"/>
        <v>-33.715931524313142</v>
      </c>
      <c r="K37" s="303">
        <f t="shared" ca="1" si="13"/>
        <v>-31.73899666294675</v>
      </c>
      <c r="L37" s="303">
        <f t="shared" ca="1" si="13"/>
        <v>-33.071251270534013</v>
      </c>
      <c r="M37" s="303">
        <f t="shared" ca="1" si="13"/>
        <v>-35.418376098698467</v>
      </c>
      <c r="N37" s="303">
        <f t="shared" ca="1" si="13"/>
        <v>-36.705155739518652</v>
      </c>
      <c r="O37" s="303">
        <f t="shared" ca="1" si="13"/>
        <v>-38.39767327777961</v>
      </c>
    </row>
    <row r="38" spans="2:15">
      <c r="B38" s="286" t="s">
        <v>333</v>
      </c>
      <c r="C38" s="442">
        <f>+C4</f>
        <v>3.7</v>
      </c>
      <c r="D38" s="303">
        <f t="shared" ref="D38:J38" si="14">+C38</f>
        <v>3.7</v>
      </c>
      <c r="E38" s="303">
        <f>+D38</f>
        <v>3.7</v>
      </c>
      <c r="F38" s="303">
        <f>+E38</f>
        <v>3.7</v>
      </c>
      <c r="G38" s="303">
        <f t="shared" si="14"/>
        <v>3.7</v>
      </c>
      <c r="H38" s="303">
        <f t="shared" si="14"/>
        <v>3.7</v>
      </c>
      <c r="I38" s="303">
        <f t="shared" si="14"/>
        <v>3.7</v>
      </c>
      <c r="J38" s="303">
        <f t="shared" si="14"/>
        <v>3.7</v>
      </c>
      <c r="K38" s="303">
        <f>+J38</f>
        <v>3.7</v>
      </c>
      <c r="L38" s="303">
        <f>+K38</f>
        <v>3.7</v>
      </c>
      <c r="M38" s="303">
        <f>+L38</f>
        <v>3.7</v>
      </c>
      <c r="N38" s="303">
        <f>+M38</f>
        <v>3.7</v>
      </c>
      <c r="O38" s="303">
        <f>+N38</f>
        <v>3.7</v>
      </c>
    </row>
    <row r="39" spans="2:15">
      <c r="B39" s="286" t="s">
        <v>334</v>
      </c>
      <c r="C39" s="304">
        <f t="shared" ref="C39:J39" ca="1" si="15">+C37/C38-1</f>
        <v>-2.9776902334509923</v>
      </c>
      <c r="D39" s="304">
        <f t="shared" ca="1" si="15"/>
        <v>-3.3842585805761813</v>
      </c>
      <c r="E39" s="304">
        <f ca="1">+E37/E38-1</f>
        <v>-3.3012450397644453</v>
      </c>
      <c r="F39" s="304">
        <f ca="1">+F37/F38-1</f>
        <v>-3.4370582540753416</v>
      </c>
      <c r="G39" s="304">
        <f t="shared" ca="1" si="15"/>
        <v>-3.7890711519513194</v>
      </c>
      <c r="H39" s="304">
        <f t="shared" ca="1" si="15"/>
        <v>-8.4054592996139466</v>
      </c>
      <c r="I39" s="304">
        <f t="shared" ca="1" si="15"/>
        <v>-9.6530560484080485</v>
      </c>
      <c r="J39" s="304">
        <f t="shared" ca="1" si="15"/>
        <v>-10.112413925490038</v>
      </c>
      <c r="K39" s="304">
        <f ca="1">+K37/K38-1</f>
        <v>-9.5781072062018247</v>
      </c>
      <c r="L39" s="304">
        <f ca="1">+L37/L38-1</f>
        <v>-9.9381760190632455</v>
      </c>
      <c r="M39" s="304">
        <f ca="1">+M37/M38-1</f>
        <v>-10.572534080729314</v>
      </c>
      <c r="N39" s="304">
        <f ca="1">+N37/N38-1</f>
        <v>-10.920312362032067</v>
      </c>
      <c r="O39" s="304">
        <f ca="1">+O37/O38-1</f>
        <v>-11.377749534535029</v>
      </c>
    </row>
    <row r="40" spans="2:15">
      <c r="B40" s="286"/>
      <c r="C40" s="286"/>
      <c r="D40" s="286"/>
      <c r="E40" s="286"/>
      <c r="F40" s="286"/>
      <c r="G40" s="286"/>
      <c r="H40" s="286"/>
      <c r="I40" s="286"/>
      <c r="J40" s="286"/>
      <c r="K40" s="286"/>
      <c r="L40" s="286"/>
      <c r="M40" s="286"/>
      <c r="N40" s="286"/>
      <c r="O40" s="286"/>
    </row>
    <row r="41" spans="2:15">
      <c r="B41" s="286" t="s">
        <v>335</v>
      </c>
      <c r="C41" s="286"/>
      <c r="D41" s="443">
        <f t="shared" ref="D41:J41" ca="1" si="16">AVERAGE(C37:D37)</f>
        <v>-8.0696053059502724</v>
      </c>
      <c r="E41" s="443">
        <f ca="1">AVERAGE(D37:E37)</f>
        <v>-8.6681816976301604</v>
      </c>
      <c r="F41" s="443">
        <f ca="1">AVERAGE(E37:F37)</f>
        <v>-8.7658610936036059</v>
      </c>
      <c r="G41" s="443">
        <f ca="1">AVERAGE(F37:G37)</f>
        <v>-9.6683394011493231</v>
      </c>
      <c r="H41" s="443">
        <f t="shared" ca="1" si="16"/>
        <v>-18.859881335395741</v>
      </c>
      <c r="I41" s="443">
        <f t="shared" ca="1" si="16"/>
        <v>-29.708253393840693</v>
      </c>
      <c r="J41" s="443">
        <f t="shared" ca="1" si="16"/>
        <v>-32.866119451711462</v>
      </c>
      <c r="K41" s="443">
        <f ca="1">AVERAGE(J37:K37)</f>
        <v>-32.727464093629948</v>
      </c>
      <c r="L41" s="443">
        <f ca="1">AVERAGE(K37:L37)</f>
        <v>-32.405123966740383</v>
      </c>
      <c r="M41" s="443">
        <f ca="1">AVERAGE(L37:M37)</f>
        <v>-34.24481368461624</v>
      </c>
      <c r="N41" s="443">
        <f ca="1">AVERAGE(M37:N37)</f>
        <v>-36.061765919108559</v>
      </c>
      <c r="O41" s="443">
        <f ca="1">AVERAGE(N37:O37)</f>
        <v>-37.551414508649131</v>
      </c>
    </row>
    <row r="42" spans="2:15">
      <c r="B42" s="286"/>
      <c r="C42" s="286"/>
      <c r="D42" s="292"/>
      <c r="E42" s="292"/>
      <c r="F42" s="292"/>
      <c r="G42" s="292"/>
      <c r="H42" s="292"/>
      <c r="I42" s="292"/>
      <c r="J42" s="292"/>
      <c r="K42" s="292"/>
      <c r="L42" s="292"/>
    </row>
    <row r="43" spans="2:15">
      <c r="B43" s="286"/>
      <c r="C43" s="286"/>
      <c r="D43" s="286"/>
      <c r="E43" s="286"/>
      <c r="F43" s="286"/>
      <c r="G43" s="286"/>
      <c r="H43" s="286"/>
      <c r="I43" s="286"/>
      <c r="J43" s="286"/>
      <c r="K43" s="286"/>
      <c r="L43" s="286"/>
    </row>
    <row r="44" spans="2:15">
      <c r="B44" s="285" t="s">
        <v>313</v>
      </c>
      <c r="C44" s="285">
        <v>2013</v>
      </c>
      <c r="D44" s="285">
        <v>2014</v>
      </c>
      <c r="E44" s="285">
        <v>2015</v>
      </c>
      <c r="F44" s="285">
        <v>2016</v>
      </c>
      <c r="G44" s="285">
        <v>2017</v>
      </c>
      <c r="H44" s="285">
        <v>2018</v>
      </c>
      <c r="I44" s="285">
        <v>2019</v>
      </c>
      <c r="J44" s="285">
        <v>2020</v>
      </c>
      <c r="K44" s="285">
        <v>2021</v>
      </c>
      <c r="L44" s="285">
        <v>2022</v>
      </c>
      <c r="M44" s="285">
        <v>2023</v>
      </c>
      <c r="N44" s="285">
        <v>2024</v>
      </c>
      <c r="O44" s="285">
        <v>2025</v>
      </c>
    </row>
    <row r="45" spans="2:15" ht="14.25" thickBot="1">
      <c r="B45" s="73" t="s">
        <v>336</v>
      </c>
      <c r="C45" s="286"/>
      <c r="D45" s="286"/>
      <c r="E45" s="286"/>
      <c r="F45" s="286"/>
      <c r="G45" s="286"/>
      <c r="H45" s="286"/>
      <c r="I45" s="286"/>
      <c r="J45" s="286"/>
      <c r="K45" s="286"/>
      <c r="L45" s="286"/>
      <c r="M45" s="286"/>
      <c r="N45" s="286"/>
      <c r="O45" s="286"/>
    </row>
    <row r="46" spans="2:15">
      <c r="B46" s="286" t="s">
        <v>318</v>
      </c>
      <c r="C46" s="287">
        <f t="shared" ref="C46:J46" ca="1" si="17">+C78/C83</f>
        <v>10.997521778276489</v>
      </c>
      <c r="D46" s="287">
        <f t="shared" ca="1" si="17"/>
        <v>10.771034734617951</v>
      </c>
      <c r="E46" s="287">
        <f t="shared" ca="1" si="17"/>
        <v>13.612954933999259</v>
      </c>
      <c r="F46" s="287">
        <f ca="1">+F78/F83</f>
        <v>7.7413182808227559</v>
      </c>
      <c r="G46" s="287">
        <f t="shared" ca="1" si="17"/>
        <v>7.7279989148676256</v>
      </c>
      <c r="H46" s="287">
        <f ca="1">+H78/H83</f>
        <v>17.740402267329042</v>
      </c>
      <c r="I46" s="287">
        <f t="shared" ca="1" si="17"/>
        <v>19.774836070501649</v>
      </c>
      <c r="J46" s="613">
        <f t="shared" ca="1" si="17"/>
        <v>20.109210464330239</v>
      </c>
      <c r="K46" s="287">
        <f ca="1">+K78/K83</f>
        <v>20.134430271680714</v>
      </c>
      <c r="L46" s="287">
        <f ca="1">+L78/L83</f>
        <v>26.076179886204539</v>
      </c>
      <c r="M46" s="287">
        <f ca="1">+M78/M83</f>
        <v>26.378686608354119</v>
      </c>
      <c r="N46" s="287">
        <f ca="1">+N78/N83</f>
        <v>28.15036973874879</v>
      </c>
      <c r="O46" s="287">
        <f ca="1">+O78/O83</f>
        <v>28.222911948120892</v>
      </c>
    </row>
    <row r="47" spans="2:15">
      <c r="B47" s="286" t="s">
        <v>337</v>
      </c>
      <c r="C47" s="287">
        <f t="shared" ref="C47:J47" ca="1" si="18">+C78/C84</f>
        <v>26.481907364334351</v>
      </c>
      <c r="D47" s="287">
        <f t="shared" ca="1" si="18"/>
        <v>71.825442945078066</v>
      </c>
      <c r="E47" s="287">
        <f t="shared" ca="1" si="18"/>
        <v>69.282540058009161</v>
      </c>
      <c r="F47" s="287">
        <f t="shared" ca="1" si="18"/>
        <v>19.796561370488462</v>
      </c>
      <c r="G47" s="287">
        <f t="shared" ca="1" si="18"/>
        <v>18.801482654094308</v>
      </c>
      <c r="H47" s="287">
        <f t="shared" ca="1" si="18"/>
        <v>54.397240334732651</v>
      </c>
      <c r="I47" s="287">
        <f t="shared" ca="1" si="18"/>
        <v>61.199827116341062</v>
      </c>
      <c r="J47" s="614">
        <f t="shared" ca="1" si="18"/>
        <v>36.604856034995798</v>
      </c>
      <c r="K47" s="287">
        <f ca="1">+K78/K84</f>
        <v>49.407287702233475</v>
      </c>
      <c r="L47" s="287">
        <f ca="1">+L78/L84</f>
        <v>-1071.992522589248</v>
      </c>
      <c r="M47" s="287">
        <f ca="1">+M78/M84</f>
        <v>1306.1179128525889</v>
      </c>
      <c r="N47" s="287">
        <f ca="1">+N78/N84</f>
        <v>-628.14024028079484</v>
      </c>
      <c r="O47" s="287">
        <f ca="1">+O78/O84</f>
        <v>1130.5858339164995</v>
      </c>
    </row>
    <row r="48" spans="2:15">
      <c r="B48" s="286" t="s">
        <v>338</v>
      </c>
      <c r="C48" s="287">
        <f t="shared" ref="C48:J48" ca="1" si="19">+C78/C85</f>
        <v>39.525234872140828</v>
      </c>
      <c r="D48" s="287">
        <f t="shared" ca="1" si="19"/>
        <v>107.20215364937026</v>
      </c>
      <c r="E48" s="287">
        <f t="shared" ca="1" si="19"/>
        <v>103.40677620598383</v>
      </c>
      <c r="F48" s="287">
        <f t="shared" ca="1" si="19"/>
        <v>28.280801957840662</v>
      </c>
      <c r="G48" s="287">
        <f t="shared" ca="1" si="19"/>
        <v>26.85926093442044</v>
      </c>
      <c r="H48" s="287">
        <f t="shared" ca="1" si="19"/>
        <v>77.710343335332368</v>
      </c>
      <c r="I48" s="287">
        <f t="shared" ca="1" si="19"/>
        <v>87.428324451915813</v>
      </c>
      <c r="J48" s="614">
        <f t="shared" ca="1" si="19"/>
        <v>52.292651478565432</v>
      </c>
      <c r="K48" s="287">
        <f ca="1">+K78/K85</f>
        <v>70.581839574619252</v>
      </c>
      <c r="L48" s="287">
        <f ca="1">+L78/L85</f>
        <v>-1531.4178894132115</v>
      </c>
      <c r="M48" s="287">
        <f ca="1">+M78/M85</f>
        <v>1865.8827326465555</v>
      </c>
      <c r="N48" s="287">
        <f ca="1">+N78/N85</f>
        <v>-897.34320040113562</v>
      </c>
      <c r="O48" s="287">
        <f ca="1">+O78/O85</f>
        <v>1615.1226198807135</v>
      </c>
    </row>
    <row r="49" spans="2:15">
      <c r="B49" s="286" t="s">
        <v>339</v>
      </c>
      <c r="C49" s="288">
        <f t="shared" ref="C49:J49" si="20">+C38/C86</f>
        <v>-35.323236490070336</v>
      </c>
      <c r="D49" s="288">
        <f t="shared" si="20"/>
        <v>43.914525614524166</v>
      </c>
      <c r="E49" s="288">
        <f t="shared" si="20"/>
        <v>11.990476596840217</v>
      </c>
      <c r="F49" s="288">
        <f t="shared" si="20"/>
        <v>23.659458971775688</v>
      </c>
      <c r="G49" s="288">
        <f t="shared" si="20"/>
        <v>8.1833301544917028</v>
      </c>
      <c r="H49" s="288">
        <f t="shared" si="20"/>
        <v>9.294650892076092</v>
      </c>
      <c r="I49" s="288">
        <f t="shared" si="20"/>
        <v>263.66771167433183</v>
      </c>
      <c r="J49" s="615">
        <f t="shared" si="20"/>
        <v>8.1953439018915102</v>
      </c>
      <c r="K49" s="288">
        <f ca="1">+K38/K86</f>
        <v>142.39082089701552</v>
      </c>
      <c r="L49" s="288">
        <f ca="1">+L38/L86</f>
        <v>-93.274181572154617</v>
      </c>
      <c r="M49" s="288">
        <f ca="1">+M38/M86</f>
        <v>-52.90704081263636</v>
      </c>
      <c r="N49" s="288">
        <f ca="1">+N38/N86</f>
        <v>-26.324226329050035</v>
      </c>
      <c r="O49" s="288">
        <f ca="1">+O38/O86</f>
        <v>-27.063677444436379</v>
      </c>
    </row>
    <row r="50" spans="2:15">
      <c r="B50" s="286" t="s">
        <v>340</v>
      </c>
      <c r="C50" s="289">
        <f t="shared" ref="C50:J50" si="21">+C89/C64</f>
        <v>4.1555126555126727E-2</v>
      </c>
      <c r="D50" s="289">
        <f t="shared" si="21"/>
        <v>-0.12539415944182436</v>
      </c>
      <c r="E50" s="289">
        <f t="shared" si="21"/>
        <v>9.1418540493933519E-3</v>
      </c>
      <c r="F50" s="289">
        <f t="shared" si="21"/>
        <v>5.25518110703296E-2</v>
      </c>
      <c r="G50" s="289">
        <f t="shared" si="21"/>
        <v>0.12688226813787354</v>
      </c>
      <c r="H50" s="289">
        <f t="shared" si="21"/>
        <v>0.11235745072519271</v>
      </c>
      <c r="I50" s="289">
        <f t="shared" si="21"/>
        <v>5.494269543858258E-2</v>
      </c>
      <c r="J50" s="616">
        <f t="shared" si="21"/>
        <v>0.29931073421700094</v>
      </c>
      <c r="K50" s="289">
        <f ca="1">+K89/K64</f>
        <v>8.0128628153145975E-2</v>
      </c>
      <c r="L50" s="289">
        <f ca="1">+L89/L64</f>
        <v>-5.4633714298669381E-2</v>
      </c>
      <c r="M50" s="289">
        <f ca="1">+M89/M64</f>
        <v>-5.8559041787759204E-2</v>
      </c>
      <c r="N50" s="289">
        <f ca="1">+N89/N64</f>
        <v>-8.5166848797524966E-2</v>
      </c>
      <c r="O50" s="289">
        <f ca="1">+O89/O64</f>
        <v>-6.5279132189063921E-2</v>
      </c>
    </row>
    <row r="51" spans="2:15" ht="14.25" thickBot="1">
      <c r="B51" s="286" t="s">
        <v>341</v>
      </c>
      <c r="C51" s="289">
        <f t="shared" ref="C51:J51" si="22">+C87/C38</f>
        <v>0</v>
      </c>
      <c r="D51" s="289">
        <f t="shared" si="22"/>
        <v>0</v>
      </c>
      <c r="E51" s="289">
        <f t="shared" si="22"/>
        <v>0</v>
      </c>
      <c r="F51" s="289">
        <f t="shared" si="22"/>
        <v>0</v>
      </c>
      <c r="G51" s="289">
        <f t="shared" si="22"/>
        <v>0</v>
      </c>
      <c r="H51" s="289">
        <f t="shared" si="22"/>
        <v>0</v>
      </c>
      <c r="I51" s="289">
        <f t="shared" si="22"/>
        <v>0</v>
      </c>
      <c r="J51" s="617">
        <f t="shared" si="22"/>
        <v>0</v>
      </c>
      <c r="K51" s="289">
        <f ca="1">+K87/K38</f>
        <v>6.3206321470042444E-3</v>
      </c>
      <c r="L51" s="289">
        <f ca="1">+L87/L38</f>
        <v>0</v>
      </c>
      <c r="M51" s="289">
        <f ca="1">+M87/M38</f>
        <v>0</v>
      </c>
      <c r="N51" s="289">
        <f ca="1">+N87/N38</f>
        <v>0</v>
      </c>
      <c r="O51" s="289">
        <f ca="1">+O87/O38</f>
        <v>0</v>
      </c>
    </row>
    <row r="52" spans="2:15">
      <c r="B52" s="286"/>
      <c r="C52" s="289"/>
      <c r="D52" s="289"/>
      <c r="E52" s="289"/>
      <c r="F52" s="289"/>
      <c r="G52" s="286"/>
      <c r="H52" s="286"/>
      <c r="I52" s="286"/>
      <c r="J52" s="286"/>
      <c r="K52" s="286"/>
      <c r="L52" s="286"/>
      <c r="M52" s="286"/>
      <c r="N52" s="286"/>
      <c r="O52" s="286"/>
    </row>
    <row r="53" spans="2:15">
      <c r="B53" s="73" t="s">
        <v>342</v>
      </c>
      <c r="C53" s="289"/>
      <c r="D53" s="289"/>
      <c r="E53" s="289"/>
      <c r="F53" s="289"/>
      <c r="G53" s="286"/>
      <c r="H53" s="286"/>
      <c r="I53" s="286"/>
      <c r="J53" s="286"/>
      <c r="K53" s="286"/>
      <c r="L53" s="286"/>
      <c r="M53" s="286"/>
      <c r="N53" s="286"/>
      <c r="O53" s="286"/>
    </row>
    <row r="54" spans="2:15">
      <c r="B54" s="286" t="s">
        <v>318</v>
      </c>
      <c r="C54" s="287">
        <f t="shared" ref="C54:J54" ca="1" si="23">+C77/C83</f>
        <v>3.9049819088930726</v>
      </c>
      <c r="D54" s="287">
        <f ca="1">+D77/D83</f>
        <v>3.5948924845662527</v>
      </c>
      <c r="E54" s="287">
        <f ca="1">+E77/E83</f>
        <v>2.5519950021624891</v>
      </c>
      <c r="F54" s="287">
        <f t="shared" ca="1" si="23"/>
        <v>1.2543690004327182</v>
      </c>
      <c r="G54" s="287">
        <f t="shared" ca="1" si="23"/>
        <v>0.97212656324042646</v>
      </c>
      <c r="H54" s="287">
        <f t="shared" ca="1" si="23"/>
        <v>0.93076672645848113</v>
      </c>
      <c r="I54" s="287">
        <f t="shared" ca="1" si="23"/>
        <v>0.748935681747532</v>
      </c>
      <c r="J54" s="287">
        <f t="shared" ca="1" si="23"/>
        <v>0.40259344267067226</v>
      </c>
      <c r="K54" s="287">
        <f ca="1">+K77/K83</f>
        <v>0.17242200356840889</v>
      </c>
      <c r="L54" s="287">
        <f ca="1">+L77/L83</f>
        <v>0.24560253554816883</v>
      </c>
      <c r="M54" s="287">
        <f ca="1">+M77/M83</f>
        <v>0.23425530018162108</v>
      </c>
      <c r="N54" s="287">
        <f ca="1">+N77/N83</f>
        <v>0.28829262914845194</v>
      </c>
      <c r="O54" s="287">
        <f ca="1">+O77/O83</f>
        <v>0.2938061605463354</v>
      </c>
    </row>
    <row r="55" spans="2:15">
      <c r="B55" s="286" t="s">
        <v>337</v>
      </c>
      <c r="C55" s="287">
        <f t="shared" ref="C55:J55" ca="1" si="24">+C77/C84</f>
        <v>9.4031520242112485</v>
      </c>
      <c r="D55" s="287">
        <f t="shared" ca="1" si="24"/>
        <v>23.972139298189891</v>
      </c>
      <c r="E55" s="287">
        <f t="shared" ca="1" si="24"/>
        <v>12.988267192714371</v>
      </c>
      <c r="F55" s="287">
        <f t="shared" ca="1" si="24"/>
        <v>3.2077473109225241</v>
      </c>
      <c r="G55" s="287">
        <f t="shared" ca="1" si="24"/>
        <v>2.3650910045012954</v>
      </c>
      <c r="H55" s="287">
        <f t="shared" ca="1" si="24"/>
        <v>2.8540018739021122</v>
      </c>
      <c r="I55" s="287">
        <f t="shared" ca="1" si="24"/>
        <v>2.3178313125224936</v>
      </c>
      <c r="J55" s="287">
        <f t="shared" ca="1" si="24"/>
        <v>0.73284204945458176</v>
      </c>
      <c r="K55" s="287">
        <f ca="1">+K77/K84</f>
        <v>0.42310129571840094</v>
      </c>
      <c r="L55" s="287">
        <f ca="1">+L77/L84</f>
        <v>-10.096727464895499</v>
      </c>
      <c r="M55" s="287">
        <f ca="1">+M77/M84</f>
        <v>11.598949117162512</v>
      </c>
      <c r="N55" s="287">
        <f ca="1">+N77/N84</f>
        <v>-6.4328889114100702</v>
      </c>
      <c r="O55" s="287">
        <f ca="1">+O77/O84</f>
        <v>11.769624751750674</v>
      </c>
    </row>
    <row r="56" spans="2:15">
      <c r="B56" s="286" t="s">
        <v>338</v>
      </c>
      <c r="C56" s="287">
        <f t="shared" ref="C56:J56" ca="1" si="25">+C77/C85</f>
        <v>14.03455526001679</v>
      </c>
      <c r="D56" s="287">
        <f t="shared" ca="1" si="25"/>
        <v>35.779312385358054</v>
      </c>
      <c r="E56" s="287">
        <f t="shared" ca="1" si="25"/>
        <v>19.385473421961752</v>
      </c>
      <c r="F56" s="287">
        <f t="shared" ca="1" si="25"/>
        <v>4.5824961584607493</v>
      </c>
      <c r="G56" s="287">
        <f t="shared" ca="1" si="25"/>
        <v>3.3787014350018505</v>
      </c>
      <c r="H56" s="287">
        <f t="shared" ca="1" si="25"/>
        <v>4.0771455341458749</v>
      </c>
      <c r="I56" s="287">
        <f t="shared" ca="1" si="25"/>
        <v>3.3111875893178486</v>
      </c>
      <c r="J56" s="287">
        <f t="shared" ca="1" si="25"/>
        <v>1.0469172135065454</v>
      </c>
      <c r="K56" s="287">
        <f ca="1">+K77/K85</f>
        <v>0.60443042245485856</v>
      </c>
      <c r="L56" s="287">
        <f ca="1">+L77/L85</f>
        <v>-14.423896378422141</v>
      </c>
      <c r="M56" s="287">
        <f ca="1">+M77/M85</f>
        <v>16.56992731023216</v>
      </c>
      <c r="N56" s="287">
        <f ca="1">+N77/N85</f>
        <v>-9.1898413020143881</v>
      </c>
      <c r="O56" s="287">
        <f ca="1">+O77/O85</f>
        <v>16.813749645358108</v>
      </c>
    </row>
    <row r="57" spans="2:15">
      <c r="B57" s="286" t="s">
        <v>339</v>
      </c>
      <c r="C57" s="288">
        <f t="shared" ref="C57:J57" ca="1" si="26">+C68/C91</f>
        <v>69.858419820291815</v>
      </c>
      <c r="D57" s="288">
        <f t="shared" ca="1" si="26"/>
        <v>-104.70358450836176</v>
      </c>
      <c r="E57" s="288">
        <f t="shared" ca="1" si="26"/>
        <v>-27.593024792890212</v>
      </c>
      <c r="F57" s="288">
        <f t="shared" ca="1" si="26"/>
        <v>-57.659479774122829</v>
      </c>
      <c r="G57" s="288">
        <f t="shared" ca="1" si="26"/>
        <v>-22.823890060786141</v>
      </c>
      <c r="H57" s="288">
        <f t="shared" ca="1" si="26"/>
        <v>-68.831158885389954</v>
      </c>
      <c r="I57" s="288">
        <f t="shared" ca="1" si="26"/>
        <v>-2281.5314872734866</v>
      </c>
      <c r="J57" s="288">
        <f t="shared" ca="1" si="26"/>
        <v>-74.679365895776073</v>
      </c>
      <c r="K57" s="288">
        <f ca="1">+K68/K91</f>
        <v>-1221.4437268336821</v>
      </c>
      <c r="L57" s="288">
        <f ca="1">+L68/L91</f>
        <v>833.70105292598328</v>
      </c>
      <c r="M57" s="288">
        <f ca="1">+M68/M91</f>
        <v>506.45445128949837</v>
      </c>
      <c r="N57" s="288">
        <f ca="1">+N68/N91</f>
        <v>261.14454787300514</v>
      </c>
      <c r="O57" s="288">
        <f ca="1">+O68/O91</f>
        <v>280.86006600180582</v>
      </c>
    </row>
    <row r="58" spans="2:15">
      <c r="B58" s="286" t="s">
        <v>340</v>
      </c>
      <c r="C58" s="289">
        <f t="shared" ref="C58:J58" ca="1" si="27">+C89/C65</f>
        <v>-2.1011949117337076E-2</v>
      </c>
      <c r="D58" s="289">
        <f t="shared" ca="1" si="27"/>
        <v>5.2592516794684872E-2</v>
      </c>
      <c r="E58" s="289">
        <f t="shared" ca="1" si="27"/>
        <v>-3.9725687145116496E-3</v>
      </c>
      <c r="F58" s="289">
        <f t="shared" ca="1" si="27"/>
        <v>-2.1563625318537408E-2</v>
      </c>
      <c r="G58" s="289">
        <f t="shared" ca="1" si="27"/>
        <v>-4.5492660898630292E-2</v>
      </c>
      <c r="H58" s="289">
        <f t="shared" ca="1" si="27"/>
        <v>-1.5172246065959747E-2</v>
      </c>
      <c r="I58" s="289">
        <f t="shared" ca="1" si="27"/>
        <v>-6.3495134125117203E-3</v>
      </c>
      <c r="J58" s="289">
        <f t="shared" ca="1" si="27"/>
        <v>-3.2846481367548822E-2</v>
      </c>
      <c r="K58" s="289">
        <f ca="1">+K89/K65</f>
        <v>-9.3410616383080829E-3</v>
      </c>
      <c r="L58" s="289">
        <f ca="1">+L89/L65</f>
        <v>6.1124008055051917E-3</v>
      </c>
      <c r="M58" s="289">
        <f ca="1">+M89/M65</f>
        <v>6.117402277589769E-3</v>
      </c>
      <c r="N58" s="289">
        <f ca="1">+N89/N65</f>
        <v>8.5850974938534563E-3</v>
      </c>
      <c r="O58" s="289">
        <f ca="1">+O89/O65</f>
        <v>6.2902975227748861E-3</v>
      </c>
    </row>
    <row r="59" spans="2:15">
      <c r="B59" s="286" t="s">
        <v>341</v>
      </c>
      <c r="C59" s="289">
        <f t="shared" ref="C59:J59" ca="1" si="28">+C87/C37</f>
        <v>0</v>
      </c>
      <c r="D59" s="289">
        <f t="shared" ca="1" si="28"/>
        <v>0</v>
      </c>
      <c r="E59" s="289">
        <f t="shared" ca="1" si="28"/>
        <v>0</v>
      </c>
      <c r="F59" s="289">
        <f t="shared" ca="1" si="28"/>
        <v>0</v>
      </c>
      <c r="G59" s="289">
        <f t="shared" ca="1" si="28"/>
        <v>0</v>
      </c>
      <c r="H59" s="289">
        <f t="shared" ca="1" si="28"/>
        <v>0</v>
      </c>
      <c r="I59" s="289">
        <f t="shared" ca="1" si="28"/>
        <v>0</v>
      </c>
      <c r="J59" s="289">
        <f t="shared" ca="1" si="28"/>
        <v>0</v>
      </c>
      <c r="K59" s="289">
        <f ca="1">+K87/K37</f>
        <v>-7.3683296268838147E-4</v>
      </c>
      <c r="L59" s="289">
        <f ca="1">+L87/L37</f>
        <v>0</v>
      </c>
      <c r="M59" s="289">
        <f ca="1">+M87/M37</f>
        <v>0</v>
      </c>
      <c r="N59" s="289">
        <f ca="1">+N87/N37</f>
        <v>0</v>
      </c>
      <c r="O59" s="289">
        <f ca="1">+O87/O37</f>
        <v>0</v>
      </c>
    </row>
    <row r="60" spans="2:15">
      <c r="B60" s="286"/>
      <c r="C60" s="289"/>
      <c r="D60" s="289"/>
      <c r="E60" s="289"/>
      <c r="F60" s="289"/>
      <c r="G60" s="286"/>
      <c r="H60" s="286"/>
      <c r="I60" s="286"/>
      <c r="J60" s="286"/>
      <c r="K60" s="286"/>
      <c r="L60" s="286"/>
      <c r="M60" s="286"/>
      <c r="N60" s="286"/>
      <c r="O60" s="286"/>
    </row>
    <row r="61" spans="2:15">
      <c r="B61" s="286"/>
      <c r="C61" s="286"/>
      <c r="D61" s="286"/>
      <c r="E61" s="286"/>
      <c r="F61" s="286"/>
      <c r="G61" s="286"/>
      <c r="H61" s="286"/>
      <c r="I61" s="286"/>
      <c r="J61" s="286"/>
      <c r="K61" s="286"/>
      <c r="L61" s="286"/>
    </row>
    <row r="62" spans="2:15">
      <c r="B62" s="285" t="s">
        <v>343</v>
      </c>
      <c r="C62" s="285">
        <v>2013</v>
      </c>
      <c r="D62" s="285">
        <v>2014</v>
      </c>
      <c r="E62" s="285">
        <v>2015</v>
      </c>
      <c r="F62" s="285">
        <v>2016</v>
      </c>
      <c r="G62" s="285">
        <v>2017</v>
      </c>
      <c r="H62" s="285">
        <v>2018</v>
      </c>
      <c r="I62" s="285">
        <v>2019</v>
      </c>
      <c r="J62" s="285">
        <v>2020</v>
      </c>
      <c r="K62" s="285">
        <v>2021</v>
      </c>
      <c r="L62" s="285">
        <v>2022</v>
      </c>
      <c r="M62" s="285">
        <v>2023</v>
      </c>
      <c r="N62" s="285">
        <v>2024</v>
      </c>
      <c r="O62" s="285">
        <v>2025</v>
      </c>
    </row>
    <row r="63" spans="2:15">
      <c r="B63" s="286"/>
      <c r="C63" s="297"/>
      <c r="D63" s="297"/>
      <c r="E63" s="297"/>
      <c r="F63" s="297"/>
      <c r="G63" s="286"/>
      <c r="H63" s="286"/>
      <c r="I63" s="286"/>
      <c r="J63" s="286"/>
      <c r="K63" s="286"/>
      <c r="L63" s="286"/>
      <c r="M63" s="286"/>
      <c r="N63" s="286"/>
      <c r="O63" s="286"/>
    </row>
    <row r="64" spans="2:15">
      <c r="B64" s="305" t="s">
        <v>344</v>
      </c>
      <c r="C64" s="306">
        <f t="shared" ref="C64:J64" si="29">+(C82*$C$4)</f>
        <v>209.79000000000002</v>
      </c>
      <c r="D64" s="306">
        <f t="shared" si="29"/>
        <v>209.79000000000002</v>
      </c>
      <c r="E64" s="306">
        <f t="shared" si="29"/>
        <v>472.02750000000003</v>
      </c>
      <c r="F64" s="306">
        <f t="shared" si="29"/>
        <v>472.02750000000003</v>
      </c>
      <c r="G64" s="306">
        <f t="shared" si="29"/>
        <v>471.9572</v>
      </c>
      <c r="H64" s="306">
        <f t="shared" si="29"/>
        <v>471.9572</v>
      </c>
      <c r="I64" s="306">
        <f t="shared" si="29"/>
        <v>471.9572</v>
      </c>
      <c r="J64" s="306">
        <f t="shared" si="29"/>
        <v>471.9572</v>
      </c>
      <c r="K64" s="306">
        <f>+(K82*$C$4)</f>
        <v>471.9572</v>
      </c>
      <c r="L64" s="306">
        <f>+(L82*$C$4)</f>
        <v>471.9572</v>
      </c>
      <c r="M64" s="306">
        <f>+(M82*$C$4)</f>
        <v>471.9572</v>
      </c>
      <c r="N64" s="306">
        <f>+(N82*$C$4)</f>
        <v>471.9572</v>
      </c>
      <c r="O64" s="306">
        <f>+(O82*$C$4)</f>
        <v>471.9572</v>
      </c>
    </row>
    <row r="65" spans="2:15">
      <c r="B65" s="286" t="s">
        <v>345</v>
      </c>
      <c r="C65" s="307">
        <f t="shared" ref="C65:I65" ca="1" si="30">+C68</f>
        <v>-414.89963407568371</v>
      </c>
      <c r="D65" s="307">
        <f t="shared" ca="1" si="30"/>
        <v>-500.19360761907717</v>
      </c>
      <c r="E65" s="307">
        <f t="shared" ca="1" si="30"/>
        <v>-1086.2509430074117</v>
      </c>
      <c r="F65" s="307">
        <f t="shared" ca="1" si="30"/>
        <v>-1150.3585150255483</v>
      </c>
      <c r="G65" s="307">
        <f t="shared" ca="1" si="30"/>
        <v>-1316.3222114757193</v>
      </c>
      <c r="H65" s="307">
        <f t="shared" ca="1" si="30"/>
        <v>-3495.0598357597592</v>
      </c>
      <c r="I65" s="307">
        <f t="shared" ca="1" si="30"/>
        <v>-4083.8721040497276</v>
      </c>
      <c r="J65" s="307">
        <f t="shared" ref="J65:O65" ca="1" si="31">+J68</f>
        <v>-4300.6693615152872</v>
      </c>
      <c r="K65" s="307">
        <f t="shared" ca="1" si="31"/>
        <v>-4048.4994583388357</v>
      </c>
      <c r="L65" s="307">
        <f t="shared" ca="1" si="31"/>
        <v>-4218.4365270642365</v>
      </c>
      <c r="M65" s="307">
        <f t="shared" ca="1" si="31"/>
        <v>-4517.8263816455819</v>
      </c>
      <c r="N65" s="307">
        <f t="shared" ca="1" si="31"/>
        <v>-4681.962845510041</v>
      </c>
      <c r="O65" s="307">
        <f t="shared" ca="1" si="31"/>
        <v>-4897.8536126204563</v>
      </c>
    </row>
    <row r="66" spans="2:15">
      <c r="B66" s="286"/>
      <c r="C66" s="286"/>
      <c r="D66" s="286"/>
      <c r="E66" s="297"/>
      <c r="F66" s="297"/>
      <c r="G66" s="297"/>
      <c r="H66" s="297"/>
      <c r="I66" s="286"/>
      <c r="J66" s="286"/>
      <c r="K66" s="286"/>
      <c r="L66" s="286"/>
      <c r="M66" s="286"/>
      <c r="N66" s="286"/>
      <c r="O66" s="286"/>
    </row>
    <row r="67" spans="2:15">
      <c r="B67" s="285" t="s">
        <v>346</v>
      </c>
      <c r="C67" s="285">
        <v>2013</v>
      </c>
      <c r="D67" s="285">
        <v>2014</v>
      </c>
      <c r="E67" s="285">
        <v>2015</v>
      </c>
      <c r="F67" s="285">
        <v>2016</v>
      </c>
      <c r="G67" s="285">
        <v>2017</v>
      </c>
      <c r="H67" s="285">
        <v>2018</v>
      </c>
      <c r="I67" s="285">
        <v>2019</v>
      </c>
      <c r="J67" s="285">
        <v>2020</v>
      </c>
      <c r="K67" s="285">
        <v>2021</v>
      </c>
      <c r="L67" s="285">
        <v>2022</v>
      </c>
      <c r="M67" s="285">
        <v>2023</v>
      </c>
      <c r="N67" s="285">
        <v>2024</v>
      </c>
      <c r="O67" s="285">
        <v>2025</v>
      </c>
    </row>
    <row r="68" spans="2:15">
      <c r="B68" s="286" t="s">
        <v>345</v>
      </c>
      <c r="C68" s="791">
        <f t="shared" ref="C68:I68" ca="1" si="32">+C32</f>
        <v>-414.89963407568371</v>
      </c>
      <c r="D68" s="791">
        <f t="shared" ca="1" si="32"/>
        <v>-500.19360761907717</v>
      </c>
      <c r="E68" s="791">
        <f t="shared" ca="1" si="32"/>
        <v>-1086.2509430074117</v>
      </c>
      <c r="F68" s="791">
        <f t="shared" ca="1" si="32"/>
        <v>-1150.3585150255483</v>
      </c>
      <c r="G68" s="791">
        <f t="shared" ca="1" si="32"/>
        <v>-1316.3222114757193</v>
      </c>
      <c r="H68" s="791">
        <f t="shared" ca="1" si="32"/>
        <v>-3495.0598357597592</v>
      </c>
      <c r="I68" s="791">
        <f t="shared" ca="1" si="32"/>
        <v>-4083.8721040497276</v>
      </c>
      <c r="J68" s="791">
        <f t="shared" ref="J68:O68" ca="1" si="33">+J32</f>
        <v>-4300.6693615152872</v>
      </c>
      <c r="K68" s="791">
        <f t="shared" ca="1" si="33"/>
        <v>-4048.4994583388357</v>
      </c>
      <c r="L68" s="791">
        <f t="shared" ca="1" si="33"/>
        <v>-4218.4365270642365</v>
      </c>
      <c r="M68" s="791">
        <f t="shared" ca="1" si="33"/>
        <v>-4517.8263816455819</v>
      </c>
      <c r="N68" s="791">
        <f t="shared" ca="1" si="33"/>
        <v>-4681.962845510041</v>
      </c>
      <c r="O68" s="791">
        <f t="shared" ca="1" si="33"/>
        <v>-4897.8536126204563</v>
      </c>
    </row>
    <row r="69" spans="2:15">
      <c r="B69" s="286" t="s">
        <v>300</v>
      </c>
      <c r="C69" s="792">
        <v>0</v>
      </c>
      <c r="D69" s="792">
        <v>0</v>
      </c>
      <c r="E69" s="792">
        <v>0</v>
      </c>
      <c r="F69" s="792">
        <v>0</v>
      </c>
      <c r="G69" s="792">
        <v>0</v>
      </c>
      <c r="H69" s="792">
        <v>0</v>
      </c>
      <c r="I69" s="792">
        <v>0</v>
      </c>
      <c r="J69" s="792">
        <v>0</v>
      </c>
      <c r="K69" s="792">
        <v>0</v>
      </c>
      <c r="L69" s="792">
        <v>0</v>
      </c>
      <c r="M69" s="792">
        <v>0</v>
      </c>
      <c r="N69" s="792">
        <v>0</v>
      </c>
      <c r="O69" s="792">
        <v>0</v>
      </c>
    </row>
    <row r="70" spans="2:15">
      <c r="B70" s="286" t="s">
        <v>1447</v>
      </c>
      <c r="C70" s="791">
        <f>-C31</f>
        <v>42.826000000000001</v>
      </c>
      <c r="D70" s="791">
        <f t="shared" ref="D70:I70" si="34">-D31</f>
        <v>43.711919999999999</v>
      </c>
      <c r="E70" s="791">
        <f t="shared" si="34"/>
        <v>44.615558400000005</v>
      </c>
      <c r="F70" s="791">
        <f t="shared" si="34"/>
        <v>34.453593143999996</v>
      </c>
      <c r="G70" s="791">
        <f t="shared" si="34"/>
        <v>31.747640147999999</v>
      </c>
      <c r="H70" s="791">
        <f t="shared" si="34"/>
        <v>32.091644411999994</v>
      </c>
      <c r="I70" s="791">
        <f t="shared" si="34"/>
        <v>34.453593143999996</v>
      </c>
      <c r="J70" s="791">
        <f t="shared" ref="J70:O70" si="35">-J31</f>
        <v>34.453593143999996</v>
      </c>
      <c r="K70" s="791">
        <f t="shared" si="35"/>
        <v>34.453593143999996</v>
      </c>
      <c r="L70" s="791">
        <f t="shared" si="35"/>
        <v>34.453593143999996</v>
      </c>
      <c r="M70" s="791">
        <f t="shared" si="35"/>
        <v>34.453593143999996</v>
      </c>
      <c r="N70" s="791">
        <f t="shared" si="35"/>
        <v>34.453593143999996</v>
      </c>
      <c r="O70" s="791">
        <f t="shared" si="35"/>
        <v>34.453593143999996</v>
      </c>
    </row>
    <row r="71" spans="2:15">
      <c r="B71" s="286" t="s">
        <v>1448</v>
      </c>
      <c r="C71" s="791">
        <f t="shared" ref="C71:I71" si="36">-C28</f>
        <v>551.10699999999997</v>
      </c>
      <c r="D71" s="791">
        <f t="shared" si="36"/>
        <v>618.73199999999997</v>
      </c>
      <c r="E71" s="791">
        <f t="shared" si="36"/>
        <v>1185.6102560000002</v>
      </c>
      <c r="F71" s="791">
        <f t="shared" si="36"/>
        <v>1205.5</v>
      </c>
      <c r="G71" s="791">
        <f t="shared" si="36"/>
        <v>1309.3000000000002</v>
      </c>
      <c r="H71" s="791">
        <f t="shared" si="36"/>
        <v>1389.5861756100001</v>
      </c>
      <c r="I71" s="791">
        <f t="shared" si="36"/>
        <v>1422.04685406</v>
      </c>
      <c r="J71" s="791">
        <f t="shared" ref="J71:O71" si="37">-J28</f>
        <v>1400.5103227499999</v>
      </c>
      <c r="K71" s="791">
        <f t="shared" si="37"/>
        <v>984.40600000000006</v>
      </c>
      <c r="L71" s="791">
        <f t="shared" si="37"/>
        <v>1009.5</v>
      </c>
      <c r="M71" s="791">
        <f t="shared" si="37"/>
        <v>1159.894</v>
      </c>
      <c r="N71" s="791">
        <f t="shared" ca="1" si="37"/>
        <v>1152.4939454770124</v>
      </c>
      <c r="O71" s="791">
        <f t="shared" ca="1" si="37"/>
        <v>1185.2093986268383</v>
      </c>
    </row>
    <row r="72" spans="2:15">
      <c r="B72" s="286" t="s">
        <v>1449</v>
      </c>
      <c r="C72" s="791">
        <f t="shared" ref="C72:N72" si="38">-C29</f>
        <v>63.442999999999998</v>
      </c>
      <c r="D72" s="791">
        <f t="shared" si="38"/>
        <v>63.442999999999998</v>
      </c>
      <c r="E72" s="791">
        <f t="shared" si="38"/>
        <v>63.442999999999998</v>
      </c>
      <c r="F72" s="791">
        <f t="shared" si="38"/>
        <v>63.442999999999998</v>
      </c>
      <c r="G72" s="791">
        <f t="shared" si="38"/>
        <v>63.442999999999998</v>
      </c>
      <c r="H72" s="791">
        <f t="shared" si="38"/>
        <v>63.442999999999998</v>
      </c>
      <c r="I72" s="791">
        <f t="shared" si="38"/>
        <v>450.98541807853769</v>
      </c>
      <c r="J72" s="791">
        <f t="shared" si="38"/>
        <v>469.69698156976511</v>
      </c>
      <c r="K72" s="791">
        <f t="shared" si="38"/>
        <v>473.88968416906732</v>
      </c>
      <c r="L72" s="791">
        <f t="shared" si="38"/>
        <v>492.04527188317502</v>
      </c>
      <c r="M72" s="791">
        <f t="shared" si="38"/>
        <v>507.13148426355491</v>
      </c>
      <c r="N72" s="791">
        <f t="shared" si="38"/>
        <v>523.42444878484366</v>
      </c>
      <c r="O72" s="791">
        <f>-O29</f>
        <v>540.95567860975029</v>
      </c>
    </row>
    <row r="73" spans="2:15">
      <c r="B73" s="286" t="s">
        <v>1450</v>
      </c>
      <c r="C73" s="792">
        <v>0</v>
      </c>
      <c r="D73" s="792">
        <v>0</v>
      </c>
      <c r="E73" s="792">
        <v>0</v>
      </c>
      <c r="F73" s="792">
        <v>0</v>
      </c>
      <c r="G73" s="792">
        <v>0</v>
      </c>
      <c r="H73" s="792">
        <v>0</v>
      </c>
      <c r="I73" s="792">
        <v>0</v>
      </c>
      <c r="J73" s="792">
        <v>0</v>
      </c>
      <c r="K73" s="792">
        <v>0</v>
      </c>
      <c r="L73" s="792">
        <v>0</v>
      </c>
      <c r="M73" s="792">
        <v>0</v>
      </c>
      <c r="N73" s="792">
        <v>0</v>
      </c>
      <c r="O73" s="792">
        <v>0</v>
      </c>
    </row>
    <row r="74" spans="2:15">
      <c r="B74" s="286" t="s">
        <v>1451</v>
      </c>
      <c r="C74" s="791">
        <f>-C30</f>
        <v>10</v>
      </c>
      <c r="D74" s="791">
        <f t="shared" ref="D74:O74" si="39">-D30</f>
        <v>10</v>
      </c>
      <c r="E74" s="791">
        <f t="shared" si="39"/>
        <v>10</v>
      </c>
      <c r="F74" s="791">
        <f t="shared" si="39"/>
        <v>7</v>
      </c>
      <c r="G74" s="791">
        <f t="shared" si="39"/>
        <v>7</v>
      </c>
      <c r="H74" s="791">
        <f t="shared" si="39"/>
        <v>7</v>
      </c>
      <c r="I74" s="791">
        <f t="shared" si="39"/>
        <v>7</v>
      </c>
      <c r="J74" s="791">
        <f t="shared" si="39"/>
        <v>7</v>
      </c>
      <c r="K74" s="791">
        <f t="shared" si="39"/>
        <v>7</v>
      </c>
      <c r="L74" s="791">
        <f t="shared" si="39"/>
        <v>7</v>
      </c>
      <c r="M74" s="791">
        <f t="shared" si="39"/>
        <v>7</v>
      </c>
      <c r="N74" s="791">
        <f t="shared" si="39"/>
        <v>7</v>
      </c>
      <c r="O74" s="791">
        <f t="shared" si="39"/>
        <v>7</v>
      </c>
    </row>
    <row r="75" spans="2:15">
      <c r="B75" s="286" t="s">
        <v>1452</v>
      </c>
      <c r="C75" s="791">
        <f t="shared" ref="C75:O75" ca="1" si="40">-C24</f>
        <v>91.4627256652591</v>
      </c>
      <c r="D75" s="791">
        <f t="shared" ca="1" si="40"/>
        <v>119.97337401686548</v>
      </c>
      <c r="E75" s="791">
        <f t="shared" ca="1" si="40"/>
        <v>142.10958581176018</v>
      </c>
      <c r="F75" s="791">
        <f t="shared" ca="1" si="40"/>
        <v>153.67960888977106</v>
      </c>
      <c r="G75" s="791">
        <f t="shared" ca="1" si="40"/>
        <v>162.15347261745993</v>
      </c>
      <c r="H75" s="791">
        <f t="shared" ca="1" si="40"/>
        <v>2222.5968096977535</v>
      </c>
      <c r="I75" s="791">
        <f t="shared" ca="1" si="40"/>
        <v>2348.7219367387115</v>
      </c>
      <c r="J75" s="791">
        <f t="shared" ca="1" si="40"/>
        <v>2486.5101385332505</v>
      </c>
      <c r="K75" s="791">
        <f t="shared" ca="1" si="40"/>
        <v>2587.795660999845</v>
      </c>
      <c r="L75" s="791">
        <f t="shared" ca="1" si="40"/>
        <v>2723.0179750998354</v>
      </c>
      <c r="M75" s="791">
        <f t="shared" ca="1" si="40"/>
        <v>2857.0390611771245</v>
      </c>
      <c r="N75" s="791">
        <f t="shared" ca="1" si="40"/>
        <v>3020.9022242897831</v>
      </c>
      <c r="O75" s="791">
        <f t="shared" ca="1" si="40"/>
        <v>3189.7068754951952</v>
      </c>
    </row>
    <row r="76" spans="2:15">
      <c r="B76" s="286" t="s">
        <v>1453</v>
      </c>
      <c r="C76" s="794">
        <v>0</v>
      </c>
      <c r="D76" s="795">
        <f t="shared" ref="D76:J76" si="41">+C76-D90</f>
        <v>0</v>
      </c>
      <c r="E76" s="795">
        <f t="shared" si="41"/>
        <v>0</v>
      </c>
      <c r="F76" s="795">
        <f t="shared" si="41"/>
        <v>0</v>
      </c>
      <c r="G76" s="795">
        <f>+F76-G90</f>
        <v>0</v>
      </c>
      <c r="H76" s="795">
        <f t="shared" si="41"/>
        <v>0</v>
      </c>
      <c r="I76" s="795">
        <f t="shared" si="41"/>
        <v>0</v>
      </c>
      <c r="J76" s="795">
        <f t="shared" si="41"/>
        <v>0</v>
      </c>
      <c r="K76" s="795">
        <f>+J76-K90</f>
        <v>0</v>
      </c>
      <c r="L76" s="795">
        <f ca="1">+K76-L90</f>
        <v>-2.9830678503301118</v>
      </c>
      <c r="M76" s="795">
        <f ca="1">+L76-M90</f>
        <v>-2.9830678503301118</v>
      </c>
      <c r="N76" s="795">
        <f ca="1">+M76-N90</f>
        <v>-2.9830678503301118</v>
      </c>
      <c r="O76" s="795">
        <f ca="1">+N76-O90</f>
        <v>-2.9830678503301118</v>
      </c>
    </row>
    <row r="77" spans="2:15">
      <c r="B77" s="286" t="s">
        <v>1454</v>
      </c>
      <c r="C77" s="791">
        <f ca="1">SUM(C68:C76)</f>
        <v>343.93909158957536</v>
      </c>
      <c r="D77" s="791">
        <f t="shared" ref="D77:J77" ca="1" si="42">SUM(D68:D76)</f>
        <v>355.66668639778828</v>
      </c>
      <c r="E77" s="791">
        <f t="shared" ca="1" si="42"/>
        <v>359.52745720434871</v>
      </c>
      <c r="F77" s="791">
        <f t="shared" ca="1" si="42"/>
        <v>313.71768700822281</v>
      </c>
      <c r="G77" s="791">
        <f t="shared" ca="1" si="42"/>
        <v>257.32190128974088</v>
      </c>
      <c r="H77" s="791">
        <f t="shared" ca="1" si="42"/>
        <v>219.65779395999402</v>
      </c>
      <c r="I77" s="791">
        <f t="shared" ca="1" si="42"/>
        <v>179.33569797152177</v>
      </c>
      <c r="J77" s="791">
        <f t="shared" ca="1" si="42"/>
        <v>97.50167448172806</v>
      </c>
      <c r="K77" s="791">
        <f ca="1">SUM(K68:K76)</f>
        <v>39.045479974076898</v>
      </c>
      <c r="L77" s="791">
        <f ca="1">SUM(L68:L76)</f>
        <v>44.597245212443148</v>
      </c>
      <c r="M77" s="791">
        <f ca="1">SUM(M68:M76)</f>
        <v>44.708689088766995</v>
      </c>
      <c r="N77" s="791">
        <f ca="1">SUM(N68:N76)</f>
        <v>53.328298335267654</v>
      </c>
      <c r="O77" s="791">
        <f ca="1">SUM(O68:O76)</f>
        <v>56.488865404996695</v>
      </c>
    </row>
    <row r="78" spans="2:15">
      <c r="B78" s="286" t="s">
        <v>347</v>
      </c>
      <c r="C78" s="791">
        <f t="shared" ref="C78:J78" ca="1" si="43">+C77-C68+C64</f>
        <v>968.62872566525903</v>
      </c>
      <c r="D78" s="791">
        <f t="shared" ca="1" si="43"/>
        <v>1065.6502940168655</v>
      </c>
      <c r="E78" s="791">
        <f t="shared" ca="1" si="43"/>
        <v>1917.8059002117607</v>
      </c>
      <c r="F78" s="791">
        <f ca="1">+F77-F68+F64</f>
        <v>1936.1037020337712</v>
      </c>
      <c r="G78" s="791">
        <f t="shared" ca="1" si="43"/>
        <v>2045.6013127654603</v>
      </c>
      <c r="H78" s="791">
        <f t="shared" ca="1" si="43"/>
        <v>4186.6748297197528</v>
      </c>
      <c r="I78" s="791">
        <f t="shared" ca="1" si="43"/>
        <v>4735.1650020212492</v>
      </c>
      <c r="J78" s="791">
        <f t="shared" ca="1" si="43"/>
        <v>4870.1282359970146</v>
      </c>
      <c r="K78" s="791">
        <f ca="1">+K77-K68+K64</f>
        <v>4559.5021383129124</v>
      </c>
      <c r="L78" s="791">
        <f ca="1">+L77-L68+L64</f>
        <v>4734.9909722766797</v>
      </c>
      <c r="M78" s="791">
        <f ca="1">+M77-M68+M64</f>
        <v>5034.4922707343485</v>
      </c>
      <c r="N78" s="791">
        <f ca="1">+N77-N68+N64</f>
        <v>5207.2483438453082</v>
      </c>
      <c r="O78" s="791">
        <f ca="1">+O77-O68+O64</f>
        <v>5426.2996780254525</v>
      </c>
    </row>
    <row r="79" spans="2:15">
      <c r="B79" s="286"/>
      <c r="C79" s="791"/>
      <c r="D79" s="791"/>
      <c r="E79" s="791"/>
      <c r="F79" s="791"/>
      <c r="G79" s="791"/>
      <c r="H79" s="791"/>
      <c r="I79" s="791"/>
      <c r="J79" s="791"/>
      <c r="K79" s="791"/>
      <c r="L79" s="791"/>
      <c r="M79" s="796"/>
      <c r="N79" s="796"/>
      <c r="O79" s="796"/>
    </row>
    <row r="80" spans="2:15">
      <c r="B80" s="286"/>
      <c r="C80" s="286"/>
      <c r="D80" s="286"/>
      <c r="E80" s="286"/>
      <c r="F80" s="286"/>
      <c r="G80" s="286"/>
      <c r="H80" s="286"/>
      <c r="I80" s="286"/>
      <c r="J80" s="286"/>
      <c r="K80" s="286"/>
      <c r="L80" s="286"/>
    </row>
    <row r="81" spans="2:17">
      <c r="B81" s="285" t="s">
        <v>348</v>
      </c>
      <c r="C81" s="285">
        <v>2013</v>
      </c>
      <c r="D81" s="285">
        <v>2014</v>
      </c>
      <c r="E81" s="285">
        <v>2015</v>
      </c>
      <c r="F81" s="285">
        <v>2016</v>
      </c>
      <c r="G81" s="285">
        <v>2017</v>
      </c>
      <c r="H81" s="285">
        <v>2018</v>
      </c>
      <c r="I81" s="285">
        <v>2019</v>
      </c>
      <c r="J81" s="285">
        <v>2020</v>
      </c>
      <c r="K81" s="285">
        <v>2021</v>
      </c>
      <c r="L81" s="285">
        <v>2022</v>
      </c>
      <c r="M81" s="285">
        <v>2023</v>
      </c>
      <c r="N81" s="285">
        <v>2024</v>
      </c>
      <c r="O81" s="285">
        <v>2025</v>
      </c>
      <c r="Q81" s="444" t="s">
        <v>1305</v>
      </c>
    </row>
    <row r="82" spans="2:17">
      <c r="B82" s="286" t="s">
        <v>349</v>
      </c>
      <c r="C82" s="297">
        <f t="shared" ref="C82:J82" si="44">+C34</f>
        <v>56.7</v>
      </c>
      <c r="D82" s="297">
        <f t="shared" si="44"/>
        <v>56.7</v>
      </c>
      <c r="E82" s="297">
        <f t="shared" si="44"/>
        <v>127.575</v>
      </c>
      <c r="F82" s="297">
        <f t="shared" si="44"/>
        <v>127.575</v>
      </c>
      <c r="G82" s="297">
        <f t="shared" si="44"/>
        <v>127.556</v>
      </c>
      <c r="H82" s="297">
        <f t="shared" si="44"/>
        <v>127.556</v>
      </c>
      <c r="I82" s="297">
        <f t="shared" si="44"/>
        <v>127.556</v>
      </c>
      <c r="J82" s="297">
        <f t="shared" si="44"/>
        <v>127.556</v>
      </c>
      <c r="K82" s="297">
        <f>+K34</f>
        <v>127.556</v>
      </c>
      <c r="L82" s="297">
        <f>+L34</f>
        <v>127.556</v>
      </c>
      <c r="M82" s="297">
        <f>+M34</f>
        <v>127.556</v>
      </c>
      <c r="N82" s="297">
        <f>+N34</f>
        <v>127.556</v>
      </c>
      <c r="O82" s="297">
        <f>+O34</f>
        <v>127.556</v>
      </c>
    </row>
    <row r="83" spans="2:17">
      <c r="B83" s="286" t="s">
        <v>350</v>
      </c>
      <c r="C83" s="297">
        <f t="shared" ref="C83:J83" si="45">+C9</f>
        <v>88.077000000000055</v>
      </c>
      <c r="D83" s="297">
        <f t="shared" si="45"/>
        <v>98.936668599896052</v>
      </c>
      <c r="E83" s="297">
        <f t="shared" si="45"/>
        <v>140.88094095</v>
      </c>
      <c r="F83" s="297">
        <f t="shared" si="45"/>
        <v>250.1</v>
      </c>
      <c r="G83" s="297">
        <f t="shared" si="45"/>
        <v>264.7</v>
      </c>
      <c r="H83" s="297">
        <f t="shared" si="45"/>
        <v>235.99661195000004</v>
      </c>
      <c r="I83" s="297">
        <f t="shared" si="45"/>
        <v>239.45407107999998</v>
      </c>
      <c r="J83" s="297">
        <f t="shared" si="45"/>
        <v>242.18396066</v>
      </c>
      <c r="K83" s="297">
        <f>+K9</f>
        <v>226.45299999999997</v>
      </c>
      <c r="L83" s="297">
        <f>+L9</f>
        <v>181.58300000000003</v>
      </c>
      <c r="M83" s="297">
        <f ca="1">+M9</f>
        <v>190.85454653151407</v>
      </c>
      <c r="N83" s="297">
        <f ca="1">+N9</f>
        <v>184.97974954401991</v>
      </c>
      <c r="O83" s="297">
        <f ca="1">+O9</f>
        <v>192.26576222893047</v>
      </c>
      <c r="Q83" s="213">
        <f>(J83/G83)^(1/3)-1</f>
        <v>-2.9198410621810056E-2</v>
      </c>
    </row>
    <row r="84" spans="2:17">
      <c r="B84" s="286" t="s">
        <v>351</v>
      </c>
      <c r="C84" s="297">
        <f>+C9+C10</f>
        <v>36.577000000000055</v>
      </c>
      <c r="D84" s="297">
        <f t="shared" ref="D84:O84" si="46">+D9+D10</f>
        <v>14.836668599896058</v>
      </c>
      <c r="E84" s="297">
        <f t="shared" si="46"/>
        <v>27.680940949999993</v>
      </c>
      <c r="F84" s="297">
        <f t="shared" si="46"/>
        <v>97.799999999999983</v>
      </c>
      <c r="G84" s="297">
        <f t="shared" si="46"/>
        <v>108.79999999999998</v>
      </c>
      <c r="H84" s="297">
        <f t="shared" si="46"/>
        <v>76.964838730000054</v>
      </c>
      <c r="I84" s="297">
        <f t="shared" si="46"/>
        <v>77.372195725646179</v>
      </c>
      <c r="J84" s="297">
        <f t="shared" si="46"/>
        <v>133.04596065999999</v>
      </c>
      <c r="K84" s="297">
        <f t="shared" si="46"/>
        <v>92.283999999999963</v>
      </c>
      <c r="L84" s="297">
        <f t="shared" si="46"/>
        <v>-4.4169999999999732</v>
      </c>
      <c r="M84" s="297">
        <f t="shared" ca="1" si="46"/>
        <v>3.8545465315140746</v>
      </c>
      <c r="N84" s="297">
        <f t="shared" ca="1" si="46"/>
        <v>-8.2899454770124805</v>
      </c>
      <c r="O84" s="297">
        <f t="shared" ca="1" si="46"/>
        <v>4.7995468501741527</v>
      </c>
      <c r="Q84" s="213">
        <f>(J84/G84)^(1/3)-1</f>
        <v>6.9360815185443903E-2</v>
      </c>
    </row>
    <row r="85" spans="2:17">
      <c r="B85" s="286" t="s">
        <v>352</v>
      </c>
      <c r="C85" s="297">
        <f t="shared" ref="C85:J85" si="47">+C84*(1-C88)</f>
        <v>24.506590000000035</v>
      </c>
      <c r="D85" s="297">
        <f t="shared" si="47"/>
        <v>9.9405679619303573</v>
      </c>
      <c r="E85" s="297">
        <f t="shared" si="47"/>
        <v>18.546230436499993</v>
      </c>
      <c r="F85" s="297">
        <f t="shared" si="47"/>
        <v>68.45999999999998</v>
      </c>
      <c r="G85" s="297">
        <f t="shared" si="47"/>
        <v>76.159999999999982</v>
      </c>
      <c r="H85" s="297">
        <f t="shared" si="47"/>
        <v>53.875387111000038</v>
      </c>
      <c r="I85" s="297">
        <f t="shared" si="47"/>
        <v>54.160537007952321</v>
      </c>
      <c r="J85" s="297">
        <f t="shared" si="47"/>
        <v>93.132172461999986</v>
      </c>
      <c r="K85" s="297">
        <f>+K84*(1-K88)</f>
        <v>64.598799999999969</v>
      </c>
      <c r="L85" s="297">
        <f>+L84*(1-L88)</f>
        <v>-3.0918999999999812</v>
      </c>
      <c r="M85" s="297">
        <f ca="1">+M84*(1-M88)</f>
        <v>2.698182572059852</v>
      </c>
      <c r="N85" s="297">
        <f ca="1">+N84*(1-N88)</f>
        <v>-5.8029618339087357</v>
      </c>
      <c r="O85" s="297">
        <f ca="1">+O84*(1-O88)</f>
        <v>3.3596827951219068</v>
      </c>
      <c r="Q85" s="213">
        <f>(J85/G85)^(1/3)-1</f>
        <v>6.9360815185443903E-2</v>
      </c>
    </row>
    <row r="86" spans="2:17">
      <c r="B86" s="286" t="s">
        <v>353</v>
      </c>
      <c r="C86" s="308">
        <f>Model!C389</f>
        <v>-0.10474691358024629</v>
      </c>
      <c r="D86" s="308">
        <f>Model!D389</f>
        <v>8.4254582014117729E-2</v>
      </c>
      <c r="E86" s="308">
        <f>Model!E389</f>
        <v>0.30857822623789954</v>
      </c>
      <c r="F86" s="308">
        <f>Model!F389</f>
        <v>0.15638565549676675</v>
      </c>
      <c r="G86" s="308">
        <f>Model!G389</f>
        <v>0.45213866850638157</v>
      </c>
      <c r="H86" s="308">
        <f>Model!H389</f>
        <v>0.39807842628649309</v>
      </c>
      <c r="I86" s="308">
        <f>Model!I389</f>
        <v>1.4032814167894935E-2</v>
      </c>
      <c r="J86" s="308">
        <f>Model!J389</f>
        <v>0.45147586779683874</v>
      </c>
      <c r="K86" s="308">
        <f ca="1">Model!K389</f>
        <v>2.5984821048795227E-2</v>
      </c>
      <c r="L86" s="308">
        <f ca="1">Model!L389</f>
        <v>-3.9667997484789198E-2</v>
      </c>
      <c r="M86" s="308">
        <f ca="1">Model!M389</f>
        <v>-6.9933981246524168E-2</v>
      </c>
      <c r="N86" s="308">
        <f ca="1">Model!N389</f>
        <v>-0.14055493801604624</v>
      </c>
      <c r="O86" s="308">
        <f ca="1">Model!O389</f>
        <v>-0.13671460604702959</v>
      </c>
    </row>
    <row r="87" spans="2:17">
      <c r="B87" s="286" t="s">
        <v>354</v>
      </c>
      <c r="C87" s="308">
        <f>Model!C394</f>
        <v>0</v>
      </c>
      <c r="D87" s="308">
        <f>Model!D394</f>
        <v>0</v>
      </c>
      <c r="E87" s="308">
        <f>Model!E394</f>
        <v>0</v>
      </c>
      <c r="F87" s="308">
        <f>Model!F394</f>
        <v>0</v>
      </c>
      <c r="G87" s="308">
        <f>Model!G394</f>
        <v>0</v>
      </c>
      <c r="H87" s="308">
        <f>Model!H394</f>
        <v>0</v>
      </c>
      <c r="I87" s="308">
        <f>Model!I394</f>
        <v>0</v>
      </c>
      <c r="J87" s="308">
        <f>Model!J394</f>
        <v>0</v>
      </c>
      <c r="K87" s="308">
        <f ca="1">Model!K394</f>
        <v>2.3386338943915706E-2</v>
      </c>
      <c r="L87" s="308">
        <f ca="1">Model!L394</f>
        <v>0</v>
      </c>
      <c r="M87" s="308">
        <f ca="1">Model!M394</f>
        <v>0</v>
      </c>
      <c r="N87" s="308">
        <f ca="1">Model!N394</f>
        <v>0</v>
      </c>
      <c r="O87" s="308">
        <f ca="1">Model!O394</f>
        <v>0</v>
      </c>
    </row>
    <row r="88" spans="2:17">
      <c r="B88" s="286" t="s">
        <v>355</v>
      </c>
      <c r="C88" s="309">
        <f>'SOP OLD'!C38</f>
        <v>0.33</v>
      </c>
      <c r="D88" s="309">
        <f>'SOP OLD'!D38</f>
        <v>0.33</v>
      </c>
      <c r="E88" s="309">
        <f>'SOP OLD'!E38</f>
        <v>0.33</v>
      </c>
      <c r="F88" s="309">
        <f>'SOP OLD'!F38</f>
        <v>0.3</v>
      </c>
      <c r="G88" s="309">
        <f>'SOP OLD'!G38</f>
        <v>0.3</v>
      </c>
      <c r="H88" s="309">
        <f>'SOP OLD'!H38</f>
        <v>0.3</v>
      </c>
      <c r="I88" s="309">
        <f>'SOP OLD'!I38</f>
        <v>0.3</v>
      </c>
      <c r="J88" s="309">
        <f>'SOP OLD'!J38</f>
        <v>0.3</v>
      </c>
      <c r="K88" s="309">
        <f>'SOP OLD'!K38</f>
        <v>0.3</v>
      </c>
      <c r="L88" s="309">
        <f>'SOP OLD'!L38</f>
        <v>0.3</v>
      </c>
      <c r="M88" s="309">
        <f>'SOP OLD'!M38</f>
        <v>0.3</v>
      </c>
      <c r="N88" s="309">
        <f>'SOP OLD'!N38</f>
        <v>0.3</v>
      </c>
      <c r="O88" s="309">
        <f>'SOP OLD'!O38</f>
        <v>0.3</v>
      </c>
    </row>
    <row r="89" spans="2:17">
      <c r="B89" s="286" t="s">
        <v>307</v>
      </c>
      <c r="C89" s="291">
        <f>Model!C407</f>
        <v>8.7178500000000376</v>
      </c>
      <c r="D89" s="291">
        <f>Model!D407</f>
        <v>-26.306440709300333</v>
      </c>
      <c r="E89" s="291">
        <f>Model!E407</f>
        <v>4.3152065123000209</v>
      </c>
      <c r="F89" s="291">
        <f>Model!F407</f>
        <v>24.805900000000008</v>
      </c>
      <c r="G89" s="291">
        <f>Model!G407</f>
        <v>59.88300000000001</v>
      </c>
      <c r="H89" s="291">
        <f>Model!H407</f>
        <v>53.027907843399923</v>
      </c>
      <c r="I89" s="291">
        <f>Model!I407</f>
        <v>25.930600699646206</v>
      </c>
      <c r="J89" s="291">
        <f>Model!J407</f>
        <v>141.26185605099997</v>
      </c>
      <c r="K89" s="291">
        <f ca="1">Model!K407</f>
        <v>37.817282982999949</v>
      </c>
      <c r="L89" s="291">
        <f ca="1">Model!L407</f>
        <v>-25.784774825999964</v>
      </c>
      <c r="M89" s="291">
        <f ca="1">Model!M407</f>
        <v>-27.637361396833828</v>
      </c>
      <c r="N89" s="291">
        <f ca="1">Model!N407</f>
        <v>-40.195107491303247</v>
      </c>
      <c r="O89" s="291">
        <f ca="1">Model!O407</f>
        <v>-30.808956446380481</v>
      </c>
    </row>
    <row r="90" spans="2:17">
      <c r="B90" s="286" t="s">
        <v>356</v>
      </c>
      <c r="C90" s="297"/>
      <c r="D90" s="297">
        <f>Model!C400</f>
        <v>0</v>
      </c>
      <c r="E90" s="297">
        <f>Model!D400</f>
        <v>0</v>
      </c>
      <c r="F90" s="297">
        <f>Model!E400</f>
        <v>0</v>
      </c>
      <c r="G90" s="297">
        <f>Model!F400</f>
        <v>0</v>
      </c>
      <c r="H90" s="297">
        <f>Model!G400</f>
        <v>0</v>
      </c>
      <c r="I90" s="297">
        <f>Model!H400</f>
        <v>0</v>
      </c>
      <c r="J90" s="297">
        <f>Model!I400</f>
        <v>0</v>
      </c>
      <c r="K90" s="297">
        <f>Model!J400</f>
        <v>0</v>
      </c>
      <c r="L90" s="297">
        <f ca="1">Model!K400</f>
        <v>2.9830678503301118</v>
      </c>
      <c r="M90" s="297">
        <f ca="1">Model!L400</f>
        <v>0</v>
      </c>
      <c r="N90" s="297">
        <f ca="1">Model!M400</f>
        <v>0</v>
      </c>
      <c r="O90" s="297">
        <f ca="1">Model!N400</f>
        <v>0</v>
      </c>
    </row>
    <row r="91" spans="2:17">
      <c r="B91" s="286" t="s">
        <v>303</v>
      </c>
      <c r="C91" s="297">
        <f>Model!C388</f>
        <v>-5.9391499999999651</v>
      </c>
      <c r="D91" s="297">
        <f>Model!D388</f>
        <v>4.7772348002004756</v>
      </c>
      <c r="E91" s="297">
        <f>Model!E388</f>
        <v>39.366867212300036</v>
      </c>
      <c r="F91" s="297">
        <f>Model!F388</f>
        <v>19.950900000000019</v>
      </c>
      <c r="G91" s="297">
        <f>Model!G388</f>
        <v>57.673000000000009</v>
      </c>
      <c r="H91" s="297">
        <f>Model!H388</f>
        <v>50.777291743399914</v>
      </c>
      <c r="I91" s="297">
        <f>Model!I388</f>
        <v>1.7899696440000064</v>
      </c>
      <c r="J91" s="297">
        <f>Model!J388</f>
        <v>57.588455792693559</v>
      </c>
      <c r="K91" s="297">
        <f ca="1">Model!K388</f>
        <v>3.3145198337001238</v>
      </c>
      <c r="L91" s="297">
        <f ca="1">Model!L388</f>
        <v>-5.0598910871697713</v>
      </c>
      <c r="M91" s="297">
        <f ca="1">Model!M388</f>
        <v>-8.9204989118816371</v>
      </c>
      <c r="N91" s="297">
        <f ca="1">Model!N388</f>
        <v>-17.928625673574793</v>
      </c>
      <c r="O91" s="297">
        <f ca="1">Model!O388</f>
        <v>-17.438768288934906</v>
      </c>
      <c r="P91" s="286"/>
      <c r="Q91" s="286"/>
    </row>
  </sheetData>
  <pageMargins left="0.7" right="0.7" top="0.75" bottom="0.75" header="0.3" footer="0.3"/>
  <pageSetup paperSize="9" scale="54"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99"/>
  </sheetPr>
  <dimension ref="B3:P53"/>
  <sheetViews>
    <sheetView workbookViewId="0"/>
  </sheetViews>
  <sheetFormatPr defaultRowHeight="12.75"/>
  <cols>
    <col min="2" max="2" width="26.6640625" customWidth="1"/>
    <col min="3" max="15" width="14.33203125" customWidth="1"/>
    <col min="16" max="16" width="13.1328125" customWidth="1"/>
  </cols>
  <sheetData>
    <row r="3" spans="2:13" ht="15.4">
      <c r="B3" s="466"/>
      <c r="C3" s="467" t="s">
        <v>1431</v>
      </c>
      <c r="D3" s="467" t="s">
        <v>675</v>
      </c>
      <c r="E3" s="467" t="s">
        <v>1186</v>
      </c>
      <c r="F3" s="467" t="s">
        <v>1006</v>
      </c>
      <c r="G3" s="467" t="s">
        <v>1187</v>
      </c>
      <c r="H3" s="467" t="s">
        <v>1272</v>
      </c>
      <c r="I3" s="467" t="s">
        <v>757</v>
      </c>
      <c r="J3" s="468" t="s">
        <v>1087</v>
      </c>
      <c r="L3" s="883" t="s">
        <v>1499</v>
      </c>
      <c r="M3" s="884"/>
    </row>
    <row r="4" spans="2:13" ht="15.4">
      <c r="B4" s="469"/>
      <c r="C4" s="470"/>
      <c r="D4" s="470"/>
      <c r="E4" s="470"/>
      <c r="F4" s="470"/>
      <c r="G4" s="470"/>
      <c r="H4" s="470"/>
      <c r="I4" s="470"/>
      <c r="J4" s="471"/>
      <c r="L4" s="871"/>
      <c r="M4" s="872"/>
    </row>
    <row r="5" spans="2:13" ht="15.4">
      <c r="B5" s="469" t="s">
        <v>1195</v>
      </c>
      <c r="C5" s="631" t="s">
        <v>1340</v>
      </c>
      <c r="D5" s="472">
        <f>J27</f>
        <v>242.18396066</v>
      </c>
      <c r="E5" s="473">
        <f ca="1">F5/D5</f>
        <v>0.16122240245666827</v>
      </c>
      <c r="F5" s="472">
        <f ca="1">D49</f>
        <v>39.045479974076436</v>
      </c>
      <c r="G5" s="474">
        <f ca="1">H5/F5</f>
        <v>0.11760354420345565</v>
      </c>
      <c r="H5" s="472">
        <f ca="1">F5-I5</f>
        <v>4.5918868300764402</v>
      </c>
      <c r="I5" s="472">
        <f>Model!J373</f>
        <v>34.453593143999996</v>
      </c>
      <c r="J5" s="475">
        <f ca="1">H5/H6</f>
        <v>1</v>
      </c>
      <c r="L5" s="873">
        <v>1973.8785095165535</v>
      </c>
      <c r="M5" s="887">
        <f ca="1">F5-L5</f>
        <v>-1934.8330295424771</v>
      </c>
    </row>
    <row r="6" spans="2:13" ht="15.4">
      <c r="B6" s="476" t="s">
        <v>279</v>
      </c>
      <c r="C6" s="477"/>
      <c r="D6" s="477"/>
      <c r="E6" s="477"/>
      <c r="F6" s="768">
        <f ca="1">SUM(F5:F5)</f>
        <v>39.045479974076436</v>
      </c>
      <c r="G6" s="782"/>
      <c r="H6" s="768">
        <f ca="1">H5</f>
        <v>4.5918868300764402</v>
      </c>
      <c r="I6" s="768">
        <f>I5</f>
        <v>34.453593143999996</v>
      </c>
      <c r="J6" s="471"/>
      <c r="L6" s="874">
        <v>1973.8785095165535</v>
      </c>
      <c r="M6" s="888">
        <f t="shared" ref="M6:M17" ca="1" si="0">F6-L6</f>
        <v>-1934.8330295424771</v>
      </c>
    </row>
    <row r="7" spans="2:13" ht="15.4">
      <c r="B7" s="469"/>
      <c r="C7" s="470"/>
      <c r="D7" s="470"/>
      <c r="E7" s="470"/>
      <c r="F7" s="470"/>
      <c r="G7" s="470"/>
      <c r="H7" s="472"/>
      <c r="I7" s="472"/>
      <c r="J7" s="471"/>
      <c r="L7" s="871"/>
      <c r="M7" s="887"/>
    </row>
    <row r="8" spans="2:13" ht="15.4">
      <c r="B8" s="632" t="s">
        <v>1489</v>
      </c>
      <c r="C8" s="470"/>
      <c r="D8" s="470"/>
      <c r="E8" s="470"/>
      <c r="F8" s="729">
        <f>-Model!K138</f>
        <v>-984.40600000000006</v>
      </c>
      <c r="G8" s="470"/>
      <c r="I8" s="472"/>
      <c r="J8" s="471"/>
      <c r="L8" s="875">
        <v>-1404.9590545148769</v>
      </c>
      <c r="M8" s="887">
        <f t="shared" si="0"/>
        <v>420.55305451487686</v>
      </c>
    </row>
    <row r="9" spans="2:13" ht="15.4">
      <c r="B9" s="632" t="s">
        <v>1490</v>
      </c>
      <c r="C9" s="470"/>
      <c r="D9" s="470"/>
      <c r="E9" s="470"/>
      <c r="F9" s="729">
        <f>Value!K91</f>
        <v>-410.44668416906734</v>
      </c>
      <c r="G9" s="470"/>
      <c r="I9" s="472"/>
      <c r="J9" s="471"/>
      <c r="L9" s="875">
        <v>-242.97610694635353</v>
      </c>
      <c r="M9" s="887">
        <f t="shared" si="0"/>
        <v>-167.47057722271381</v>
      </c>
    </row>
    <row r="10" spans="2:13" ht="15.4">
      <c r="B10" s="469" t="s">
        <v>1188</v>
      </c>
      <c r="C10" s="470"/>
      <c r="D10" s="470"/>
      <c r="E10" s="470"/>
      <c r="F10" s="729">
        <f>-I6</f>
        <v>-34.453593143999996</v>
      </c>
      <c r="G10" s="470"/>
      <c r="I10" s="472"/>
      <c r="J10" s="471"/>
      <c r="L10" s="875">
        <v>-34.453593143999996</v>
      </c>
      <c r="M10" s="887">
        <f t="shared" si="0"/>
        <v>0</v>
      </c>
    </row>
    <row r="11" spans="2:13" ht="15.4">
      <c r="B11" s="469" t="s">
        <v>1456</v>
      </c>
      <c r="C11" s="470"/>
      <c r="D11" s="470"/>
      <c r="E11" s="470"/>
      <c r="F11" s="789">
        <f>-10*(1-K38)</f>
        <v>-7</v>
      </c>
      <c r="G11" s="470"/>
      <c r="I11" s="472"/>
      <c r="J11" s="471"/>
      <c r="L11" s="875">
        <v>-7</v>
      </c>
      <c r="M11" s="887">
        <f t="shared" si="0"/>
        <v>0</v>
      </c>
    </row>
    <row r="12" spans="2:13" ht="15.4">
      <c r="B12" s="469" t="s">
        <v>1455</v>
      </c>
      <c r="C12" s="470"/>
      <c r="D12" s="470"/>
      <c r="E12" s="470"/>
      <c r="F12" s="729">
        <f ca="1">Model!K305</f>
        <v>-2587.795660999845</v>
      </c>
      <c r="G12" s="470"/>
      <c r="I12" s="472"/>
      <c r="J12" s="471"/>
      <c r="L12" s="875">
        <v>0</v>
      </c>
      <c r="M12" s="887">
        <f t="shared" ca="1" si="0"/>
        <v>-2587.795660999845</v>
      </c>
    </row>
    <row r="13" spans="2:13" ht="15.4">
      <c r="B13" s="469" t="s">
        <v>1189</v>
      </c>
      <c r="C13" s="470"/>
      <c r="D13" s="470"/>
      <c r="E13" s="470"/>
      <c r="F13" s="788">
        <f ca="1">SUM(F6,F8:F12)</f>
        <v>-3985.0564583388359</v>
      </c>
      <c r="G13" s="470"/>
      <c r="H13" s="3"/>
      <c r="I13" s="470"/>
      <c r="J13" s="471"/>
      <c r="L13" s="876">
        <v>284.48975491132308</v>
      </c>
      <c r="M13" s="888">
        <f t="shared" ca="1" si="0"/>
        <v>-4269.5462132501589</v>
      </c>
    </row>
    <row r="14" spans="2:13" ht="15.4">
      <c r="B14" s="632" t="s">
        <v>1190</v>
      </c>
      <c r="C14" s="470"/>
      <c r="D14" s="470"/>
      <c r="E14" s="470"/>
      <c r="F14" s="729">
        <f>Model!K378</f>
        <v>127.556</v>
      </c>
      <c r="G14" s="470"/>
      <c r="I14" s="470"/>
      <c r="J14" s="471"/>
      <c r="L14" s="875">
        <v>127.556</v>
      </c>
      <c r="M14" s="887">
        <f t="shared" si="0"/>
        <v>0</v>
      </c>
    </row>
    <row r="15" spans="2:13" ht="15.4">
      <c r="B15" s="469" t="s">
        <v>1191</v>
      </c>
      <c r="C15" s="470"/>
      <c r="D15" s="470"/>
      <c r="E15" s="470"/>
      <c r="F15" s="770">
        <f ca="1">F13/F14</f>
        <v>-31.241622960416098</v>
      </c>
      <c r="G15" s="470"/>
      <c r="I15" s="470"/>
      <c r="J15" s="471"/>
      <c r="L15" s="877">
        <v>2.2303126071005916</v>
      </c>
      <c r="M15" s="889">
        <f t="shared" ca="1" si="0"/>
        <v>-33.471935567516688</v>
      </c>
    </row>
    <row r="16" spans="2:13" ht="15.4">
      <c r="B16" s="469"/>
      <c r="C16" s="470"/>
      <c r="D16" s="470"/>
      <c r="E16" s="470"/>
      <c r="F16" s="729"/>
      <c r="G16" s="470"/>
      <c r="I16" s="470"/>
      <c r="J16" s="471"/>
      <c r="L16" s="878"/>
      <c r="M16" s="890"/>
    </row>
    <row r="17" spans="2:15" ht="15.75" thickBot="1">
      <c r="B17" s="469" t="s">
        <v>1192</v>
      </c>
      <c r="C17" s="470"/>
      <c r="D17" s="470"/>
      <c r="E17" s="470"/>
      <c r="F17" s="729">
        <f>Valuation!K27/'SOP OLD'!$F$14</f>
        <v>0</v>
      </c>
      <c r="G17" s="470"/>
      <c r="I17" s="470"/>
      <c r="J17" s="471"/>
      <c r="L17" s="875">
        <v>0</v>
      </c>
      <c r="M17" s="890">
        <f t="shared" si="0"/>
        <v>0</v>
      </c>
      <c r="N17" s="488"/>
    </row>
    <row r="18" spans="2:15" ht="15.75" thickBot="1">
      <c r="B18" s="476" t="s">
        <v>1193</v>
      </c>
      <c r="C18" s="477"/>
      <c r="D18" s="477"/>
      <c r="E18" s="477"/>
      <c r="F18" s="769">
        <f ca="1">F15+F17</f>
        <v>-31.241622960416098</v>
      </c>
      <c r="G18" s="477"/>
      <c r="I18" s="477"/>
      <c r="J18" s="478"/>
      <c r="L18" s="882">
        <v>2.2303126071005916</v>
      </c>
      <c r="M18" s="891">
        <f ca="1">F18/L18-1</f>
        <v>-15.007732755019591</v>
      </c>
    </row>
    <row r="19" spans="2:15" ht="15.4">
      <c r="B19" s="469" t="s">
        <v>1194</v>
      </c>
      <c r="C19" s="470"/>
      <c r="D19" s="470"/>
      <c r="E19" s="470"/>
      <c r="F19" s="479">
        <f ca="1">F18/Valuation!C4-1</f>
        <v>-9.4436818811935392</v>
      </c>
      <c r="G19" s="470"/>
      <c r="I19" s="470"/>
      <c r="J19" s="471"/>
      <c r="L19" s="879"/>
      <c r="M19" s="887"/>
    </row>
    <row r="20" spans="2:15" ht="15.4">
      <c r="B20" s="480"/>
      <c r="C20" s="481"/>
      <c r="D20" s="481"/>
      <c r="E20" s="481"/>
      <c r="F20" s="481"/>
      <c r="G20" s="481"/>
      <c r="H20" s="481"/>
      <c r="I20" s="481"/>
      <c r="J20" s="482"/>
      <c r="L20" s="880"/>
      <c r="M20" s="881"/>
    </row>
    <row r="23" spans="2:15" ht="15.4">
      <c r="B23" s="483" t="s">
        <v>1226</v>
      </c>
      <c r="C23" s="773">
        <v>2013</v>
      </c>
      <c r="D23" s="773">
        <v>2014</v>
      </c>
      <c r="E23" s="773">
        <v>2015</v>
      </c>
      <c r="F23" s="773">
        <v>2016</v>
      </c>
      <c r="G23" s="773">
        <v>2017</v>
      </c>
      <c r="H23" s="773">
        <v>2018</v>
      </c>
      <c r="I23" s="773">
        <v>2019</v>
      </c>
      <c r="J23" s="773">
        <v>2020</v>
      </c>
      <c r="K23" s="773">
        <v>2021</v>
      </c>
      <c r="L23" s="773">
        <v>2022</v>
      </c>
      <c r="M23" s="773">
        <v>2023</v>
      </c>
      <c r="N23" s="773">
        <v>2024</v>
      </c>
      <c r="O23" s="484">
        <v>2025</v>
      </c>
    </row>
    <row r="24" spans="2:15" ht="15.4">
      <c r="B24" s="485" t="s">
        <v>0</v>
      </c>
      <c r="C24" s="486">
        <f>Fixed!C5</f>
        <v>206.22200000000001</v>
      </c>
      <c r="D24" s="486">
        <f>Fixed!D5</f>
        <v>212.99453461000002</v>
      </c>
      <c r="E24" s="486">
        <f>Fixed!E5</f>
        <v>279.16592631999998</v>
      </c>
      <c r="F24" s="486">
        <f>Fixed!F5</f>
        <v>478.20000000000005</v>
      </c>
      <c r="G24" s="486">
        <f>Fixed!G5</f>
        <v>496.9</v>
      </c>
      <c r="H24" s="486">
        <f>Fixed!H5</f>
        <v>494.33764154200037</v>
      </c>
      <c r="I24" s="486">
        <f>Fixed!I5</f>
        <v>499.40475365999998</v>
      </c>
      <c r="J24" s="486">
        <f>Fixed!J5</f>
        <v>480</v>
      </c>
      <c r="K24" s="486">
        <f>Fixed!K5</f>
        <v>462.84366304999998</v>
      </c>
      <c r="L24" s="486">
        <f>Fixed!L5</f>
        <v>446.53620129000001</v>
      </c>
      <c r="M24" s="486">
        <f>Fixed!M5</f>
        <v>452.06121155999995</v>
      </c>
      <c r="N24" s="486">
        <f ca="1">Fixed!N5</f>
        <v>433.864620545663</v>
      </c>
      <c r="O24" s="549">
        <f ca="1">Fixed!O5</f>
        <v>434.14953674314319</v>
      </c>
    </row>
    <row r="25" spans="2:15" ht="15.4">
      <c r="B25" s="771" t="s">
        <v>1382</v>
      </c>
      <c r="C25" s="776"/>
      <c r="D25" s="777">
        <f>D24/C24-1</f>
        <v>3.2840989855592584E-2</v>
      </c>
      <c r="E25" s="777">
        <f>E24/D24-1</f>
        <v>0.31067178240588178</v>
      </c>
      <c r="F25" s="777">
        <f t="shared" ref="F25:O25" si="1">F24/E24-1</f>
        <v>0.71295976662944516</v>
      </c>
      <c r="G25" s="777">
        <f t="shared" si="1"/>
        <v>3.9104976997072161E-2</v>
      </c>
      <c r="H25" s="777">
        <f t="shared" si="1"/>
        <v>-5.1566883839798683E-3</v>
      </c>
      <c r="I25" s="777">
        <f t="shared" si="1"/>
        <v>1.0250306050321401E-2</v>
      </c>
      <c r="J25" s="777">
        <f t="shared" si="1"/>
        <v>-3.8855764823598316E-2</v>
      </c>
      <c r="K25" s="777">
        <f t="shared" si="1"/>
        <v>-3.5742368645833356E-2</v>
      </c>
      <c r="L25" s="777">
        <f t="shared" si="1"/>
        <v>-3.5233196566933023E-2</v>
      </c>
      <c r="M25" s="777">
        <f t="shared" si="1"/>
        <v>1.2373039977584543E-2</v>
      </c>
      <c r="N25" s="777">
        <f t="shared" ca="1" si="1"/>
        <v>-4.0252493576131143E-2</v>
      </c>
      <c r="O25" s="778">
        <f t="shared" ca="1" si="1"/>
        <v>6.5669377955246411E-4</v>
      </c>
    </row>
    <row r="26" spans="2:15" ht="15.4">
      <c r="B26" s="485"/>
      <c r="C26" s="489"/>
      <c r="D26" s="489"/>
      <c r="E26" s="489"/>
      <c r="F26" s="489"/>
      <c r="G26" s="489"/>
      <c r="H26" s="489"/>
      <c r="I26" s="489"/>
      <c r="J26" s="489"/>
      <c r="K26" s="489"/>
      <c r="L26" s="489"/>
      <c r="M26" s="489"/>
      <c r="N26" s="489"/>
      <c r="O26" s="492"/>
    </row>
    <row r="27" spans="2:15" ht="15.4">
      <c r="B27" s="485" t="s">
        <v>28</v>
      </c>
      <c r="C27" s="486">
        <f>Fixed!C8</f>
        <v>88.077000000000055</v>
      </c>
      <c r="D27" s="486">
        <f>Fixed!D8</f>
        <v>98.936668599896052</v>
      </c>
      <c r="E27" s="486">
        <f>Fixed!E8</f>
        <v>140.88094095</v>
      </c>
      <c r="F27" s="486">
        <f>Fixed!F8</f>
        <v>250.1</v>
      </c>
      <c r="G27" s="486">
        <f>Fixed!G8</f>
        <v>264.7</v>
      </c>
      <c r="H27" s="486">
        <f>Fixed!H8</f>
        <v>235.99661195000004</v>
      </c>
      <c r="I27" s="486">
        <f>Fixed!I8</f>
        <v>239.45407107999998</v>
      </c>
      <c r="J27" s="486">
        <f>Fixed!J8</f>
        <v>242.18396066</v>
      </c>
      <c r="K27" s="486">
        <f>Fixed!K8</f>
        <v>226.45299999999997</v>
      </c>
      <c r="L27" s="486">
        <f>Fixed!L8</f>
        <v>181.58300000000003</v>
      </c>
      <c r="M27" s="486">
        <f ca="1">Fixed!M8</f>
        <v>190.85454653151407</v>
      </c>
      <c r="N27" s="486">
        <f ca="1">Fixed!N8</f>
        <v>184.97974954401991</v>
      </c>
      <c r="O27" s="487">
        <f ca="1">Fixed!O8</f>
        <v>192.26576222893047</v>
      </c>
    </row>
    <row r="28" spans="2:15" ht="15.4">
      <c r="B28" s="771" t="s">
        <v>1382</v>
      </c>
      <c r="C28" s="776"/>
      <c r="D28" s="777">
        <f t="shared" ref="D28:O28" si="2">D27/C27-1</f>
        <v>0.1232974397390465</v>
      </c>
      <c r="E28" s="777">
        <f t="shared" si="2"/>
        <v>0.42395072467750361</v>
      </c>
      <c r="F28" s="777">
        <f t="shared" si="2"/>
        <v>0.77525787600157292</v>
      </c>
      <c r="G28" s="777">
        <f t="shared" si="2"/>
        <v>5.8376649340263764E-2</v>
      </c>
      <c r="H28" s="777">
        <f t="shared" si="2"/>
        <v>-0.10843743124291627</v>
      </c>
      <c r="I28" s="777">
        <f t="shared" si="2"/>
        <v>1.4650460874974236E-2</v>
      </c>
      <c r="J28" s="777">
        <f t="shared" si="2"/>
        <v>1.1400472615426871E-2</v>
      </c>
      <c r="K28" s="777">
        <f t="shared" si="2"/>
        <v>-6.4954593265094784E-2</v>
      </c>
      <c r="L28" s="777">
        <f t="shared" si="2"/>
        <v>-0.19814266094951249</v>
      </c>
      <c r="M28" s="777">
        <f t="shared" ca="1" si="2"/>
        <v>5.1059551453131791E-2</v>
      </c>
      <c r="N28" s="777">
        <f t="shared" ca="1" si="2"/>
        <v>-3.0781540677230379E-2</v>
      </c>
      <c r="O28" s="778">
        <f t="shared" ca="1" si="2"/>
        <v>3.938816385507482E-2</v>
      </c>
    </row>
    <row r="29" spans="2:15" ht="15.4">
      <c r="B29" s="771" t="s">
        <v>1182</v>
      </c>
      <c r="C29" s="776">
        <f>C27/C24</f>
        <v>0.42709798178661856</v>
      </c>
      <c r="D29" s="777">
        <f t="shared" ref="D29:O29" si="3">D27/D24</f>
        <v>0.46450332061830762</v>
      </c>
      <c r="E29" s="777">
        <f t="shared" si="3"/>
        <v>0.50464948501097573</v>
      </c>
      <c r="F29" s="777">
        <f t="shared" si="3"/>
        <v>0.52300292764533662</v>
      </c>
      <c r="G29" s="777">
        <f t="shared" si="3"/>
        <v>0.53270275709398274</v>
      </c>
      <c r="H29" s="777">
        <f t="shared" si="3"/>
        <v>0.47739963967512089</v>
      </c>
      <c r="I29" s="777">
        <f t="shared" si="3"/>
        <v>0.47947895835012982</v>
      </c>
      <c r="J29" s="777">
        <f t="shared" si="3"/>
        <v>0.50454991804166671</v>
      </c>
      <c r="K29" s="777">
        <f t="shared" si="3"/>
        <v>0.48926455751331471</v>
      </c>
      <c r="L29" s="777">
        <f t="shared" si="3"/>
        <v>0.40664788090063975</v>
      </c>
      <c r="M29" s="777">
        <f t="shared" ca="1" si="3"/>
        <v>0.4221873977484194</v>
      </c>
      <c r="N29" s="777">
        <f t="shared" ca="1" si="3"/>
        <v>0.42635361535442673</v>
      </c>
      <c r="O29" s="778">
        <f t="shared" ca="1" si="3"/>
        <v>0.44285608058285475</v>
      </c>
    </row>
    <row r="30" spans="2:15" ht="15.4">
      <c r="B30" s="485"/>
      <c r="C30" s="489"/>
      <c r="D30" s="489"/>
      <c r="E30" s="489"/>
      <c r="F30" s="489"/>
      <c r="G30" s="489"/>
      <c r="H30" s="489"/>
      <c r="I30" s="489"/>
      <c r="J30" s="489"/>
      <c r="K30" s="489"/>
      <c r="L30" s="489"/>
      <c r="M30" s="489"/>
      <c r="N30" s="489"/>
      <c r="O30" s="492"/>
    </row>
    <row r="31" spans="2:15" ht="15.4">
      <c r="B31" s="485" t="s">
        <v>161</v>
      </c>
      <c r="C31" s="486">
        <f>Fixed!C12</f>
        <v>51.5</v>
      </c>
      <c r="D31" s="486">
        <f>Fixed!D12</f>
        <v>84.1</v>
      </c>
      <c r="E31" s="486">
        <f>Fixed!E12</f>
        <v>113.2</v>
      </c>
      <c r="F31" s="486">
        <f>Fixed!F12</f>
        <v>152.30000000000001</v>
      </c>
      <c r="G31" s="486">
        <f>Fixed!G12</f>
        <v>155.9</v>
      </c>
      <c r="H31" s="486">
        <f>Fixed!H12</f>
        <v>159.03177321999999</v>
      </c>
      <c r="I31" s="486">
        <f>Fixed!I12</f>
        <v>162.0818753543538</v>
      </c>
      <c r="J31" s="486">
        <f>Fixed!J12</f>
        <v>109.13800000000001</v>
      </c>
      <c r="K31" s="486">
        <f>Fixed!K12</f>
        <v>134.16900000000001</v>
      </c>
      <c r="L31" s="486">
        <f>Fixed!L12</f>
        <v>186</v>
      </c>
      <c r="M31" s="486">
        <f>Fixed!M12</f>
        <v>187</v>
      </c>
      <c r="N31" s="486">
        <f ca="1">Fixed!N12</f>
        <v>193.26969502103239</v>
      </c>
      <c r="O31" s="487">
        <f ca="1">Fixed!O12</f>
        <v>187.46621537875632</v>
      </c>
    </row>
    <row r="32" spans="2:15" ht="15.4">
      <c r="B32" s="771" t="s">
        <v>1382</v>
      </c>
      <c r="C32" s="776"/>
      <c r="D32" s="777">
        <f t="shared" ref="D32:O32" si="4">D31/C31-1</f>
        <v>0.63300970873786389</v>
      </c>
      <c r="E32" s="777">
        <f t="shared" si="4"/>
        <v>0.34601664684898936</v>
      </c>
      <c r="F32" s="777">
        <f t="shared" si="4"/>
        <v>0.34540636042402828</v>
      </c>
      <c r="G32" s="777">
        <f t="shared" si="4"/>
        <v>2.3637557452396596E-2</v>
      </c>
      <c r="H32" s="777">
        <f t="shared" si="4"/>
        <v>2.0088346504169241E-2</v>
      </c>
      <c r="I32" s="777">
        <f t="shared" si="4"/>
        <v>1.9179199681905068E-2</v>
      </c>
      <c r="J32" s="777">
        <f t="shared" si="4"/>
        <v>-0.32664895589716303</v>
      </c>
      <c r="K32" s="777">
        <f t="shared" si="4"/>
        <v>0.22935182979347246</v>
      </c>
      <c r="L32" s="777">
        <f t="shared" si="4"/>
        <v>0.38631129396507369</v>
      </c>
      <c r="M32" s="777">
        <f t="shared" si="4"/>
        <v>5.3763440860215006E-3</v>
      </c>
      <c r="N32" s="777">
        <f t="shared" ca="1" si="4"/>
        <v>3.3527780861135836E-2</v>
      </c>
      <c r="O32" s="778">
        <f t="shared" ca="1" si="4"/>
        <v>-3.0027882238053527E-2</v>
      </c>
    </row>
    <row r="33" spans="2:16" ht="15.4">
      <c r="B33" s="771" t="s">
        <v>1379</v>
      </c>
      <c r="C33" s="776">
        <f>C31/C24</f>
        <v>0.24973087255481954</v>
      </c>
      <c r="D33" s="777">
        <f t="shared" ref="D33:O33" si="5">D31/D24</f>
        <v>0.39484581214250336</v>
      </c>
      <c r="E33" s="777">
        <f t="shared" si="5"/>
        <v>0.40549361267765199</v>
      </c>
      <c r="F33" s="777">
        <f t="shared" si="5"/>
        <v>0.31848598912588877</v>
      </c>
      <c r="G33" s="777">
        <f t="shared" si="5"/>
        <v>0.31374522036627089</v>
      </c>
      <c r="H33" s="777">
        <f t="shared" si="5"/>
        <v>0.32170678470676034</v>
      </c>
      <c r="I33" s="777">
        <f t="shared" si="5"/>
        <v>0.32455012525711929</v>
      </c>
      <c r="J33" s="777">
        <f t="shared" si="5"/>
        <v>0.22737083333333336</v>
      </c>
      <c r="K33" s="777">
        <f t="shared" si="5"/>
        <v>0.28987973847555093</v>
      </c>
      <c r="L33" s="777">
        <f t="shared" si="5"/>
        <v>0.41653957610304371</v>
      </c>
      <c r="M33" s="777">
        <f t="shared" si="5"/>
        <v>0.41366079464037442</v>
      </c>
      <c r="N33" s="777">
        <f t="shared" ca="1" si="5"/>
        <v>0.44546083240887652</v>
      </c>
      <c r="O33" s="778">
        <f t="shared" ca="1" si="5"/>
        <v>0.4318010259438958</v>
      </c>
    </row>
    <row r="34" spans="2:16" ht="15.4">
      <c r="B34" s="485"/>
      <c r="C34" s="489"/>
      <c r="D34" s="489"/>
      <c r="E34" s="489"/>
      <c r="F34" s="489"/>
      <c r="G34" s="489"/>
      <c r="H34" s="489"/>
      <c r="I34" s="489"/>
      <c r="J34" s="489"/>
      <c r="K34" s="489"/>
      <c r="L34" s="489"/>
      <c r="M34" s="489"/>
      <c r="N34" s="489"/>
      <c r="O34" s="492"/>
    </row>
    <row r="35" spans="2:16" ht="15.4">
      <c r="B35" s="485" t="s">
        <v>351</v>
      </c>
      <c r="C35" s="486">
        <f>C27-C31</f>
        <v>36.577000000000055</v>
      </c>
      <c r="D35" s="486">
        <f t="shared" ref="D35:O35" si="6">D27-D31</f>
        <v>14.836668599896058</v>
      </c>
      <c r="E35" s="486">
        <f t="shared" si="6"/>
        <v>27.680940949999993</v>
      </c>
      <c r="F35" s="486">
        <f t="shared" si="6"/>
        <v>97.799999999999983</v>
      </c>
      <c r="G35" s="486">
        <f t="shared" si="6"/>
        <v>108.79999999999998</v>
      </c>
      <c r="H35" s="486">
        <f t="shared" si="6"/>
        <v>76.964838730000054</v>
      </c>
      <c r="I35" s="486">
        <f t="shared" si="6"/>
        <v>77.372195725646179</v>
      </c>
      <c r="J35" s="486">
        <f t="shared" si="6"/>
        <v>133.04596065999999</v>
      </c>
      <c r="K35" s="486">
        <f t="shared" si="6"/>
        <v>92.283999999999963</v>
      </c>
      <c r="L35" s="486">
        <f t="shared" si="6"/>
        <v>-4.4169999999999732</v>
      </c>
      <c r="M35" s="486">
        <f t="shared" ca="1" si="6"/>
        <v>3.8545465315140746</v>
      </c>
      <c r="N35" s="486">
        <f t="shared" ca="1" si="6"/>
        <v>-8.2899454770124805</v>
      </c>
      <c r="O35" s="487">
        <f t="shared" ca="1" si="6"/>
        <v>4.7995468501741527</v>
      </c>
    </row>
    <row r="36" spans="2:16" ht="15.4">
      <c r="B36" s="771" t="s">
        <v>1382</v>
      </c>
      <c r="C36" s="776"/>
      <c r="D36" s="777">
        <f t="shared" ref="D36:O36" si="7">D35/C35-1</f>
        <v>-0.59437163791737879</v>
      </c>
      <c r="E36" s="777">
        <f t="shared" si="7"/>
        <v>0.86571134642677938</v>
      </c>
      <c r="F36" s="777">
        <f t="shared" si="7"/>
        <v>2.5331168899444516</v>
      </c>
      <c r="G36" s="777">
        <f t="shared" si="7"/>
        <v>0.11247443762781195</v>
      </c>
      <c r="H36" s="777">
        <f t="shared" si="7"/>
        <v>-0.29260258520220528</v>
      </c>
      <c r="I36" s="777">
        <f t="shared" si="7"/>
        <v>5.292767481462235E-3</v>
      </c>
      <c r="J36" s="777">
        <f t="shared" si="7"/>
        <v>0.71955777411005939</v>
      </c>
      <c r="K36" s="777">
        <f t="shared" si="7"/>
        <v>-0.30637503354323958</v>
      </c>
      <c r="L36" s="777">
        <f t="shared" si="7"/>
        <v>-1.0478631182003377</v>
      </c>
      <c r="M36" s="777">
        <f t="shared" ca="1" si="7"/>
        <v>-1.8726616553122251</v>
      </c>
      <c r="N36" s="777">
        <f t="shared" ca="1" si="7"/>
        <v>-3.1506928011467465</v>
      </c>
      <c r="O36" s="778">
        <f t="shared" ca="1" si="7"/>
        <v>-1.5789600020269141</v>
      </c>
    </row>
    <row r="37" spans="2:16" ht="15.4">
      <c r="B37" s="771"/>
      <c r="C37" s="776"/>
      <c r="D37" s="777"/>
      <c r="E37" s="777"/>
      <c r="F37" s="777"/>
      <c r="G37" s="777"/>
      <c r="H37" s="777"/>
      <c r="I37" s="777"/>
      <c r="J37" s="777"/>
      <c r="K37" s="777"/>
      <c r="L37" s="777"/>
      <c r="M37" s="777"/>
      <c r="N37" s="777"/>
      <c r="O37" s="778"/>
    </row>
    <row r="38" spans="2:16" ht="15.4">
      <c r="B38" s="485" t="s">
        <v>1408</v>
      </c>
      <c r="C38" s="885">
        <v>0.33</v>
      </c>
      <c r="D38" s="885">
        <v>0.33</v>
      </c>
      <c r="E38" s="885">
        <v>0.33</v>
      </c>
      <c r="F38" s="885">
        <v>0.3</v>
      </c>
      <c r="G38" s="885">
        <v>0.3</v>
      </c>
      <c r="H38" s="885">
        <v>0.3</v>
      </c>
      <c r="I38" s="885">
        <v>0.3</v>
      </c>
      <c r="J38" s="885">
        <v>0.3</v>
      </c>
      <c r="K38" s="885">
        <v>0.3</v>
      </c>
      <c r="L38" s="885">
        <v>0.3</v>
      </c>
      <c r="M38" s="885">
        <v>0.3</v>
      </c>
      <c r="N38" s="885">
        <v>0.3</v>
      </c>
      <c r="O38" s="886">
        <v>0.3</v>
      </c>
    </row>
    <row r="39" spans="2:16" ht="15.4">
      <c r="B39" s="771"/>
      <c r="C39" s="536"/>
      <c r="D39" s="774"/>
      <c r="E39" s="774"/>
      <c r="F39" s="774"/>
      <c r="G39" s="774"/>
      <c r="H39" s="774"/>
      <c r="I39" s="774"/>
      <c r="J39" s="774"/>
      <c r="K39" s="774"/>
      <c r="L39" s="774"/>
      <c r="M39" s="774"/>
      <c r="N39" s="774"/>
      <c r="O39" s="772"/>
    </row>
    <row r="40" spans="2:16" ht="15.4">
      <c r="B40" s="493" t="s">
        <v>320</v>
      </c>
      <c r="C40" s="494">
        <f t="shared" ref="C40:O40" si="8">C35*(1-C38)</f>
        <v>24.506590000000035</v>
      </c>
      <c r="D40" s="494">
        <f t="shared" si="8"/>
        <v>9.9405679619303573</v>
      </c>
      <c r="E40" s="494">
        <f t="shared" si="8"/>
        <v>18.546230436499993</v>
      </c>
      <c r="F40" s="494">
        <f t="shared" si="8"/>
        <v>68.45999999999998</v>
      </c>
      <c r="G40" s="494">
        <f t="shared" si="8"/>
        <v>76.159999999999982</v>
      </c>
      <c r="H40" s="494">
        <f t="shared" si="8"/>
        <v>53.875387111000038</v>
      </c>
      <c r="I40" s="494">
        <f t="shared" si="8"/>
        <v>54.160537007952321</v>
      </c>
      <c r="J40" s="494">
        <f t="shared" si="8"/>
        <v>93.132172461999986</v>
      </c>
      <c r="K40" s="494">
        <f t="shared" si="8"/>
        <v>64.598799999999969</v>
      </c>
      <c r="L40" s="494">
        <f t="shared" si="8"/>
        <v>-3.0918999999999812</v>
      </c>
      <c r="M40" s="494">
        <f t="shared" ca="1" si="8"/>
        <v>2.698182572059852</v>
      </c>
      <c r="N40" s="494">
        <f t="shared" ca="1" si="8"/>
        <v>-5.8029618339087357</v>
      </c>
      <c r="O40" s="495">
        <f t="shared" ca="1" si="8"/>
        <v>3.3596827951219068</v>
      </c>
    </row>
    <row r="41" spans="2:16" ht="15.4">
      <c r="B41" s="775" t="s">
        <v>1382</v>
      </c>
      <c r="C41" s="779"/>
      <c r="D41" s="780">
        <f t="shared" ref="D41:O41" si="9">D40/C40-1</f>
        <v>-0.5943716379173789</v>
      </c>
      <c r="E41" s="780">
        <f t="shared" si="9"/>
        <v>0.86571134642677938</v>
      </c>
      <c r="F41" s="780">
        <f t="shared" si="9"/>
        <v>2.6913161536733075</v>
      </c>
      <c r="G41" s="780">
        <f t="shared" si="9"/>
        <v>0.11247443762781195</v>
      </c>
      <c r="H41" s="780">
        <f t="shared" si="9"/>
        <v>-0.29260258520220528</v>
      </c>
      <c r="I41" s="780">
        <f t="shared" si="9"/>
        <v>5.2927674814620129E-3</v>
      </c>
      <c r="J41" s="780">
        <f t="shared" si="9"/>
        <v>0.71955777411005939</v>
      </c>
      <c r="K41" s="780">
        <f t="shared" si="9"/>
        <v>-0.30637503354323958</v>
      </c>
      <c r="L41" s="780">
        <f t="shared" si="9"/>
        <v>-1.0478631182003377</v>
      </c>
      <c r="M41" s="780">
        <f t="shared" ca="1" si="9"/>
        <v>-1.8726616553122248</v>
      </c>
      <c r="N41" s="780">
        <f t="shared" ca="1" si="9"/>
        <v>-3.1506928011467461</v>
      </c>
      <c r="O41" s="781">
        <f t="shared" ca="1" si="9"/>
        <v>-1.5789600020269141</v>
      </c>
    </row>
    <row r="42" spans="2:16" ht="15.4">
      <c r="B42" s="511"/>
      <c r="C42" s="489"/>
      <c r="D42" s="490"/>
      <c r="E42" s="490"/>
      <c r="F42" s="490"/>
      <c r="G42" s="490"/>
      <c r="H42" s="490"/>
      <c r="I42" s="490"/>
      <c r="J42" s="490"/>
      <c r="K42" s="490"/>
      <c r="L42" s="490"/>
      <c r="M42" s="490"/>
      <c r="N42" s="490"/>
      <c r="O42" s="490"/>
    </row>
    <row r="43" spans="2:16" ht="15.4">
      <c r="B43" s="491"/>
      <c r="C43" s="489"/>
      <c r="D43" s="489"/>
      <c r="E43" s="489"/>
      <c r="F43" s="489"/>
      <c r="G43" s="489"/>
      <c r="H43" s="489"/>
      <c r="I43" s="489"/>
      <c r="J43" s="489"/>
      <c r="K43" s="489"/>
      <c r="L43" s="489"/>
      <c r="M43" s="489"/>
      <c r="N43" s="489"/>
      <c r="O43" s="489"/>
    </row>
    <row r="44" spans="2:16" ht="15.4">
      <c r="B44" s="497" t="s">
        <v>321</v>
      </c>
      <c r="C44" s="498"/>
      <c r="D44" s="499">
        <v>6.3E-2</v>
      </c>
      <c r="E44" s="489"/>
      <c r="F44" s="489"/>
      <c r="G44" s="489"/>
      <c r="H44" s="489"/>
      <c r="I44" s="489"/>
      <c r="J44" s="489"/>
      <c r="K44" s="489"/>
      <c r="L44" s="489"/>
      <c r="M44" s="489"/>
      <c r="N44" s="489"/>
      <c r="O44" s="489"/>
      <c r="P44" s="489"/>
    </row>
    <row r="45" spans="2:16" ht="15.4">
      <c r="B45" s="502" t="s">
        <v>323</v>
      </c>
      <c r="C45" s="489"/>
      <c r="D45" s="501">
        <f ca="1">NPV(D44,L40:O40)</f>
        <v>-2.7206915609762987</v>
      </c>
      <c r="E45" s="489"/>
      <c r="F45" s="489"/>
      <c r="G45" s="489"/>
      <c r="H45" s="489"/>
      <c r="I45" s="489"/>
      <c r="J45" s="489"/>
      <c r="K45" s="489"/>
      <c r="L45" s="489"/>
      <c r="M45" s="489"/>
      <c r="N45" s="489"/>
      <c r="O45" s="489"/>
      <c r="P45" s="489"/>
    </row>
    <row r="46" spans="2:16" ht="15.4">
      <c r="B46" s="502" t="s">
        <v>1488</v>
      </c>
      <c r="C46" s="489"/>
      <c r="D46" s="783">
        <f>1/D44</f>
        <v>15.873015873015873</v>
      </c>
      <c r="E46" s="489"/>
      <c r="F46" s="489"/>
      <c r="G46" s="489"/>
      <c r="H46" s="489"/>
      <c r="I46" s="489"/>
      <c r="J46" s="489"/>
      <c r="K46" s="489"/>
      <c r="L46" s="489"/>
      <c r="M46" s="489"/>
      <c r="N46" s="489"/>
      <c r="O46" s="489"/>
      <c r="P46" s="489"/>
    </row>
    <row r="47" spans="2:16" ht="15.4">
      <c r="B47" s="502" t="s">
        <v>93</v>
      </c>
      <c r="C47" s="489"/>
      <c r="D47" s="501">
        <f ca="1">O40*D46</f>
        <v>53.328298335268364</v>
      </c>
      <c r="E47" s="489"/>
      <c r="F47" s="489"/>
      <c r="G47" s="489"/>
      <c r="H47" s="489"/>
      <c r="I47" s="489"/>
      <c r="J47" s="489"/>
      <c r="K47" s="489"/>
      <c r="L47" s="489"/>
      <c r="M47" s="489"/>
      <c r="N47" s="489"/>
      <c r="O47" s="489"/>
      <c r="P47" s="489"/>
    </row>
    <row r="48" spans="2:16" ht="15.4">
      <c r="B48" s="502" t="s">
        <v>326</v>
      </c>
      <c r="C48" s="489"/>
      <c r="D48" s="501">
        <f ca="1">D47/(1+D44)^COUNT(L40:O40)</f>
        <v>41.766171535052734</v>
      </c>
      <c r="E48" s="489"/>
      <c r="F48" s="489"/>
      <c r="G48" s="489"/>
      <c r="H48" s="489"/>
      <c r="I48" s="489"/>
      <c r="J48" s="489"/>
      <c r="K48" s="489"/>
      <c r="L48" s="489"/>
      <c r="M48" s="489"/>
      <c r="N48" s="489"/>
      <c r="O48" s="489"/>
      <c r="P48" s="489"/>
    </row>
    <row r="49" spans="2:16" ht="15.4">
      <c r="B49" s="503" t="s">
        <v>317</v>
      </c>
      <c r="C49" s="504"/>
      <c r="D49" s="505">
        <f ca="1">D48+D45</f>
        <v>39.045479974076436</v>
      </c>
      <c r="E49" s="489"/>
      <c r="F49" s="489"/>
      <c r="G49" s="489"/>
      <c r="H49" s="489"/>
      <c r="I49" s="489"/>
      <c r="J49" s="489"/>
      <c r="K49" s="489"/>
      <c r="L49" s="489"/>
      <c r="M49" s="489"/>
      <c r="N49" s="489"/>
      <c r="O49" s="489"/>
      <c r="P49" s="489"/>
    </row>
    <row r="50" spans="2:16" ht="15.4">
      <c r="B50" s="500" t="s">
        <v>1197</v>
      </c>
      <c r="C50" s="489"/>
      <c r="D50" s="506">
        <f>D44-1/D46</f>
        <v>0</v>
      </c>
      <c r="E50" s="489"/>
      <c r="F50" s="489"/>
      <c r="G50" s="489"/>
      <c r="H50" s="489"/>
      <c r="I50" s="489"/>
      <c r="J50" s="489"/>
      <c r="K50" s="489"/>
      <c r="L50" s="489"/>
      <c r="M50" s="489"/>
      <c r="N50" s="489"/>
      <c r="O50" s="489"/>
      <c r="P50" s="489"/>
    </row>
    <row r="51" spans="2:16" ht="15.4">
      <c r="B51" s="502"/>
      <c r="C51" s="489"/>
      <c r="D51" s="507"/>
      <c r="E51" s="489"/>
      <c r="F51" s="489"/>
      <c r="G51" s="489"/>
      <c r="H51" s="489"/>
      <c r="I51" s="489"/>
      <c r="J51" s="489"/>
      <c r="K51" s="489"/>
      <c r="L51" s="489"/>
      <c r="M51" s="489"/>
      <c r="N51" s="489"/>
      <c r="O51" s="489"/>
      <c r="P51" s="489"/>
    </row>
    <row r="52" spans="2:16" ht="15.4">
      <c r="B52" s="500" t="s">
        <v>1198</v>
      </c>
      <c r="C52" s="489"/>
      <c r="D52" s="508">
        <f ca="1">D49/K27</f>
        <v>0.17242200356840687</v>
      </c>
      <c r="E52" s="489"/>
      <c r="F52" s="489"/>
      <c r="G52" s="489"/>
      <c r="H52" s="489"/>
      <c r="I52" s="489"/>
      <c r="J52" s="489"/>
      <c r="K52" s="489"/>
      <c r="L52" s="489"/>
      <c r="M52" s="489"/>
      <c r="N52" s="489"/>
      <c r="O52" s="489"/>
      <c r="P52" s="489"/>
    </row>
    <row r="53" spans="2:16" ht="15.4">
      <c r="B53" s="509" t="s">
        <v>1199</v>
      </c>
      <c r="C53" s="496"/>
      <c r="D53" s="510">
        <f ca="1">D49/K40</f>
        <v>0.60443042245485135</v>
      </c>
      <c r="E53" s="489"/>
      <c r="F53" s="489"/>
      <c r="G53" s="489"/>
      <c r="H53" s="489"/>
      <c r="I53" s="489"/>
      <c r="J53" s="489"/>
      <c r="K53" s="489"/>
      <c r="L53" s="489"/>
      <c r="M53" s="489"/>
      <c r="N53" s="489"/>
      <c r="O53" s="489"/>
      <c r="P53" s="489"/>
    </row>
  </sheetData>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B2:N43"/>
  <sheetViews>
    <sheetView workbookViewId="0"/>
  </sheetViews>
  <sheetFormatPr defaultColWidth="9.1328125" defaultRowHeight="13.9"/>
  <cols>
    <col min="1" max="1" width="2.86328125" style="212" customWidth="1"/>
    <col min="2" max="2" width="51.33203125" style="640" customWidth="1"/>
    <col min="3" max="12" width="10.6640625" style="311" customWidth="1"/>
    <col min="13" max="14" width="10.6640625" style="212" customWidth="1"/>
    <col min="15" max="15" width="7" style="212" customWidth="1"/>
    <col min="16" max="16" width="21.1328125" style="212" bestFit="1" customWidth="1"/>
    <col min="17" max="17" width="8.6640625" style="212" bestFit="1" customWidth="1"/>
    <col min="18" max="18" width="9.6640625" style="212" customWidth="1"/>
    <col min="19" max="19" width="14.53125" style="212" bestFit="1" customWidth="1"/>
    <col min="20" max="20" width="8.1328125" style="212" bestFit="1" customWidth="1"/>
    <col min="21" max="21" width="11.6640625" style="212" customWidth="1"/>
    <col min="22" max="22" width="4.46484375" style="212" customWidth="1"/>
    <col min="23" max="23" width="20.1328125" style="212" bestFit="1" customWidth="1"/>
    <col min="24" max="24" width="13.1328125" style="212" customWidth="1"/>
    <col min="25" max="16384" width="9.1328125" style="212"/>
  </cols>
  <sheetData>
    <row r="2" spans="2:14">
      <c r="B2" s="644"/>
      <c r="C2" s="675">
        <v>2019</v>
      </c>
      <c r="D2" s="675"/>
      <c r="E2" s="675"/>
      <c r="F2" s="675"/>
      <c r="G2" s="676"/>
      <c r="H2" s="675">
        <v>2020</v>
      </c>
      <c r="I2" s="675"/>
      <c r="J2" s="675"/>
      <c r="K2" s="675"/>
      <c r="L2" s="675"/>
      <c r="M2" s="650">
        <v>2021</v>
      </c>
      <c r="N2" s="650">
        <v>2022</v>
      </c>
    </row>
    <row r="3" spans="2:14" ht="26.65">
      <c r="B3" s="644" t="s">
        <v>192</v>
      </c>
      <c r="C3" s="651" t="s">
        <v>1338</v>
      </c>
      <c r="D3" s="651" t="s">
        <v>1462</v>
      </c>
      <c r="E3" s="651" t="s">
        <v>1463</v>
      </c>
      <c r="F3" s="651" t="s">
        <v>1464</v>
      </c>
      <c r="G3" s="651" t="s">
        <v>1465</v>
      </c>
      <c r="H3" s="651" t="s">
        <v>1466</v>
      </c>
      <c r="I3" s="651" t="s">
        <v>1467</v>
      </c>
      <c r="J3" s="651" t="s">
        <v>1468</v>
      </c>
      <c r="K3" s="651" t="s">
        <v>1469</v>
      </c>
      <c r="L3" s="652" t="s">
        <v>1304</v>
      </c>
      <c r="M3" s="653" t="s">
        <v>1332</v>
      </c>
      <c r="N3" s="653" t="s">
        <v>1461</v>
      </c>
    </row>
    <row r="4" spans="2:14" s="66" customFormat="1">
      <c r="B4" s="649"/>
      <c r="C4" s="677"/>
      <c r="D4" s="677"/>
      <c r="E4" s="677"/>
      <c r="F4" s="677"/>
      <c r="G4" s="677"/>
      <c r="H4" s="677"/>
      <c r="I4" s="677"/>
      <c r="J4" s="677"/>
      <c r="K4" s="677"/>
      <c r="L4" s="677"/>
      <c r="M4" s="677"/>
      <c r="N4" s="677"/>
    </row>
    <row r="5" spans="2:14" s="66" customFormat="1" ht="15.4">
      <c r="B5" s="623" t="s">
        <v>1362</v>
      </c>
      <c r="C5" s="678">
        <f>Interims!AJ66</f>
        <v>120.14045779999998</v>
      </c>
      <c r="D5" s="678">
        <f>Interims!AK66</f>
        <v>126.33641969000001</v>
      </c>
      <c r="E5" s="678">
        <f>Interims!AL66</f>
        <v>123.21828449999998</v>
      </c>
      <c r="F5" s="678">
        <f>Interims!AM66</f>
        <v>129.70959167000001</v>
      </c>
      <c r="G5" s="678">
        <f>Model!I9</f>
        <v>499.40475366000004</v>
      </c>
      <c r="H5" s="678">
        <f>Interims!AO66</f>
        <v>118.49999999999999</v>
      </c>
      <c r="I5" s="678">
        <f>Interims!AP66</f>
        <v>119.89999999999999</v>
      </c>
      <c r="J5" s="678">
        <f>Interims!AQ66</f>
        <v>118.5</v>
      </c>
      <c r="K5" s="678">
        <f>Interims!AR66</f>
        <v>123.1</v>
      </c>
      <c r="L5" s="678">
        <f>Model!J9</f>
        <v>480</v>
      </c>
      <c r="M5" s="678">
        <f>Model!K9</f>
        <v>462.84366304999998</v>
      </c>
      <c r="N5" s="678">
        <f>Model!L9</f>
        <v>446.53620129000001</v>
      </c>
    </row>
    <row r="6" spans="2:14" s="66" customFormat="1">
      <c r="B6" s="679" t="s">
        <v>1334</v>
      </c>
      <c r="C6" s="680">
        <f>Interims!DF66</f>
        <v>-2.6414442463533305E-2</v>
      </c>
      <c r="D6" s="680">
        <f>Interims!DG66</f>
        <v>8.3562914171322333E-2</v>
      </c>
      <c r="E6" s="680">
        <f>Interims!DH66</f>
        <v>-3.5301794609988946E-2</v>
      </c>
      <c r="F6" s="680">
        <f>Interims!DI66</f>
        <v>2.432877402255218E-2</v>
      </c>
      <c r="G6" s="680">
        <f>Model!I10</f>
        <v>1.0250306050321623E-2</v>
      </c>
      <c r="H6" s="680">
        <f>Interims!DK66</f>
        <v>-1.3654499325538527E-2</v>
      </c>
      <c r="I6" s="680">
        <f>Interims!DL66</f>
        <v>-5.0946668472903411E-2</v>
      </c>
      <c r="J6" s="680">
        <f>Interims!DM66</f>
        <v>-3.8292080750401802E-2</v>
      </c>
      <c r="K6" s="680">
        <f>Interims!DN66</f>
        <v>-5.0956845865460565E-2</v>
      </c>
      <c r="L6" s="680">
        <f>Model!J10</f>
        <v>-3.8855764823598427E-2</v>
      </c>
      <c r="M6" s="680">
        <f>Model!K10</f>
        <v>-3.5742368645833356E-2</v>
      </c>
      <c r="N6" s="680">
        <f>Model!L10</f>
        <v>-3.5233196566933023E-2</v>
      </c>
    </row>
    <row r="7" spans="2:14" s="66" customFormat="1">
      <c r="B7" s="677"/>
      <c r="C7" s="677"/>
      <c r="D7" s="677"/>
      <c r="E7" s="677"/>
      <c r="F7" s="677"/>
      <c r="G7" s="677"/>
      <c r="H7" s="677"/>
      <c r="I7" s="677"/>
      <c r="J7" s="677"/>
      <c r="K7" s="677"/>
      <c r="L7" s="677"/>
      <c r="M7" s="677"/>
      <c r="N7" s="677"/>
    </row>
    <row r="8" spans="2:14" s="66" customFormat="1">
      <c r="B8" s="649" t="s">
        <v>28</v>
      </c>
      <c r="C8" s="678">
        <f>Interims!AJ86</f>
        <v>56.814654069999982</v>
      </c>
      <c r="D8" s="678">
        <f>Interims!AK86</f>
        <v>58.350954819999998</v>
      </c>
      <c r="E8" s="678">
        <f>Interims!AL86</f>
        <v>61.223350130000007</v>
      </c>
      <c r="F8" s="678">
        <f>Interims!AM86</f>
        <v>63.065112059999969</v>
      </c>
      <c r="G8" s="678">
        <f>Model!I12</f>
        <v>239.45407107999998</v>
      </c>
      <c r="H8" s="678">
        <f>Interims!AO86</f>
        <v>57.117667949999976</v>
      </c>
      <c r="I8" s="678">
        <f>Interims!AP86</f>
        <v>60.742908499999992</v>
      </c>
      <c r="J8" s="678">
        <f>Interims!AQ86</f>
        <v>59.530961770000033</v>
      </c>
      <c r="K8" s="678">
        <f>Interims!AR86</f>
        <v>64.792422439999953</v>
      </c>
      <c r="L8" s="678">
        <f>Model!J12</f>
        <v>242.18396066</v>
      </c>
      <c r="M8" s="678">
        <f>Model!K12</f>
        <v>226.45299999999997</v>
      </c>
      <c r="N8" s="678">
        <f>Model!L12</f>
        <v>181.58300000000003</v>
      </c>
    </row>
    <row r="9" spans="2:14" s="66" customFormat="1">
      <c r="B9" s="679" t="s">
        <v>1334</v>
      </c>
      <c r="C9" s="680">
        <f>Interims!DF86</f>
        <v>-0.12049948790449871</v>
      </c>
      <c r="D9" s="680">
        <f>Interims!DG86</f>
        <v>7.2142624322931281E-2</v>
      </c>
      <c r="E9" s="680">
        <f>Interims!DH86</f>
        <v>1.1468714903027033E-2</v>
      </c>
      <c r="F9" s="680">
        <f>Interims!DI86</f>
        <v>2.1194682292284828E-2</v>
      </c>
      <c r="G9" s="680">
        <f>Model!I13</f>
        <v>1.4650460874974236E-2</v>
      </c>
      <c r="H9" s="680">
        <f>Interims!DK86</f>
        <v>5.3333754285762591E-3</v>
      </c>
      <c r="I9" s="680">
        <f>Interims!DL86</f>
        <v>4.0992537095213777E-2</v>
      </c>
      <c r="J9" s="680">
        <f>Interims!DM86</f>
        <v>-2.7642857772506746E-2</v>
      </c>
      <c r="K9" s="680">
        <f>Interims!DN86</f>
        <v>2.7389317541474112E-2</v>
      </c>
      <c r="L9" s="680">
        <f>Model!J13</f>
        <v>1.1400472615426871E-2</v>
      </c>
      <c r="M9" s="680">
        <f>Model!K13</f>
        <v>-6.4954593265094784E-2</v>
      </c>
      <c r="N9" s="680">
        <f>Model!L13</f>
        <v>-0.19814266094951249</v>
      </c>
    </row>
    <row r="10" spans="2:14" s="66" customFormat="1">
      <c r="B10" s="677"/>
      <c r="C10" s="677"/>
      <c r="D10" s="677"/>
      <c r="E10" s="677"/>
      <c r="F10" s="677"/>
      <c r="G10" s="677"/>
      <c r="H10" s="677"/>
      <c r="I10" s="677"/>
      <c r="J10" s="677"/>
      <c r="K10" s="677"/>
      <c r="L10" s="677"/>
      <c r="M10" s="677"/>
      <c r="N10" s="677"/>
    </row>
    <row r="11" spans="2:14" s="66" customFormat="1">
      <c r="B11" s="677" t="s">
        <v>85</v>
      </c>
      <c r="C11" s="681">
        <f>Interims!AJ95</f>
        <v>-9.3319797900000019</v>
      </c>
      <c r="D11" s="681">
        <f>Interims!AK95</f>
        <v>-8</v>
      </c>
      <c r="E11" s="681">
        <f>Interims!AL95</f>
        <v>-4.133611589999993</v>
      </c>
      <c r="F11" s="681">
        <f>Interims!AM95</f>
        <v>-3.8581905100000005</v>
      </c>
      <c r="G11" s="681">
        <f>Interims!AN95</f>
        <v>-25.323781889999996</v>
      </c>
      <c r="H11" s="681">
        <f>Interims!AO95</f>
        <v>-1.5972569299999999</v>
      </c>
      <c r="I11" s="681">
        <f>Interims!AP95</f>
        <v>-3.70474199</v>
      </c>
      <c r="J11" s="681">
        <f>Interims!AQ95</f>
        <v>-4.3859365700000001</v>
      </c>
      <c r="K11" s="681">
        <f>Interims!AR95</f>
        <v>-2.8804565600000007</v>
      </c>
      <c r="L11" s="681">
        <f>Interims!AS95</f>
        <v>-12.568392050000002</v>
      </c>
      <c r="M11" s="681">
        <f ca="1">Interims!AX95</f>
        <v>-24.052999999999969</v>
      </c>
      <c r="N11" s="681">
        <f ca="1">Interims!BC95</f>
        <v>-18.283000000000015</v>
      </c>
    </row>
    <row r="12" spans="2:14" s="66" customFormat="1">
      <c r="B12" s="649" t="s">
        <v>27</v>
      </c>
      <c r="C12" s="678">
        <f t="shared" ref="C12:N12" si="0">C8+C11</f>
        <v>47.482674279999983</v>
      </c>
      <c r="D12" s="678">
        <f t="shared" si="0"/>
        <v>50.350954819999998</v>
      </c>
      <c r="E12" s="678">
        <f t="shared" si="0"/>
        <v>57.089738540000013</v>
      </c>
      <c r="F12" s="678">
        <f t="shared" si="0"/>
        <v>59.206921549999969</v>
      </c>
      <c r="G12" s="678">
        <f t="shared" si="0"/>
        <v>214.13028918999998</v>
      </c>
      <c r="H12" s="678">
        <f t="shared" si="0"/>
        <v>55.520411019999976</v>
      </c>
      <c r="I12" s="678">
        <f t="shared" si="0"/>
        <v>57.038166509999989</v>
      </c>
      <c r="J12" s="678">
        <f t="shared" si="0"/>
        <v>55.145025200000035</v>
      </c>
      <c r="K12" s="678">
        <f t="shared" si="0"/>
        <v>61.911965879999954</v>
      </c>
      <c r="L12" s="678">
        <f t="shared" si="0"/>
        <v>229.61556861</v>
      </c>
      <c r="M12" s="678">
        <f t="shared" ca="1" si="0"/>
        <v>202.4</v>
      </c>
      <c r="N12" s="678">
        <f t="shared" ca="1" si="0"/>
        <v>163.30000000000001</v>
      </c>
    </row>
    <row r="13" spans="2:14" s="66" customFormat="1">
      <c r="B13" s="679" t="s">
        <v>26</v>
      </c>
      <c r="C13" s="682">
        <v>0.39522634713982246</v>
      </c>
      <c r="D13" s="682">
        <v>0.38606825963733926</v>
      </c>
      <c r="E13" s="682">
        <v>0.38606825963733926</v>
      </c>
      <c r="F13" s="682">
        <v>0.38606825963733926</v>
      </c>
      <c r="G13" s="682">
        <v>0.38606825963733926</v>
      </c>
      <c r="H13" s="682">
        <v>0.39522634713982246</v>
      </c>
      <c r="I13" s="682">
        <v>0.38606825963733926</v>
      </c>
      <c r="J13" s="682">
        <v>0.38606825963733926</v>
      </c>
      <c r="K13" s="682">
        <v>0.38606825963733926</v>
      </c>
      <c r="L13" s="682">
        <v>0.38606825963733926</v>
      </c>
      <c r="M13" s="682">
        <v>0.38606825963733926</v>
      </c>
      <c r="N13" s="682">
        <v>0.38606825963733926</v>
      </c>
    </row>
    <row r="16" spans="2:14">
      <c r="B16" s="648"/>
      <c r="C16" s="675">
        <v>2019</v>
      </c>
      <c r="D16" s="675"/>
      <c r="E16" s="675"/>
      <c r="F16" s="675"/>
      <c r="G16" s="676"/>
      <c r="H16" s="675">
        <v>2020</v>
      </c>
      <c r="I16" s="675"/>
      <c r="J16" s="675"/>
      <c r="K16" s="675"/>
      <c r="L16" s="675"/>
      <c r="M16" s="650">
        <v>2021</v>
      </c>
      <c r="N16" s="650">
        <v>2022</v>
      </c>
    </row>
    <row r="17" spans="2:14" ht="26.65">
      <c r="B17" s="648" t="s">
        <v>192</v>
      </c>
      <c r="C17" s="651" t="s">
        <v>1338</v>
      </c>
      <c r="D17" s="651" t="s">
        <v>1462</v>
      </c>
      <c r="E17" s="651" t="s">
        <v>1463</v>
      </c>
      <c r="F17" s="651" t="s">
        <v>1464</v>
      </c>
      <c r="G17" s="651" t="s">
        <v>1465</v>
      </c>
      <c r="H17" s="651" t="s">
        <v>1466</v>
      </c>
      <c r="I17" s="651" t="s">
        <v>1467</v>
      </c>
      <c r="J17" s="651" t="s">
        <v>1468</v>
      </c>
      <c r="K17" s="651" t="s">
        <v>1469</v>
      </c>
      <c r="L17" s="652" t="s">
        <v>1304</v>
      </c>
      <c r="M17" s="653" t="s">
        <v>1332</v>
      </c>
      <c r="N17" s="653" t="s">
        <v>1461</v>
      </c>
    </row>
    <row r="18" spans="2:14" s="66" customFormat="1">
      <c r="B18" s="683" t="s">
        <v>31</v>
      </c>
      <c r="C18" s="684"/>
      <c r="D18" s="684"/>
      <c r="E18" s="684"/>
      <c r="F18" s="684"/>
      <c r="G18" s="684"/>
      <c r="H18" s="684"/>
      <c r="I18" s="684"/>
      <c r="J18" s="684"/>
      <c r="K18" s="684"/>
      <c r="L18" s="684"/>
      <c r="M18" s="684"/>
      <c r="N18" s="684"/>
    </row>
    <row r="19" spans="2:14" s="66" customFormat="1">
      <c r="B19" s="684" t="s">
        <v>68</v>
      </c>
      <c r="C19" s="686"/>
      <c r="D19" s="684"/>
      <c r="E19" s="684"/>
      <c r="F19" s="684"/>
      <c r="G19" s="684"/>
      <c r="H19" s="686"/>
      <c r="I19" s="684"/>
      <c r="J19" s="684"/>
      <c r="K19" s="684"/>
      <c r="L19" s="684"/>
      <c r="M19" s="684"/>
      <c r="N19" s="684"/>
    </row>
    <row r="20" spans="2:14" s="66" customFormat="1">
      <c r="B20" s="684" t="s">
        <v>69</v>
      </c>
      <c r="C20" s="686"/>
      <c r="D20" s="684"/>
      <c r="E20" s="684"/>
      <c r="F20" s="684"/>
      <c r="G20" s="684"/>
      <c r="H20" s="686"/>
      <c r="I20" s="684"/>
      <c r="J20" s="684"/>
      <c r="K20" s="684"/>
      <c r="L20" s="684"/>
      <c r="M20" s="684"/>
      <c r="N20" s="684"/>
    </row>
    <row r="21" spans="2:14" s="66" customFormat="1">
      <c r="B21" s="684" t="s">
        <v>71</v>
      </c>
      <c r="C21" s="686"/>
      <c r="D21" s="684"/>
      <c r="E21" s="684"/>
      <c r="F21" s="684"/>
      <c r="G21" s="684"/>
      <c r="H21" s="686"/>
      <c r="I21" s="684"/>
      <c r="J21" s="684"/>
      <c r="K21" s="684"/>
      <c r="L21" s="684"/>
      <c r="M21" s="684"/>
      <c r="N21" s="684"/>
    </row>
    <row r="22" spans="2:14" s="66" customFormat="1">
      <c r="B22" s="683" t="s">
        <v>32</v>
      </c>
      <c r="C22" s="687">
        <f>Interims!AJ127</f>
        <v>34.299999999999997</v>
      </c>
      <c r="D22" s="687">
        <f>Interims!AK127</f>
        <v>32.299999999999997</v>
      </c>
      <c r="E22" s="687">
        <f>Interims!AL127</f>
        <v>41.499999999999993</v>
      </c>
      <c r="F22" s="687">
        <f>Interims!AM127</f>
        <v>53.981875354353804</v>
      </c>
      <c r="G22" s="687">
        <f>Interims!AN127</f>
        <v>162.0818753543538</v>
      </c>
      <c r="H22" s="687">
        <f>Interims!AO127</f>
        <v>30.199999999999996</v>
      </c>
      <c r="I22" s="687">
        <f>Interims!AP127</f>
        <v>32.200000000000003</v>
      </c>
      <c r="J22" s="687">
        <f>Interims!AQ127</f>
        <v>33.700000000000003</v>
      </c>
      <c r="K22" s="687">
        <f>Interims!AR127</f>
        <v>53.963011508699992</v>
      </c>
      <c r="L22" s="687">
        <f>Interims!AS127</f>
        <v>150.06301150869999</v>
      </c>
      <c r="M22" s="687">
        <f>Interims!AX127</f>
        <v>0</v>
      </c>
      <c r="N22" s="687">
        <f>Interims!BC131</f>
        <v>174.87099999999998</v>
      </c>
    </row>
    <row r="23" spans="2:14" s="66" customFormat="1">
      <c r="B23" s="679" t="s">
        <v>1271</v>
      </c>
      <c r="C23" s="685">
        <v>0.33166435210346618</v>
      </c>
      <c r="D23" s="685">
        <v>0.3487562353923786</v>
      </c>
      <c r="E23" s="685">
        <v>0.3487562353923786</v>
      </c>
      <c r="F23" s="685">
        <v>0.3487562353923786</v>
      </c>
      <c r="G23" s="685">
        <v>0.3162049480866081</v>
      </c>
      <c r="H23" s="685">
        <v>0.33166435210346618</v>
      </c>
      <c r="I23" s="685">
        <v>0.3487562353923786</v>
      </c>
      <c r="J23" s="685">
        <v>0.3487562353923786</v>
      </c>
      <c r="K23" s="685">
        <v>0.3487562353923786</v>
      </c>
      <c r="L23" s="685">
        <v>0.29317581726055791</v>
      </c>
      <c r="M23" s="685">
        <v>0.27893758560216808</v>
      </c>
      <c r="N23" s="685">
        <v>0.27893758560216808</v>
      </c>
    </row>
    <row r="24" spans="2:14" s="66" customFormat="1">
      <c r="B24" s="677"/>
      <c r="C24" s="397"/>
      <c r="D24" s="397"/>
      <c r="E24" s="397"/>
      <c r="F24" s="397"/>
      <c r="G24" s="397"/>
      <c r="H24" s="397"/>
      <c r="I24" s="397"/>
      <c r="J24" s="397"/>
      <c r="K24" s="397"/>
      <c r="L24" s="397"/>
    </row>
    <row r="25" spans="2:14">
      <c r="B25" s="674"/>
    </row>
    <row r="26" spans="2:14">
      <c r="B26" s="644"/>
      <c r="C26" s="675">
        <v>2019</v>
      </c>
      <c r="D26" s="675"/>
      <c r="E26" s="675"/>
      <c r="F26" s="675"/>
      <c r="G26" s="676"/>
      <c r="H26" s="675">
        <v>2020</v>
      </c>
      <c r="I26" s="675"/>
      <c r="J26" s="675"/>
      <c r="K26" s="675"/>
      <c r="L26" s="675"/>
      <c r="M26" s="650">
        <v>2021</v>
      </c>
      <c r="N26" s="650">
        <v>2022</v>
      </c>
    </row>
    <row r="27" spans="2:14" ht="26.65">
      <c r="B27" s="644"/>
      <c r="C27" s="651" t="s">
        <v>1338</v>
      </c>
      <c r="D27" s="651" t="s">
        <v>1462</v>
      </c>
      <c r="E27" s="651" t="s">
        <v>1463</v>
      </c>
      <c r="F27" s="651" t="s">
        <v>1464</v>
      </c>
      <c r="G27" s="651" t="s">
        <v>1465</v>
      </c>
      <c r="H27" s="651" t="s">
        <v>1466</v>
      </c>
      <c r="I27" s="651" t="s">
        <v>1467</v>
      </c>
      <c r="J27" s="651" t="s">
        <v>1468</v>
      </c>
      <c r="K27" s="651" t="s">
        <v>1469</v>
      </c>
      <c r="L27" s="652" t="s">
        <v>1304</v>
      </c>
      <c r="M27" s="653" t="s">
        <v>1332</v>
      </c>
      <c r="N27" s="653" t="s">
        <v>1461</v>
      </c>
    </row>
    <row r="28" spans="2:14">
      <c r="B28" s="645"/>
      <c r="C28" s="645"/>
      <c r="D28" s="645"/>
      <c r="E28" s="645"/>
      <c r="F28" s="645"/>
      <c r="G28" s="645"/>
      <c r="H28" s="645"/>
      <c r="I28" s="645"/>
      <c r="J28" s="645"/>
      <c r="K28" s="645"/>
      <c r="L28" s="645"/>
      <c r="M28" s="645"/>
      <c r="N28" s="645"/>
    </row>
    <row r="29" spans="2:14">
      <c r="B29" s="649" t="s">
        <v>109</v>
      </c>
      <c r="C29" s="654">
        <f>Interims!AJ5</f>
        <v>3385.3617687195001</v>
      </c>
      <c r="D29" s="654">
        <f>Interims!AK5</f>
        <v>3389.8589999968999</v>
      </c>
      <c r="E29" s="654">
        <f>Interims!AL5</f>
        <v>3372.5610000000001</v>
      </c>
      <c r="F29" s="654">
        <f>Interims!AM5</f>
        <v>3379.4270000000001</v>
      </c>
      <c r="G29" s="654">
        <f>Interims!AN5</f>
        <v>3379.4270000000001</v>
      </c>
      <c r="H29" s="654">
        <f>Interims!AO5</f>
        <v>3348.92</v>
      </c>
      <c r="I29" s="654">
        <f>Interims!AP5</f>
        <v>3349.8969999999999</v>
      </c>
      <c r="J29" s="654">
        <f>Interims!AQ5</f>
        <v>3337.1660000000002</v>
      </c>
      <c r="K29" s="654">
        <f>Interims!AR5</f>
        <v>3334.1379999999999</v>
      </c>
      <c r="L29" s="654">
        <f>Interims!AS5</f>
        <v>3334.1379999999999</v>
      </c>
      <c r="M29" s="654">
        <f>Interims!AX5</f>
        <v>3269</v>
      </c>
      <c r="N29" s="654">
        <f>Interims!BC5</f>
        <v>3164.877</v>
      </c>
    </row>
    <row r="30" spans="2:14">
      <c r="B30" s="646" t="s">
        <v>1335</v>
      </c>
      <c r="C30" s="655">
        <f>Interims!AJ32</f>
        <v>48.648768719499913</v>
      </c>
      <c r="D30" s="655">
        <f>Interims!AK32</f>
        <v>4.4972312773998055</v>
      </c>
      <c r="E30" s="655">
        <f>Interims!AL32</f>
        <v>-17.297999996899762</v>
      </c>
      <c r="F30" s="655">
        <f>Interims!AM32</f>
        <v>6.8659999999999854</v>
      </c>
      <c r="G30" s="655">
        <f>Interims!AN32</f>
        <v>42.713999999999942</v>
      </c>
      <c r="H30" s="655">
        <f>Interims!AO32</f>
        <v>-30.507000000000062</v>
      </c>
      <c r="I30" s="655">
        <f>Interims!AP32</f>
        <v>0.97699999999986176</v>
      </c>
      <c r="J30" s="655">
        <f>Interims!AQ32</f>
        <v>-12.730999999999767</v>
      </c>
      <c r="K30" s="655">
        <f>Interims!AR32</f>
        <v>-3.0280000000002474</v>
      </c>
      <c r="L30" s="655">
        <f>Interims!AS32</f>
        <v>-45.289000000000215</v>
      </c>
      <c r="M30" s="655">
        <f>Interims!AX32</f>
        <v>-65.13799999999992</v>
      </c>
      <c r="N30" s="655">
        <f>Interims!BC32</f>
        <v>-104.12300000000005</v>
      </c>
    </row>
    <row r="31" spans="2:14">
      <c r="B31" s="649" t="s">
        <v>113</v>
      </c>
      <c r="C31" s="654">
        <f>Interims!AJ9</f>
        <v>2330.6107687194999</v>
      </c>
      <c r="D31" s="654">
        <f>Interims!AK9</f>
        <v>2339.7169999969001</v>
      </c>
      <c r="E31" s="654">
        <f>Interims!AL9</f>
        <v>2346.1750000000002</v>
      </c>
      <c r="F31" s="654">
        <f>Interims!AM9</f>
        <v>2350.4050000000002</v>
      </c>
      <c r="G31" s="654">
        <f>Interims!AN9</f>
        <v>2350.4050000000002</v>
      </c>
      <c r="H31" s="654">
        <f>Interims!AO9</f>
        <v>2362.5639999999999</v>
      </c>
      <c r="I31" s="654">
        <f>Interims!AP9</f>
        <v>2368.556</v>
      </c>
      <c r="J31" s="654">
        <f>Interims!AQ9</f>
        <v>2365.625</v>
      </c>
      <c r="K31" s="654">
        <f>Interims!AR9</f>
        <v>2367.09</v>
      </c>
      <c r="L31" s="654">
        <f>Interims!AS9</f>
        <v>2367.09</v>
      </c>
      <c r="M31" s="654">
        <f>Interims!AX9</f>
        <v>2337.5970000000002</v>
      </c>
      <c r="N31" s="654">
        <f>Interims!BC9</f>
        <v>2305.1010000000001</v>
      </c>
    </row>
    <row r="32" spans="2:14">
      <c r="B32" s="646" t="s">
        <v>1335</v>
      </c>
      <c r="C32" s="655">
        <f>Interims!AJ33</f>
        <v>32.320768719499938</v>
      </c>
      <c r="D32" s="655">
        <f>Interims!AK33</f>
        <v>9.1062312774001839</v>
      </c>
      <c r="E32" s="655">
        <f>Interims!AL33</f>
        <v>6.4580000031000964</v>
      </c>
      <c r="F32" s="655">
        <f>Interims!AM33</f>
        <v>4.2300000000000182</v>
      </c>
      <c r="G32" s="655">
        <f>Interims!AN33</f>
        <v>52.115000000000236</v>
      </c>
      <c r="H32" s="655">
        <f>Interims!AO33</f>
        <v>12.158999999999651</v>
      </c>
      <c r="I32" s="655">
        <f>Interims!AP33</f>
        <v>5.9920000000001892</v>
      </c>
      <c r="J32" s="655">
        <f>Interims!AQ33</f>
        <v>-2.93100000000004</v>
      </c>
      <c r="K32" s="655">
        <f>Interims!AR33</f>
        <v>1.4650000000001455</v>
      </c>
      <c r="L32" s="655">
        <f>Interims!AS33</f>
        <v>16.684999999999945</v>
      </c>
      <c r="M32" s="655">
        <f>Interims!AX33</f>
        <v>-29.492999999999938</v>
      </c>
      <c r="N32" s="655">
        <f>Interims!BC33</f>
        <v>-32.496000000000095</v>
      </c>
    </row>
    <row r="33" spans="2:14">
      <c r="B33" s="647"/>
      <c r="C33" s="656"/>
      <c r="D33" s="656"/>
      <c r="E33" s="656"/>
      <c r="F33" s="656"/>
      <c r="G33" s="645"/>
      <c r="H33" s="656"/>
      <c r="I33" s="656"/>
      <c r="J33" s="656"/>
      <c r="K33" s="656"/>
      <c r="L33" s="645"/>
      <c r="M33" s="645"/>
      <c r="N33" s="645"/>
    </row>
    <row r="34" spans="2:14">
      <c r="B34" s="645" t="s">
        <v>33</v>
      </c>
      <c r="C34" s="656"/>
      <c r="D34" s="656"/>
      <c r="E34" s="656"/>
      <c r="F34" s="656"/>
      <c r="G34" s="645"/>
      <c r="H34" s="656"/>
      <c r="I34" s="656"/>
      <c r="J34" s="656"/>
      <c r="K34" s="656"/>
      <c r="L34" s="645"/>
      <c r="M34" s="645"/>
      <c r="N34" s="645"/>
    </row>
    <row r="35" spans="2:14">
      <c r="B35" s="649" t="s">
        <v>115</v>
      </c>
      <c r="C35" s="654">
        <f>Interims!AJ19</f>
        <v>2269</v>
      </c>
      <c r="D35" s="654">
        <f>Interims!AK19</f>
        <v>2258</v>
      </c>
      <c r="E35" s="654">
        <f>Interims!AL19</f>
        <v>2234</v>
      </c>
      <c r="F35" s="654">
        <f>Interims!AM19</f>
        <v>2218.0740000000001</v>
      </c>
      <c r="G35" s="654">
        <f>Interims!AN19</f>
        <v>2218.0740000000001</v>
      </c>
      <c r="H35" s="654">
        <f>Interims!AO19</f>
        <v>2184.1990000000001</v>
      </c>
      <c r="I35" s="654">
        <f>Interims!AP19</f>
        <v>2167.5250000000001</v>
      </c>
      <c r="J35" s="654">
        <f>Interims!AQ19</f>
        <v>2152.395</v>
      </c>
      <c r="K35" s="654">
        <f>Interims!AR19</f>
        <v>2137.2359999999999</v>
      </c>
      <c r="L35" s="654">
        <f>Interims!AS19</f>
        <v>2137.2359999999999</v>
      </c>
      <c r="M35" s="654">
        <f>Interims!AX19</f>
        <v>2034</v>
      </c>
      <c r="N35" s="654">
        <f ca="1">Interims!BC19</f>
        <v>1902</v>
      </c>
    </row>
    <row r="36" spans="2:14">
      <c r="B36" s="646" t="s">
        <v>1335</v>
      </c>
      <c r="C36" s="655">
        <f>Interims!AJ37</f>
        <v>-40</v>
      </c>
      <c r="D36" s="655">
        <f>Interims!AK37</f>
        <v>-11</v>
      </c>
      <c r="E36" s="655">
        <f>Interims!AL37</f>
        <v>-24</v>
      </c>
      <c r="F36" s="655">
        <f>Interims!AM37</f>
        <v>-15.925999999999931</v>
      </c>
      <c r="G36" s="655">
        <f>Interims!AN37</f>
        <v>-43.80600000000004</v>
      </c>
      <c r="H36" s="655">
        <f>Interims!AO37</f>
        <v>-33.875</v>
      </c>
      <c r="I36" s="655">
        <f>Interims!AP37</f>
        <v>-16.673999999999978</v>
      </c>
      <c r="J36" s="655">
        <f>Interims!AQ37</f>
        <v>-15.130000000000109</v>
      </c>
      <c r="K36" s="655">
        <f>Interims!AR37</f>
        <v>-15.159000000000106</v>
      </c>
      <c r="L36" s="655">
        <f>Interims!AS37</f>
        <v>-80.838000000000193</v>
      </c>
      <c r="M36" s="655">
        <f>Interims!AX37</f>
        <v>-103.23599999999988</v>
      </c>
      <c r="N36" s="655">
        <f ca="1">Interims!BC37</f>
        <v>-132</v>
      </c>
    </row>
    <row r="37" spans="2:14">
      <c r="B37" s="649" t="s">
        <v>118</v>
      </c>
      <c r="C37" s="654">
        <f>Interims!AJ20</f>
        <v>551</v>
      </c>
      <c r="D37" s="654">
        <f>Interims!AK20</f>
        <v>553</v>
      </c>
      <c r="E37" s="654">
        <f>Interims!AL20</f>
        <v>544.851</v>
      </c>
      <c r="F37" s="654">
        <f>Interims!AM20</f>
        <v>543.31299999999999</v>
      </c>
      <c r="G37" s="654">
        <f>Interims!AN20</f>
        <v>543.31299999999999</v>
      </c>
      <c r="H37" s="654">
        <f>Interims!AO20</f>
        <v>539.57100000000003</v>
      </c>
      <c r="I37" s="654">
        <f>Interims!AP20</f>
        <v>536.03099999999995</v>
      </c>
      <c r="J37" s="654">
        <f>Interims!AQ20</f>
        <v>537.94600000000003</v>
      </c>
      <c r="K37" s="654">
        <f>Interims!AR20</f>
        <v>540.64800029999992</v>
      </c>
      <c r="L37" s="654">
        <f>Interims!AS20</f>
        <v>540.64800029999992</v>
      </c>
      <c r="M37" s="654">
        <f>Interims!AX20</f>
        <v>539</v>
      </c>
      <c r="N37" s="654">
        <f ca="1">Interims!BC20</f>
        <v>496</v>
      </c>
    </row>
    <row r="38" spans="2:14">
      <c r="B38" s="646" t="s">
        <v>1335</v>
      </c>
      <c r="C38" s="655">
        <f>Interims!AJ38</f>
        <v>-7.1779999999999973</v>
      </c>
      <c r="D38" s="655">
        <f>Interims!AK38</f>
        <v>2</v>
      </c>
      <c r="E38" s="655">
        <f>Interims!AL38</f>
        <v>-8.1490000000000009</v>
      </c>
      <c r="F38" s="655">
        <f>Interims!AM38</f>
        <v>-1.5380000000000109</v>
      </c>
      <c r="G38" s="655">
        <f>Interims!AN38</f>
        <v>-14.865000000000009</v>
      </c>
      <c r="H38" s="655">
        <f>Interims!AO38</f>
        <v>-3.7419999999999618</v>
      </c>
      <c r="I38" s="655">
        <f>Interims!AP38</f>
        <v>-3.5400000000000773</v>
      </c>
      <c r="J38" s="655">
        <f>Interims!AQ38</f>
        <v>1.9150000000000773</v>
      </c>
      <c r="K38" s="655">
        <f>Interims!AR38</f>
        <v>2.7020002999998951</v>
      </c>
      <c r="L38" s="655">
        <f>Interims!AS38</f>
        <v>-2.6649997000000667</v>
      </c>
      <c r="M38" s="655">
        <f>Interims!AX38</f>
        <v>-1.6480002999999215</v>
      </c>
      <c r="N38" s="655">
        <f ca="1">Interims!BC38</f>
        <v>-43</v>
      </c>
    </row>
    <row r="39" spans="2:14" ht="15">
      <c r="B39" s="649" t="s">
        <v>1336</v>
      </c>
      <c r="C39" s="654">
        <f>Interims!AJ21</f>
        <v>575</v>
      </c>
      <c r="D39" s="654">
        <f>Interims!AK21</f>
        <v>577</v>
      </c>
      <c r="E39" s="654">
        <f>Interims!AL21</f>
        <v>578.61779630620003</v>
      </c>
      <c r="F39" s="654">
        <f>Interims!AM21</f>
        <v>584.0044633898998</v>
      </c>
      <c r="G39" s="654">
        <f>Interims!AN21</f>
        <v>584.0044633898998</v>
      </c>
      <c r="H39" s="654">
        <f>Interims!AO21</f>
        <v>585.14854124499971</v>
      </c>
      <c r="I39" s="654">
        <f>Interims!AP21</f>
        <v>589.30354124499979</v>
      </c>
      <c r="J39" s="654">
        <f>Interims!AQ21</f>
        <v>596.76599999999996</v>
      </c>
      <c r="K39" s="654">
        <f>Interims!AR21</f>
        <v>601.65100010000003</v>
      </c>
      <c r="L39" s="654">
        <f>Interims!AS21</f>
        <v>601.65100010000003</v>
      </c>
      <c r="M39" s="654">
        <f>Interims!AX21</f>
        <v>629</v>
      </c>
      <c r="N39" s="654">
        <f ca="1">Interims!BC21</f>
        <v>659</v>
      </c>
    </row>
    <row r="40" spans="2:14">
      <c r="B40" s="646" t="s">
        <v>1335</v>
      </c>
      <c r="C40" s="655">
        <f>Interims!AJ39</f>
        <v>1.01400000000001</v>
      </c>
      <c r="D40" s="655">
        <f>Interims!AK39</f>
        <v>2</v>
      </c>
      <c r="E40" s="655">
        <f>Interims!AL39</f>
        <v>1.6177963062000345</v>
      </c>
      <c r="F40" s="655">
        <f>Interims!AM39</f>
        <v>5.3866670836997628</v>
      </c>
      <c r="G40" s="655">
        <f>Interims!AN39</f>
        <v>10.018463389899807</v>
      </c>
      <c r="H40" s="655">
        <f>Interims!AO39</f>
        <v>1.1440778550999084</v>
      </c>
      <c r="I40" s="655">
        <f>Interims!AP39</f>
        <v>4.1550000000000864</v>
      </c>
      <c r="J40" s="655">
        <f>Interims!AQ39</f>
        <v>7.4624587550001706</v>
      </c>
      <c r="K40" s="655">
        <f>Interims!AR39</f>
        <v>4.8850001000000702</v>
      </c>
      <c r="L40" s="655">
        <f>Interims!AS39</f>
        <v>17.646536710100236</v>
      </c>
      <c r="M40" s="655">
        <f>Interims!AX39</f>
        <v>27.348999899999967</v>
      </c>
      <c r="N40" s="655">
        <f ca="1">Interims!BC39</f>
        <v>30</v>
      </c>
    </row>
    <row r="41" spans="2:14" ht="15">
      <c r="B41" s="649" t="s">
        <v>1337</v>
      </c>
      <c r="C41" s="654">
        <f>Interims!AJ23</f>
        <v>435</v>
      </c>
      <c r="D41" s="654">
        <f>Interims!AK23</f>
        <v>431</v>
      </c>
      <c r="E41" s="654">
        <f>Interims!AL23</f>
        <v>429.26299999999998</v>
      </c>
      <c r="F41" s="654">
        <f>Interims!AM23</f>
        <v>432.35300000000001</v>
      </c>
      <c r="G41" s="654">
        <f>Interims!AN23</f>
        <v>432.35300000000001</v>
      </c>
      <c r="H41" s="654">
        <f>Interims!AO23</f>
        <v>430.45699999999999</v>
      </c>
      <c r="I41" s="654">
        <f>Interims!AP23</f>
        <v>433.18</v>
      </c>
      <c r="J41" s="654">
        <f>Interims!AQ23</f>
        <v>437.435</v>
      </c>
      <c r="K41" s="654">
        <f>Interims!AR23</f>
        <v>439.33199999999999</v>
      </c>
      <c r="L41" s="654">
        <f>Interims!AS23</f>
        <v>439.33199999999999</v>
      </c>
      <c r="M41" s="654">
        <f>Interims!AX23</f>
        <v>454</v>
      </c>
      <c r="N41" s="654">
        <f ca="1">Interims!BC23</f>
        <v>475</v>
      </c>
    </row>
    <row r="42" spans="2:14">
      <c r="B42" s="646" t="s">
        <v>1335</v>
      </c>
      <c r="C42" s="655">
        <f>Interims!AJ40</f>
        <v>-4.0760000000000218</v>
      </c>
      <c r="D42" s="655">
        <f>Interims!AK40</f>
        <v>-4</v>
      </c>
      <c r="E42" s="655">
        <f>Interims!AL40</f>
        <v>-1.7370000000000232</v>
      </c>
      <c r="F42" s="655">
        <f>Interims!AM40</f>
        <v>3.0900000000000318</v>
      </c>
      <c r="G42" s="655">
        <f>Interims!AN40</f>
        <v>-6.7230000000000132</v>
      </c>
      <c r="H42" s="655">
        <f>Interims!AO40</f>
        <v>-1.896000000000015</v>
      </c>
      <c r="I42" s="655">
        <f>Interims!AP40</f>
        <v>2.7230000000000132</v>
      </c>
      <c r="J42" s="655">
        <f>Interims!AQ40</f>
        <v>4.2549999999999955</v>
      </c>
      <c r="K42" s="655">
        <f>Interims!AR40</f>
        <v>1.8969999999999914</v>
      </c>
      <c r="L42" s="655">
        <f>Interims!AS40</f>
        <v>6.978999999999985</v>
      </c>
      <c r="M42" s="655">
        <f>Interims!AX40</f>
        <v>14.668000000000006</v>
      </c>
      <c r="N42" s="655">
        <f ca="1">Interims!BC40</f>
        <v>21</v>
      </c>
    </row>
    <row r="43" spans="2:14">
      <c r="B43" s="647"/>
      <c r="C43" s="656"/>
      <c r="D43" s="656"/>
      <c r="E43" s="656"/>
      <c r="F43" s="656"/>
      <c r="G43" s="645"/>
      <c r="H43" s="656"/>
      <c r="I43" s="656"/>
      <c r="J43" s="656"/>
      <c r="K43" s="656"/>
      <c r="L43" s="645"/>
      <c r="M43" s="645"/>
      <c r="N43" s="645"/>
    </row>
  </sheetData>
  <pageMargins left="0.7" right="0.7" top="0.75" bottom="0.75" header="0.3" footer="0.3"/>
  <pageSetup paperSize="9" scale="4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B4:S89"/>
  <sheetViews>
    <sheetView workbookViewId="0"/>
  </sheetViews>
  <sheetFormatPr defaultRowHeight="12.75" outlineLevelCol="1"/>
  <cols>
    <col min="2" max="2" width="29.1328125" bestFit="1" customWidth="1"/>
    <col min="3" max="6" width="9.1328125" hidden="1" customWidth="1" outlineLevel="1"/>
    <col min="7" max="7" width="9.1328125" collapsed="1"/>
    <col min="13" max="13" width="15.33203125" customWidth="1"/>
    <col min="15" max="15" width="4" customWidth="1"/>
  </cols>
  <sheetData>
    <row r="4" spans="2:12" ht="13.9">
      <c r="B4" s="18" t="str">
        <f>+'Model also  old'!A3</f>
        <v>Summary €m</v>
      </c>
      <c r="C4" s="80" t="str">
        <f>+'Model also  old'!B3</f>
        <v>2011A</v>
      </c>
      <c r="D4" s="80" t="str">
        <f>+'Model also  old'!C3</f>
        <v>2012A</v>
      </c>
      <c r="E4" s="80" t="str">
        <f>+'Model also  old'!D3</f>
        <v>2013A</v>
      </c>
      <c r="F4" s="80" t="str">
        <f>+'Model also  old'!E3</f>
        <v>2014A</v>
      </c>
      <c r="G4" s="80" t="str">
        <f>+'Model also  old'!F3</f>
        <v>2015A</v>
      </c>
      <c r="H4" s="425" t="s">
        <v>1116</v>
      </c>
      <c r="I4" s="80" t="str">
        <f>+'Model also  old'!N3</f>
        <v>2016E</v>
      </c>
      <c r="J4" s="80" t="str">
        <f>+'Model also  old'!O3</f>
        <v>2017E</v>
      </c>
      <c r="K4" s="80" t="str">
        <f>+'Model also  old'!P3</f>
        <v>2018E</v>
      </c>
      <c r="L4" s="80" t="str">
        <f>+'Model also  old'!Q3</f>
        <v>2019E</v>
      </c>
    </row>
    <row r="5" spans="2:12" ht="13.9">
      <c r="B5" s="81" t="str">
        <f>+'Model also  old'!A4</f>
        <v>Revenues</v>
      </c>
      <c r="C5" s="325">
        <f>+'Model also  old'!B4</f>
        <v>204.7</v>
      </c>
      <c r="D5" s="325">
        <f>+'Model also  old'!C4</f>
        <v>205.3</v>
      </c>
      <c r="E5" s="325">
        <f>+'Model also  old'!D4</f>
        <v>206.2</v>
      </c>
      <c r="F5" s="325">
        <f>+'Model also  old'!E4</f>
        <v>213</v>
      </c>
      <c r="G5" s="325">
        <f>+'Model also  old'!F4</f>
        <v>222.1912219231572</v>
      </c>
      <c r="H5" s="426">
        <f>+'Model also  old'!L4</f>
        <v>460.7</v>
      </c>
      <c r="I5" s="325">
        <f>+'Model also  old'!N4</f>
        <v>478.04513573082357</v>
      </c>
      <c r="J5" s="325">
        <f>+'Model also  old'!O4</f>
        <v>503.65498133284996</v>
      </c>
      <c r="K5" s="325">
        <f>+'Model also  old'!P4</f>
        <v>536.86673149628712</v>
      </c>
      <c r="L5" s="325">
        <f>+'Model also  old'!Q4</f>
        <v>571.14168350469868</v>
      </c>
    </row>
    <row r="6" spans="2:12" ht="13.9">
      <c r="B6" s="4" t="str">
        <f>+'Model also  old'!A5</f>
        <v>YoY</v>
      </c>
      <c r="C6" s="75"/>
      <c r="D6" s="84">
        <f>+'Model also  old'!C5</f>
        <v>2.9311187103078229E-3</v>
      </c>
      <c r="E6" s="84">
        <f>+'Model also  old'!D5</f>
        <v>4.3838285435946478E-3</v>
      </c>
      <c r="F6" s="84">
        <f>+'Model also  old'!E5</f>
        <v>3.2977691561590694E-2</v>
      </c>
      <c r="G6" s="84">
        <f>+'Model also  old'!F5</f>
        <v>4.3151276634540769E-2</v>
      </c>
      <c r="H6" s="427"/>
      <c r="I6" s="84">
        <f>+'Model also  old'!N5</f>
        <v>3.7649524052145944E-2</v>
      </c>
      <c r="J6" s="84">
        <f>+'Model also  old'!O5</f>
        <v>5.3572024245942096E-2</v>
      </c>
      <c r="K6" s="84">
        <f>+'Model also  old'!P5</f>
        <v>6.594147063838629E-2</v>
      </c>
      <c r="L6" s="84">
        <f>+'Model also  old'!Q5</f>
        <v>6.3842570227595763E-2</v>
      </c>
    </row>
    <row r="7" spans="2:12" ht="13.9">
      <c r="B7" s="81" t="str">
        <f>+'Model also  old'!A6</f>
        <v>EBITDA adjusted</v>
      </c>
      <c r="C7" s="325">
        <f>+'Model also  old'!B6</f>
        <v>78.400000000000006</v>
      </c>
      <c r="D7" s="325">
        <f>+'Model also  old'!C6</f>
        <v>87.1</v>
      </c>
      <c r="E7" s="325">
        <f>+'Model also  old'!D6</f>
        <v>88.1</v>
      </c>
      <c r="F7" s="325">
        <f>+'Model also  old'!E6</f>
        <v>99.032977691561598</v>
      </c>
      <c r="G7" s="325">
        <f>+'Model also  old'!F6</f>
        <v>105.42774962306055</v>
      </c>
      <c r="H7" s="426">
        <f>+'Model also  old'!L6</f>
        <v>233.79999999999998</v>
      </c>
      <c r="I7" s="325">
        <f>+'Model also  old'!N6</f>
        <v>243.77071825562595</v>
      </c>
      <c r="J7" s="325">
        <f>+'Model also  old'!O6</f>
        <v>272.29193096845711</v>
      </c>
      <c r="K7" s="325">
        <f>+'Model also  old'!P6</f>
        <v>304.00425776337937</v>
      </c>
      <c r="L7" s="325">
        <f>+'Model also  old'!Q6</f>
        <v>323.66760340514185</v>
      </c>
    </row>
    <row r="8" spans="2:12" ht="13.9">
      <c r="B8" s="4" t="str">
        <f>+'Model also  old'!A7</f>
        <v>YoY</v>
      </c>
      <c r="C8" s="75"/>
      <c r="D8" s="84">
        <f>+'Model also  old'!C7</f>
        <v>0.1109693877551019</v>
      </c>
      <c r="E8" s="84">
        <f>+'Model also  old'!D7</f>
        <v>1.1481056257175659E-2</v>
      </c>
      <c r="F8" s="84">
        <f>+'Model also  old'!E7</f>
        <v>0.12409736312782749</v>
      </c>
      <c r="G8" s="84">
        <f>+'Model also  old'!F7</f>
        <v>6.4572146375477812E-2</v>
      </c>
      <c r="H8" s="427"/>
      <c r="I8" s="84">
        <f>+'Model also  old'!N7</f>
        <v>4.2646356953062403E-2</v>
      </c>
      <c r="J8" s="84">
        <f>+'Model also  old'!O7</f>
        <v>0.11700015866106961</v>
      </c>
      <c r="K8" s="84">
        <f>+'Model also  old'!P7</f>
        <v>0.11646443830388753</v>
      </c>
      <c r="L8" s="84">
        <f>+'Model also  old'!Q7</f>
        <v>6.4681152120794838E-2</v>
      </c>
    </row>
    <row r="9" spans="2:12" ht="13.9">
      <c r="B9" s="81" t="str">
        <f>+'Model also  old'!A8</f>
        <v>Margin</v>
      </c>
      <c r="C9" s="76">
        <f>+'Model also  old'!B8</f>
        <v>0.38299951148021499</v>
      </c>
      <c r="D9" s="76">
        <f>+'Model also  old'!C8</f>
        <v>0.42425718460789086</v>
      </c>
      <c r="E9" s="76">
        <f>+'Model also  old'!D8</f>
        <v>0.42725509214354995</v>
      </c>
      <c r="F9" s="82">
        <f>+'Model also  old'!E8</f>
        <v>0.4649435572373784</v>
      </c>
      <c r="G9" s="82">
        <f>+'Model also  old'!F8</f>
        <v>0.47449106544596875</v>
      </c>
      <c r="H9" s="428">
        <f>+'Model also  old'!L8</f>
        <v>0.50748860429780762</v>
      </c>
      <c r="I9" s="76">
        <f>+'Model also  old'!N8</f>
        <v>0.50993243113530551</v>
      </c>
      <c r="J9" s="76">
        <f>+'Model also  old'!O8</f>
        <v>0.54063186320102696</v>
      </c>
      <c r="K9" s="76">
        <f>+'Model also  old'!P8</f>
        <v>0.56625646539150809</v>
      </c>
      <c r="L9" s="76">
        <f>+'Model also  old'!Q8</f>
        <v>0.56670282130174643</v>
      </c>
    </row>
    <row r="10" spans="2:12" ht="13.9">
      <c r="B10" s="4" t="str">
        <f>+'Model also  old'!A9</f>
        <v>Capex</v>
      </c>
      <c r="C10" s="326">
        <f>+'Model also  old'!B9</f>
        <v>68.099999999999994</v>
      </c>
      <c r="D10" s="326">
        <f>+'Model also  old'!C9</f>
        <v>59.6</v>
      </c>
      <c r="E10" s="326">
        <f>+'Model also  old'!D9</f>
        <v>51.5</v>
      </c>
      <c r="F10" s="326">
        <f>+'Model also  old'!E9</f>
        <v>84.1</v>
      </c>
      <c r="G10" s="326">
        <f>+'Model also  old'!F9</f>
        <v>115</v>
      </c>
      <c r="H10" s="429">
        <f>+'Model also  old'!L9</f>
        <v>170</v>
      </c>
      <c r="I10" s="326">
        <f>+'Model also  old'!N9</f>
        <v>167.31579750578825</v>
      </c>
      <c r="J10" s="326">
        <f>+'Model also  old'!O9</f>
        <v>161.16959402651199</v>
      </c>
      <c r="K10" s="326">
        <f>+'Model also  old'!P9</f>
        <v>153.00701847644183</v>
      </c>
      <c r="L10" s="326">
        <f>+'Model also  old'!Q9</f>
        <v>148.49683771122167</v>
      </c>
    </row>
    <row r="11" spans="2:12" ht="13.9">
      <c r="B11" s="81" t="str">
        <f>+'Model also  old'!A10</f>
        <v>% revenues</v>
      </c>
      <c r="C11" s="76">
        <f>+'Model also  old'!B10</f>
        <v>0.33268197361993157</v>
      </c>
      <c r="D11" s="76">
        <f>+'Model also  old'!C10</f>
        <v>0.29030686799805161</v>
      </c>
      <c r="E11" s="76">
        <f>+'Model also  old'!D10</f>
        <v>0.24975751697381185</v>
      </c>
      <c r="F11" s="76">
        <f>+'Model also  old'!E10</f>
        <v>0.3948356807511737</v>
      </c>
      <c r="G11" s="76">
        <f>+'Model also  old'!F10</f>
        <v>0.51757220201872645</v>
      </c>
      <c r="H11" s="428">
        <f>+'Model also  old'!L10</f>
        <v>0.36900369003690037</v>
      </c>
      <c r="I11" s="76">
        <f>+'Model also  old'!N10</f>
        <v>0.35000000000000003</v>
      </c>
      <c r="J11" s="76">
        <f>+'Model also  old'!O10</f>
        <v>0.32</v>
      </c>
      <c r="K11" s="76">
        <f>+'Model also  old'!P10</f>
        <v>0.28499999999999998</v>
      </c>
      <c r="L11" s="76">
        <f>+'Model also  old'!Q10</f>
        <v>0.26</v>
      </c>
    </row>
    <row r="12" spans="2:12" ht="13.9">
      <c r="B12" s="4" t="str">
        <f>+'Model also  old'!A11</f>
        <v>OpFCF</v>
      </c>
      <c r="C12" s="327">
        <f>+'Model also  old'!B11</f>
        <v>10.300000000000011</v>
      </c>
      <c r="D12" s="327">
        <f>+'Model also  old'!C11</f>
        <v>27.499999999999993</v>
      </c>
      <c r="E12" s="327">
        <f>+'Model also  old'!D11</f>
        <v>36.599999999999994</v>
      </c>
      <c r="F12" s="327">
        <f>+'Model also  old'!E11</f>
        <v>14.932977691561604</v>
      </c>
      <c r="G12" s="327">
        <f>+'Model also  old'!F11</f>
        <v>-9.5722503769394507</v>
      </c>
      <c r="H12" s="430">
        <f>+'Model also  old'!L11</f>
        <v>63.799999999999983</v>
      </c>
      <c r="I12" s="327">
        <f>+'Model also  old'!N11</f>
        <v>76.454920749837697</v>
      </c>
      <c r="J12" s="327">
        <f>+'Model also  old'!O11</f>
        <v>111.12233694194512</v>
      </c>
      <c r="K12" s="327">
        <f>+'Model also  old'!P11</f>
        <v>150.99723928693754</v>
      </c>
      <c r="L12" s="327">
        <f>+'Model also  old'!Q11</f>
        <v>175.17076569392017</v>
      </c>
    </row>
    <row r="13" spans="2:12" ht="13.9">
      <c r="B13" s="81" t="str">
        <f>+'Model also  old'!A12</f>
        <v>Margin</v>
      </c>
      <c r="C13" s="76">
        <f>+'Model also  old'!B12</f>
        <v>5.0317537860283403E-2</v>
      </c>
      <c r="D13" s="76">
        <f>+'Model also  old'!C12</f>
        <v>0.13395031660983922</v>
      </c>
      <c r="E13" s="76">
        <f>+'Model also  old'!D12</f>
        <v>0.1774975751697381</v>
      </c>
      <c r="F13" s="76">
        <f>+'Model also  old'!E12</f>
        <v>7.0107876486204715E-2</v>
      </c>
      <c r="G13" s="76">
        <f>+'Model also  old'!F12</f>
        <v>-4.3081136572757701E-2</v>
      </c>
      <c r="H13" s="428">
        <f>+H12/H5</f>
        <v>0.13848491426090728</v>
      </c>
      <c r="I13" s="76">
        <f>+'Model also  old'!N12</f>
        <v>0.15993243113530548</v>
      </c>
      <c r="J13" s="76">
        <f>+'Model also  old'!O12</f>
        <v>0.22063186320102693</v>
      </c>
      <c r="K13" s="76">
        <f>+'Model also  old'!P12</f>
        <v>0.28125646539150811</v>
      </c>
      <c r="L13" s="76">
        <f>+'Model also  old'!Q12</f>
        <v>0.30670282130174636</v>
      </c>
    </row>
    <row r="14" spans="2:12" ht="13.9">
      <c r="B14" s="4" t="str">
        <f>+'Model also  old'!A13</f>
        <v>Net income</v>
      </c>
      <c r="C14" s="326">
        <f>+'Model also  old'!B13</f>
        <v>-21.6</v>
      </c>
      <c r="D14" s="326">
        <f>+'Model also  old'!C13</f>
        <v>20.5</v>
      </c>
      <c r="E14" s="326">
        <f>+'Model also  old'!D13</f>
        <v>-8.6</v>
      </c>
      <c r="F14" s="326">
        <f>+'Model also  old'!E13</f>
        <v>-21.767022308438392</v>
      </c>
      <c r="G14" s="326">
        <f>+'Model also  old'!F13</f>
        <v>12.759987179601463</v>
      </c>
      <c r="H14" s="429"/>
      <c r="I14" s="326">
        <f>+'Model also  old'!N13</f>
        <v>-1.8320666823755047</v>
      </c>
      <c r="J14" s="326">
        <f>+'Model also  old'!O13</f>
        <v>21.666395829633238</v>
      </c>
      <c r="K14" s="326">
        <f>+'Model also  old'!P13</f>
        <v>51.120824797834274</v>
      </c>
      <c r="L14" s="326">
        <f>+'Model also  old'!Q13</f>
        <v>68.413766149368882</v>
      </c>
    </row>
    <row r="15" spans="2:12" ht="13.9">
      <c r="B15" s="81" t="str">
        <f>+'Model also  old'!A14</f>
        <v>Net debt</v>
      </c>
      <c r="C15" s="328">
        <f>+'Model also  old'!B14</f>
        <v>594</v>
      </c>
      <c r="D15" s="328">
        <f>+'Model also  old'!C14</f>
        <v>620</v>
      </c>
      <c r="E15" s="328">
        <f>+'Model also  old'!D14</f>
        <v>586</v>
      </c>
      <c r="F15" s="328">
        <f>+'Model also  old'!E14</f>
        <v>320.39999999999998</v>
      </c>
      <c r="G15" s="328">
        <f>+'Model also  old'!F14</f>
        <v>361.54944132771675</v>
      </c>
      <c r="H15" s="431">
        <f>+'Model also  old'!L14</f>
        <v>1193.8</v>
      </c>
      <c r="I15" s="328">
        <f>+'Model also  old'!N14</f>
        <v>1208.6681314002599</v>
      </c>
      <c r="J15" s="328">
        <f>+'Model also  old'!O14</f>
        <v>1231.3405661800125</v>
      </c>
      <c r="K15" s="328">
        <f>+'Model also  old'!P14</f>
        <v>1175.3219866833447</v>
      </c>
      <c r="L15" s="328">
        <f>+'Model also  old'!Q14</f>
        <v>1133.9821006542497</v>
      </c>
    </row>
    <row r="16" spans="2:12" ht="13.9">
      <c r="B16" s="4" t="str">
        <f>+'Model also  old'!A15</f>
        <v>ND/EBITDA</v>
      </c>
      <c r="C16" s="326">
        <f>+'Model also  old'!B15</f>
        <v>7.5765306122448974</v>
      </c>
      <c r="D16" s="326">
        <f>+'Model also  old'!C15</f>
        <v>7.1182548794489096</v>
      </c>
      <c r="E16" s="326">
        <f>+'Model also  old'!D15</f>
        <v>6.651532349602725</v>
      </c>
      <c r="F16" s="326">
        <f>+'Model also  old'!E15</f>
        <v>3.2352859367501439</v>
      </c>
      <c r="G16" s="326">
        <f>+'Model also  old'!F15</f>
        <v>3.4293574758104661</v>
      </c>
      <c r="H16" s="429">
        <f>+'Model also  old'!L15</f>
        <v>5.1060735671514115</v>
      </c>
      <c r="I16" s="326">
        <f>+'Model also  old'!N15</f>
        <v>4.9582170494030002</v>
      </c>
      <c r="J16" s="326">
        <f>+'Model also  old'!O15</f>
        <v>4.5221338796214772</v>
      </c>
      <c r="K16" s="326">
        <f>+'Model also  old'!P15</f>
        <v>3.866136597330661</v>
      </c>
      <c r="L16" s="326">
        <f>+'Model also  old'!Q15</f>
        <v>3.5035390898693666</v>
      </c>
    </row>
    <row r="17" spans="2:12" ht="13.9">
      <c r="B17" s="4"/>
      <c r="C17" s="326"/>
      <c r="D17" s="326"/>
      <c r="E17" s="326"/>
      <c r="F17" s="326"/>
      <c r="G17" s="326"/>
      <c r="H17" s="429"/>
      <c r="I17" s="326"/>
      <c r="J17" s="326"/>
      <c r="K17" s="326"/>
      <c r="L17" s="326"/>
    </row>
    <row r="18" spans="2:12" ht="13.9">
      <c r="B18" s="81" t="str">
        <f>+'Model also  old'!A17</f>
        <v>KPIs 000s</v>
      </c>
      <c r="C18" s="83"/>
      <c r="D18" s="83"/>
      <c r="E18" s="83"/>
      <c r="F18" s="83"/>
      <c r="G18" s="83"/>
      <c r="H18" s="432"/>
      <c r="I18" s="83"/>
      <c r="J18" s="83"/>
      <c r="K18" s="83"/>
      <c r="L18" s="83"/>
    </row>
    <row r="19" spans="2:12" ht="13.9">
      <c r="B19" s="4" t="str">
        <f>+'Model also  old'!A18</f>
        <v>Homes connected</v>
      </c>
      <c r="C19" s="329">
        <f>+'Model also  old'!B18</f>
        <v>1963</v>
      </c>
      <c r="D19" s="329">
        <f>+'Model also  old'!C18</f>
        <v>1856</v>
      </c>
      <c r="E19" s="329">
        <f>+'Model also  old'!D18</f>
        <v>1749</v>
      </c>
      <c r="F19" s="329">
        <f>+'Model also  old'!E18</f>
        <v>1697</v>
      </c>
      <c r="G19" s="329">
        <f>+'Model also  old'!F18</f>
        <v>1687</v>
      </c>
      <c r="H19" s="433">
        <f>+'Model also  old'!L18</f>
        <v>3605</v>
      </c>
      <c r="I19" s="329">
        <f>+'Model also  old'!N18</f>
        <v>3601</v>
      </c>
      <c r="J19" s="329">
        <f>+'Model also  old'!O18</f>
        <v>3591</v>
      </c>
      <c r="K19" s="329">
        <f>+'Model also  old'!P18</f>
        <v>3581</v>
      </c>
      <c r="L19" s="329">
        <f>+'Model also  old'!Q18</f>
        <v>3571</v>
      </c>
    </row>
    <row r="20" spans="2:12" ht="13.9">
      <c r="B20" s="81" t="str">
        <f>+'Model also  old'!A21</f>
        <v>Customers</v>
      </c>
      <c r="C20" s="328">
        <f>+'Model also  old'!B21</f>
        <v>1447</v>
      </c>
      <c r="D20" s="328">
        <f>+'Model also  old'!C21</f>
        <v>1353</v>
      </c>
      <c r="E20" s="328">
        <f>+'Model also  old'!D21</f>
        <v>1302</v>
      </c>
      <c r="F20" s="328">
        <f>+'Model also  old'!E21</f>
        <v>1282</v>
      </c>
      <c r="G20" s="328">
        <f>+'Model also  old'!F21</f>
        <v>1282.8804920447849</v>
      </c>
      <c r="H20" s="431">
        <f>+'Model also  old'!L21</f>
        <v>2435</v>
      </c>
      <c r="I20" s="328">
        <f>+'Model also  old'!N21</f>
        <v>2416.2710000000002</v>
      </c>
      <c r="J20" s="328">
        <f>+'Model also  old'!O21</f>
        <v>2427.5160000000001</v>
      </c>
      <c r="K20" s="328">
        <f>+'Model also  old'!P21</f>
        <v>2438.6610000000001</v>
      </c>
      <c r="L20" s="328">
        <f>+'Model also  old'!Q21</f>
        <v>2449.7060000000001</v>
      </c>
    </row>
    <row r="21" spans="2:12" ht="13.9">
      <c r="B21" s="4" t="str">
        <f>+'Model also  old'!A22</f>
        <v>RGUs</v>
      </c>
      <c r="C21" s="75"/>
      <c r="D21" s="75"/>
      <c r="E21" s="75"/>
      <c r="F21" s="75"/>
      <c r="G21" s="75"/>
      <c r="H21" s="434"/>
      <c r="I21" s="75"/>
      <c r="J21" s="75"/>
      <c r="K21" s="75"/>
      <c r="L21" s="75"/>
    </row>
    <row r="22" spans="2:12" ht="13.9">
      <c r="B22" s="81" t="str">
        <f>+'Model also  old'!A23</f>
        <v>Basic video</v>
      </c>
      <c r="C22" s="328">
        <f>+'Model also  old'!B23</f>
        <v>1538</v>
      </c>
      <c r="D22" s="328">
        <f>+'Model also  old'!C23</f>
        <v>1416</v>
      </c>
      <c r="E22" s="328">
        <f>+'Model also  old'!D23</f>
        <v>1338</v>
      </c>
      <c r="F22" s="328">
        <f>+'Model also  old'!E23</f>
        <v>1311</v>
      </c>
      <c r="G22" s="328">
        <f>+'Model also  old'!F23</f>
        <v>1281</v>
      </c>
      <c r="H22" s="431">
        <f>+'Model also  old'!L23</f>
        <v>2458</v>
      </c>
      <c r="I22" s="328">
        <f>+'Model also  old'!N23</f>
        <v>2430.768626</v>
      </c>
      <c r="J22" s="328">
        <f>+'Model also  old'!O23</f>
        <v>2442.0810959999999</v>
      </c>
      <c r="K22" s="328">
        <f>+'Model also  old'!P23</f>
        <v>2453.292966</v>
      </c>
      <c r="L22" s="328">
        <f>+'Model also  old'!Q23</f>
        <v>2464.4042360000003</v>
      </c>
    </row>
    <row r="23" spans="2:12" ht="13.9">
      <c r="B23" s="4" t="str">
        <f>+'Model also  old'!A24</f>
        <v>Premium video</v>
      </c>
      <c r="C23" s="329">
        <f>+'Model also  old'!B24</f>
        <v>142</v>
      </c>
      <c r="D23" s="329">
        <f>+'Model also  old'!C24</f>
        <v>153</v>
      </c>
      <c r="E23" s="329">
        <f>+'Model also  old'!D24</f>
        <v>164</v>
      </c>
      <c r="F23" s="329">
        <f>+'Model also  old'!E24</f>
        <v>161</v>
      </c>
      <c r="G23" s="329">
        <f>+'Model also  old'!F24</f>
        <v>181</v>
      </c>
      <c r="H23" s="433">
        <f>+'Model also  old'!L24</f>
        <v>426</v>
      </c>
      <c r="I23" s="329">
        <f>+'Model also  old'!N24</f>
        <v>422</v>
      </c>
      <c r="J23" s="329">
        <f>+'Model also  old'!O24</f>
        <v>442</v>
      </c>
      <c r="K23" s="329">
        <f>+'Model also  old'!P24</f>
        <v>492</v>
      </c>
      <c r="L23" s="329">
        <f>+'Model also  old'!Q24</f>
        <v>542</v>
      </c>
    </row>
    <row r="24" spans="2:12" ht="13.9">
      <c r="B24" s="81" t="str">
        <f>+'Model also  old'!A25</f>
        <v>Broadband</v>
      </c>
      <c r="C24" s="328">
        <f>+'Model also  old'!B25</f>
        <v>115</v>
      </c>
      <c r="D24" s="328">
        <f>+'Model also  old'!C25</f>
        <v>135</v>
      </c>
      <c r="E24" s="328">
        <f>+'Model also  old'!D25</f>
        <v>174</v>
      </c>
      <c r="F24" s="328">
        <f>+'Model also  old'!E25</f>
        <v>202</v>
      </c>
      <c r="G24" s="328">
        <f>+'Model also  old'!F25</f>
        <v>242</v>
      </c>
      <c r="H24" s="431">
        <f>+'Model also  old'!L25</f>
        <v>462</v>
      </c>
      <c r="I24" s="328">
        <f>+'Model also  old'!N25</f>
        <v>520</v>
      </c>
      <c r="J24" s="328">
        <f>+'Model also  old'!O25</f>
        <v>580</v>
      </c>
      <c r="K24" s="328">
        <f>+'Model also  old'!P25</f>
        <v>640</v>
      </c>
      <c r="L24" s="328">
        <f>+'Model also  old'!Q25</f>
        <v>700</v>
      </c>
    </row>
    <row r="25" spans="2:12" ht="13.9">
      <c r="B25" s="4" t="str">
        <f>+'Model also  old'!A26</f>
        <v>Telephony</v>
      </c>
      <c r="C25" s="329">
        <f>+'Model also  old'!B26</f>
        <v>87</v>
      </c>
      <c r="D25" s="329">
        <f>+'Model also  old'!C26</f>
        <v>112</v>
      </c>
      <c r="E25" s="329">
        <f>+'Model also  old'!D26</f>
        <v>146</v>
      </c>
      <c r="F25" s="329">
        <f>+'Model also  old'!E26</f>
        <v>170</v>
      </c>
      <c r="G25" s="329">
        <f>+'Model also  old'!F26</f>
        <v>205</v>
      </c>
      <c r="H25" s="433">
        <f>+'Model also  old'!L26</f>
        <v>427</v>
      </c>
      <c r="I25" s="329">
        <f>+'Model also  old'!N26</f>
        <v>473</v>
      </c>
      <c r="J25" s="329">
        <f>+'Model also  old'!O26</f>
        <v>513</v>
      </c>
      <c r="K25" s="329">
        <f>+'Model also  old'!P26</f>
        <v>553</v>
      </c>
      <c r="L25" s="329">
        <f>+'Model also  old'!Q26</f>
        <v>593</v>
      </c>
    </row>
    <row r="26" spans="2:12" ht="13.9">
      <c r="B26" s="81" t="str">
        <f>+'Model also  old'!A27</f>
        <v>ARPU € per month</v>
      </c>
      <c r="C26" s="83"/>
      <c r="D26" s="83"/>
      <c r="E26" s="83"/>
      <c r="F26" s="83"/>
      <c r="G26" s="83"/>
      <c r="H26" s="432"/>
      <c r="I26" s="83"/>
      <c r="J26" s="83"/>
      <c r="K26" s="83"/>
      <c r="L26" s="83"/>
    </row>
    <row r="27" spans="2:12" ht="13.9">
      <c r="B27" s="4" t="str">
        <f>+'Model also  old'!A28</f>
        <v>Blended video</v>
      </c>
      <c r="C27" s="327">
        <f>+'Model also  old'!B28</f>
        <v>9.1999999999999993</v>
      </c>
      <c r="D27" s="327">
        <f>+'Model also  old'!C28</f>
        <v>9.4</v>
      </c>
      <c r="E27" s="327">
        <f>+'Model also  old'!D28</f>
        <v>9.5</v>
      </c>
      <c r="F27" s="327">
        <f>+'Model also  old'!E28</f>
        <v>9.6</v>
      </c>
      <c r="G27" s="327">
        <f>+'Model also  old'!F28</f>
        <v>9.9106001725133019</v>
      </c>
      <c r="H27" s="430">
        <f>+'Model also  old'!L28</f>
        <v>9.5</v>
      </c>
      <c r="I27" s="327">
        <f>+'Model also  old'!N28</f>
        <v>9.2786889317090484</v>
      </c>
      <c r="J27" s="327">
        <f>+'Model also  old'!O28</f>
        <v>9.4166840602638597</v>
      </c>
      <c r="K27" s="327">
        <f>+'Model also  old'!P28</f>
        <v>9.6932346379591774</v>
      </c>
      <c r="L27" s="327">
        <f>+'Model also  old'!Q28</f>
        <v>9.9726451177420543</v>
      </c>
    </row>
    <row r="28" spans="2:12" ht="13.9">
      <c r="B28" s="81" t="str">
        <f>+'Model also  old'!A29</f>
        <v>Blended bb/tel</v>
      </c>
      <c r="C28" s="330">
        <f>+'Model also  old'!B29</f>
        <v>21.9</v>
      </c>
      <c r="D28" s="330">
        <f>+'Model also  old'!C29</f>
        <v>21.9</v>
      </c>
      <c r="E28" s="330">
        <f>+'Model also  old'!D29</f>
        <v>22.4</v>
      </c>
      <c r="F28" s="330">
        <f>+'Model also  old'!E29</f>
        <v>22</v>
      </c>
      <c r="G28" s="330">
        <f>+'Model also  old'!F29</f>
        <v>22.22</v>
      </c>
      <c r="H28" s="435">
        <f>+'Model also  old'!L29</f>
        <v>22</v>
      </c>
      <c r="I28" s="330">
        <f>+'Model also  old'!N29</f>
        <v>22.553299999999997</v>
      </c>
      <c r="J28" s="330">
        <f>+'Model also  old'!O29</f>
        <v>22.778832999999995</v>
      </c>
      <c r="K28" s="330">
        <f>+'Model also  old'!P29</f>
        <v>23.006621329999994</v>
      </c>
      <c r="L28" s="330">
        <f>+'Model also  old'!Q29</f>
        <v>23.12165443664999</v>
      </c>
    </row>
    <row r="29" spans="2:12" ht="13.9">
      <c r="B29" s="4" t="str">
        <f>+'Model also  old'!A30</f>
        <v>Blended customer</v>
      </c>
      <c r="C29" s="327">
        <f>+'Model also  old'!B30</f>
        <v>11.6</v>
      </c>
      <c r="D29" s="327">
        <f>+'Model also  old'!C30</f>
        <v>12.4</v>
      </c>
      <c r="E29" s="327">
        <f>+'Model also  old'!D30</f>
        <v>13.2</v>
      </c>
      <c r="F29" s="327">
        <f>+'Model also  old'!E30</f>
        <v>13.9</v>
      </c>
      <c r="G29" s="327">
        <f>+'Model also  old'!F30</f>
        <v>13.930204717160576</v>
      </c>
      <c r="H29" s="430">
        <f>+'Model also  old'!L30</f>
        <v>15.5</v>
      </c>
      <c r="I29" s="327">
        <f>+'Model also  old'!N30</f>
        <v>13.80893822234095</v>
      </c>
      <c r="J29" s="327">
        <f>+'Model also  old'!O30</f>
        <v>14.558791395705303</v>
      </c>
      <c r="K29" s="327">
        <f>+'Model also  old'!P30</f>
        <v>15.426826732683152</v>
      </c>
      <c r="L29" s="327">
        <f>+'Model also  old'!Q30</f>
        <v>16.272955135306855</v>
      </c>
    </row>
    <row r="30" spans="2:12" ht="13.9">
      <c r="B30" s="4"/>
      <c r="C30" s="326"/>
      <c r="D30" s="326"/>
      <c r="E30" s="326"/>
      <c r="F30" s="326"/>
      <c r="H30" s="326"/>
      <c r="I30" s="326"/>
      <c r="J30" s="326"/>
      <c r="K30" s="326"/>
    </row>
    <row r="31" spans="2:12" ht="13.9">
      <c r="B31" s="285" t="s">
        <v>982</v>
      </c>
      <c r="C31" s="331"/>
      <c r="D31" s="331"/>
      <c r="E31" s="331"/>
      <c r="F31" s="331"/>
      <c r="H31" s="331"/>
      <c r="I31" s="331" t="str">
        <f>+I4</f>
        <v>2016E</v>
      </c>
      <c r="J31" s="331" t="str">
        <f>+J4</f>
        <v>2017E</v>
      </c>
      <c r="K31" s="331" t="str">
        <f>+K4</f>
        <v>2018E</v>
      </c>
      <c r="L31" s="331" t="str">
        <f>+L4</f>
        <v>2019E</v>
      </c>
    </row>
    <row r="32" spans="2:12" ht="13.9">
      <c r="B32" s="290" t="str">
        <f>+Valuation!B46</f>
        <v>EV/EBITDA</v>
      </c>
      <c r="C32" s="332"/>
      <c r="D32" s="332"/>
      <c r="E32" s="333"/>
      <c r="F32" s="333"/>
      <c r="H32" s="332"/>
      <c r="I32" s="332">
        <f ca="1">+Valuation!F46</f>
        <v>7.7413182808227559</v>
      </c>
      <c r="J32" s="332">
        <f ca="1">+Valuation!G46</f>
        <v>7.7279989148676256</v>
      </c>
      <c r="K32" s="332">
        <f ca="1">+Valuation!H46</f>
        <v>17.740402267329042</v>
      </c>
      <c r="L32" s="332">
        <f ca="1">+Valuation!I46</f>
        <v>19.774836070501649</v>
      </c>
    </row>
    <row r="33" spans="2:19" ht="13.9">
      <c r="B33" s="286" t="str">
        <f>+Valuation!B47</f>
        <v>EV/OpFCF</v>
      </c>
      <c r="C33" s="334"/>
      <c r="D33" s="334"/>
      <c r="E33" s="311"/>
      <c r="F33" s="311"/>
      <c r="H33" s="334"/>
      <c r="I33" s="334">
        <f ca="1">+Valuation!F47</f>
        <v>19.796561370488462</v>
      </c>
      <c r="J33" s="334">
        <f ca="1">+Valuation!G47</f>
        <v>18.801482654094308</v>
      </c>
      <c r="K33" s="334">
        <f ca="1">+Valuation!H47</f>
        <v>54.397240334732651</v>
      </c>
      <c r="L33" s="334">
        <f ca="1">+Valuation!I47</f>
        <v>61.199827116341062</v>
      </c>
    </row>
    <row r="34" spans="2:19" ht="13.9">
      <c r="B34" s="290" t="str">
        <f>+Valuation!B48</f>
        <v>EV/FCF (norm. tax)</v>
      </c>
      <c r="C34" s="332"/>
      <c r="D34" s="332"/>
      <c r="E34" s="333"/>
      <c r="F34" s="333"/>
      <c r="H34" s="332"/>
      <c r="I34" s="332">
        <f ca="1">+Valuation!F48</f>
        <v>28.280801957840662</v>
      </c>
      <c r="J34" s="332">
        <f ca="1">+Valuation!G48</f>
        <v>26.85926093442044</v>
      </c>
      <c r="K34" s="332">
        <f ca="1">+Valuation!H48</f>
        <v>77.710343335332368</v>
      </c>
      <c r="L34" s="332">
        <f ca="1">+Valuation!I48</f>
        <v>87.428324451915813</v>
      </c>
    </row>
    <row r="35" spans="2:19" ht="13.9">
      <c r="B35" s="286" t="str">
        <f>+Valuation!B49</f>
        <v>Clean PE</v>
      </c>
      <c r="C35" s="335"/>
      <c r="D35" s="335"/>
      <c r="E35" s="311"/>
      <c r="F35" s="311"/>
      <c r="H35" s="327"/>
      <c r="I35" s="327">
        <f>+Valuation!F49</f>
        <v>23.659458971775688</v>
      </c>
      <c r="J35" s="327">
        <f>+Valuation!G49</f>
        <v>8.1833301544917028</v>
      </c>
      <c r="K35" s="327">
        <f>+Valuation!H49</f>
        <v>9.294650892076092</v>
      </c>
      <c r="L35" s="327">
        <f>+Valuation!I49</f>
        <v>263.66771167433183</v>
      </c>
    </row>
    <row r="36" spans="2:19" ht="13.9">
      <c r="B36" s="290" t="str">
        <f>+Valuation!B50</f>
        <v>EFCF Yield</v>
      </c>
      <c r="C36" s="336"/>
      <c r="D36" s="336"/>
      <c r="E36" s="333"/>
      <c r="F36" s="333"/>
      <c r="H36" s="336"/>
      <c r="I36" s="336">
        <f>+Valuation!F50</f>
        <v>5.25518110703296E-2</v>
      </c>
      <c r="J36" s="336">
        <f>+Valuation!G50</f>
        <v>0.12688226813787354</v>
      </c>
      <c r="K36" s="336">
        <f>+Valuation!H50</f>
        <v>0.11235745072519271</v>
      </c>
      <c r="L36" s="336">
        <f>+Valuation!I50</f>
        <v>5.494269543858258E-2</v>
      </c>
    </row>
    <row r="37" spans="2:19" ht="13.9">
      <c r="B37" s="286" t="str">
        <f>+Valuation!B51</f>
        <v>Dividend Yield</v>
      </c>
      <c r="C37" s="337"/>
      <c r="D37" s="337"/>
      <c r="E37" s="311"/>
      <c r="F37" s="311"/>
      <c r="H37" s="337"/>
      <c r="I37" s="337">
        <f>+Valuation!F51</f>
        <v>0</v>
      </c>
      <c r="J37" s="337">
        <f>+Valuation!G51</f>
        <v>0</v>
      </c>
      <c r="K37" s="337">
        <f>+Valuation!H51</f>
        <v>0</v>
      </c>
      <c r="L37" s="337">
        <f>+Valuation!I51</f>
        <v>0</v>
      </c>
    </row>
    <row r="39" spans="2:19" ht="13.9">
      <c r="B39" s="212"/>
      <c r="C39" s="212"/>
      <c r="D39" s="212"/>
      <c r="E39" s="212"/>
      <c r="F39" s="212"/>
      <c r="G39" s="212"/>
      <c r="H39" s="212"/>
      <c r="I39" s="212"/>
      <c r="J39" s="212"/>
      <c r="K39" s="212"/>
      <c r="L39" s="212"/>
      <c r="M39" s="348">
        <f>+Interims!Q1</f>
        <v>0</v>
      </c>
      <c r="N39" s="348">
        <f>+Interims!R1</f>
        <v>0</v>
      </c>
      <c r="O39" s="212"/>
      <c r="P39" s="348">
        <f>+Interims!T1</f>
        <v>0</v>
      </c>
      <c r="Q39" s="348"/>
      <c r="R39" s="348"/>
    </row>
    <row r="40" spans="2:19" ht="13.9">
      <c r="B40" s="208">
        <f>+Interims!B2</f>
        <v>0</v>
      </c>
      <c r="C40" s="316" t="str">
        <f>+Interims!E2</f>
        <v>1Q13</v>
      </c>
      <c r="D40" s="316" t="str">
        <f>+Interims!F2</f>
        <v>2Q13</v>
      </c>
      <c r="E40" s="316" t="str">
        <f>+Interims!G2</f>
        <v>3Q13</v>
      </c>
      <c r="F40" s="316" t="str">
        <f>+Interims!H2</f>
        <v>4Q13</v>
      </c>
      <c r="G40" s="316" t="str">
        <f>+Interims!J2</f>
        <v>1Q14</v>
      </c>
      <c r="H40" s="316" t="str">
        <f>+Interims!K2</f>
        <v>2Q14</v>
      </c>
      <c r="I40" s="316" t="str">
        <f>+Interims!L2</f>
        <v>3Q14</v>
      </c>
      <c r="J40" s="316" t="str">
        <f>+Interims!M2</f>
        <v>4Q14</v>
      </c>
      <c r="K40" s="316" t="str">
        <f>+Interims!O2</f>
        <v>1Q15</v>
      </c>
      <c r="L40" s="316" t="str">
        <f>+Interims!P2</f>
        <v>2Q15</v>
      </c>
      <c r="M40" s="316" t="str">
        <f>+Interims!Q2</f>
        <v>3Q15</v>
      </c>
      <c r="N40" s="316" t="str">
        <f>+Interims!R2</f>
        <v>4Q15</v>
      </c>
      <c r="O40" s="212"/>
      <c r="P40" s="316" t="str">
        <f>+Interims!T2</f>
        <v>Q1 15</v>
      </c>
      <c r="Q40" s="316" t="str">
        <f>+Interims!U2</f>
        <v>Q1 16</v>
      </c>
      <c r="R40" s="316" t="str">
        <f>+Interims!V2</f>
        <v>Q2 16</v>
      </c>
      <c r="S40" s="316" t="str">
        <f>+Interims!W2</f>
        <v>Q3 16</v>
      </c>
    </row>
    <row r="41" spans="2:19" ht="13.9">
      <c r="B41" s="212" t="str">
        <f>+Interims!B5</f>
        <v>Homes connected ('000)</v>
      </c>
      <c r="C41" s="317">
        <f>+Interims!E5</f>
        <v>1814</v>
      </c>
      <c r="D41" s="317">
        <f>+Interims!F5</f>
        <v>1760</v>
      </c>
      <c r="E41" s="317">
        <f>+Interims!G5</f>
        <v>1750</v>
      </c>
      <c r="F41" s="317">
        <f>+Interims!H5</f>
        <v>1749</v>
      </c>
      <c r="G41" s="317">
        <f>+Interims!J5</f>
        <v>1710</v>
      </c>
      <c r="H41" s="317">
        <f>+Interims!K5</f>
        <v>1704</v>
      </c>
      <c r="I41" s="317">
        <f>+Interims!L5</f>
        <v>1720</v>
      </c>
      <c r="J41" s="317">
        <f>+Interims!M5</f>
        <v>1697.4514740094269</v>
      </c>
      <c r="K41" s="317">
        <f>+Interims!O5</f>
        <v>1667</v>
      </c>
      <c r="L41" s="317">
        <f>+Interims!P5</f>
        <v>1676</v>
      </c>
      <c r="M41" s="317">
        <f>+Interims!Q5</f>
        <v>2833</v>
      </c>
      <c r="N41" s="317">
        <f>+Interims!R5</f>
        <v>3605</v>
      </c>
      <c r="O41" s="212"/>
      <c r="P41" s="317"/>
      <c r="Q41" s="317">
        <f>+Interims!U5</f>
        <v>3593</v>
      </c>
      <c r="R41" s="317">
        <f>+Interims!V5</f>
        <v>3596</v>
      </c>
      <c r="S41" s="317">
        <f>+Interims!W5</f>
        <v>3601</v>
      </c>
    </row>
    <row r="42" spans="2:19" ht="13.9">
      <c r="B42" s="212" t="str">
        <f>+Interims!B9</f>
        <v>Homes connected - own network - two-way upgraded ('000)</v>
      </c>
      <c r="C42" s="317">
        <f>+Interims!E9</f>
        <v>862</v>
      </c>
      <c r="D42" s="317">
        <f>+Interims!F9</f>
        <v>866</v>
      </c>
      <c r="E42" s="317">
        <f>+Interims!G9</f>
        <v>873</v>
      </c>
      <c r="F42" s="317">
        <f>+Interims!H9</f>
        <v>891</v>
      </c>
      <c r="G42" s="317">
        <f>+Interims!J9</f>
        <v>901</v>
      </c>
      <c r="H42" s="317">
        <f>+Interims!K9</f>
        <v>925</v>
      </c>
      <c r="I42" s="317">
        <f>+Interims!L9</f>
        <v>932.47799999999995</v>
      </c>
      <c r="J42" s="317">
        <f>+Interims!M9</f>
        <v>933.16899999999998</v>
      </c>
      <c r="K42" s="317">
        <f>+Interims!O9</f>
        <v>940</v>
      </c>
      <c r="L42" s="317">
        <f>+Interims!P9</f>
        <v>955</v>
      </c>
      <c r="M42" s="317">
        <f>+Interims!Q9</f>
        <v>1608</v>
      </c>
      <c r="N42" s="317">
        <f>+Interims!R9</f>
        <v>2193</v>
      </c>
      <c r="O42" s="212"/>
      <c r="P42" s="317"/>
      <c r="Q42" s="317">
        <f>+Interims!U9</f>
        <v>2196</v>
      </c>
      <c r="R42" s="317">
        <f>+Interims!V9</f>
        <v>2218</v>
      </c>
      <c r="S42" s="317">
        <f>+Interims!W9</f>
        <v>2243</v>
      </c>
    </row>
    <row r="43" spans="2:19" ht="13.9">
      <c r="B43" s="212" t="str">
        <f>+Interims!B16</f>
        <v>HC on-net upgraded %</v>
      </c>
      <c r="C43" s="318">
        <f>+Interims!E16</f>
        <v>0.48</v>
      </c>
      <c r="D43" s="318">
        <f>+Interims!F16</f>
        <v>0.49</v>
      </c>
      <c r="E43" s="318">
        <f>+Interims!G16</f>
        <v>0.5</v>
      </c>
      <c r="F43" s="318">
        <f>+Interims!H16</f>
        <v>0.51</v>
      </c>
      <c r="G43" s="318">
        <f>+Interims!J16</f>
        <v>0.53</v>
      </c>
      <c r="H43" s="318">
        <f>+Interims!K16</f>
        <v>0.54</v>
      </c>
      <c r="I43" s="318">
        <f>+Interims!L16</f>
        <v>0.54213837209302318</v>
      </c>
      <c r="J43" s="319">
        <f>+Interims!M16</f>
        <v>0.54974708513806836</v>
      </c>
      <c r="K43" s="319">
        <f>+Interims!O16</f>
        <v>0.56388722255548895</v>
      </c>
      <c r="L43" s="319">
        <f>+Interims!P16</f>
        <v>0.56980906921241048</v>
      </c>
      <c r="M43" s="319">
        <f>+Interims!Q16</f>
        <v>0.56759618778679843</v>
      </c>
      <c r="N43" s="319">
        <f>+Interims!R16</f>
        <v>0.60832177531206655</v>
      </c>
      <c r="O43" s="212"/>
      <c r="P43" s="319"/>
      <c r="Q43" s="319">
        <f>+Interims!U16</f>
        <v>0.61118842193153355</v>
      </c>
      <c r="R43" s="319">
        <f>+Interims!V16</f>
        <v>0.61679644048943272</v>
      </c>
      <c r="S43" s="319">
        <f>+Interims!W16</f>
        <v>0.62288253262982507</v>
      </c>
    </row>
    <row r="44" spans="2:19" ht="13.9">
      <c r="B44" s="212" t="str">
        <f>+Interims!B15</f>
        <v>Unique subscribers</v>
      </c>
      <c r="C44" s="317">
        <f>+Interims!E15</f>
        <v>1321</v>
      </c>
      <c r="D44" s="317">
        <f>+Interims!F15</f>
        <v>1299</v>
      </c>
      <c r="E44" s="317">
        <f>+Interims!G15</f>
        <v>1303</v>
      </c>
      <c r="F44" s="317">
        <f>+Interims!H15</f>
        <v>1302</v>
      </c>
      <c r="G44" s="317">
        <f>+Interims!J15</f>
        <v>1272</v>
      </c>
      <c r="H44" s="317">
        <f>+Interims!K15</f>
        <v>1274</v>
      </c>
      <c r="I44" s="317">
        <f>+Interims!L15</f>
        <v>1290.8</v>
      </c>
      <c r="J44" s="317">
        <f>+Interims!M15</f>
        <v>1282.3218599999998</v>
      </c>
      <c r="K44" s="317">
        <f>+Interims!O15</f>
        <v>1258</v>
      </c>
      <c r="L44" s="317">
        <f>+Interims!P15</f>
        <v>1225</v>
      </c>
      <c r="M44" s="317">
        <f>+Interims!Q15</f>
        <v>1872</v>
      </c>
      <c r="N44" s="317">
        <f>+Interims!R15</f>
        <v>2435</v>
      </c>
      <c r="O44" s="212"/>
      <c r="P44" s="317"/>
      <c r="Q44" s="317">
        <f>+Interims!U15</f>
        <v>2426</v>
      </c>
      <c r="R44" s="317">
        <f>+Interims!V15</f>
        <v>2419</v>
      </c>
      <c r="S44" s="317">
        <f>+Interims!W15</f>
        <v>2417</v>
      </c>
    </row>
    <row r="45" spans="2:19" ht="13.9">
      <c r="B45" s="7" t="str">
        <f>+Interims!B18</f>
        <v>RGUs (k):</v>
      </c>
      <c r="C45" s="317"/>
      <c r="D45" s="317"/>
      <c r="E45" s="317"/>
      <c r="F45" s="317"/>
      <c r="G45" s="317"/>
      <c r="H45" s="317"/>
      <c r="I45" s="317"/>
      <c r="J45" s="317"/>
      <c r="K45" s="317"/>
      <c r="L45" s="317"/>
      <c r="M45" s="317"/>
      <c r="N45" s="317"/>
      <c r="O45" s="212"/>
      <c r="P45" s="317"/>
      <c r="Q45" s="317"/>
      <c r="R45" s="317"/>
      <c r="S45" s="317"/>
    </row>
    <row r="46" spans="2:19" ht="13.9">
      <c r="B46" s="212" t="str">
        <f>+Interims!B19</f>
        <v xml:space="preserve">CATV </v>
      </c>
      <c r="C46" s="317">
        <f>+Interims!E19</f>
        <v>1371</v>
      </c>
      <c r="D46" s="317">
        <f>+Interims!F19</f>
        <v>1346</v>
      </c>
      <c r="E46" s="317">
        <f>+Interims!G19</f>
        <v>1343</v>
      </c>
      <c r="F46" s="317">
        <f>+Interims!H19</f>
        <v>1338</v>
      </c>
      <c r="G46" s="317">
        <f>+Interims!J19</f>
        <v>1306</v>
      </c>
      <c r="H46" s="317">
        <f>+Interims!K19</f>
        <v>1302</v>
      </c>
      <c r="I46" s="317">
        <f>+Interims!L19</f>
        <v>1320</v>
      </c>
      <c r="J46" s="317">
        <f>+Interims!M19</f>
        <v>1310.5260000000001</v>
      </c>
      <c r="K46" s="317">
        <f>+Interims!O19</f>
        <v>1293</v>
      </c>
      <c r="L46" s="317">
        <f>+Interims!P19</f>
        <v>1259</v>
      </c>
      <c r="M46" s="317">
        <f>+Interims!Q19</f>
        <v>1889</v>
      </c>
      <c r="N46" s="317">
        <f>+Interims!R19</f>
        <v>2458</v>
      </c>
      <c r="O46" s="212"/>
      <c r="P46" s="317"/>
      <c r="Q46" s="317">
        <f>+Interims!U19</f>
        <v>2451</v>
      </c>
      <c r="R46" s="317">
        <f>+Interims!V19</f>
        <v>2443</v>
      </c>
      <c r="S46" s="317">
        <f>+Interims!W19</f>
        <v>2437</v>
      </c>
    </row>
    <row r="47" spans="2:19" ht="13.9">
      <c r="B47" s="212" t="str">
        <f>+Interims!B20</f>
        <v>Premium TV</v>
      </c>
      <c r="C47" s="317">
        <f>+Interims!E20</f>
        <v>150</v>
      </c>
      <c r="D47" s="317">
        <f>+Interims!F20</f>
        <v>151</v>
      </c>
      <c r="E47" s="317">
        <f>+Interims!G20</f>
        <v>153</v>
      </c>
      <c r="F47" s="317">
        <f>+Interims!H20</f>
        <v>164</v>
      </c>
      <c r="G47" s="317">
        <f>+Interims!J20</f>
        <v>165</v>
      </c>
      <c r="H47" s="317">
        <f>+Interims!K20</f>
        <v>162</v>
      </c>
      <c r="I47" s="317">
        <f>+Interims!L20</f>
        <v>163</v>
      </c>
      <c r="J47" s="317">
        <f>+Interims!M20</f>
        <v>160.58839878661843</v>
      </c>
      <c r="K47" s="317">
        <f>+Interims!O20</f>
        <v>161</v>
      </c>
      <c r="L47" s="317">
        <f>+Interims!P20</f>
        <v>161</v>
      </c>
      <c r="M47" s="317">
        <f>+Interims!Q20</f>
        <v>397</v>
      </c>
      <c r="N47" s="317">
        <f>+Interims!R20</f>
        <v>426</v>
      </c>
      <c r="O47" s="212"/>
      <c r="P47" s="317"/>
      <c r="Q47" s="317">
        <f>+Interims!U20</f>
        <v>424</v>
      </c>
      <c r="R47" s="317">
        <f>+Interims!V20</f>
        <v>424</v>
      </c>
      <c r="S47" s="317">
        <f>+Interims!W20</f>
        <v>422</v>
      </c>
    </row>
    <row r="48" spans="2:19" ht="13.9">
      <c r="B48" s="212" t="str">
        <f>+Interims!B21</f>
        <v>Internet</v>
      </c>
      <c r="C48" s="317">
        <f>+Interims!E21</f>
        <v>146</v>
      </c>
      <c r="D48" s="317">
        <f>+Interims!F21</f>
        <v>153</v>
      </c>
      <c r="E48" s="317">
        <f>+Interims!G21</f>
        <v>162</v>
      </c>
      <c r="F48" s="317">
        <f>+Interims!H21</f>
        <v>174</v>
      </c>
      <c r="G48" s="317">
        <f>+Interims!J21</f>
        <v>183</v>
      </c>
      <c r="H48" s="317">
        <f>+Interims!K21</f>
        <v>190</v>
      </c>
      <c r="I48" s="317">
        <f>+Interims!L21</f>
        <v>196.8</v>
      </c>
      <c r="J48" s="317">
        <f>+Interims!M21</f>
        <v>202.00899999999999</v>
      </c>
      <c r="K48" s="317">
        <f>+Interims!O21</f>
        <v>208</v>
      </c>
      <c r="L48" s="317">
        <f>+Interims!P21</f>
        <v>213</v>
      </c>
      <c r="M48" s="317">
        <f>+Interims!Q21</f>
        <v>363</v>
      </c>
      <c r="N48" s="317">
        <f>+Interims!R21</f>
        <v>462</v>
      </c>
      <c r="O48" s="212"/>
      <c r="P48" s="317"/>
      <c r="Q48" s="317">
        <f>+Interims!U21</f>
        <v>475</v>
      </c>
      <c r="R48" s="317">
        <f>+Interims!V21</f>
        <v>485</v>
      </c>
      <c r="S48" s="317">
        <f>+Interims!W21</f>
        <v>500</v>
      </c>
    </row>
    <row r="49" spans="2:19" ht="13.9">
      <c r="B49" s="212" t="str">
        <f>+Interims!B23</f>
        <v>Telephony</v>
      </c>
      <c r="C49" s="317">
        <f>+Interims!E23</f>
        <v>121</v>
      </c>
      <c r="D49" s="317">
        <f>+Interims!F23</f>
        <v>128</v>
      </c>
      <c r="E49" s="317">
        <f>+Interims!G23</f>
        <v>136</v>
      </c>
      <c r="F49" s="317">
        <f>+Interims!H23</f>
        <v>146</v>
      </c>
      <c r="G49" s="317">
        <f>+Interims!J23</f>
        <v>154</v>
      </c>
      <c r="H49" s="317">
        <f>+Interims!K23</f>
        <v>160</v>
      </c>
      <c r="I49" s="317">
        <f>+Interims!L23</f>
        <v>166.4</v>
      </c>
      <c r="J49" s="317">
        <f>+Interims!M23</f>
        <v>169.953</v>
      </c>
      <c r="K49" s="317">
        <f>+Interims!O23</f>
        <v>175</v>
      </c>
      <c r="L49" s="317">
        <f>+Interims!P23</f>
        <v>202</v>
      </c>
      <c r="M49" s="317">
        <f>+Interims!Q23</f>
        <v>352</v>
      </c>
      <c r="N49" s="317">
        <f>+Interims!R23</f>
        <v>427</v>
      </c>
      <c r="O49" s="212"/>
      <c r="P49" s="317"/>
      <c r="Q49" s="317">
        <f>+Interims!U23</f>
        <v>441</v>
      </c>
      <c r="R49" s="317">
        <f>+Interims!V23</f>
        <v>452</v>
      </c>
      <c r="S49" s="317">
        <f>+Interims!W23</f>
        <v>463</v>
      </c>
    </row>
    <row r="50" spans="2:19" ht="13.9">
      <c r="B50" s="212" t="str">
        <f>+Interims!B24</f>
        <v xml:space="preserve">Total RGUs </v>
      </c>
      <c r="C50" s="317">
        <f>+Interims!E24</f>
        <v>1788</v>
      </c>
      <c r="D50" s="317">
        <f>+Interims!F24</f>
        <v>1779</v>
      </c>
      <c r="E50" s="317">
        <f>+Interims!G24</f>
        <v>1794</v>
      </c>
      <c r="F50" s="317">
        <f>+Interims!H24</f>
        <v>1822</v>
      </c>
      <c r="G50" s="317">
        <f>+Interims!J24</f>
        <v>1808</v>
      </c>
      <c r="H50" s="317">
        <f>+Interims!K24</f>
        <v>1814</v>
      </c>
      <c r="I50" s="317">
        <f>+Interims!L24</f>
        <v>1846.2</v>
      </c>
      <c r="J50" s="317">
        <f>+Interims!M24</f>
        <v>1843.0763987866185</v>
      </c>
      <c r="K50" s="317">
        <f>+Interims!O24</f>
        <v>1837</v>
      </c>
      <c r="L50" s="317">
        <f>+Interims!P24</f>
        <v>1835</v>
      </c>
      <c r="M50" s="317">
        <f>+Interims!Q24</f>
        <v>3001</v>
      </c>
      <c r="N50" s="317">
        <f>+Interims!R24</f>
        <v>3773</v>
      </c>
      <c r="O50" s="212"/>
      <c r="P50" s="317"/>
      <c r="Q50" s="317">
        <f>+Interims!U24</f>
        <v>3791</v>
      </c>
      <c r="R50" s="317">
        <f>+Interims!V24</f>
        <v>3804</v>
      </c>
      <c r="S50" s="317">
        <f>+Interims!W24</f>
        <v>3822</v>
      </c>
    </row>
    <row r="51" spans="2:19" ht="13.9">
      <c r="B51" s="212" t="str">
        <f>+Interims!B25</f>
        <v>RGU / Unique subscriber</v>
      </c>
      <c r="C51" s="320">
        <f>+Interims!C25</f>
        <v>1.3535200605601816</v>
      </c>
      <c r="D51" s="320">
        <f>+Interims!F25</f>
        <v>1.369515011547344</v>
      </c>
      <c r="E51" s="320">
        <f>+Interims!G25</f>
        <v>1.3768227168073677</v>
      </c>
      <c r="F51" s="320">
        <f>+Interims!H25</f>
        <v>1.3993855606758832</v>
      </c>
      <c r="G51" s="320">
        <f>+Interims!J25</f>
        <v>1.421383647798742</v>
      </c>
      <c r="H51" s="320">
        <f>+Interims!K25</f>
        <v>1.4238618524332809</v>
      </c>
      <c r="I51" s="320">
        <f>+Interims!L25</f>
        <v>1.4302757979547569</v>
      </c>
      <c r="J51" s="320">
        <f>+Interims!M25</f>
        <v>1.4372962485304732</v>
      </c>
      <c r="K51" s="320">
        <f>+Interims!O25</f>
        <v>1.4602543720190779</v>
      </c>
      <c r="L51" s="320">
        <f>+Interims!P25</f>
        <v>1.4979591836734694</v>
      </c>
      <c r="M51" s="320">
        <f>+Interims!Q25</f>
        <v>1.6030982905982907</v>
      </c>
      <c r="N51" s="320">
        <f>+Interims!R25</f>
        <v>1.5494866529774127</v>
      </c>
      <c r="O51" s="212"/>
      <c r="P51" s="320"/>
      <c r="Q51" s="320">
        <f>+Interims!U25</f>
        <v>1.5626545754328112</v>
      </c>
      <c r="R51" s="320">
        <f>+Interims!V25</f>
        <v>1.5725506407606449</v>
      </c>
      <c r="S51" s="320">
        <f>+Interims!W25</f>
        <v>1.5812991311543236</v>
      </c>
    </row>
    <row r="52" spans="2:19" ht="13.9">
      <c r="B52" s="7" t="str">
        <f>+Interims!B31</f>
        <v>Net adds (k):</v>
      </c>
      <c r="C52" s="320"/>
      <c r="D52" s="320"/>
      <c r="E52" s="320"/>
      <c r="F52" s="320"/>
      <c r="G52" s="320"/>
      <c r="H52" s="320"/>
      <c r="I52" s="320"/>
      <c r="J52" s="320"/>
      <c r="K52" s="320"/>
      <c r="L52" s="320"/>
      <c r="M52" s="320"/>
      <c r="N52" s="320"/>
      <c r="O52" s="212"/>
      <c r="P52" s="320"/>
      <c r="Q52" s="320"/>
      <c r="R52" s="320"/>
      <c r="S52" s="320"/>
    </row>
    <row r="53" spans="2:19" ht="13.9">
      <c r="B53" s="212" t="str">
        <f>+Interims!B32</f>
        <v>Homes connected ('000)</v>
      </c>
      <c r="C53" s="317">
        <f>+Interims!E32</f>
        <v>-42</v>
      </c>
      <c r="D53" s="317">
        <f>+Interims!F32</f>
        <v>-54</v>
      </c>
      <c r="E53" s="317">
        <f>+Interims!G32</f>
        <v>-10</v>
      </c>
      <c r="F53" s="317">
        <f>+Interims!H32</f>
        <v>-1</v>
      </c>
      <c r="G53" s="317">
        <f>+Interims!J32</f>
        <v>-39</v>
      </c>
      <c r="H53" s="317">
        <f>+Interims!K32</f>
        <v>-6</v>
      </c>
      <c r="I53" s="317">
        <f>+Interims!L32</f>
        <v>16</v>
      </c>
      <c r="J53" s="317">
        <f>+Interims!M32</f>
        <v>-22.548525990573125</v>
      </c>
      <c r="K53" s="317">
        <f>+Interims!O32</f>
        <v>-30.451474009426875</v>
      </c>
      <c r="L53" s="317">
        <f>+Interims!P32</f>
        <v>9</v>
      </c>
      <c r="M53" s="317">
        <f>+Interims!Q32</f>
        <v>1157</v>
      </c>
      <c r="N53" s="317">
        <f>+Interims!R32</f>
        <v>772</v>
      </c>
      <c r="O53" s="212"/>
      <c r="P53" s="317"/>
      <c r="Q53" s="317">
        <f>+Interims!U32</f>
        <v>-12</v>
      </c>
      <c r="R53" s="317">
        <f>+Interims!V32</f>
        <v>3</v>
      </c>
      <c r="S53" s="317">
        <f>+Interims!W32</f>
        <v>5</v>
      </c>
    </row>
    <row r="54" spans="2:19" ht="13.9">
      <c r="B54" s="212" t="str">
        <f>+Interims!B33</f>
        <v>Homes connected - own network - two-way upgraded ('000)</v>
      </c>
      <c r="C54" s="317">
        <f>+Interims!E33</f>
        <v>-19</v>
      </c>
      <c r="D54" s="317">
        <f>+Interims!F33</f>
        <v>4</v>
      </c>
      <c r="E54" s="317">
        <f>+Interims!G33</f>
        <v>7</v>
      </c>
      <c r="F54" s="317">
        <f>+Interims!H33</f>
        <v>18</v>
      </c>
      <c r="G54" s="317">
        <f>+Interims!J33</f>
        <v>10</v>
      </c>
      <c r="H54" s="317">
        <f>+Interims!K33</f>
        <v>24</v>
      </c>
      <c r="I54" s="317">
        <f>+Interims!L33</f>
        <v>7.4779999999999518</v>
      </c>
      <c r="J54" s="317">
        <f>+Interims!M33</f>
        <v>0.69100000000003092</v>
      </c>
      <c r="K54" s="317">
        <f>+Interims!O33</f>
        <v>6.8310000000000173</v>
      </c>
      <c r="L54" s="317">
        <f>+Interims!P33</f>
        <v>15</v>
      </c>
      <c r="M54" s="317">
        <f>+Interims!Q33</f>
        <v>653</v>
      </c>
      <c r="N54" s="317">
        <f>+Interims!R33</f>
        <v>585</v>
      </c>
      <c r="O54" s="212"/>
      <c r="P54" s="317"/>
      <c r="Q54" s="317">
        <f>+Interims!U33</f>
        <v>3</v>
      </c>
      <c r="R54" s="317">
        <f>+Interims!V33</f>
        <v>22</v>
      </c>
      <c r="S54" s="317">
        <f>+Interims!W33</f>
        <v>25</v>
      </c>
    </row>
    <row r="55" spans="2:19" ht="13.9">
      <c r="B55" s="212" t="str">
        <f>+Interims!B34</f>
        <v>Unique subscribers</v>
      </c>
      <c r="C55" s="317">
        <f>+Interims!E34</f>
        <v>-32</v>
      </c>
      <c r="D55" s="317">
        <f>+Interims!F34</f>
        <v>-22</v>
      </c>
      <c r="E55" s="317">
        <f>+Interims!G34</f>
        <v>4</v>
      </c>
      <c r="F55" s="317">
        <f>+Interims!H34</f>
        <v>-1</v>
      </c>
      <c r="G55" s="317">
        <f>+Interims!J34</f>
        <v>-30</v>
      </c>
      <c r="H55" s="317">
        <f>+Interims!K34</f>
        <v>2</v>
      </c>
      <c r="I55" s="317">
        <f>+Interims!L34</f>
        <v>16.799999999999955</v>
      </c>
      <c r="J55" s="317">
        <f>+Interims!M34</f>
        <v>-8.4781400000001668</v>
      </c>
      <c r="K55" s="317">
        <f>+Interims!O34</f>
        <v>-24.321859999999788</v>
      </c>
      <c r="L55" s="317">
        <f>+Interims!P34</f>
        <v>-33</v>
      </c>
      <c r="M55" s="317">
        <f>+Interims!Q34</f>
        <v>647</v>
      </c>
      <c r="N55" s="317">
        <f>+Interims!R34</f>
        <v>563</v>
      </c>
      <c r="O55" s="212"/>
      <c r="P55" s="317"/>
      <c r="Q55" s="317">
        <f>+Interims!U34</f>
        <v>-9</v>
      </c>
      <c r="R55" s="317">
        <f>+Interims!V34</f>
        <v>-7</v>
      </c>
      <c r="S55" s="317">
        <f>+Interims!W34</f>
        <v>-2</v>
      </c>
    </row>
    <row r="56" spans="2:19" ht="13.9">
      <c r="B56" s="212" t="str">
        <f>+Interims!B37</f>
        <v xml:space="preserve">CATV </v>
      </c>
      <c r="C56" s="317">
        <f>+Interims!E37</f>
        <v>-45</v>
      </c>
      <c r="D56" s="317">
        <f>+Interims!F37</f>
        <v>-25</v>
      </c>
      <c r="E56" s="317">
        <f>+Interims!G37</f>
        <v>-3</v>
      </c>
      <c r="F56" s="317">
        <f>+Interims!H37</f>
        <v>-5</v>
      </c>
      <c r="G56" s="317">
        <f>+Interims!J37</f>
        <v>-32</v>
      </c>
      <c r="H56" s="317">
        <f>+Interims!K37</f>
        <v>-4</v>
      </c>
      <c r="I56" s="317">
        <f>+Interims!L37</f>
        <v>18</v>
      </c>
      <c r="J56" s="317">
        <f>+Interims!M37</f>
        <v>-9.4739999999999327</v>
      </c>
      <c r="K56" s="317">
        <f>+Interims!O37</f>
        <v>-17.526000000000067</v>
      </c>
      <c r="L56" s="317">
        <f>+Interims!P37</f>
        <v>-34</v>
      </c>
      <c r="M56" s="317">
        <f>+Interims!Q37</f>
        <v>630</v>
      </c>
      <c r="N56" s="317">
        <f>+Interims!R37</f>
        <v>569</v>
      </c>
      <c r="O56" s="212"/>
      <c r="P56" s="317"/>
      <c r="Q56" s="317">
        <f>+Interims!U37</f>
        <v>-7</v>
      </c>
      <c r="R56" s="317">
        <f>+Interims!V37</f>
        <v>-8</v>
      </c>
      <c r="S56" s="317">
        <f>+Interims!W37</f>
        <v>-6</v>
      </c>
    </row>
    <row r="57" spans="2:19" ht="13.9">
      <c r="B57" s="212" t="str">
        <f>+Interims!B38</f>
        <v>Premium TV</v>
      </c>
      <c r="C57" s="317">
        <f>+Interims!E38</f>
        <v>-3</v>
      </c>
      <c r="D57" s="317">
        <f>+Interims!F38</f>
        <v>1</v>
      </c>
      <c r="E57" s="317">
        <f>+Interims!G38</f>
        <v>2</v>
      </c>
      <c r="F57" s="317">
        <f>+Interims!H38</f>
        <v>11</v>
      </c>
      <c r="G57" s="317">
        <f>+Interims!J38</f>
        <v>1</v>
      </c>
      <c r="H57" s="317">
        <f>+Interims!K38</f>
        <v>-3</v>
      </c>
      <c r="I57" s="317">
        <f>+Interims!L38</f>
        <v>1</v>
      </c>
      <c r="J57" s="317">
        <f>+Interims!M38</f>
        <v>-2.411601213381573</v>
      </c>
      <c r="K57" s="317">
        <f>+Interims!O38</f>
        <v>0.41160121338157296</v>
      </c>
      <c r="L57" s="317">
        <f>+Interims!P38</f>
        <v>0</v>
      </c>
      <c r="M57" s="317">
        <f>+Interims!Q38</f>
        <v>236</v>
      </c>
      <c r="N57" s="317">
        <f>+Interims!R38</f>
        <v>29</v>
      </c>
      <c r="O57" s="212"/>
      <c r="P57" s="317"/>
      <c r="Q57" s="317">
        <f>+Interims!U38</f>
        <v>-2</v>
      </c>
      <c r="R57" s="317">
        <f>+Interims!V38</f>
        <v>0</v>
      </c>
      <c r="S57" s="317">
        <f>+Interims!W38</f>
        <v>-2</v>
      </c>
    </row>
    <row r="58" spans="2:19" ht="13.9">
      <c r="B58" s="212" t="str">
        <f>+Interims!B39</f>
        <v>Internet</v>
      </c>
      <c r="C58" s="317">
        <f>+Interims!E39</f>
        <v>11</v>
      </c>
      <c r="D58" s="317">
        <f>+Interims!F39</f>
        <v>7</v>
      </c>
      <c r="E58" s="317">
        <f>+Interims!G39</f>
        <v>9</v>
      </c>
      <c r="F58" s="317">
        <f>+Interims!H39</f>
        <v>12</v>
      </c>
      <c r="G58" s="317">
        <f>+Interims!J39</f>
        <v>9</v>
      </c>
      <c r="H58" s="317">
        <f>+Interims!K39</f>
        <v>7</v>
      </c>
      <c r="I58" s="317">
        <f>+Interims!L39</f>
        <v>6.8000000000000114</v>
      </c>
      <c r="J58" s="317">
        <f>+Interims!M39</f>
        <v>5.2089999999999748</v>
      </c>
      <c r="K58" s="317">
        <f>+Interims!O39</f>
        <v>5.9910000000000139</v>
      </c>
      <c r="L58" s="317">
        <f>+Interims!P39</f>
        <v>5</v>
      </c>
      <c r="M58" s="317">
        <f>+Interims!Q39</f>
        <v>150</v>
      </c>
      <c r="N58" s="317">
        <f>+Interims!R39</f>
        <v>99</v>
      </c>
      <c r="O58" s="212"/>
      <c r="P58" s="317"/>
      <c r="Q58" s="317">
        <f>+Interims!U39</f>
        <v>13</v>
      </c>
      <c r="R58" s="317">
        <f>+Interims!V39</f>
        <v>10</v>
      </c>
      <c r="S58" s="317">
        <f>+Interims!W39</f>
        <v>15</v>
      </c>
    </row>
    <row r="59" spans="2:19" ht="13.9">
      <c r="B59" s="212" t="str">
        <f>+Interims!B40</f>
        <v>Telephony</v>
      </c>
      <c r="C59" s="317">
        <f>+Interims!E40</f>
        <v>9</v>
      </c>
      <c r="D59" s="317">
        <f>+Interims!F40</f>
        <v>7</v>
      </c>
      <c r="E59" s="317">
        <f>+Interims!G40</f>
        <v>8</v>
      </c>
      <c r="F59" s="317">
        <f>+Interims!H40</f>
        <v>10</v>
      </c>
      <c r="G59" s="317">
        <f>+Interims!J40</f>
        <v>8</v>
      </c>
      <c r="H59" s="317">
        <f>+Interims!K40</f>
        <v>6</v>
      </c>
      <c r="I59" s="317">
        <f>+Interims!L40</f>
        <v>6.4000000000000057</v>
      </c>
      <c r="J59" s="317">
        <f>+Interims!M40</f>
        <v>3.5529999999999973</v>
      </c>
      <c r="K59" s="317">
        <f>+Interims!O40</f>
        <v>5.046999999999997</v>
      </c>
      <c r="L59" s="317">
        <f>+Interims!P40</f>
        <v>27</v>
      </c>
      <c r="M59" s="317">
        <f>+Interims!Q40</f>
        <v>150</v>
      </c>
      <c r="N59" s="317">
        <f>+Interims!R40</f>
        <v>75</v>
      </c>
      <c r="O59" s="212"/>
      <c r="P59" s="317"/>
      <c r="Q59" s="317">
        <f>+Interims!U40</f>
        <v>14</v>
      </c>
      <c r="R59" s="317">
        <f>+Interims!V40</f>
        <v>11</v>
      </c>
      <c r="S59" s="317">
        <f>+Interims!W40</f>
        <v>11</v>
      </c>
    </row>
    <row r="60" spans="2:19" ht="13.9">
      <c r="B60" s="212" t="str">
        <f>+Interims!B41</f>
        <v xml:space="preserve">Total RGUs </v>
      </c>
      <c r="C60" s="317">
        <f>+Interims!E41</f>
        <v>-28</v>
      </c>
      <c r="D60" s="317">
        <f>+Interims!F41</f>
        <v>-9</v>
      </c>
      <c r="E60" s="317">
        <f>+Interims!G41</f>
        <v>15</v>
      </c>
      <c r="F60" s="317">
        <f>+Interims!H41</f>
        <v>28</v>
      </c>
      <c r="G60" s="317">
        <f>+Interims!J41</f>
        <v>-14</v>
      </c>
      <c r="H60" s="317">
        <f>+Interims!K41</f>
        <v>6</v>
      </c>
      <c r="I60" s="317">
        <f>+Interims!L41</f>
        <v>32.200000000000045</v>
      </c>
      <c r="J60" s="317">
        <f>+Interims!M41</f>
        <v>-3.123601213381562</v>
      </c>
      <c r="K60" s="317">
        <f>+Interims!O41</f>
        <v>-6.0763987866184834</v>
      </c>
      <c r="L60" s="317">
        <f>+Interims!P41</f>
        <v>-2</v>
      </c>
      <c r="M60" s="317">
        <f>+Interims!Q41</f>
        <v>1166</v>
      </c>
      <c r="N60" s="317">
        <f>+Interims!R41</f>
        <v>772</v>
      </c>
      <c r="O60" s="212"/>
      <c r="P60" s="317"/>
      <c r="Q60" s="317">
        <f>+Interims!U41</f>
        <v>18</v>
      </c>
      <c r="R60" s="317">
        <f>+Interims!V41</f>
        <v>13</v>
      </c>
      <c r="S60" s="317">
        <f>+Interims!W41</f>
        <v>18</v>
      </c>
    </row>
    <row r="61" spans="2:19" ht="13.9">
      <c r="B61" s="7" t="str">
        <f>+Interims!B43</f>
        <v>Penetration:</v>
      </c>
      <c r="C61" s="311"/>
      <c r="D61" s="311"/>
      <c r="E61" s="311"/>
      <c r="F61" s="311"/>
      <c r="G61" s="311"/>
      <c r="H61" s="311"/>
      <c r="I61" s="311"/>
      <c r="J61" s="311"/>
      <c r="K61" s="311"/>
      <c r="L61" s="311"/>
      <c r="M61" s="311"/>
      <c r="N61" s="311"/>
      <c r="O61" s="212"/>
      <c r="P61" s="311"/>
      <c r="Q61" s="311"/>
      <c r="R61" s="311"/>
      <c r="S61" s="311"/>
    </row>
    <row r="62" spans="2:19" ht="13.9">
      <c r="B62" s="212" t="str">
        <f>+Interims!B44</f>
        <v>Internet (RGUs as % of two-way upgraded homes connected)</v>
      </c>
      <c r="C62" s="318">
        <f>+Interims!E44</f>
        <v>0.159</v>
      </c>
      <c r="D62" s="318">
        <f>+Interims!F44</f>
        <v>0.16700000000000001</v>
      </c>
      <c r="E62" s="318">
        <f>+Interims!G44</f>
        <v>0.17599999999999999</v>
      </c>
      <c r="F62" s="318">
        <f>+Interims!H44</f>
        <v>0.185</v>
      </c>
      <c r="G62" s="318">
        <f>+Interims!J44</f>
        <v>0.192</v>
      </c>
      <c r="H62" s="318">
        <f>+Interims!K44</f>
        <v>0.19500000000000001</v>
      </c>
      <c r="I62" s="318">
        <f>+Interims!L44</f>
        <v>0.20054092428990283</v>
      </c>
      <c r="J62" s="318">
        <f>+Interims!M44</f>
        <v>0.20493715500622073</v>
      </c>
      <c r="K62" s="318">
        <f>+Interims!O44</f>
        <v>0.20899999999999999</v>
      </c>
      <c r="L62" s="318">
        <f>+Interims!P44</f>
        <v>0.21199999999999999</v>
      </c>
      <c r="M62" s="318">
        <f>+Interims!Q44</f>
        <v>0.219</v>
      </c>
      <c r="N62" s="318">
        <f>+Interims!R44</f>
        <v>0.20599999999999999</v>
      </c>
      <c r="O62" s="212"/>
      <c r="P62" s="318"/>
      <c r="Q62" s="318">
        <f>+Interims!U44</f>
        <v>0.21199999999999999</v>
      </c>
      <c r="R62" s="318">
        <f>+Interims!V44</f>
        <v>0.214</v>
      </c>
      <c r="S62" s="318">
        <f>+Interims!W44</f>
        <v>0.219</v>
      </c>
    </row>
    <row r="63" spans="2:19" ht="13.9">
      <c r="B63" s="212" t="str">
        <f>+Interims!B46</f>
        <v>% of bundles</v>
      </c>
      <c r="C63" s="318">
        <f>+Interims!E46</f>
        <v>0.69699999999999995</v>
      </c>
      <c r="D63" s="318">
        <f>+Interims!F46</f>
        <v>0.70599999999999996</v>
      </c>
      <c r="E63" s="318">
        <f>+Interims!G46</f>
        <v>0.71299999999999997</v>
      </c>
      <c r="F63" s="318">
        <f>+Interims!H46</f>
        <v>0.71899999999999997</v>
      </c>
      <c r="G63" s="318">
        <f>+Interims!J46</f>
        <v>0.72599999999999998</v>
      </c>
      <c r="H63" s="318">
        <f>+Interims!K46</f>
        <v>0.73</v>
      </c>
      <c r="I63" s="318">
        <f>+Interims!L46</f>
        <v>0.73</v>
      </c>
      <c r="J63" s="318">
        <f>+Interims!M46</f>
        <v>0.7302108411760414</v>
      </c>
      <c r="K63" s="318">
        <f>+Interims!O46</f>
        <v>0.72799999999999998</v>
      </c>
      <c r="L63" s="318">
        <f>+Interims!P46</f>
        <v>0.82699999999999996</v>
      </c>
      <c r="M63" s="318">
        <f>+Interims!Q46</f>
        <v>0.83</v>
      </c>
      <c r="N63" s="318">
        <f>+Interims!R46</f>
        <v>0.80300000000000005</v>
      </c>
      <c r="O63" s="212"/>
      <c r="P63" s="318"/>
      <c r="Q63" s="318">
        <f>+Interims!U46</f>
        <v>0.81699999999999995</v>
      </c>
      <c r="R63" s="318">
        <f>+Interims!V46</f>
        <v>0.81499999999999995</v>
      </c>
      <c r="S63" s="318">
        <f>+Interims!W46</f>
        <v>0.81200000000000006</v>
      </c>
    </row>
    <row r="64" spans="2:19" ht="13.9">
      <c r="B64" s="7" t="str">
        <f>+Interims!B48</f>
        <v>ARPU (€/month):</v>
      </c>
      <c r="C64" s="311"/>
      <c r="D64" s="311"/>
      <c r="E64" s="311"/>
      <c r="F64" s="311"/>
      <c r="G64" s="311"/>
      <c r="H64" s="311"/>
      <c r="I64" s="311"/>
      <c r="J64" s="311"/>
      <c r="K64" s="311"/>
      <c r="L64" s="311"/>
      <c r="M64" s="311"/>
      <c r="N64" s="311"/>
      <c r="O64" s="212"/>
      <c r="P64" s="311"/>
      <c r="Q64" s="311"/>
      <c r="R64" s="311"/>
      <c r="S64" s="311"/>
    </row>
    <row r="65" spans="2:19" ht="13.9">
      <c r="B65" s="212" t="str">
        <f>+Interims!B49</f>
        <v>Blended TV ARPU (per subscriber)</v>
      </c>
      <c r="C65" s="323">
        <f>+Interims!E49</f>
        <v>9.4</v>
      </c>
      <c r="D65" s="323">
        <f>+Interims!F49</f>
        <v>9.5</v>
      </c>
      <c r="E65" s="323">
        <f>+Interims!G49</f>
        <v>9.5</v>
      </c>
      <c r="F65" s="323">
        <f>+Interims!H49</f>
        <v>9.5</v>
      </c>
      <c r="G65" s="323">
        <f>+Interims!J49</f>
        <v>9.6</v>
      </c>
      <c r="H65" s="323">
        <f>+Interims!K49</f>
        <v>9.6</v>
      </c>
      <c r="I65" s="323">
        <f>+Interims!L49</f>
        <v>9.65</v>
      </c>
      <c r="J65" s="323">
        <f>+Interims!M49</f>
        <v>9.5749439353574477</v>
      </c>
      <c r="K65" s="323">
        <f>+Interims!O49</f>
        <v>9.2954812553859014</v>
      </c>
      <c r="L65" s="323">
        <f>+Interims!P49</f>
        <v>9.3000000000000007</v>
      </c>
      <c r="M65" s="323">
        <f>+Interims!Q49</f>
        <v>9.6999999999999993</v>
      </c>
      <c r="N65" s="323">
        <f>+Interims!R49</f>
        <v>9.6999999999999993</v>
      </c>
      <c r="O65" s="212"/>
      <c r="P65" s="323"/>
      <c r="Q65" s="323">
        <f>+Interims!U49</f>
        <v>9.4</v>
      </c>
      <c r="R65" s="323">
        <f>+Interims!V49</f>
        <v>9.3000000000000007</v>
      </c>
      <c r="S65" s="323">
        <f>+Interims!W49</f>
        <v>9.1999999999999993</v>
      </c>
    </row>
    <row r="66" spans="2:19" ht="13.9">
      <c r="B66" s="212" t="str">
        <f>+Interims!B50</f>
        <v>Blended Internet &amp; telephony ARPU (per internet RGU)</v>
      </c>
      <c r="C66" s="323">
        <f>+Interims!E50</f>
        <v>22.2</v>
      </c>
      <c r="D66" s="323">
        <f>+Interims!F50</f>
        <v>22.2</v>
      </c>
      <c r="E66" s="323">
        <f>+Interims!G50</f>
        <v>22.6</v>
      </c>
      <c r="F66" s="323">
        <f>+Interims!H50</f>
        <v>22.5</v>
      </c>
      <c r="G66" s="323">
        <f>+Interims!J50</f>
        <v>22.35</v>
      </c>
      <c r="H66" s="323">
        <f>+Interims!K50</f>
        <v>22.3</v>
      </c>
      <c r="I66" s="323">
        <f>+Interims!L50</f>
        <v>21.81</v>
      </c>
      <c r="J66" s="323">
        <f>+Interims!M50</f>
        <v>21.718238367461705</v>
      </c>
      <c r="K66" s="323">
        <f>+Interims!O50</f>
        <v>22.60633290642188</v>
      </c>
      <c r="L66" s="323">
        <f>+Interims!P50</f>
        <v>23.2</v>
      </c>
      <c r="M66" s="323">
        <f>+Interims!Q50</f>
        <v>22.9</v>
      </c>
      <c r="N66" s="323">
        <f>+Interims!R50</f>
        <v>22.7</v>
      </c>
      <c r="O66" s="212"/>
      <c r="P66" s="323"/>
      <c r="Q66" s="323">
        <f>+Interims!U50</f>
        <v>22.4</v>
      </c>
      <c r="R66" s="323">
        <f>+Interims!V50</f>
        <v>23.3</v>
      </c>
      <c r="S66" s="323">
        <f>+Interims!W50</f>
        <v>23.1</v>
      </c>
    </row>
    <row r="67" spans="2:19" ht="13.9">
      <c r="B67" s="212" t="str">
        <f>+Interims!B51</f>
        <v>Total blended ARPU</v>
      </c>
      <c r="C67" s="323">
        <f>+Interims!E51</f>
        <v>13</v>
      </c>
      <c r="D67" s="323">
        <f>+Interims!F51</f>
        <v>13.09</v>
      </c>
      <c r="E67" s="323">
        <f>+Interims!G51</f>
        <v>13.26</v>
      </c>
      <c r="F67" s="323">
        <f>+Interims!H51</f>
        <v>13.49</v>
      </c>
      <c r="G67" s="323">
        <f>+Interims!J51</f>
        <v>13.75</v>
      </c>
      <c r="H67" s="323">
        <f>+Interims!K51</f>
        <v>13.9</v>
      </c>
      <c r="I67" s="323">
        <f>+Interims!L51</f>
        <v>14.02</v>
      </c>
      <c r="J67" s="323">
        <f>+Interims!M51</f>
        <v>14.009802121574774</v>
      </c>
      <c r="K67" s="323">
        <f>+Interims!O51</f>
        <v>14.104895269336126</v>
      </c>
      <c r="L67" s="323">
        <f>+Interims!P51</f>
        <v>14.3</v>
      </c>
      <c r="M67" s="323">
        <f>+Interims!Q51</f>
        <v>14.9</v>
      </c>
      <c r="N67" s="323">
        <f>+Interims!R51</f>
        <v>15.6</v>
      </c>
      <c r="O67" s="212"/>
      <c r="P67" s="323"/>
      <c r="Q67" s="323">
        <f>+Interims!U51</f>
        <v>15.9</v>
      </c>
      <c r="R67" s="323">
        <f>+Interims!V51</f>
        <v>16.5</v>
      </c>
      <c r="S67" s="323">
        <f>+Interims!W51</f>
        <v>16.3</v>
      </c>
    </row>
    <row r="68" spans="2:19" ht="13.9">
      <c r="B68" s="7" t="e">
        <f>+Interims!#REF!</f>
        <v>#REF!</v>
      </c>
      <c r="C68" s="323"/>
      <c r="D68" s="323"/>
      <c r="E68" s="323"/>
      <c r="F68" s="323"/>
      <c r="G68" s="323"/>
      <c r="H68" s="323"/>
      <c r="I68" s="323"/>
      <c r="J68" s="323"/>
      <c r="K68" s="323"/>
      <c r="L68" s="323"/>
      <c r="M68" s="323"/>
      <c r="N68" s="323"/>
      <c r="O68" s="212"/>
      <c r="P68" s="323"/>
      <c r="Q68" s="323"/>
      <c r="R68" s="323"/>
      <c r="S68" s="323"/>
    </row>
    <row r="69" spans="2:19" ht="13.9">
      <c r="B69" s="212" t="e">
        <f>+Interims!#REF!</f>
        <v>#REF!</v>
      </c>
      <c r="C69" s="323"/>
      <c r="D69" s="323"/>
      <c r="E69" s="323"/>
      <c r="F69" s="323"/>
      <c r="G69" s="319" t="e">
        <f>+Interims!#REF!</f>
        <v>#REF!</v>
      </c>
      <c r="H69" s="319" t="e">
        <f>+Interims!#REF!</f>
        <v>#REF!</v>
      </c>
      <c r="I69" s="319" t="e">
        <f>+Interims!#REF!</f>
        <v>#REF!</v>
      </c>
      <c r="J69" s="319" t="e">
        <f>+Interims!#REF!</f>
        <v>#REF!</v>
      </c>
      <c r="K69" s="319" t="e">
        <f>+Interims!#REF!</f>
        <v>#REF!</v>
      </c>
      <c r="L69" s="319" t="e">
        <f>+Interims!#REF!</f>
        <v>#REF!</v>
      </c>
      <c r="M69" s="319" t="e">
        <f>+Interims!#REF!</f>
        <v>#REF!</v>
      </c>
      <c r="N69" s="319" t="e">
        <f>+Interims!#REF!</f>
        <v>#REF!</v>
      </c>
      <c r="O69" s="212"/>
      <c r="P69" s="319"/>
      <c r="Q69" s="319"/>
      <c r="R69" s="319"/>
      <c r="S69" s="319"/>
    </row>
    <row r="70" spans="2:19" ht="13.9">
      <c r="B70" s="212" t="e">
        <f>+Interims!#REF!</f>
        <v>#REF!</v>
      </c>
      <c r="C70" s="323"/>
      <c r="D70" s="323"/>
      <c r="E70" s="323"/>
      <c r="F70" s="323"/>
      <c r="G70" s="319" t="e">
        <f>+Interims!#REF!</f>
        <v>#REF!</v>
      </c>
      <c r="H70" s="319" t="e">
        <f>+Interims!#REF!</f>
        <v>#REF!</v>
      </c>
      <c r="I70" s="319" t="e">
        <f>+Interims!#REF!</f>
        <v>#REF!</v>
      </c>
      <c r="J70" s="319" t="e">
        <f>+Interims!#REF!</f>
        <v>#REF!</v>
      </c>
      <c r="K70" s="319" t="e">
        <f>+Interims!#REF!</f>
        <v>#REF!</v>
      </c>
      <c r="L70" s="319" t="e">
        <f>+Interims!#REF!</f>
        <v>#REF!</v>
      </c>
      <c r="M70" s="319" t="e">
        <f>+Interims!#REF!</f>
        <v>#REF!</v>
      </c>
      <c r="N70" s="319" t="e">
        <f>+Interims!#REF!</f>
        <v>#REF!</v>
      </c>
      <c r="O70" s="212"/>
      <c r="P70" s="319"/>
      <c r="Q70" s="319"/>
      <c r="R70" s="319"/>
      <c r="S70" s="319"/>
    </row>
    <row r="71" spans="2:19" ht="13.9">
      <c r="B71" s="212" t="e">
        <f>+Interims!#REF!</f>
        <v>#REF!</v>
      </c>
      <c r="C71" s="323"/>
      <c r="D71" s="323"/>
      <c r="E71" s="323"/>
      <c r="F71" s="323"/>
      <c r="G71" s="319" t="e">
        <f>+Interims!#REF!</f>
        <v>#REF!</v>
      </c>
      <c r="H71" s="319" t="e">
        <f>+Interims!#REF!</f>
        <v>#REF!</v>
      </c>
      <c r="I71" s="319" t="e">
        <f>+Interims!#REF!</f>
        <v>#REF!</v>
      </c>
      <c r="J71" s="319" t="e">
        <f>+Interims!#REF!</f>
        <v>#REF!</v>
      </c>
      <c r="K71" s="319" t="e">
        <f>+Interims!#REF!</f>
        <v>#REF!</v>
      </c>
      <c r="L71" s="319" t="e">
        <f>+Interims!#REF!</f>
        <v>#REF!</v>
      </c>
      <c r="M71" s="319" t="e">
        <f>+Interims!#REF!</f>
        <v>#REF!</v>
      </c>
      <c r="N71" s="319" t="e">
        <f>+Interims!#REF!</f>
        <v>#REF!</v>
      </c>
      <c r="O71" s="212"/>
      <c r="P71" s="319"/>
      <c r="Q71" s="319"/>
      <c r="R71" s="319"/>
      <c r="S71" s="319"/>
    </row>
    <row r="72" spans="2:19" ht="13.9">
      <c r="B72" s="212"/>
      <c r="C72" s="311"/>
      <c r="D72" s="311"/>
      <c r="E72" s="311"/>
      <c r="F72" s="311"/>
      <c r="G72" s="311"/>
      <c r="H72" s="311"/>
      <c r="I72" s="311"/>
      <c r="J72" s="311"/>
      <c r="K72" s="311"/>
      <c r="L72" s="311"/>
      <c r="M72" s="311"/>
      <c r="N72" s="311"/>
      <c r="O72" s="212"/>
      <c r="P72" s="311"/>
      <c r="Q72" s="311"/>
      <c r="R72" s="311"/>
      <c r="S72" s="311"/>
    </row>
    <row r="73" spans="2:19" ht="13.9">
      <c r="B73" s="208" t="str">
        <f>+Interims!B55</f>
        <v>€m</v>
      </c>
      <c r="C73" s="316" t="str">
        <f>+Interims!E55</f>
        <v>1Q13</v>
      </c>
      <c r="D73" s="316" t="str">
        <f>+Interims!F55</f>
        <v>2Q13</v>
      </c>
      <c r="E73" s="316" t="str">
        <f>+Interims!G55</f>
        <v>3Q13</v>
      </c>
      <c r="F73" s="316" t="str">
        <f>+Interims!H55</f>
        <v>4Q13</v>
      </c>
      <c r="G73" s="316" t="str">
        <f>+Interims!J55</f>
        <v>1Q14</v>
      </c>
      <c r="H73" s="316" t="str">
        <f>+Interims!K55</f>
        <v>2Q14</v>
      </c>
      <c r="I73" s="316" t="str">
        <f>+Interims!L55</f>
        <v>3Q14</v>
      </c>
      <c r="J73" s="316" t="str">
        <f>+Interims!M55</f>
        <v>4Q14</v>
      </c>
      <c r="K73" s="316" t="str">
        <f>+Interims!O55</f>
        <v>1Q15</v>
      </c>
      <c r="L73" s="316" t="str">
        <f>+Interims!P55</f>
        <v>2Q15</v>
      </c>
      <c r="M73" s="316" t="str">
        <f>+Interims!Q55</f>
        <v>3Q15</v>
      </c>
      <c r="N73" s="316" t="str">
        <f>+Interims!R55</f>
        <v>4Q15</v>
      </c>
      <c r="O73" s="212"/>
      <c r="P73" s="316" t="str">
        <f>+Interims!T55</f>
        <v>Q1 15</v>
      </c>
      <c r="Q73" s="316" t="str">
        <f>+Interims!U55</f>
        <v>Q1 16</v>
      </c>
      <c r="R73" s="316" t="str">
        <f>+Interims!V55</f>
        <v>Q2 16</v>
      </c>
      <c r="S73" s="316" t="str">
        <f>+Interims!W55</f>
        <v>Q3 16</v>
      </c>
    </row>
    <row r="74" spans="2:19" ht="13.9">
      <c r="B74" s="7" t="e">
        <f>+Interims!#REF!</f>
        <v>#REF!</v>
      </c>
      <c r="C74" s="311"/>
      <c r="D74" s="311"/>
      <c r="E74" s="311"/>
      <c r="F74" s="311"/>
      <c r="G74" s="311"/>
      <c r="H74" s="311"/>
      <c r="I74" s="311"/>
      <c r="J74" s="311"/>
      <c r="K74" s="311"/>
      <c r="L74" s="311"/>
      <c r="M74" s="311"/>
      <c r="N74" s="311"/>
      <c r="O74" s="212"/>
      <c r="P74" s="311"/>
      <c r="Q74" s="311"/>
      <c r="R74" s="311"/>
      <c r="S74" s="311"/>
    </row>
    <row r="75" spans="2:19" ht="13.9">
      <c r="B75" s="212" t="str">
        <f>+Interims!B62</f>
        <v>TV</v>
      </c>
      <c r="C75" s="321">
        <f>+Interims!E62</f>
        <v>35.680329999999998</v>
      </c>
      <c r="D75" s="321">
        <f>+Interims!F62</f>
        <v>37.136669999999995</v>
      </c>
      <c r="E75" s="321">
        <f>+Interims!G62</f>
        <v>35.701000000000008</v>
      </c>
      <c r="F75" s="321">
        <f>+Interims!H62</f>
        <v>36.443000000000012</v>
      </c>
      <c r="G75" s="321">
        <f>+Interims!J62</f>
        <v>35.6</v>
      </c>
      <c r="H75" s="321">
        <f>+Interims!K62</f>
        <v>35.5</v>
      </c>
      <c r="I75" s="321">
        <f>+Interims!L62</f>
        <v>35.853999999999992</v>
      </c>
      <c r="J75" s="321">
        <f>+Interims!M62</f>
        <v>35.620562780000029</v>
      </c>
      <c r="K75" s="321">
        <f>+Interims!O62</f>
        <v>34.238909587563164</v>
      </c>
      <c r="L75" s="321">
        <f>+Interims!P62</f>
        <v>33.700000000000003</v>
      </c>
      <c r="M75" s="321">
        <f>+Interims!Q62</f>
        <v>46.3</v>
      </c>
      <c r="N75" s="321">
        <f>+Interims!R62</f>
        <v>57.7</v>
      </c>
      <c r="O75" s="212"/>
      <c r="P75" s="321"/>
      <c r="Q75" s="321">
        <f>+Interims!U62</f>
        <v>66.3</v>
      </c>
      <c r="R75" s="321">
        <f>+Interims!V62</f>
        <v>65</v>
      </c>
      <c r="S75" s="321">
        <f>+Interims!W62</f>
        <v>64.400000000000006</v>
      </c>
    </row>
    <row r="76" spans="2:19" ht="13.9">
      <c r="B76" s="212" t="str">
        <f>+Interims!B63</f>
        <v>Internet &amp; Telephony</v>
      </c>
      <c r="C76" s="321">
        <f>+Interims!E63</f>
        <v>9.5868500000000001</v>
      </c>
      <c r="D76" s="321">
        <f>+Interims!F63</f>
        <v>9.9781500000000012</v>
      </c>
      <c r="E76" s="321">
        <f>+Interims!G63</f>
        <v>10.730786809999977</v>
      </c>
      <c r="F76" s="321">
        <f>+Interims!H63</f>
        <v>11.257213190000019</v>
      </c>
      <c r="G76" s="321">
        <f>+Interims!J63</f>
        <v>11.9</v>
      </c>
      <c r="H76" s="321">
        <f>+Interims!K63</f>
        <v>12.6</v>
      </c>
      <c r="I76" s="321">
        <f>+Interims!L63</f>
        <v>12.847897409999995</v>
      </c>
      <c r="J76" s="321">
        <f>+Interims!M63</f>
        <v>13.014689900000008</v>
      </c>
      <c r="K76" s="321">
        <f>+Interims!O63</f>
        <v>13.827043660000001</v>
      </c>
      <c r="L76" s="321">
        <f>+Interims!P63</f>
        <v>15.1</v>
      </c>
      <c r="M76" s="321">
        <f>+Interims!Q63</f>
        <v>21.4</v>
      </c>
      <c r="N76" s="321">
        <f>+Interims!R63</f>
        <v>27.4</v>
      </c>
      <c r="O76" s="212"/>
      <c r="P76" s="321"/>
      <c r="Q76" s="321">
        <f>+Interims!U63</f>
        <v>31.9</v>
      </c>
      <c r="R76" s="321">
        <f>+Interims!V63</f>
        <v>33</v>
      </c>
      <c r="S76" s="321">
        <f>+Interims!W63</f>
        <v>33.9</v>
      </c>
    </row>
    <row r="77" spans="2:19" ht="13.9">
      <c r="B77" s="212" t="str">
        <f>+Interims!B65</f>
        <v>Other revenue</v>
      </c>
      <c r="C77" s="321">
        <f>+Interims!E65</f>
        <v>4.8970599999999997</v>
      </c>
      <c r="D77" s="321">
        <f>+Interims!F65</f>
        <v>5.09694</v>
      </c>
      <c r="E77" s="321">
        <f>+Interims!G65</f>
        <v>4.6760000000000002</v>
      </c>
      <c r="F77" s="321">
        <f>+Interims!H65</f>
        <v>5.0179999999999989</v>
      </c>
      <c r="G77" s="321">
        <f>+Interims!J65</f>
        <v>4.9000000000000004</v>
      </c>
      <c r="H77" s="321">
        <f>+Interims!K65</f>
        <v>4.9000000000000004</v>
      </c>
      <c r="I77" s="321">
        <f>+Interims!L65</f>
        <v>5.202</v>
      </c>
      <c r="J77" s="321">
        <f>+Interims!M65</f>
        <v>5.0373845199999945</v>
      </c>
      <c r="K77" s="321">
        <f>+Interims!O65</f>
        <v>5.5492235400000007</v>
      </c>
      <c r="L77" s="321">
        <f>+Interims!P65</f>
        <v>5.5</v>
      </c>
      <c r="M77" s="321">
        <f>+Interims!Q65</f>
        <v>6.3</v>
      </c>
      <c r="N77" s="321">
        <f>+Interims!R65</f>
        <v>11.8</v>
      </c>
      <c r="O77" s="212"/>
      <c r="P77" s="321"/>
      <c r="Q77" s="321">
        <f>+Interims!U65</f>
        <v>17.899999999999999</v>
      </c>
      <c r="R77" s="321">
        <f>+Interims!V65</f>
        <v>21.9</v>
      </c>
      <c r="S77" s="321">
        <f>+Interims!W65</f>
        <v>19.899999999999999</v>
      </c>
    </row>
    <row r="78" spans="2:19" ht="13.9">
      <c r="B78" s="212" t="str">
        <f>+Interims!B66</f>
        <v>Total revenue</v>
      </c>
      <c r="C78" s="322">
        <f>+Interims!E66</f>
        <v>50.164239999999999</v>
      </c>
      <c r="D78" s="322">
        <f>+Interims!F66</f>
        <v>52.211759999999998</v>
      </c>
      <c r="E78" s="322">
        <f>+Interims!G66</f>
        <v>51.107786809999986</v>
      </c>
      <c r="F78" s="322">
        <f>+Interims!H66</f>
        <v>52.718213190000029</v>
      </c>
      <c r="G78" s="322">
        <f>+Interims!J66</f>
        <v>52.400000000000006</v>
      </c>
      <c r="H78" s="322">
        <f>+Interims!K66</f>
        <v>53</v>
      </c>
      <c r="I78" s="322">
        <f>+Interims!L66</f>
        <v>53.903897409999985</v>
      </c>
      <c r="J78" s="322">
        <f>+Interims!M66</f>
        <v>53.672637200000025</v>
      </c>
      <c r="K78" s="322">
        <f>+Interims!O66</f>
        <v>53.615176787563165</v>
      </c>
      <c r="L78" s="322">
        <f>+Interims!P66</f>
        <v>54.300000000000004</v>
      </c>
      <c r="M78" s="322">
        <f>+Interims!Q66</f>
        <v>74</v>
      </c>
      <c r="N78" s="322">
        <f>+Interims!R66</f>
        <v>96.9</v>
      </c>
      <c r="O78" s="212"/>
      <c r="P78" s="322">
        <f>+Interims!T66</f>
        <v>110.6</v>
      </c>
      <c r="Q78" s="322">
        <f>+Interims!U66</f>
        <v>116.1</v>
      </c>
      <c r="R78" s="322">
        <f>+Interims!V66</f>
        <v>119.9</v>
      </c>
      <c r="S78" s="322">
        <f>+Interims!W66</f>
        <v>118.2</v>
      </c>
    </row>
    <row r="79" spans="2:19" ht="13.9">
      <c r="B79" s="212" t="str">
        <f>+Interims!B86</f>
        <v>Normalised EBITDA</v>
      </c>
      <c r="C79" s="322">
        <f>+Interims!E86</f>
        <v>21.024920000000002</v>
      </c>
      <c r="D79" s="322">
        <f>+Interims!F86</f>
        <v>21.883079999999993</v>
      </c>
      <c r="E79" s="322">
        <f>+Interims!G86</f>
        <v>23.378313569999985</v>
      </c>
      <c r="F79" s="322">
        <f>+Interims!H86</f>
        <v>21.783686430000039</v>
      </c>
      <c r="G79" s="322">
        <f>+Interims!J86</f>
        <v>21.700000000000006</v>
      </c>
      <c r="H79" s="322">
        <f>+Interims!K86</f>
        <v>25.4</v>
      </c>
      <c r="I79" s="322">
        <f>+Interims!L86</f>
        <v>25.71347295999999</v>
      </c>
      <c r="J79" s="322">
        <f>+Interims!M86</f>
        <v>25.990195639896069</v>
      </c>
      <c r="K79" s="322">
        <f>+Interims!O86</f>
        <v>24.395153703194065</v>
      </c>
      <c r="L79" s="322">
        <f>+Interims!P86</f>
        <v>27.700000000000017</v>
      </c>
      <c r="M79" s="322">
        <f>+Interims!Q86</f>
        <v>36.999999999999993</v>
      </c>
      <c r="N79" s="322">
        <f>+Interims!R86</f>
        <v>51.900000000000013</v>
      </c>
      <c r="O79" s="212"/>
      <c r="P79" s="322">
        <f>+Interims!T86</f>
        <v>51.6</v>
      </c>
      <c r="Q79" s="322">
        <f>+Interims!U86</f>
        <v>56.415450489999984</v>
      </c>
      <c r="R79" s="322">
        <f>+Interims!V86</f>
        <v>59.05868808000001</v>
      </c>
      <c r="S79" s="322">
        <f>+Interims!W86</f>
        <v>63.59999999999998</v>
      </c>
    </row>
    <row r="80" spans="2:19" ht="13.9">
      <c r="B80" s="212" t="str">
        <f>+Interims!B87</f>
        <v>% margin</v>
      </c>
      <c r="C80" s="319">
        <f>+Interims!E87</f>
        <v>0.41912166914120502</v>
      </c>
      <c r="D80" s="319">
        <f>+Interims!F87</f>
        <v>0.41912166914120486</v>
      </c>
      <c r="E80" s="319">
        <f>+Interims!G87</f>
        <v>0.45743153889468907</v>
      </c>
      <c r="F80" s="319">
        <f>+Interims!H87</f>
        <v>0.41320987779859208</v>
      </c>
      <c r="G80" s="319">
        <f>+Interims!J87</f>
        <v>0.4141221374045802</v>
      </c>
      <c r="H80" s="319">
        <f>+Interims!K87</f>
        <v>0.47924528301886787</v>
      </c>
      <c r="I80" s="319">
        <f>+Interims!L87</f>
        <v>0.47702437477609466</v>
      </c>
      <c r="J80" s="319">
        <f>+Interims!M87</f>
        <v>0.48423548749894585</v>
      </c>
      <c r="K80" s="319">
        <f>+Interims!O87</f>
        <v>0.45500463049583534</v>
      </c>
      <c r="L80" s="319">
        <f>+Interims!P87</f>
        <v>0.51012891344383082</v>
      </c>
      <c r="M80" s="319">
        <f>+Interims!Q87</f>
        <v>0.49999999999999989</v>
      </c>
      <c r="N80" s="319">
        <f>+Interims!R87</f>
        <v>0.53560371517027872</v>
      </c>
      <c r="O80" s="212"/>
      <c r="P80" s="319">
        <f>+Interims!T87</f>
        <v>0.46654611211573238</v>
      </c>
      <c r="Q80" s="319">
        <f>+Interims!U87</f>
        <v>0.48592119285099039</v>
      </c>
      <c r="R80" s="319">
        <f>+Interims!V87</f>
        <v>0.49256620583819855</v>
      </c>
      <c r="S80" s="319">
        <f>+Interims!W87</f>
        <v>0.53807106598984755</v>
      </c>
    </row>
    <row r="81" spans="2:19" ht="13.9">
      <c r="B81" s="212" t="str">
        <f>+Interims!B95</f>
        <v>Non-recurring items</v>
      </c>
      <c r="C81" s="321">
        <f>+Interims!E95</f>
        <v>-0.73499999999999999</v>
      </c>
      <c r="D81" s="321">
        <f>+Interims!F95</f>
        <v>-0.76500000000000001</v>
      </c>
      <c r="E81" s="321">
        <f>+Interims!G95</f>
        <v>-2.032</v>
      </c>
      <c r="F81" s="321">
        <f>+Interims!H95</f>
        <v>6.6609999999999996</v>
      </c>
      <c r="G81" s="321">
        <f>+Interims!J95</f>
        <v>-0.6</v>
      </c>
      <c r="H81" s="321">
        <f>+Interims!K95</f>
        <v>-2.8</v>
      </c>
      <c r="I81" s="321">
        <f>+Interims!L95</f>
        <v>-4.6849999999999996</v>
      </c>
      <c r="J81" s="321">
        <f>+Interims!M95</f>
        <v>-6.7562998199999971</v>
      </c>
      <c r="K81" s="321">
        <f>+Interims!O95</f>
        <v>-4.3</v>
      </c>
      <c r="L81" s="321">
        <f>+Interims!P95</f>
        <v>-2.1</v>
      </c>
      <c r="M81" s="321">
        <f>+Interims!Q95</f>
        <v>-14.2</v>
      </c>
      <c r="N81" s="321">
        <f>+Interims!R95</f>
        <v>-47.5</v>
      </c>
      <c r="O81" s="212"/>
      <c r="P81" s="321">
        <f>+Interims!T95</f>
        <v>-8.1999999999999993</v>
      </c>
      <c r="Q81" s="321">
        <f>+Interims!U95</f>
        <v>-10.39837681</v>
      </c>
      <c r="R81" s="321">
        <f>+Interims!V95</f>
        <v>-12.653965719999999</v>
      </c>
      <c r="S81" s="321">
        <f>+Interims!W95</f>
        <v>-6.4</v>
      </c>
    </row>
    <row r="82" spans="2:19" ht="13.9">
      <c r="B82" s="212" t="str">
        <f>+Interims!B96</f>
        <v>Reported EBITDA</v>
      </c>
      <c r="C82" s="322">
        <f>+Interims!E96</f>
        <v>20.289920000000002</v>
      </c>
      <c r="D82" s="322">
        <f>+Interims!F96</f>
        <v>21.118079999999992</v>
      </c>
      <c r="E82" s="322">
        <f>+Interims!G96</f>
        <v>21.346313569999985</v>
      </c>
      <c r="F82" s="322">
        <f>+Interims!H96</f>
        <v>28.44468643000004</v>
      </c>
      <c r="G82" s="322">
        <f>+Interims!J96</f>
        <v>21.100000000000005</v>
      </c>
      <c r="H82" s="322">
        <f>+Interims!K96</f>
        <v>22.599999999999998</v>
      </c>
      <c r="I82" s="322">
        <f>+Interims!L96</f>
        <v>21.028472959999991</v>
      </c>
      <c r="J82" s="322">
        <f>+Interims!M96</f>
        <v>19.23389581989607</v>
      </c>
      <c r="K82" s="322">
        <f>+Interims!O96</f>
        <v>20.095153703194065</v>
      </c>
      <c r="L82" s="322">
        <f>+Interims!P96</f>
        <v>25.600000000000016</v>
      </c>
      <c r="M82" s="322">
        <f>+Interims!Q96</f>
        <v>22.799999999999994</v>
      </c>
      <c r="N82" s="322">
        <f>+Interims!R96</f>
        <v>4.4000000000000128</v>
      </c>
      <c r="O82" s="212"/>
      <c r="P82" s="322">
        <f>+Interims!T96</f>
        <v>43.400000000000006</v>
      </c>
      <c r="Q82" s="322">
        <f>+Interims!U96</f>
        <v>46.017073679999982</v>
      </c>
      <c r="R82" s="322">
        <f>+Interims!V96</f>
        <v>46.404722360000008</v>
      </c>
      <c r="S82" s="322">
        <f>+Interims!W96</f>
        <v>57.199999999999982</v>
      </c>
    </row>
    <row r="83" spans="2:19" ht="13.9">
      <c r="B83" s="212" t="str">
        <f>+Interims!B97</f>
        <v>% margin</v>
      </c>
      <c r="C83" s="319">
        <f>+Interims!E97</f>
        <v>0.40446979760881463</v>
      </c>
      <c r="D83" s="319">
        <f>+Interims!F97</f>
        <v>0.40446979760881441</v>
      </c>
      <c r="E83" s="319">
        <f>+Interims!G97</f>
        <v>0.41767243119639974</v>
      </c>
      <c r="F83" s="319">
        <f>+Interims!H97</f>
        <v>0.5395608976253321</v>
      </c>
      <c r="G83" s="319">
        <f>+Interims!J97</f>
        <v>0.40267175572519087</v>
      </c>
      <c r="H83" s="319">
        <f>+Interims!K97</f>
        <v>0.4264150943396226</v>
      </c>
      <c r="I83" s="319">
        <f>+Interims!L97</f>
        <v>0.39011043672880863</v>
      </c>
      <c r="J83" s="319">
        <f>+Interims!M97</f>
        <v>0.35835570643240278</v>
      </c>
      <c r="K83" s="319">
        <f>+Interims!O97</f>
        <v>0.37480345878213039</v>
      </c>
      <c r="L83" s="319">
        <f>+Interims!P97</f>
        <v>0.47145488029465954</v>
      </c>
      <c r="M83" s="319">
        <f>+Interims!Q97</f>
        <v>0.30810810810810801</v>
      </c>
      <c r="N83" s="319">
        <f>+Interims!R97</f>
        <v>4.5407636738906215E-2</v>
      </c>
      <c r="O83" s="212"/>
      <c r="P83" s="319">
        <f>+Interims!T97</f>
        <v>0.39240506329113933</v>
      </c>
      <c r="Q83" s="319">
        <f>+Interims!U97</f>
        <v>0.39635722377260968</v>
      </c>
      <c r="R83" s="319">
        <f>+Interims!V97</f>
        <v>0.38702854345287746</v>
      </c>
      <c r="S83" s="319">
        <f>+Interims!W97</f>
        <v>0.48392554991539749</v>
      </c>
    </row>
    <row r="84" spans="2:19" ht="13.9">
      <c r="B84" s="212" t="str">
        <f>+Interims!B127</f>
        <v>CAPEX</v>
      </c>
      <c r="C84" s="321">
        <f>+Interims!E127</f>
        <v>7.5923683520094984</v>
      </c>
      <c r="D84" s="321">
        <f>+Interims!F127</f>
        <v>7.9022609378058055</v>
      </c>
      <c r="E84" s="321">
        <f>+Interims!G127</f>
        <v>11.151360631144463</v>
      </c>
      <c r="F84" s="321">
        <f>+Interims!H127</f>
        <v>24.854010079040233</v>
      </c>
      <c r="G84" s="321">
        <f>+Interims!J127</f>
        <v>6</v>
      </c>
      <c r="H84" s="321">
        <f>+Interims!K127</f>
        <v>12.5</v>
      </c>
      <c r="I84" s="321">
        <f>+Interims!L127</f>
        <v>21.4732167397413</v>
      </c>
      <c r="J84" s="321">
        <f>+Interims!M127</f>
        <v>44.056355217532484</v>
      </c>
      <c r="K84" s="321">
        <f>+Interims!O127</f>
        <v>14.694021029999998</v>
      </c>
      <c r="L84" s="321">
        <f>+Interims!P127</f>
        <v>23.4</v>
      </c>
      <c r="M84" s="321">
        <f>+Interims!Q127</f>
        <v>21</v>
      </c>
      <c r="N84" s="321">
        <f>+Interims!R127</f>
        <v>54.1</v>
      </c>
      <c r="O84" s="212"/>
      <c r="P84" s="321"/>
      <c r="Q84" s="321">
        <f>+Interims!U127</f>
        <v>19.5</v>
      </c>
      <c r="R84" s="321">
        <f>+Interims!V127</f>
        <v>28.3</v>
      </c>
      <c r="S84" s="321">
        <f>+Interims!W127</f>
        <v>31.1</v>
      </c>
    </row>
    <row r="85" spans="2:19" ht="13.9">
      <c r="B85" s="212" t="str">
        <f>+Interims!B128</f>
        <v>% of revenues</v>
      </c>
      <c r="C85" s="319">
        <f>+Interims!E128</f>
        <v>0.15135021186425826</v>
      </c>
      <c r="D85" s="319">
        <f>+Interims!F128</f>
        <v>0.15135021186425829</v>
      </c>
      <c r="E85" s="319">
        <f>+Interims!G128</f>
        <v>0.21819298637605133</v>
      </c>
      <c r="F85" s="319">
        <f>+Interims!H128</f>
        <v>0.47145016067719686</v>
      </c>
      <c r="G85" s="319">
        <f>+Interims!J128</f>
        <v>0.11450381679389311</v>
      </c>
      <c r="H85" s="319">
        <f>+Interims!K128</f>
        <v>0.23584905660377359</v>
      </c>
      <c r="I85" s="319">
        <f>+Interims!L128</f>
        <v>0.39836111619932135</v>
      </c>
      <c r="J85" s="319">
        <f>+Interims!M128</f>
        <v>0.820834553990063</v>
      </c>
      <c r="K85" s="319">
        <f>+Interims!O128</f>
        <v>0.27406458227716773</v>
      </c>
      <c r="L85" s="319">
        <f>+Interims!P128</f>
        <v>0.43093922651933697</v>
      </c>
      <c r="M85" s="319">
        <f>+Interims!Q128</f>
        <v>0.28378378378378377</v>
      </c>
      <c r="N85" s="319">
        <f>+Interims!R128</f>
        <v>0.55830753353973162</v>
      </c>
      <c r="O85" s="212"/>
      <c r="P85" s="319"/>
      <c r="Q85" s="319">
        <f>+Interims!U128</f>
        <v>0.16795865633074936</v>
      </c>
      <c r="R85" s="319">
        <f>+Interims!V128</f>
        <v>0.23603002502085071</v>
      </c>
      <c r="S85" s="319">
        <f>+Interims!W128</f>
        <v>0.26311336717428091</v>
      </c>
    </row>
    <row r="86" spans="2:19" ht="13.9">
      <c r="B86" s="212" t="str">
        <f>+Interims!B134</f>
        <v>Cash normalised OpFCF</v>
      </c>
      <c r="C86" s="321">
        <f>+Interims!E134</f>
        <v>13.432551647990504</v>
      </c>
      <c r="D86" s="321">
        <f>+Interims!F134</f>
        <v>13.980819062194186</v>
      </c>
      <c r="E86" s="321">
        <f>+Interims!G134</f>
        <v>12.226952938855522</v>
      </c>
      <c r="F86" s="321">
        <f>+Interims!H134</f>
        <v>-3.0703236490401942</v>
      </c>
      <c r="G86" s="321">
        <f>+Interims!J134</f>
        <v>15.700000000000006</v>
      </c>
      <c r="H86" s="321">
        <f>+Interims!K134</f>
        <v>12.899999999999999</v>
      </c>
      <c r="I86" s="321">
        <f>+Interims!L134</f>
        <v>4.24025622025869</v>
      </c>
      <c r="J86" s="321">
        <f>+Interims!M134</f>
        <v>-18.066159577636416</v>
      </c>
      <c r="K86" s="321">
        <f>+Interims!O134</f>
        <v>9.701132673194067</v>
      </c>
      <c r="L86" s="321">
        <f>+Interims!P134</f>
        <v>4.3000000000000185</v>
      </c>
      <c r="M86" s="321">
        <f>+Interims!Q134</f>
        <v>15.999999999999993</v>
      </c>
      <c r="N86" s="321">
        <f>+Interims!R134</f>
        <v>-2.1999999999999886</v>
      </c>
      <c r="O86" s="212"/>
      <c r="P86" s="321"/>
      <c r="Q86" s="321">
        <f>+Interims!U134</f>
        <v>36.915450489999984</v>
      </c>
      <c r="R86" s="321">
        <f>+Interims!V134</f>
        <v>30.75868808000001</v>
      </c>
      <c r="S86" s="321">
        <f>+Interims!W134</f>
        <v>32.499999999999979</v>
      </c>
    </row>
    <row r="87" spans="2:19" ht="13.9">
      <c r="B87" s="212"/>
      <c r="C87" s="317"/>
      <c r="D87" s="317"/>
      <c r="E87" s="317"/>
      <c r="F87" s="317"/>
      <c r="G87" s="317"/>
      <c r="H87" s="317"/>
      <c r="I87" s="317"/>
      <c r="J87" s="317"/>
      <c r="K87" s="317"/>
      <c r="L87" s="317"/>
      <c r="M87" s="317"/>
      <c r="N87" s="317"/>
      <c r="O87" s="212"/>
      <c r="P87" s="317"/>
      <c r="Q87" s="317"/>
      <c r="R87" s="317"/>
      <c r="S87" s="317"/>
    </row>
    <row r="88" spans="2:19" ht="13.9">
      <c r="B88" s="212" t="e">
        <f>+Interims!#REF!</f>
        <v>#REF!</v>
      </c>
      <c r="C88" s="317"/>
      <c r="D88" s="317"/>
      <c r="E88" s="317"/>
      <c r="F88" s="317"/>
      <c r="G88" s="319" t="e">
        <f>+Interims!#REF!</f>
        <v>#REF!</v>
      </c>
      <c r="H88" s="319" t="e">
        <f>+Interims!#REF!</f>
        <v>#REF!</v>
      </c>
      <c r="I88" s="319" t="e">
        <f>+Interims!#REF!</f>
        <v>#REF!</v>
      </c>
      <c r="J88" s="319" t="e">
        <f>+Interims!#REF!</f>
        <v>#REF!</v>
      </c>
      <c r="K88" s="319" t="e">
        <f>+Interims!#REF!</f>
        <v>#REF!</v>
      </c>
      <c r="L88" s="319" t="e">
        <f>+Interims!#REF!</f>
        <v>#REF!</v>
      </c>
      <c r="M88" s="319" t="e">
        <f>+Interims!#REF!</f>
        <v>#REF!</v>
      </c>
      <c r="N88" s="319" t="e">
        <f>+Interims!#REF!</f>
        <v>#REF!</v>
      </c>
      <c r="O88" s="212"/>
      <c r="P88" s="319"/>
      <c r="Q88" s="319" t="e">
        <f>+Interims!#REF!</f>
        <v>#REF!</v>
      </c>
      <c r="R88" s="319" t="e">
        <f>+Interims!#REF!</f>
        <v>#REF!</v>
      </c>
      <c r="S88" s="319" t="e">
        <f>+Interims!#REF!</f>
        <v>#REF!</v>
      </c>
    </row>
    <row r="89" spans="2:19" ht="13.9">
      <c r="B89" s="212" t="e">
        <f>+Interims!#REF!</f>
        <v>#REF!</v>
      </c>
      <c r="C89" s="317"/>
      <c r="D89" s="317"/>
      <c r="E89" s="317"/>
      <c r="F89" s="317"/>
      <c r="G89" s="319" t="e">
        <f>+Interims!#REF!</f>
        <v>#REF!</v>
      </c>
      <c r="H89" s="319" t="e">
        <f>+Interims!#REF!</f>
        <v>#REF!</v>
      </c>
      <c r="I89" s="319" t="e">
        <f>+Interims!#REF!</f>
        <v>#REF!</v>
      </c>
      <c r="J89" s="319" t="e">
        <f>+Interims!#REF!</f>
        <v>#REF!</v>
      </c>
      <c r="K89" s="319" t="e">
        <f>+Interims!#REF!</f>
        <v>#REF!</v>
      </c>
      <c r="L89" s="319" t="e">
        <f>+Interims!#REF!</f>
        <v>#REF!</v>
      </c>
      <c r="M89" s="319" t="e">
        <f>+Interims!#REF!</f>
        <v>#REF!</v>
      </c>
      <c r="N89" s="319" t="e">
        <f>+Interims!#REF!</f>
        <v>#REF!</v>
      </c>
      <c r="O89" s="212"/>
      <c r="P89" s="319"/>
      <c r="Q89" s="319" t="e">
        <f>+Interims!#REF!</f>
        <v>#REF!</v>
      </c>
      <c r="R89" s="319" t="e">
        <f>+Interims!#REF!</f>
        <v>#REF!</v>
      </c>
      <c r="S89" s="319" t="e">
        <f>+Interims!#REF!</f>
        <v>#REF!</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2:C63"/>
  <sheetViews>
    <sheetView workbookViewId="0"/>
  </sheetViews>
  <sheetFormatPr defaultColWidth="9.1328125" defaultRowHeight="12.75"/>
  <cols>
    <col min="1" max="1" width="2.6640625" customWidth="1"/>
    <col min="2" max="2" width="38.1328125" customWidth="1"/>
    <col min="3" max="3" width="90.6640625" style="1" customWidth="1"/>
    <col min="4" max="4" width="2.6640625" customWidth="1"/>
  </cols>
  <sheetData>
    <row r="2" spans="2:3" ht="13.15">
      <c r="B2" s="625"/>
      <c r="C2" s="625" t="s">
        <v>150</v>
      </c>
    </row>
    <row r="3" spans="2:3" ht="13.15">
      <c r="B3" s="621" t="s">
        <v>72</v>
      </c>
      <c r="C3" s="622"/>
    </row>
    <row r="4" spans="2:3" ht="13.15">
      <c r="B4" s="623"/>
      <c r="C4" s="624"/>
    </row>
    <row r="5" spans="2:3" ht="13.15">
      <c r="B5" s="628" t="s">
        <v>168</v>
      </c>
      <c r="C5" s="628"/>
    </row>
    <row r="6" spans="2:3" ht="63.75">
      <c r="B6" s="626" t="s">
        <v>143</v>
      </c>
      <c r="C6" s="627" t="s">
        <v>144</v>
      </c>
    </row>
    <row r="7" spans="2:3" ht="13.15">
      <c r="B7" s="626"/>
      <c r="C7" s="627"/>
    </row>
    <row r="8" spans="2:3" ht="13.15">
      <c r="B8" s="626" t="s">
        <v>145</v>
      </c>
      <c r="C8" s="627" t="s">
        <v>146</v>
      </c>
    </row>
    <row r="9" spans="2:3" ht="13.15">
      <c r="B9" s="626"/>
      <c r="C9" s="627"/>
    </row>
    <row r="10" spans="2:3" ht="25.5">
      <c r="B10" s="626" t="s">
        <v>147</v>
      </c>
      <c r="C10" s="627" t="s">
        <v>148</v>
      </c>
    </row>
    <row r="11" spans="2:3" ht="13.15">
      <c r="B11" s="626"/>
      <c r="C11" s="627"/>
    </row>
    <row r="12" spans="2:3" ht="13.15">
      <c r="B12" s="626" t="s">
        <v>81</v>
      </c>
      <c r="C12" s="627" t="s">
        <v>179</v>
      </c>
    </row>
    <row r="13" spans="2:3" ht="13.15">
      <c r="B13" s="626"/>
      <c r="C13" s="627"/>
    </row>
    <row r="14" spans="2:3" ht="25.5">
      <c r="B14" s="626" t="s">
        <v>82</v>
      </c>
      <c r="C14" s="627" t="s">
        <v>180</v>
      </c>
    </row>
    <row r="15" spans="2:3" ht="13.15">
      <c r="B15" s="626"/>
      <c r="C15" s="627"/>
    </row>
    <row r="16" spans="2:3" ht="25.5">
      <c r="B16" s="626" t="s">
        <v>83</v>
      </c>
      <c r="C16" s="627" t="s">
        <v>149</v>
      </c>
    </row>
    <row r="17" spans="2:3" ht="13.15">
      <c r="B17" s="626"/>
      <c r="C17" s="627"/>
    </row>
    <row r="18" spans="2:3" ht="38.25">
      <c r="B18" s="626" t="s">
        <v>75</v>
      </c>
      <c r="C18" s="627" t="s">
        <v>177</v>
      </c>
    </row>
    <row r="19" spans="2:3" ht="13.15">
      <c r="B19" s="626"/>
      <c r="C19" s="627"/>
    </row>
    <row r="20" spans="2:3" ht="13.15">
      <c r="B20" s="628" t="s">
        <v>161</v>
      </c>
      <c r="C20" s="628"/>
    </row>
    <row r="21" spans="2:3" ht="25.5">
      <c r="B21" s="626" t="s">
        <v>162</v>
      </c>
      <c r="C21" s="627" t="s">
        <v>163</v>
      </c>
    </row>
    <row r="22" spans="2:3" ht="13.15">
      <c r="B22" s="626"/>
      <c r="C22" s="627"/>
    </row>
    <row r="23" spans="2:3" ht="25.5">
      <c r="B23" s="626" t="s">
        <v>164</v>
      </c>
      <c r="C23" s="627" t="s">
        <v>165</v>
      </c>
    </row>
    <row r="24" spans="2:3" ht="13.15">
      <c r="B24" s="626"/>
      <c r="C24" s="627"/>
    </row>
    <row r="25" spans="2:3" ht="13.15">
      <c r="B25" s="626" t="s">
        <v>166</v>
      </c>
      <c r="C25" s="627" t="s">
        <v>167</v>
      </c>
    </row>
    <row r="26" spans="2:3" ht="13.15">
      <c r="B26" s="626"/>
      <c r="C26" s="627"/>
    </row>
    <row r="27" spans="2:3" ht="25.5">
      <c r="B27" s="626" t="s">
        <v>169</v>
      </c>
      <c r="C27" s="627" t="s">
        <v>178</v>
      </c>
    </row>
    <row r="28" spans="2:3" ht="13.15">
      <c r="B28" s="626"/>
      <c r="C28" s="627"/>
    </row>
    <row r="29" spans="2:3" ht="13.15">
      <c r="B29" s="628" t="s">
        <v>170</v>
      </c>
      <c r="C29" s="628"/>
    </row>
    <row r="30" spans="2:3" ht="13.15">
      <c r="B30" s="626" t="s">
        <v>171</v>
      </c>
      <c r="C30" s="627" t="s">
        <v>172</v>
      </c>
    </row>
    <row r="31" spans="2:3" ht="13.15">
      <c r="B31" s="626"/>
      <c r="C31" s="627"/>
    </row>
    <row r="32" spans="2:3" ht="25.5">
      <c r="B32" s="626" t="s">
        <v>173</v>
      </c>
      <c r="C32" s="627" t="s">
        <v>174</v>
      </c>
    </row>
    <row r="33" spans="2:3" ht="13.15">
      <c r="B33" s="626"/>
      <c r="C33" s="627"/>
    </row>
    <row r="34" spans="2:3" ht="25.5">
      <c r="B34" s="626" t="s">
        <v>175</v>
      </c>
      <c r="C34" s="627" t="s">
        <v>176</v>
      </c>
    </row>
    <row r="35" spans="2:3" ht="13.15">
      <c r="B35" s="626"/>
      <c r="C35" s="627"/>
    </row>
    <row r="36" spans="2:3" ht="13.15">
      <c r="B36" s="626" t="s">
        <v>188</v>
      </c>
      <c r="C36" s="627" t="s">
        <v>1314</v>
      </c>
    </row>
    <row r="37" spans="2:3" ht="13.15">
      <c r="B37" s="626"/>
      <c r="C37" s="627"/>
    </row>
    <row r="38" spans="2:3" ht="13.15">
      <c r="B38" s="626" t="s">
        <v>190</v>
      </c>
      <c r="C38" s="627" t="s">
        <v>1315</v>
      </c>
    </row>
    <row r="39" spans="2:3" ht="13.15">
      <c r="B39" s="626"/>
      <c r="C39" s="627"/>
    </row>
    <row r="40" spans="2:3" ht="13.15">
      <c r="B40" s="626" t="s">
        <v>1316</v>
      </c>
      <c r="C40" s="627" t="s">
        <v>1317</v>
      </c>
    </row>
    <row r="41" spans="2:3" ht="13.15">
      <c r="B41" s="626"/>
      <c r="C41" s="627"/>
    </row>
    <row r="42" spans="2:3" ht="25.5">
      <c r="B42" s="626" t="s">
        <v>1318</v>
      </c>
      <c r="C42" s="627" t="s">
        <v>1319</v>
      </c>
    </row>
    <row r="43" spans="2:3" ht="13.15">
      <c r="B43" s="626"/>
      <c r="C43" s="627"/>
    </row>
    <row r="44" spans="2:3" ht="13.15">
      <c r="B44" s="626" t="s">
        <v>1320</v>
      </c>
      <c r="C44" s="627" t="s">
        <v>1321</v>
      </c>
    </row>
    <row r="45" spans="2:3" ht="13.15">
      <c r="B45" s="626"/>
      <c r="C45" s="627"/>
    </row>
    <row r="46" spans="2:3" ht="13.15">
      <c r="B46" s="626" t="s">
        <v>1322</v>
      </c>
      <c r="C46" s="627" t="s">
        <v>1323</v>
      </c>
    </row>
    <row r="47" spans="2:3" ht="13.15">
      <c r="B47" s="626"/>
      <c r="C47" s="627"/>
    </row>
    <row r="48" spans="2:3">
      <c r="B48" t="s">
        <v>195</v>
      </c>
      <c r="C48"/>
    </row>
    <row r="63" spans="1:1">
      <c r="A63" s="1"/>
    </row>
  </sheetData>
  <pageMargins left="0.7" right="0.7" top="0.75" bottom="0.75" header="0.3" footer="0.3"/>
  <pageSetup paperSize="9" scale="99"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T136"/>
  <sheetViews>
    <sheetView workbookViewId="0"/>
  </sheetViews>
  <sheetFormatPr defaultRowHeight="12.75"/>
  <cols>
    <col min="1" max="1" width="31" customWidth="1"/>
    <col min="2" max="3" width="11" bestFit="1" customWidth="1"/>
    <col min="6" max="6" width="4.46484375" customWidth="1"/>
    <col min="11" max="11" width="14.53125" customWidth="1"/>
    <col min="12" max="12" width="3.6640625" customWidth="1"/>
    <col min="17" max="17" width="14.53125" customWidth="1"/>
  </cols>
  <sheetData>
    <row r="1" spans="1:20" ht="13.9">
      <c r="A1" s="111"/>
      <c r="B1" s="112"/>
      <c r="C1" s="113"/>
      <c r="D1" s="113"/>
      <c r="E1" s="113"/>
      <c r="F1" s="113"/>
      <c r="G1" s="114" t="s">
        <v>199</v>
      </c>
      <c r="H1" s="114" t="s">
        <v>200</v>
      </c>
      <c r="I1" s="114" t="s">
        <v>201</v>
      </c>
      <c r="J1" s="114" t="s">
        <v>202</v>
      </c>
      <c r="K1" s="115" t="s">
        <v>398</v>
      </c>
      <c r="L1" s="116"/>
      <c r="M1" s="114" t="s">
        <v>199</v>
      </c>
      <c r="N1" s="114" t="s">
        <v>200</v>
      </c>
      <c r="O1" s="114" t="s">
        <v>201</v>
      </c>
      <c r="P1" s="114" t="s">
        <v>202</v>
      </c>
      <c r="Q1" s="115" t="s">
        <v>398</v>
      </c>
    </row>
    <row r="2" spans="1:20" ht="13.9">
      <c r="A2" s="112"/>
      <c r="B2" s="114" t="s">
        <v>399</v>
      </c>
      <c r="C2" s="114" t="s">
        <v>357</v>
      </c>
      <c r="D2" s="114" t="s">
        <v>316</v>
      </c>
      <c r="E2" s="114" t="s">
        <v>400</v>
      </c>
      <c r="F2" s="114"/>
      <c r="G2" s="1374" t="s">
        <v>318</v>
      </c>
      <c r="H2" s="1374"/>
      <c r="I2" s="1374"/>
      <c r="J2" s="1374"/>
      <c r="K2" s="114"/>
      <c r="L2" s="116"/>
      <c r="M2" s="1374" t="s">
        <v>337</v>
      </c>
      <c r="N2" s="1374"/>
      <c r="O2" s="1374"/>
      <c r="P2" s="1374"/>
      <c r="Q2" s="114"/>
    </row>
    <row r="3" spans="1:20" ht="13.9">
      <c r="A3" s="117" t="s">
        <v>401</v>
      </c>
      <c r="B3" s="118" t="s">
        <v>874</v>
      </c>
      <c r="C3" s="118" t="s">
        <v>875</v>
      </c>
      <c r="D3" s="119">
        <v>-0.34377330350484714</v>
      </c>
      <c r="E3" s="118" t="s">
        <v>408</v>
      </c>
      <c r="F3" s="120"/>
      <c r="G3" s="121">
        <v>8.1591374222441342</v>
      </c>
      <c r="H3" s="121">
        <v>7.730146401429085</v>
      </c>
      <c r="I3" s="121">
        <v>7.3839500285008004</v>
      </c>
      <c r="J3" s="121">
        <v>7.1493193397982253</v>
      </c>
      <c r="K3" s="119">
        <v>4.6613662798671296E-3</v>
      </c>
      <c r="L3" s="120"/>
      <c r="M3" s="121">
        <v>17.316533105340262</v>
      </c>
      <c r="N3" s="121">
        <v>16.004979910865888</v>
      </c>
      <c r="O3" s="121">
        <v>15.13691472304299</v>
      </c>
      <c r="P3" s="121">
        <v>14.398920010842986</v>
      </c>
      <c r="Q3" s="119">
        <v>2.2359242633483545E-2</v>
      </c>
      <c r="S3" t="s">
        <v>402</v>
      </c>
      <c r="T3" t="s">
        <v>401</v>
      </c>
    </row>
    <row r="4" spans="1:20" ht="13.9">
      <c r="A4" s="122" t="s">
        <v>404</v>
      </c>
      <c r="B4" s="123" t="s">
        <v>876</v>
      </c>
      <c r="C4" s="123" t="s">
        <v>877</v>
      </c>
      <c r="D4" s="124">
        <v>5.6570548095971729E-2</v>
      </c>
      <c r="E4" s="123" t="s">
        <v>454</v>
      </c>
      <c r="F4" s="120"/>
      <c r="G4" s="125">
        <v>8.0400843674604214</v>
      </c>
      <c r="H4" s="125">
        <v>7.6206648540359767</v>
      </c>
      <c r="I4" s="125">
        <v>7.0600477969767503</v>
      </c>
      <c r="J4" s="125">
        <v>6.7095994797153589</v>
      </c>
      <c r="K4" s="124">
        <v>2.0273082499799866E-3</v>
      </c>
      <c r="L4" s="120"/>
      <c r="M4" s="125">
        <v>12.522204152211959</v>
      </c>
      <c r="N4" s="125">
        <v>11.722552652264936</v>
      </c>
      <c r="O4" s="125">
        <v>10.650629356197708</v>
      </c>
      <c r="P4" s="125">
        <v>10.110852072236559</v>
      </c>
      <c r="Q4" s="124">
        <v>1.3108351511620153E-2</v>
      </c>
      <c r="S4" t="s">
        <v>405</v>
      </c>
      <c r="T4" t="s">
        <v>404</v>
      </c>
    </row>
    <row r="5" spans="1:20" ht="13.9">
      <c r="A5" s="117" t="s">
        <v>406</v>
      </c>
      <c r="B5" s="118" t="s">
        <v>878</v>
      </c>
      <c r="C5" s="118" t="s">
        <v>738</v>
      </c>
      <c r="D5" s="119">
        <v>-0.27426670698518296</v>
      </c>
      <c r="E5" s="118" t="s">
        <v>403</v>
      </c>
      <c r="F5" s="120"/>
      <c r="G5" s="121">
        <v>7.5837248618788644</v>
      </c>
      <c r="H5" s="121">
        <v>6.6610670612758511</v>
      </c>
      <c r="I5" s="121">
        <v>6.2788424666337272</v>
      </c>
      <c r="J5" s="121">
        <v>5.8590718447520951</v>
      </c>
      <c r="K5" s="119">
        <v>6.9313597512240532E-2</v>
      </c>
      <c r="L5" s="120"/>
      <c r="M5" s="121">
        <v>16.469574076387477</v>
      </c>
      <c r="N5" s="121">
        <v>13.898581195559803</v>
      </c>
      <c r="O5" s="121">
        <v>12.629915042281301</v>
      </c>
      <c r="P5" s="121">
        <v>11.444347891606522</v>
      </c>
      <c r="Q5" s="119">
        <v>0.10777343578992116</v>
      </c>
      <c r="S5" t="s">
        <v>407</v>
      </c>
      <c r="T5" t="s">
        <v>406</v>
      </c>
    </row>
    <row r="6" spans="1:20" ht="13.9">
      <c r="A6" s="122" t="s">
        <v>409</v>
      </c>
      <c r="B6" s="123" t="s">
        <v>879</v>
      </c>
      <c r="C6" s="123" t="s">
        <v>880</v>
      </c>
      <c r="D6" s="124">
        <v>-0.13366336633663367</v>
      </c>
      <c r="E6" s="123" t="s">
        <v>403</v>
      </c>
      <c r="F6" s="120"/>
      <c r="G6" s="125">
        <v>5.9779401798925065</v>
      </c>
      <c r="H6" s="125">
        <v>5.814742257843653</v>
      </c>
      <c r="I6" s="125">
        <v>5.684878384115895</v>
      </c>
      <c r="J6" s="125">
        <v>5.4780527041886868</v>
      </c>
      <c r="K6" s="124">
        <v>-1.7210926597534537E-2</v>
      </c>
      <c r="L6" s="120"/>
      <c r="M6" s="125">
        <v>11.003442871527023</v>
      </c>
      <c r="N6" s="125">
        <v>10.640643627563405</v>
      </c>
      <c r="O6" s="125">
        <v>10.460415982372799</v>
      </c>
      <c r="P6" s="125">
        <v>9.7380373677197269</v>
      </c>
      <c r="Q6" s="124">
        <v>-5.7301917371481714E-3</v>
      </c>
      <c r="S6" t="s">
        <v>410</v>
      </c>
      <c r="T6" t="s">
        <v>409</v>
      </c>
    </row>
    <row r="7" spans="1:20" ht="13.9">
      <c r="A7" s="117" t="s">
        <v>411</v>
      </c>
      <c r="B7" s="118" t="s">
        <v>881</v>
      </c>
      <c r="C7" s="118" t="s">
        <v>737</v>
      </c>
      <c r="D7" s="119">
        <v>-7.955292570677186E-2</v>
      </c>
      <c r="E7" s="118" t="s">
        <v>403</v>
      </c>
      <c r="F7" s="120"/>
      <c r="G7" s="121">
        <v>7.9311019296354521</v>
      </c>
      <c r="H7" s="121">
        <v>6.1884705402031477</v>
      </c>
      <c r="I7" s="121">
        <v>5.8862516554129272</v>
      </c>
      <c r="J7" s="121">
        <v>5.5679427400664219</v>
      </c>
      <c r="K7" s="119">
        <v>1.1752366524589775E-2</v>
      </c>
      <c r="L7" s="120"/>
      <c r="M7" s="121">
        <v>17.661392837541953</v>
      </c>
      <c r="N7" s="121">
        <v>12.024532446719997</v>
      </c>
      <c r="O7" s="121">
        <v>10.337453314917624</v>
      </c>
      <c r="P7" s="121">
        <v>9.7845734161746787</v>
      </c>
      <c r="Q7" s="119">
        <v>9.4852606593063493E-2</v>
      </c>
      <c r="S7" t="s">
        <v>412</v>
      </c>
      <c r="T7" t="s">
        <v>411</v>
      </c>
    </row>
    <row r="8" spans="1:20" ht="13.9">
      <c r="A8" s="122" t="s">
        <v>413</v>
      </c>
      <c r="B8" s="123" t="s">
        <v>882</v>
      </c>
      <c r="C8" s="123" t="s">
        <v>738</v>
      </c>
      <c r="D8" s="124">
        <v>0.348314606741573</v>
      </c>
      <c r="E8" s="123" t="s">
        <v>403</v>
      </c>
      <c r="F8" s="120"/>
      <c r="G8" s="125">
        <v>4.4676782652850626</v>
      </c>
      <c r="H8" s="125">
        <v>4.3208914079827476</v>
      </c>
      <c r="I8" s="125">
        <v>4.0901748845425328</v>
      </c>
      <c r="J8" s="125">
        <v>4.2090123598543823</v>
      </c>
      <c r="K8" s="124">
        <v>-2.8694218166811503E-2</v>
      </c>
      <c r="L8" s="120"/>
      <c r="M8" s="125">
        <v>6.9891757294624162</v>
      </c>
      <c r="N8" s="125">
        <v>6.9815609763963264</v>
      </c>
      <c r="O8" s="125">
        <v>6.8977475379485531</v>
      </c>
      <c r="P8" s="125">
        <v>7.2477016762165398</v>
      </c>
      <c r="Q8" s="124">
        <v>-5.9272236994751148E-2</v>
      </c>
      <c r="S8" t="s">
        <v>414</v>
      </c>
      <c r="T8" t="s">
        <v>413</v>
      </c>
    </row>
    <row r="9" spans="1:20" ht="13.9">
      <c r="A9" s="117" t="s">
        <v>415</v>
      </c>
      <c r="B9" s="118" t="s">
        <v>883</v>
      </c>
      <c r="C9" s="118" t="s">
        <v>739</v>
      </c>
      <c r="D9" s="119">
        <v>1.4127906976744189</v>
      </c>
      <c r="E9" s="118" t="s">
        <v>403</v>
      </c>
      <c r="F9" s="120"/>
      <c r="G9" s="121">
        <v>5.6251206934553775</v>
      </c>
      <c r="H9" s="121">
        <v>7.248577879300476</v>
      </c>
      <c r="I9" s="121">
        <v>6.7222015989827621</v>
      </c>
      <c r="J9" s="121">
        <v>6.2694512352976766</v>
      </c>
      <c r="K9" s="119">
        <v>-5.396596220251193E-2</v>
      </c>
      <c r="L9" s="120"/>
      <c r="M9" s="121">
        <v>17.25037012659649</v>
      </c>
      <c r="N9" s="121">
        <v>29.995759776842103</v>
      </c>
      <c r="O9" s="121">
        <v>21.713026761033522</v>
      </c>
      <c r="P9" s="121">
        <v>18.782971312227858</v>
      </c>
      <c r="Q9" s="119">
        <v>-4.6580498005590054E-2</v>
      </c>
      <c r="S9" t="s">
        <v>416</v>
      </c>
      <c r="T9" t="s">
        <v>415</v>
      </c>
    </row>
    <row r="10" spans="1:20" ht="13.9">
      <c r="A10" s="122" t="s">
        <v>417</v>
      </c>
      <c r="B10" s="123" t="s">
        <v>884</v>
      </c>
      <c r="C10" s="123" t="s">
        <v>885</v>
      </c>
      <c r="D10" s="124">
        <v>-7.8610603290676373E-2</v>
      </c>
      <c r="E10" s="123" t="s">
        <v>403</v>
      </c>
      <c r="F10" s="120"/>
      <c r="G10" s="125">
        <v>8.192135508724224</v>
      </c>
      <c r="H10" s="125">
        <v>8.3769700766273498</v>
      </c>
      <c r="I10" s="125">
        <v>7.9296414266109458</v>
      </c>
      <c r="J10" s="125">
        <v>7.4667415992961388</v>
      </c>
      <c r="K10" s="124">
        <v>-8.9468766434271929E-3</v>
      </c>
      <c r="L10" s="120"/>
      <c r="M10" s="125">
        <v>18.5204375</v>
      </c>
      <c r="N10" s="125">
        <v>18.212931540424915</v>
      </c>
      <c r="O10" s="125">
        <v>15.400362204443059</v>
      </c>
      <c r="P10" s="125">
        <v>13.558165642863967</v>
      </c>
      <c r="Q10" s="124">
        <v>6.6166505751052762E-2</v>
      </c>
      <c r="S10" t="s">
        <v>418</v>
      </c>
      <c r="T10" t="s">
        <v>417</v>
      </c>
    </row>
    <row r="11" spans="1:20" ht="13.9">
      <c r="A11" s="117" t="s">
        <v>419</v>
      </c>
      <c r="B11" s="118" t="s">
        <v>886</v>
      </c>
      <c r="C11" s="118" t="s">
        <v>887</v>
      </c>
      <c r="D11" s="119">
        <v>-7.1090047393364886E-2</v>
      </c>
      <c r="E11" s="118" t="s">
        <v>403</v>
      </c>
      <c r="F11" s="120"/>
      <c r="G11" s="121">
        <v>7.6223453153306906</v>
      </c>
      <c r="H11" s="121">
        <v>7.2916209602693884</v>
      </c>
      <c r="I11" s="121">
        <v>7.18715907067274</v>
      </c>
      <c r="J11" s="121">
        <v>6.8124907209228693</v>
      </c>
      <c r="K11" s="119">
        <v>-9.735870827593307E-3</v>
      </c>
      <c r="L11" s="120"/>
      <c r="M11" s="121">
        <v>12.676755465903662</v>
      </c>
      <c r="N11" s="121">
        <v>12.935268911055994</v>
      </c>
      <c r="O11" s="121">
        <v>11.569377532447863</v>
      </c>
      <c r="P11" s="121">
        <v>10.549561214643902</v>
      </c>
      <c r="Q11" s="119">
        <v>1.4101412906616817E-2</v>
      </c>
      <c r="S11" t="s">
        <v>420</v>
      </c>
      <c r="T11" t="s">
        <v>419</v>
      </c>
    </row>
    <row r="12" spans="1:20" ht="13.9">
      <c r="A12" s="122" t="s">
        <v>421</v>
      </c>
      <c r="B12" s="123" t="s">
        <v>888</v>
      </c>
      <c r="C12" s="123" t="s">
        <v>740</v>
      </c>
      <c r="D12" s="124">
        <v>-0.15492957746478864</v>
      </c>
      <c r="E12" s="123" t="s">
        <v>403</v>
      </c>
      <c r="F12" s="120"/>
      <c r="G12" s="125">
        <v>5.6352389951943378</v>
      </c>
      <c r="H12" s="125">
        <v>5.6111817069195586</v>
      </c>
      <c r="I12" s="125">
        <v>5.6459497010026904</v>
      </c>
      <c r="J12" s="125">
        <v>5.6083095259841587</v>
      </c>
      <c r="K12" s="124">
        <v>-2.4291951689473401E-2</v>
      </c>
      <c r="L12" s="120"/>
      <c r="M12" s="125">
        <v>10.618918707617091</v>
      </c>
      <c r="N12" s="125">
        <v>10.807134561902537</v>
      </c>
      <c r="O12" s="125">
        <v>10.92690467342557</v>
      </c>
      <c r="P12" s="125">
        <v>10.900367016893952</v>
      </c>
      <c r="Q12" s="124">
        <v>-3.4306094095917783E-2</v>
      </c>
      <c r="S12" t="s">
        <v>422</v>
      </c>
      <c r="T12" t="s">
        <v>421</v>
      </c>
    </row>
    <row r="13" spans="1:20" ht="13.9">
      <c r="A13" s="117" t="s">
        <v>423</v>
      </c>
      <c r="B13" s="118" t="s">
        <v>889</v>
      </c>
      <c r="C13" s="118" t="s">
        <v>890</v>
      </c>
      <c r="D13" s="119">
        <v>-0.42070963070238965</v>
      </c>
      <c r="E13" s="118" t="s">
        <v>408</v>
      </c>
      <c r="F13" s="120"/>
      <c r="G13" s="121">
        <v>7.6947826753027995</v>
      </c>
      <c r="H13" s="121">
        <v>7.496940214237819</v>
      </c>
      <c r="I13" s="121">
        <v>7.4424432238811544</v>
      </c>
      <c r="J13" s="121">
        <v>7.460962765550784</v>
      </c>
      <c r="K13" s="119">
        <v>-5.4835787927450808E-3</v>
      </c>
      <c r="L13" s="120"/>
      <c r="M13" s="121">
        <v>15.020637862565165</v>
      </c>
      <c r="N13" s="121">
        <v>15.194885204565894</v>
      </c>
      <c r="O13" s="121">
        <v>15.161677725486207</v>
      </c>
      <c r="P13" s="121">
        <v>14.632099296773104</v>
      </c>
      <c r="Q13" s="119">
        <v>-7.0240990178894736E-3</v>
      </c>
      <c r="S13" t="s">
        <v>424</v>
      </c>
      <c r="T13" t="s">
        <v>423</v>
      </c>
    </row>
    <row r="14" spans="1:20" ht="13.9">
      <c r="A14" s="122" t="s">
        <v>425</v>
      </c>
      <c r="B14" s="123" t="s">
        <v>891</v>
      </c>
      <c r="C14" s="123" t="s">
        <v>741</v>
      </c>
      <c r="D14" s="124">
        <v>-0.23298178331735386</v>
      </c>
      <c r="E14" s="123" t="s">
        <v>408</v>
      </c>
      <c r="F14" s="120"/>
      <c r="G14" s="125">
        <v>6.6747606219496749</v>
      </c>
      <c r="H14" s="125">
        <v>6.4970863046644158</v>
      </c>
      <c r="I14" s="125">
        <v>6.1812693429360506</v>
      </c>
      <c r="J14" s="125">
        <v>5.771389455858098</v>
      </c>
      <c r="K14" s="124">
        <v>1.4757126576998347E-2</v>
      </c>
      <c r="L14" s="120"/>
      <c r="M14" s="125">
        <v>13.760833084159493</v>
      </c>
      <c r="N14" s="125">
        <v>14.064384461798481</v>
      </c>
      <c r="O14" s="125">
        <v>12.986799227994707</v>
      </c>
      <c r="P14" s="125">
        <v>11.138085466230985</v>
      </c>
      <c r="Q14" s="124">
        <v>3.7341451840725348E-2</v>
      </c>
      <c r="S14" t="s">
        <v>426</v>
      </c>
      <c r="T14" t="s">
        <v>425</v>
      </c>
    </row>
    <row r="15" spans="1:20" ht="13.9">
      <c r="A15" s="117" t="s">
        <v>427</v>
      </c>
      <c r="B15" s="118" t="s">
        <v>892</v>
      </c>
      <c r="C15" s="118" t="s">
        <v>893</v>
      </c>
      <c r="D15" s="119">
        <v>7.2821846553966063E-2</v>
      </c>
      <c r="E15" s="118" t="s">
        <v>403</v>
      </c>
      <c r="F15" s="120"/>
      <c r="G15" s="121">
        <v>6.6247484642544485</v>
      </c>
      <c r="H15" s="121">
        <v>5.7579852384344994</v>
      </c>
      <c r="I15" s="121">
        <v>4.6144925573386733</v>
      </c>
      <c r="J15" s="121">
        <v>3.9475151923386846</v>
      </c>
      <c r="K15" s="119">
        <v>9.2864305614244191E-2</v>
      </c>
      <c r="L15" s="120"/>
      <c r="M15" s="121">
        <v>12.726396048881357</v>
      </c>
      <c r="N15" s="121">
        <v>10.683816484359323</v>
      </c>
      <c r="O15" s="121">
        <v>8.138944389976599</v>
      </c>
      <c r="P15" s="121">
        <v>6.3049492226698884</v>
      </c>
      <c r="Q15" s="119">
        <v>0.162230658739555</v>
      </c>
      <c r="S15" t="s">
        <v>428</v>
      </c>
      <c r="T15" t="s">
        <v>427</v>
      </c>
    </row>
    <row r="16" spans="1:20" ht="13.9">
      <c r="A16" s="122" t="s">
        <v>429</v>
      </c>
      <c r="B16" s="123" t="s">
        <v>894</v>
      </c>
      <c r="C16" s="123" t="s">
        <v>895</v>
      </c>
      <c r="D16" s="124">
        <v>-3.3175355450236976E-2</v>
      </c>
      <c r="E16" s="123" t="s">
        <v>403</v>
      </c>
      <c r="F16" s="120"/>
      <c r="G16" s="125">
        <v>6.9711625116608777</v>
      </c>
      <c r="H16" s="125">
        <v>6.7121090739628686</v>
      </c>
      <c r="I16" s="125">
        <v>6.1491557138936068</v>
      </c>
      <c r="J16" s="125">
        <v>5.7265457632600203</v>
      </c>
      <c r="K16" s="124">
        <v>6.6252898979293207E-3</v>
      </c>
      <c r="L16" s="120"/>
      <c r="M16" s="125">
        <v>11.505841417210176</v>
      </c>
      <c r="N16" s="125">
        <v>11.754775689902804</v>
      </c>
      <c r="O16" s="125">
        <v>10.552326611370155</v>
      </c>
      <c r="P16" s="125">
        <v>9.6787191363634353</v>
      </c>
      <c r="Q16" s="124">
        <v>-1.3104347169393682E-3</v>
      </c>
      <c r="S16" t="s">
        <v>430</v>
      </c>
      <c r="T16" t="s">
        <v>429</v>
      </c>
    </row>
    <row r="17" spans="1:20" ht="13.9">
      <c r="A17" s="126" t="s">
        <v>431</v>
      </c>
      <c r="B17" s="127"/>
      <c r="C17" s="127"/>
      <c r="D17" s="128"/>
      <c r="E17" s="127"/>
      <c r="F17" s="120"/>
      <c r="G17" s="129">
        <v>7.2191999672466638</v>
      </c>
      <c r="H17" s="129">
        <v>6.7647921002061357</v>
      </c>
      <c r="I17" s="129">
        <v>6.4802805038123932</v>
      </c>
      <c r="J17" s="129">
        <v>6.2149719604623987</v>
      </c>
      <c r="K17" s="130">
        <v>1.3079348127107648E-2</v>
      </c>
      <c r="L17" s="131"/>
      <c r="M17" s="129">
        <v>13.805892219027175</v>
      </c>
      <c r="N17" s="129">
        <v>12.855874014429762</v>
      </c>
      <c r="O17" s="129">
        <v>11.994729437616355</v>
      </c>
      <c r="P17" s="129">
        <v>11.237742202588212</v>
      </c>
      <c r="Q17" s="130">
        <v>3.2179669703899405E-2</v>
      </c>
      <c r="T17" t="s">
        <v>431</v>
      </c>
    </row>
    <row r="18" spans="1:20" ht="13.9">
      <c r="A18" s="122"/>
      <c r="B18" s="123"/>
      <c r="C18" s="123"/>
      <c r="D18" s="124"/>
      <c r="E18" s="123"/>
      <c r="F18" s="120"/>
      <c r="G18" s="125"/>
      <c r="H18" s="125"/>
      <c r="I18" s="125"/>
      <c r="J18" s="125"/>
      <c r="K18" s="124"/>
      <c r="L18" s="120"/>
      <c r="M18" s="125"/>
      <c r="N18" s="125"/>
      <c r="O18" s="125"/>
      <c r="P18" s="125"/>
      <c r="Q18" s="124"/>
    </row>
    <row r="19" spans="1:20" ht="13.9">
      <c r="A19" s="117" t="s">
        <v>432</v>
      </c>
      <c r="B19" s="118" t="s">
        <v>896</v>
      </c>
      <c r="C19" s="118" t="s">
        <v>897</v>
      </c>
      <c r="D19" s="119">
        <v>-7.1117561683599506E-2</v>
      </c>
      <c r="E19" s="118" t="s">
        <v>403</v>
      </c>
      <c r="F19" s="120"/>
      <c r="G19" s="121">
        <v>6.1398425052089722</v>
      </c>
      <c r="H19" s="121">
        <v>6.4400316093769812</v>
      </c>
      <c r="I19" s="121">
        <v>6.5093021960122632</v>
      </c>
      <c r="J19" s="121">
        <v>6.174882833903256</v>
      </c>
      <c r="K19" s="119">
        <v>7.6445403669511691E-4</v>
      </c>
      <c r="L19" s="120"/>
      <c r="M19" s="121">
        <v>12.93641540130152</v>
      </c>
      <c r="N19" s="121">
        <v>11.579077390326111</v>
      </c>
      <c r="O19" s="121">
        <v>11.689761156507078</v>
      </c>
      <c r="P19" s="121">
        <v>11.088727919374433</v>
      </c>
      <c r="Q19" s="119">
        <v>5.5519942846271153E-2</v>
      </c>
      <c r="S19" t="s">
        <v>433</v>
      </c>
      <c r="T19" t="s">
        <v>434</v>
      </c>
    </row>
    <row r="20" spans="1:20" ht="13.9">
      <c r="A20" s="132" t="s">
        <v>441</v>
      </c>
      <c r="B20" s="133" t="s">
        <v>898</v>
      </c>
      <c r="C20" s="133" t="s">
        <v>898</v>
      </c>
      <c r="D20" s="134">
        <v>6.0362173038230882E-3</v>
      </c>
      <c r="E20" s="133" t="s">
        <v>403</v>
      </c>
      <c r="F20" s="120"/>
      <c r="G20" s="135">
        <v>7.6799055988602669</v>
      </c>
      <c r="H20" s="135">
        <v>7.8912911436394877</v>
      </c>
      <c r="I20" s="135">
        <v>7.453420151774294</v>
      </c>
      <c r="J20" s="135">
        <v>5.7643023259301183</v>
      </c>
      <c r="K20" s="134">
        <v>0.19702747727757175</v>
      </c>
      <c r="L20" s="120"/>
      <c r="M20" s="135">
        <v>71.425463504034283</v>
      </c>
      <c r="N20" s="135">
        <v>120.64445035501353</v>
      </c>
      <c r="O20" s="135">
        <v>29.8718176147154</v>
      </c>
      <c r="P20" s="135">
        <v>13.766417557896279</v>
      </c>
      <c r="Q20" s="134">
        <v>0.8832665191520086</v>
      </c>
      <c r="S20" t="s">
        <v>436</v>
      </c>
      <c r="T20" t="s">
        <v>435</v>
      </c>
    </row>
    <row r="21" spans="1:20" ht="13.9">
      <c r="A21" s="117" t="s">
        <v>443</v>
      </c>
      <c r="B21" s="118" t="s">
        <v>899</v>
      </c>
      <c r="C21" s="118" t="s">
        <v>897</v>
      </c>
      <c r="D21" s="119">
        <v>-2.7651169857186186E-2</v>
      </c>
      <c r="E21" s="118" t="s">
        <v>403</v>
      </c>
      <c r="F21" s="120"/>
      <c r="G21" s="121">
        <v>8.0254725126090722</v>
      </c>
      <c r="H21" s="121">
        <v>6.3889277603297323</v>
      </c>
      <c r="I21" s="121">
        <v>5.3784599052633233</v>
      </c>
      <c r="J21" s="121">
        <v>4.4268404273055211</v>
      </c>
      <c r="K21" s="119">
        <v>0.23871118791647739</v>
      </c>
      <c r="L21" s="120"/>
      <c r="M21" s="121">
        <v>34.292314693756431</v>
      </c>
      <c r="N21" s="121">
        <v>16.838682240370574</v>
      </c>
      <c r="O21" s="121">
        <v>10.383666907693634</v>
      </c>
      <c r="P21" s="121">
        <v>7.6954657570223182</v>
      </c>
      <c r="Q21" s="119">
        <v>0.67172604571192296</v>
      </c>
      <c r="S21" t="s">
        <v>440</v>
      </c>
      <c r="T21" t="s">
        <v>439</v>
      </c>
    </row>
    <row r="22" spans="1:20" ht="13.9">
      <c r="A22" s="122" t="s">
        <v>445</v>
      </c>
      <c r="B22" s="123" t="s">
        <v>446</v>
      </c>
      <c r="C22" s="123" t="s">
        <v>705</v>
      </c>
      <c r="D22" s="124">
        <v>-4.9737161342499059E-2</v>
      </c>
      <c r="E22" s="133" t="s">
        <v>403</v>
      </c>
      <c r="F22" s="136"/>
      <c r="G22" s="125">
        <v>8.141873237157256</v>
      </c>
      <c r="H22" s="125">
        <v>7.7754093965889544</v>
      </c>
      <c r="I22" s="125">
        <v>7.8254176605790571</v>
      </c>
      <c r="J22" s="125">
        <v>7.4242071421111975</v>
      </c>
      <c r="K22" s="124">
        <v>1.3809329588936325E-3</v>
      </c>
      <c r="L22" s="136"/>
      <c r="M22" s="125">
        <v>13.512204466101368</v>
      </c>
      <c r="N22" s="125">
        <v>12.92682427893511</v>
      </c>
      <c r="O22" s="125">
        <v>13.03016854680742</v>
      </c>
      <c r="P22" s="125">
        <v>12.245223356340805</v>
      </c>
      <c r="Q22" s="124">
        <v>3.4469061628639164E-3</v>
      </c>
      <c r="S22" t="s">
        <v>442</v>
      </c>
      <c r="T22" t="s">
        <v>441</v>
      </c>
    </row>
    <row r="23" spans="1:20" ht="13.9">
      <c r="A23" s="117" t="s">
        <v>447</v>
      </c>
      <c r="B23" s="118"/>
      <c r="C23" s="118"/>
      <c r="D23" s="119"/>
      <c r="E23" s="118"/>
      <c r="F23" s="120"/>
      <c r="G23" s="121">
        <v>7.2529401701679923</v>
      </c>
      <c r="H23" s="121">
        <v>7.129043909860302</v>
      </c>
      <c r="I23" s="121">
        <v>7.0370906019386155</v>
      </c>
      <c r="J23" s="121">
        <v>6.47100490572653</v>
      </c>
      <c r="K23" s="119">
        <v>3.2717891802211518E-2</v>
      </c>
      <c r="L23" s="120"/>
      <c r="M23" s="121">
        <v>14.65675373712471</v>
      </c>
      <c r="N23" s="121">
        <v>13.436005602943137</v>
      </c>
      <c r="O23" s="121">
        <v>12.864145925490568</v>
      </c>
      <c r="P23" s="121">
        <v>11.44544654225704</v>
      </c>
      <c r="Q23" s="119">
        <v>7.9615876331918134E-2</v>
      </c>
      <c r="S23" t="s">
        <v>444</v>
      </c>
      <c r="T23" t="s">
        <v>443</v>
      </c>
    </row>
    <row r="24" spans="1:20" ht="13.9">
      <c r="A24" s="122"/>
      <c r="B24" s="123"/>
      <c r="C24" s="123"/>
      <c r="D24" s="124"/>
      <c r="E24" s="123"/>
      <c r="F24" s="120"/>
      <c r="G24" s="125"/>
      <c r="H24" s="125"/>
      <c r="I24" s="125"/>
      <c r="J24" s="125"/>
      <c r="K24" s="124"/>
      <c r="L24" s="136"/>
      <c r="M24" s="125"/>
      <c r="N24" s="125"/>
      <c r="O24" s="125"/>
      <c r="P24" s="125"/>
      <c r="Q24" s="124"/>
      <c r="S24" t="s">
        <v>446</v>
      </c>
      <c r="T24" t="s">
        <v>445</v>
      </c>
    </row>
    <row r="25" spans="1:20" ht="13.9">
      <c r="A25" s="126" t="s">
        <v>448</v>
      </c>
      <c r="B25" s="127" t="s">
        <v>900</v>
      </c>
      <c r="C25" s="127" t="s">
        <v>901</v>
      </c>
      <c r="D25" s="128">
        <v>0.16731517509727634</v>
      </c>
      <c r="E25" s="127" t="s">
        <v>454</v>
      </c>
      <c r="F25" s="120"/>
      <c r="G25" s="129">
        <v>10.824543883514828</v>
      </c>
      <c r="H25" s="129">
        <v>7.6645458280605885</v>
      </c>
      <c r="I25" s="129">
        <v>6.7953884909477305</v>
      </c>
      <c r="J25" s="129">
        <v>5.9090043435991024</v>
      </c>
      <c r="K25" s="130">
        <v>0.13434893124102976</v>
      </c>
      <c r="L25" s="131"/>
      <c r="M25" s="129">
        <v>17.608514324000435</v>
      </c>
      <c r="N25" s="129">
        <v>10.539764616385611</v>
      </c>
      <c r="O25" s="129">
        <v>8.9767142464118681</v>
      </c>
      <c r="P25" s="129">
        <v>7.5002120096262797</v>
      </c>
      <c r="Q25" s="130">
        <v>0.23215296328605195</v>
      </c>
      <c r="T25" t="s">
        <v>447</v>
      </c>
    </row>
    <row r="26" spans="1:20" ht="13.9">
      <c r="A26" s="122" t="s">
        <v>450</v>
      </c>
      <c r="B26" s="137" t="s">
        <v>902</v>
      </c>
      <c r="C26" s="137" t="s">
        <v>903</v>
      </c>
      <c r="D26" s="138">
        <v>-0.29919137466307277</v>
      </c>
      <c r="E26" s="137" t="s">
        <v>403</v>
      </c>
      <c r="F26" s="131"/>
      <c r="G26" s="139">
        <v>4.3534449652821374</v>
      </c>
      <c r="H26" s="139">
        <v>4.1383052851338746</v>
      </c>
      <c r="I26" s="139">
        <v>3.9494244319236795</v>
      </c>
      <c r="J26" s="139">
        <v>3.7334644348263719</v>
      </c>
      <c r="K26" s="138">
        <v>-2.9489483876286027E-3</v>
      </c>
      <c r="L26" s="131"/>
      <c r="M26" s="139">
        <v>10.494563315480836</v>
      </c>
      <c r="N26" s="139">
        <v>9.5919922765275185</v>
      </c>
      <c r="O26" s="139">
        <v>9.0313334322824961</v>
      </c>
      <c r="P26" s="139">
        <v>8.4210677161346794</v>
      </c>
      <c r="Q26" s="138">
        <v>1.939567500850492E-2</v>
      </c>
    </row>
    <row r="27" spans="1:20" ht="13.9">
      <c r="A27" s="117" t="s">
        <v>452</v>
      </c>
      <c r="B27" s="118" t="s">
        <v>904</v>
      </c>
      <c r="C27" s="118" t="s">
        <v>546</v>
      </c>
      <c r="D27" s="119">
        <v>0.35353535353535359</v>
      </c>
      <c r="E27" s="118" t="s">
        <v>454</v>
      </c>
      <c r="F27" s="120"/>
      <c r="G27" s="121">
        <v>5.8564541538566459</v>
      </c>
      <c r="H27" s="121">
        <v>4.0793399070022813</v>
      </c>
      <c r="I27" s="121">
        <v>3.4473837551816859</v>
      </c>
      <c r="J27" s="121">
        <v>2.786399169415418</v>
      </c>
      <c r="K27" s="119">
        <v>0.12445557596565937</v>
      </c>
      <c r="L27" s="120"/>
      <c r="M27" s="121">
        <v>9.4447225589911916</v>
      </c>
      <c r="N27" s="121">
        <v>5.6484886482748529</v>
      </c>
      <c r="O27" s="121">
        <v>4.6016277718185981</v>
      </c>
      <c r="P27" s="121">
        <v>3.5846650165969014</v>
      </c>
      <c r="Q27" s="119">
        <v>0.21243567378408224</v>
      </c>
      <c r="S27" t="s">
        <v>449</v>
      </c>
      <c r="T27" t="s">
        <v>448</v>
      </c>
    </row>
    <row r="28" spans="1:20" ht="13.9">
      <c r="A28" s="132" t="s">
        <v>455</v>
      </c>
      <c r="B28" s="133" t="s">
        <v>905</v>
      </c>
      <c r="C28" s="133" t="s">
        <v>906</v>
      </c>
      <c r="D28" s="134">
        <v>9.004739336492884E-2</v>
      </c>
      <c r="E28" s="133" t="s">
        <v>454</v>
      </c>
      <c r="F28" s="120"/>
      <c r="G28" s="135">
        <v>6.7215710042888075</v>
      </c>
      <c r="H28" s="135">
        <v>6.4711680212687481</v>
      </c>
      <c r="I28" s="135">
        <v>5.9940396913982497</v>
      </c>
      <c r="J28" s="135">
        <v>5.6068035356717125</v>
      </c>
      <c r="K28" s="134">
        <v>1.5458782987666009E-2</v>
      </c>
      <c r="L28" s="120"/>
      <c r="M28" s="135">
        <v>8.2787215006687749</v>
      </c>
      <c r="N28" s="135">
        <v>8.0314571079203603</v>
      </c>
      <c r="O28" s="135">
        <v>7.3939628586427508</v>
      </c>
      <c r="P28" s="135">
        <v>6.7710644324852813</v>
      </c>
      <c r="Q28" s="134">
        <v>6.2900874050605626E-2</v>
      </c>
      <c r="S28" t="s">
        <v>451</v>
      </c>
      <c r="T28" t="s">
        <v>450</v>
      </c>
    </row>
    <row r="29" spans="1:20" ht="13.9">
      <c r="A29" s="117" t="s">
        <v>457</v>
      </c>
      <c r="B29" s="118" t="s">
        <v>907</v>
      </c>
      <c r="C29" s="118" t="s">
        <v>438</v>
      </c>
      <c r="D29" s="119" t="s">
        <v>438</v>
      </c>
      <c r="E29" s="118" t="s">
        <v>459</v>
      </c>
      <c r="F29" s="120"/>
      <c r="G29" s="121">
        <v>8.5753114431624748</v>
      </c>
      <c r="H29" s="121">
        <v>7.9151102105165547</v>
      </c>
      <c r="I29" s="121">
        <v>7.7481692900589687</v>
      </c>
      <c r="J29" s="121">
        <v>7.0752064924641056</v>
      </c>
      <c r="K29" s="119">
        <v>1.9751075503322557E-2</v>
      </c>
      <c r="L29" s="120"/>
      <c r="M29" s="121">
        <v>15.180871120040182</v>
      </c>
      <c r="N29" s="121">
        <v>12.063411081272086</v>
      </c>
      <c r="O29" s="121">
        <v>14.09990046472328</v>
      </c>
      <c r="P29" s="121">
        <v>10.403132756359824</v>
      </c>
      <c r="Q29" s="119">
        <v>8.4846008454902533E-2</v>
      </c>
      <c r="S29" t="s">
        <v>453</v>
      </c>
      <c r="T29" t="s">
        <v>452</v>
      </c>
    </row>
    <row r="30" spans="1:20" ht="13.9">
      <c r="A30" s="122" t="s">
        <v>460</v>
      </c>
      <c r="B30" s="123"/>
      <c r="C30" s="123"/>
      <c r="D30" s="124"/>
      <c r="E30" s="133"/>
      <c r="F30" s="136"/>
      <c r="G30" s="125">
        <v>5.0616650711836506</v>
      </c>
      <c r="H30" s="125">
        <v>4.6747149749021597</v>
      </c>
      <c r="I30" s="125">
        <v>4.3971549085691652</v>
      </c>
      <c r="J30" s="125">
        <v>4.084466055285823</v>
      </c>
      <c r="K30" s="124">
        <v>1.1212978150067165E-2</v>
      </c>
      <c r="L30" s="136"/>
      <c r="M30" s="125">
        <v>11.249645225238154</v>
      </c>
      <c r="N30" s="125">
        <v>9.7262531008638398</v>
      </c>
      <c r="O30" s="125">
        <v>8.921857140657762</v>
      </c>
      <c r="P30" s="125">
        <v>8.0545083822701482</v>
      </c>
      <c r="Q30" s="124">
        <v>5.2341085716562263E-2</v>
      </c>
      <c r="S30" t="s">
        <v>456</v>
      </c>
      <c r="T30" t="s">
        <v>455</v>
      </c>
    </row>
    <row r="31" spans="1:20" ht="13.9">
      <c r="A31" s="117"/>
      <c r="B31" s="118"/>
      <c r="C31" s="118"/>
      <c r="D31" s="119"/>
      <c r="E31" s="118"/>
      <c r="F31" s="120"/>
      <c r="G31" s="121"/>
      <c r="H31" s="121"/>
      <c r="I31" s="121"/>
      <c r="J31" s="121"/>
      <c r="K31" s="119"/>
      <c r="L31" s="120"/>
      <c r="M31" s="121"/>
      <c r="N31" s="121"/>
      <c r="O31" s="121"/>
      <c r="P31" s="121"/>
      <c r="Q31" s="119"/>
      <c r="S31" t="s">
        <v>458</v>
      </c>
      <c r="T31" t="s">
        <v>457</v>
      </c>
    </row>
    <row r="32" spans="1:20" ht="13.9">
      <c r="A32" s="140"/>
      <c r="B32" s="141"/>
      <c r="C32" s="141"/>
      <c r="D32" s="142"/>
      <c r="E32" s="141"/>
      <c r="F32" s="143"/>
      <c r="G32" s="144"/>
      <c r="H32" s="144"/>
      <c r="I32" s="144"/>
      <c r="J32" s="144"/>
      <c r="K32" s="142"/>
      <c r="L32" s="143"/>
      <c r="M32" s="144"/>
      <c r="N32" s="144"/>
      <c r="O32" s="144"/>
      <c r="P32" s="144"/>
      <c r="Q32" s="142"/>
      <c r="T32" t="s">
        <v>460</v>
      </c>
    </row>
    <row r="33" spans="1:20" ht="13.9">
      <c r="A33" s="145" t="s">
        <v>461</v>
      </c>
      <c r="B33" s="123" t="s">
        <v>908</v>
      </c>
      <c r="C33" s="123" t="s">
        <v>736</v>
      </c>
      <c r="D33" s="124">
        <v>-0.16115702479338834</v>
      </c>
      <c r="E33" s="123" t="s">
        <v>403</v>
      </c>
      <c r="F33" s="120"/>
      <c r="G33" s="125">
        <v>9.2412723785187456</v>
      </c>
      <c r="H33" s="125">
        <v>8.6785863361177178</v>
      </c>
      <c r="I33" s="125">
        <v>8.095767422702389</v>
      </c>
      <c r="J33" s="125">
        <v>7.5486444809975781</v>
      </c>
      <c r="K33" s="124">
        <v>1.3911586593512437E-2</v>
      </c>
      <c r="L33" s="120"/>
      <c r="M33" s="125">
        <v>14.60952975168505</v>
      </c>
      <c r="N33" s="125">
        <v>13.671938414145218</v>
      </c>
      <c r="O33" s="125">
        <v>12.724090169913962</v>
      </c>
      <c r="P33" s="125">
        <v>11.727400635915105</v>
      </c>
      <c r="Q33" s="124">
        <v>1.9821064473523275E-2</v>
      </c>
    </row>
    <row r="34" spans="1:20" ht="13.9">
      <c r="A34" s="145" t="s">
        <v>463</v>
      </c>
      <c r="B34" s="123" t="s">
        <v>909</v>
      </c>
      <c r="C34" s="123" t="s">
        <v>910</v>
      </c>
      <c r="D34" s="124">
        <v>-0.42775393419170238</v>
      </c>
      <c r="E34" s="123" t="s">
        <v>408</v>
      </c>
      <c r="F34" s="120"/>
      <c r="G34" s="125">
        <v>8.2032984903243591</v>
      </c>
      <c r="H34" s="125">
        <v>7.2927856890527121</v>
      </c>
      <c r="I34" s="125">
        <v>6.6715229969540335</v>
      </c>
      <c r="J34" s="125">
        <v>6.2232139683202679</v>
      </c>
      <c r="K34" s="124">
        <v>4.9488969429288154E-2</v>
      </c>
      <c r="L34" s="120"/>
      <c r="M34" s="125">
        <v>49.943323824287049</v>
      </c>
      <c r="N34" s="125">
        <v>26.38437007967541</v>
      </c>
      <c r="O34" s="125">
        <v>16.960452284732739</v>
      </c>
      <c r="P34" s="125">
        <v>14.071154873966938</v>
      </c>
      <c r="Q34" s="124">
        <v>0.46005489380760545</v>
      </c>
    </row>
    <row r="35" spans="1:20" ht="13.9">
      <c r="A35" s="145" t="s">
        <v>911</v>
      </c>
      <c r="B35" s="123" t="s">
        <v>912</v>
      </c>
      <c r="C35" s="123" t="s">
        <v>913</v>
      </c>
      <c r="D35" s="124">
        <v>-4.6979865771812124E-2</v>
      </c>
      <c r="E35" s="123" t="s">
        <v>403</v>
      </c>
      <c r="F35" s="120"/>
      <c r="G35" s="125">
        <v>9.7105683337683892</v>
      </c>
      <c r="H35" s="125">
        <v>8.2232411247264956</v>
      </c>
      <c r="I35" s="125">
        <v>7.6152176966695029</v>
      </c>
      <c r="J35" s="125">
        <v>6.9431830424932022</v>
      </c>
      <c r="K35" s="124">
        <v>3.0255912012699948E-2</v>
      </c>
      <c r="L35" s="120"/>
      <c r="M35" s="125">
        <v>22.36481428773374</v>
      </c>
      <c r="N35" s="125">
        <v>14.49945754123941</v>
      </c>
      <c r="O35" s="125">
        <v>12.225118534448999</v>
      </c>
      <c r="P35" s="125">
        <v>11.016011870131523</v>
      </c>
      <c r="Q35" s="124">
        <v>0.16653221736837653</v>
      </c>
    </row>
    <row r="36" spans="1:20" ht="13.9">
      <c r="A36" s="117" t="s">
        <v>465</v>
      </c>
      <c r="B36" s="118" t="s">
        <v>914</v>
      </c>
      <c r="C36" s="118" t="s">
        <v>742</v>
      </c>
      <c r="D36" s="119">
        <v>0.10826064648537703</v>
      </c>
      <c r="E36" s="118" t="s">
        <v>454</v>
      </c>
      <c r="F36" s="120"/>
      <c r="G36" s="121">
        <v>8.0559184939615331</v>
      </c>
      <c r="H36" s="121">
        <v>7.3751086604465517</v>
      </c>
      <c r="I36" s="121">
        <v>6.876877024078234</v>
      </c>
      <c r="J36" s="121">
        <v>5.765002333651946</v>
      </c>
      <c r="K36" s="119">
        <v>4.0605900054090593E-2</v>
      </c>
      <c r="L36" s="120"/>
      <c r="M36" s="121">
        <v>19.172438953902024</v>
      </c>
      <c r="N36" s="121">
        <v>20.171514584242093</v>
      </c>
      <c r="O36" s="121">
        <v>13.684750453416795</v>
      </c>
      <c r="P36" s="121">
        <v>10.281737512987155</v>
      </c>
      <c r="Q36" s="119">
        <v>0.14564845996182929</v>
      </c>
      <c r="S36" t="s">
        <v>462</v>
      </c>
      <c r="T36" t="s">
        <v>461</v>
      </c>
    </row>
    <row r="37" spans="1:20" ht="13.9">
      <c r="A37" s="122" t="s">
        <v>467</v>
      </c>
      <c r="B37" s="123" t="s">
        <v>915</v>
      </c>
      <c r="C37" s="123" t="s">
        <v>916</v>
      </c>
      <c r="D37" s="124">
        <v>-0.14634146341463405</v>
      </c>
      <c r="E37" s="123" t="s">
        <v>403</v>
      </c>
      <c r="F37" s="120"/>
      <c r="G37" s="125">
        <v>8.2509017471192259</v>
      </c>
      <c r="H37" s="125">
        <v>9.6363789620070417</v>
      </c>
      <c r="I37" s="125">
        <v>8.6375104591102634</v>
      </c>
      <c r="J37" s="125">
        <v>7.5273574829299417</v>
      </c>
      <c r="K37" s="124">
        <v>0.19467095656949995</v>
      </c>
      <c r="L37" s="120"/>
      <c r="M37" s="125">
        <v>28.18687797223706</v>
      </c>
      <c r="N37" s="125">
        <v>25.952490649922634</v>
      </c>
      <c r="O37" s="125">
        <v>20.243095710064779</v>
      </c>
      <c r="P37" s="125">
        <v>15.61349977903846</v>
      </c>
      <c r="Q37" s="124">
        <v>0.41083942024070597</v>
      </c>
      <c r="S37" t="s">
        <v>464</v>
      </c>
      <c r="T37" t="s">
        <v>463</v>
      </c>
    </row>
    <row r="38" spans="1:20" ht="13.9">
      <c r="A38" s="117" t="s">
        <v>471</v>
      </c>
      <c r="B38" s="118" t="s">
        <v>917</v>
      </c>
      <c r="C38" s="118" t="s">
        <v>918</v>
      </c>
      <c r="D38" s="119">
        <v>-8.6452762923351134E-2</v>
      </c>
      <c r="E38" s="118" t="s">
        <v>403</v>
      </c>
      <c r="F38" s="120"/>
      <c r="G38" s="121">
        <v>6.0112906219571158</v>
      </c>
      <c r="H38" s="121">
        <v>6.878814258457723</v>
      </c>
      <c r="I38" s="121">
        <v>7.2153519535952348</v>
      </c>
      <c r="J38" s="121">
        <v>6.6147182670253777</v>
      </c>
      <c r="K38" s="119">
        <v>2.3778686117061021E-2</v>
      </c>
      <c r="L38" s="120"/>
      <c r="M38" s="121">
        <v>12.935266394743946</v>
      </c>
      <c r="N38" s="121">
        <v>35.677614142219127</v>
      </c>
      <c r="O38" s="121">
        <v>28.101816763167786</v>
      </c>
      <c r="P38" s="121">
        <v>12.879123278402444</v>
      </c>
      <c r="Q38" s="119">
        <v>7.9727667624150511E-2</v>
      </c>
      <c r="S38" t="s">
        <v>466</v>
      </c>
      <c r="T38" t="s">
        <v>465</v>
      </c>
    </row>
    <row r="39" spans="1:20" ht="13.9">
      <c r="A39" s="122" t="s">
        <v>473</v>
      </c>
      <c r="B39" s="123"/>
      <c r="C39" s="123"/>
      <c r="D39" s="124"/>
      <c r="E39" s="123"/>
      <c r="F39" s="120"/>
      <c r="G39" s="125">
        <v>7.8674468809795073</v>
      </c>
      <c r="H39" s="125">
        <v>7.8071049933083199</v>
      </c>
      <c r="I39" s="125">
        <v>7.1399290193196938</v>
      </c>
      <c r="J39" s="125">
        <v>6.3967469993782045</v>
      </c>
      <c r="K39" s="124">
        <v>5.4683816162331311E-2</v>
      </c>
      <c r="L39" s="120"/>
      <c r="M39" s="125">
        <v>32.494384939233598</v>
      </c>
      <c r="N39" s="125">
        <v>25.951525514121503</v>
      </c>
      <c r="O39" s="125">
        <v>13.748885262743876</v>
      </c>
      <c r="P39" s="125">
        <v>11.628996651839183</v>
      </c>
      <c r="Q39" s="124">
        <v>0.38649856789719483</v>
      </c>
      <c r="S39" t="s">
        <v>468</v>
      </c>
      <c r="T39" t="s">
        <v>467</v>
      </c>
    </row>
    <row r="40" spans="1:20" ht="13.9">
      <c r="A40" s="117"/>
      <c r="B40" s="118"/>
      <c r="C40" s="118"/>
      <c r="D40" s="119"/>
      <c r="E40" s="118"/>
      <c r="F40" s="120"/>
      <c r="G40" s="121"/>
      <c r="H40" s="121"/>
      <c r="I40" s="121"/>
      <c r="J40" s="121"/>
      <c r="K40" s="119"/>
      <c r="L40" s="120"/>
      <c r="M40" s="121"/>
      <c r="N40" s="121"/>
      <c r="O40" s="121"/>
      <c r="P40" s="121"/>
      <c r="Q40" s="119"/>
      <c r="S40" t="s">
        <v>470</v>
      </c>
      <c r="T40" t="s">
        <v>469</v>
      </c>
    </row>
    <row r="41" spans="1:20" ht="13.9">
      <c r="A41" s="122" t="s">
        <v>474</v>
      </c>
      <c r="B41" s="123" t="s">
        <v>919</v>
      </c>
      <c r="C41" s="123" t="s">
        <v>920</v>
      </c>
      <c r="D41" s="124">
        <v>-0.29395151800423625</v>
      </c>
      <c r="E41" s="123" t="s">
        <v>403</v>
      </c>
      <c r="F41" s="120"/>
      <c r="G41" s="125">
        <v>5.9905966676779032</v>
      </c>
      <c r="H41" s="125">
        <v>5.6254712832743854</v>
      </c>
      <c r="I41" s="125">
        <v>5.2847427570133609</v>
      </c>
      <c r="J41" s="125">
        <v>4.8881532846514206</v>
      </c>
      <c r="K41" s="124">
        <v>2.2087555120972491E-2</v>
      </c>
      <c r="L41" s="120"/>
      <c r="M41" s="125">
        <v>12.082247832184063</v>
      </c>
      <c r="N41" s="125">
        <v>11.072431245832183</v>
      </c>
      <c r="O41" s="125">
        <v>10.065682717927276</v>
      </c>
      <c r="P41" s="125">
        <v>9.1549711332288055</v>
      </c>
      <c r="Q41" s="124">
        <v>4.7634839032032472E-2</v>
      </c>
      <c r="S41" t="s">
        <v>472</v>
      </c>
      <c r="T41" t="s">
        <v>471</v>
      </c>
    </row>
    <row r="42" spans="1:20" ht="13.9">
      <c r="A42" s="126" t="s">
        <v>476</v>
      </c>
      <c r="B42" s="127" t="s">
        <v>921</v>
      </c>
      <c r="C42" s="127" t="s">
        <v>922</v>
      </c>
      <c r="D42" s="128">
        <v>-5.6122448979591733E-2</v>
      </c>
      <c r="E42" s="127" t="s">
        <v>403</v>
      </c>
      <c r="F42" s="120"/>
      <c r="G42" s="129">
        <v>7.083050119879605</v>
      </c>
      <c r="H42" s="129">
        <v>6.9917375229639278</v>
      </c>
      <c r="I42" s="129">
        <v>5.0424121772524542</v>
      </c>
      <c r="J42" s="129">
        <v>3.4461437152765937</v>
      </c>
      <c r="K42" s="130">
        <v>2.2513012640907437E-2</v>
      </c>
      <c r="L42" s="131"/>
      <c r="M42" s="129">
        <v>11.278865504804847</v>
      </c>
      <c r="N42" s="129">
        <v>12.490797145736522</v>
      </c>
      <c r="O42" s="129">
        <v>8.0085443364448441</v>
      </c>
      <c r="P42" s="129">
        <v>5.3870998989932239</v>
      </c>
      <c r="Q42" s="130">
        <v>2.8829313855666117E-2</v>
      </c>
      <c r="T42" t="s">
        <v>473</v>
      </c>
    </row>
    <row r="43" spans="1:20" ht="13.9">
      <c r="A43" s="122" t="s">
        <v>478</v>
      </c>
      <c r="B43" s="123" t="s">
        <v>923</v>
      </c>
      <c r="C43" s="123" t="s">
        <v>924</v>
      </c>
      <c r="D43" s="124">
        <v>-1.0856453558504175E-2</v>
      </c>
      <c r="E43" s="123" t="s">
        <v>403</v>
      </c>
      <c r="F43" s="120"/>
      <c r="G43" s="125">
        <v>6.0860279724791777</v>
      </c>
      <c r="H43" s="125">
        <v>5.7533423849885681</v>
      </c>
      <c r="I43" s="125">
        <v>5.5197521515921757</v>
      </c>
      <c r="J43" s="125">
        <v>5.1435713210502554</v>
      </c>
      <c r="K43" s="124">
        <v>3.0637769486441702E-2</v>
      </c>
      <c r="L43" s="120"/>
      <c r="M43" s="125">
        <v>11.081274315789809</v>
      </c>
      <c r="N43" s="125">
        <v>10.513005066601789</v>
      </c>
      <c r="O43" s="125">
        <v>10.028173280161425</v>
      </c>
      <c r="P43" s="125">
        <v>9.0726011749633866</v>
      </c>
      <c r="Q43" s="124">
        <v>4.1603162591951515E-2</v>
      </c>
    </row>
    <row r="44" spans="1:20" ht="13.9">
      <c r="A44" s="117" t="s">
        <v>480</v>
      </c>
      <c r="B44" s="118" t="s">
        <v>925</v>
      </c>
      <c r="C44" s="118" t="s">
        <v>926</v>
      </c>
      <c r="D44" s="119">
        <v>-4.7979797979798011E-2</v>
      </c>
      <c r="E44" s="118" t="s">
        <v>403</v>
      </c>
      <c r="F44" s="136"/>
      <c r="G44" s="121">
        <v>11.262982273772741</v>
      </c>
      <c r="H44" s="121">
        <v>10.102746303492758</v>
      </c>
      <c r="I44" s="121">
        <v>10.124748008990236</v>
      </c>
      <c r="J44" s="121">
        <v>9.4817414430198248</v>
      </c>
      <c r="K44" s="119">
        <v>4.3271817222708675E-2</v>
      </c>
      <c r="L44" s="136"/>
      <c r="M44" s="121">
        <v>23.995539131007202</v>
      </c>
      <c r="N44" s="121">
        <v>15.039548020442938</v>
      </c>
      <c r="O44" s="121">
        <v>18.584402869991418</v>
      </c>
      <c r="P44" s="121">
        <v>14.598871750598313</v>
      </c>
      <c r="Q44" s="119">
        <v>0.16255306215636423</v>
      </c>
      <c r="S44" t="s">
        <v>475</v>
      </c>
      <c r="T44" t="s">
        <v>474</v>
      </c>
    </row>
    <row r="45" spans="1:20" ht="13.9">
      <c r="A45" s="122" t="s">
        <v>482</v>
      </c>
      <c r="B45" s="123" t="s">
        <v>927</v>
      </c>
      <c r="C45" s="123" t="s">
        <v>928</v>
      </c>
      <c r="D45" s="124">
        <v>-6.3307493540051718E-2</v>
      </c>
      <c r="E45" s="123" t="s">
        <v>403</v>
      </c>
      <c r="F45" s="136"/>
      <c r="G45" s="125">
        <v>6.4245393020211772</v>
      </c>
      <c r="H45" s="125">
        <v>5.4975766587578079</v>
      </c>
      <c r="I45" s="125">
        <v>4.616335272227313</v>
      </c>
      <c r="J45" s="125">
        <v>3.8755017397782154</v>
      </c>
      <c r="K45" s="124">
        <v>5.3659578497742721E-2</v>
      </c>
      <c r="L45" s="136"/>
      <c r="M45" s="125">
        <v>9.8203334395911206</v>
      </c>
      <c r="N45" s="125">
        <v>7.9957226310941953</v>
      </c>
      <c r="O45" s="125">
        <v>6.7091305487290311</v>
      </c>
      <c r="P45" s="125">
        <v>5.7565579917647387</v>
      </c>
      <c r="Q45" s="124">
        <v>6.3775747533559413E-2</v>
      </c>
      <c r="S45" t="s">
        <v>477</v>
      </c>
      <c r="T45" t="s">
        <v>476</v>
      </c>
    </row>
    <row r="46" spans="1:20" ht="13.9">
      <c r="A46" s="117" t="s">
        <v>484</v>
      </c>
      <c r="B46" s="118" t="s">
        <v>929</v>
      </c>
      <c r="C46" s="118" t="s">
        <v>707</v>
      </c>
      <c r="D46" s="119">
        <v>0.4252748744400705</v>
      </c>
      <c r="E46" s="118" t="s">
        <v>454</v>
      </c>
      <c r="F46" s="136"/>
      <c r="G46" s="121">
        <v>5.5972291157911442</v>
      </c>
      <c r="H46" s="121">
        <v>5.1922595483928893</v>
      </c>
      <c r="I46" s="121">
        <v>4.7607856300609122</v>
      </c>
      <c r="J46" s="121">
        <v>4.1306835748744248</v>
      </c>
      <c r="K46" s="119">
        <v>5.7233618024008281E-2</v>
      </c>
      <c r="L46" s="136"/>
      <c r="M46" s="121">
        <v>16.021185233939956</v>
      </c>
      <c r="N46" s="121">
        <v>11.649517475729585</v>
      </c>
      <c r="O46" s="121">
        <v>9.7080959513469551</v>
      </c>
      <c r="P46" s="121">
        <v>7.5496381166225852</v>
      </c>
      <c r="Q46" s="119">
        <v>0.22775039103991079</v>
      </c>
      <c r="S46" t="s">
        <v>479</v>
      </c>
      <c r="T46" t="s">
        <v>478</v>
      </c>
    </row>
    <row r="47" spans="1:20" ht="13.9">
      <c r="A47" s="122" t="s">
        <v>486</v>
      </c>
      <c r="B47" s="123" t="s">
        <v>930</v>
      </c>
      <c r="C47" s="123" t="s">
        <v>931</v>
      </c>
      <c r="D47" s="124">
        <v>3.7296037296037365E-2</v>
      </c>
      <c r="E47" s="123" t="s">
        <v>403</v>
      </c>
      <c r="F47" s="136"/>
      <c r="G47" s="125">
        <v>9.9161823805143818</v>
      </c>
      <c r="H47" s="125">
        <v>9.7172189007999314</v>
      </c>
      <c r="I47" s="125">
        <v>9.1598556090030279</v>
      </c>
      <c r="J47" s="125">
        <v>8.5600928370794414</v>
      </c>
      <c r="K47" s="124">
        <v>-8.5467397240044374E-3</v>
      </c>
      <c r="L47" s="136"/>
      <c r="M47" s="125">
        <v>15.952971279152839</v>
      </c>
      <c r="N47" s="125">
        <v>15.135836079725562</v>
      </c>
      <c r="O47" s="125">
        <v>13.92111831762853</v>
      </c>
      <c r="P47" s="125">
        <v>12.986861136645503</v>
      </c>
      <c r="Q47" s="124">
        <v>1.1026867891429148E-2</v>
      </c>
      <c r="S47" t="s">
        <v>481</v>
      </c>
      <c r="T47" t="s">
        <v>480</v>
      </c>
    </row>
    <row r="48" spans="1:20" ht="13.9">
      <c r="A48" s="117" t="s">
        <v>488</v>
      </c>
      <c r="B48" s="118"/>
      <c r="C48" s="118"/>
      <c r="D48" s="119"/>
      <c r="E48" s="118"/>
      <c r="F48" s="136"/>
      <c r="G48" s="121">
        <v>5.9360724037995611</v>
      </c>
      <c r="H48" s="121">
        <v>5.55295097816877</v>
      </c>
      <c r="I48" s="121">
        <v>5.1729581269807241</v>
      </c>
      <c r="J48" s="121">
        <v>4.6432357833674995</v>
      </c>
      <c r="K48" s="119">
        <v>4.0206709781869465E-2</v>
      </c>
      <c r="L48" s="136"/>
      <c r="M48" s="121">
        <v>13.245469405839783</v>
      </c>
      <c r="N48" s="121">
        <v>11.224334379916408</v>
      </c>
      <c r="O48" s="121">
        <v>9.9513941758843938</v>
      </c>
      <c r="P48" s="121">
        <v>8.4025723043682436</v>
      </c>
      <c r="Q48" s="119">
        <v>0.11543739153020982</v>
      </c>
      <c r="S48" t="s">
        <v>483</v>
      </c>
      <c r="T48" t="s">
        <v>482</v>
      </c>
    </row>
    <row r="49" spans="1:20" ht="13.9">
      <c r="A49" s="122"/>
      <c r="B49" s="123"/>
      <c r="C49" s="123"/>
      <c r="D49" s="124"/>
      <c r="E49" s="123"/>
      <c r="F49" s="136"/>
      <c r="G49" s="125"/>
      <c r="H49" s="125"/>
      <c r="I49" s="125"/>
      <c r="J49" s="125"/>
      <c r="K49" s="124"/>
      <c r="L49" s="136"/>
      <c r="M49" s="125"/>
      <c r="N49" s="125"/>
      <c r="O49" s="125"/>
      <c r="P49" s="125"/>
      <c r="Q49" s="124"/>
      <c r="S49" t="s">
        <v>485</v>
      </c>
      <c r="T49" t="s">
        <v>484</v>
      </c>
    </row>
    <row r="50" spans="1:20" ht="13.9">
      <c r="A50" s="117" t="s">
        <v>489</v>
      </c>
      <c r="B50" s="118" t="s">
        <v>932</v>
      </c>
      <c r="C50" s="118" t="s">
        <v>743</v>
      </c>
      <c r="D50" s="119">
        <v>-0.11504424778761069</v>
      </c>
      <c r="E50" s="118" t="s">
        <v>403</v>
      </c>
      <c r="F50" s="136"/>
      <c r="G50" s="121">
        <v>11.557058672622977</v>
      </c>
      <c r="H50" s="121">
        <v>9.7654043737017009</v>
      </c>
      <c r="I50" s="121">
        <v>8.7633578415822715</v>
      </c>
      <c r="J50" s="121">
        <v>7.5975537883477511</v>
      </c>
      <c r="K50" s="119">
        <v>0.14955259290625622</v>
      </c>
      <c r="L50" s="136"/>
      <c r="M50" s="121">
        <v>47.956011704482819</v>
      </c>
      <c r="N50" s="121">
        <v>26.439422760673757</v>
      </c>
      <c r="O50" s="121">
        <v>18.698452663864483</v>
      </c>
      <c r="P50" s="121">
        <v>12.349260262041518</v>
      </c>
      <c r="Q50" s="119">
        <v>0.57110437675447701</v>
      </c>
      <c r="S50" t="s">
        <v>487</v>
      </c>
      <c r="T50" t="s">
        <v>486</v>
      </c>
    </row>
    <row r="51" spans="1:20" ht="13.9">
      <c r="A51" s="140" t="s">
        <v>491</v>
      </c>
      <c r="B51" s="146" t="s">
        <v>933</v>
      </c>
      <c r="C51" s="146" t="s">
        <v>706</v>
      </c>
      <c r="D51" s="147">
        <v>4.1249499399279133E-2</v>
      </c>
      <c r="E51" s="146" t="s">
        <v>403</v>
      </c>
      <c r="F51" s="136"/>
      <c r="G51" s="144">
        <v>13.578078193547917</v>
      </c>
      <c r="H51" s="144">
        <v>11.914016873890397</v>
      </c>
      <c r="I51" s="144">
        <v>10.505664493212482</v>
      </c>
      <c r="J51" s="144">
        <v>9.5401381156080163</v>
      </c>
      <c r="K51" s="142">
        <v>8.4782283208863163E-2</v>
      </c>
      <c r="L51" s="143"/>
      <c r="M51" s="144">
        <v>-31.768164761584618</v>
      </c>
      <c r="N51" s="144">
        <v>27.663007706532024</v>
      </c>
      <c r="O51" s="144">
        <v>18.731301682054394</v>
      </c>
      <c r="P51" s="144">
        <v>16.644179374066695</v>
      </c>
      <c r="Q51" s="142">
        <v>-2.1962573400279979</v>
      </c>
      <c r="T51" t="s">
        <v>488</v>
      </c>
    </row>
    <row r="52" spans="1:20" ht="13.9">
      <c r="A52" s="122" t="s">
        <v>493</v>
      </c>
      <c r="B52" s="123" t="s">
        <v>934</v>
      </c>
      <c r="C52" s="123" t="s">
        <v>935</v>
      </c>
      <c r="D52" s="124">
        <v>4.0804257835600266E-2</v>
      </c>
      <c r="E52" s="123" t="s">
        <v>454</v>
      </c>
      <c r="F52" s="120"/>
      <c r="G52" s="125">
        <v>14.957252455453792</v>
      </c>
      <c r="H52" s="125">
        <v>10.855973748003827</v>
      </c>
      <c r="I52" s="125">
        <v>7.8090496292793929</v>
      </c>
      <c r="J52" s="125">
        <v>6.4480780925390437</v>
      </c>
      <c r="K52" s="124">
        <v>0.24020893880867278</v>
      </c>
      <c r="L52" s="120"/>
      <c r="M52" s="125">
        <v>27.903673184925502</v>
      </c>
      <c r="N52" s="125">
        <v>17.077323127057884</v>
      </c>
      <c r="O52" s="125">
        <v>11.027057910582734</v>
      </c>
      <c r="P52" s="125">
        <v>8.8425486382029064</v>
      </c>
      <c r="Q52" s="124">
        <v>0.37419696552372161</v>
      </c>
    </row>
    <row r="53" spans="1:20" ht="13.9">
      <c r="A53" s="117" t="s">
        <v>495</v>
      </c>
      <c r="B53" s="118"/>
      <c r="C53" s="118"/>
      <c r="D53" s="119"/>
      <c r="E53" s="118"/>
      <c r="F53" s="120"/>
      <c r="G53" s="121">
        <v>12.205039428220246</v>
      </c>
      <c r="H53" s="121">
        <v>10.197410323339067</v>
      </c>
      <c r="I53" s="121">
        <v>8.8843674029099144</v>
      </c>
      <c r="J53" s="121">
        <v>7.7083090769974758</v>
      </c>
      <c r="K53" s="119">
        <v>0.14972066392499972</v>
      </c>
      <c r="L53" s="120"/>
      <c r="M53" s="121">
        <v>73.314514145821292</v>
      </c>
      <c r="N53" s="121">
        <v>25.026394309131454</v>
      </c>
      <c r="O53" s="121">
        <v>17.397621452895432</v>
      </c>
      <c r="P53" s="121">
        <v>12.356221811076908</v>
      </c>
      <c r="Q53" s="119">
        <v>0.78580377399721546</v>
      </c>
      <c r="S53" t="s">
        <v>490</v>
      </c>
      <c r="T53" t="s">
        <v>489</v>
      </c>
    </row>
    <row r="54" spans="1:20" ht="13.9">
      <c r="A54" s="122"/>
      <c r="B54" s="123"/>
      <c r="C54" s="123"/>
      <c r="D54" s="124"/>
      <c r="E54" s="123"/>
      <c r="F54" s="120"/>
      <c r="G54" s="125"/>
      <c r="H54" s="125"/>
      <c r="I54" s="125"/>
      <c r="J54" s="125"/>
      <c r="K54" s="124"/>
      <c r="L54" s="120"/>
      <c r="M54" s="125"/>
      <c r="N54" s="125"/>
      <c r="O54" s="125"/>
      <c r="P54" s="125"/>
      <c r="Q54" s="124"/>
      <c r="S54" t="s">
        <v>492</v>
      </c>
      <c r="T54" t="s">
        <v>491</v>
      </c>
    </row>
    <row r="55" spans="1:20" ht="13.9">
      <c r="A55" s="117"/>
      <c r="B55" s="118"/>
      <c r="C55" s="118"/>
      <c r="D55" s="119"/>
      <c r="E55" s="118"/>
      <c r="F55" s="120"/>
      <c r="G55" s="121"/>
      <c r="H55" s="121"/>
      <c r="I55" s="121"/>
      <c r="J55" s="121"/>
      <c r="K55" s="119"/>
      <c r="L55" s="120"/>
      <c r="M55" s="121"/>
      <c r="N55" s="121"/>
      <c r="O55" s="121"/>
      <c r="P55" s="121"/>
      <c r="Q55" s="119"/>
      <c r="S55" t="s">
        <v>494</v>
      </c>
      <c r="T55" t="s">
        <v>493</v>
      </c>
    </row>
    <row r="56" spans="1:20" ht="13.9">
      <c r="A56" s="140" t="s">
        <v>547</v>
      </c>
      <c r="B56" s="146" t="s">
        <v>936</v>
      </c>
      <c r="C56" s="146" t="s">
        <v>937</v>
      </c>
      <c r="D56" s="147">
        <v>3.0640668523676862E-2</v>
      </c>
      <c r="E56" s="146" t="s">
        <v>454</v>
      </c>
      <c r="F56" s="136"/>
      <c r="G56" s="144">
        <v>9.5430766980782753</v>
      </c>
      <c r="H56" s="144">
        <v>9.0032554251336343</v>
      </c>
      <c r="I56" s="144">
        <v>8.6582206130303518</v>
      </c>
      <c r="J56" s="144">
        <v>8.097423462731733</v>
      </c>
      <c r="K56" s="142">
        <v>2.5428490617417365E-2</v>
      </c>
      <c r="L56" s="143"/>
      <c r="M56" s="144">
        <v>18.93375463892103</v>
      </c>
      <c r="N56" s="144">
        <v>16.876700896292949</v>
      </c>
      <c r="O56" s="144">
        <v>16.119030396230514</v>
      </c>
      <c r="P56" s="144">
        <v>14.647405133846799</v>
      </c>
      <c r="Q56" s="142">
        <v>5.7507710396432321E-2</v>
      </c>
      <c r="R56" t="s">
        <v>547</v>
      </c>
      <c r="T56" t="s">
        <v>495</v>
      </c>
    </row>
    <row r="57" spans="1:20" ht="13.9">
      <c r="A57" s="122" t="s">
        <v>744</v>
      </c>
      <c r="B57" s="123" t="s">
        <v>938</v>
      </c>
      <c r="C57" s="123" t="s">
        <v>939</v>
      </c>
      <c r="D57" s="124">
        <v>-0.35822242273855176</v>
      </c>
      <c r="E57" s="123" t="s">
        <v>403</v>
      </c>
      <c r="F57" s="120"/>
      <c r="G57" s="125">
        <v>8.9258920714971239</v>
      </c>
      <c r="H57" s="125">
        <v>9.4554594443168494</v>
      </c>
      <c r="I57" s="125">
        <v>8.7246257068579762</v>
      </c>
      <c r="J57" s="125">
        <v>8.1207264007703905</v>
      </c>
      <c r="K57" s="124">
        <v>5.9362193894482163E-2</v>
      </c>
      <c r="L57" s="120"/>
      <c r="M57" s="125">
        <v>19.865272133121863</v>
      </c>
      <c r="N57" s="125">
        <v>17.887583538740568</v>
      </c>
      <c r="O57" s="125">
        <v>14.62111271774344</v>
      </c>
      <c r="P57" s="125">
        <v>12.540463554307635</v>
      </c>
      <c r="Q57" s="124">
        <v>0.19660972640363461</v>
      </c>
      <c r="R57" t="s">
        <v>744</v>
      </c>
    </row>
    <row r="58" spans="1:20" ht="13.9">
      <c r="A58" s="122" t="s">
        <v>498</v>
      </c>
      <c r="B58" s="123" t="s">
        <v>940</v>
      </c>
      <c r="C58" s="123" t="s">
        <v>941</v>
      </c>
      <c r="D58" s="124">
        <v>4.0355423917067812E-2</v>
      </c>
      <c r="E58" s="123" t="s">
        <v>454</v>
      </c>
      <c r="F58" s="120"/>
      <c r="G58" s="125">
        <v>9.9164247261786365</v>
      </c>
      <c r="H58" s="125">
        <v>9.007358852106945</v>
      </c>
      <c r="I58" s="125">
        <v>8.0376011832241332</v>
      </c>
      <c r="J58" s="125">
        <v>7.2241766549746407</v>
      </c>
      <c r="K58" s="124">
        <v>4.9127094997548415E-2</v>
      </c>
      <c r="L58" s="120"/>
      <c r="M58" s="125">
        <v>18.591854983304621</v>
      </c>
      <c r="N58" s="125">
        <v>16.63718407137107</v>
      </c>
      <c r="O58" s="125">
        <v>14.120058778911112</v>
      </c>
      <c r="P58" s="125">
        <v>12.445475195009227</v>
      </c>
      <c r="Q58" s="124">
        <v>7.9136202913069997E-2</v>
      </c>
      <c r="R58" t="s">
        <v>498</v>
      </c>
    </row>
    <row r="59" spans="1:20" ht="13.9">
      <c r="A59" s="117" t="s">
        <v>745</v>
      </c>
      <c r="B59" s="118" t="s">
        <v>942</v>
      </c>
      <c r="C59" s="118" t="s">
        <v>548</v>
      </c>
      <c r="D59" s="119">
        <v>-0.29181042309787542</v>
      </c>
      <c r="E59" s="118" t="s">
        <v>403</v>
      </c>
      <c r="F59" s="120"/>
      <c r="G59" s="121">
        <v>13.88200197704337</v>
      </c>
      <c r="H59" s="121">
        <v>10.306775574322147</v>
      </c>
      <c r="I59" s="121">
        <v>9.2256444636049313</v>
      </c>
      <c r="J59" s="121">
        <v>8.4783818023870445</v>
      </c>
      <c r="K59" s="119">
        <v>0.86307873349569908</v>
      </c>
      <c r="L59" s="120"/>
      <c r="M59" s="121">
        <v>36.025803480140048</v>
      </c>
      <c r="N59" s="121">
        <v>21.332403209827834</v>
      </c>
      <c r="O59" s="121">
        <v>15.795437003567411</v>
      </c>
      <c r="P59" s="121">
        <v>12.940911550807094</v>
      </c>
      <c r="Q59" s="119">
        <v>1.2236568403916235</v>
      </c>
      <c r="R59" t="s">
        <v>745</v>
      </c>
      <c r="S59" t="s">
        <v>497</v>
      </c>
      <c r="T59" t="s">
        <v>496</v>
      </c>
    </row>
    <row r="60" spans="1:20" ht="13.9">
      <c r="A60" s="122" t="s">
        <v>549</v>
      </c>
      <c r="B60" s="123" t="s">
        <v>943</v>
      </c>
      <c r="C60" s="123" t="s">
        <v>944</v>
      </c>
      <c r="D60" s="124">
        <v>8.1994928148774404E-2</v>
      </c>
      <c r="E60" s="123" t="s">
        <v>454</v>
      </c>
      <c r="F60" s="120"/>
      <c r="G60" s="125">
        <v>7.7706323644670503</v>
      </c>
      <c r="H60" s="125">
        <v>7.2500986439881707</v>
      </c>
      <c r="I60" s="125">
        <v>6.5945557955263494</v>
      </c>
      <c r="J60" s="125">
        <v>5.9358065405656344</v>
      </c>
      <c r="K60" s="124">
        <v>5.3155768155796146E-2</v>
      </c>
      <c r="L60" s="120"/>
      <c r="M60" s="125">
        <v>23.569483083907745</v>
      </c>
      <c r="N60" s="125">
        <v>18.336152679657364</v>
      </c>
      <c r="O60" s="125">
        <v>12.784273361097744</v>
      </c>
      <c r="P60" s="125">
        <v>10.028519503596394</v>
      </c>
      <c r="Q60" s="124">
        <v>0.27998480482972377</v>
      </c>
      <c r="R60" t="s">
        <v>549</v>
      </c>
      <c r="S60" t="s">
        <v>499</v>
      </c>
      <c r="T60" t="s">
        <v>498</v>
      </c>
    </row>
    <row r="61" spans="1:20" ht="13.9">
      <c r="A61" s="122" t="s">
        <v>502</v>
      </c>
      <c r="B61" s="123" t="s">
        <v>945</v>
      </c>
      <c r="C61" s="123" t="s">
        <v>946</v>
      </c>
      <c r="D61" s="124">
        <v>-0.13776210072506367</v>
      </c>
      <c r="E61" s="123" t="s">
        <v>403</v>
      </c>
      <c r="F61" s="120"/>
      <c r="G61" s="125">
        <v>10.337964084403035</v>
      </c>
      <c r="H61" s="125">
        <v>9.6035048526844271</v>
      </c>
      <c r="I61" s="125">
        <v>9.0800191625270497</v>
      </c>
      <c r="J61" s="125">
        <v>8.5905348640498289</v>
      </c>
      <c r="K61" s="124">
        <v>3.499181228310011E-2</v>
      </c>
      <c r="L61" s="120"/>
      <c r="M61" s="125">
        <v>17.299883253458599</v>
      </c>
      <c r="N61" s="125">
        <v>15.280042314455635</v>
      </c>
      <c r="O61" s="125">
        <v>14.407251976740897</v>
      </c>
      <c r="P61" s="125">
        <v>13.48362939590222</v>
      </c>
      <c r="Q61" s="124">
        <v>5.7330510402978208E-2</v>
      </c>
      <c r="R61" t="s">
        <v>502</v>
      </c>
      <c r="S61" t="s">
        <v>501</v>
      </c>
      <c r="T61" t="s">
        <v>500</v>
      </c>
    </row>
    <row r="62" spans="1:20" ht="13.9">
      <c r="A62" s="117" t="s">
        <v>508</v>
      </c>
      <c r="B62" s="118"/>
      <c r="C62" s="118"/>
      <c r="D62" s="119"/>
      <c r="E62" s="118"/>
      <c r="F62" s="120"/>
      <c r="G62" s="121">
        <v>9.6892313744900598</v>
      </c>
      <c r="H62" s="121">
        <v>9.3624808671769504</v>
      </c>
      <c r="I62" s="121">
        <v>8.4855563865244594</v>
      </c>
      <c r="J62" s="121">
        <v>7.7701089233573342</v>
      </c>
      <c r="K62" s="119">
        <v>0.11440420957026531</v>
      </c>
      <c r="L62" s="120"/>
      <c r="M62" s="121">
        <v>19.577138689324048</v>
      </c>
      <c r="N62" s="121">
        <v>17.772968816432847</v>
      </c>
      <c r="O62" s="121">
        <v>14.600477117566907</v>
      </c>
      <c r="P62" s="121">
        <v>12.586067365281194</v>
      </c>
      <c r="Q62" s="119">
        <v>0.19961455328354361</v>
      </c>
      <c r="R62" t="s">
        <v>508</v>
      </c>
      <c r="S62" t="s">
        <v>503</v>
      </c>
      <c r="T62" t="s">
        <v>502</v>
      </c>
    </row>
    <row r="63" spans="1:20" ht="13.9">
      <c r="A63" s="122"/>
      <c r="B63" s="123"/>
      <c r="C63" s="123"/>
      <c r="D63" s="124"/>
      <c r="E63" s="123"/>
      <c r="F63" s="120"/>
      <c r="G63" s="125"/>
      <c r="H63" s="125"/>
      <c r="I63" s="125"/>
      <c r="J63" s="125"/>
      <c r="K63" s="124"/>
      <c r="L63" s="120"/>
      <c r="M63" s="125"/>
      <c r="N63" s="125"/>
      <c r="O63" s="125"/>
      <c r="P63" s="125"/>
      <c r="Q63" s="124"/>
      <c r="S63" t="s">
        <v>505</v>
      </c>
      <c r="T63" t="s">
        <v>504</v>
      </c>
    </row>
    <row r="64" spans="1:20" ht="13.9">
      <c r="A64" s="126" t="s">
        <v>509</v>
      </c>
      <c r="B64" s="127" t="s">
        <v>947</v>
      </c>
      <c r="C64" s="127" t="s">
        <v>511</v>
      </c>
      <c r="D64" s="128">
        <v>-0.19311457772996232</v>
      </c>
      <c r="E64" s="127" t="s">
        <v>403</v>
      </c>
      <c r="F64" s="120"/>
      <c r="G64" s="129">
        <v>7.4298626728609865</v>
      </c>
      <c r="H64" s="129">
        <v>6.9542655361886139</v>
      </c>
      <c r="I64" s="129">
        <v>6.5515395266134586</v>
      </c>
      <c r="J64" s="129">
        <v>6.2892993360938503</v>
      </c>
      <c r="K64" s="130">
        <v>2.3489461142373935E-2</v>
      </c>
      <c r="L64" s="148"/>
      <c r="M64" s="129">
        <v>14.458745176644708</v>
      </c>
      <c r="N64" s="129">
        <v>13.109988829099285</v>
      </c>
      <c r="O64" s="129">
        <v>11.786947461581839</v>
      </c>
      <c r="P64" s="129">
        <v>11.083889645303636</v>
      </c>
      <c r="Q64" s="130">
        <v>5.7880645280907528E-2</v>
      </c>
      <c r="S64" t="s">
        <v>507</v>
      </c>
      <c r="T64" t="s">
        <v>506</v>
      </c>
    </row>
    <row r="65" spans="1:20" ht="13.9">
      <c r="A65" s="132" t="s">
        <v>512</v>
      </c>
      <c r="B65" s="133" t="s">
        <v>948</v>
      </c>
      <c r="C65" s="133" t="s">
        <v>949</v>
      </c>
      <c r="D65" s="134">
        <v>2.5896966672211974E-2</v>
      </c>
      <c r="E65" s="133" t="s">
        <v>454</v>
      </c>
      <c r="F65" s="120"/>
      <c r="G65" s="135">
        <v>9.7405255744508725</v>
      </c>
      <c r="H65" s="135">
        <v>9.0756293473251812</v>
      </c>
      <c r="I65" s="135">
        <v>8.1098479821334895</v>
      </c>
      <c r="J65" s="135">
        <v>7.4339848127360337</v>
      </c>
      <c r="K65" s="134">
        <v>6.6881695374935601E-2</v>
      </c>
      <c r="L65" s="120"/>
      <c r="M65" s="135">
        <v>32.066332902475004</v>
      </c>
      <c r="N65" s="135">
        <v>18.391163783481172</v>
      </c>
      <c r="O65" s="135">
        <v>15.542989306400392</v>
      </c>
      <c r="P65" s="135">
        <v>13.594459921610017</v>
      </c>
      <c r="Q65" s="134">
        <v>0.29785189697152048</v>
      </c>
      <c r="T65" t="s">
        <v>508</v>
      </c>
    </row>
    <row r="66" spans="1:20" ht="13.9">
      <c r="A66" s="117" t="s">
        <v>514</v>
      </c>
      <c r="B66" s="118" t="s">
        <v>950</v>
      </c>
      <c r="C66" s="118" t="s">
        <v>550</v>
      </c>
      <c r="D66" s="119">
        <v>0.11580726965342358</v>
      </c>
      <c r="E66" s="118" t="s">
        <v>454</v>
      </c>
      <c r="F66" s="120"/>
      <c r="G66" s="121">
        <v>8.4954544914580445</v>
      </c>
      <c r="H66" s="121">
        <v>7.8858996548438096</v>
      </c>
      <c r="I66" s="121">
        <v>7.1125541134397299</v>
      </c>
      <c r="J66" s="121">
        <v>6.4918200358560973</v>
      </c>
      <c r="K66" s="119">
        <v>6.3994399044362771E-2</v>
      </c>
      <c r="L66" s="120"/>
      <c r="M66" s="121">
        <v>12.500300255538013</v>
      </c>
      <c r="N66" s="121">
        <v>11.795001755923947</v>
      </c>
      <c r="O66" s="121">
        <v>10.156042003053134</v>
      </c>
      <c r="P66" s="121">
        <v>9.1461067003789012</v>
      </c>
      <c r="Q66" s="119">
        <v>7.9511699753941567E-2</v>
      </c>
    </row>
    <row r="67" spans="1:20" ht="13.9">
      <c r="A67" s="132" t="s">
        <v>516</v>
      </c>
      <c r="B67" s="133" t="s">
        <v>951</v>
      </c>
      <c r="C67" s="133" t="s">
        <v>551</v>
      </c>
      <c r="D67" s="134">
        <v>0.23910050481872425</v>
      </c>
      <c r="E67" s="133" t="s">
        <v>454</v>
      </c>
      <c r="F67" s="120"/>
      <c r="G67" s="135">
        <v>7.8113850572738741</v>
      </c>
      <c r="H67" s="135">
        <v>7.1701598505670319</v>
      </c>
      <c r="I67" s="135">
        <v>6.6263239620931547</v>
      </c>
      <c r="J67" s="135">
        <v>6.1833479875863606</v>
      </c>
      <c r="K67" s="134">
        <v>5.2304746673934144E-2</v>
      </c>
      <c r="L67" s="120"/>
      <c r="M67" s="135">
        <v>15.558478879508456</v>
      </c>
      <c r="N67" s="135">
        <v>14.075659438916443</v>
      </c>
      <c r="O67" s="135">
        <v>12.481281890539869</v>
      </c>
      <c r="P67" s="135">
        <v>11.384584249127043</v>
      </c>
      <c r="Q67" s="134">
        <v>8.0247814782791194E-2</v>
      </c>
      <c r="S67" t="s">
        <v>510</v>
      </c>
      <c r="T67" t="s">
        <v>509</v>
      </c>
    </row>
    <row r="68" spans="1:20" ht="13.9">
      <c r="A68" s="117" t="s">
        <v>518</v>
      </c>
      <c r="B68" s="118"/>
      <c r="C68" s="118"/>
      <c r="D68" s="119"/>
      <c r="E68" s="118"/>
      <c r="F68" s="120"/>
      <c r="G68" s="121">
        <v>8.3962767912001688</v>
      </c>
      <c r="H68" s="121">
        <v>7.7818146277104727</v>
      </c>
      <c r="I68" s="121">
        <v>7.0658945006052765</v>
      </c>
      <c r="J68" s="121">
        <v>6.4986046627499263</v>
      </c>
      <c r="K68" s="119">
        <v>5.9654081016333516E-2</v>
      </c>
      <c r="L68" s="120"/>
      <c r="M68" s="121">
        <v>14.035416763824658</v>
      </c>
      <c r="N68" s="121">
        <v>12.760170875193285</v>
      </c>
      <c r="O68" s="121">
        <v>11.052002297787707</v>
      </c>
      <c r="P68" s="121">
        <v>9.9690559141986199</v>
      </c>
      <c r="Q68" s="119">
        <v>9.0433032238274702E-2</v>
      </c>
      <c r="S68" t="s">
        <v>513</v>
      </c>
      <c r="T68" t="s">
        <v>512</v>
      </c>
    </row>
    <row r="69" spans="1:20" ht="13.9">
      <c r="A69" s="132"/>
      <c r="B69" s="123"/>
      <c r="C69" s="133"/>
      <c r="D69" s="134"/>
      <c r="E69" s="133"/>
      <c r="F69" s="120"/>
      <c r="G69" s="135"/>
      <c r="H69" s="135"/>
      <c r="I69" s="135"/>
      <c r="J69" s="135"/>
      <c r="K69" s="134"/>
      <c r="L69" s="120"/>
      <c r="M69" s="135"/>
      <c r="N69" s="135"/>
      <c r="O69" s="135"/>
      <c r="P69" s="135"/>
      <c r="Q69" s="134"/>
      <c r="S69" t="s">
        <v>515</v>
      </c>
      <c r="T69" t="s">
        <v>514</v>
      </c>
    </row>
    <row r="70" spans="1:20" ht="13.9">
      <c r="A70" s="126"/>
      <c r="B70" s="127"/>
      <c r="C70" s="127"/>
      <c r="D70" s="128"/>
      <c r="E70" s="127"/>
      <c r="F70" s="120"/>
      <c r="G70" s="129"/>
      <c r="H70" s="129"/>
      <c r="I70" s="129"/>
      <c r="J70" s="129"/>
      <c r="K70" s="130"/>
      <c r="L70" s="148"/>
      <c r="M70" s="129"/>
      <c r="N70" s="129"/>
      <c r="O70" s="129"/>
      <c r="P70" s="129"/>
      <c r="Q70" s="130"/>
      <c r="S70" t="s">
        <v>517</v>
      </c>
      <c r="T70" t="s">
        <v>516</v>
      </c>
    </row>
    <row r="71" spans="1:20" ht="13.9">
      <c r="A71" s="132" t="s">
        <v>519</v>
      </c>
      <c r="B71" s="133" t="s">
        <v>952</v>
      </c>
      <c r="C71" s="133" t="e">
        <v>#VALUE!</v>
      </c>
      <c r="D71" s="134" t="s">
        <v>437</v>
      </c>
      <c r="E71" s="133" t="s">
        <v>454</v>
      </c>
      <c r="F71" s="120"/>
      <c r="G71" s="135">
        <v>9.8270766169826054</v>
      </c>
      <c r="H71" s="135">
        <v>11.75980249179398</v>
      </c>
      <c r="I71" s="135">
        <v>9.5726542544881781</v>
      </c>
      <c r="J71" s="135">
        <v>9.3984111261109806</v>
      </c>
      <c r="K71" s="134">
        <v>0.12916926241332893</v>
      </c>
      <c r="L71" s="120"/>
      <c r="M71" s="135">
        <v>14.574498861663702</v>
      </c>
      <c r="N71" s="135">
        <v>20.162398756751198</v>
      </c>
      <c r="O71" s="135">
        <v>14.803313858301594</v>
      </c>
      <c r="P71" s="135">
        <v>15.144429687209861</v>
      </c>
      <c r="Q71" s="134">
        <v>9.8371652073038662E-2</v>
      </c>
      <c r="T71" t="s">
        <v>518</v>
      </c>
    </row>
    <row r="72" spans="1:20" ht="13.9">
      <c r="A72" s="132" t="s">
        <v>521</v>
      </c>
      <c r="B72" s="133" t="s">
        <v>953</v>
      </c>
      <c r="C72" s="133" t="s">
        <v>954</v>
      </c>
      <c r="D72" s="134">
        <v>8.5714285714285632E-2</v>
      </c>
      <c r="E72" s="133" t="s">
        <v>454</v>
      </c>
      <c r="F72" s="120"/>
      <c r="G72" s="135">
        <v>11.488551134863066</v>
      </c>
      <c r="H72" s="135">
        <v>8.74424345920999</v>
      </c>
      <c r="I72" s="135">
        <v>9.5294764210370602</v>
      </c>
      <c r="J72" s="135">
        <v>8.0003254709776428</v>
      </c>
      <c r="K72" s="134">
        <v>7.8108552015157207E-2</v>
      </c>
      <c r="L72" s="120"/>
      <c r="M72" s="135">
        <v>50.73291272710668</v>
      </c>
      <c r="N72" s="135">
        <v>14.281401552060677</v>
      </c>
      <c r="O72" s="135">
        <v>17.611861767118427</v>
      </c>
      <c r="P72" s="135">
        <v>11.572077928028028</v>
      </c>
      <c r="Q72" s="134">
        <v>0.56399768128935346</v>
      </c>
    </row>
    <row r="73" spans="1:20" ht="13.9">
      <c r="A73" s="117" t="s">
        <v>746</v>
      </c>
      <c r="B73" s="118" t="s">
        <v>955</v>
      </c>
      <c r="C73" s="118" t="s">
        <v>747</v>
      </c>
      <c r="D73" s="119">
        <v>6.538237011091641E-2</v>
      </c>
      <c r="E73" s="118" t="s">
        <v>403</v>
      </c>
      <c r="F73" s="136"/>
      <c r="G73" s="121">
        <v>194.96852174525699</v>
      </c>
      <c r="H73" s="121">
        <v>60.72328813297171</v>
      </c>
      <c r="I73" s="121">
        <v>32.510004278849458</v>
      </c>
      <c r="J73" s="121">
        <v>22.605435099191347</v>
      </c>
      <c r="K73" s="119">
        <v>1.0186858447556078</v>
      </c>
      <c r="L73" s="136"/>
      <c r="M73" s="121">
        <v>-70.63010599073462</v>
      </c>
      <c r="N73" s="121">
        <v>-158.5604760817256</v>
      </c>
      <c r="O73" s="121">
        <v>260.82365287225861</v>
      </c>
      <c r="P73" s="121">
        <v>80.517901128175637</v>
      </c>
      <c r="Q73" s="119">
        <v>-1.9422887347741038</v>
      </c>
    </row>
    <row r="74" spans="1:20" ht="13.9">
      <c r="A74" s="122" t="s">
        <v>523</v>
      </c>
      <c r="B74" s="123"/>
      <c r="C74" s="123"/>
      <c r="D74" s="124"/>
      <c r="E74" s="123"/>
      <c r="F74" s="136"/>
      <c r="G74" s="125" t="s">
        <v>438</v>
      </c>
      <c r="H74" s="125" t="s">
        <v>438</v>
      </c>
      <c r="I74" s="125" t="s">
        <v>438</v>
      </c>
      <c r="J74" s="125" t="s">
        <v>438</v>
      </c>
      <c r="K74" s="124" t="s">
        <v>438</v>
      </c>
      <c r="L74" s="136"/>
      <c r="M74" s="125" t="s">
        <v>438</v>
      </c>
      <c r="N74" s="125" t="s">
        <v>438</v>
      </c>
      <c r="O74" s="125" t="s">
        <v>438</v>
      </c>
      <c r="P74" s="125" t="s">
        <v>438</v>
      </c>
      <c r="Q74" s="124" t="s">
        <v>438</v>
      </c>
      <c r="S74" t="s">
        <v>520</v>
      </c>
      <c r="T74" t="s">
        <v>519</v>
      </c>
    </row>
    <row r="75" spans="1:20" ht="13.9">
      <c r="A75" s="126"/>
      <c r="B75" s="127"/>
      <c r="C75" s="127"/>
      <c r="D75" s="128"/>
      <c r="E75" s="127"/>
      <c r="F75" s="136"/>
      <c r="G75" s="129"/>
      <c r="H75" s="129"/>
      <c r="I75" s="129"/>
      <c r="J75" s="129"/>
      <c r="K75" s="129"/>
      <c r="L75" s="143"/>
      <c r="M75" s="129"/>
      <c r="N75" s="129"/>
      <c r="O75" s="129"/>
      <c r="P75" s="129"/>
      <c r="Q75" s="129"/>
      <c r="S75" t="s">
        <v>522</v>
      </c>
      <c r="T75" t="s">
        <v>521</v>
      </c>
    </row>
    <row r="76" spans="1:20" ht="13.9">
      <c r="A76" s="122" t="s">
        <v>524</v>
      </c>
      <c r="B76" s="123" t="s">
        <v>956</v>
      </c>
      <c r="C76" s="123" t="s">
        <v>957</v>
      </c>
      <c r="D76" s="124">
        <v>2.0988112295079242E-2</v>
      </c>
      <c r="E76" s="123" t="s">
        <v>403</v>
      </c>
      <c r="F76" s="136"/>
      <c r="G76" s="125">
        <v>7.1937020349864529</v>
      </c>
      <c r="H76" s="125">
        <v>6.8215619908018317</v>
      </c>
      <c r="I76" s="125">
        <v>6.2124264440460681</v>
      </c>
      <c r="J76" s="125">
        <v>5.4587745177943114</v>
      </c>
      <c r="K76" s="124">
        <v>2.3505879381544359E-2</v>
      </c>
      <c r="L76" s="136"/>
      <c r="M76" s="125">
        <v>11.600937799202129</v>
      </c>
      <c r="N76" s="125">
        <v>10.433663712681238</v>
      </c>
      <c r="O76" s="125">
        <v>9.1457953335993452</v>
      </c>
      <c r="P76" s="125">
        <v>7.7622845396579203</v>
      </c>
      <c r="Q76" s="124">
        <v>6.7347306402306462E-2</v>
      </c>
      <c r="T76" t="s">
        <v>523</v>
      </c>
    </row>
    <row r="77" spans="1:20" ht="13.9">
      <c r="A77" s="117" t="s">
        <v>526</v>
      </c>
      <c r="B77" s="118" t="s">
        <v>958</v>
      </c>
      <c r="C77" s="118" t="s">
        <v>959</v>
      </c>
      <c r="D77" s="119">
        <v>0.67083278515984723</v>
      </c>
      <c r="E77" s="118" t="s">
        <v>454</v>
      </c>
      <c r="F77" s="136"/>
      <c r="G77" s="121">
        <v>3.6029819540883694</v>
      </c>
      <c r="H77" s="121">
        <v>6.4275144064512704</v>
      </c>
      <c r="I77" s="121">
        <v>6.4212345858411295</v>
      </c>
      <c r="J77" s="121">
        <v>6.3401608981370954</v>
      </c>
      <c r="K77" s="119">
        <v>-1.2153188515674707E-2</v>
      </c>
      <c r="L77" s="136"/>
      <c r="M77" s="121">
        <v>3.6029819540883694</v>
      </c>
      <c r="N77" s="121">
        <v>6.4275144064512704</v>
      </c>
      <c r="O77" s="121">
        <v>6.4212345858411295</v>
      </c>
      <c r="P77" s="121">
        <v>6.3401608981370954</v>
      </c>
      <c r="Q77" s="119">
        <v>-2.9024664545773238E-2</v>
      </c>
    </row>
    <row r="78" spans="1:20" ht="13.9">
      <c r="A78" s="122" t="s">
        <v>528</v>
      </c>
      <c r="B78" s="123"/>
      <c r="C78" s="123"/>
      <c r="D78" s="124"/>
      <c r="E78" s="123"/>
      <c r="F78" s="136"/>
      <c r="G78" s="125">
        <v>6.2788301863311888</v>
      </c>
      <c r="H78" s="125">
        <v>6.7214639815594852</v>
      </c>
      <c r="I78" s="125">
        <v>6.2636874761508325</v>
      </c>
      <c r="J78" s="125">
        <v>5.6660061932644146</v>
      </c>
      <c r="K78" s="124">
        <v>1.4656961313818995E-2</v>
      </c>
      <c r="L78" s="136"/>
      <c r="M78" s="125">
        <v>10.290528308185694</v>
      </c>
      <c r="N78" s="125">
        <v>10.619327569923245</v>
      </c>
      <c r="O78" s="125">
        <v>9.6352248896307948</v>
      </c>
      <c r="P78" s="125">
        <v>8.4866257733128911</v>
      </c>
      <c r="Q78" s="124">
        <v>0.19961455328354361</v>
      </c>
      <c r="S78" t="s">
        <v>525</v>
      </c>
      <c r="T78" t="s">
        <v>524</v>
      </c>
    </row>
    <row r="79" spans="1:20" ht="13.9">
      <c r="A79" s="126"/>
      <c r="B79" s="127"/>
      <c r="C79" s="127"/>
      <c r="D79" s="128"/>
      <c r="E79" s="127"/>
      <c r="F79" s="136"/>
      <c r="G79" s="149"/>
      <c r="H79" s="149"/>
      <c r="I79" s="149"/>
      <c r="J79" s="149"/>
      <c r="K79" s="150"/>
      <c r="L79" s="136"/>
      <c r="M79" s="149"/>
      <c r="N79" s="149"/>
      <c r="O79" s="149"/>
      <c r="P79" s="149"/>
      <c r="Q79" s="150"/>
      <c r="S79" t="s">
        <v>527</v>
      </c>
      <c r="T79" t="s">
        <v>526</v>
      </c>
    </row>
    <row r="80" spans="1:20" ht="13.9">
      <c r="A80" s="132"/>
      <c r="B80" s="133"/>
      <c r="C80" s="133"/>
      <c r="D80" s="134"/>
      <c r="E80" s="133"/>
      <c r="F80" s="120"/>
      <c r="G80" s="135"/>
      <c r="H80" s="135"/>
      <c r="I80" s="135"/>
      <c r="J80" s="135"/>
      <c r="K80" s="134"/>
      <c r="L80" s="120"/>
      <c r="M80" s="135"/>
      <c r="N80" s="135"/>
      <c r="O80" s="135"/>
      <c r="P80" s="135"/>
      <c r="Q80" s="134"/>
      <c r="T80" t="s">
        <v>528</v>
      </c>
    </row>
    <row r="81" spans="1:20" ht="13.9">
      <c r="A81" s="132" t="s">
        <v>529</v>
      </c>
      <c r="B81" s="133" t="s">
        <v>749</v>
      </c>
      <c r="C81" s="133" t="s">
        <v>552</v>
      </c>
      <c r="D81" s="134">
        <v>9.3113385670277271E-2</v>
      </c>
      <c r="E81" s="133" t="s">
        <v>454</v>
      </c>
      <c r="F81" s="120"/>
      <c r="G81" s="135">
        <v>24.957916008458149</v>
      </c>
      <c r="H81" s="135">
        <v>20.458467429325932</v>
      </c>
      <c r="I81" s="135">
        <v>17.550771373451703</v>
      </c>
      <c r="J81" s="135">
        <v>15.458825267754561</v>
      </c>
      <c r="K81" s="134">
        <v>0.1768390110208693</v>
      </c>
      <c r="L81" s="120"/>
      <c r="M81" s="135">
        <v>37.413099329811338</v>
      </c>
      <c r="N81" s="135">
        <v>33.04414525074192</v>
      </c>
      <c r="O81" s="135">
        <v>28.311100690837165</v>
      </c>
      <c r="P81" s="135">
        <v>24.839454489625087</v>
      </c>
      <c r="Q81" s="134">
        <v>0.14991831354707386</v>
      </c>
    </row>
    <row r="82" spans="1:20" ht="13.9">
      <c r="A82" s="117" t="s">
        <v>531</v>
      </c>
      <c r="B82" s="118" t="s">
        <v>750</v>
      </c>
      <c r="C82" s="118" t="s">
        <v>748</v>
      </c>
      <c r="D82" s="119">
        <v>8.7781431823931166E-2</v>
      </c>
      <c r="E82" s="118" t="s">
        <v>403</v>
      </c>
      <c r="F82" s="120"/>
      <c r="G82" s="121">
        <v>19.350675202149336</v>
      </c>
      <c r="H82" s="121">
        <v>17.293636872489724</v>
      </c>
      <c r="I82" s="121">
        <v>16.303389278161578</v>
      </c>
      <c r="J82" s="121">
        <v>15.381495230180477</v>
      </c>
      <c r="K82" s="119">
        <v>8.3252575228096592E-2</v>
      </c>
      <c r="L82" s="120"/>
      <c r="M82" s="121">
        <v>28.309876299197146</v>
      </c>
      <c r="N82" s="121">
        <v>25.975082479261189</v>
      </c>
      <c r="O82" s="121">
        <v>23.480756855207581</v>
      </c>
      <c r="P82" s="121">
        <v>21.438095766953825</v>
      </c>
      <c r="Q82" s="119">
        <v>0.1008998074171612</v>
      </c>
    </row>
    <row r="83" spans="1:20" ht="13.9">
      <c r="A83" s="122" t="s">
        <v>533</v>
      </c>
      <c r="B83" s="123" t="s">
        <v>751</v>
      </c>
      <c r="C83" s="123" t="s">
        <v>553</v>
      </c>
      <c r="D83" s="124">
        <v>0.11219859418097688</v>
      </c>
      <c r="E83" s="123" t="s">
        <v>454</v>
      </c>
      <c r="F83" s="120"/>
      <c r="G83" s="125">
        <v>24.603376189048522</v>
      </c>
      <c r="H83" s="125">
        <v>21.884124992523475</v>
      </c>
      <c r="I83" s="125">
        <v>19.6927598777593</v>
      </c>
      <c r="J83" s="125">
        <v>17.604086669196402</v>
      </c>
      <c r="K83" s="124">
        <v>0.17264175040811058</v>
      </c>
      <c r="L83" s="120"/>
      <c r="M83" s="125">
        <v>31.217228679024249</v>
      </c>
      <c r="N83" s="125">
        <v>27.110430145649524</v>
      </c>
      <c r="O83" s="125">
        <v>25.094993828462975</v>
      </c>
      <c r="P83" s="125">
        <v>22.083127551328168</v>
      </c>
      <c r="Q83" s="124">
        <v>0.17710771064064001</v>
      </c>
      <c r="S83" t="s">
        <v>530</v>
      </c>
      <c r="T83" t="s">
        <v>529</v>
      </c>
    </row>
    <row r="84" spans="1:20" ht="13.9">
      <c r="A84" s="117" t="s">
        <v>535</v>
      </c>
      <c r="B84" s="118"/>
      <c r="C84" s="118"/>
      <c r="D84" s="119"/>
      <c r="E84" s="118"/>
      <c r="F84" s="120"/>
      <c r="G84" s="121">
        <v>22.788509145015908</v>
      </c>
      <c r="H84" s="121">
        <v>19.538780862901884</v>
      </c>
      <c r="I84" s="121">
        <v>17.502524233679988</v>
      </c>
      <c r="J84" s="121">
        <v>15.821698752143774</v>
      </c>
      <c r="K84" s="119">
        <v>0.14266479156394052</v>
      </c>
      <c r="L84" s="120"/>
      <c r="M84" s="121">
        <v>32.859385009862713</v>
      </c>
      <c r="N84" s="121">
        <v>29.227221435854769</v>
      </c>
      <c r="O84" s="121">
        <v>25.961312878883348</v>
      </c>
      <c r="P84" s="121">
        <v>23.116134056717343</v>
      </c>
      <c r="Q84" s="119">
        <v>0.13766043274461159</v>
      </c>
      <c r="S84" t="s">
        <v>532</v>
      </c>
      <c r="T84" t="s">
        <v>531</v>
      </c>
    </row>
    <row r="85" spans="1:20" ht="13.9">
      <c r="A85" s="140"/>
      <c r="B85" s="146"/>
      <c r="C85" s="146"/>
      <c r="D85" s="147"/>
      <c r="E85" s="146"/>
      <c r="F85" s="136"/>
      <c r="G85" s="144"/>
      <c r="H85" s="144"/>
      <c r="I85" s="144"/>
      <c r="J85" s="144"/>
      <c r="K85" s="142"/>
      <c r="L85" s="143"/>
      <c r="M85" s="144"/>
      <c r="N85" s="144"/>
      <c r="O85" s="144"/>
      <c r="P85" s="144"/>
      <c r="Q85" s="142"/>
      <c r="S85" t="s">
        <v>534</v>
      </c>
      <c r="T85" t="s">
        <v>533</v>
      </c>
    </row>
    <row r="86" spans="1:20" ht="13.9">
      <c r="A86" s="132"/>
      <c r="B86" s="133"/>
      <c r="C86" s="133"/>
      <c r="D86" s="134"/>
      <c r="E86" s="133"/>
      <c r="F86" s="120"/>
      <c r="G86" s="135"/>
      <c r="H86" s="135"/>
      <c r="I86" s="135"/>
      <c r="J86" s="135"/>
      <c r="K86" s="134"/>
      <c r="L86" s="120"/>
      <c r="M86" s="135"/>
      <c r="N86" s="135"/>
      <c r="O86" s="135"/>
      <c r="P86" s="135"/>
      <c r="Q86" s="134"/>
      <c r="T86" t="s">
        <v>535</v>
      </c>
    </row>
    <row r="87" spans="1:20" ht="13.9">
      <c r="A87" s="132" t="s">
        <v>536</v>
      </c>
      <c r="B87" s="133"/>
      <c r="C87" s="133"/>
      <c r="D87" s="134"/>
      <c r="E87" s="133"/>
      <c r="F87" s="120"/>
      <c r="G87" s="135">
        <v>7.6968787605693949</v>
      </c>
      <c r="H87" s="135">
        <v>7.3557992973541655</v>
      </c>
      <c r="I87" s="135">
        <v>6.9319161546674657</v>
      </c>
      <c r="J87" s="135">
        <v>6.5125126908173261</v>
      </c>
      <c r="K87" s="134">
        <v>3.5494504114418346E-2</v>
      </c>
      <c r="L87" s="120"/>
      <c r="M87" s="135">
        <v>16.410298227920823</v>
      </c>
      <c r="N87" s="135">
        <v>15.061649620652814</v>
      </c>
      <c r="O87" s="135">
        <v>12.779887293978684</v>
      </c>
      <c r="P87" s="135">
        <v>11.552617381867449</v>
      </c>
      <c r="Q87" s="134">
        <v>0.10095898072624032</v>
      </c>
    </row>
    <row r="88" spans="1:20" ht="13.9">
      <c r="A88" s="126" t="s">
        <v>537</v>
      </c>
      <c r="B88" s="127"/>
      <c r="C88" s="127"/>
      <c r="D88" s="128"/>
      <c r="E88" s="127"/>
      <c r="F88" s="120"/>
      <c r="G88" s="129">
        <v>7.9540309547666332</v>
      </c>
      <c r="H88" s="129">
        <v>7.7360345039320801</v>
      </c>
      <c r="I88" s="129">
        <v>7.404737665278935</v>
      </c>
      <c r="J88" s="129">
        <v>6.8104797192321147</v>
      </c>
      <c r="K88" s="130">
        <v>4.2235350257365134E-2</v>
      </c>
      <c r="L88" s="131"/>
      <c r="M88" s="129">
        <v>14.860433514316137</v>
      </c>
      <c r="N88" s="129">
        <v>13.708901730077447</v>
      </c>
      <c r="O88" s="129">
        <v>12.690310930091702</v>
      </c>
      <c r="P88" s="129">
        <v>11.333092767912946</v>
      </c>
      <c r="Q88" s="130">
        <v>8.3237335348111952E-2</v>
      </c>
    </row>
    <row r="89" spans="1:20" ht="13.9">
      <c r="A89" s="151" t="s">
        <v>960</v>
      </c>
      <c r="B89" s="133"/>
      <c r="C89" s="133"/>
      <c r="D89" s="134"/>
      <c r="E89" s="133"/>
      <c r="F89" s="120"/>
      <c r="G89" s="148">
        <v>5.5538234616860427</v>
      </c>
      <c r="H89" s="148">
        <v>5.169655461183905</v>
      </c>
      <c r="I89" s="148">
        <v>4.839898156084204</v>
      </c>
      <c r="J89" s="148">
        <v>4.4105594058705657</v>
      </c>
      <c r="K89" s="152">
        <v>2.7733060386667896E-2</v>
      </c>
      <c r="L89" s="131"/>
      <c r="M89" s="148">
        <v>12.371042358369127</v>
      </c>
      <c r="N89" s="148">
        <v>10.581145488357944</v>
      </c>
      <c r="O89" s="148">
        <v>9.522789127601877</v>
      </c>
      <c r="P89" s="148">
        <v>8.2648463485689376</v>
      </c>
      <c r="Q89" s="152">
        <v>8.8691166033875612E-2</v>
      </c>
      <c r="T89" t="s">
        <v>536</v>
      </c>
    </row>
    <row r="90" spans="1:20" ht="13.9">
      <c r="A90" s="153"/>
      <c r="B90" s="127"/>
      <c r="C90" s="127"/>
      <c r="D90" s="128"/>
      <c r="E90" s="127"/>
      <c r="F90" s="120"/>
      <c r="G90" s="129"/>
      <c r="H90" s="129"/>
      <c r="I90" s="129"/>
      <c r="J90" s="129"/>
      <c r="K90" s="130"/>
      <c r="L90" s="131"/>
      <c r="M90" s="129"/>
      <c r="N90" s="129"/>
      <c r="O90" s="129"/>
      <c r="P90" s="129"/>
      <c r="Q90" s="130"/>
      <c r="T90" t="s">
        <v>537</v>
      </c>
    </row>
    <row r="91" spans="1:20" ht="13.9">
      <c r="A91" s="145" t="s">
        <v>961</v>
      </c>
      <c r="B91" s="123"/>
      <c r="C91" s="123"/>
      <c r="D91" s="124"/>
      <c r="E91" s="123"/>
      <c r="F91" s="120"/>
      <c r="G91" s="139">
        <v>7.3551046564776499</v>
      </c>
      <c r="H91" s="139">
        <v>7.0635116223566143</v>
      </c>
      <c r="I91" s="139">
        <v>6.7033981671970686</v>
      </c>
      <c r="J91" s="139">
        <v>6.2094496020942334</v>
      </c>
      <c r="K91" s="138">
        <v>3.6684121136834946E-2</v>
      </c>
      <c r="L91" s="131"/>
      <c r="M91" s="139">
        <v>14.944294578112331</v>
      </c>
      <c r="N91" s="139">
        <v>13.59964775477615</v>
      </c>
      <c r="O91" s="139">
        <v>12.132827667858221</v>
      </c>
      <c r="P91" s="139">
        <v>10.83271514990291</v>
      </c>
      <c r="Q91" s="138">
        <v>9.0721553518178011E-2</v>
      </c>
      <c r="T91" t="s">
        <v>538</v>
      </c>
    </row>
    <row r="92" spans="1:20" ht="13.9">
      <c r="A92" s="153"/>
      <c r="B92" s="127"/>
      <c r="C92" s="127"/>
      <c r="D92" s="128"/>
      <c r="E92" s="127"/>
      <c r="F92" s="120"/>
      <c r="G92" s="129"/>
      <c r="H92" s="129"/>
      <c r="I92" s="129"/>
      <c r="J92" s="129"/>
      <c r="K92" s="130"/>
      <c r="L92" s="131"/>
      <c r="M92" s="129"/>
      <c r="N92" s="129"/>
      <c r="O92" s="129"/>
      <c r="P92" s="129"/>
      <c r="Q92" s="130"/>
    </row>
    <row r="93" spans="1:20">
      <c r="A93" t="s">
        <v>539</v>
      </c>
      <c r="G93">
        <v>6.7422910583014533</v>
      </c>
      <c r="H93">
        <v>0</v>
      </c>
      <c r="I93">
        <v>6.4849957648333874</v>
      </c>
      <c r="J93">
        <v>6.0538381464468358</v>
      </c>
      <c r="K93">
        <v>2.3411183472064723E-2</v>
      </c>
      <c r="M93">
        <v>13.319375743132953</v>
      </c>
      <c r="N93">
        <v>0</v>
      </c>
      <c r="O93">
        <v>12.378178553404938</v>
      </c>
      <c r="P93">
        <v>10.829024827584925</v>
      </c>
      <c r="Q93">
        <v>5.7846780244145579E-2</v>
      </c>
      <c r="T93" t="s">
        <v>539</v>
      </c>
    </row>
    <row r="100" spans="1:17" ht="35.25" customHeight="1">
      <c r="A100" s="169"/>
      <c r="B100" s="170"/>
      <c r="C100" s="171"/>
      <c r="D100" s="171"/>
      <c r="E100" s="171"/>
      <c r="F100" s="171"/>
      <c r="G100" s="172" t="str">
        <f t="shared" ref="G100:Q100" si="0">+G1</f>
        <v>2013A</v>
      </c>
      <c r="H100" s="172" t="str">
        <f t="shared" si="0"/>
        <v>2014E</v>
      </c>
      <c r="I100" s="172" t="str">
        <f t="shared" si="0"/>
        <v>2015E</v>
      </c>
      <c r="J100" s="172" t="str">
        <f t="shared" si="0"/>
        <v>2016E</v>
      </c>
      <c r="K100" s="173" t="str">
        <f t="shared" si="0"/>
        <v>CAGR   13A-16E</v>
      </c>
      <c r="L100" s="174"/>
      <c r="M100" s="172" t="str">
        <f t="shared" si="0"/>
        <v>2013A</v>
      </c>
      <c r="N100" s="172" t="str">
        <f t="shared" si="0"/>
        <v>2014E</v>
      </c>
      <c r="O100" s="172" t="str">
        <f t="shared" si="0"/>
        <v>2015E</v>
      </c>
      <c r="P100" s="172" t="str">
        <f t="shared" si="0"/>
        <v>2016E</v>
      </c>
      <c r="Q100" s="173" t="str">
        <f t="shared" si="0"/>
        <v>CAGR   13A-16E</v>
      </c>
    </row>
    <row r="101" spans="1:17" ht="15.4">
      <c r="A101" s="170"/>
      <c r="B101" s="172" t="str">
        <f t="shared" ref="B101:P101" si="1">+B2</f>
        <v>Price</v>
      </c>
      <c r="C101" s="172" t="str">
        <f t="shared" si="1"/>
        <v>Target</v>
      </c>
      <c r="D101" s="172" t="str">
        <f t="shared" si="1"/>
        <v>Upside</v>
      </c>
      <c r="E101" s="172" t="str">
        <f t="shared" si="1"/>
        <v>Rating</v>
      </c>
      <c r="F101" s="172"/>
      <c r="G101" s="1375" t="str">
        <f t="shared" si="1"/>
        <v>EV/EBITDA</v>
      </c>
      <c r="H101" s="1375">
        <f t="shared" si="1"/>
        <v>0</v>
      </c>
      <c r="I101" s="1375">
        <f t="shared" si="1"/>
        <v>0</v>
      </c>
      <c r="J101" s="1375">
        <f t="shared" si="1"/>
        <v>0</v>
      </c>
      <c r="K101" s="172"/>
      <c r="L101" s="174"/>
      <c r="M101" s="1375" t="str">
        <f t="shared" si="1"/>
        <v>EV/OpFCF</v>
      </c>
      <c r="N101" s="1375">
        <f t="shared" si="1"/>
        <v>0</v>
      </c>
      <c r="O101" s="1375">
        <f t="shared" si="1"/>
        <v>0</v>
      </c>
      <c r="P101" s="1375">
        <f t="shared" si="1"/>
        <v>0</v>
      </c>
      <c r="Q101" s="172"/>
    </row>
    <row r="102" spans="1:17" ht="15.4">
      <c r="A102" s="175" t="s">
        <v>554</v>
      </c>
      <c r="B102" s="176">
        <f>+Valuation!C4</f>
        <v>3.7</v>
      </c>
      <c r="C102" s="176">
        <f ca="1">+Valuation!C5</f>
        <v>-31.241622960416098</v>
      </c>
      <c r="D102" s="177">
        <f ca="1">+C102/B102-1</f>
        <v>-9.4436818811935392</v>
      </c>
      <c r="E102" s="178" t="s">
        <v>403</v>
      </c>
      <c r="F102" s="179"/>
      <c r="G102" s="180">
        <f ca="1">+Valuation!C46</f>
        <v>10.997521778276489</v>
      </c>
      <c r="H102" s="180">
        <f ca="1">+Valuation!D46</f>
        <v>10.771034734617951</v>
      </c>
      <c r="I102" s="180">
        <f ca="1">+Valuation!E46</f>
        <v>13.612954933999259</v>
      </c>
      <c r="J102" s="180">
        <f ca="1">+Valuation!F46</f>
        <v>7.7413182808227559</v>
      </c>
      <c r="K102" s="177">
        <f>+(Valuation!F9/Valuation!C9)^(0.333333333333333)-1</f>
        <v>0.41606675189834874</v>
      </c>
      <c r="L102" s="179"/>
      <c r="M102" s="180">
        <f ca="1">+Valuation!C47</f>
        <v>26.481907364334351</v>
      </c>
      <c r="N102" s="180">
        <f ca="1">+Valuation!D47</f>
        <v>71.825442945078066</v>
      </c>
      <c r="O102" s="180">
        <f ca="1">+Valuation!E47</f>
        <v>69.282540058009161</v>
      </c>
      <c r="P102" s="180">
        <f ca="1">+Valuation!F47</f>
        <v>19.796561370488462</v>
      </c>
      <c r="Q102" s="177">
        <f>+((Valuation!F9+Valuation!F11)/(Valuation!C9+Valuation!C11))^(0.333333333333333)-1</f>
        <v>0.42677791711644586</v>
      </c>
    </row>
    <row r="103" spans="1:17" ht="15.4">
      <c r="A103" s="181"/>
      <c r="B103" s="182"/>
      <c r="C103" s="182"/>
      <c r="D103" s="183"/>
      <c r="E103" s="182"/>
      <c r="F103" s="179"/>
      <c r="G103" s="184"/>
      <c r="H103" s="184"/>
      <c r="I103" s="184"/>
      <c r="J103" s="184"/>
      <c r="K103" s="183"/>
      <c r="L103" s="179"/>
      <c r="M103" s="184"/>
      <c r="N103" s="184"/>
      <c r="O103" s="184"/>
      <c r="P103" s="184"/>
      <c r="Q103" s="183"/>
    </row>
    <row r="104" spans="1:17" ht="15.4">
      <c r="A104" s="175" t="str">
        <f>+A5</f>
        <v>Deutsche Telekom</v>
      </c>
      <c r="B104" s="178" t="str">
        <f>+B5</f>
        <v>E 16.54</v>
      </c>
      <c r="C104" s="178" t="str">
        <f>+C5</f>
        <v>E 12.00</v>
      </c>
      <c r="D104" s="177">
        <f>+D5</f>
        <v>-0.27426670698518296</v>
      </c>
      <c r="E104" s="178" t="str">
        <f>+E5</f>
        <v>Neutral</v>
      </c>
      <c r="F104" s="179"/>
      <c r="G104" s="180">
        <f>+G5</f>
        <v>7.5837248618788644</v>
      </c>
      <c r="H104" s="180">
        <f>+H5</f>
        <v>6.6610670612758511</v>
      </c>
      <c r="I104" s="180">
        <f>+I5</f>
        <v>6.2788424666337272</v>
      </c>
      <c r="J104" s="180">
        <f>+J5</f>
        <v>5.8590718447520951</v>
      </c>
      <c r="K104" s="177">
        <f>+K5</f>
        <v>6.9313597512240532E-2</v>
      </c>
      <c r="L104" s="179"/>
      <c r="M104" s="180">
        <f>+M5</f>
        <v>16.469574076387477</v>
      </c>
      <c r="N104" s="180">
        <f>+N5</f>
        <v>13.898581195559803</v>
      </c>
      <c r="O104" s="180">
        <f>+O5</f>
        <v>12.629915042281301</v>
      </c>
      <c r="P104" s="180">
        <f>+P5</f>
        <v>11.444347891606522</v>
      </c>
      <c r="Q104" s="177">
        <f>+Q5</f>
        <v>0.10777343578992116</v>
      </c>
    </row>
    <row r="105" spans="1:17" ht="15.4">
      <c r="A105" s="181" t="str">
        <f>+A37</f>
        <v>Telefonica Deutschland</v>
      </c>
      <c r="B105" s="182" t="str">
        <f>+B37</f>
        <v>E 4.92</v>
      </c>
      <c r="C105" s="182" t="str">
        <f>+C37</f>
        <v>E 4.20</v>
      </c>
      <c r="D105" s="183">
        <f>+D37</f>
        <v>-0.14634146341463405</v>
      </c>
      <c r="E105" s="182" t="str">
        <f>+E37</f>
        <v>Neutral</v>
      </c>
      <c r="F105" s="179"/>
      <c r="G105" s="184">
        <f>+G37</f>
        <v>8.2509017471192259</v>
      </c>
      <c r="H105" s="184">
        <f>+H37</f>
        <v>9.6363789620070417</v>
      </c>
      <c r="I105" s="184">
        <f>+I37</f>
        <v>8.6375104591102634</v>
      </c>
      <c r="J105" s="184">
        <f>+J37</f>
        <v>7.5273574829299417</v>
      </c>
      <c r="K105" s="183">
        <f>+K37</f>
        <v>0.19467095656949995</v>
      </c>
      <c r="L105" s="179"/>
      <c r="M105" s="184">
        <f>+M37</f>
        <v>28.18687797223706</v>
      </c>
      <c r="N105" s="184">
        <f>+N37</f>
        <v>25.952490649922634</v>
      </c>
      <c r="O105" s="184">
        <f>+O37</f>
        <v>20.243095710064779</v>
      </c>
      <c r="P105" s="184">
        <f>+P37</f>
        <v>15.61349977903846</v>
      </c>
      <c r="Q105" s="183">
        <f>+Q37</f>
        <v>0.41083942024070597</v>
      </c>
    </row>
    <row r="106" spans="1:17" ht="15">
      <c r="A106" s="168"/>
      <c r="B106" s="168"/>
      <c r="C106" s="168"/>
      <c r="D106" s="168"/>
      <c r="E106" s="168"/>
      <c r="F106" s="168"/>
      <c r="G106" s="168"/>
      <c r="H106" s="168"/>
      <c r="I106" s="168"/>
      <c r="J106" s="168"/>
      <c r="K106" s="168"/>
      <c r="L106" s="168"/>
      <c r="M106" s="168"/>
      <c r="N106" s="168"/>
      <c r="O106" s="168"/>
      <c r="P106" s="168"/>
      <c r="Q106" s="168"/>
    </row>
    <row r="107" spans="1:17" ht="15.4">
      <c r="A107" s="175" t="str">
        <f>+A57</f>
        <v>Altice</v>
      </c>
      <c r="B107" s="178" t="str">
        <f>+B57</f>
        <v>E 88.7</v>
      </c>
      <c r="C107" s="178" t="str">
        <f>+C57</f>
        <v>E 56.9</v>
      </c>
      <c r="D107" s="177">
        <f>+D57</f>
        <v>-0.35822242273855176</v>
      </c>
      <c r="E107" s="178" t="str">
        <f>+E57</f>
        <v>Neutral</v>
      </c>
      <c r="F107" s="179"/>
      <c r="G107" s="180">
        <f>+G57</f>
        <v>8.9258920714971239</v>
      </c>
      <c r="H107" s="180">
        <f>+H57</f>
        <v>9.4554594443168494</v>
      </c>
      <c r="I107" s="180">
        <f>+I57</f>
        <v>8.7246257068579762</v>
      </c>
      <c r="J107" s="180">
        <f>+J57</f>
        <v>8.1207264007703905</v>
      </c>
      <c r="K107" s="177">
        <f>+K57</f>
        <v>5.9362193894482163E-2</v>
      </c>
      <c r="L107" s="179"/>
      <c r="M107" s="180">
        <f>+M57</f>
        <v>19.865272133121863</v>
      </c>
      <c r="N107" s="180">
        <f>+N57</f>
        <v>17.887583538740568</v>
      </c>
      <c r="O107" s="180">
        <f>+O57</f>
        <v>14.62111271774344</v>
      </c>
      <c r="P107" s="180">
        <f>+P57</f>
        <v>12.540463554307635</v>
      </c>
      <c r="Q107" s="177">
        <f>+Q57</f>
        <v>0.19660972640363461</v>
      </c>
    </row>
    <row r="108" spans="1:17" ht="15.4">
      <c r="A108" s="181" t="str">
        <f>+A56</f>
        <v>Comhem</v>
      </c>
      <c r="B108" s="182" t="str">
        <f>+B56</f>
        <v>SEK71.8</v>
      </c>
      <c r="C108" s="182" t="str">
        <f>+C56</f>
        <v>SEK74.0</v>
      </c>
      <c r="D108" s="183">
        <f>+D56</f>
        <v>3.0640668523676862E-2</v>
      </c>
      <c r="E108" s="182" t="str">
        <f>+E56</f>
        <v>Buy</v>
      </c>
      <c r="F108" s="179"/>
      <c r="G108" s="184">
        <f>+G56</f>
        <v>9.5430766980782753</v>
      </c>
      <c r="H108" s="184">
        <f>+H56</f>
        <v>9.0032554251336343</v>
      </c>
      <c r="I108" s="184">
        <f>+I56</f>
        <v>8.6582206130303518</v>
      </c>
      <c r="J108" s="184">
        <f>+J56</f>
        <v>8.097423462731733</v>
      </c>
      <c r="K108" s="183">
        <f>+K56</f>
        <v>2.5428490617417365E-2</v>
      </c>
      <c r="L108" s="179"/>
      <c r="M108" s="184">
        <f>+M56</f>
        <v>18.93375463892103</v>
      </c>
      <c r="N108" s="184">
        <f>+N56</f>
        <v>16.876700896292949</v>
      </c>
      <c r="O108" s="184">
        <f>+O56</f>
        <v>16.119030396230514</v>
      </c>
      <c r="P108" s="184">
        <f>+P56</f>
        <v>14.647405133846799</v>
      </c>
      <c r="Q108" s="183">
        <f>+Q56</f>
        <v>5.7507710396432321E-2</v>
      </c>
    </row>
    <row r="109" spans="1:17" ht="15.4">
      <c r="A109" s="175" t="str">
        <f>+A58</f>
        <v>Liberty Global</v>
      </c>
      <c r="B109" s="178" t="str">
        <f>+B58</f>
        <v>US$ 54.0</v>
      </c>
      <c r="C109" s="178" t="str">
        <f>+C58</f>
        <v>US$ 56.2</v>
      </c>
      <c r="D109" s="177">
        <f>+D58</f>
        <v>4.0355423917067812E-2</v>
      </c>
      <c r="E109" s="178" t="str">
        <f>+E58</f>
        <v>Buy</v>
      </c>
      <c r="F109" s="179"/>
      <c r="G109" s="180">
        <f>+G58</f>
        <v>9.9164247261786365</v>
      </c>
      <c r="H109" s="180">
        <f>+H58</f>
        <v>9.007358852106945</v>
      </c>
      <c r="I109" s="180">
        <f>+I58</f>
        <v>8.0376011832241332</v>
      </c>
      <c r="J109" s="180">
        <f>+J58</f>
        <v>7.2241766549746407</v>
      </c>
      <c r="K109" s="177">
        <f>+K58</f>
        <v>4.9127094997548415E-2</v>
      </c>
      <c r="L109" s="179"/>
      <c r="M109" s="180">
        <f>+M58</f>
        <v>18.591854983304621</v>
      </c>
      <c r="N109" s="180">
        <f>+N58</f>
        <v>16.63718407137107</v>
      </c>
      <c r="O109" s="180">
        <f>+O58</f>
        <v>14.120058778911112</v>
      </c>
      <c r="P109" s="180">
        <f>+P58</f>
        <v>12.445475195009227</v>
      </c>
      <c r="Q109" s="177">
        <f>+Q58</f>
        <v>7.9136202913069997E-2</v>
      </c>
    </row>
    <row r="110" spans="1:17" ht="15.4">
      <c r="A110" s="181" t="str">
        <f>+A61</f>
        <v>Telenet</v>
      </c>
      <c r="B110" s="182" t="str">
        <f>+B61</f>
        <v>E 51.0</v>
      </c>
      <c r="C110" s="182" t="str">
        <f>+C61</f>
        <v>E 44.0</v>
      </c>
      <c r="D110" s="183">
        <f>+D61</f>
        <v>-0.13776210072506367</v>
      </c>
      <c r="E110" s="182" t="str">
        <f>+E61</f>
        <v>Neutral</v>
      </c>
      <c r="F110" s="179"/>
      <c r="G110" s="184">
        <f>+G61</f>
        <v>10.337964084403035</v>
      </c>
      <c r="H110" s="184">
        <f>+H61</f>
        <v>9.6035048526844271</v>
      </c>
      <c r="I110" s="184">
        <f>+I61</f>
        <v>9.0800191625270497</v>
      </c>
      <c r="J110" s="184">
        <f>+J61</f>
        <v>8.5905348640498289</v>
      </c>
      <c r="K110" s="183">
        <f>+K61</f>
        <v>3.499181228310011E-2</v>
      </c>
      <c r="L110" s="179"/>
      <c r="M110" s="184">
        <f>+M61</f>
        <v>17.299883253458599</v>
      </c>
      <c r="N110" s="184">
        <f>+N61</f>
        <v>15.280042314455635</v>
      </c>
      <c r="O110" s="184">
        <f>+O61</f>
        <v>14.407251976740897</v>
      </c>
      <c r="P110" s="184">
        <f>+P61</f>
        <v>13.48362939590222</v>
      </c>
      <c r="Q110" s="183">
        <f>+Q61</f>
        <v>5.7330510402978208E-2</v>
      </c>
    </row>
    <row r="111" spans="1:17" ht="15.4">
      <c r="A111" s="175" t="str">
        <f>+A60</f>
        <v>Nos</v>
      </c>
      <c r="B111" s="178" t="str">
        <f>+B60</f>
        <v>E 5.92</v>
      </c>
      <c r="C111" s="178" t="str">
        <f>+C60</f>
        <v>E 6.40</v>
      </c>
      <c r="D111" s="177">
        <f>+D60</f>
        <v>8.1994928148774404E-2</v>
      </c>
      <c r="E111" s="178" t="str">
        <f>+E60</f>
        <v>Buy</v>
      </c>
      <c r="F111" s="179"/>
      <c r="G111" s="180">
        <f>+G60</f>
        <v>7.7706323644670503</v>
      </c>
      <c r="H111" s="180">
        <f>+H60</f>
        <v>7.2500986439881707</v>
      </c>
      <c r="I111" s="180">
        <f>+I60</f>
        <v>6.5945557955263494</v>
      </c>
      <c r="J111" s="180">
        <f>+J60</f>
        <v>5.9358065405656344</v>
      </c>
      <c r="K111" s="177">
        <f>+K60</f>
        <v>5.3155768155796146E-2</v>
      </c>
      <c r="L111" s="179"/>
      <c r="M111" s="180">
        <f>+M60</f>
        <v>23.569483083907745</v>
      </c>
      <c r="N111" s="180">
        <f>+N60</f>
        <v>18.336152679657364</v>
      </c>
      <c r="O111" s="180">
        <f>+O60</f>
        <v>12.784273361097744</v>
      </c>
      <c r="P111" s="180">
        <f>+P60</f>
        <v>10.028519503596394</v>
      </c>
      <c r="Q111" s="177">
        <f>+Q60</f>
        <v>0.27998480482972377</v>
      </c>
    </row>
    <row r="112" spans="1:17" ht="15.4">
      <c r="A112" s="181"/>
      <c r="B112" s="182"/>
      <c r="C112" s="182"/>
      <c r="D112" s="183"/>
      <c r="E112" s="182"/>
      <c r="F112" s="179"/>
      <c r="G112" s="184"/>
      <c r="H112" s="184"/>
      <c r="I112" s="184"/>
      <c r="J112" s="184"/>
      <c r="K112" s="183"/>
      <c r="L112" s="179"/>
      <c r="M112" s="184"/>
      <c r="N112" s="184"/>
      <c r="O112" s="184"/>
      <c r="P112" s="184"/>
      <c r="Q112" s="183"/>
    </row>
    <row r="113" spans="1:17" ht="15.4">
      <c r="A113" s="175" t="str">
        <f>+A17</f>
        <v>Agg. W.Europe Incumbent</v>
      </c>
      <c r="B113" s="178"/>
      <c r="C113" s="178"/>
      <c r="D113" s="177"/>
      <c r="E113" s="178"/>
      <c r="F113" s="179"/>
      <c r="G113" s="185">
        <f>+G17</f>
        <v>7.2191999672466638</v>
      </c>
      <c r="H113" s="185">
        <f>+H17</f>
        <v>6.7647921002061357</v>
      </c>
      <c r="I113" s="185">
        <f>+I17</f>
        <v>6.4802805038123932</v>
      </c>
      <c r="J113" s="185">
        <f>+J17</f>
        <v>6.2149719604623987</v>
      </c>
      <c r="K113" s="186">
        <f>+K17</f>
        <v>1.3079348127107648E-2</v>
      </c>
      <c r="L113" s="187"/>
      <c r="M113" s="185">
        <f>+M17</f>
        <v>13.805892219027175</v>
      </c>
      <c r="N113" s="185">
        <f>+N17</f>
        <v>12.855874014429762</v>
      </c>
      <c r="O113" s="185">
        <f>+O17</f>
        <v>11.994729437616355</v>
      </c>
      <c r="P113" s="185">
        <f>+P17</f>
        <v>11.237742202588212</v>
      </c>
      <c r="Q113" s="186">
        <f>+Q17</f>
        <v>3.2179669703899405E-2</v>
      </c>
    </row>
    <row r="114" spans="1:17" ht="15.4">
      <c r="A114" s="181" t="str">
        <f>+A62</f>
        <v>Agg. W. Europe CATV</v>
      </c>
      <c r="B114" s="182"/>
      <c r="C114" s="182"/>
      <c r="D114" s="183"/>
      <c r="E114" s="182"/>
      <c r="F114" s="188"/>
      <c r="G114" s="189">
        <f>+G62</f>
        <v>9.6892313744900598</v>
      </c>
      <c r="H114" s="189">
        <f>+H62</f>
        <v>9.3624808671769504</v>
      </c>
      <c r="I114" s="189">
        <f>+I62</f>
        <v>8.4855563865244594</v>
      </c>
      <c r="J114" s="189">
        <f>+J62</f>
        <v>7.7701089233573342</v>
      </c>
      <c r="K114" s="190">
        <f>+K62</f>
        <v>0.11440420957026531</v>
      </c>
      <c r="L114" s="189"/>
      <c r="M114" s="189">
        <f>+M62</f>
        <v>19.577138689324048</v>
      </c>
      <c r="N114" s="189">
        <f>+N62</f>
        <v>17.772968816432847</v>
      </c>
      <c r="O114" s="189">
        <f>+O62</f>
        <v>14.600477117566907</v>
      </c>
      <c r="P114" s="189">
        <f>+P62</f>
        <v>12.586067365281194</v>
      </c>
      <c r="Q114" s="190">
        <f>+Q62</f>
        <v>0.19961455328354361</v>
      </c>
    </row>
    <row r="115" spans="1:17" ht="15.4">
      <c r="A115" s="175" t="str">
        <f>+A68</f>
        <v>Agg. US CATV</v>
      </c>
      <c r="B115" s="178"/>
      <c r="C115" s="178"/>
      <c r="D115" s="177"/>
      <c r="E115" s="178"/>
      <c r="F115" s="179"/>
      <c r="G115" s="185">
        <f>+G68</f>
        <v>8.3962767912001688</v>
      </c>
      <c r="H115" s="185">
        <f>+H68</f>
        <v>7.7818146277104727</v>
      </c>
      <c r="I115" s="185">
        <f>+I68</f>
        <v>7.0658945006052765</v>
      </c>
      <c r="J115" s="185">
        <f>+J68</f>
        <v>6.4986046627499263</v>
      </c>
      <c r="K115" s="186">
        <f>+K68</f>
        <v>5.9654081016333516E-2</v>
      </c>
      <c r="L115" s="191"/>
      <c r="M115" s="185">
        <f>+M68</f>
        <v>14.035416763824658</v>
      </c>
      <c r="N115" s="185">
        <f>+N68</f>
        <v>12.760170875193285</v>
      </c>
      <c r="O115" s="185">
        <f>+O68</f>
        <v>11.052002297787707</v>
      </c>
      <c r="P115" s="185">
        <f>+P68</f>
        <v>9.9690559141986199</v>
      </c>
      <c r="Q115" s="186">
        <f>+Q68</f>
        <v>9.0433032238274702E-2</v>
      </c>
    </row>
    <row r="123" spans="1:17">
      <c r="B123" s="154"/>
      <c r="C123" s="154"/>
    </row>
    <row r="125" spans="1:17">
      <c r="A125" t="s">
        <v>559</v>
      </c>
      <c r="B125" s="3">
        <f ca="1">+Valuation!C54</f>
        <v>3.9049819088930726</v>
      </c>
      <c r="C125" s="156">
        <f>+K102</f>
        <v>0.41606675189834874</v>
      </c>
      <c r="D125" s="155">
        <f ca="1">+Valuation!C55</f>
        <v>9.4031520242112485</v>
      </c>
      <c r="E125" s="156">
        <f>+Q102</f>
        <v>0.42677791711644586</v>
      </c>
    </row>
    <row r="126" spans="1:17">
      <c r="A126" t="s">
        <v>555</v>
      </c>
      <c r="B126" s="3">
        <f>+H104</f>
        <v>6.6610670612758511</v>
      </c>
      <c r="C126" s="156">
        <f>+K104</f>
        <v>6.9313597512240532E-2</v>
      </c>
      <c r="D126" s="155">
        <f>+N104</f>
        <v>13.898581195559803</v>
      </c>
      <c r="E126" s="156">
        <f>+Q104</f>
        <v>0.10777343578992116</v>
      </c>
    </row>
    <row r="127" spans="1:17">
      <c r="A127" t="s">
        <v>556</v>
      </c>
      <c r="B127" s="3">
        <f>+H105</f>
        <v>9.6363789620070417</v>
      </c>
      <c r="C127" s="156">
        <f>+K105</f>
        <v>0.19467095656949995</v>
      </c>
      <c r="D127" s="155">
        <f>+N105</f>
        <v>25.952490649922634</v>
      </c>
      <c r="E127" s="156">
        <f>+Q105</f>
        <v>0.41083942024070597</v>
      </c>
    </row>
    <row r="128" spans="1:17">
      <c r="A128" t="s">
        <v>557</v>
      </c>
      <c r="B128" s="3">
        <f>+H107</f>
        <v>9.4554594443168494</v>
      </c>
      <c r="C128" s="156">
        <f>+K107</f>
        <v>5.9362193894482163E-2</v>
      </c>
      <c r="D128" s="155">
        <f>+N107</f>
        <v>17.887583538740568</v>
      </c>
      <c r="E128" s="156">
        <f>+Q107</f>
        <v>0.19660972640363461</v>
      </c>
    </row>
    <row r="129" spans="1:5">
      <c r="A129" t="s">
        <v>496</v>
      </c>
      <c r="B129" s="3">
        <f>+H108</f>
        <v>9.0032554251336343</v>
      </c>
      <c r="C129" s="156">
        <f>+K108</f>
        <v>2.5428490617417365E-2</v>
      </c>
      <c r="D129" s="155">
        <f>+N108</f>
        <v>16.876700896292949</v>
      </c>
      <c r="E129" s="156">
        <f>+Q108</f>
        <v>5.7507710396432321E-2</v>
      </c>
    </row>
    <row r="130" spans="1:5">
      <c r="A130" t="s">
        <v>540</v>
      </c>
      <c r="B130" s="3">
        <f>+H109</f>
        <v>9.007358852106945</v>
      </c>
      <c r="C130" s="156">
        <f>+K109</f>
        <v>4.9127094997548415E-2</v>
      </c>
      <c r="D130" s="155">
        <f>+N109</f>
        <v>16.63718407137107</v>
      </c>
      <c r="E130" s="156">
        <f>+Q109</f>
        <v>7.9136202913069997E-2</v>
      </c>
    </row>
    <row r="131" spans="1:5">
      <c r="A131" t="s">
        <v>541</v>
      </c>
      <c r="B131" s="3">
        <f>+H110</f>
        <v>9.6035048526844271</v>
      </c>
      <c r="C131" s="156">
        <f>+K110</f>
        <v>3.499181228310011E-2</v>
      </c>
      <c r="D131" s="155">
        <f>+N110</f>
        <v>15.280042314455635</v>
      </c>
      <c r="E131" s="156">
        <f>+Q110</f>
        <v>5.7330510402978208E-2</v>
      </c>
    </row>
    <row r="132" spans="1:5">
      <c r="A132" t="s">
        <v>542</v>
      </c>
      <c r="B132" s="3">
        <f>+H111</f>
        <v>7.2500986439881707</v>
      </c>
      <c r="C132" s="156">
        <f>+K111</f>
        <v>5.3155768155796146E-2</v>
      </c>
      <c r="D132" s="155">
        <f>+N111</f>
        <v>18.336152679657364</v>
      </c>
      <c r="E132" s="156">
        <f>+Q111</f>
        <v>0.27998480482972377</v>
      </c>
    </row>
    <row r="133" spans="1:5">
      <c r="A133" t="s">
        <v>543</v>
      </c>
      <c r="B133" s="3" t="e">
        <f>+#REF!</f>
        <v>#REF!</v>
      </c>
      <c r="C133" s="156" t="e">
        <f>+#REF!</f>
        <v>#REF!</v>
      </c>
      <c r="D133" s="155" t="e">
        <f>+#REF!</f>
        <v>#REF!</v>
      </c>
      <c r="E133" s="156" t="e">
        <f>+#REF!</f>
        <v>#REF!</v>
      </c>
    </row>
    <row r="134" spans="1:5">
      <c r="A134" t="s">
        <v>558</v>
      </c>
      <c r="B134" s="3" t="e">
        <f>+#REF!</f>
        <v>#REF!</v>
      </c>
      <c r="C134" s="156" t="e">
        <f>+#REF!</f>
        <v>#REF!</v>
      </c>
      <c r="D134" s="155" t="e">
        <f>+#REF!</f>
        <v>#REF!</v>
      </c>
      <c r="E134" s="156" t="e">
        <f>+#REF!</f>
        <v>#REF!</v>
      </c>
    </row>
    <row r="135" spans="1:5">
      <c r="A135" t="s">
        <v>544</v>
      </c>
      <c r="B135" s="3">
        <f>+H113</f>
        <v>6.7647921002061357</v>
      </c>
      <c r="C135" s="156">
        <f>+K113</f>
        <v>1.3079348127107648E-2</v>
      </c>
      <c r="D135" s="155">
        <f>+N113</f>
        <v>12.855874014429762</v>
      </c>
      <c r="E135" s="156">
        <f>+Q113</f>
        <v>3.2179669703899405E-2</v>
      </c>
    </row>
    <row r="136" spans="1:5">
      <c r="A136" t="s">
        <v>545</v>
      </c>
      <c r="B136" s="3">
        <f>+H115</f>
        <v>7.7818146277104727</v>
      </c>
      <c r="C136" s="156">
        <f>+K115</f>
        <v>5.9654081016333516E-2</v>
      </c>
      <c r="D136" s="155">
        <f>+N115</f>
        <v>12.760170875193285</v>
      </c>
      <c r="E136" s="156">
        <f>+Q115</f>
        <v>9.0433032238274702E-2</v>
      </c>
    </row>
  </sheetData>
  <mergeCells count="4">
    <mergeCell ref="G2:J2"/>
    <mergeCell ref="M2:P2"/>
    <mergeCell ref="G101:J101"/>
    <mergeCell ref="M101:P10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0" tint="-0.499984740745262"/>
    <pageSetUpPr fitToPage="1"/>
  </sheetPr>
  <dimension ref="A1:DF572"/>
  <sheetViews>
    <sheetView workbookViewId="0"/>
  </sheetViews>
  <sheetFormatPr defaultColWidth="9.1328125" defaultRowHeight="13.9" outlineLevelCol="1"/>
  <cols>
    <col min="1" max="1" width="54.33203125" style="4" customWidth="1"/>
    <col min="2" max="5" width="10.6640625" style="75" customWidth="1"/>
    <col min="6" max="11" width="10.6640625" style="75" hidden="1" customWidth="1" outlineLevel="1"/>
    <col min="12" max="12" width="10.6640625" style="75" customWidth="1" collapsed="1"/>
    <col min="13" max="13" width="4" style="75" customWidth="1"/>
    <col min="14" max="26" width="10.6640625" style="75" customWidth="1"/>
    <col min="27" max="28" width="10.6640625" style="4" customWidth="1"/>
    <col min="29" max="29" width="11.33203125" style="4" customWidth="1"/>
    <col min="30" max="42" width="9.1328125" style="4"/>
    <col min="43" max="43" width="29.33203125" style="4" customWidth="1"/>
    <col min="44" max="44" width="11" style="4" customWidth="1"/>
    <col min="45" max="45" width="14.6640625" style="4" customWidth="1"/>
    <col min="46" max="46" width="21.46484375" style="4" customWidth="1"/>
    <col min="47" max="73" width="9.1328125" style="4"/>
    <col min="74" max="74" width="16" style="4" customWidth="1"/>
    <col min="75" max="84" width="9.1328125" style="4"/>
    <col min="85" max="85" width="16.33203125" style="4" customWidth="1"/>
    <col min="86" max="90" width="9.1328125" style="4"/>
    <col min="91" max="91" width="14.86328125" style="4" customWidth="1"/>
    <col min="92" max="100" width="9.1328125" style="4"/>
    <col min="101" max="101" width="16.86328125" style="4" customWidth="1"/>
    <col min="102" max="106" width="9.1328125" style="4"/>
    <col min="107" max="107" width="27.6640625" style="4" customWidth="1"/>
    <col min="108" max="108" width="33.1328125" style="4" customWidth="1"/>
    <col min="109" max="109" width="11.86328125" style="4" customWidth="1"/>
    <col min="110" max="16384" width="9.1328125" style="4"/>
  </cols>
  <sheetData>
    <row r="1" spans="1:110" ht="15.4">
      <c r="A1" s="58" t="s">
        <v>258</v>
      </c>
      <c r="C1" s="349"/>
      <c r="D1" s="349"/>
      <c r="E1" s="349"/>
      <c r="F1" s="349"/>
      <c r="G1" s="349"/>
      <c r="H1" s="349"/>
      <c r="I1" s="349"/>
      <c r="J1" s="349"/>
      <c r="K1" s="349"/>
      <c r="L1" s="326"/>
      <c r="M1" s="349"/>
      <c r="N1" s="326"/>
      <c r="O1" s="326"/>
      <c r="P1" s="326"/>
      <c r="Q1" s="84">
        <f>(Q6/N6)^(1/3)-1</f>
        <v>9.9105121909119687E-2</v>
      </c>
      <c r="R1" s="349"/>
      <c r="S1" s="349"/>
      <c r="T1" s="349"/>
      <c r="U1" s="349"/>
      <c r="AA1" s="91"/>
      <c r="AB1" s="91"/>
      <c r="AC1" s="91"/>
      <c r="AD1" s="91"/>
      <c r="AE1" s="91"/>
      <c r="AF1" s="91"/>
      <c r="AG1" s="91"/>
      <c r="AH1" s="200">
        <f>+C1</f>
        <v>0</v>
      </c>
      <c r="AI1" s="91"/>
      <c r="AJ1" s="200">
        <f>+E1</f>
        <v>0</v>
      </c>
      <c r="AK1" s="91"/>
      <c r="AL1" s="91"/>
      <c r="AM1" s="91"/>
      <c r="AN1" s="91"/>
      <c r="AO1" s="91"/>
      <c r="AP1" s="91"/>
    </row>
    <row r="2" spans="1:110" ht="15.4">
      <c r="A2" s="353">
        <f ca="1">+Valuation!C5</f>
        <v>-31.241622960416098</v>
      </c>
      <c r="L2" s="327"/>
      <c r="N2" s="359"/>
      <c r="AA2" s="91"/>
      <c r="AB2" s="91"/>
      <c r="AC2" s="91"/>
      <c r="AD2" s="91"/>
      <c r="AE2" s="91"/>
      <c r="AF2" s="91"/>
      <c r="AG2" s="91"/>
      <c r="AH2" s="91" t="s">
        <v>676</v>
      </c>
      <c r="AI2" s="91"/>
      <c r="AJ2" s="199">
        <f ca="1">+Valuation!E77</f>
        <v>359.52745720434871</v>
      </c>
      <c r="AK2" s="199">
        <f ca="1">+Valuation!E68</f>
        <v>-1086.2509430074117</v>
      </c>
      <c r="AL2" s="103">
        <f ca="1">+A2</f>
        <v>-31.241622960416098</v>
      </c>
      <c r="AM2" s="91"/>
      <c r="AN2" s="91"/>
      <c r="AO2" s="91"/>
      <c r="AP2" s="91"/>
      <c r="BK2" s="4" t="s">
        <v>1146</v>
      </c>
      <c r="BN2" s="4" t="s">
        <v>873</v>
      </c>
      <c r="BO2" s="32">
        <v>11</v>
      </c>
      <c r="BV2" s="4" t="s">
        <v>1147</v>
      </c>
      <c r="BY2" s="4" t="s">
        <v>873</v>
      </c>
      <c r="BZ2" s="32">
        <f ca="1">+A2</f>
        <v>-31.241622960416098</v>
      </c>
    </row>
    <row r="3" spans="1:110">
      <c r="A3" s="18" t="s">
        <v>609</v>
      </c>
      <c r="B3" s="80" t="s">
        <v>197</v>
      </c>
      <c r="C3" s="80" t="s">
        <v>198</v>
      </c>
      <c r="D3" s="80" t="s">
        <v>199</v>
      </c>
      <c r="E3" s="80" t="s">
        <v>855</v>
      </c>
      <c r="F3" s="80" t="s">
        <v>1141</v>
      </c>
      <c r="G3" s="316" t="s">
        <v>1051</v>
      </c>
      <c r="H3" s="316" t="s">
        <v>1052</v>
      </c>
      <c r="I3" s="316" t="s">
        <v>1053</v>
      </c>
      <c r="J3" s="316" t="s">
        <v>1054</v>
      </c>
      <c r="K3" s="316" t="s">
        <v>1049</v>
      </c>
      <c r="L3" s="316" t="s">
        <v>1050</v>
      </c>
      <c r="M3" s="316"/>
      <c r="N3" s="80" t="s">
        <v>202</v>
      </c>
      <c r="O3" s="80" t="s">
        <v>203</v>
      </c>
      <c r="P3" s="80" t="s">
        <v>204</v>
      </c>
      <c r="Q3" s="80" t="s">
        <v>205</v>
      </c>
      <c r="R3" s="80" t="s">
        <v>206</v>
      </c>
      <c r="S3" s="80" t="s">
        <v>207</v>
      </c>
      <c r="T3" s="80" t="s">
        <v>208</v>
      </c>
      <c r="U3" s="80" t="s">
        <v>209</v>
      </c>
      <c r="V3" s="80" t="s">
        <v>210</v>
      </c>
      <c r="W3" s="80" t="s">
        <v>1111</v>
      </c>
      <c r="AA3" s="91"/>
      <c r="AB3" s="91"/>
      <c r="AC3" s="91"/>
      <c r="AD3" s="91"/>
      <c r="AE3" s="91"/>
      <c r="AF3" s="91"/>
      <c r="AG3" s="91"/>
      <c r="AH3" s="91"/>
      <c r="AI3" s="91"/>
      <c r="AJ3" s="91"/>
      <c r="AK3" s="91"/>
      <c r="AL3" s="91"/>
      <c r="AM3" s="91"/>
      <c r="AN3" s="91"/>
      <c r="AO3" s="91"/>
      <c r="AP3" s="91"/>
      <c r="BK3" s="208" t="s">
        <v>609</v>
      </c>
      <c r="BL3" s="209" t="s">
        <v>197</v>
      </c>
      <c r="BM3" s="209" t="s">
        <v>198</v>
      </c>
      <c r="BN3" s="209" t="s">
        <v>199</v>
      </c>
      <c r="BO3" s="209" t="s">
        <v>200</v>
      </c>
      <c r="BP3" s="209" t="s">
        <v>201</v>
      </c>
      <c r="BQ3" s="209" t="s">
        <v>202</v>
      </c>
      <c r="BR3" s="209" t="s">
        <v>203</v>
      </c>
      <c r="BS3" s="209" t="s">
        <v>204</v>
      </c>
      <c r="BT3" s="209" t="s">
        <v>205</v>
      </c>
      <c r="BV3" s="208" t="str">
        <f t="shared" ref="BV3:BV15" si="0">+A3</f>
        <v>Summary €m</v>
      </c>
      <c r="BW3" s="209" t="str">
        <f t="shared" ref="BW3:BW15" si="1">+B3</f>
        <v>2011A</v>
      </c>
      <c r="BX3" s="209" t="str">
        <f t="shared" ref="BX3:BX15" si="2">+C3</f>
        <v>2012A</v>
      </c>
      <c r="BY3" s="209" t="str">
        <f t="shared" ref="BY3:BY15" si="3">+D3</f>
        <v>2013A</v>
      </c>
      <c r="BZ3" s="209" t="str">
        <f t="shared" ref="BZ3:BZ15" si="4">+E3</f>
        <v>2014A</v>
      </c>
      <c r="CA3" s="209" t="str">
        <f t="shared" ref="CA3:CA15" si="5">+F3</f>
        <v>2015A</v>
      </c>
      <c r="CB3" s="209" t="str">
        <f t="shared" ref="CB3:CB15" si="6">+N3</f>
        <v>2016E</v>
      </c>
      <c r="CC3" s="209" t="str">
        <f t="shared" ref="CC3:CC15" si="7">+O3</f>
        <v>2017E</v>
      </c>
      <c r="CD3" s="209" t="str">
        <f t="shared" ref="CD3:CD15" si="8">+P3</f>
        <v>2018E</v>
      </c>
      <c r="CE3" s="209" t="str">
        <f t="shared" ref="CE3:CE15" si="9">+Q3</f>
        <v>2019E</v>
      </c>
      <c r="CH3" s="209" t="str">
        <f t="shared" ref="CH3:CK4" si="10">+CB3</f>
        <v>2016E</v>
      </c>
      <c r="CI3" s="209" t="str">
        <f t="shared" si="10"/>
        <v>2017E</v>
      </c>
      <c r="CJ3" s="209" t="str">
        <f t="shared" si="10"/>
        <v>2018E</v>
      </c>
      <c r="CK3" s="209" t="str">
        <f t="shared" si="10"/>
        <v>2019E</v>
      </c>
      <c r="CN3" s="209" t="str">
        <f>+CH3</f>
        <v>2016E</v>
      </c>
      <c r="CO3" s="209" t="str">
        <f>+CI3</f>
        <v>2017E</v>
      </c>
      <c r="CP3" s="209" t="str">
        <f>+CJ3</f>
        <v>2018E</v>
      </c>
      <c r="CQ3" s="209" t="str">
        <f>+CK3</f>
        <v>2019E</v>
      </c>
      <c r="CW3" s="208" t="s">
        <v>985</v>
      </c>
      <c r="CX3" s="209" t="str">
        <f t="shared" ref="CX3:DA4" si="11">+N3</f>
        <v>2016E</v>
      </c>
      <c r="CY3" s="209" t="str">
        <f t="shared" si="11"/>
        <v>2017E</v>
      </c>
      <c r="CZ3" s="209" t="str">
        <f t="shared" si="11"/>
        <v>2018E</v>
      </c>
      <c r="DA3" s="209" t="str">
        <f t="shared" si="11"/>
        <v>2019E</v>
      </c>
      <c r="DC3" s="208" t="s">
        <v>1123</v>
      </c>
      <c r="DD3" s="208"/>
      <c r="DE3" s="208"/>
      <c r="DF3" s="208"/>
    </row>
    <row r="4" spans="1:110">
      <c r="A4" s="4" t="s">
        <v>143</v>
      </c>
      <c r="B4" s="326">
        <v>204.7</v>
      </c>
      <c r="C4" s="326">
        <v>205.3</v>
      </c>
      <c r="D4" s="326">
        <v>206.2</v>
      </c>
      <c r="E4" s="326">
        <v>213</v>
      </c>
      <c r="F4" s="326">
        <v>222.1912219231572</v>
      </c>
      <c r="G4" s="326">
        <f>330.5-E4</f>
        <v>117.5</v>
      </c>
      <c r="H4" s="326">
        <v>120</v>
      </c>
      <c r="I4" s="326">
        <v>105.6</v>
      </c>
      <c r="J4" s="326">
        <v>110</v>
      </c>
      <c r="K4" s="326">
        <v>-1.8</v>
      </c>
      <c r="L4" s="326">
        <f>+L94</f>
        <v>460.7</v>
      </c>
      <c r="M4" s="326"/>
      <c r="N4" s="326">
        <f t="shared" ref="N4:V4" si="12">+N94</f>
        <v>478.04513573082357</v>
      </c>
      <c r="O4" s="326">
        <f t="shared" si="12"/>
        <v>503.65498133284996</v>
      </c>
      <c r="P4" s="326">
        <f t="shared" si="12"/>
        <v>536.86673149628712</v>
      </c>
      <c r="Q4" s="326">
        <f t="shared" si="12"/>
        <v>571.14168350469868</v>
      </c>
      <c r="R4" s="326">
        <f t="shared" si="12"/>
        <v>606.42899951582785</v>
      </c>
      <c r="S4" s="326">
        <f t="shared" si="12"/>
        <v>643.72986633170626</v>
      </c>
      <c r="T4" s="326">
        <f t="shared" si="12"/>
        <v>679.53877431684612</v>
      </c>
      <c r="U4" s="326">
        <f t="shared" si="12"/>
        <v>716.89487528127802</v>
      </c>
      <c r="V4" s="326">
        <f t="shared" si="12"/>
        <v>755.93827518414469</v>
      </c>
      <c r="W4" s="326">
        <f>+W94</f>
        <v>796.82078782247731</v>
      </c>
      <c r="AH4" s="4" t="s">
        <v>674</v>
      </c>
      <c r="AJ4" s="4" t="s">
        <v>317</v>
      </c>
      <c r="AK4" s="4" t="s">
        <v>315</v>
      </c>
      <c r="AL4" s="539" t="s">
        <v>873</v>
      </c>
      <c r="BK4" s="212" t="s">
        <v>143</v>
      </c>
      <c r="BL4" s="215">
        <v>204.7</v>
      </c>
      <c r="BM4" s="215">
        <v>205.3</v>
      </c>
      <c r="BN4" s="215">
        <v>206.2</v>
      </c>
      <c r="BO4" s="215">
        <v>213</v>
      </c>
      <c r="BP4" s="215">
        <v>222.1912219231572</v>
      </c>
      <c r="BQ4" s="215">
        <v>486.31800215632228</v>
      </c>
      <c r="BR4" s="215">
        <v>516.11414018825451</v>
      </c>
      <c r="BS4" s="215">
        <v>551.74284171588033</v>
      </c>
      <c r="BT4" s="215">
        <v>588.77206353056238</v>
      </c>
      <c r="BV4" s="212" t="str">
        <f t="shared" si="0"/>
        <v>Revenues</v>
      </c>
      <c r="BW4" s="215">
        <f t="shared" si="1"/>
        <v>204.7</v>
      </c>
      <c r="BX4" s="215">
        <f t="shared" si="2"/>
        <v>205.3</v>
      </c>
      <c r="BY4" s="215">
        <f t="shared" si="3"/>
        <v>206.2</v>
      </c>
      <c r="BZ4" s="215">
        <f t="shared" si="4"/>
        <v>213</v>
      </c>
      <c r="CA4" s="215">
        <f t="shared" si="5"/>
        <v>222.1912219231572</v>
      </c>
      <c r="CB4" s="215">
        <f t="shared" si="6"/>
        <v>478.04513573082357</v>
      </c>
      <c r="CC4" s="215">
        <f t="shared" si="7"/>
        <v>503.65498133284996</v>
      </c>
      <c r="CD4" s="215">
        <f t="shared" si="8"/>
        <v>536.86673149628712</v>
      </c>
      <c r="CE4" s="215">
        <f t="shared" si="9"/>
        <v>571.14168350469868</v>
      </c>
      <c r="CG4" s="4" t="str">
        <f>+BV4</f>
        <v>Revenues</v>
      </c>
      <c r="CH4" s="11">
        <f t="shared" si="10"/>
        <v>478.04513573082357</v>
      </c>
      <c r="CI4" s="11">
        <f t="shared" si="10"/>
        <v>503.65498133284996</v>
      </c>
      <c r="CJ4" s="11">
        <f t="shared" si="10"/>
        <v>536.86673149628712</v>
      </c>
      <c r="CK4" s="11">
        <f t="shared" si="10"/>
        <v>571.14168350469868</v>
      </c>
      <c r="CM4" s="4" t="s">
        <v>721</v>
      </c>
      <c r="CN4" s="11">
        <f>+CB18</f>
        <v>3601</v>
      </c>
      <c r="CO4" s="11">
        <f>+CC18</f>
        <v>3591</v>
      </c>
      <c r="CP4" s="11">
        <f>+CD18</f>
        <v>3581</v>
      </c>
      <c r="CQ4" s="11">
        <f>+CE18</f>
        <v>3571</v>
      </c>
      <c r="CW4" s="4" t="s">
        <v>143</v>
      </c>
      <c r="CX4" s="422">
        <f t="shared" si="11"/>
        <v>478.04513573082357</v>
      </c>
      <c r="CY4" s="422">
        <f t="shared" si="11"/>
        <v>503.65498133284996</v>
      </c>
      <c r="CZ4" s="422">
        <f t="shared" si="11"/>
        <v>536.86673149628712</v>
      </c>
      <c r="DA4" s="422">
        <f t="shared" si="11"/>
        <v>571.14168350469868</v>
      </c>
      <c r="DC4" s="208" t="s">
        <v>1130</v>
      </c>
      <c r="DD4" s="208" t="s">
        <v>554</v>
      </c>
      <c r="DE4" s="316" t="s">
        <v>1119</v>
      </c>
      <c r="DF4" s="208"/>
    </row>
    <row r="5" spans="1:110" ht="17.25" customHeight="1">
      <c r="A5" s="4" t="s">
        <v>610</v>
      </c>
      <c r="C5" s="84">
        <v>2.9311187103078229E-3</v>
      </c>
      <c r="D5" s="84">
        <v>4.3838285435946478E-3</v>
      </c>
      <c r="E5" s="84">
        <v>3.2977691561590694E-2</v>
      </c>
      <c r="F5" s="84">
        <v>4.3151276634540769E-2</v>
      </c>
      <c r="G5" s="84"/>
      <c r="H5" s="84"/>
      <c r="I5" s="84"/>
      <c r="J5" s="84"/>
      <c r="K5" s="84"/>
      <c r="L5" s="84"/>
      <c r="M5" s="84"/>
      <c r="N5" s="84">
        <f>+N4/L4-1</f>
        <v>3.7649524052145944E-2</v>
      </c>
      <c r="O5" s="84">
        <f t="shared" ref="O5:W5" si="13">+O4/N4-1</f>
        <v>5.3572024245942096E-2</v>
      </c>
      <c r="P5" s="84">
        <f t="shared" si="13"/>
        <v>6.594147063838629E-2</v>
      </c>
      <c r="Q5" s="84">
        <f t="shared" si="13"/>
        <v>6.3842570227595763E-2</v>
      </c>
      <c r="R5" s="84">
        <f t="shared" si="13"/>
        <v>6.1783821826128182E-2</v>
      </c>
      <c r="S5" s="84">
        <f t="shared" si="13"/>
        <v>6.1509042024143534E-2</v>
      </c>
      <c r="T5" s="84">
        <f t="shared" si="13"/>
        <v>5.5627227907253829E-2</v>
      </c>
      <c r="U5" s="84">
        <f t="shared" si="13"/>
        <v>5.4972729116137264E-2</v>
      </c>
      <c r="V5" s="84">
        <f t="shared" si="13"/>
        <v>5.4461820343669975E-2</v>
      </c>
      <c r="W5" s="84">
        <f t="shared" si="13"/>
        <v>5.4081813264943879E-2</v>
      </c>
      <c r="AH5" s="4" t="s">
        <v>675</v>
      </c>
      <c r="AJ5" s="158">
        <v>1060.5071555818465</v>
      </c>
      <c r="AK5" s="158">
        <v>672.69837836239253</v>
      </c>
      <c r="AL5" s="32">
        <v>11.86416893055366</v>
      </c>
      <c r="AQ5" s="201" t="s">
        <v>680</v>
      </c>
      <c r="AR5" s="202" t="s">
        <v>674</v>
      </c>
      <c r="AS5" s="202" t="s">
        <v>688</v>
      </c>
      <c r="AT5" s="202" t="s">
        <v>689</v>
      </c>
      <c r="BK5" s="212" t="s">
        <v>610</v>
      </c>
      <c r="BL5" s="212">
        <v>0</v>
      </c>
      <c r="BM5" s="213">
        <v>2.9311187103078229E-3</v>
      </c>
      <c r="BN5" s="213">
        <v>4.3838285435946478E-3</v>
      </c>
      <c r="BO5" s="213">
        <v>3.2977691561590694E-2</v>
      </c>
      <c r="BP5" s="213">
        <v>4.3151276634540769E-2</v>
      </c>
      <c r="BQ5" s="213">
        <v>5.5606690159154093E-2</v>
      </c>
      <c r="BR5" s="213">
        <v>6.1268836234350532E-2</v>
      </c>
      <c r="BS5" s="213">
        <v>6.9032601034007879E-2</v>
      </c>
      <c r="BT5" s="213">
        <v>6.7113189361050596E-2</v>
      </c>
      <c r="BV5" s="212" t="str">
        <f t="shared" si="0"/>
        <v>YoY</v>
      </c>
      <c r="BW5" s="212">
        <f t="shared" si="1"/>
        <v>0</v>
      </c>
      <c r="BX5" s="213">
        <f t="shared" si="2"/>
        <v>2.9311187103078229E-3</v>
      </c>
      <c r="BY5" s="213">
        <f t="shared" si="3"/>
        <v>4.3838285435946478E-3</v>
      </c>
      <c r="BZ5" s="213">
        <f t="shared" si="4"/>
        <v>3.2977691561590694E-2</v>
      </c>
      <c r="CA5" s="213">
        <f t="shared" si="5"/>
        <v>4.3151276634540769E-2</v>
      </c>
      <c r="CB5" s="213">
        <f t="shared" si="6"/>
        <v>3.7649524052145944E-2</v>
      </c>
      <c r="CC5" s="213">
        <f t="shared" si="7"/>
        <v>5.3572024245942096E-2</v>
      </c>
      <c r="CD5" s="213">
        <f t="shared" si="8"/>
        <v>6.594147063838629E-2</v>
      </c>
      <c r="CE5" s="213">
        <f t="shared" si="9"/>
        <v>6.3842570227595763E-2</v>
      </c>
      <c r="CG5" s="4" t="s">
        <v>719</v>
      </c>
      <c r="CH5" s="11">
        <f>BQ4</f>
        <v>486.31800215632228</v>
      </c>
      <c r="CI5" s="11">
        <f>BR4</f>
        <v>516.11414018825451</v>
      </c>
      <c r="CJ5" s="11">
        <f>BS4</f>
        <v>551.74284171588033</v>
      </c>
      <c r="CK5" s="11">
        <f>BT4</f>
        <v>588.77206353056238</v>
      </c>
      <c r="CM5" s="4" t="s">
        <v>719</v>
      </c>
      <c r="CN5" s="11">
        <f>+BQ18</f>
        <v>3585</v>
      </c>
      <c r="CO5" s="11">
        <f>+BR18</f>
        <v>3565</v>
      </c>
      <c r="CP5" s="11">
        <f>+BS18</f>
        <v>3545</v>
      </c>
      <c r="CQ5" s="11">
        <f>+BT18</f>
        <v>3525</v>
      </c>
      <c r="CW5" s="4" t="s">
        <v>281</v>
      </c>
      <c r="CX5" s="422">
        <f>+N6</f>
        <v>243.77071825562595</v>
      </c>
      <c r="CY5" s="422">
        <f>+O6</f>
        <v>272.29193096845711</v>
      </c>
      <c r="CZ5" s="422">
        <f>+P6</f>
        <v>304.00425776337937</v>
      </c>
      <c r="DA5" s="422">
        <f>+Q6</f>
        <v>323.66760340514185</v>
      </c>
      <c r="DC5" s="4" t="s">
        <v>171</v>
      </c>
      <c r="DD5" s="4" t="s">
        <v>1133</v>
      </c>
      <c r="DE5" s="368">
        <f>+N18/1000</f>
        <v>3.601</v>
      </c>
      <c r="DF5" s="4" t="s">
        <v>1137</v>
      </c>
    </row>
    <row r="6" spans="1:110">
      <c r="A6" s="4" t="s">
        <v>618</v>
      </c>
      <c r="B6" s="326">
        <v>78.400000000000006</v>
      </c>
      <c r="C6" s="326">
        <v>87.1</v>
      </c>
      <c r="D6" s="326">
        <v>88.1</v>
      </c>
      <c r="E6" s="326">
        <v>99.032977691561598</v>
      </c>
      <c r="F6" s="326">
        <v>105.42774962306055</v>
      </c>
      <c r="G6" s="326">
        <f>149.4-E6</f>
        <v>50.367022308438408</v>
      </c>
      <c r="H6" s="326">
        <v>52</v>
      </c>
      <c r="I6" s="326">
        <v>55</v>
      </c>
      <c r="J6" s="326">
        <v>57</v>
      </c>
      <c r="K6" s="326">
        <v>1.1000000000000001</v>
      </c>
      <c r="L6" s="326">
        <f>+L112</f>
        <v>233.79999999999998</v>
      </c>
      <c r="M6" s="326"/>
      <c r="N6" s="326">
        <f>+N112</f>
        <v>243.77071825562595</v>
      </c>
      <c r="O6" s="326">
        <f t="shared" ref="O6:V6" si="14">+O112</f>
        <v>272.29193096845711</v>
      </c>
      <c r="P6" s="326">
        <f t="shared" si="14"/>
        <v>304.00425776337937</v>
      </c>
      <c r="Q6" s="326">
        <f t="shared" si="14"/>
        <v>323.66760340514185</v>
      </c>
      <c r="R6" s="326">
        <f t="shared" si="14"/>
        <v>342.92701105423237</v>
      </c>
      <c r="S6" s="326">
        <f t="shared" si="14"/>
        <v>362.17650258006813</v>
      </c>
      <c r="T6" s="326">
        <f t="shared" si="14"/>
        <v>382.90432918611924</v>
      </c>
      <c r="U6" s="326">
        <f t="shared" si="14"/>
        <v>403.38164217647557</v>
      </c>
      <c r="V6" s="326">
        <f t="shared" si="14"/>
        <v>423.96371571926585</v>
      </c>
      <c r="W6" s="326">
        <f>+W112</f>
        <v>444.62473630814253</v>
      </c>
      <c r="AH6" s="4" t="s">
        <v>596</v>
      </c>
      <c r="AI6" s="165">
        <v>0.01</v>
      </c>
      <c r="AJ6" s="158">
        <v>1094.9363466291745</v>
      </c>
      <c r="AK6" s="158">
        <v>710.54194969529749</v>
      </c>
      <c r="AL6" s="32">
        <v>12.531604051063447</v>
      </c>
      <c r="AM6" s="165">
        <v>0</v>
      </c>
      <c r="AQ6" s="60" t="str">
        <f>+AH6</f>
        <v>EBITDA margin</v>
      </c>
      <c r="AR6" s="394" t="s">
        <v>684</v>
      </c>
      <c r="AS6" s="540">
        <f>+AJ6/AJ$5-1</f>
        <v>3.2464836155149168E-2</v>
      </c>
      <c r="AT6" s="540">
        <f>+AK6/AK$5-1</f>
        <v>5.6256373658921E-2</v>
      </c>
      <c r="BK6" s="212" t="s">
        <v>618</v>
      </c>
      <c r="BL6" s="215">
        <v>78.400000000000006</v>
      </c>
      <c r="BM6" s="215">
        <v>87.1</v>
      </c>
      <c r="BN6" s="215">
        <v>88.1</v>
      </c>
      <c r="BO6" s="215">
        <v>99.032977691561598</v>
      </c>
      <c r="BP6" s="215">
        <v>105.42774962306055</v>
      </c>
      <c r="BQ6" s="215">
        <v>240.59267503968323</v>
      </c>
      <c r="BR6" s="215">
        <v>270.31458200498861</v>
      </c>
      <c r="BS6" s="215">
        <v>302.48236589822784</v>
      </c>
      <c r="BT6" s="215">
        <v>321.93753883590591</v>
      </c>
      <c r="BV6" s="212" t="str">
        <f t="shared" si="0"/>
        <v>EBITDA adjusted</v>
      </c>
      <c r="BW6" s="215">
        <f t="shared" si="1"/>
        <v>78.400000000000006</v>
      </c>
      <c r="BX6" s="215">
        <f t="shared" si="2"/>
        <v>87.1</v>
      </c>
      <c r="BY6" s="215">
        <f t="shared" si="3"/>
        <v>88.1</v>
      </c>
      <c r="BZ6" s="215">
        <f t="shared" si="4"/>
        <v>99.032977691561598</v>
      </c>
      <c r="CA6" s="215">
        <f t="shared" si="5"/>
        <v>105.42774962306055</v>
      </c>
      <c r="CB6" s="215">
        <f t="shared" si="6"/>
        <v>243.77071825562595</v>
      </c>
      <c r="CC6" s="215">
        <f t="shared" si="7"/>
        <v>272.29193096845711</v>
      </c>
      <c r="CD6" s="215">
        <f t="shared" si="8"/>
        <v>304.00425776337937</v>
      </c>
      <c r="CE6" s="215">
        <f t="shared" si="9"/>
        <v>323.66760340514185</v>
      </c>
      <c r="CH6" s="40">
        <f>+CH4/CH5-1</f>
        <v>-1.7011228021206359E-2</v>
      </c>
      <c r="CI6" s="40">
        <f>+CI4/CI5-1</f>
        <v>-2.4140316812207518E-2</v>
      </c>
      <c r="CJ6" s="40">
        <f>+CJ4/CJ5-1</f>
        <v>-2.696203574355327E-2</v>
      </c>
      <c r="CK6" s="40">
        <f>+CK4/CK5-1</f>
        <v>-2.9944321610885227E-2</v>
      </c>
      <c r="CN6" s="40">
        <f>+CN4/CN5-1</f>
        <v>4.4630404463039675E-3</v>
      </c>
      <c r="CO6" s="40">
        <f>+CO4/CO5-1</f>
        <v>7.2931276297334424E-3</v>
      </c>
      <c r="CP6" s="40">
        <f>+CP4/CP5-1</f>
        <v>1.0155148095909672E-2</v>
      </c>
      <c r="CQ6" s="40">
        <f>+CQ4/CQ5-1</f>
        <v>1.304964539007103E-2</v>
      </c>
      <c r="CW6" s="4" t="s">
        <v>161</v>
      </c>
      <c r="CX6" s="422">
        <f>+N9</f>
        <v>167.31579750578825</v>
      </c>
      <c r="CY6" s="422">
        <f>+O9</f>
        <v>161.16959402651199</v>
      </c>
      <c r="CZ6" s="422">
        <f>+P9</f>
        <v>153.00701847644183</v>
      </c>
      <c r="DA6" s="422">
        <f>+Q9</f>
        <v>148.49683771122167</v>
      </c>
      <c r="DC6" s="4" t="s">
        <v>969</v>
      </c>
      <c r="DD6" s="4" t="s">
        <v>1134</v>
      </c>
      <c r="DE6" s="84">
        <f>+N4/461-1</f>
        <v>3.6974264058185602E-2</v>
      </c>
    </row>
    <row r="7" spans="1:110">
      <c r="A7" s="4" t="s">
        <v>610</v>
      </c>
      <c r="C7" s="84">
        <v>0.1109693877551019</v>
      </c>
      <c r="D7" s="84">
        <v>1.1481056257175659E-2</v>
      </c>
      <c r="E7" s="84">
        <v>0.12409736312782749</v>
      </c>
      <c r="F7" s="84">
        <v>6.4572146375477812E-2</v>
      </c>
      <c r="G7" s="84"/>
      <c r="H7" s="84"/>
      <c r="I7" s="84"/>
      <c r="J7" s="84"/>
      <c r="K7" s="84"/>
      <c r="L7" s="84"/>
      <c r="M7" s="84"/>
      <c r="N7" s="84">
        <f>+N6/L6-1</f>
        <v>4.2646356953062403E-2</v>
      </c>
      <c r="O7" s="84">
        <f t="shared" ref="O7:W7" si="15">+O6/N6-1</f>
        <v>0.11700015866106961</v>
      </c>
      <c r="P7" s="84">
        <f t="shared" si="15"/>
        <v>0.11646443830388753</v>
      </c>
      <c r="Q7" s="84">
        <f t="shared" si="15"/>
        <v>6.4681152120794838E-2</v>
      </c>
      <c r="R7" s="84">
        <f t="shared" si="15"/>
        <v>5.9503661924987572E-2</v>
      </c>
      <c r="S7" s="84">
        <f t="shared" si="15"/>
        <v>5.6132911393181439E-2</v>
      </c>
      <c r="T7" s="84">
        <f t="shared" si="15"/>
        <v>5.7231284907746538E-2</v>
      </c>
      <c r="U7" s="84">
        <f t="shared" si="15"/>
        <v>5.3478927840491686E-2</v>
      </c>
      <c r="V7" s="84">
        <f t="shared" si="15"/>
        <v>5.1023823076672858E-2</v>
      </c>
      <c r="W7" s="84">
        <f t="shared" si="15"/>
        <v>4.873299252466623E-2</v>
      </c>
      <c r="AH7" s="4" t="s">
        <v>161</v>
      </c>
      <c r="AI7" s="165">
        <v>0.01</v>
      </c>
      <c r="AJ7" s="158">
        <v>1018.9844032832229</v>
      </c>
      <c r="AK7" s="158">
        <v>630.7594639779179</v>
      </c>
      <c r="AL7" s="32">
        <v>11.124505537529416</v>
      </c>
      <c r="AM7" s="165">
        <v>0</v>
      </c>
      <c r="AQ7" s="4" t="s">
        <v>681</v>
      </c>
      <c r="AR7" s="75" t="s">
        <v>684</v>
      </c>
      <c r="AS7" s="84">
        <f>+AJ7/AJ$5-1</f>
        <v>-3.9153674805562422E-2</v>
      </c>
      <c r="AT7" s="84">
        <f>+AK7/AK$5-1</f>
        <v>-6.2344307245945974E-2</v>
      </c>
      <c r="BK7" s="212" t="s">
        <v>610</v>
      </c>
      <c r="BL7" s="212">
        <v>0</v>
      </c>
      <c r="BM7" s="213">
        <v>0.1109693877551019</v>
      </c>
      <c r="BN7" s="213">
        <v>1.1481056257175659E-2</v>
      </c>
      <c r="BO7" s="213">
        <v>0.12409736312782749</v>
      </c>
      <c r="BP7" s="213">
        <v>6.4572146375477812E-2</v>
      </c>
      <c r="BQ7" s="213">
        <v>2.9053357740304708E-2</v>
      </c>
      <c r="BR7" s="213">
        <v>0.12353620890745343</v>
      </c>
      <c r="BS7" s="213">
        <v>0.11900128973673185</v>
      </c>
      <c r="BT7" s="213">
        <v>6.431837069214108E-2</v>
      </c>
      <c r="BV7" s="212" t="str">
        <f t="shared" si="0"/>
        <v>YoY</v>
      </c>
      <c r="BW7" s="212">
        <f t="shared" si="1"/>
        <v>0</v>
      </c>
      <c r="BX7" s="213">
        <f t="shared" si="2"/>
        <v>0.1109693877551019</v>
      </c>
      <c r="BY7" s="213">
        <f t="shared" si="3"/>
        <v>1.1481056257175659E-2</v>
      </c>
      <c r="BZ7" s="213">
        <f t="shared" si="4"/>
        <v>0.12409736312782749</v>
      </c>
      <c r="CA7" s="213">
        <f t="shared" si="5"/>
        <v>6.4572146375477812E-2</v>
      </c>
      <c r="CB7" s="213">
        <f t="shared" si="6"/>
        <v>4.2646356953062403E-2</v>
      </c>
      <c r="CC7" s="213">
        <f t="shared" si="7"/>
        <v>0.11700015866106961</v>
      </c>
      <c r="CD7" s="213">
        <f t="shared" si="8"/>
        <v>0.11646443830388753</v>
      </c>
      <c r="CE7" s="213">
        <f t="shared" si="9"/>
        <v>6.4681152120794838E-2</v>
      </c>
      <c r="CG7" s="4" t="s">
        <v>623</v>
      </c>
      <c r="CH7" s="11">
        <f>+CB6</f>
        <v>243.77071825562595</v>
      </c>
      <c r="CI7" s="11">
        <f>+CC6</f>
        <v>272.29193096845711</v>
      </c>
      <c r="CJ7" s="11">
        <f>+CD6</f>
        <v>304.00425776337937</v>
      </c>
      <c r="CK7" s="11">
        <f>+CE6</f>
        <v>323.66760340514185</v>
      </c>
      <c r="CM7" s="4" t="s">
        <v>570</v>
      </c>
      <c r="CN7" s="11">
        <f>+CB21</f>
        <v>2416.2710000000002</v>
      </c>
      <c r="CO7" s="11">
        <f>+CC21</f>
        <v>2427.5160000000001</v>
      </c>
      <c r="CP7" s="11">
        <f>+CD21</f>
        <v>2438.6610000000001</v>
      </c>
      <c r="CQ7" s="11">
        <f>+CE21</f>
        <v>2449.7060000000001</v>
      </c>
      <c r="CW7" s="4" t="s">
        <v>755</v>
      </c>
      <c r="CX7" s="422">
        <f>+N14</f>
        <v>1208.6681314002599</v>
      </c>
      <c r="CY7" s="422">
        <f>+O14</f>
        <v>1231.3405661800125</v>
      </c>
      <c r="CZ7" s="422">
        <f>+P14</f>
        <v>1175.3219866833447</v>
      </c>
      <c r="DA7" s="422">
        <f>+Q14</f>
        <v>1133.9821006542497</v>
      </c>
      <c r="DC7" s="4" t="s">
        <v>670</v>
      </c>
      <c r="DD7" s="4" t="s">
        <v>1135</v>
      </c>
      <c r="DE7" s="84">
        <f>+N6/234-1</f>
        <v>4.1755206220623675E-2</v>
      </c>
    </row>
    <row r="8" spans="1:110">
      <c r="A8" s="4" t="s">
        <v>611</v>
      </c>
      <c r="B8" s="349">
        <v>0.38299951148021499</v>
      </c>
      <c r="C8" s="349">
        <v>0.42425718460789086</v>
      </c>
      <c r="D8" s="349">
        <v>0.42725509214354995</v>
      </c>
      <c r="E8" s="84">
        <v>0.4649435572373784</v>
      </c>
      <c r="F8" s="84">
        <v>0.47449106544596875</v>
      </c>
      <c r="G8" s="84"/>
      <c r="H8" s="84"/>
      <c r="I8" s="84"/>
      <c r="J8" s="84"/>
      <c r="K8" s="84"/>
      <c r="L8" s="84">
        <f>+L6/L4</f>
        <v>0.50748860429780762</v>
      </c>
      <c r="M8" s="84"/>
      <c r="N8" s="349">
        <f t="shared" ref="N8:V8" si="16">+N6/N4</f>
        <v>0.50993243113530551</v>
      </c>
      <c r="O8" s="349">
        <f t="shared" si="16"/>
        <v>0.54063186320102696</v>
      </c>
      <c r="P8" s="349">
        <f t="shared" si="16"/>
        <v>0.56625646539150809</v>
      </c>
      <c r="Q8" s="349">
        <f t="shared" si="16"/>
        <v>0.56670282130174643</v>
      </c>
      <c r="R8" s="349">
        <f t="shared" si="16"/>
        <v>0.56548583812453701</v>
      </c>
      <c r="S8" s="349">
        <f t="shared" si="16"/>
        <v>0.5626218721898526</v>
      </c>
      <c r="T8" s="349">
        <f t="shared" si="16"/>
        <v>0.56347679287478569</v>
      </c>
      <c r="U8" s="349">
        <f t="shared" si="16"/>
        <v>0.56267893115877887</v>
      </c>
      <c r="V8" s="349">
        <f t="shared" si="16"/>
        <v>0.56084435679088918</v>
      </c>
      <c r="W8" s="349">
        <f>+W6/W4</f>
        <v>0.55799841457851107</v>
      </c>
      <c r="AH8" s="4" t="s">
        <v>677</v>
      </c>
      <c r="AJ8" s="158"/>
      <c r="AK8" s="158"/>
      <c r="AL8" s="32"/>
      <c r="AQ8" s="4" t="s">
        <v>682</v>
      </c>
      <c r="AR8" s="75"/>
      <c r="AS8" s="84"/>
      <c r="AT8" s="84"/>
      <c r="BK8" s="212" t="s">
        <v>611</v>
      </c>
      <c r="BL8" s="222">
        <v>0.38299951148021499</v>
      </c>
      <c r="BM8" s="222">
        <v>0.42425718460789086</v>
      </c>
      <c r="BN8" s="222">
        <v>0.42725509214354995</v>
      </c>
      <c r="BO8" s="222">
        <v>0.4649435572373784</v>
      </c>
      <c r="BP8" s="222">
        <v>0.47449106544596875</v>
      </c>
      <c r="BQ8" s="222">
        <v>0.49472294665815603</v>
      </c>
      <c r="BR8" s="222">
        <v>0.52374961458407321</v>
      </c>
      <c r="BS8" s="222">
        <v>0.54823070283527298</v>
      </c>
      <c r="BT8" s="222">
        <v>0.54679486133464372</v>
      </c>
      <c r="BV8" s="212" t="str">
        <f t="shared" si="0"/>
        <v>Margin</v>
      </c>
      <c r="BW8" s="222">
        <f t="shared" si="1"/>
        <v>0.38299951148021499</v>
      </c>
      <c r="BX8" s="222">
        <f t="shared" si="2"/>
        <v>0.42425718460789086</v>
      </c>
      <c r="BY8" s="222">
        <f t="shared" si="3"/>
        <v>0.42725509214354995</v>
      </c>
      <c r="BZ8" s="222">
        <f t="shared" si="4"/>
        <v>0.4649435572373784</v>
      </c>
      <c r="CA8" s="222">
        <f t="shared" si="5"/>
        <v>0.47449106544596875</v>
      </c>
      <c r="CB8" s="222">
        <f t="shared" si="6"/>
        <v>0.50993243113530551</v>
      </c>
      <c r="CC8" s="222">
        <f t="shared" si="7"/>
        <v>0.54063186320102696</v>
      </c>
      <c r="CD8" s="222">
        <f t="shared" si="8"/>
        <v>0.56625646539150809</v>
      </c>
      <c r="CE8" s="222">
        <f t="shared" si="9"/>
        <v>0.56670282130174643</v>
      </c>
      <c r="CG8" s="4" t="s">
        <v>719</v>
      </c>
      <c r="CH8" s="11">
        <f>+BQ6</f>
        <v>240.59267503968323</v>
      </c>
      <c r="CI8" s="11">
        <f>+BR6</f>
        <v>270.31458200498861</v>
      </c>
      <c r="CJ8" s="11">
        <f>+BS6</f>
        <v>302.48236589822784</v>
      </c>
      <c r="CK8" s="11">
        <f>+BT6</f>
        <v>321.93753883590591</v>
      </c>
      <c r="CM8" s="4" t="s">
        <v>719</v>
      </c>
      <c r="CN8" s="11">
        <f>+BQ23</f>
        <v>2462.4576963036166</v>
      </c>
      <c r="CO8" s="11">
        <f>+BR23</f>
        <v>2466.7135034901899</v>
      </c>
      <c r="CP8" s="11">
        <f>+BS23</f>
        <v>2470.7674215597203</v>
      </c>
      <c r="CQ8" s="11">
        <f>+BT23</f>
        <v>2474.619450512208</v>
      </c>
      <c r="DC8" s="4" t="s">
        <v>597</v>
      </c>
      <c r="DD8" s="4" t="s">
        <v>1124</v>
      </c>
      <c r="DE8" s="359">
        <f>+N10</f>
        <v>0.35000000000000003</v>
      </c>
    </row>
    <row r="9" spans="1:110">
      <c r="A9" s="4" t="s">
        <v>161</v>
      </c>
      <c r="B9" s="326">
        <v>68.099999999999994</v>
      </c>
      <c r="C9" s="326">
        <v>59.6</v>
      </c>
      <c r="D9" s="326">
        <v>51.5</v>
      </c>
      <c r="E9" s="326">
        <v>84.1</v>
      </c>
      <c r="F9" s="326">
        <v>115</v>
      </c>
      <c r="G9" s="326">
        <v>33</v>
      </c>
      <c r="H9" s="326">
        <v>30</v>
      </c>
      <c r="I9" s="326">
        <v>28.3</v>
      </c>
      <c r="J9" s="326">
        <v>25</v>
      </c>
      <c r="K9" s="326"/>
      <c r="L9" s="326">
        <f>+J9+H9+F9</f>
        <v>170</v>
      </c>
      <c r="M9" s="326"/>
      <c r="N9" s="326">
        <f t="shared" ref="N9:V9" si="17">+N212</f>
        <v>167.31579750578825</v>
      </c>
      <c r="O9" s="326">
        <f t="shared" si="17"/>
        <v>161.16959402651199</v>
      </c>
      <c r="P9" s="326">
        <f t="shared" si="17"/>
        <v>153.00701847644183</v>
      </c>
      <c r="Q9" s="326">
        <f t="shared" si="17"/>
        <v>148.49683771122167</v>
      </c>
      <c r="R9" s="326">
        <f t="shared" si="17"/>
        <v>145.54295988379869</v>
      </c>
      <c r="S9" s="326">
        <f t="shared" si="17"/>
        <v>154.49516791960949</v>
      </c>
      <c r="T9" s="326">
        <f t="shared" si="17"/>
        <v>163.08930583604305</v>
      </c>
      <c r="U9" s="326">
        <f t="shared" si="17"/>
        <v>172.05477006750672</v>
      </c>
      <c r="V9" s="326">
        <f t="shared" si="17"/>
        <v>181.42518604419473</v>
      </c>
      <c r="W9" s="326">
        <f>+W212</f>
        <v>191.23698907739455</v>
      </c>
      <c r="AH9" s="4" t="s">
        <v>678</v>
      </c>
      <c r="AI9" s="4">
        <v>10</v>
      </c>
      <c r="AJ9" s="158">
        <v>1073.5532768347421</v>
      </c>
      <c r="AK9" s="158">
        <v>686.63908942738055</v>
      </c>
      <c r="AL9" s="32">
        <v>12.110036850571085</v>
      </c>
      <c r="AM9" s="4">
        <v>0</v>
      </c>
      <c r="AQ9" s="4" t="str">
        <f>+AH9</f>
        <v>Basic TV</v>
      </c>
      <c r="AR9" s="75" t="s">
        <v>685</v>
      </c>
      <c r="AS9" s="84">
        <f t="shared" ref="AS9:AT11" si="18">+AJ9/AJ$5-1</f>
        <v>1.2301775791166536E-2</v>
      </c>
      <c r="AT9" s="84">
        <f t="shared" si="18"/>
        <v>2.0723568709835494E-2</v>
      </c>
      <c r="BK9" s="212" t="s">
        <v>161</v>
      </c>
      <c r="BL9" s="215">
        <v>68.099999999999994</v>
      </c>
      <c r="BM9" s="215">
        <v>59.6</v>
      </c>
      <c r="BN9" s="215">
        <v>51.5</v>
      </c>
      <c r="BO9" s="215">
        <v>84.1</v>
      </c>
      <c r="BP9" s="215">
        <v>115</v>
      </c>
      <c r="BQ9" s="215">
        <v>194.52720086252893</v>
      </c>
      <c r="BR9" s="215">
        <v>154.83424205647634</v>
      </c>
      <c r="BS9" s="215">
        <v>148.97056726328771</v>
      </c>
      <c r="BT9" s="215">
        <v>147.19301588264059</v>
      </c>
      <c r="BV9" s="212" t="str">
        <f t="shared" si="0"/>
        <v>Capex</v>
      </c>
      <c r="BW9" s="215">
        <f t="shared" si="1"/>
        <v>68.099999999999994</v>
      </c>
      <c r="BX9" s="215">
        <f t="shared" si="2"/>
        <v>59.6</v>
      </c>
      <c r="BY9" s="215">
        <f t="shared" si="3"/>
        <v>51.5</v>
      </c>
      <c r="BZ9" s="215">
        <f t="shared" si="4"/>
        <v>84.1</v>
      </c>
      <c r="CA9" s="215">
        <f t="shared" si="5"/>
        <v>115</v>
      </c>
      <c r="CB9" s="215">
        <f t="shared" si="6"/>
        <v>167.31579750578825</v>
      </c>
      <c r="CC9" s="215">
        <f t="shared" si="7"/>
        <v>161.16959402651199</v>
      </c>
      <c r="CD9" s="215">
        <f t="shared" si="8"/>
        <v>153.00701847644183</v>
      </c>
      <c r="CE9" s="215">
        <f t="shared" si="9"/>
        <v>148.49683771122167</v>
      </c>
      <c r="CH9" s="40">
        <f>+CH7/CH8-1</f>
        <v>1.3209226820469544E-2</v>
      </c>
      <c r="CI9" s="40">
        <f>+CI7/CI8-1</f>
        <v>7.3149918469141983E-3</v>
      </c>
      <c r="CJ9" s="40">
        <f>+CJ7/CJ8-1</f>
        <v>5.0313407878579408E-3</v>
      </c>
      <c r="CK9" s="40">
        <f>+CK7/CK8-1</f>
        <v>5.3739137582142771E-3</v>
      </c>
      <c r="CN9" s="40">
        <f>+CN7/CN8-1</f>
        <v>-1.8756341021795797E-2</v>
      </c>
      <c r="CO9" s="40">
        <f>+CO7/CO8-1</f>
        <v>-1.5890578064590266E-2</v>
      </c>
      <c r="CP9" s="40">
        <f>+CP7/CP8-1</f>
        <v>-1.2994513882432668E-2</v>
      </c>
      <c r="CQ9" s="40">
        <f>+CQ7/CQ8-1</f>
        <v>-1.0067588576922915E-2</v>
      </c>
      <c r="CW9" s="541" t="s">
        <v>1122</v>
      </c>
      <c r="CX9" s="542" t="str">
        <f>+CX3</f>
        <v>2016E</v>
      </c>
      <c r="CY9" s="542" t="str">
        <f>+CY3</f>
        <v>2017E</v>
      </c>
      <c r="CZ9" s="542" t="str">
        <f>+CZ3</f>
        <v>2018E</v>
      </c>
      <c r="DA9" s="542" t="str">
        <f>+DA3</f>
        <v>2019E</v>
      </c>
      <c r="DE9" s="75"/>
    </row>
    <row r="10" spans="1:110">
      <c r="A10" s="4" t="s">
        <v>247</v>
      </c>
      <c r="B10" s="349">
        <v>0.33268197361993157</v>
      </c>
      <c r="C10" s="349">
        <v>0.29030686799805161</v>
      </c>
      <c r="D10" s="349">
        <v>0.24975751697381185</v>
      </c>
      <c r="E10" s="349">
        <v>0.3948356807511737</v>
      </c>
      <c r="F10" s="349">
        <v>0.51757220201872645</v>
      </c>
      <c r="G10" s="349"/>
      <c r="H10" s="349"/>
      <c r="I10" s="349"/>
      <c r="J10" s="349"/>
      <c r="K10" s="349"/>
      <c r="L10" s="349">
        <f>+L9/L4</f>
        <v>0.36900369003690037</v>
      </c>
      <c r="M10" s="349"/>
      <c r="N10" s="349">
        <f t="shared" ref="N10:V10" si="19">+N9/N4</f>
        <v>0.35000000000000003</v>
      </c>
      <c r="O10" s="349">
        <f t="shared" si="19"/>
        <v>0.32</v>
      </c>
      <c r="P10" s="349">
        <f t="shared" si="19"/>
        <v>0.28499999999999998</v>
      </c>
      <c r="Q10" s="349">
        <f t="shared" si="19"/>
        <v>0.26</v>
      </c>
      <c r="R10" s="349">
        <f t="shared" si="19"/>
        <v>0.24</v>
      </c>
      <c r="S10" s="349">
        <f t="shared" si="19"/>
        <v>0.23999999999999996</v>
      </c>
      <c r="T10" s="349">
        <f t="shared" si="19"/>
        <v>0.24</v>
      </c>
      <c r="U10" s="349">
        <f t="shared" si="19"/>
        <v>0.24</v>
      </c>
      <c r="V10" s="349">
        <f t="shared" si="19"/>
        <v>0.24000000000000002</v>
      </c>
      <c r="W10" s="349">
        <f>+W9/W4</f>
        <v>0.24</v>
      </c>
      <c r="AH10" s="4" t="s">
        <v>627</v>
      </c>
      <c r="AI10" s="4">
        <v>10</v>
      </c>
      <c r="AJ10" s="158">
        <v>1109.9107651647259</v>
      </c>
      <c r="AK10" s="158">
        <v>726.5724069688647</v>
      </c>
      <c r="AL10" s="32">
        <v>12.814328165235708</v>
      </c>
      <c r="AM10" s="4">
        <v>0</v>
      </c>
      <c r="AQ10" s="4" t="str">
        <f>+AH10</f>
        <v>Premium TV</v>
      </c>
      <c r="AR10" s="75" t="s">
        <v>685</v>
      </c>
      <c r="AS10" s="84">
        <f t="shared" si="18"/>
        <v>4.6584890373299048E-2</v>
      </c>
      <c r="AT10" s="84">
        <f t="shared" si="18"/>
        <v>8.0086455296090264E-2</v>
      </c>
      <c r="BK10" s="212" t="s">
        <v>247</v>
      </c>
      <c r="BL10" s="222">
        <v>0.33268197361993157</v>
      </c>
      <c r="BM10" s="222">
        <v>0.29030686799805161</v>
      </c>
      <c r="BN10" s="222">
        <v>0.24975751697381185</v>
      </c>
      <c r="BO10" s="222">
        <v>0.3948356807511737</v>
      </c>
      <c r="BP10" s="222">
        <v>0.51757220201872645</v>
      </c>
      <c r="BQ10" s="222">
        <v>0.4</v>
      </c>
      <c r="BR10" s="222">
        <v>0.3</v>
      </c>
      <c r="BS10" s="222">
        <v>0.27</v>
      </c>
      <c r="BT10" s="222">
        <v>0.25</v>
      </c>
      <c r="BV10" s="212" t="str">
        <f t="shared" si="0"/>
        <v>% revenues</v>
      </c>
      <c r="BW10" s="222">
        <f t="shared" si="1"/>
        <v>0.33268197361993157</v>
      </c>
      <c r="BX10" s="222">
        <f t="shared" si="2"/>
        <v>0.29030686799805161</v>
      </c>
      <c r="BY10" s="222">
        <f t="shared" si="3"/>
        <v>0.24975751697381185</v>
      </c>
      <c r="BZ10" s="222">
        <f t="shared" si="4"/>
        <v>0.3948356807511737</v>
      </c>
      <c r="CA10" s="222">
        <f t="shared" si="5"/>
        <v>0.51757220201872645</v>
      </c>
      <c r="CB10" s="222">
        <f t="shared" si="6"/>
        <v>0.35000000000000003</v>
      </c>
      <c r="CC10" s="222">
        <f t="shared" si="7"/>
        <v>0.32</v>
      </c>
      <c r="CD10" s="222">
        <f t="shared" si="8"/>
        <v>0.28499999999999998</v>
      </c>
      <c r="CE10" s="222">
        <f t="shared" si="9"/>
        <v>0.26</v>
      </c>
      <c r="CG10" s="4" t="s">
        <v>720</v>
      </c>
      <c r="CH10" s="11">
        <f>+CB9</f>
        <v>167.31579750578825</v>
      </c>
      <c r="CI10" s="11">
        <f>+CC9</f>
        <v>161.16959402651199</v>
      </c>
      <c r="CJ10" s="11">
        <f>+CD9</f>
        <v>153.00701847644183</v>
      </c>
      <c r="CK10" s="11">
        <f>+CE9</f>
        <v>148.49683771122167</v>
      </c>
      <c r="CM10" s="4" t="s">
        <v>613</v>
      </c>
      <c r="CN10" s="11">
        <f>+CB25</f>
        <v>520</v>
      </c>
      <c r="CO10" s="11">
        <f>+CC25</f>
        <v>580</v>
      </c>
      <c r="CP10" s="11">
        <f>+CD25</f>
        <v>640</v>
      </c>
      <c r="CQ10" s="11">
        <f>+CE25</f>
        <v>700</v>
      </c>
      <c r="CU10" s="38">
        <f>+CX10/CV10-1</f>
        <v>5.4229934924078016E-2</v>
      </c>
      <c r="CV10" s="4">
        <v>461</v>
      </c>
      <c r="CW10" s="66" t="s">
        <v>143</v>
      </c>
      <c r="CX10" s="543">
        <v>486</v>
      </c>
      <c r="CY10" s="543">
        <v>517</v>
      </c>
      <c r="CZ10" s="543">
        <v>548</v>
      </c>
      <c r="DA10" s="543">
        <v>580</v>
      </c>
      <c r="DC10" s="13" t="s">
        <v>1125</v>
      </c>
      <c r="DD10" s="13" t="s">
        <v>554</v>
      </c>
      <c r="DE10" s="310" t="s">
        <v>1138</v>
      </c>
      <c r="DF10" s="13"/>
    </row>
    <row r="11" spans="1:110">
      <c r="A11" s="4" t="s">
        <v>351</v>
      </c>
      <c r="B11" s="327">
        <v>10.300000000000011</v>
      </c>
      <c r="C11" s="327">
        <v>27.499999999999993</v>
      </c>
      <c r="D11" s="327">
        <v>36.599999999999994</v>
      </c>
      <c r="E11" s="327">
        <v>14.932977691561604</v>
      </c>
      <c r="F11" s="327">
        <v>-9.5722503769394507</v>
      </c>
      <c r="G11" s="327">
        <f t="shared" ref="G11:L11" si="20">+G6-G9</f>
        <v>17.367022308438408</v>
      </c>
      <c r="H11" s="327">
        <f t="shared" si="20"/>
        <v>22</v>
      </c>
      <c r="I11" s="327">
        <f t="shared" si="20"/>
        <v>26.7</v>
      </c>
      <c r="J11" s="327">
        <f t="shared" si="20"/>
        <v>32</v>
      </c>
      <c r="K11" s="327">
        <f t="shared" si="20"/>
        <v>1.1000000000000001</v>
      </c>
      <c r="L11" s="327">
        <f t="shared" si="20"/>
        <v>63.799999999999983</v>
      </c>
      <c r="M11" s="327"/>
      <c r="N11" s="327">
        <f t="shared" ref="N11:V11" si="21">+N6-N9</f>
        <v>76.454920749837697</v>
      </c>
      <c r="O11" s="327">
        <f t="shared" si="21"/>
        <v>111.12233694194512</v>
      </c>
      <c r="P11" s="327">
        <f t="shared" si="21"/>
        <v>150.99723928693754</v>
      </c>
      <c r="Q11" s="327">
        <f t="shared" si="21"/>
        <v>175.17076569392017</v>
      </c>
      <c r="R11" s="327">
        <f t="shared" si="21"/>
        <v>197.38405117043368</v>
      </c>
      <c r="S11" s="327">
        <f t="shared" si="21"/>
        <v>207.68133466045865</v>
      </c>
      <c r="T11" s="327">
        <f t="shared" si="21"/>
        <v>219.81502335007619</v>
      </c>
      <c r="U11" s="327">
        <f t="shared" si="21"/>
        <v>231.32687210896884</v>
      </c>
      <c r="V11" s="327">
        <f t="shared" si="21"/>
        <v>242.53852967507112</v>
      </c>
      <c r="W11" s="327">
        <f>+W6-W9</f>
        <v>253.38774723074798</v>
      </c>
      <c r="AH11" s="4" t="s">
        <v>679</v>
      </c>
      <c r="AI11" s="4">
        <v>10</v>
      </c>
      <c r="AJ11" s="158">
        <v>1116.1919645065227</v>
      </c>
      <c r="AK11" s="158">
        <v>732.50844262314206</v>
      </c>
      <c r="AL11" s="32">
        <v>12.919020152083634</v>
      </c>
      <c r="AM11" s="4">
        <v>0</v>
      </c>
      <c r="AQ11" s="4" t="str">
        <f>+AH11</f>
        <v>BB/Tel</v>
      </c>
      <c r="AR11" s="75" t="s">
        <v>685</v>
      </c>
      <c r="AS11" s="84">
        <f t="shared" si="18"/>
        <v>5.2507716361541057E-2</v>
      </c>
      <c r="AT11" s="84">
        <f t="shared" si="18"/>
        <v>8.8910671089099891E-2</v>
      </c>
      <c r="BK11" s="212" t="s">
        <v>351</v>
      </c>
      <c r="BL11" s="216">
        <v>10.300000000000011</v>
      </c>
      <c r="BM11" s="216">
        <v>27.499999999999993</v>
      </c>
      <c r="BN11" s="216">
        <v>36.599999999999994</v>
      </c>
      <c r="BO11" s="216">
        <v>14.932977691561604</v>
      </c>
      <c r="BP11" s="216">
        <v>-9.5722503769394507</v>
      </c>
      <c r="BQ11" s="216">
        <v>46.0654741771543</v>
      </c>
      <c r="BR11" s="216">
        <v>115.48033994851227</v>
      </c>
      <c r="BS11" s="216">
        <v>153.51179863494013</v>
      </c>
      <c r="BT11" s="216">
        <v>174.74452295326532</v>
      </c>
      <c r="BV11" s="212" t="str">
        <f t="shared" si="0"/>
        <v>OpFCF</v>
      </c>
      <c r="BW11" s="216">
        <f t="shared" si="1"/>
        <v>10.300000000000011</v>
      </c>
      <c r="BX11" s="216">
        <f t="shared" si="2"/>
        <v>27.499999999999993</v>
      </c>
      <c r="BY11" s="216">
        <f t="shared" si="3"/>
        <v>36.599999999999994</v>
      </c>
      <c r="BZ11" s="216">
        <f t="shared" si="4"/>
        <v>14.932977691561604</v>
      </c>
      <c r="CA11" s="216">
        <f t="shared" si="5"/>
        <v>-9.5722503769394507</v>
      </c>
      <c r="CB11" s="216">
        <f t="shared" si="6"/>
        <v>76.454920749837697</v>
      </c>
      <c r="CC11" s="216">
        <f t="shared" si="7"/>
        <v>111.12233694194512</v>
      </c>
      <c r="CD11" s="216">
        <f t="shared" si="8"/>
        <v>150.99723928693754</v>
      </c>
      <c r="CE11" s="216">
        <f t="shared" si="9"/>
        <v>175.17076569392017</v>
      </c>
      <c r="CG11" s="4" t="s">
        <v>719</v>
      </c>
      <c r="CH11" s="11">
        <f>+BQ9</f>
        <v>194.52720086252893</v>
      </c>
      <c r="CI11" s="11">
        <f>+BR9</f>
        <v>154.83424205647634</v>
      </c>
      <c r="CJ11" s="11">
        <f>+BS9</f>
        <v>148.97056726328771</v>
      </c>
      <c r="CK11" s="11">
        <f>+BT9</f>
        <v>147.19301588264059</v>
      </c>
      <c r="CM11" s="4" t="s">
        <v>719</v>
      </c>
      <c r="CN11" s="11">
        <f>+BQ25</f>
        <v>492</v>
      </c>
      <c r="CO11" s="11">
        <f>+BR25</f>
        <v>552</v>
      </c>
      <c r="CP11" s="11">
        <f>+BS25</f>
        <v>612</v>
      </c>
      <c r="CQ11" s="11">
        <f>+BT25</f>
        <v>672</v>
      </c>
      <c r="CU11" s="38">
        <f>+CX11/CV11-1</f>
        <v>-8.5470085470085166E-3</v>
      </c>
      <c r="CV11" s="4">
        <v>234</v>
      </c>
      <c r="CW11" s="66" t="s">
        <v>281</v>
      </c>
      <c r="CX11" s="543">
        <v>232</v>
      </c>
      <c r="CY11" s="543">
        <v>264</v>
      </c>
      <c r="CZ11" s="543">
        <v>293</v>
      </c>
      <c r="DA11" s="543">
        <v>310</v>
      </c>
      <c r="DC11" s="4" t="s">
        <v>969</v>
      </c>
      <c r="DD11" s="4" t="s">
        <v>1126</v>
      </c>
      <c r="DE11" s="423">
        <f>+Q5</f>
        <v>6.3842570227595763E-2</v>
      </c>
    </row>
    <row r="12" spans="1:110">
      <c r="A12" s="4" t="s">
        <v>611</v>
      </c>
      <c r="B12" s="349">
        <v>5.0317537860283403E-2</v>
      </c>
      <c r="C12" s="349">
        <v>0.13395031660983922</v>
      </c>
      <c r="D12" s="349">
        <v>0.1774975751697381</v>
      </c>
      <c r="E12" s="349">
        <v>7.0107876486204715E-2</v>
      </c>
      <c r="F12" s="349">
        <v>-4.3081136572757701E-2</v>
      </c>
      <c r="G12" s="349"/>
      <c r="H12" s="349"/>
      <c r="I12" s="349"/>
      <c r="J12" s="349"/>
      <c r="K12" s="349"/>
      <c r="L12" s="349"/>
      <c r="M12" s="349"/>
      <c r="N12" s="349">
        <f t="shared" ref="N12:V12" si="22">+N11/N4</f>
        <v>0.15993243113530548</v>
      </c>
      <c r="O12" s="349">
        <f t="shared" si="22"/>
        <v>0.22063186320102693</v>
      </c>
      <c r="P12" s="349">
        <f t="shared" si="22"/>
        <v>0.28125646539150811</v>
      </c>
      <c r="Q12" s="349">
        <f t="shared" si="22"/>
        <v>0.30670282130174636</v>
      </c>
      <c r="R12" s="349">
        <f t="shared" si="22"/>
        <v>0.32548583812453702</v>
      </c>
      <c r="S12" s="349">
        <f t="shared" si="22"/>
        <v>0.32262187218985261</v>
      </c>
      <c r="T12" s="349">
        <f t="shared" si="22"/>
        <v>0.3234767928747857</v>
      </c>
      <c r="U12" s="349">
        <f t="shared" si="22"/>
        <v>0.32267893115877883</v>
      </c>
      <c r="V12" s="349">
        <f t="shared" si="22"/>
        <v>0.32084435679088924</v>
      </c>
      <c r="W12" s="349">
        <f>+W11/W4</f>
        <v>0.31799841457851113</v>
      </c>
      <c r="AH12" s="4" t="s">
        <v>188</v>
      </c>
      <c r="AJ12" s="158"/>
      <c r="AK12" s="158"/>
      <c r="AL12" s="32"/>
      <c r="AQ12" s="4" t="s">
        <v>683</v>
      </c>
      <c r="AR12" s="75"/>
      <c r="AS12" s="84"/>
      <c r="AT12" s="84"/>
      <c r="BK12" s="212" t="s">
        <v>611</v>
      </c>
      <c r="BL12" s="222">
        <v>5.0317537860283403E-2</v>
      </c>
      <c r="BM12" s="222">
        <v>0.13395031660983922</v>
      </c>
      <c r="BN12" s="222">
        <v>0.1774975751697381</v>
      </c>
      <c r="BO12" s="222">
        <v>7.0107876486204715E-2</v>
      </c>
      <c r="BP12" s="222">
        <v>-4.3081136572757701E-2</v>
      </c>
      <c r="BQ12" s="222">
        <v>9.4722946658155976E-2</v>
      </c>
      <c r="BR12" s="222">
        <v>0.22374961458407319</v>
      </c>
      <c r="BS12" s="222">
        <v>0.27823070283527296</v>
      </c>
      <c r="BT12" s="222">
        <v>0.29679486133464372</v>
      </c>
      <c r="BV12" s="212" t="str">
        <f t="shared" si="0"/>
        <v>Margin</v>
      </c>
      <c r="BW12" s="222">
        <f t="shared" si="1"/>
        <v>5.0317537860283403E-2</v>
      </c>
      <c r="BX12" s="222">
        <f t="shared" si="2"/>
        <v>0.13395031660983922</v>
      </c>
      <c r="BY12" s="222">
        <f t="shared" si="3"/>
        <v>0.1774975751697381</v>
      </c>
      <c r="BZ12" s="222">
        <f t="shared" si="4"/>
        <v>7.0107876486204715E-2</v>
      </c>
      <c r="CA12" s="222">
        <f t="shared" si="5"/>
        <v>-4.3081136572757701E-2</v>
      </c>
      <c r="CB12" s="222">
        <f t="shared" si="6"/>
        <v>0.15993243113530548</v>
      </c>
      <c r="CC12" s="222">
        <f t="shared" si="7"/>
        <v>0.22063186320102693</v>
      </c>
      <c r="CD12" s="222">
        <f t="shared" si="8"/>
        <v>0.28125646539150811</v>
      </c>
      <c r="CE12" s="222">
        <f t="shared" si="9"/>
        <v>0.30670282130174636</v>
      </c>
      <c r="CH12" s="40">
        <f>+CH10/CH11-1</f>
        <v>-0.13988482451855555</v>
      </c>
      <c r="CI12" s="40">
        <f>+CI10/CI11-1</f>
        <v>4.0916995400312128E-2</v>
      </c>
      <c r="CJ12" s="40">
        <f>+CJ10/CJ11-1</f>
        <v>2.7095628937360283E-2</v>
      </c>
      <c r="CK12" s="40">
        <f>+CK10/CK11-1</f>
        <v>8.8579055246795768E-3</v>
      </c>
      <c r="CN12" s="40">
        <f>+CN10/CN11-1</f>
        <v>5.6910569105691033E-2</v>
      </c>
      <c r="CO12" s="40">
        <f>+CO10/CO11-1</f>
        <v>5.0724637681159424E-2</v>
      </c>
      <c r="CP12" s="40">
        <f>+CP10/CP11-1</f>
        <v>4.5751633986928164E-2</v>
      </c>
      <c r="CQ12" s="40">
        <f>+CQ10/CQ11-1</f>
        <v>4.1666666666666741E-2</v>
      </c>
      <c r="CW12" s="66" t="s">
        <v>161</v>
      </c>
      <c r="CX12" s="543">
        <v>164</v>
      </c>
      <c r="CY12" s="543">
        <v>164</v>
      </c>
      <c r="CZ12" s="543">
        <v>156</v>
      </c>
      <c r="DA12" s="543">
        <v>145</v>
      </c>
      <c r="DC12" s="4" t="s">
        <v>670</v>
      </c>
      <c r="DD12" s="4" t="s">
        <v>1127</v>
      </c>
      <c r="DE12" s="423">
        <f>+Q7</f>
        <v>6.4681152120794838E-2</v>
      </c>
    </row>
    <row r="13" spans="1:110">
      <c r="A13" s="4" t="s">
        <v>612</v>
      </c>
      <c r="B13" s="326">
        <v>-21.6</v>
      </c>
      <c r="C13" s="326">
        <v>20.5</v>
      </c>
      <c r="D13" s="326">
        <v>-8.6</v>
      </c>
      <c r="E13" s="326">
        <v>-21.767022308438392</v>
      </c>
      <c r="F13" s="326">
        <v>12.759987179601463</v>
      </c>
      <c r="G13" s="326"/>
      <c r="H13" s="326"/>
      <c r="I13" s="326"/>
      <c r="J13" s="326"/>
      <c r="K13" s="326"/>
      <c r="L13" s="326"/>
      <c r="M13" s="326"/>
      <c r="N13" s="326">
        <f t="shared" ref="N13:V13" si="23">+N136</f>
        <v>-1.8320666823755047</v>
      </c>
      <c r="O13" s="326">
        <f t="shared" si="23"/>
        <v>21.666395829633238</v>
      </c>
      <c r="P13" s="326">
        <f t="shared" si="23"/>
        <v>51.120824797834274</v>
      </c>
      <c r="Q13" s="326">
        <f t="shared" si="23"/>
        <v>68.413766149368882</v>
      </c>
      <c r="R13" s="326">
        <f t="shared" si="23"/>
        <v>80.985200417364496</v>
      </c>
      <c r="S13" s="326">
        <f t="shared" si="23"/>
        <v>98.155945341635814</v>
      </c>
      <c r="T13" s="326">
        <f t="shared" si="23"/>
        <v>114.35835744061512</v>
      </c>
      <c r="U13" s="326">
        <f t="shared" si="23"/>
        <v>128.85206000455923</v>
      </c>
      <c r="V13" s="326">
        <f t="shared" si="23"/>
        <v>142.17425105739312</v>
      </c>
      <c r="W13" s="326">
        <f>+W136</f>
        <v>154.53212562025547</v>
      </c>
      <c r="AH13" s="4" t="s">
        <v>627</v>
      </c>
      <c r="AI13" s="165">
        <v>0.01</v>
      </c>
      <c r="AJ13" s="158">
        <v>1077.8017264097293</v>
      </c>
      <c r="AK13" s="158">
        <v>691.36743696984672</v>
      </c>
      <c r="AL13" s="32">
        <v>12.193429223454086</v>
      </c>
      <c r="AM13" s="165">
        <v>0</v>
      </c>
      <c r="AQ13" s="4" t="str">
        <f>+AH13</f>
        <v>Premium TV</v>
      </c>
      <c r="AR13" s="75" t="s">
        <v>684</v>
      </c>
      <c r="AS13" s="84">
        <f t="shared" ref="AS13:AT15" si="24">+AJ13/AJ$5-1</f>
        <v>1.6307830396857792E-2</v>
      </c>
      <c r="AT13" s="84">
        <f t="shared" si="24"/>
        <v>2.7752495335133576E-2</v>
      </c>
      <c r="BK13" s="212" t="s">
        <v>612</v>
      </c>
      <c r="BL13" s="215">
        <v>-21.6</v>
      </c>
      <c r="BM13" s="215">
        <v>20.5</v>
      </c>
      <c r="BN13" s="215">
        <v>-8.6</v>
      </c>
      <c r="BO13" s="215">
        <v>-21.767022308438392</v>
      </c>
      <c r="BP13" s="215">
        <v>12.759987179601463</v>
      </c>
      <c r="BQ13" s="215">
        <v>1.8045494831312383</v>
      </c>
      <c r="BR13" s="215">
        <v>19.892458897956708</v>
      </c>
      <c r="BS13" s="215">
        <v>58.976154177814557</v>
      </c>
      <c r="BT13" s="215">
        <v>78.917051562955066</v>
      </c>
      <c r="BV13" s="212" t="str">
        <f t="shared" si="0"/>
        <v>Net income</v>
      </c>
      <c r="BW13" s="215">
        <f t="shared" si="1"/>
        <v>-21.6</v>
      </c>
      <c r="BX13" s="215">
        <f t="shared" si="2"/>
        <v>20.5</v>
      </c>
      <c r="BY13" s="215">
        <f t="shared" si="3"/>
        <v>-8.6</v>
      </c>
      <c r="BZ13" s="215">
        <f t="shared" si="4"/>
        <v>-21.767022308438392</v>
      </c>
      <c r="CA13" s="215">
        <f t="shared" si="5"/>
        <v>12.759987179601463</v>
      </c>
      <c r="CB13" s="215">
        <f t="shared" si="6"/>
        <v>-1.8320666823755047</v>
      </c>
      <c r="CC13" s="215">
        <f t="shared" si="7"/>
        <v>21.666395829633238</v>
      </c>
      <c r="CD13" s="215">
        <f t="shared" si="8"/>
        <v>51.120824797834274</v>
      </c>
      <c r="CE13" s="215">
        <f t="shared" si="9"/>
        <v>68.413766149368882</v>
      </c>
      <c r="CG13" s="4" t="s">
        <v>351</v>
      </c>
      <c r="CH13" s="5">
        <f>+CB11</f>
        <v>76.454920749837697</v>
      </c>
      <c r="CI13" s="5">
        <f>+CC11</f>
        <v>111.12233694194512</v>
      </c>
      <c r="CJ13" s="5">
        <f>+CD11</f>
        <v>150.99723928693754</v>
      </c>
      <c r="CK13" s="5">
        <f>+CE11</f>
        <v>175.17076569392017</v>
      </c>
      <c r="CM13" s="4" t="s">
        <v>722</v>
      </c>
      <c r="CN13" s="5">
        <f>+CB28</f>
        <v>9.2786889317090484</v>
      </c>
      <c r="CO13" s="5">
        <f>+CC28</f>
        <v>9.4166840602638597</v>
      </c>
      <c r="CP13" s="5">
        <f>+CD28</f>
        <v>9.6932346379591774</v>
      </c>
      <c r="CQ13" s="5">
        <f>+CE28</f>
        <v>9.9726451177420543</v>
      </c>
      <c r="CW13" s="66" t="s">
        <v>755</v>
      </c>
      <c r="CX13" s="543">
        <v>1226</v>
      </c>
      <c r="CY13" s="543">
        <v>1203</v>
      </c>
      <c r="CZ13" s="543">
        <v>1153</v>
      </c>
      <c r="DA13" s="543">
        <v>1150</v>
      </c>
      <c r="DC13" s="4" t="s">
        <v>161</v>
      </c>
      <c r="DD13" s="4" t="s">
        <v>1128</v>
      </c>
      <c r="DE13" s="359">
        <f>+Q10</f>
        <v>0.26</v>
      </c>
    </row>
    <row r="14" spans="1:110">
      <c r="A14" s="4" t="s">
        <v>160</v>
      </c>
      <c r="B14" s="329">
        <v>594</v>
      </c>
      <c r="C14" s="329">
        <v>620</v>
      </c>
      <c r="D14" s="329">
        <v>586</v>
      </c>
      <c r="E14" s="329">
        <v>320.39999999999998</v>
      </c>
      <c r="F14" s="329">
        <v>361.54944132771675</v>
      </c>
      <c r="G14" s="329"/>
      <c r="H14" s="329"/>
      <c r="I14" s="329"/>
      <c r="J14" s="329"/>
      <c r="K14" s="329"/>
      <c r="L14" s="329">
        <v>1193.8</v>
      </c>
      <c r="M14" s="329"/>
      <c r="N14" s="329">
        <f t="shared" ref="N14:V14" si="25">+N258</f>
        <v>1208.6681314002599</v>
      </c>
      <c r="O14" s="329">
        <f t="shared" si="25"/>
        <v>1231.3405661800125</v>
      </c>
      <c r="P14" s="329">
        <f t="shared" si="25"/>
        <v>1175.3219866833447</v>
      </c>
      <c r="Q14" s="329">
        <f t="shared" si="25"/>
        <v>1133.9821006542497</v>
      </c>
      <c r="R14" s="329">
        <f t="shared" si="25"/>
        <v>1093.1971375141059</v>
      </c>
      <c r="S14" s="329">
        <f t="shared" si="25"/>
        <v>1058.613014452859</v>
      </c>
      <c r="T14" s="329">
        <f t="shared" si="25"/>
        <v>1034.5348432003632</v>
      </c>
      <c r="U14" s="329">
        <f t="shared" si="25"/>
        <v>1020.3504941213564</v>
      </c>
      <c r="V14" s="329">
        <f t="shared" si="25"/>
        <v>1014.1394848515206</v>
      </c>
      <c r="W14" s="329">
        <f>+W258</f>
        <v>1014.7476853784237</v>
      </c>
      <c r="AH14" s="4" t="s">
        <v>678</v>
      </c>
      <c r="AI14" s="165">
        <v>0.01</v>
      </c>
      <c r="AJ14" s="158">
        <v>1080.0870955020184</v>
      </c>
      <c r="AK14" s="158">
        <v>694.03519814328274</v>
      </c>
      <c r="AL14" s="32">
        <v>12.240479685066715</v>
      </c>
      <c r="AM14" s="165">
        <v>0</v>
      </c>
      <c r="AN14" s="158"/>
      <c r="AO14" s="158"/>
      <c r="AP14" s="32"/>
      <c r="AQ14" s="4" t="str">
        <f>+AH14</f>
        <v>Basic TV</v>
      </c>
      <c r="AR14" s="75" t="s">
        <v>686</v>
      </c>
      <c r="AS14" s="84">
        <f t="shared" si="24"/>
        <v>1.8462807928372182E-2</v>
      </c>
      <c r="AT14" s="84">
        <f t="shared" si="24"/>
        <v>3.1718256602360606E-2</v>
      </c>
      <c r="BK14" s="212" t="s">
        <v>160</v>
      </c>
      <c r="BL14" s="218">
        <v>594</v>
      </c>
      <c r="BM14" s="218">
        <v>620</v>
      </c>
      <c r="BN14" s="218">
        <v>586</v>
      </c>
      <c r="BO14" s="218">
        <v>320.39999999999998</v>
      </c>
      <c r="BP14" s="218">
        <v>361.54944132771675</v>
      </c>
      <c r="BQ14" s="218">
        <v>1184.0462882663048</v>
      </c>
      <c r="BR14" s="218">
        <v>1150.1993266677059</v>
      </c>
      <c r="BS14" s="218">
        <v>1090.9653264584183</v>
      </c>
      <c r="BT14" s="218">
        <v>1066.3324523306023</v>
      </c>
      <c r="BV14" s="212" t="str">
        <f t="shared" si="0"/>
        <v>Net debt</v>
      </c>
      <c r="BW14" s="218">
        <f t="shared" si="1"/>
        <v>594</v>
      </c>
      <c r="BX14" s="218">
        <f t="shared" si="2"/>
        <v>620</v>
      </c>
      <c r="BY14" s="218">
        <f t="shared" si="3"/>
        <v>586</v>
      </c>
      <c r="BZ14" s="218">
        <f t="shared" si="4"/>
        <v>320.39999999999998</v>
      </c>
      <c r="CA14" s="218">
        <f t="shared" si="5"/>
        <v>361.54944132771675</v>
      </c>
      <c r="CB14" s="218">
        <f t="shared" si="6"/>
        <v>1208.6681314002599</v>
      </c>
      <c r="CC14" s="218">
        <f t="shared" si="7"/>
        <v>1231.3405661800125</v>
      </c>
      <c r="CD14" s="218">
        <f t="shared" si="8"/>
        <v>1175.3219866833447</v>
      </c>
      <c r="CE14" s="218">
        <f t="shared" si="9"/>
        <v>1133.9821006542497</v>
      </c>
      <c r="CG14" s="4" t="s">
        <v>719</v>
      </c>
      <c r="CH14" s="5">
        <f>+BQ11</f>
        <v>46.0654741771543</v>
      </c>
      <c r="CI14" s="5">
        <f>+BR11</f>
        <v>115.48033994851227</v>
      </c>
      <c r="CJ14" s="5">
        <f>+BS11</f>
        <v>153.51179863494013</v>
      </c>
      <c r="CK14" s="5">
        <f>+BT11</f>
        <v>174.74452295326532</v>
      </c>
      <c r="CM14" s="4" t="s">
        <v>719</v>
      </c>
      <c r="CN14" s="5">
        <f>+BQ28</f>
        <v>9.6943815109815166</v>
      </c>
      <c r="CO14" s="5">
        <f>+BR28</f>
        <v>10.043862844930679</v>
      </c>
      <c r="CP14" s="5">
        <f>+BS28</f>
        <v>10.409643370465561</v>
      </c>
      <c r="CQ14" s="5">
        <f>+BT28</f>
        <v>10.792457803326794</v>
      </c>
      <c r="CW14" s="208"/>
      <c r="CX14" s="209" t="str">
        <f t="shared" ref="CX14:DA15" si="26">+CX3</f>
        <v>2016E</v>
      </c>
      <c r="CY14" s="209" t="str">
        <f t="shared" si="26"/>
        <v>2017E</v>
      </c>
      <c r="CZ14" s="209" t="str">
        <f t="shared" si="26"/>
        <v>2018E</v>
      </c>
      <c r="DA14" s="209" t="str">
        <f t="shared" si="26"/>
        <v>2019E</v>
      </c>
      <c r="DC14" s="4" t="s">
        <v>991</v>
      </c>
      <c r="DD14" s="4" t="s">
        <v>1129</v>
      </c>
      <c r="DE14" s="326">
        <f>+Q15</f>
        <v>3.5035390898693666</v>
      </c>
    </row>
    <row r="15" spans="1:110">
      <c r="A15" s="4" t="s">
        <v>282</v>
      </c>
      <c r="B15" s="326">
        <v>7.5765306122448974</v>
      </c>
      <c r="C15" s="326">
        <v>7.1182548794489096</v>
      </c>
      <c r="D15" s="326">
        <v>6.651532349602725</v>
      </c>
      <c r="E15" s="326">
        <v>3.2352859367501439</v>
      </c>
      <c r="F15" s="326">
        <v>3.4293574758104661</v>
      </c>
      <c r="G15" s="326"/>
      <c r="H15" s="326"/>
      <c r="I15" s="326"/>
      <c r="J15" s="326"/>
      <c r="K15" s="326"/>
      <c r="L15" s="326">
        <f>+L14/L6</f>
        <v>5.1060735671514115</v>
      </c>
      <c r="M15" s="326"/>
      <c r="N15" s="326">
        <f>+N260</f>
        <v>4.9582170494030002</v>
      </c>
      <c r="O15" s="326">
        <f t="shared" ref="O15:V15" si="27">+O260</f>
        <v>4.5221338796214772</v>
      </c>
      <c r="P15" s="326">
        <f t="shared" si="27"/>
        <v>3.866136597330661</v>
      </c>
      <c r="Q15" s="326">
        <f t="shared" si="27"/>
        <v>3.5035390898693666</v>
      </c>
      <c r="R15" s="326">
        <f t="shared" si="27"/>
        <v>3.1878420254892714</v>
      </c>
      <c r="S15" s="326">
        <f t="shared" si="27"/>
        <v>2.9229201975046029</v>
      </c>
      <c r="T15" s="326">
        <f t="shared" si="27"/>
        <v>2.7018102547947538</v>
      </c>
      <c r="U15" s="326">
        <f t="shared" si="27"/>
        <v>2.5294916462136938</v>
      </c>
      <c r="V15" s="326">
        <f t="shared" si="27"/>
        <v>2.3920431094698889</v>
      </c>
      <c r="W15" s="326">
        <f>+W260</f>
        <v>2.2822564794846758</v>
      </c>
      <c r="AH15" s="4" t="s">
        <v>679</v>
      </c>
      <c r="AI15" s="165">
        <v>0.01</v>
      </c>
      <c r="AJ15" s="158">
        <v>1084.7708038546202</v>
      </c>
      <c r="AK15" s="158">
        <v>698.8357010650202</v>
      </c>
      <c r="AL15" s="32">
        <v>12.325144639594711</v>
      </c>
      <c r="AM15" s="165">
        <v>0</v>
      </c>
      <c r="AQ15" s="4" t="str">
        <f>+AH15</f>
        <v>BB/Tel</v>
      </c>
      <c r="AR15" s="75" t="s">
        <v>687</v>
      </c>
      <c r="AS15" s="84">
        <f t="shared" si="24"/>
        <v>2.2879287655029001E-2</v>
      </c>
      <c r="AT15" s="84">
        <f t="shared" si="24"/>
        <v>3.8854445830917461E-2</v>
      </c>
      <c r="BK15" s="212" t="s">
        <v>282</v>
      </c>
      <c r="BL15" s="215">
        <v>7.5765306122448974</v>
      </c>
      <c r="BM15" s="215">
        <v>7.1182548794489096</v>
      </c>
      <c r="BN15" s="215">
        <v>6.651532349602725</v>
      </c>
      <c r="BO15" s="215">
        <v>3.2352859367501439</v>
      </c>
      <c r="BP15" s="215">
        <v>3.4293574758104661</v>
      </c>
      <c r="BQ15" s="215">
        <v>4.9213729722694541</v>
      </c>
      <c r="BR15" s="215">
        <v>4.2550398803364562</v>
      </c>
      <c r="BS15" s="215">
        <v>3.6067071983478227</v>
      </c>
      <c r="BT15" s="215">
        <v>3.3122339699382506</v>
      </c>
      <c r="BV15" s="212" t="str">
        <f t="shared" si="0"/>
        <v>ND/EBITDA</v>
      </c>
      <c r="BW15" s="215">
        <f t="shared" si="1"/>
        <v>7.5765306122448974</v>
      </c>
      <c r="BX15" s="215">
        <f t="shared" si="2"/>
        <v>7.1182548794489096</v>
      </c>
      <c r="BY15" s="215">
        <f t="shared" si="3"/>
        <v>6.651532349602725</v>
      </c>
      <c r="BZ15" s="215">
        <f t="shared" si="4"/>
        <v>3.2352859367501439</v>
      </c>
      <c r="CA15" s="215">
        <f t="shared" si="5"/>
        <v>3.4293574758104661</v>
      </c>
      <c r="CB15" s="215">
        <f t="shared" si="6"/>
        <v>4.9582170494030002</v>
      </c>
      <c r="CC15" s="215">
        <f t="shared" si="7"/>
        <v>4.5221338796214772</v>
      </c>
      <c r="CD15" s="215">
        <f t="shared" si="8"/>
        <v>3.866136597330661</v>
      </c>
      <c r="CE15" s="215">
        <f t="shared" si="9"/>
        <v>3.5035390898693666</v>
      </c>
      <c r="CH15" s="40">
        <f>+CH13/CH14-1</f>
        <v>0.65970115613733826</v>
      </c>
      <c r="CI15" s="40">
        <f>+CI13/CI14-1</f>
        <v>-3.7738051416459251E-2</v>
      </c>
      <c r="CJ15" s="40">
        <f>+CJ13/CJ14-1</f>
        <v>-1.6380235072239402E-2</v>
      </c>
      <c r="CK15" s="40">
        <f>+CK13/CK14-1</f>
        <v>2.4392337651055751E-3</v>
      </c>
      <c r="CN15" s="40">
        <f>+CN13/CN14-1</f>
        <v>-4.2879742127085008E-2</v>
      </c>
      <c r="CO15" s="40">
        <f>+CO13/CO14-1</f>
        <v>-6.2443981399384341E-2</v>
      </c>
      <c r="CP15" s="40">
        <f>+CP13/CP14-1</f>
        <v>-6.8821640378093352E-2</v>
      </c>
      <c r="CQ15" s="40">
        <f>+CQ13/CQ14-1</f>
        <v>-7.5961629920112461E-2</v>
      </c>
      <c r="CW15" s="4" t="s">
        <v>143</v>
      </c>
      <c r="CX15" s="11">
        <f t="shared" si="26"/>
        <v>478.04513573082357</v>
      </c>
      <c r="CY15" s="11">
        <f t="shared" si="26"/>
        <v>503.65498133284996</v>
      </c>
      <c r="CZ15" s="11">
        <f t="shared" si="26"/>
        <v>536.86673149628712</v>
      </c>
      <c r="DA15" s="11">
        <f t="shared" si="26"/>
        <v>571.14168350469868</v>
      </c>
      <c r="DE15" s="75"/>
    </row>
    <row r="16" spans="1:110">
      <c r="B16" s="326"/>
      <c r="C16" s="326"/>
      <c r="D16" s="326"/>
      <c r="E16" s="326"/>
      <c r="F16" s="326"/>
      <c r="G16" s="326"/>
      <c r="H16" s="326"/>
      <c r="I16" s="326"/>
      <c r="J16" s="326"/>
      <c r="K16" s="326"/>
      <c r="L16" s="326"/>
      <c r="M16" s="326"/>
      <c r="N16" s="326"/>
      <c r="O16" s="326"/>
      <c r="P16" s="326"/>
      <c r="Q16" s="326"/>
      <c r="R16" s="326"/>
      <c r="S16" s="326"/>
      <c r="T16" s="326"/>
      <c r="U16" s="326"/>
      <c r="V16" s="326"/>
      <c r="W16" s="326"/>
      <c r="AJ16" s="158"/>
      <c r="AK16" s="158"/>
      <c r="BK16" s="212"/>
      <c r="BL16" s="215"/>
      <c r="BM16" s="215"/>
      <c r="BN16" s="215"/>
      <c r="BO16" s="215"/>
      <c r="BP16" s="215"/>
      <c r="BQ16" s="215"/>
      <c r="BR16" s="215"/>
      <c r="BS16" s="215"/>
      <c r="BT16" s="215"/>
      <c r="BV16" s="212"/>
      <c r="BW16" s="215"/>
      <c r="BX16" s="215"/>
      <c r="BY16" s="215"/>
      <c r="BZ16" s="215"/>
      <c r="CA16" s="215"/>
      <c r="CB16" s="215"/>
      <c r="CC16" s="215"/>
      <c r="CD16" s="215"/>
      <c r="CE16" s="215"/>
      <c r="CG16" s="4" t="s">
        <v>612</v>
      </c>
      <c r="CH16" s="5">
        <f>+CB13</f>
        <v>-1.8320666823755047</v>
      </c>
      <c r="CI16" s="5">
        <f>+CC13</f>
        <v>21.666395829633238</v>
      </c>
      <c r="CJ16" s="5">
        <f>+CD13</f>
        <v>51.120824797834274</v>
      </c>
      <c r="CK16" s="5">
        <f>+CE13</f>
        <v>68.413766149368882</v>
      </c>
      <c r="CM16" s="4" t="s">
        <v>723</v>
      </c>
      <c r="CN16" s="5">
        <f>+CB29</f>
        <v>22.553299999999997</v>
      </c>
      <c r="CO16" s="5">
        <f>+CC29</f>
        <v>22.778832999999995</v>
      </c>
      <c r="CP16" s="5">
        <f>+CD29</f>
        <v>23.006621329999994</v>
      </c>
      <c r="CQ16" s="5">
        <f>+CE29</f>
        <v>23.12165443664999</v>
      </c>
      <c r="CW16" s="4" t="s">
        <v>984</v>
      </c>
      <c r="CX16" s="11">
        <f>+CX10</f>
        <v>486</v>
      </c>
      <c r="CY16" s="11">
        <f>+CY10</f>
        <v>517</v>
      </c>
      <c r="CZ16" s="11">
        <f>+CZ10</f>
        <v>548</v>
      </c>
      <c r="DA16" s="11">
        <f>+DA10</f>
        <v>580</v>
      </c>
      <c r="DC16" s="4" t="s">
        <v>171</v>
      </c>
      <c r="DD16" s="4" t="s">
        <v>1136</v>
      </c>
      <c r="DE16" s="368">
        <f>+Q18/1000</f>
        <v>3.5710000000000002</v>
      </c>
      <c r="DF16" s="4" t="s">
        <v>1137</v>
      </c>
    </row>
    <row r="17" spans="1:109">
      <c r="A17" s="4" t="s">
        <v>621</v>
      </c>
      <c r="AJ17" s="158"/>
      <c r="AK17" s="158"/>
      <c r="BK17" s="212" t="s">
        <v>621</v>
      </c>
      <c r="BL17" s="212"/>
      <c r="BM17" s="212"/>
      <c r="BN17" s="212"/>
      <c r="BO17" s="212"/>
      <c r="BP17" s="212"/>
      <c r="BQ17" s="212"/>
      <c r="BR17" s="212"/>
      <c r="BS17" s="212"/>
      <c r="BT17" s="212"/>
      <c r="BV17" s="212" t="str">
        <f t="shared" ref="BV17:BV30" si="28">+A17</f>
        <v>KPIs 000s</v>
      </c>
      <c r="BW17" s="212"/>
      <c r="BX17" s="212"/>
      <c r="BY17" s="212"/>
      <c r="BZ17" s="212"/>
      <c r="CA17" s="212"/>
      <c r="CB17" s="212"/>
      <c r="CC17" s="212"/>
      <c r="CD17" s="212"/>
      <c r="CE17" s="212"/>
      <c r="CG17" s="4" t="s">
        <v>719</v>
      </c>
      <c r="CH17" s="5">
        <f>+BQ13</f>
        <v>1.8045494831312383</v>
      </c>
      <c r="CI17" s="5">
        <f>+BR13</f>
        <v>19.892458897956708</v>
      </c>
      <c r="CJ17" s="5">
        <f>+BS13</f>
        <v>58.976154177814557</v>
      </c>
      <c r="CK17" s="5">
        <f>+BT13</f>
        <v>78.917051562955066</v>
      </c>
      <c r="CM17" s="4" t="s">
        <v>719</v>
      </c>
      <c r="CN17" s="5">
        <f>+BQ29</f>
        <v>22.4422</v>
      </c>
      <c r="CO17" s="5">
        <f>+BR29</f>
        <v>22.666622</v>
      </c>
      <c r="CP17" s="5">
        <f>+BS29</f>
        <v>22.893288219999999</v>
      </c>
      <c r="CQ17" s="5">
        <f>+BT29</f>
        <v>23.007754661099995</v>
      </c>
      <c r="CX17" s="38">
        <f>+CX15/CX16-1</f>
        <v>-1.6368033475671617E-2</v>
      </c>
      <c r="CY17" s="38">
        <f>+CY15/CY16-1</f>
        <v>-2.5812415216924678E-2</v>
      </c>
      <c r="CZ17" s="38">
        <f>+CZ15/CZ16-1</f>
        <v>-2.0316183400935883E-2</v>
      </c>
      <c r="DA17" s="38">
        <f>+DA15/DA16-1</f>
        <v>-1.5272959474657455E-2</v>
      </c>
      <c r="DC17" s="4" t="s">
        <v>710</v>
      </c>
      <c r="DD17" s="544">
        <v>0.71</v>
      </c>
      <c r="DE17" s="359">
        <f>+Q20</f>
        <v>0.75032177531206667</v>
      </c>
    </row>
    <row r="18" spans="1:109">
      <c r="A18" s="4" t="s">
        <v>171</v>
      </c>
      <c r="B18" s="329">
        <v>1963</v>
      </c>
      <c r="C18" s="329">
        <v>1856</v>
      </c>
      <c r="D18" s="329">
        <v>1749</v>
      </c>
      <c r="E18" s="329">
        <v>1697</v>
      </c>
      <c r="F18" s="329">
        <v>1687</v>
      </c>
      <c r="G18" s="329"/>
      <c r="H18" s="329">
        <v>1152</v>
      </c>
      <c r="I18" s="329"/>
      <c r="J18" s="329">
        <v>787</v>
      </c>
      <c r="K18" s="329"/>
      <c r="L18" s="329">
        <f>+Interims!R5</f>
        <v>3605</v>
      </c>
      <c r="M18" s="349"/>
      <c r="N18" s="329">
        <f>+L18+N35</f>
        <v>3601</v>
      </c>
      <c r="O18" s="329">
        <f t="shared" ref="O18:W18" si="29">+N18+O35</f>
        <v>3591</v>
      </c>
      <c r="P18" s="329">
        <f t="shared" si="29"/>
        <v>3581</v>
      </c>
      <c r="Q18" s="329">
        <f t="shared" si="29"/>
        <v>3571</v>
      </c>
      <c r="R18" s="329">
        <f t="shared" si="29"/>
        <v>3561</v>
      </c>
      <c r="S18" s="329">
        <f t="shared" si="29"/>
        <v>3551</v>
      </c>
      <c r="T18" s="329">
        <f t="shared" si="29"/>
        <v>3541</v>
      </c>
      <c r="U18" s="329">
        <f t="shared" si="29"/>
        <v>3531</v>
      </c>
      <c r="V18" s="329">
        <f t="shared" si="29"/>
        <v>3521</v>
      </c>
      <c r="W18" s="329">
        <f t="shared" si="29"/>
        <v>3511</v>
      </c>
      <c r="Y18" s="80" t="s">
        <v>1114</v>
      </c>
      <c r="AJ18" s="158"/>
      <c r="AK18" s="158"/>
      <c r="BK18" s="212" t="s">
        <v>171</v>
      </c>
      <c r="BL18" s="218">
        <v>1963</v>
      </c>
      <c r="BM18" s="218">
        <v>1856</v>
      </c>
      <c r="BN18" s="218">
        <v>1749</v>
      </c>
      <c r="BO18" s="218">
        <v>1697</v>
      </c>
      <c r="BP18" s="218">
        <v>1687</v>
      </c>
      <c r="BQ18" s="218">
        <v>3585</v>
      </c>
      <c r="BR18" s="218">
        <v>3565</v>
      </c>
      <c r="BS18" s="218">
        <v>3545</v>
      </c>
      <c r="BT18" s="218">
        <v>3525</v>
      </c>
      <c r="BV18" s="212" t="str">
        <f t="shared" si="28"/>
        <v>Homes connected</v>
      </c>
      <c r="BW18" s="218">
        <f>+B18</f>
        <v>1963</v>
      </c>
      <c r="BX18" s="218">
        <f>+C18</f>
        <v>1856</v>
      </c>
      <c r="BY18" s="218">
        <f>+D18</f>
        <v>1749</v>
      </c>
      <c r="BZ18" s="218">
        <f>+E18</f>
        <v>1697</v>
      </c>
      <c r="CA18" s="218">
        <f>+F18</f>
        <v>1687</v>
      </c>
      <c r="CB18" s="218">
        <f>+N18</f>
        <v>3601</v>
      </c>
      <c r="CC18" s="218">
        <f>+O18</f>
        <v>3591</v>
      </c>
      <c r="CD18" s="218">
        <f>+P18</f>
        <v>3581</v>
      </c>
      <c r="CE18" s="218">
        <f>+Q18</f>
        <v>3571</v>
      </c>
      <c r="CH18" s="40">
        <f>+CH16/CH17-1</f>
        <v>-2.0152487917352753</v>
      </c>
      <c r="CI18" s="40">
        <f>+CI16/CI17-1</f>
        <v>8.9176352746353826E-2</v>
      </c>
      <c r="CJ18" s="40">
        <f>+CJ16/CJ17-1</f>
        <v>-0.1331950088894619</v>
      </c>
      <c r="CK18" s="40">
        <f>+CK16/CK17-1</f>
        <v>-0.13309272464655275</v>
      </c>
      <c r="CN18" s="40">
        <f>+CN16/CN17-1</f>
        <v>4.9504950495047328E-3</v>
      </c>
      <c r="CO18" s="40">
        <f>+CO16/CO17-1</f>
        <v>4.9504950495047328E-3</v>
      </c>
      <c r="CP18" s="40">
        <f>+CP16/CP17-1</f>
        <v>4.9504950495047328E-3</v>
      </c>
      <c r="CQ18" s="40">
        <f>+CQ16/CQ17-1</f>
        <v>4.9504950495047328E-3</v>
      </c>
      <c r="CW18" s="4" t="s">
        <v>281</v>
      </c>
      <c r="CX18" s="11">
        <f>+CX5</f>
        <v>243.77071825562595</v>
      </c>
      <c r="CY18" s="11">
        <f>+CY5</f>
        <v>272.29193096845711</v>
      </c>
      <c r="CZ18" s="11">
        <f>+CZ5</f>
        <v>304.00425776337937</v>
      </c>
      <c r="DA18" s="11">
        <f>+DA5</f>
        <v>323.66760340514185</v>
      </c>
      <c r="DC18" s="4" t="s">
        <v>1131</v>
      </c>
      <c r="DD18" s="4" t="s">
        <v>1120</v>
      </c>
      <c r="DE18" s="424">
        <f>+(Q23+Q24+Q25+Q26)/Q21</f>
        <v>1.7550694801743556</v>
      </c>
    </row>
    <row r="19" spans="1:109">
      <c r="A19" s="4" t="s">
        <v>1064</v>
      </c>
      <c r="B19" s="329">
        <v>789</v>
      </c>
      <c r="C19" s="329">
        <v>881</v>
      </c>
      <c r="D19" s="329">
        <v>891</v>
      </c>
      <c r="E19" s="329">
        <v>933</v>
      </c>
      <c r="F19" s="329">
        <v>996.53700162498899</v>
      </c>
      <c r="G19" s="329"/>
      <c r="H19" s="329">
        <f>+H18*H20</f>
        <v>633.6</v>
      </c>
      <c r="I19" s="329"/>
      <c r="J19" s="329">
        <f>+J18*J20</f>
        <v>554.83499999999992</v>
      </c>
      <c r="K19" s="329"/>
      <c r="L19" s="329">
        <f>+Interims!R9</f>
        <v>2193</v>
      </c>
      <c r="M19" s="329"/>
      <c r="N19" s="329">
        <f>+N18*N37</f>
        <v>2269.7887128987518</v>
      </c>
      <c r="O19" s="329">
        <f t="shared" ref="O19:V19" si="30">+O18*O37</f>
        <v>2407.1254951456312</v>
      </c>
      <c r="P19" s="329">
        <f t="shared" si="30"/>
        <v>2579.4722773925105</v>
      </c>
      <c r="Q19" s="329">
        <f t="shared" si="30"/>
        <v>2679.3990596393901</v>
      </c>
      <c r="R19" s="329">
        <f t="shared" si="30"/>
        <v>2743.1158418862697</v>
      </c>
      <c r="S19" s="329">
        <f t="shared" si="30"/>
        <v>2770.9226241331489</v>
      </c>
      <c r="T19" s="329">
        <f t="shared" si="30"/>
        <v>2798.5294063800284</v>
      </c>
      <c r="U19" s="329">
        <f t="shared" si="30"/>
        <v>2825.9361886269076</v>
      </c>
      <c r="V19" s="329">
        <f t="shared" si="30"/>
        <v>2853.1429708737869</v>
      </c>
      <c r="W19" s="329">
        <f>+W18*W37</f>
        <v>2880.1497531206664</v>
      </c>
      <c r="Y19" s="349">
        <f>+(R19/L19)^(0.2)-1</f>
        <v>4.5781857533207626E-2</v>
      </c>
      <c r="BK19" s="212" t="s">
        <v>1064</v>
      </c>
      <c r="BL19" s="218"/>
      <c r="BM19" s="218"/>
      <c r="BN19" s="218"/>
      <c r="BO19" s="218"/>
      <c r="BP19" s="218"/>
      <c r="BQ19" s="218"/>
      <c r="BR19" s="218"/>
      <c r="BS19" s="218"/>
      <c r="BT19" s="218"/>
      <c r="BV19" s="212" t="str">
        <f t="shared" si="28"/>
        <v>Two-way, on-net homes connected</v>
      </c>
      <c r="BW19" s="218"/>
      <c r="BX19" s="218"/>
      <c r="BY19" s="218"/>
      <c r="BZ19" s="218"/>
      <c r="CA19" s="218"/>
      <c r="CB19" s="218"/>
      <c r="CC19" s="218"/>
      <c r="CD19" s="218"/>
      <c r="CE19" s="218"/>
      <c r="CH19" s="40"/>
      <c r="CI19" s="40"/>
      <c r="CJ19" s="40"/>
      <c r="CK19" s="40"/>
      <c r="CN19" s="40"/>
      <c r="CO19" s="40"/>
      <c r="CP19" s="40"/>
      <c r="CQ19" s="40"/>
      <c r="CW19" s="4" t="s">
        <v>984</v>
      </c>
      <c r="CX19" s="11">
        <f>+CX11</f>
        <v>232</v>
      </c>
      <c r="CY19" s="11">
        <f>+CY11</f>
        <v>264</v>
      </c>
      <c r="CZ19" s="11">
        <f>+CZ11</f>
        <v>293</v>
      </c>
      <c r="DA19" s="11">
        <f>+DA11</f>
        <v>310</v>
      </c>
      <c r="DC19" s="4" t="s">
        <v>1132</v>
      </c>
      <c r="DD19" s="545">
        <v>18</v>
      </c>
      <c r="DE19" s="546">
        <f>+Q30</f>
        <v>16.272955135306855</v>
      </c>
    </row>
    <row r="20" spans="1:109">
      <c r="A20" s="4" t="s">
        <v>1065</v>
      </c>
      <c r="B20" s="349">
        <v>0.40193581253183902</v>
      </c>
      <c r="C20" s="349">
        <v>0.47467672413793105</v>
      </c>
      <c r="D20" s="349">
        <v>0.50943396226415094</v>
      </c>
      <c r="E20" s="349">
        <v>0.5497937536829699</v>
      </c>
      <c r="F20" s="349">
        <v>0.5907154722139828</v>
      </c>
      <c r="G20" s="349"/>
      <c r="H20" s="349">
        <v>0.55000000000000004</v>
      </c>
      <c r="I20" s="349"/>
      <c r="J20" s="349">
        <v>0.70499999999999996</v>
      </c>
      <c r="K20" s="349"/>
      <c r="L20" s="349">
        <f>+L19/L18</f>
        <v>0.60832177531206655</v>
      </c>
      <c r="M20" s="349"/>
      <c r="N20" s="349">
        <f t="shared" ref="N20:V20" si="31">+N37</f>
        <v>0.63032177531206657</v>
      </c>
      <c r="O20" s="349">
        <f t="shared" si="31"/>
        <v>0.6703217753120666</v>
      </c>
      <c r="P20" s="349">
        <f t="shared" si="31"/>
        <v>0.72032177531206665</v>
      </c>
      <c r="Q20" s="349">
        <f t="shared" si="31"/>
        <v>0.75032177531206667</v>
      </c>
      <c r="R20" s="349">
        <f t="shared" si="31"/>
        <v>0.77032177531206669</v>
      </c>
      <c r="S20" s="349">
        <f t="shared" si="31"/>
        <v>0.7803217753120667</v>
      </c>
      <c r="T20" s="349">
        <f t="shared" si="31"/>
        <v>0.79032177531206671</v>
      </c>
      <c r="U20" s="349">
        <f t="shared" si="31"/>
        <v>0.80032177531206672</v>
      </c>
      <c r="V20" s="349">
        <f t="shared" si="31"/>
        <v>0.81032177531206673</v>
      </c>
      <c r="W20" s="349">
        <f>+W37</f>
        <v>0.82032177531206674</v>
      </c>
      <c r="AJ20" s="158"/>
      <c r="AK20" s="158"/>
      <c r="BK20" s="212" t="s">
        <v>1065</v>
      </c>
      <c r="BL20" s="218"/>
      <c r="BM20" s="218"/>
      <c r="BN20" s="218"/>
      <c r="BO20" s="218"/>
      <c r="BP20" s="218"/>
      <c r="BQ20" s="218"/>
      <c r="BR20" s="218"/>
      <c r="BS20" s="218"/>
      <c r="BT20" s="218"/>
      <c r="BV20" s="212" t="str">
        <f t="shared" si="28"/>
        <v>% homes connected two-way, on-net</v>
      </c>
      <c r="BW20" s="218"/>
      <c r="BX20" s="218"/>
      <c r="BY20" s="218"/>
      <c r="BZ20" s="218"/>
      <c r="CA20" s="218"/>
      <c r="CB20" s="218"/>
      <c r="CC20" s="218"/>
      <c r="CD20" s="218"/>
      <c r="CE20" s="218"/>
      <c r="CH20" s="40"/>
      <c r="CI20" s="40"/>
      <c r="CJ20" s="40"/>
      <c r="CK20" s="40"/>
      <c r="CN20" s="40"/>
      <c r="CO20" s="40"/>
      <c r="CP20" s="40"/>
      <c r="CQ20" s="40"/>
      <c r="CX20" s="38">
        <f>+CX18/CX19-1</f>
        <v>5.0735854550111759E-2</v>
      </c>
      <c r="CY20" s="38">
        <f>+CY18/CY19-1</f>
        <v>3.1408829425974005E-2</v>
      </c>
      <c r="CZ20" s="38">
        <f>+CZ18/CZ19-1</f>
        <v>3.7557193731670102E-2</v>
      </c>
      <c r="DA20" s="38">
        <f>+DA18/DA19-1</f>
        <v>4.4089043242393045E-2</v>
      </c>
    </row>
    <row r="21" spans="1:109">
      <c r="A21" s="4" t="s">
        <v>570</v>
      </c>
      <c r="B21" s="329">
        <v>1447</v>
      </c>
      <c r="C21" s="329">
        <v>1353</v>
      </c>
      <c r="D21" s="329">
        <v>1302</v>
      </c>
      <c r="E21" s="329">
        <v>1282</v>
      </c>
      <c r="F21" s="329">
        <v>1282.8804920447849</v>
      </c>
      <c r="G21" s="329"/>
      <c r="H21" s="329">
        <v>642</v>
      </c>
      <c r="I21" s="329"/>
      <c r="J21" s="329">
        <v>582</v>
      </c>
      <c r="K21" s="329"/>
      <c r="L21" s="329">
        <f>+Interims!R15</f>
        <v>2435</v>
      </c>
      <c r="M21" s="381"/>
      <c r="N21" s="329">
        <f>+N18*N38</f>
        <v>2416.2710000000002</v>
      </c>
      <c r="O21" s="329">
        <f t="shared" ref="O21:V21" si="32">+O18*O38</f>
        <v>2427.5160000000001</v>
      </c>
      <c r="P21" s="329">
        <f t="shared" si="32"/>
        <v>2438.6610000000001</v>
      </c>
      <c r="Q21" s="329">
        <f t="shared" si="32"/>
        <v>2449.7060000000001</v>
      </c>
      <c r="R21" s="329">
        <f t="shared" si="32"/>
        <v>2460.6510000000003</v>
      </c>
      <c r="S21" s="329">
        <f t="shared" si="32"/>
        <v>2471.4960000000001</v>
      </c>
      <c r="T21" s="329">
        <f t="shared" si="32"/>
        <v>2482.2410000000004</v>
      </c>
      <c r="U21" s="329">
        <f t="shared" si="32"/>
        <v>2492.8860000000004</v>
      </c>
      <c r="V21" s="329">
        <f t="shared" si="32"/>
        <v>2503.4310000000005</v>
      </c>
      <c r="W21" s="329">
        <f>+W18*W38</f>
        <v>2513.8760000000002</v>
      </c>
      <c r="AJ21" s="158"/>
      <c r="AK21" s="158"/>
      <c r="BK21" s="212" t="s">
        <v>570</v>
      </c>
      <c r="BL21" s="218">
        <v>1447</v>
      </c>
      <c r="BM21" s="218">
        <v>1353</v>
      </c>
      <c r="BN21" s="218">
        <v>1302</v>
      </c>
      <c r="BO21" s="218">
        <v>1282</v>
      </c>
      <c r="BP21" s="218">
        <v>1282.8804920447849</v>
      </c>
      <c r="BQ21" s="218">
        <v>2439.4159847434121</v>
      </c>
      <c r="BR21" s="218">
        <v>2443.6319694868239</v>
      </c>
      <c r="BS21" s="218">
        <v>2447.6479542302359</v>
      </c>
      <c r="BT21" s="218">
        <v>2451.4639389736481</v>
      </c>
      <c r="BV21" s="212" t="str">
        <f t="shared" si="28"/>
        <v>Customers</v>
      </c>
      <c r="BW21" s="218">
        <f>+B21</f>
        <v>1447</v>
      </c>
      <c r="BX21" s="218">
        <f>+C21</f>
        <v>1353</v>
      </c>
      <c r="BY21" s="218">
        <f>+D21</f>
        <v>1302</v>
      </c>
      <c r="BZ21" s="218">
        <f>+E21</f>
        <v>1282</v>
      </c>
      <c r="CA21" s="218">
        <f>+F21</f>
        <v>1282.8804920447849</v>
      </c>
      <c r="CB21" s="218">
        <f>+N21</f>
        <v>2416.2710000000002</v>
      </c>
      <c r="CC21" s="218">
        <f>+O21</f>
        <v>2427.5160000000001</v>
      </c>
      <c r="CD21" s="218">
        <f>+P21</f>
        <v>2438.6610000000001</v>
      </c>
      <c r="CE21" s="218">
        <f>+Q21</f>
        <v>2449.7060000000001</v>
      </c>
      <c r="CG21" s="4" t="s">
        <v>160</v>
      </c>
      <c r="CH21" s="11">
        <f>+CB14</f>
        <v>1208.6681314002599</v>
      </c>
      <c r="CI21" s="11">
        <f>+CC14</f>
        <v>1231.3405661800125</v>
      </c>
      <c r="CJ21" s="11">
        <f>+CD14</f>
        <v>1175.3219866833447</v>
      </c>
      <c r="CK21" s="11">
        <f>+CE14</f>
        <v>1133.9821006542497</v>
      </c>
      <c r="CM21" s="4" t="s">
        <v>724</v>
      </c>
      <c r="CN21" s="5">
        <f>+CB30</f>
        <v>13.80893822234095</v>
      </c>
      <c r="CO21" s="5">
        <f>+CC30</f>
        <v>14.558791395705303</v>
      </c>
      <c r="CP21" s="5">
        <f>+CD30</f>
        <v>15.426826732683152</v>
      </c>
      <c r="CQ21" s="5">
        <f>+CE30</f>
        <v>16.272955135306855</v>
      </c>
      <c r="CW21" s="4" t="s">
        <v>161</v>
      </c>
      <c r="CX21" s="11">
        <f>+CX6</f>
        <v>167.31579750578825</v>
      </c>
      <c r="CY21" s="11">
        <f>+CY6</f>
        <v>161.16959402651199</v>
      </c>
      <c r="CZ21" s="11">
        <f>+CZ6</f>
        <v>153.00701847644183</v>
      </c>
      <c r="DA21" s="11">
        <f>+DA6</f>
        <v>148.49683771122167</v>
      </c>
    </row>
    <row r="22" spans="1:109">
      <c r="A22" s="4" t="s">
        <v>33</v>
      </c>
      <c r="AJ22" s="158"/>
      <c r="AK22" s="158"/>
      <c r="BK22" s="212" t="s">
        <v>33</v>
      </c>
      <c r="BL22" s="212"/>
      <c r="BM22" s="212"/>
      <c r="BN22" s="212"/>
      <c r="BO22" s="212"/>
      <c r="BP22" s="212"/>
      <c r="BQ22" s="212"/>
      <c r="BR22" s="212"/>
      <c r="BS22" s="212"/>
      <c r="BT22" s="212"/>
      <c r="BV22" s="212" t="str">
        <f t="shared" si="28"/>
        <v>RGUs</v>
      </c>
      <c r="BW22" s="212"/>
      <c r="BX22" s="212"/>
      <c r="BY22" s="212"/>
      <c r="BZ22" s="212"/>
      <c r="CA22" s="212"/>
      <c r="CB22" s="212"/>
      <c r="CC22" s="212"/>
      <c r="CD22" s="212"/>
      <c r="CE22" s="212"/>
      <c r="CG22" s="4" t="s">
        <v>719</v>
      </c>
      <c r="CH22" s="11">
        <f>+BQ14</f>
        <v>1184.0462882663048</v>
      </c>
      <c r="CI22" s="11">
        <f>+BR14</f>
        <v>1150.1993266677059</v>
      </c>
      <c r="CJ22" s="11">
        <f>+BS14</f>
        <v>1090.9653264584183</v>
      </c>
      <c r="CK22" s="11">
        <f>+BT14</f>
        <v>1066.3324523306023</v>
      </c>
      <c r="CM22" s="4" t="s">
        <v>719</v>
      </c>
      <c r="CN22" s="5">
        <f>+BQ30</f>
        <v>14.045574046603493</v>
      </c>
      <c r="CO22" s="5">
        <f>+BR30</f>
        <v>15.116188968858983</v>
      </c>
      <c r="CP22" s="5">
        <f>+BS30</f>
        <v>15.532902413188243</v>
      </c>
      <c r="CQ22" s="5">
        <f>+BT30</f>
        <v>16.491626826611505</v>
      </c>
      <c r="CW22" s="4" t="s">
        <v>984</v>
      </c>
      <c r="CX22" s="11">
        <f>+CX12</f>
        <v>164</v>
      </c>
      <c r="CY22" s="11">
        <f>+CY12</f>
        <v>164</v>
      </c>
      <c r="CZ22" s="11">
        <f>+CZ12</f>
        <v>156</v>
      </c>
      <c r="DA22" s="11">
        <f>+DA12</f>
        <v>145</v>
      </c>
    </row>
    <row r="23" spans="1:109">
      <c r="A23" s="4" t="s">
        <v>619</v>
      </c>
      <c r="B23" s="329">
        <v>1538</v>
      </c>
      <c r="C23" s="329">
        <v>1416</v>
      </c>
      <c r="D23" s="329">
        <v>1338</v>
      </c>
      <c r="E23" s="329">
        <v>1311</v>
      </c>
      <c r="F23" s="329">
        <v>1281</v>
      </c>
      <c r="G23" s="329"/>
      <c r="H23" s="329">
        <f>+H21</f>
        <v>642</v>
      </c>
      <c r="I23" s="329"/>
      <c r="J23" s="329">
        <f>+J21</f>
        <v>582</v>
      </c>
      <c r="K23" s="329"/>
      <c r="L23" s="329">
        <f>+Interims!R19</f>
        <v>2458</v>
      </c>
      <c r="M23" s="329"/>
      <c r="N23" s="329">
        <f t="shared" ref="N23:V23" si="33">+N21*N39</f>
        <v>2430.768626</v>
      </c>
      <c r="O23" s="329">
        <f t="shared" si="33"/>
        <v>2442.0810959999999</v>
      </c>
      <c r="P23" s="329">
        <f t="shared" si="33"/>
        <v>2453.292966</v>
      </c>
      <c r="Q23" s="329">
        <f t="shared" si="33"/>
        <v>2464.4042360000003</v>
      </c>
      <c r="R23" s="329">
        <f t="shared" si="33"/>
        <v>2475.4149060000004</v>
      </c>
      <c r="S23" s="329">
        <f t="shared" si="33"/>
        <v>2486.3249760000003</v>
      </c>
      <c r="T23" s="329">
        <f t="shared" si="33"/>
        <v>2497.1344460000005</v>
      </c>
      <c r="U23" s="329">
        <f t="shared" si="33"/>
        <v>2507.8433160000004</v>
      </c>
      <c r="V23" s="329">
        <f t="shared" si="33"/>
        <v>2518.4515860000006</v>
      </c>
      <c r="W23" s="329">
        <f>+W21*W39</f>
        <v>2528.9592560000001</v>
      </c>
      <c r="BK23" s="212" t="s">
        <v>619</v>
      </c>
      <c r="BL23" s="218">
        <v>1538</v>
      </c>
      <c r="BM23" s="218">
        <v>1416</v>
      </c>
      <c r="BN23" s="218">
        <v>1338</v>
      </c>
      <c r="BO23" s="218">
        <v>1311</v>
      </c>
      <c r="BP23" s="218">
        <v>1281</v>
      </c>
      <c r="BQ23" s="218">
        <v>2462.4576963036166</v>
      </c>
      <c r="BR23" s="218">
        <v>2466.7135034901899</v>
      </c>
      <c r="BS23" s="218">
        <v>2470.7674215597203</v>
      </c>
      <c r="BT23" s="218">
        <v>2474.619450512208</v>
      </c>
      <c r="BV23" s="212" t="str">
        <f t="shared" si="28"/>
        <v>Basic video</v>
      </c>
      <c r="BW23" s="218">
        <f t="shared" ref="BW23:CA26" si="34">+B23</f>
        <v>1538</v>
      </c>
      <c r="BX23" s="218">
        <f t="shared" si="34"/>
        <v>1416</v>
      </c>
      <c r="BY23" s="218">
        <f t="shared" si="34"/>
        <v>1338</v>
      </c>
      <c r="BZ23" s="218">
        <f t="shared" si="34"/>
        <v>1311</v>
      </c>
      <c r="CA23" s="218">
        <f t="shared" si="34"/>
        <v>1281</v>
      </c>
      <c r="CB23" s="218">
        <f t="shared" ref="CB23:CC26" si="35">+N23</f>
        <v>2430.768626</v>
      </c>
      <c r="CC23" s="218">
        <f t="shared" si="35"/>
        <v>2442.0810959999999</v>
      </c>
      <c r="CD23" s="218">
        <f t="shared" ref="CD23:CE26" si="36">+P23</f>
        <v>2453.292966</v>
      </c>
      <c r="CE23" s="218">
        <f t="shared" si="36"/>
        <v>2464.4042360000003</v>
      </c>
      <c r="CH23" s="40">
        <f>+CH21/CH22-1</f>
        <v>2.0794662656311136E-2</v>
      </c>
      <c r="CI23" s="40">
        <f>+CI21/CI22-1</f>
        <v>7.0545372120312866E-2</v>
      </c>
      <c r="CJ23" s="40">
        <f>+CJ21/CJ22-1</f>
        <v>7.7322952599027106E-2</v>
      </c>
      <c r="CK23" s="40">
        <f>+CK21/CK22-1</f>
        <v>6.344142314696577E-2</v>
      </c>
      <c r="CN23" s="40">
        <f>+CN21/CN22-1</f>
        <v>-1.6847714694848359E-2</v>
      </c>
      <c r="CO23" s="40">
        <f>+CO21/CO22-1</f>
        <v>-3.6874213090480779E-2</v>
      </c>
      <c r="CP23" s="40">
        <f>+CP21/CP22-1</f>
        <v>-6.8290959206069868E-3</v>
      </c>
      <c r="CQ23" s="40">
        <f>+CQ21/CQ22-1</f>
        <v>-1.3259558538627148E-2</v>
      </c>
      <c r="CX23" s="38">
        <f>+CX21/CX22-1</f>
        <v>2.0218277474318702E-2</v>
      </c>
      <c r="CY23" s="38">
        <f>+CY21/CY22-1</f>
        <v>-1.7258573009073297E-2</v>
      </c>
      <c r="CZ23" s="38">
        <f>+CZ21/CZ22-1</f>
        <v>-1.9185778997167779E-2</v>
      </c>
      <c r="DA23" s="38">
        <f>+DA21/DA22-1</f>
        <v>2.4116122146356389E-2</v>
      </c>
    </row>
    <row r="24" spans="1:109">
      <c r="A24" s="4" t="s">
        <v>614</v>
      </c>
      <c r="B24" s="329">
        <v>142</v>
      </c>
      <c r="C24" s="329">
        <v>153</v>
      </c>
      <c r="D24" s="329">
        <v>164</v>
      </c>
      <c r="E24" s="329">
        <v>161</v>
      </c>
      <c r="F24" s="329">
        <v>181</v>
      </c>
      <c r="G24" s="329"/>
      <c r="H24" s="329">
        <v>233</v>
      </c>
      <c r="I24" s="329"/>
      <c r="J24" s="329">
        <v>21</v>
      </c>
      <c r="K24" s="329"/>
      <c r="L24" s="329">
        <f>+Interims!R20</f>
        <v>426</v>
      </c>
      <c r="M24" s="329"/>
      <c r="N24" s="329">
        <f>+L24+N46</f>
        <v>422</v>
      </c>
      <c r="O24" s="329">
        <f>+N24+O46</f>
        <v>442</v>
      </c>
      <c r="P24" s="329">
        <f t="shared" ref="P24:W24" si="37">+O24+P46</f>
        <v>492</v>
      </c>
      <c r="Q24" s="329">
        <f t="shared" si="37"/>
        <v>542</v>
      </c>
      <c r="R24" s="329">
        <f t="shared" si="37"/>
        <v>592</v>
      </c>
      <c r="S24" s="329">
        <f t="shared" si="37"/>
        <v>642</v>
      </c>
      <c r="T24" s="329">
        <f t="shared" si="37"/>
        <v>692</v>
      </c>
      <c r="U24" s="329">
        <f t="shared" si="37"/>
        <v>742</v>
      </c>
      <c r="V24" s="329">
        <f t="shared" si="37"/>
        <v>792</v>
      </c>
      <c r="W24" s="329">
        <f t="shared" si="37"/>
        <v>842</v>
      </c>
      <c r="BK24" s="212" t="s">
        <v>614</v>
      </c>
      <c r="BL24" s="218">
        <v>142</v>
      </c>
      <c r="BM24" s="218">
        <v>153</v>
      </c>
      <c r="BN24" s="218">
        <v>164</v>
      </c>
      <c r="BO24" s="218">
        <v>161</v>
      </c>
      <c r="BP24" s="218">
        <v>181</v>
      </c>
      <c r="BQ24" s="218">
        <v>446</v>
      </c>
      <c r="BR24" s="218">
        <v>496</v>
      </c>
      <c r="BS24" s="218">
        <v>546</v>
      </c>
      <c r="BT24" s="218">
        <v>596</v>
      </c>
      <c r="BV24" s="212" t="str">
        <f t="shared" si="28"/>
        <v>Premium video</v>
      </c>
      <c r="BW24" s="218">
        <f t="shared" si="34"/>
        <v>142</v>
      </c>
      <c r="BX24" s="218">
        <f t="shared" si="34"/>
        <v>153</v>
      </c>
      <c r="BY24" s="218">
        <f t="shared" si="34"/>
        <v>164</v>
      </c>
      <c r="BZ24" s="218">
        <f t="shared" si="34"/>
        <v>161</v>
      </c>
      <c r="CA24" s="218">
        <f t="shared" si="34"/>
        <v>181</v>
      </c>
      <c r="CB24" s="218">
        <f t="shared" si="35"/>
        <v>422</v>
      </c>
      <c r="CC24" s="218">
        <f t="shared" si="35"/>
        <v>442</v>
      </c>
      <c r="CD24" s="218">
        <f t="shared" si="36"/>
        <v>492</v>
      </c>
      <c r="CE24" s="218">
        <f t="shared" si="36"/>
        <v>542</v>
      </c>
      <c r="CG24" s="4" t="s">
        <v>596</v>
      </c>
      <c r="CH24" s="40">
        <f t="shared" ref="CH24:CK25" si="38">+CH7/CH4</f>
        <v>0.50993243113530551</v>
      </c>
      <c r="CI24" s="40">
        <f t="shared" si="38"/>
        <v>0.54063186320102696</v>
      </c>
      <c r="CJ24" s="40">
        <f t="shared" si="38"/>
        <v>0.56625646539150809</v>
      </c>
      <c r="CK24" s="40">
        <f t="shared" si="38"/>
        <v>0.56670282130174643</v>
      </c>
      <c r="CN24" s="11"/>
      <c r="CO24" s="11"/>
      <c r="CP24" s="11"/>
      <c r="CQ24" s="11"/>
      <c r="CW24" s="4" t="s">
        <v>351</v>
      </c>
      <c r="CX24" s="11">
        <f t="shared" ref="CX24:DA25" si="39">+CX18-CX21</f>
        <v>76.454920749837697</v>
      </c>
      <c r="CY24" s="11">
        <f t="shared" si="39"/>
        <v>111.12233694194512</v>
      </c>
      <c r="CZ24" s="11">
        <f t="shared" si="39"/>
        <v>150.99723928693754</v>
      </c>
      <c r="DA24" s="11">
        <f t="shared" si="39"/>
        <v>175.17076569392017</v>
      </c>
    </row>
    <row r="25" spans="1:109">
      <c r="A25" s="4" t="s">
        <v>613</v>
      </c>
      <c r="B25" s="329">
        <v>115</v>
      </c>
      <c r="C25" s="329">
        <v>135</v>
      </c>
      <c r="D25" s="329">
        <v>174</v>
      </c>
      <c r="E25" s="329">
        <v>202</v>
      </c>
      <c r="F25" s="329">
        <v>242</v>
      </c>
      <c r="G25" s="329"/>
      <c r="H25" s="329">
        <v>140</v>
      </c>
      <c r="I25" s="329"/>
      <c r="J25" s="329">
        <v>83</v>
      </c>
      <c r="K25" s="329"/>
      <c r="L25" s="329">
        <f>+Interims!R21</f>
        <v>462</v>
      </c>
      <c r="M25" s="329"/>
      <c r="N25" s="329">
        <f>+L25+N47</f>
        <v>520</v>
      </c>
      <c r="O25" s="329">
        <f t="shared" ref="O25:W25" si="40">+N25+O47</f>
        <v>580</v>
      </c>
      <c r="P25" s="329">
        <f t="shared" si="40"/>
        <v>640</v>
      </c>
      <c r="Q25" s="329">
        <f t="shared" si="40"/>
        <v>700</v>
      </c>
      <c r="R25" s="329">
        <f t="shared" si="40"/>
        <v>760</v>
      </c>
      <c r="S25" s="329">
        <f t="shared" si="40"/>
        <v>820</v>
      </c>
      <c r="T25" s="329">
        <f t="shared" si="40"/>
        <v>880</v>
      </c>
      <c r="U25" s="329">
        <f t="shared" si="40"/>
        <v>940</v>
      </c>
      <c r="V25" s="329">
        <f t="shared" si="40"/>
        <v>1000</v>
      </c>
      <c r="W25" s="329">
        <f t="shared" si="40"/>
        <v>1060</v>
      </c>
      <c r="BK25" s="212" t="s">
        <v>613</v>
      </c>
      <c r="BL25" s="218">
        <v>115</v>
      </c>
      <c r="BM25" s="218">
        <v>135</v>
      </c>
      <c r="BN25" s="218">
        <v>174</v>
      </c>
      <c r="BO25" s="218">
        <v>202</v>
      </c>
      <c r="BP25" s="218">
        <v>242</v>
      </c>
      <c r="BQ25" s="218">
        <v>492</v>
      </c>
      <c r="BR25" s="218">
        <v>552</v>
      </c>
      <c r="BS25" s="218">
        <v>612</v>
      </c>
      <c r="BT25" s="218">
        <v>672</v>
      </c>
      <c r="BV25" s="212" t="str">
        <f t="shared" si="28"/>
        <v>Broadband</v>
      </c>
      <c r="BW25" s="218">
        <f t="shared" si="34"/>
        <v>115</v>
      </c>
      <c r="BX25" s="218">
        <f t="shared" si="34"/>
        <v>135</v>
      </c>
      <c r="BY25" s="218">
        <f t="shared" si="34"/>
        <v>174</v>
      </c>
      <c r="BZ25" s="218">
        <f t="shared" si="34"/>
        <v>202</v>
      </c>
      <c r="CA25" s="218">
        <f t="shared" si="34"/>
        <v>242</v>
      </c>
      <c r="CB25" s="218">
        <f t="shared" si="35"/>
        <v>520</v>
      </c>
      <c r="CC25" s="218">
        <f t="shared" si="35"/>
        <v>580</v>
      </c>
      <c r="CD25" s="218">
        <f t="shared" si="36"/>
        <v>640</v>
      </c>
      <c r="CE25" s="218">
        <f t="shared" si="36"/>
        <v>700</v>
      </c>
      <c r="CG25" s="4" t="s">
        <v>719</v>
      </c>
      <c r="CH25" s="40">
        <f t="shared" si="38"/>
        <v>0.49472294665815603</v>
      </c>
      <c r="CI25" s="40">
        <f t="shared" si="38"/>
        <v>0.52374961458407321</v>
      </c>
      <c r="CJ25" s="40">
        <f t="shared" si="38"/>
        <v>0.54823070283527298</v>
      </c>
      <c r="CK25" s="40">
        <f t="shared" si="38"/>
        <v>0.54679486133464372</v>
      </c>
      <c r="CN25" s="11"/>
      <c r="CO25" s="11"/>
      <c r="CP25" s="11"/>
      <c r="CQ25" s="11"/>
      <c r="CW25" s="4" t="s">
        <v>984</v>
      </c>
      <c r="CX25" s="11">
        <f t="shared" si="39"/>
        <v>68</v>
      </c>
      <c r="CY25" s="11">
        <f t="shared" si="39"/>
        <v>100</v>
      </c>
      <c r="CZ25" s="11">
        <f t="shared" si="39"/>
        <v>137</v>
      </c>
      <c r="DA25" s="11">
        <f t="shared" si="39"/>
        <v>165</v>
      </c>
    </row>
    <row r="26" spans="1:109">
      <c r="A26" s="4" t="s">
        <v>620</v>
      </c>
      <c r="B26" s="329">
        <v>87</v>
      </c>
      <c r="C26" s="329">
        <v>112</v>
      </c>
      <c r="D26" s="329">
        <v>146</v>
      </c>
      <c r="E26" s="329">
        <v>170</v>
      </c>
      <c r="F26" s="329">
        <v>205</v>
      </c>
      <c r="G26" s="329"/>
      <c r="H26" s="329">
        <v>133</v>
      </c>
      <c r="I26" s="329"/>
      <c r="J26" s="329">
        <v>63</v>
      </c>
      <c r="K26" s="329"/>
      <c r="L26" s="329">
        <f>+Interims!R23</f>
        <v>427</v>
      </c>
      <c r="M26" s="329"/>
      <c r="N26" s="329">
        <f>+L26+N48</f>
        <v>473</v>
      </c>
      <c r="O26" s="329">
        <f t="shared" ref="O26:W26" si="41">+N26+O48</f>
        <v>513</v>
      </c>
      <c r="P26" s="329">
        <f t="shared" si="41"/>
        <v>553</v>
      </c>
      <c r="Q26" s="329">
        <f t="shared" si="41"/>
        <v>593</v>
      </c>
      <c r="R26" s="329">
        <f t="shared" si="41"/>
        <v>633</v>
      </c>
      <c r="S26" s="329">
        <f t="shared" si="41"/>
        <v>673</v>
      </c>
      <c r="T26" s="329">
        <f t="shared" si="41"/>
        <v>713</v>
      </c>
      <c r="U26" s="329">
        <f t="shared" si="41"/>
        <v>753</v>
      </c>
      <c r="V26" s="329">
        <f t="shared" si="41"/>
        <v>793</v>
      </c>
      <c r="W26" s="329">
        <f t="shared" si="41"/>
        <v>833</v>
      </c>
      <c r="AW26" s="11">
        <f>+F18</f>
        <v>1687</v>
      </c>
      <c r="BK26" s="212" t="s">
        <v>620</v>
      </c>
      <c r="BL26" s="218">
        <v>87</v>
      </c>
      <c r="BM26" s="218">
        <v>112</v>
      </c>
      <c r="BN26" s="218">
        <v>146</v>
      </c>
      <c r="BO26" s="218">
        <v>170</v>
      </c>
      <c r="BP26" s="218">
        <v>205</v>
      </c>
      <c r="BQ26" s="218">
        <v>447</v>
      </c>
      <c r="BR26" s="218">
        <v>487</v>
      </c>
      <c r="BS26" s="218">
        <v>527</v>
      </c>
      <c r="BT26" s="218">
        <v>567</v>
      </c>
      <c r="BV26" s="212" t="str">
        <f t="shared" si="28"/>
        <v>Telephony</v>
      </c>
      <c r="BW26" s="218">
        <f t="shared" si="34"/>
        <v>87</v>
      </c>
      <c r="BX26" s="218">
        <f t="shared" si="34"/>
        <v>112</v>
      </c>
      <c r="BY26" s="218">
        <f t="shared" si="34"/>
        <v>146</v>
      </c>
      <c r="BZ26" s="218">
        <f t="shared" si="34"/>
        <v>170</v>
      </c>
      <c r="CA26" s="218">
        <f t="shared" si="34"/>
        <v>205</v>
      </c>
      <c r="CB26" s="218">
        <f t="shared" si="35"/>
        <v>473</v>
      </c>
      <c r="CC26" s="218">
        <f t="shared" si="35"/>
        <v>513</v>
      </c>
      <c r="CD26" s="218">
        <f t="shared" si="36"/>
        <v>553</v>
      </c>
      <c r="CE26" s="218">
        <f t="shared" si="36"/>
        <v>593</v>
      </c>
      <c r="CH26" s="40"/>
      <c r="CI26" s="40"/>
      <c r="CJ26" s="40"/>
      <c r="CK26" s="40"/>
      <c r="CN26" s="40"/>
      <c r="CO26" s="40"/>
      <c r="CP26" s="40"/>
      <c r="CQ26" s="40"/>
      <c r="CX26" s="38">
        <f>+CX24/CX25-1</f>
        <v>0.12433706985055437</v>
      </c>
      <c r="CY26" s="38">
        <f>+CY24/CY25-1</f>
        <v>0.11122336941945132</v>
      </c>
      <c r="CZ26" s="38">
        <f>+CZ24/CZ25-1</f>
        <v>0.102169629831661</v>
      </c>
      <c r="DA26" s="38">
        <f>+DA24/DA25-1</f>
        <v>6.1641004205576833E-2</v>
      </c>
    </row>
    <row r="27" spans="1:109">
      <c r="A27" s="4" t="s">
        <v>622</v>
      </c>
      <c r="BK27" s="212" t="s">
        <v>622</v>
      </c>
      <c r="BL27" s="212"/>
      <c r="BM27" s="212"/>
      <c r="BN27" s="212"/>
      <c r="BO27" s="212"/>
      <c r="BP27" s="212"/>
      <c r="BQ27" s="212"/>
      <c r="BR27" s="212"/>
      <c r="BS27" s="212"/>
      <c r="BT27" s="212"/>
      <c r="BV27" s="212" t="str">
        <f t="shared" si="28"/>
        <v>ARPU € per month</v>
      </c>
      <c r="BW27" s="212"/>
      <c r="BX27" s="212"/>
      <c r="BY27" s="212"/>
      <c r="BZ27" s="212"/>
      <c r="CA27" s="212"/>
      <c r="CB27" s="212"/>
      <c r="CC27" s="212"/>
      <c r="CD27" s="212"/>
      <c r="CE27" s="212"/>
      <c r="CG27" s="4" t="s">
        <v>859</v>
      </c>
      <c r="CH27" s="40">
        <f t="shared" ref="CH27:CK28" si="42">+CH10/CH4</f>
        <v>0.35000000000000003</v>
      </c>
      <c r="CI27" s="40">
        <f t="shared" si="42"/>
        <v>0.32</v>
      </c>
      <c r="CJ27" s="40">
        <f t="shared" si="42"/>
        <v>0.28499999999999998</v>
      </c>
      <c r="CK27" s="40">
        <f t="shared" si="42"/>
        <v>0.26</v>
      </c>
      <c r="CN27" s="11"/>
      <c r="CO27" s="11"/>
      <c r="CP27" s="11"/>
      <c r="CQ27" s="11"/>
      <c r="CW27" s="4" t="s">
        <v>160</v>
      </c>
      <c r="CX27" s="11">
        <f>+CX7</f>
        <v>1208.6681314002599</v>
      </c>
      <c r="CY27" s="11">
        <f>+CY7</f>
        <v>1231.3405661800125</v>
      </c>
      <c r="CZ27" s="11">
        <f>+CZ7</f>
        <v>1175.3219866833447</v>
      </c>
      <c r="DA27" s="11">
        <f>+DA7</f>
        <v>1133.9821006542497</v>
      </c>
    </row>
    <row r="28" spans="1:109">
      <c r="A28" s="4" t="s">
        <v>615</v>
      </c>
      <c r="B28" s="327">
        <v>9.1999999999999993</v>
      </c>
      <c r="C28" s="327">
        <v>9.4</v>
      </c>
      <c r="D28" s="327">
        <v>9.5</v>
      </c>
      <c r="E28" s="327">
        <v>9.6</v>
      </c>
      <c r="F28" s="327">
        <v>9.9106001725133019</v>
      </c>
      <c r="G28" s="327"/>
      <c r="H28" s="327"/>
      <c r="I28" s="327"/>
      <c r="J28" s="327"/>
      <c r="K28" s="327"/>
      <c r="L28" s="327">
        <v>9.5</v>
      </c>
      <c r="M28" s="327"/>
      <c r="N28" s="327">
        <f t="shared" ref="N28:V28" si="43">+N66</f>
        <v>9.2786889317090484</v>
      </c>
      <c r="O28" s="327">
        <f t="shared" si="43"/>
        <v>9.4166840602638597</v>
      </c>
      <c r="P28" s="327">
        <f t="shared" si="43"/>
        <v>9.6932346379591774</v>
      </c>
      <c r="Q28" s="327">
        <f t="shared" si="43"/>
        <v>9.9726451177420543</v>
      </c>
      <c r="R28" s="327">
        <f t="shared" si="43"/>
        <v>10.254979914536912</v>
      </c>
      <c r="S28" s="327">
        <f t="shared" si="43"/>
        <v>10.540303905247605</v>
      </c>
      <c r="T28" s="327">
        <f t="shared" si="43"/>
        <v>10.828682455889773</v>
      </c>
      <c r="U28" s="327">
        <f t="shared" si="43"/>
        <v>11.120181448440132</v>
      </c>
      <c r="V28" s="327">
        <f t="shared" si="43"/>
        <v>11.414867307435372</v>
      </c>
      <c r="W28" s="327">
        <f>+W66</f>
        <v>11.71280702635195</v>
      </c>
      <c r="AW28" s="159">
        <f>+F5</f>
        <v>4.3151276634540769E-2</v>
      </c>
      <c r="BK28" s="212" t="s">
        <v>615</v>
      </c>
      <c r="BL28" s="216">
        <v>9.1999999999999993</v>
      </c>
      <c r="BM28" s="216">
        <v>9.4</v>
      </c>
      <c r="BN28" s="216">
        <v>9.5</v>
      </c>
      <c r="BO28" s="216">
        <v>9.6</v>
      </c>
      <c r="BP28" s="216">
        <v>9.9106001725133019</v>
      </c>
      <c r="BQ28" s="216">
        <v>9.6943815109815166</v>
      </c>
      <c r="BR28" s="216">
        <v>10.043862844930679</v>
      </c>
      <c r="BS28" s="216">
        <v>10.409643370465561</v>
      </c>
      <c r="BT28" s="216">
        <v>10.792457803326794</v>
      </c>
      <c r="BV28" s="212" t="str">
        <f t="shared" si="28"/>
        <v>Blended video</v>
      </c>
      <c r="BW28" s="216">
        <f t="shared" ref="BW28:CA30" si="44">+B28</f>
        <v>9.1999999999999993</v>
      </c>
      <c r="BX28" s="216">
        <f t="shared" si="44"/>
        <v>9.4</v>
      </c>
      <c r="BY28" s="216">
        <f t="shared" si="44"/>
        <v>9.5</v>
      </c>
      <c r="BZ28" s="216">
        <f t="shared" si="44"/>
        <v>9.6</v>
      </c>
      <c r="CA28" s="216">
        <f t="shared" si="44"/>
        <v>9.9106001725133019</v>
      </c>
      <c r="CB28" s="216">
        <f t="shared" ref="CB28:CC30" si="45">+N28</f>
        <v>9.2786889317090484</v>
      </c>
      <c r="CC28" s="216">
        <f t="shared" si="45"/>
        <v>9.4166840602638597</v>
      </c>
      <c r="CD28" s="216">
        <f t="shared" ref="CD28:CE30" si="46">+P28</f>
        <v>9.6932346379591774</v>
      </c>
      <c r="CE28" s="216">
        <f t="shared" si="46"/>
        <v>9.9726451177420543</v>
      </c>
      <c r="CG28" s="4" t="s">
        <v>719</v>
      </c>
      <c r="CH28" s="40">
        <f t="shared" si="42"/>
        <v>0.4</v>
      </c>
      <c r="CI28" s="40">
        <f t="shared" si="42"/>
        <v>0.3</v>
      </c>
      <c r="CJ28" s="40">
        <f t="shared" si="42"/>
        <v>0.27</v>
      </c>
      <c r="CK28" s="40">
        <f t="shared" si="42"/>
        <v>0.25</v>
      </c>
      <c r="CN28" s="11"/>
      <c r="CO28" s="11"/>
      <c r="CP28" s="11"/>
      <c r="CQ28" s="11"/>
      <c r="CW28" s="4" t="s">
        <v>984</v>
      </c>
      <c r="CX28" s="11">
        <f>+CX13</f>
        <v>1226</v>
      </c>
      <c r="CY28" s="11">
        <f>+CY13</f>
        <v>1203</v>
      </c>
      <c r="CZ28" s="11">
        <f>+CZ13</f>
        <v>1153</v>
      </c>
      <c r="DA28" s="11">
        <f>+DA13</f>
        <v>1150</v>
      </c>
    </row>
    <row r="29" spans="1:109">
      <c r="A29" s="4" t="s">
        <v>616</v>
      </c>
      <c r="B29" s="327">
        <v>21.9</v>
      </c>
      <c r="C29" s="327">
        <v>21.9</v>
      </c>
      <c r="D29" s="327">
        <v>22.4</v>
      </c>
      <c r="E29" s="327">
        <v>22</v>
      </c>
      <c r="F29" s="327">
        <v>22.22</v>
      </c>
      <c r="G29" s="327"/>
      <c r="H29" s="327"/>
      <c r="I29" s="327"/>
      <c r="J29" s="327"/>
      <c r="K29" s="327"/>
      <c r="L29" s="327">
        <v>22</v>
      </c>
      <c r="M29" s="327"/>
      <c r="N29" s="327">
        <f t="shared" ref="N29:V29" si="47">+N73</f>
        <v>22.553299999999997</v>
      </c>
      <c r="O29" s="327">
        <f t="shared" si="47"/>
        <v>22.778832999999995</v>
      </c>
      <c r="P29" s="327">
        <f t="shared" si="47"/>
        <v>23.006621329999994</v>
      </c>
      <c r="Q29" s="327">
        <f t="shared" si="47"/>
        <v>23.12165443664999</v>
      </c>
      <c r="R29" s="327">
        <f t="shared" si="47"/>
        <v>23.12165443664999</v>
      </c>
      <c r="S29" s="327">
        <f t="shared" si="47"/>
        <v>23.12165443664999</v>
      </c>
      <c r="T29" s="327">
        <f t="shared" si="47"/>
        <v>23.12165443664999</v>
      </c>
      <c r="U29" s="327">
        <f t="shared" si="47"/>
        <v>23.12165443664999</v>
      </c>
      <c r="V29" s="327">
        <f t="shared" si="47"/>
        <v>23.12165443664999</v>
      </c>
      <c r="W29" s="327">
        <f>+W73</f>
        <v>23.12165443664999</v>
      </c>
      <c r="BK29" s="212" t="s">
        <v>616</v>
      </c>
      <c r="BL29" s="216">
        <v>21.9</v>
      </c>
      <c r="BM29" s="216">
        <v>21.9</v>
      </c>
      <c r="BN29" s="216">
        <v>22.4</v>
      </c>
      <c r="BO29" s="216">
        <v>22</v>
      </c>
      <c r="BP29" s="216">
        <v>22.22</v>
      </c>
      <c r="BQ29" s="216">
        <v>22.4422</v>
      </c>
      <c r="BR29" s="216">
        <v>22.666622</v>
      </c>
      <c r="BS29" s="216">
        <v>22.893288219999999</v>
      </c>
      <c r="BT29" s="216">
        <v>23.007754661099995</v>
      </c>
      <c r="BV29" s="212" t="str">
        <f t="shared" si="28"/>
        <v>Blended bb/tel</v>
      </c>
      <c r="BW29" s="216">
        <f t="shared" si="44"/>
        <v>21.9</v>
      </c>
      <c r="BX29" s="216">
        <f t="shared" si="44"/>
        <v>21.9</v>
      </c>
      <c r="BY29" s="216">
        <f t="shared" si="44"/>
        <v>22.4</v>
      </c>
      <c r="BZ29" s="216">
        <f t="shared" si="44"/>
        <v>22</v>
      </c>
      <c r="CA29" s="216">
        <f t="shared" si="44"/>
        <v>22.22</v>
      </c>
      <c r="CB29" s="216">
        <f t="shared" si="45"/>
        <v>22.553299999999997</v>
      </c>
      <c r="CC29" s="216">
        <f t="shared" si="45"/>
        <v>22.778832999999995</v>
      </c>
      <c r="CD29" s="216">
        <f t="shared" si="46"/>
        <v>23.006621329999994</v>
      </c>
      <c r="CE29" s="216">
        <f t="shared" si="46"/>
        <v>23.12165443664999</v>
      </c>
      <c r="CH29" s="40"/>
      <c r="CI29" s="40"/>
      <c r="CJ29" s="40"/>
      <c r="CK29" s="40"/>
      <c r="CN29" s="40"/>
      <c r="CO29" s="40"/>
      <c r="CP29" s="40"/>
      <c r="CQ29" s="40"/>
      <c r="CX29" s="38">
        <f>+CX27/CX28-1</f>
        <v>-1.4136923817079983E-2</v>
      </c>
      <c r="CY29" s="38">
        <f>+CY27/CY28-1</f>
        <v>2.3558242876153379E-2</v>
      </c>
      <c r="CZ29" s="38">
        <f>+CZ27/CZ28-1</f>
        <v>1.9359919066213926E-2</v>
      </c>
      <c r="DA29" s="38">
        <f>+DA27/DA28-1</f>
        <v>-1.392860812673935E-2</v>
      </c>
    </row>
    <row r="30" spans="1:109">
      <c r="A30" s="4" t="s">
        <v>617</v>
      </c>
      <c r="B30" s="327">
        <v>11.6</v>
      </c>
      <c r="C30" s="327">
        <v>12.4</v>
      </c>
      <c r="D30" s="327">
        <v>13.2</v>
      </c>
      <c r="E30" s="327">
        <v>13.9</v>
      </c>
      <c r="F30" s="327">
        <v>13.930204717160576</v>
      </c>
      <c r="G30" s="327"/>
      <c r="H30" s="327">
        <v>16.399999999999999</v>
      </c>
      <c r="I30" s="327"/>
      <c r="J30" s="327">
        <v>15.8</v>
      </c>
      <c r="K30" s="327"/>
      <c r="L30" s="327">
        <v>15.5</v>
      </c>
      <c r="M30" s="327"/>
      <c r="N30" s="327">
        <f>+((N28*AVERAGE(L23,N23))+(N29*AVERAGE(L25,N25)))/(AVERAGE(L23,N23))</f>
        <v>13.80893822234095</v>
      </c>
      <c r="O30" s="327">
        <f>+((O28*AVERAGE(N23,O23))+(O29*AVERAGE(N25,O25)))/(AVERAGE(N23,O23))</f>
        <v>14.558791395705303</v>
      </c>
      <c r="P30" s="327">
        <f t="shared" ref="P30:W30" si="48">+((P28*AVERAGE(O23,P23))+(P29*AVERAGE(O25,P25)))/(AVERAGE(O23,P23))</f>
        <v>15.426826732683152</v>
      </c>
      <c r="Q30" s="327">
        <f t="shared" si="48"/>
        <v>16.272955135306855</v>
      </c>
      <c r="R30" s="327">
        <f t="shared" si="48"/>
        <v>17.088755505730205</v>
      </c>
      <c r="S30" s="327">
        <f t="shared" si="48"/>
        <v>17.90308689643928</v>
      </c>
      <c r="T30" s="327">
        <f t="shared" si="48"/>
        <v>18.716137577683476</v>
      </c>
      <c r="U30" s="327">
        <f t="shared" si="48"/>
        <v>19.528093146710525</v>
      </c>
      <c r="V30" s="327">
        <f t="shared" si="48"/>
        <v>20.339136671187276</v>
      </c>
      <c r="W30" s="327">
        <f t="shared" si="48"/>
        <v>21.149448827562193</v>
      </c>
      <c r="AW30" s="159">
        <f>+F8</f>
        <v>0.47449106544596875</v>
      </c>
      <c r="BK30" s="212" t="s">
        <v>617</v>
      </c>
      <c r="BL30" s="216">
        <v>11.6</v>
      </c>
      <c r="BM30" s="216">
        <v>12.4</v>
      </c>
      <c r="BN30" s="216">
        <v>13.2</v>
      </c>
      <c r="BO30" s="216">
        <v>13.9</v>
      </c>
      <c r="BP30" s="216">
        <v>13.930204717160576</v>
      </c>
      <c r="BQ30" s="216">
        <v>14.045574046603493</v>
      </c>
      <c r="BR30" s="216">
        <v>15.116188968858983</v>
      </c>
      <c r="BS30" s="216">
        <v>15.532902413188243</v>
      </c>
      <c r="BT30" s="216">
        <v>16.491626826611505</v>
      </c>
      <c r="BV30" s="212" t="str">
        <f t="shared" si="28"/>
        <v>Blended customer</v>
      </c>
      <c r="BW30" s="216">
        <f t="shared" si="44"/>
        <v>11.6</v>
      </c>
      <c r="BX30" s="216">
        <f t="shared" si="44"/>
        <v>12.4</v>
      </c>
      <c r="BY30" s="216">
        <f t="shared" si="44"/>
        <v>13.2</v>
      </c>
      <c r="BZ30" s="216">
        <f t="shared" si="44"/>
        <v>13.9</v>
      </c>
      <c r="CA30" s="216">
        <f t="shared" si="44"/>
        <v>13.930204717160576</v>
      </c>
      <c r="CB30" s="216">
        <f t="shared" si="45"/>
        <v>13.80893822234095</v>
      </c>
      <c r="CC30" s="216">
        <f t="shared" si="45"/>
        <v>14.558791395705303</v>
      </c>
      <c r="CD30" s="216">
        <f t="shared" si="46"/>
        <v>15.426826732683152</v>
      </c>
      <c r="CE30" s="216">
        <f t="shared" si="46"/>
        <v>16.272955135306855</v>
      </c>
      <c r="CG30" s="4" t="s">
        <v>980</v>
      </c>
      <c r="CH30" s="32">
        <f ca="1">+BZ2</f>
        <v>-31.241622960416098</v>
      </c>
      <c r="CI30" s="40">
        <f ca="1">+CH30/CH31-1</f>
        <v>-3.8401475418560089</v>
      </c>
      <c r="CW30" s="4" t="s">
        <v>282</v>
      </c>
      <c r="CX30" s="32">
        <f t="shared" ref="CX30:DA31" si="49">+CX27/CX18</f>
        <v>4.9582170494030002</v>
      </c>
      <c r="CY30" s="32">
        <f t="shared" si="49"/>
        <v>4.5221338796214772</v>
      </c>
      <c r="CZ30" s="32">
        <f t="shared" si="49"/>
        <v>3.866136597330661</v>
      </c>
      <c r="DA30" s="32">
        <f t="shared" si="49"/>
        <v>3.5035390898693666</v>
      </c>
    </row>
    <row r="31" spans="1:109">
      <c r="A31" s="7"/>
      <c r="CG31" s="4" t="s">
        <v>981</v>
      </c>
      <c r="CH31" s="32">
        <f>+BO2</f>
        <v>11</v>
      </c>
      <c r="CW31" s="4" t="s">
        <v>984</v>
      </c>
      <c r="CX31" s="32">
        <f t="shared" si="49"/>
        <v>5.2844827586206895</v>
      </c>
      <c r="CY31" s="32">
        <f t="shared" si="49"/>
        <v>4.5568181818181817</v>
      </c>
      <c r="CZ31" s="32">
        <f t="shared" si="49"/>
        <v>3.9351535836177476</v>
      </c>
      <c r="DA31" s="32">
        <f t="shared" si="49"/>
        <v>3.7096774193548385</v>
      </c>
    </row>
    <row r="32" spans="1:109">
      <c r="A32" s="7"/>
      <c r="CH32" s="32"/>
    </row>
    <row r="33" spans="1:105">
      <c r="A33" s="7"/>
      <c r="AA33" s="91"/>
      <c r="AB33" s="91"/>
      <c r="AC33" s="91"/>
      <c r="AD33" s="91"/>
      <c r="AE33" s="91"/>
      <c r="AF33" s="91"/>
      <c r="AG33" s="91"/>
      <c r="AH33" s="91"/>
      <c r="AI33" s="91"/>
      <c r="AJ33" s="91"/>
      <c r="AK33" s="91"/>
      <c r="AL33" s="91"/>
      <c r="AM33" s="91"/>
      <c r="AN33" s="91"/>
      <c r="AO33" s="91"/>
      <c r="AP33" s="91"/>
      <c r="CH33" s="32"/>
      <c r="CW33" s="81" t="s">
        <v>596</v>
      </c>
      <c r="CX33" s="162">
        <f t="shared" ref="CX33:DA34" si="50">+CX18/CX15</f>
        <v>0.50993243113530551</v>
      </c>
      <c r="CY33" s="162">
        <f t="shared" si="50"/>
        <v>0.54063186320102696</v>
      </c>
      <c r="CZ33" s="162">
        <f t="shared" si="50"/>
        <v>0.56625646539150809</v>
      </c>
      <c r="DA33" s="162">
        <f t="shared" si="50"/>
        <v>0.56670282130174643</v>
      </c>
    </row>
    <row r="34" spans="1:105">
      <c r="A34" s="18" t="s">
        <v>1066</v>
      </c>
      <c r="B34" s="80" t="str">
        <f>B$3</f>
        <v>2011A</v>
      </c>
      <c r="C34" s="80" t="str">
        <f t="shared" ref="C34:W34" si="51">C$3</f>
        <v>2012A</v>
      </c>
      <c r="D34" s="80" t="str">
        <f t="shared" si="51"/>
        <v>2013A</v>
      </c>
      <c r="E34" s="80" t="str">
        <f t="shared" si="51"/>
        <v>2014A</v>
      </c>
      <c r="F34" s="80" t="str">
        <f t="shared" si="51"/>
        <v>2015A</v>
      </c>
      <c r="G34" s="80" t="str">
        <f t="shared" si="51"/>
        <v>Prima 14A</v>
      </c>
      <c r="H34" s="80" t="str">
        <f t="shared" si="51"/>
        <v>Prima 15E</v>
      </c>
      <c r="I34" s="80" t="str">
        <f t="shared" si="51"/>
        <v>pep 14A</v>
      </c>
      <c r="J34" s="80" t="str">
        <f t="shared" si="51"/>
        <v>pep 15E</v>
      </c>
      <c r="K34" s="80" t="str">
        <f t="shared" si="51"/>
        <v>Adj.</v>
      </c>
      <c r="L34" s="80" t="str">
        <f t="shared" si="51"/>
        <v>PF 2015E</v>
      </c>
      <c r="M34" s="80"/>
      <c r="N34" s="80" t="str">
        <f t="shared" si="51"/>
        <v>2016E</v>
      </c>
      <c r="O34" s="80" t="str">
        <f t="shared" si="51"/>
        <v>2017E</v>
      </c>
      <c r="P34" s="80" t="str">
        <f t="shared" si="51"/>
        <v>2018E</v>
      </c>
      <c r="Q34" s="80" t="str">
        <f t="shared" si="51"/>
        <v>2019E</v>
      </c>
      <c r="R34" s="80" t="str">
        <f t="shared" si="51"/>
        <v>2020E</v>
      </c>
      <c r="S34" s="80" t="str">
        <f t="shared" si="51"/>
        <v>2021E</v>
      </c>
      <c r="T34" s="80" t="str">
        <f t="shared" si="51"/>
        <v>2022E</v>
      </c>
      <c r="U34" s="80" t="str">
        <f t="shared" si="51"/>
        <v>2023E</v>
      </c>
      <c r="V34" s="80" t="str">
        <f t="shared" si="51"/>
        <v>2024E</v>
      </c>
      <c r="W34" s="80" t="str">
        <f t="shared" si="51"/>
        <v>2025E</v>
      </c>
      <c r="AA34" s="91"/>
      <c r="AB34" s="91"/>
      <c r="AC34" s="91" t="s">
        <v>201</v>
      </c>
      <c r="AD34" s="91" t="s">
        <v>206</v>
      </c>
      <c r="AE34" s="91"/>
      <c r="AF34" s="91"/>
      <c r="AG34" s="91"/>
      <c r="AH34" s="91"/>
      <c r="AI34" s="91"/>
      <c r="AJ34" s="91"/>
      <c r="AK34" s="91"/>
      <c r="AL34" s="91"/>
      <c r="AM34" s="91"/>
      <c r="AN34" s="91"/>
      <c r="AO34" s="91"/>
      <c r="AP34" s="91"/>
      <c r="AW34" s="5">
        <f>+F9</f>
        <v>115</v>
      </c>
      <c r="CW34" s="4" t="s">
        <v>984</v>
      </c>
      <c r="CX34" s="40">
        <f t="shared" si="50"/>
        <v>0.47736625514403291</v>
      </c>
      <c r="CY34" s="40">
        <f t="shared" si="50"/>
        <v>0.51063829787234039</v>
      </c>
      <c r="CZ34" s="40">
        <f t="shared" si="50"/>
        <v>0.53467153284671531</v>
      </c>
      <c r="DA34" s="40">
        <f t="shared" si="50"/>
        <v>0.53448275862068961</v>
      </c>
    </row>
    <row r="35" spans="1:105">
      <c r="A35" s="212" t="s">
        <v>1067</v>
      </c>
      <c r="C35" s="329">
        <f t="shared" ref="C35:F36" si="52">+C18-B18</f>
        <v>-107</v>
      </c>
      <c r="D35" s="329">
        <f t="shared" si="52"/>
        <v>-107</v>
      </c>
      <c r="E35" s="329">
        <f t="shared" si="52"/>
        <v>-52</v>
      </c>
      <c r="F35" s="329">
        <f t="shared" si="52"/>
        <v>-10</v>
      </c>
      <c r="N35" s="360">
        <v>-4</v>
      </c>
      <c r="O35" s="360">
        <v>-10</v>
      </c>
      <c r="P35" s="360">
        <v>-10</v>
      </c>
      <c r="Q35" s="360">
        <v>-10</v>
      </c>
      <c r="R35" s="360">
        <v>-10</v>
      </c>
      <c r="S35" s="360">
        <v>-10</v>
      </c>
      <c r="T35" s="360">
        <v>-10</v>
      </c>
      <c r="U35" s="360">
        <v>-10</v>
      </c>
      <c r="V35" s="360">
        <v>-10</v>
      </c>
      <c r="W35" s="360">
        <v>-10</v>
      </c>
      <c r="AA35" s="91"/>
      <c r="AB35" s="91" t="s">
        <v>554</v>
      </c>
      <c r="AC35" s="91"/>
      <c r="AD35" s="91"/>
      <c r="AE35" s="91"/>
      <c r="AF35" s="91"/>
      <c r="AG35" s="91"/>
      <c r="AH35" s="91"/>
      <c r="AI35" s="91"/>
      <c r="AJ35" s="91"/>
      <c r="AK35" s="91"/>
      <c r="AL35" s="91"/>
      <c r="AM35" s="91"/>
      <c r="AN35" s="91"/>
      <c r="AO35" s="91"/>
      <c r="AP35" s="91"/>
      <c r="CW35" s="81"/>
      <c r="CX35" s="81"/>
      <c r="CY35" s="81"/>
      <c r="CZ35" s="81"/>
      <c r="DA35" s="81"/>
    </row>
    <row r="36" spans="1:105">
      <c r="A36" s="212" t="s">
        <v>1068</v>
      </c>
      <c r="C36" s="329">
        <f t="shared" si="52"/>
        <v>92</v>
      </c>
      <c r="D36" s="329">
        <f t="shared" si="52"/>
        <v>10</v>
      </c>
      <c r="E36" s="329">
        <f t="shared" si="52"/>
        <v>42</v>
      </c>
      <c r="F36" s="329">
        <f t="shared" si="52"/>
        <v>63.537001624988989</v>
      </c>
      <c r="N36" s="329">
        <f>+N19-L19</f>
        <v>76.788712898751783</v>
      </c>
      <c r="O36" s="329">
        <f t="shared" ref="O36:W36" si="53">+O19-N19</f>
        <v>137.33678224687947</v>
      </c>
      <c r="P36" s="329">
        <f t="shared" si="53"/>
        <v>172.34678224687923</v>
      </c>
      <c r="Q36" s="329">
        <f t="shared" si="53"/>
        <v>99.926782246879611</v>
      </c>
      <c r="R36" s="329">
        <f t="shared" si="53"/>
        <v>63.716782246879575</v>
      </c>
      <c r="S36" s="329">
        <f t="shared" si="53"/>
        <v>27.806782246879266</v>
      </c>
      <c r="T36" s="329">
        <f t="shared" si="53"/>
        <v>27.606782246879447</v>
      </c>
      <c r="U36" s="329">
        <f t="shared" si="53"/>
        <v>27.406782246879175</v>
      </c>
      <c r="V36" s="329">
        <f t="shared" si="53"/>
        <v>27.206782246879357</v>
      </c>
      <c r="W36" s="329">
        <f t="shared" si="53"/>
        <v>27.006782246879538</v>
      </c>
      <c r="AA36" s="91"/>
      <c r="AB36" s="91" t="s">
        <v>569</v>
      </c>
      <c r="AC36" s="91"/>
      <c r="AD36" s="91"/>
      <c r="AE36" s="91"/>
      <c r="AF36" s="91"/>
      <c r="AG36" s="91"/>
      <c r="AH36" s="91"/>
      <c r="AI36" s="91"/>
      <c r="AJ36" s="91"/>
      <c r="AK36" s="91"/>
      <c r="AL36" s="91"/>
      <c r="AM36" s="91"/>
      <c r="AN36" s="91"/>
      <c r="AO36" s="91"/>
      <c r="AP36" s="91"/>
      <c r="CW36" s="4" t="s">
        <v>597</v>
      </c>
      <c r="CX36" s="40">
        <f t="shared" ref="CX36:DA37" si="54">+CX21/CX15</f>
        <v>0.35000000000000003</v>
      </c>
      <c r="CY36" s="40">
        <f t="shared" si="54"/>
        <v>0.32</v>
      </c>
      <c r="CZ36" s="40">
        <f t="shared" si="54"/>
        <v>0.28499999999999998</v>
      </c>
      <c r="DA36" s="40">
        <f t="shared" si="54"/>
        <v>0.26</v>
      </c>
    </row>
    <row r="37" spans="1:105">
      <c r="A37" s="212" t="s">
        <v>1069</v>
      </c>
      <c r="B37" s="359">
        <f>+B20</f>
        <v>0.40193581253183902</v>
      </c>
      <c r="C37" s="359">
        <f>+C20</f>
        <v>0.47467672413793105</v>
      </c>
      <c r="D37" s="359">
        <f>+D20</f>
        <v>0.50943396226415094</v>
      </c>
      <c r="E37" s="359">
        <f>+E20</f>
        <v>0.5497937536829699</v>
      </c>
      <c r="F37" s="359">
        <f>+F20</f>
        <v>0.5907154722139828</v>
      </c>
      <c r="H37" s="359">
        <f>+H20</f>
        <v>0.55000000000000004</v>
      </c>
      <c r="J37" s="359">
        <f>+J20</f>
        <v>0.70499999999999996</v>
      </c>
      <c r="L37" s="359">
        <f>+L20</f>
        <v>0.60832177531206655</v>
      </c>
      <c r="N37" s="361">
        <f>+L37+2.2%</f>
        <v>0.63032177531206657</v>
      </c>
      <c r="O37" s="361">
        <f>+N37+4%</f>
        <v>0.6703217753120666</v>
      </c>
      <c r="P37" s="361">
        <f>+O37+5%</f>
        <v>0.72032177531206665</v>
      </c>
      <c r="Q37" s="361">
        <f>+P37+3%</f>
        <v>0.75032177531206667</v>
      </c>
      <c r="R37" s="361">
        <f>+Q37+2%</f>
        <v>0.77032177531206669</v>
      </c>
      <c r="S37" s="361">
        <f>+R37+1%</f>
        <v>0.7803217753120667</v>
      </c>
      <c r="T37" s="361">
        <f>+S37+1%</f>
        <v>0.79032177531206671</v>
      </c>
      <c r="U37" s="361">
        <f>+T37+1%</f>
        <v>0.80032177531206672</v>
      </c>
      <c r="V37" s="361">
        <f>+U37+1%</f>
        <v>0.81032177531206673</v>
      </c>
      <c r="W37" s="361">
        <f>+V37+1%</f>
        <v>0.82032177531206674</v>
      </c>
      <c r="AA37" s="91"/>
      <c r="AB37" s="91" t="s">
        <v>496</v>
      </c>
      <c r="AC37" s="91"/>
      <c r="AD37" s="91"/>
      <c r="AE37" s="91"/>
      <c r="AF37" s="91"/>
      <c r="AG37" s="91"/>
      <c r="AH37" s="91"/>
      <c r="AI37" s="91"/>
      <c r="AJ37" s="91"/>
      <c r="AK37" s="91"/>
      <c r="AL37" s="91"/>
      <c r="AM37" s="91"/>
      <c r="AN37" s="91"/>
      <c r="AO37" s="91"/>
      <c r="AP37" s="91"/>
      <c r="CW37" s="81" t="s">
        <v>984</v>
      </c>
      <c r="CX37" s="162">
        <f t="shared" si="54"/>
        <v>0.33744855967078191</v>
      </c>
      <c r="CY37" s="162">
        <f t="shared" si="54"/>
        <v>0.31721470019342357</v>
      </c>
      <c r="CZ37" s="162">
        <f t="shared" si="54"/>
        <v>0.28467153284671531</v>
      </c>
      <c r="DA37" s="162">
        <f t="shared" si="54"/>
        <v>0.25</v>
      </c>
    </row>
    <row r="38" spans="1:105">
      <c r="A38" s="212" t="s">
        <v>1070</v>
      </c>
      <c r="B38" s="359">
        <f>+B21/B18</f>
        <v>0.73713703515028017</v>
      </c>
      <c r="C38" s="359">
        <f>+C21/C18</f>
        <v>0.72898706896551724</v>
      </c>
      <c r="D38" s="359">
        <f>+D21/D18</f>
        <v>0.74442538593481988</v>
      </c>
      <c r="E38" s="359">
        <f>+E21/E18</f>
        <v>0.75545079552150851</v>
      </c>
      <c r="F38" s="359">
        <f>+F21/F18</f>
        <v>0.76045079552150852</v>
      </c>
      <c r="H38" s="359">
        <f>+H21/H18</f>
        <v>0.55729166666666663</v>
      </c>
      <c r="J38" s="359">
        <f>+J21/J18</f>
        <v>0.73951715374841165</v>
      </c>
      <c r="L38" s="359">
        <f>+L21/L18</f>
        <v>0.67545076282940364</v>
      </c>
      <c r="N38" s="361">
        <v>0.67100000000000004</v>
      </c>
      <c r="O38" s="361">
        <f t="shared" ref="O38:W38" si="55">+N38+0.5%</f>
        <v>0.67600000000000005</v>
      </c>
      <c r="P38" s="361">
        <f t="shared" si="55"/>
        <v>0.68100000000000005</v>
      </c>
      <c r="Q38" s="361">
        <f t="shared" si="55"/>
        <v>0.68600000000000005</v>
      </c>
      <c r="R38" s="361">
        <f t="shared" si="55"/>
        <v>0.69100000000000006</v>
      </c>
      <c r="S38" s="361">
        <f t="shared" si="55"/>
        <v>0.69600000000000006</v>
      </c>
      <c r="T38" s="361">
        <f t="shared" si="55"/>
        <v>0.70100000000000007</v>
      </c>
      <c r="U38" s="361">
        <f t="shared" si="55"/>
        <v>0.70600000000000007</v>
      </c>
      <c r="V38" s="361">
        <f t="shared" si="55"/>
        <v>0.71100000000000008</v>
      </c>
      <c r="W38" s="361">
        <f t="shared" si="55"/>
        <v>0.71600000000000008</v>
      </c>
      <c r="AA38" s="91"/>
      <c r="AB38" s="91"/>
      <c r="AC38" s="91"/>
      <c r="AD38" s="91"/>
      <c r="AE38" s="91"/>
      <c r="AF38" s="91"/>
      <c r="AG38" s="91"/>
      <c r="AH38" s="91"/>
      <c r="AI38" s="91"/>
      <c r="AJ38" s="91"/>
      <c r="AK38" s="91"/>
      <c r="AL38" s="91"/>
      <c r="AM38" s="91"/>
      <c r="AN38" s="91"/>
      <c r="AO38" s="91"/>
      <c r="AP38" s="91"/>
    </row>
    <row r="39" spans="1:105">
      <c r="A39" s="212" t="s">
        <v>1071</v>
      </c>
      <c r="B39" s="359">
        <f>+B23/B21</f>
        <v>1.0628887353144436</v>
      </c>
      <c r="C39" s="359">
        <f>+C23/C21</f>
        <v>1.0465631929046564</v>
      </c>
      <c r="D39" s="359">
        <f>+D23/D21</f>
        <v>1.0276497695852536</v>
      </c>
      <c r="E39" s="359">
        <f>+E23/E21</f>
        <v>1.0226209048361934</v>
      </c>
      <c r="F39" s="359">
        <f>+F23/F21</f>
        <v>0.998534164283855</v>
      </c>
      <c r="H39" s="359">
        <f>+H23/H21</f>
        <v>1</v>
      </c>
      <c r="J39" s="359">
        <f>+J23/J21</f>
        <v>1</v>
      </c>
      <c r="L39" s="359">
        <f>+L23/L21</f>
        <v>1.0094455852156057</v>
      </c>
      <c r="N39" s="361">
        <v>1.006</v>
      </c>
      <c r="O39" s="361">
        <f t="shared" ref="O39:W39" si="56">+N39</f>
        <v>1.006</v>
      </c>
      <c r="P39" s="361">
        <f t="shared" si="56"/>
        <v>1.006</v>
      </c>
      <c r="Q39" s="361">
        <f t="shared" si="56"/>
        <v>1.006</v>
      </c>
      <c r="R39" s="361">
        <f t="shared" si="56"/>
        <v>1.006</v>
      </c>
      <c r="S39" s="361">
        <f t="shared" si="56"/>
        <v>1.006</v>
      </c>
      <c r="T39" s="361">
        <f t="shared" si="56"/>
        <v>1.006</v>
      </c>
      <c r="U39" s="361">
        <f t="shared" si="56"/>
        <v>1.006</v>
      </c>
      <c r="V39" s="361">
        <f t="shared" si="56"/>
        <v>1.006</v>
      </c>
      <c r="W39" s="361">
        <f t="shared" si="56"/>
        <v>1.006</v>
      </c>
      <c r="AA39" s="91"/>
      <c r="AB39" s="91"/>
      <c r="AC39" s="91"/>
      <c r="AD39" s="91"/>
      <c r="AE39" s="91"/>
      <c r="AF39" s="91"/>
      <c r="AG39" s="91"/>
      <c r="AH39" s="91"/>
      <c r="AI39" s="91"/>
      <c r="AJ39" s="91"/>
      <c r="AK39" s="91"/>
      <c r="AL39" s="91"/>
      <c r="AM39" s="91"/>
      <c r="AN39" s="91"/>
      <c r="AO39" s="91"/>
      <c r="AP39" s="91"/>
    </row>
    <row r="40" spans="1:105">
      <c r="A40" s="212" t="s">
        <v>1072</v>
      </c>
      <c r="B40" s="359">
        <f>+B24/B23</f>
        <v>9.2327698309492848E-2</v>
      </c>
      <c r="C40" s="359">
        <f>+C24/C23</f>
        <v>0.10805084745762712</v>
      </c>
      <c r="D40" s="359">
        <f>+D24/D23</f>
        <v>0.12257100149476831</v>
      </c>
      <c r="E40" s="359">
        <f>+E24/E23</f>
        <v>0.12280701754385964</v>
      </c>
      <c r="F40" s="359">
        <f>+F24/F23</f>
        <v>0.14129586260733801</v>
      </c>
      <c r="H40" s="359">
        <f>+H24/H23</f>
        <v>0.36292834890965731</v>
      </c>
      <c r="J40" s="359">
        <f>+J24/J23</f>
        <v>3.608247422680412E-2</v>
      </c>
      <c r="L40" s="359">
        <f>+L24/L23</f>
        <v>0.17331163547599673</v>
      </c>
      <c r="N40" s="359">
        <f t="shared" ref="N40:V40" si="57">+N24/N23</f>
        <v>0.17360763812984972</v>
      </c>
      <c r="O40" s="359">
        <f>+O24/O23</f>
        <v>0.18099317042500052</v>
      </c>
      <c r="P40" s="359">
        <f t="shared" si="57"/>
        <v>0.20054677807281496</v>
      </c>
      <c r="Q40" s="359">
        <f t="shared" si="57"/>
        <v>0.21993145121342825</v>
      </c>
      <c r="R40" s="359">
        <f t="shared" si="57"/>
        <v>0.2391518280693426</v>
      </c>
      <c r="S40" s="359">
        <f t="shared" si="57"/>
        <v>0.25821242444052894</v>
      </c>
      <c r="T40" s="359">
        <f t="shared" si="57"/>
        <v>0.27711763822267177</v>
      </c>
      <c r="U40" s="359">
        <f t="shared" si="57"/>
        <v>0.29587175373598973</v>
      </c>
      <c r="V40" s="359">
        <f t="shared" si="57"/>
        <v>0.31447894587400649</v>
      </c>
      <c r="W40" s="359">
        <f>+W24/W23</f>
        <v>0.33294328408112556</v>
      </c>
      <c r="AA40" s="91"/>
      <c r="AB40" s="91"/>
      <c r="AC40" s="91"/>
      <c r="AD40" s="91"/>
      <c r="AE40" s="91"/>
      <c r="AF40" s="91"/>
      <c r="AG40" s="91"/>
      <c r="AH40" s="91"/>
      <c r="AI40" s="91"/>
      <c r="AJ40" s="91"/>
      <c r="AK40" s="91"/>
      <c r="AL40" s="91"/>
      <c r="AM40" s="91"/>
      <c r="AN40" s="91"/>
      <c r="AO40" s="91"/>
      <c r="AP40" s="91"/>
    </row>
    <row r="41" spans="1:105">
      <c r="A41" s="212" t="s">
        <v>651</v>
      </c>
      <c r="B41" s="359">
        <f>+B25/B21</f>
        <v>7.9474775397373881E-2</v>
      </c>
      <c r="C41" s="359">
        <f>+C25/C21</f>
        <v>9.9778270509977826E-2</v>
      </c>
      <c r="D41" s="359">
        <f>+D25/D21</f>
        <v>0.13364055299539171</v>
      </c>
      <c r="E41" s="359">
        <f>+E25/E21</f>
        <v>0.15756630265210608</v>
      </c>
      <c r="F41" s="359">
        <f>+F25/F21</f>
        <v>0.18863799200366349</v>
      </c>
      <c r="H41" s="359">
        <f>+H25/H21</f>
        <v>0.21806853582554517</v>
      </c>
      <c r="J41" s="359">
        <f>+J25/J21</f>
        <v>0.14261168384879724</v>
      </c>
      <c r="L41" s="359">
        <f>+L25/L21</f>
        <v>0.18973305954825462</v>
      </c>
      <c r="N41" s="359">
        <f>+N25/N21</f>
        <v>0.21520764847982696</v>
      </c>
      <c r="O41" s="359">
        <f t="shared" ref="O41:V41" si="58">+O25/O21</f>
        <v>0.23892736443343729</v>
      </c>
      <c r="P41" s="359">
        <f t="shared" si="58"/>
        <v>0.26243910080162841</v>
      </c>
      <c r="Q41" s="359">
        <f t="shared" si="58"/>
        <v>0.28574857554335092</v>
      </c>
      <c r="R41" s="359">
        <f t="shared" si="58"/>
        <v>0.30886135417009558</v>
      </c>
      <c r="S41" s="359">
        <f t="shared" si="58"/>
        <v>0.33178285540417624</v>
      </c>
      <c r="T41" s="359">
        <f t="shared" si="58"/>
        <v>0.35451835659792896</v>
      </c>
      <c r="U41" s="359">
        <f t="shared" si="58"/>
        <v>0.37707299892574303</v>
      </c>
      <c r="V41" s="359">
        <f t="shared" si="58"/>
        <v>0.39945179236016481</v>
      </c>
      <c r="W41" s="359">
        <f>+W25/W21</f>
        <v>0.42165962044269484</v>
      </c>
      <c r="AA41" s="91"/>
      <c r="AB41" s="91"/>
      <c r="AC41" s="91"/>
      <c r="AD41" s="91"/>
      <c r="AE41" s="91"/>
      <c r="AF41" s="91"/>
      <c r="AG41" s="91"/>
      <c r="AH41" s="91"/>
      <c r="AI41" s="91"/>
      <c r="AJ41" s="91"/>
      <c r="AK41" s="91"/>
      <c r="AL41" s="91"/>
      <c r="AM41" s="91"/>
      <c r="AN41" s="91"/>
      <c r="AO41" s="91"/>
      <c r="AP41" s="91"/>
    </row>
    <row r="42" spans="1:105">
      <c r="A42" s="212" t="s">
        <v>608</v>
      </c>
      <c r="B42" s="359">
        <f>+B26/B21</f>
        <v>6.0124395300621976E-2</v>
      </c>
      <c r="C42" s="359">
        <f>+C26/C21</f>
        <v>8.2779009608277901E-2</v>
      </c>
      <c r="D42" s="359">
        <f>+D26/D21</f>
        <v>0.11213517665130568</v>
      </c>
      <c r="E42" s="359">
        <f>+E26/E21</f>
        <v>0.13260530421216848</v>
      </c>
      <c r="F42" s="359">
        <f>+F26/F21</f>
        <v>0.15979664611880584</v>
      </c>
      <c r="H42" s="359">
        <f>+H26/H21</f>
        <v>0.20716510903426791</v>
      </c>
      <c r="J42" s="359">
        <f>+J26/J21</f>
        <v>0.10824742268041238</v>
      </c>
      <c r="L42" s="359">
        <f>+L26/L21</f>
        <v>0.1753593429158111</v>
      </c>
      <c r="N42" s="359">
        <f t="shared" ref="N42:V42" si="59">+N26/N21</f>
        <v>0.19575618794415028</v>
      </c>
      <c r="O42" s="359">
        <f t="shared" si="59"/>
        <v>0.21132713440405748</v>
      </c>
      <c r="P42" s="359">
        <f t="shared" si="59"/>
        <v>0.22676378553640705</v>
      </c>
      <c r="Q42" s="359">
        <f t="shared" si="59"/>
        <v>0.24206986471029585</v>
      </c>
      <c r="R42" s="359">
        <f t="shared" si="59"/>
        <v>0.25724899630219805</v>
      </c>
      <c r="S42" s="359">
        <f t="shared" si="59"/>
        <v>0.27230470937440321</v>
      </c>
      <c r="T42" s="359">
        <f t="shared" si="59"/>
        <v>0.28724044119809472</v>
      </c>
      <c r="U42" s="359">
        <f t="shared" si="59"/>
        <v>0.30205954062881329</v>
      </c>
      <c r="V42" s="359">
        <f t="shared" si="59"/>
        <v>0.3167652713416107</v>
      </c>
      <c r="W42" s="359">
        <f>+W26/W21</f>
        <v>0.33136081493279695</v>
      </c>
      <c r="AA42" s="91"/>
      <c r="AB42" s="91"/>
      <c r="AC42" s="91"/>
      <c r="AD42" s="91"/>
      <c r="AE42" s="91"/>
      <c r="AF42" s="91"/>
      <c r="AG42" s="91"/>
      <c r="AH42" s="91"/>
      <c r="AI42" s="91"/>
      <c r="AJ42" s="91"/>
      <c r="AK42" s="91"/>
      <c r="AL42" s="91"/>
      <c r="AM42" s="91"/>
      <c r="AN42" s="91"/>
      <c r="AO42" s="91"/>
      <c r="AP42" s="91"/>
    </row>
    <row r="43" spans="1:105">
      <c r="A43" s="212" t="s">
        <v>1112</v>
      </c>
      <c r="B43" s="359">
        <f>+B25/B19</f>
        <v>0.14575411913814956</v>
      </c>
      <c r="C43" s="359">
        <f>+C25/C19</f>
        <v>0.1532349602724177</v>
      </c>
      <c r="D43" s="359">
        <f>+D25/D19</f>
        <v>0.19528619528619529</v>
      </c>
      <c r="E43" s="359">
        <f>+E25/E19</f>
        <v>0.21650589496248659</v>
      </c>
      <c r="L43" s="359">
        <f>+L25/L19</f>
        <v>0.2106703146374829</v>
      </c>
      <c r="M43" s="359"/>
      <c r="N43" s="359">
        <f t="shared" ref="N43:V43" si="60">+N25/N19</f>
        <v>0.2290962136893821</v>
      </c>
      <c r="O43" s="359">
        <f t="shared" si="60"/>
        <v>0.24095129280532587</v>
      </c>
      <c r="P43" s="359">
        <f t="shared" si="60"/>
        <v>0.24811276539360658</v>
      </c>
      <c r="Q43" s="359">
        <f t="shared" si="60"/>
        <v>0.26125261090978003</v>
      </c>
      <c r="R43" s="359">
        <f t="shared" si="60"/>
        <v>0.27705720203102885</v>
      </c>
      <c r="S43" s="359">
        <f t="shared" si="60"/>
        <v>0.29593031319542079</v>
      </c>
      <c r="T43" s="359">
        <f t="shared" si="60"/>
        <v>0.31445086765706109</v>
      </c>
      <c r="U43" s="359">
        <f t="shared" si="60"/>
        <v>0.33263313014039997</v>
      </c>
      <c r="V43" s="359">
        <f t="shared" si="60"/>
        <v>0.35049067299061631</v>
      </c>
      <c r="W43" s="359">
        <f>+W25/W19</f>
        <v>0.36803641854090435</v>
      </c>
      <c r="AA43" s="91"/>
      <c r="AB43" s="91"/>
      <c r="AC43" s="91"/>
      <c r="AD43" s="91"/>
      <c r="AE43" s="91"/>
      <c r="AF43" s="91"/>
      <c r="AG43" s="91"/>
      <c r="AH43" s="91"/>
      <c r="AI43" s="91"/>
      <c r="AJ43" s="91"/>
      <c r="AK43" s="91"/>
      <c r="AL43" s="91"/>
      <c r="AM43" s="91"/>
      <c r="AN43" s="91"/>
      <c r="AO43" s="91"/>
      <c r="AP43" s="91"/>
    </row>
    <row r="44" spans="1:105">
      <c r="A44" s="212" t="s">
        <v>1073</v>
      </c>
      <c r="C44" s="329">
        <f>+C21-B21</f>
        <v>-94</v>
      </c>
      <c r="D44" s="329">
        <f>+D21-C21</f>
        <v>-51</v>
      </c>
      <c r="E44" s="329">
        <f>+E21-D21</f>
        <v>-20</v>
      </c>
      <c r="F44" s="329">
        <f>+F21-E21</f>
        <v>0.88049204478488718</v>
      </c>
      <c r="N44" s="329">
        <f>+N21-L21</f>
        <v>-18.728999999999814</v>
      </c>
      <c r="O44" s="329">
        <f t="shared" ref="O44:W44" si="61">+O21-N21</f>
        <v>11.244999999999891</v>
      </c>
      <c r="P44" s="329">
        <f t="shared" si="61"/>
        <v>11.144999999999982</v>
      </c>
      <c r="Q44" s="329">
        <f t="shared" si="61"/>
        <v>11.045000000000073</v>
      </c>
      <c r="R44" s="329">
        <f t="shared" si="61"/>
        <v>10.945000000000164</v>
      </c>
      <c r="S44" s="329">
        <f t="shared" si="61"/>
        <v>10.8449999999998</v>
      </c>
      <c r="T44" s="329">
        <f t="shared" si="61"/>
        <v>10.745000000000346</v>
      </c>
      <c r="U44" s="329">
        <f t="shared" si="61"/>
        <v>10.644999999999982</v>
      </c>
      <c r="V44" s="329">
        <f t="shared" si="61"/>
        <v>10.545000000000073</v>
      </c>
      <c r="W44" s="329">
        <f t="shared" si="61"/>
        <v>10.444999999999709</v>
      </c>
      <c r="AA44" s="91"/>
      <c r="AB44" s="91"/>
      <c r="AC44" s="91"/>
      <c r="AD44" s="91"/>
      <c r="AE44" s="91"/>
      <c r="AF44" s="91"/>
      <c r="AG44" s="91"/>
      <c r="AH44" s="91"/>
      <c r="AI44" s="91"/>
      <c r="AJ44" s="91"/>
      <c r="AK44" s="91"/>
      <c r="AL44" s="91"/>
      <c r="AM44" s="91"/>
      <c r="AN44" s="91"/>
      <c r="AO44" s="91"/>
      <c r="AP44" s="91"/>
    </row>
    <row r="45" spans="1:105">
      <c r="A45" s="212" t="s">
        <v>1074</v>
      </c>
      <c r="C45" s="329">
        <f t="shared" ref="C45:F48" si="62">+C23-B23</f>
        <v>-122</v>
      </c>
      <c r="D45" s="329">
        <f t="shared" si="62"/>
        <v>-78</v>
      </c>
      <c r="E45" s="329">
        <f t="shared" si="62"/>
        <v>-27</v>
      </c>
      <c r="F45" s="329">
        <f t="shared" si="62"/>
        <v>-30</v>
      </c>
      <c r="N45" s="329">
        <f>+N23-L23</f>
        <v>-27.23137399999996</v>
      </c>
      <c r="O45" s="329">
        <f t="shared" ref="O45:W45" si="63">+O23-N23</f>
        <v>11.312469999999848</v>
      </c>
      <c r="P45" s="329">
        <f t="shared" si="63"/>
        <v>11.21187000000009</v>
      </c>
      <c r="Q45" s="329">
        <f t="shared" si="63"/>
        <v>11.111270000000331</v>
      </c>
      <c r="R45" s="329">
        <f t="shared" si="63"/>
        <v>11.010670000000118</v>
      </c>
      <c r="S45" s="329">
        <f t="shared" si="63"/>
        <v>10.910069999999905</v>
      </c>
      <c r="T45" s="329">
        <f t="shared" si="63"/>
        <v>10.809470000000147</v>
      </c>
      <c r="U45" s="329">
        <f t="shared" si="63"/>
        <v>10.708869999999933</v>
      </c>
      <c r="V45" s="329">
        <f t="shared" si="63"/>
        <v>10.608270000000175</v>
      </c>
      <c r="W45" s="329">
        <f t="shared" si="63"/>
        <v>10.507669999999507</v>
      </c>
      <c r="AA45" s="91"/>
      <c r="AB45" s="91"/>
      <c r="AC45" s="91"/>
      <c r="AD45" s="91"/>
      <c r="AE45" s="91"/>
      <c r="AF45" s="91"/>
      <c r="AG45" s="91"/>
      <c r="AH45" s="91"/>
      <c r="AI45" s="91"/>
      <c r="AJ45" s="91"/>
      <c r="AK45" s="91"/>
      <c r="AL45" s="91"/>
      <c r="AM45" s="91"/>
      <c r="AN45" s="91"/>
      <c r="AO45" s="91"/>
      <c r="AP45" s="91"/>
    </row>
    <row r="46" spans="1:105">
      <c r="A46" s="212" t="s">
        <v>1075</v>
      </c>
      <c r="C46" s="329">
        <f t="shared" si="62"/>
        <v>11</v>
      </c>
      <c r="D46" s="329">
        <f t="shared" si="62"/>
        <v>11</v>
      </c>
      <c r="E46" s="329">
        <f t="shared" si="62"/>
        <v>-3</v>
      </c>
      <c r="F46" s="329">
        <f t="shared" si="62"/>
        <v>20</v>
      </c>
      <c r="N46" s="360">
        <v>-4</v>
      </c>
      <c r="O46" s="360">
        <v>20</v>
      </c>
      <c r="P46" s="360">
        <v>50</v>
      </c>
      <c r="Q46" s="360">
        <v>50</v>
      </c>
      <c r="R46" s="360">
        <v>50</v>
      </c>
      <c r="S46" s="360">
        <v>50</v>
      </c>
      <c r="T46" s="360">
        <v>50</v>
      </c>
      <c r="U46" s="360">
        <v>50</v>
      </c>
      <c r="V46" s="360">
        <v>50</v>
      </c>
      <c r="W46" s="360">
        <v>50</v>
      </c>
      <c r="AA46" s="91"/>
      <c r="AB46" s="91"/>
      <c r="AC46" s="91"/>
      <c r="AD46" s="91"/>
      <c r="AE46" s="91"/>
      <c r="AF46" s="91"/>
      <c r="AG46" s="91"/>
      <c r="AH46" s="91"/>
      <c r="AI46" s="91"/>
      <c r="AJ46" s="91"/>
      <c r="AK46" s="91"/>
      <c r="AL46" s="91"/>
      <c r="AM46" s="91"/>
      <c r="AN46" s="91"/>
      <c r="AO46" s="91"/>
      <c r="AP46" s="91"/>
    </row>
    <row r="47" spans="1:105">
      <c r="A47" s="212" t="s">
        <v>1076</v>
      </c>
      <c r="C47" s="329">
        <f t="shared" si="62"/>
        <v>20</v>
      </c>
      <c r="D47" s="329">
        <f t="shared" si="62"/>
        <v>39</v>
      </c>
      <c r="E47" s="329">
        <f t="shared" si="62"/>
        <v>28</v>
      </c>
      <c r="F47" s="329">
        <f t="shared" si="62"/>
        <v>40</v>
      </c>
      <c r="N47" s="360">
        <v>58</v>
      </c>
      <c r="O47" s="360">
        <v>60</v>
      </c>
      <c r="P47" s="360">
        <v>60</v>
      </c>
      <c r="Q47" s="360">
        <v>60</v>
      </c>
      <c r="R47" s="360">
        <v>60</v>
      </c>
      <c r="S47" s="360">
        <v>60</v>
      </c>
      <c r="T47" s="360">
        <v>60</v>
      </c>
      <c r="U47" s="360">
        <v>60</v>
      </c>
      <c r="V47" s="360">
        <v>60</v>
      </c>
      <c r="W47" s="360">
        <v>60</v>
      </c>
      <c r="AA47" s="91"/>
      <c r="AB47" s="91"/>
      <c r="AC47" s="91"/>
      <c r="AD47" s="91"/>
      <c r="AE47" s="91"/>
      <c r="AF47" s="91"/>
      <c r="AG47" s="91"/>
      <c r="AH47" s="91"/>
      <c r="AI47" s="91"/>
      <c r="AJ47" s="91"/>
      <c r="AK47" s="91"/>
      <c r="AL47" s="91"/>
      <c r="AM47" s="91"/>
      <c r="AN47" s="91"/>
      <c r="AO47" s="91"/>
      <c r="AP47" s="91"/>
    </row>
    <row r="48" spans="1:105">
      <c r="A48" s="212" t="s">
        <v>1077</v>
      </c>
      <c r="C48" s="329">
        <f t="shared" si="62"/>
        <v>25</v>
      </c>
      <c r="D48" s="329">
        <f t="shared" si="62"/>
        <v>34</v>
      </c>
      <c r="E48" s="329">
        <f t="shared" si="62"/>
        <v>24</v>
      </c>
      <c r="F48" s="329">
        <f t="shared" si="62"/>
        <v>35</v>
      </c>
      <c r="N48" s="360">
        <v>46</v>
      </c>
      <c r="O48" s="360">
        <v>40</v>
      </c>
      <c r="P48" s="360">
        <v>40</v>
      </c>
      <c r="Q48" s="360">
        <v>40</v>
      </c>
      <c r="R48" s="360">
        <v>40</v>
      </c>
      <c r="S48" s="360">
        <v>40</v>
      </c>
      <c r="T48" s="360">
        <v>40</v>
      </c>
      <c r="U48" s="360">
        <v>40</v>
      </c>
      <c r="V48" s="360">
        <v>40</v>
      </c>
      <c r="W48" s="360">
        <v>40</v>
      </c>
      <c r="AA48" s="91"/>
      <c r="AB48" s="91"/>
      <c r="AC48" s="91"/>
      <c r="AD48" s="91"/>
      <c r="AE48" s="91"/>
      <c r="AF48" s="91"/>
      <c r="AG48" s="91"/>
      <c r="AH48" s="91"/>
      <c r="AI48" s="91"/>
      <c r="AJ48" s="91"/>
      <c r="AK48" s="91"/>
      <c r="AL48" s="91"/>
      <c r="AM48" s="91"/>
      <c r="AN48" s="91"/>
      <c r="AO48" s="91"/>
      <c r="AP48" s="91"/>
    </row>
    <row r="49" spans="1:42">
      <c r="A49" s="212"/>
      <c r="N49" s="360"/>
      <c r="O49" s="360"/>
      <c r="P49" s="360"/>
      <c r="Q49" s="360"/>
      <c r="R49" s="360"/>
      <c r="S49" s="360"/>
      <c r="T49" s="360"/>
      <c r="U49" s="360"/>
      <c r="V49" s="360"/>
      <c r="W49" s="360"/>
      <c r="AA49" s="91"/>
      <c r="AB49" s="91"/>
      <c r="AC49" s="91"/>
      <c r="AD49" s="91"/>
      <c r="AE49" s="91"/>
      <c r="AF49" s="91"/>
      <c r="AG49" s="91"/>
      <c r="AH49" s="91"/>
      <c r="AI49" s="91"/>
      <c r="AJ49" s="91"/>
      <c r="AK49" s="91"/>
      <c r="AL49" s="91"/>
      <c r="AM49" s="91"/>
      <c r="AN49" s="91"/>
      <c r="AO49" s="91"/>
      <c r="AP49" s="91"/>
    </row>
    <row r="50" spans="1:42">
      <c r="A50" s="212" t="s">
        <v>1086</v>
      </c>
      <c r="B50" s="329">
        <f>+B18*B51</f>
        <v>1273</v>
      </c>
      <c r="C50" s="329">
        <f>+C18*C51</f>
        <v>1250</v>
      </c>
      <c r="D50" s="329">
        <f>+D18*D51</f>
        <v>1197</v>
      </c>
      <c r="E50" s="329">
        <f>+E18*E51</f>
        <v>1195.3516638078904</v>
      </c>
      <c r="F50" s="329">
        <f>+F18*F51</f>
        <v>1238.9177530017155</v>
      </c>
      <c r="G50" s="329"/>
      <c r="H50" s="329"/>
      <c r="I50" s="329"/>
      <c r="J50" s="329"/>
      <c r="K50" s="329"/>
      <c r="L50" s="329"/>
      <c r="M50" s="329"/>
      <c r="N50" s="329">
        <f t="shared" ref="N50:W50" si="64">+N18*N51</f>
        <v>2752.5722813036023</v>
      </c>
      <c r="O50" s="329">
        <f t="shared" si="64"/>
        <v>2852.6583704974278</v>
      </c>
      <c r="P50" s="329">
        <f t="shared" si="64"/>
        <v>2952.1444596912529</v>
      </c>
      <c r="Q50" s="329">
        <f t="shared" si="64"/>
        <v>3015.3205488850781</v>
      </c>
      <c r="R50" s="329">
        <f t="shared" si="64"/>
        <v>3078.0966380789032</v>
      </c>
      <c r="S50" s="329">
        <f t="shared" si="64"/>
        <v>3140.4727272727282</v>
      </c>
      <c r="T50" s="329">
        <f t="shared" si="64"/>
        <v>3202.4488164665531</v>
      </c>
      <c r="U50" s="329">
        <f t="shared" si="64"/>
        <v>3264.0249056603784</v>
      </c>
      <c r="V50" s="329">
        <f t="shared" si="64"/>
        <v>3325.2009948542036</v>
      </c>
      <c r="W50" s="329">
        <f t="shared" si="64"/>
        <v>3385.9770840480287</v>
      </c>
      <c r="AA50" s="91"/>
      <c r="AB50" s="91"/>
      <c r="AC50" s="91"/>
      <c r="AD50" s="91"/>
      <c r="AE50" s="91"/>
      <c r="AF50" s="91"/>
      <c r="AG50" s="91"/>
      <c r="AH50" s="91"/>
      <c r="AI50" s="91"/>
      <c r="AJ50" s="91"/>
      <c r="AK50" s="91"/>
      <c r="AL50" s="91"/>
      <c r="AM50" s="91"/>
      <c r="AN50" s="91"/>
      <c r="AO50" s="91"/>
      <c r="AP50" s="91"/>
    </row>
    <row r="51" spans="1:42">
      <c r="A51" s="212" t="s">
        <v>1087</v>
      </c>
      <c r="B51" s="84">
        <v>0.64849719816607232</v>
      </c>
      <c r="C51" s="84">
        <v>0.67349137931034486</v>
      </c>
      <c r="D51" s="84">
        <v>0.68439108061749576</v>
      </c>
      <c r="E51" s="362">
        <v>0.70439108061749578</v>
      </c>
      <c r="F51" s="362">
        <v>0.73439108061749581</v>
      </c>
      <c r="G51" s="362"/>
      <c r="H51" s="362"/>
      <c r="I51" s="362"/>
      <c r="J51" s="362"/>
      <c r="K51" s="362"/>
      <c r="L51" s="362"/>
      <c r="M51" s="362"/>
      <c r="N51" s="362">
        <v>0.76439108061749583</v>
      </c>
      <c r="O51" s="362">
        <v>0.79439108061749586</v>
      </c>
      <c r="P51" s="362">
        <v>0.82439108061749589</v>
      </c>
      <c r="Q51" s="362">
        <v>0.8443910806174959</v>
      </c>
      <c r="R51" s="362">
        <v>0.86439108061749592</v>
      </c>
      <c r="S51" s="362">
        <v>0.88439108061749594</v>
      </c>
      <c r="T51" s="362">
        <v>0.90439108061749596</v>
      </c>
      <c r="U51" s="362">
        <v>0.92439108061749597</v>
      </c>
      <c r="V51" s="362">
        <v>0.94439108061749599</v>
      </c>
      <c r="W51" s="362">
        <f>V51+2%</f>
        <v>0.96439108061749601</v>
      </c>
      <c r="AA51" s="91"/>
      <c r="AB51" s="91"/>
      <c r="AC51" s="91"/>
      <c r="AD51" s="91"/>
      <c r="AE51" s="91"/>
      <c r="AF51" s="91"/>
      <c r="AG51" s="91"/>
      <c r="AH51" s="91"/>
      <c r="AI51" s="91"/>
      <c r="AJ51" s="91"/>
      <c r="AK51" s="91"/>
      <c r="AL51" s="91"/>
      <c r="AM51" s="91"/>
      <c r="AN51" s="91"/>
      <c r="AO51" s="91"/>
      <c r="AP51" s="91"/>
    </row>
    <row r="52" spans="1:42">
      <c r="A52" s="212" t="s">
        <v>1088</v>
      </c>
      <c r="B52" s="329">
        <f>+B18-B50</f>
        <v>690</v>
      </c>
      <c r="C52" s="329">
        <f>+C18-C50</f>
        <v>606</v>
      </c>
      <c r="D52" s="329">
        <f>+D18-D50</f>
        <v>552</v>
      </c>
      <c r="E52" s="329">
        <f>+E18-E50</f>
        <v>501.64833619210958</v>
      </c>
      <c r="F52" s="329">
        <f>+F18-F50</f>
        <v>448.08224699828452</v>
      </c>
      <c r="G52" s="329"/>
      <c r="H52" s="329"/>
      <c r="I52" s="329"/>
      <c r="J52" s="329"/>
      <c r="K52" s="329"/>
      <c r="L52" s="329"/>
      <c r="M52" s="329"/>
      <c r="N52" s="329">
        <f t="shared" ref="N52:W52" si="65">+N18-N50</f>
        <v>848.42771869639773</v>
      </c>
      <c r="O52" s="329">
        <f t="shared" si="65"/>
        <v>738.34162950257223</v>
      </c>
      <c r="P52" s="329">
        <f t="shared" si="65"/>
        <v>628.85554030874709</v>
      </c>
      <c r="Q52" s="329">
        <f t="shared" si="65"/>
        <v>555.6794511149219</v>
      </c>
      <c r="R52" s="329">
        <f t="shared" si="65"/>
        <v>482.9033619210968</v>
      </c>
      <c r="S52" s="329">
        <f t="shared" si="65"/>
        <v>410.52727272727179</v>
      </c>
      <c r="T52" s="329">
        <f t="shared" si="65"/>
        <v>338.55118353344687</v>
      </c>
      <c r="U52" s="329">
        <f t="shared" si="65"/>
        <v>266.97509433962159</v>
      </c>
      <c r="V52" s="329">
        <f t="shared" si="65"/>
        <v>195.7990051457964</v>
      </c>
      <c r="W52" s="329">
        <f t="shared" si="65"/>
        <v>125.0229159519713</v>
      </c>
      <c r="AA52" s="91"/>
      <c r="AB52" s="91"/>
      <c r="AC52" s="91"/>
      <c r="AD52" s="91"/>
      <c r="AE52" s="91"/>
      <c r="AF52" s="91"/>
      <c r="AG52" s="91"/>
      <c r="AH52" s="91"/>
      <c r="AI52" s="91"/>
      <c r="AJ52" s="91"/>
      <c r="AK52" s="91"/>
      <c r="AL52" s="91"/>
      <c r="AM52" s="91"/>
      <c r="AN52" s="91"/>
      <c r="AO52" s="91"/>
      <c r="AP52" s="91"/>
    </row>
    <row r="53" spans="1:42">
      <c r="A53" s="212"/>
      <c r="O53" s="363"/>
      <c r="P53" s="363"/>
      <c r="Q53" s="363"/>
      <c r="R53" s="363"/>
      <c r="S53" s="363"/>
      <c r="T53" s="363"/>
      <c r="U53" s="363"/>
      <c r="V53" s="363"/>
      <c r="W53" s="363"/>
      <c r="X53" s="363"/>
      <c r="AA53" s="91"/>
      <c r="AB53" s="91"/>
      <c r="AC53" s="91"/>
      <c r="AD53" s="91"/>
      <c r="AE53" s="91"/>
      <c r="AF53" s="91"/>
      <c r="AG53" s="91"/>
      <c r="AH53" s="91"/>
      <c r="AI53" s="91"/>
      <c r="AJ53" s="91"/>
      <c r="AK53" s="91"/>
      <c r="AL53" s="91"/>
      <c r="AM53" s="91"/>
      <c r="AN53" s="91"/>
      <c r="AO53" s="91"/>
      <c r="AP53" s="91"/>
    </row>
    <row r="54" spans="1:42">
      <c r="A54" s="212" t="s">
        <v>1078</v>
      </c>
      <c r="C54" s="349">
        <f t="shared" ref="C54:F55" si="66">+C28/B28-1</f>
        <v>2.1739130434782705E-2</v>
      </c>
      <c r="D54" s="349">
        <f t="shared" si="66"/>
        <v>1.0638297872340496E-2</v>
      </c>
      <c r="E54" s="349">
        <f t="shared" si="66"/>
        <v>1.0526315789473717E-2</v>
      </c>
      <c r="F54" s="349">
        <f t="shared" si="66"/>
        <v>3.2354184636802286E-2</v>
      </c>
      <c r="N54" s="349"/>
      <c r="O54" s="349">
        <f t="shared" ref="O54:W54" si="67">+O28/N28-1</f>
        <v>1.4872265852476918E-2</v>
      </c>
      <c r="P54" s="349">
        <f t="shared" si="67"/>
        <v>2.936814869496307E-2</v>
      </c>
      <c r="Q54" s="349">
        <f t="shared" si="67"/>
        <v>2.8825308601185817E-2</v>
      </c>
      <c r="R54" s="349">
        <f t="shared" si="67"/>
        <v>2.8310923878416494E-2</v>
      </c>
      <c r="S54" s="349">
        <f t="shared" si="67"/>
        <v>2.782296923919203E-2</v>
      </c>
      <c r="T54" s="349">
        <f t="shared" si="67"/>
        <v>2.7359604925489389E-2</v>
      </c>
      <c r="U54" s="349">
        <f t="shared" si="67"/>
        <v>2.6919156022698898E-2</v>
      </c>
      <c r="V54" s="349">
        <f t="shared" si="67"/>
        <v>2.6500094477916791E-2</v>
      </c>
      <c r="W54" s="349">
        <f t="shared" si="67"/>
        <v>2.6101023419037528E-2</v>
      </c>
      <c r="AA54" s="91"/>
      <c r="AB54" s="91"/>
      <c r="AC54" s="91"/>
      <c r="AD54" s="91"/>
      <c r="AE54" s="91"/>
      <c r="AF54" s="91"/>
      <c r="AG54" s="91"/>
      <c r="AH54" s="91"/>
      <c r="AI54" s="91"/>
      <c r="AJ54" s="91"/>
      <c r="AK54" s="91"/>
      <c r="AL54" s="91"/>
      <c r="AM54" s="91"/>
      <c r="AN54" s="91"/>
      <c r="AO54" s="91"/>
      <c r="AP54" s="91"/>
    </row>
    <row r="55" spans="1:42">
      <c r="A55" s="212" t="s">
        <v>1079</v>
      </c>
      <c r="C55" s="349">
        <f t="shared" si="66"/>
        <v>0</v>
      </c>
      <c r="D55" s="349">
        <f t="shared" si="66"/>
        <v>2.2831050228310446E-2</v>
      </c>
      <c r="E55" s="349">
        <f t="shared" si="66"/>
        <v>-1.7857142857142794E-2</v>
      </c>
      <c r="F55" s="349">
        <f t="shared" si="66"/>
        <v>1.0000000000000009E-2</v>
      </c>
      <c r="N55" s="349"/>
      <c r="O55" s="349">
        <f t="shared" ref="O55:W55" si="68">+O29/N29-1</f>
        <v>1.0000000000000009E-2</v>
      </c>
      <c r="P55" s="349">
        <f t="shared" si="68"/>
        <v>1.0000000000000009E-2</v>
      </c>
      <c r="Q55" s="349">
        <f t="shared" si="68"/>
        <v>4.9999999999998934E-3</v>
      </c>
      <c r="R55" s="349">
        <f t="shared" si="68"/>
        <v>0</v>
      </c>
      <c r="S55" s="349">
        <f t="shared" si="68"/>
        <v>0</v>
      </c>
      <c r="T55" s="349">
        <f t="shared" si="68"/>
        <v>0</v>
      </c>
      <c r="U55" s="349">
        <f t="shared" si="68"/>
        <v>0</v>
      </c>
      <c r="V55" s="349">
        <f t="shared" si="68"/>
        <v>0</v>
      </c>
      <c r="W55" s="349">
        <f t="shared" si="68"/>
        <v>0</v>
      </c>
      <c r="AA55" s="91"/>
      <c r="AB55" s="91"/>
      <c r="AC55" s="91"/>
      <c r="AD55" s="91"/>
      <c r="AE55" s="91"/>
      <c r="AF55" s="91"/>
      <c r="AG55" s="91"/>
      <c r="AH55" s="91"/>
      <c r="AI55" s="91"/>
      <c r="AJ55" s="91"/>
      <c r="AK55" s="91"/>
      <c r="AL55" s="91"/>
      <c r="AM55" s="91"/>
      <c r="AN55" s="91"/>
      <c r="AO55" s="91"/>
      <c r="AP55" s="91"/>
    </row>
    <row r="56" spans="1:42">
      <c r="A56" s="212"/>
      <c r="AA56" s="91"/>
      <c r="AB56" s="91"/>
      <c r="AC56" s="91"/>
      <c r="AD56" s="91"/>
      <c r="AE56" s="91"/>
      <c r="AF56" s="91"/>
      <c r="AG56" s="91"/>
      <c r="AH56" s="91"/>
      <c r="AI56" s="91"/>
      <c r="AJ56" s="91"/>
      <c r="AK56" s="91"/>
      <c r="AL56" s="91"/>
      <c r="AM56" s="91"/>
      <c r="AN56" s="91"/>
      <c r="AO56" s="91"/>
      <c r="AP56" s="91"/>
    </row>
    <row r="57" spans="1:42">
      <c r="A57" s="212" t="s">
        <v>1080</v>
      </c>
      <c r="AA57" s="91"/>
      <c r="AB57" s="91"/>
      <c r="AC57" s="91"/>
      <c r="AD57" s="91"/>
      <c r="AE57" s="91"/>
      <c r="AF57" s="91"/>
      <c r="AG57" s="91"/>
      <c r="AH57" s="91"/>
      <c r="AI57" s="91"/>
      <c r="AJ57" s="91"/>
      <c r="AK57" s="91"/>
      <c r="AL57" s="91"/>
      <c r="AM57" s="91"/>
      <c r="AN57" s="91"/>
      <c r="AO57" s="91"/>
      <c r="AP57" s="91"/>
    </row>
    <row r="58" spans="1:42">
      <c r="A58" s="212" t="s">
        <v>1081</v>
      </c>
      <c r="AA58" s="91"/>
      <c r="AB58" s="91"/>
      <c r="AC58" s="91"/>
      <c r="AD58" s="91"/>
      <c r="AE58" s="91"/>
      <c r="AF58" s="91"/>
      <c r="AG58" s="91"/>
      <c r="AH58" s="91"/>
      <c r="AI58" s="91"/>
      <c r="AJ58" s="91"/>
      <c r="AK58" s="91"/>
      <c r="AL58" s="91"/>
      <c r="AM58" s="91"/>
      <c r="AN58" s="91"/>
      <c r="AO58" s="91"/>
      <c r="AP58" s="91"/>
    </row>
    <row r="59" spans="1:42">
      <c r="A59" s="7"/>
      <c r="AA59" s="91"/>
      <c r="AB59" s="91"/>
      <c r="AC59" s="91"/>
      <c r="AD59" s="91"/>
      <c r="AE59" s="91"/>
      <c r="AF59" s="91"/>
      <c r="AG59" s="91"/>
      <c r="AH59" s="91"/>
      <c r="AI59" s="91"/>
      <c r="AJ59" s="91"/>
      <c r="AK59" s="91"/>
      <c r="AL59" s="91"/>
      <c r="AM59" s="91"/>
      <c r="AN59" s="91"/>
      <c r="AO59" s="91"/>
      <c r="AP59" s="91"/>
    </row>
    <row r="60" spans="1:42">
      <c r="A60" s="4" t="s">
        <v>394</v>
      </c>
      <c r="B60" s="364">
        <f>+B40</f>
        <v>9.2327698309492848E-2</v>
      </c>
      <c r="C60" s="364">
        <f>+C40</f>
        <v>0.10805084745762712</v>
      </c>
      <c r="D60" s="364">
        <f>+D40</f>
        <v>0.12257100149476831</v>
      </c>
      <c r="E60" s="364">
        <f>+E40</f>
        <v>0.12280701754385964</v>
      </c>
      <c r="F60" s="364">
        <f>+F40</f>
        <v>0.14129586260733801</v>
      </c>
      <c r="G60" s="364"/>
      <c r="H60" s="364"/>
      <c r="I60" s="364"/>
      <c r="J60" s="364"/>
      <c r="K60" s="364"/>
      <c r="L60" s="364"/>
      <c r="M60" s="364"/>
      <c r="N60" s="364">
        <f>+N40</f>
        <v>0.17360763812984972</v>
      </c>
      <c r="O60" s="364">
        <f t="shared" ref="O60:W60" si="69">+O40</f>
        <v>0.18099317042500052</v>
      </c>
      <c r="P60" s="364">
        <f t="shared" si="69"/>
        <v>0.20054677807281496</v>
      </c>
      <c r="Q60" s="364">
        <f t="shared" si="69"/>
        <v>0.21993145121342825</v>
      </c>
      <c r="R60" s="364">
        <f t="shared" si="69"/>
        <v>0.2391518280693426</v>
      </c>
      <c r="S60" s="364">
        <f t="shared" si="69"/>
        <v>0.25821242444052894</v>
      </c>
      <c r="T60" s="364">
        <f t="shared" si="69"/>
        <v>0.27711763822267177</v>
      </c>
      <c r="U60" s="364">
        <f t="shared" si="69"/>
        <v>0.29587175373598973</v>
      </c>
      <c r="V60" s="364">
        <f t="shared" si="69"/>
        <v>0.31447894587400649</v>
      </c>
      <c r="W60" s="364">
        <f t="shared" si="69"/>
        <v>0.33294328408112556</v>
      </c>
      <c r="AA60" s="91"/>
      <c r="AB60" s="91" t="s">
        <v>554</v>
      </c>
      <c r="AC60" s="91"/>
      <c r="AD60" s="91"/>
      <c r="AE60" s="91"/>
      <c r="AF60" s="91"/>
      <c r="AG60" s="91"/>
      <c r="AH60" s="91"/>
      <c r="AI60" s="91"/>
      <c r="AJ60" s="91"/>
      <c r="AK60" s="91"/>
      <c r="AL60" s="91"/>
      <c r="AM60" s="91"/>
      <c r="AN60" s="91"/>
      <c r="AO60" s="91"/>
      <c r="AP60" s="91"/>
    </row>
    <row r="61" spans="1:42">
      <c r="A61" s="4" t="s">
        <v>395</v>
      </c>
      <c r="B61" s="365">
        <v>15</v>
      </c>
      <c r="C61" s="365">
        <v>15</v>
      </c>
      <c r="D61" s="365">
        <v>15</v>
      </c>
      <c r="E61" s="365">
        <v>16</v>
      </c>
      <c r="F61" s="366">
        <v>16</v>
      </c>
      <c r="G61" s="366"/>
      <c r="H61" s="366"/>
      <c r="I61" s="366"/>
      <c r="J61" s="366"/>
      <c r="K61" s="366"/>
      <c r="L61" s="366"/>
      <c r="M61" s="366"/>
      <c r="N61" s="366">
        <v>11</v>
      </c>
      <c r="O61" s="366">
        <f t="shared" ref="O61:W61" si="70">N61*(1+O62)</f>
        <v>11.11</v>
      </c>
      <c r="P61" s="366">
        <f t="shared" si="70"/>
        <v>11.2211</v>
      </c>
      <c r="Q61" s="366">
        <f t="shared" si="70"/>
        <v>11.333311</v>
      </c>
      <c r="R61" s="366">
        <f t="shared" si="70"/>
        <v>11.446644109999999</v>
      </c>
      <c r="S61" s="366">
        <f t="shared" si="70"/>
        <v>11.561110551099999</v>
      </c>
      <c r="T61" s="366">
        <f t="shared" si="70"/>
        <v>11.676721656610999</v>
      </c>
      <c r="U61" s="366">
        <f t="shared" si="70"/>
        <v>11.793488873177109</v>
      </c>
      <c r="V61" s="366">
        <f t="shared" si="70"/>
        <v>11.91142376190888</v>
      </c>
      <c r="W61" s="366">
        <f t="shared" si="70"/>
        <v>12.030537999527969</v>
      </c>
      <c r="Y61" s="84">
        <f>+(R61/N61)^(0.25)-1</f>
        <v>1.0000000000000009E-2</v>
      </c>
      <c r="AA61" s="91"/>
      <c r="AB61" s="91"/>
      <c r="AC61" s="91"/>
      <c r="AD61" s="91"/>
      <c r="AE61" s="91"/>
      <c r="AF61" s="91"/>
      <c r="AG61" s="91"/>
      <c r="AH61" s="91"/>
      <c r="AI61" s="91"/>
      <c r="AJ61" s="91"/>
      <c r="AK61" s="91"/>
      <c r="AL61" s="91"/>
      <c r="AM61" s="91"/>
      <c r="AN61" s="91"/>
      <c r="AO61" s="91"/>
      <c r="AP61" s="91"/>
    </row>
    <row r="62" spans="1:42">
      <c r="A62" s="4" t="s">
        <v>610</v>
      </c>
      <c r="B62" s="365"/>
      <c r="C62" s="84">
        <f>C61/B61-1</f>
        <v>0</v>
      </c>
      <c r="D62" s="84">
        <f>D61/C61-1</f>
        <v>0</v>
      </c>
      <c r="E62" s="84">
        <f>E61/D61-1</f>
        <v>6.6666666666666652E-2</v>
      </c>
      <c r="F62" s="367">
        <v>5.0000000000000001E-3</v>
      </c>
      <c r="G62" s="367"/>
      <c r="H62" s="367"/>
      <c r="I62" s="367"/>
      <c r="J62" s="367"/>
      <c r="K62" s="367"/>
      <c r="L62" s="367"/>
      <c r="M62" s="367"/>
      <c r="N62" s="367"/>
      <c r="O62" s="367">
        <v>0.01</v>
      </c>
      <c r="P62" s="367">
        <v>0.01</v>
      </c>
      <c r="Q62" s="367">
        <v>0.01</v>
      </c>
      <c r="R62" s="367">
        <v>0.01</v>
      </c>
      <c r="S62" s="367">
        <v>0.01</v>
      </c>
      <c r="T62" s="367">
        <v>0.01</v>
      </c>
      <c r="U62" s="367">
        <v>0.01</v>
      </c>
      <c r="V62" s="367">
        <v>0.01</v>
      </c>
      <c r="W62" s="367">
        <v>0.01</v>
      </c>
      <c r="AA62" s="91"/>
      <c r="AB62" s="91"/>
      <c r="AC62" s="91"/>
      <c r="AD62" s="91"/>
      <c r="AE62" s="91"/>
      <c r="AF62" s="91"/>
      <c r="AG62" s="91"/>
      <c r="AH62" s="91"/>
      <c r="AI62" s="91"/>
      <c r="AJ62" s="91"/>
      <c r="AK62" s="91"/>
      <c r="AL62" s="91"/>
      <c r="AM62" s="91"/>
      <c r="AN62" s="91"/>
      <c r="AO62" s="91"/>
      <c r="AP62" s="91"/>
    </row>
    <row r="63" spans="1:42">
      <c r="A63" s="4" t="s">
        <v>396</v>
      </c>
      <c r="B63" s="366">
        <f>+B66-(B60*B61)</f>
        <v>7.8150845253576069</v>
      </c>
      <c r="C63" s="366">
        <f>+C66-(C60*C61)</f>
        <v>7.7792372881355938</v>
      </c>
      <c r="D63" s="366">
        <f>+D66-(D60*D61)</f>
        <v>7.6614349775784749</v>
      </c>
      <c r="E63" s="366">
        <f>+E66-(E60*E61)</f>
        <v>7.6350877192982454</v>
      </c>
      <c r="F63" s="365">
        <f>+E63*(1+F64)</f>
        <v>7.596912280701754</v>
      </c>
      <c r="G63" s="365"/>
      <c r="H63" s="365"/>
      <c r="I63" s="365"/>
      <c r="J63" s="365"/>
      <c r="K63" s="365"/>
      <c r="L63" s="365"/>
      <c r="M63" s="365"/>
      <c r="N63" s="365">
        <f>+F63*(1+N64)</f>
        <v>7.3690049122807011</v>
      </c>
      <c r="O63" s="365">
        <f>+N63*(1+O64)</f>
        <v>7.4058499368421042</v>
      </c>
      <c r="P63" s="365">
        <f>+O63*(1+P64)</f>
        <v>7.442879186526314</v>
      </c>
      <c r="Q63" s="365">
        <f t="shared" ref="Q63:W63" si="71">+P63*(1+Q64)</f>
        <v>7.4800935824589452</v>
      </c>
      <c r="R63" s="365">
        <f t="shared" si="71"/>
        <v>7.5174940503712389</v>
      </c>
      <c r="S63" s="365">
        <f t="shared" si="71"/>
        <v>7.5550815206230943</v>
      </c>
      <c r="T63" s="365">
        <f t="shared" si="71"/>
        <v>7.5928569282262091</v>
      </c>
      <c r="U63" s="365">
        <f t="shared" si="71"/>
        <v>7.6308212128673389</v>
      </c>
      <c r="V63" s="365">
        <f t="shared" si="71"/>
        <v>7.6689753189316745</v>
      </c>
      <c r="W63" s="365">
        <f t="shared" si="71"/>
        <v>7.7073201955263322</v>
      </c>
      <c r="Y63" s="84">
        <f>+(R63/N63)^(0.25)-1</f>
        <v>4.9999999999998934E-3</v>
      </c>
      <c r="AA63" s="91"/>
      <c r="AB63" s="91"/>
      <c r="AC63" s="91"/>
      <c r="AD63" s="91"/>
      <c r="AE63" s="91"/>
      <c r="AF63" s="91"/>
      <c r="AG63" s="91"/>
      <c r="AH63" s="91"/>
      <c r="AI63" s="91"/>
      <c r="AJ63" s="91"/>
      <c r="AK63" s="91"/>
      <c r="AL63" s="91"/>
      <c r="AM63" s="91"/>
      <c r="AN63" s="91"/>
      <c r="AO63" s="91"/>
      <c r="AP63" s="91"/>
    </row>
    <row r="64" spans="1:42">
      <c r="C64" s="84">
        <f>+C63/B63-1</f>
        <v>-4.5869289200519692E-3</v>
      </c>
      <c r="D64" s="84">
        <f>+D63/C63-1</f>
        <v>-1.514316972137919E-2</v>
      </c>
      <c r="E64" s="84">
        <f>+E63/D63-1</f>
        <v>-3.4389456227633675E-3</v>
      </c>
      <c r="F64" s="367">
        <v>-5.0000000000000001E-3</v>
      </c>
      <c r="G64" s="367"/>
      <c r="H64" s="367"/>
      <c r="I64" s="367"/>
      <c r="J64" s="367"/>
      <c r="K64" s="367"/>
      <c r="L64" s="367"/>
      <c r="M64" s="367"/>
      <c r="N64" s="367">
        <v>-0.03</v>
      </c>
      <c r="O64" s="367">
        <v>5.0000000000000001E-3</v>
      </c>
      <c r="P64" s="367">
        <v>5.0000000000000001E-3</v>
      </c>
      <c r="Q64" s="367">
        <v>5.0000000000000001E-3</v>
      </c>
      <c r="R64" s="367">
        <v>5.0000000000000001E-3</v>
      </c>
      <c r="S64" s="367">
        <v>5.0000000000000001E-3</v>
      </c>
      <c r="T64" s="367">
        <v>5.0000000000000001E-3</v>
      </c>
      <c r="U64" s="367">
        <v>5.0000000000000001E-3</v>
      </c>
      <c r="V64" s="367">
        <v>5.0000000000000001E-3</v>
      </c>
      <c r="W64" s="367">
        <v>5.0000000000000001E-3</v>
      </c>
      <c r="AA64" s="91"/>
      <c r="AB64" s="91"/>
      <c r="AC64" s="91"/>
      <c r="AD64" s="91"/>
      <c r="AE64" s="91"/>
      <c r="AF64" s="91"/>
      <c r="AG64" s="91"/>
      <c r="AH64" s="91"/>
      <c r="AI64" s="91"/>
      <c r="AJ64" s="91"/>
      <c r="AK64" s="91"/>
      <c r="AL64" s="91"/>
      <c r="AM64" s="91"/>
      <c r="AN64" s="91"/>
      <c r="AO64" s="91"/>
      <c r="AP64" s="91"/>
    </row>
    <row r="65" spans="1:42">
      <c r="C65" s="368"/>
      <c r="AA65" s="91"/>
      <c r="AB65" s="91"/>
      <c r="AC65" s="91"/>
      <c r="AD65" s="91"/>
      <c r="AE65" s="91"/>
      <c r="AF65" s="91"/>
      <c r="AG65" s="91"/>
      <c r="AH65" s="91"/>
      <c r="AI65" s="91"/>
      <c r="AJ65" s="91"/>
      <c r="AK65" s="91"/>
      <c r="AL65" s="91"/>
      <c r="AM65" s="91"/>
      <c r="AN65" s="91"/>
      <c r="AO65" s="91"/>
      <c r="AP65" s="91"/>
    </row>
    <row r="66" spans="1:42">
      <c r="A66" s="4" t="s">
        <v>214</v>
      </c>
      <c r="B66" s="365">
        <f>+B28</f>
        <v>9.1999999999999993</v>
      </c>
      <c r="C66" s="365">
        <f>+C28</f>
        <v>9.4</v>
      </c>
      <c r="D66" s="365">
        <f>+D28</f>
        <v>9.5</v>
      </c>
      <c r="E66" s="365">
        <f>+E28</f>
        <v>9.6</v>
      </c>
      <c r="F66" s="365">
        <f>+F28</f>
        <v>9.9106001725133019</v>
      </c>
      <c r="G66" s="366"/>
      <c r="H66" s="366"/>
      <c r="I66" s="366"/>
      <c r="J66" s="366"/>
      <c r="K66" s="366"/>
      <c r="L66" s="366">
        <f>1000*L90/L23/12</f>
        <v>9.2690534309736918</v>
      </c>
      <c r="M66" s="366"/>
      <c r="N66" s="366">
        <f>+N63+(N61*N60)</f>
        <v>9.2786889317090484</v>
      </c>
      <c r="O66" s="366">
        <f>+O63+(O61*O60)</f>
        <v>9.4166840602638597</v>
      </c>
      <c r="P66" s="366">
        <f t="shared" ref="P66:W66" si="72">+P63+(P61*P60)</f>
        <v>9.6932346379591774</v>
      </c>
      <c r="Q66" s="366">
        <f t="shared" si="72"/>
        <v>9.9726451177420543</v>
      </c>
      <c r="R66" s="366">
        <f t="shared" si="72"/>
        <v>10.254979914536912</v>
      </c>
      <c r="S66" s="366">
        <f t="shared" si="72"/>
        <v>10.540303905247605</v>
      </c>
      <c r="T66" s="366">
        <f t="shared" si="72"/>
        <v>10.828682455889773</v>
      </c>
      <c r="U66" s="366">
        <f t="shared" si="72"/>
        <v>11.120181448440132</v>
      </c>
      <c r="V66" s="366">
        <f t="shared" si="72"/>
        <v>11.414867307435372</v>
      </c>
      <c r="W66" s="366">
        <f t="shared" si="72"/>
        <v>11.71280702635195</v>
      </c>
      <c r="Y66" s="349">
        <f>+(R66/N66)^(0.25)-1</f>
        <v>2.53261875827826E-2</v>
      </c>
      <c r="AA66" s="91"/>
      <c r="AB66" s="91"/>
      <c r="AC66" s="91"/>
      <c r="AD66" s="91"/>
      <c r="AE66" s="91"/>
      <c r="AF66" s="91"/>
      <c r="AG66" s="91"/>
      <c r="AH66" s="91"/>
      <c r="AI66" s="91"/>
      <c r="AJ66" s="91"/>
      <c r="AK66" s="91"/>
      <c r="AL66" s="91"/>
      <c r="AM66" s="91"/>
      <c r="AN66" s="91"/>
      <c r="AO66" s="91"/>
      <c r="AP66" s="91"/>
    </row>
    <row r="67" spans="1:42">
      <c r="A67" s="4" t="s">
        <v>222</v>
      </c>
      <c r="B67" s="327"/>
      <c r="C67" s="84">
        <f>+C66/B66-1</f>
        <v>2.1739130434782705E-2</v>
      </c>
      <c r="D67" s="84">
        <f>+D66/C66-1</f>
        <v>1.0638297872340496E-2</v>
      </c>
      <c r="E67" s="84">
        <f>+E66/D66-1</f>
        <v>1.0526315789473717E-2</v>
      </c>
      <c r="F67" s="84">
        <f>+F66/E66-1</f>
        <v>3.2354184636802286E-2</v>
      </c>
      <c r="G67" s="84"/>
      <c r="H67" s="84"/>
      <c r="I67" s="84"/>
      <c r="J67" s="84"/>
      <c r="K67" s="84"/>
      <c r="L67" s="84"/>
      <c r="M67" s="84"/>
      <c r="N67" s="84">
        <f>+N66/F66-1</f>
        <v>-6.3761147640365556E-2</v>
      </c>
      <c r="O67" s="84">
        <f t="shared" ref="O67:T67" si="73">+O66/N66-1</f>
        <v>1.4872265852476918E-2</v>
      </c>
      <c r="P67" s="84">
        <f t="shared" si="73"/>
        <v>2.936814869496307E-2</v>
      </c>
      <c r="Q67" s="84">
        <f t="shared" si="73"/>
        <v>2.8825308601185817E-2</v>
      </c>
      <c r="R67" s="84">
        <f t="shared" si="73"/>
        <v>2.8310923878416494E-2</v>
      </c>
      <c r="S67" s="84">
        <f t="shared" si="73"/>
        <v>2.782296923919203E-2</v>
      </c>
      <c r="T67" s="84">
        <f t="shared" si="73"/>
        <v>2.7359604925489389E-2</v>
      </c>
      <c r="U67" s="84">
        <f>+U66/T66-1</f>
        <v>2.6919156022698898E-2</v>
      </c>
      <c r="V67" s="84">
        <f>+V66/U66-1</f>
        <v>2.6500094477916791E-2</v>
      </c>
      <c r="W67" s="84">
        <f>+W66/V66-1</f>
        <v>2.6101023419037528E-2</v>
      </c>
      <c r="Y67" s="349"/>
      <c r="AA67" s="91"/>
      <c r="AB67" s="91"/>
      <c r="AC67" s="91"/>
      <c r="AD67" s="91"/>
      <c r="AE67" s="91"/>
      <c r="AF67" s="91"/>
      <c r="AG67" s="91"/>
      <c r="AH67" s="91"/>
      <c r="AI67" s="91"/>
      <c r="AJ67" s="91"/>
      <c r="AK67" s="91"/>
      <c r="AL67" s="91"/>
      <c r="AM67" s="91"/>
      <c r="AN67" s="91"/>
      <c r="AO67" s="91"/>
      <c r="AP67" s="91"/>
    </row>
    <row r="68" spans="1:42">
      <c r="A68" s="4" t="s">
        <v>215</v>
      </c>
      <c r="B68" s="329">
        <f>+B23</f>
        <v>1538</v>
      </c>
      <c r="C68" s="329">
        <f>AVERAGE(B23:C23)</f>
        <v>1477</v>
      </c>
      <c r="D68" s="329">
        <f>AVERAGE(C23:D23)</f>
        <v>1377</v>
      </c>
      <c r="E68" s="329">
        <f>AVERAGE(D23:E23)</f>
        <v>1324.5</v>
      </c>
      <c r="F68" s="329">
        <f>AVERAGE(E23:F23)</f>
        <v>1296</v>
      </c>
      <c r="G68" s="329"/>
      <c r="H68" s="329"/>
      <c r="I68" s="329"/>
      <c r="J68" s="329"/>
      <c r="K68" s="329"/>
      <c r="L68" s="329"/>
      <c r="M68" s="329"/>
      <c r="N68" s="329">
        <f>AVERAGE(L23,N23)</f>
        <v>2444.384313</v>
      </c>
      <c r="O68" s="329">
        <f>AVERAGE(N23,O23)</f>
        <v>2436.424861</v>
      </c>
      <c r="P68" s="329">
        <f>AVERAGE(O23,P23)</f>
        <v>2447.6870309999999</v>
      </c>
      <c r="Q68" s="329">
        <f>AVERAGE(P23,Q23)</f>
        <v>2458.8486010000001</v>
      </c>
      <c r="R68" s="329">
        <f t="shared" ref="R68:W68" si="74">AVERAGE(Q23,R23)</f>
        <v>2469.9095710000001</v>
      </c>
      <c r="S68" s="329">
        <f t="shared" si="74"/>
        <v>2480.8699410000004</v>
      </c>
      <c r="T68" s="329">
        <f t="shared" si="74"/>
        <v>2491.7297110000004</v>
      </c>
      <c r="U68" s="329">
        <f t="shared" si="74"/>
        <v>2502.4888810000002</v>
      </c>
      <c r="V68" s="329">
        <f t="shared" si="74"/>
        <v>2513.1474510000007</v>
      </c>
      <c r="W68" s="329">
        <f t="shared" si="74"/>
        <v>2523.7054210000006</v>
      </c>
      <c r="AA68" s="91"/>
      <c r="AB68" s="91"/>
      <c r="AC68" s="91"/>
      <c r="AD68" s="91"/>
      <c r="AE68" s="91"/>
      <c r="AF68" s="91"/>
      <c r="AG68" s="91"/>
      <c r="AH68" s="91"/>
      <c r="AI68" s="91"/>
      <c r="AJ68" s="91"/>
      <c r="AK68" s="91"/>
      <c r="AL68" s="91"/>
      <c r="AM68" s="91"/>
      <c r="AN68" s="91"/>
      <c r="AO68" s="91"/>
      <c r="AP68" s="91"/>
    </row>
    <row r="69" spans="1:42">
      <c r="A69" s="4" t="s">
        <v>216</v>
      </c>
      <c r="B69" s="329">
        <f>+B68*B66*12/1000</f>
        <v>169.79519999999999</v>
      </c>
      <c r="C69" s="329">
        <f>+C68*C66*12/1000</f>
        <v>166.60560000000001</v>
      </c>
      <c r="D69" s="329">
        <f>+D68*D66*12/1000</f>
        <v>156.97800000000001</v>
      </c>
      <c r="E69" s="329">
        <f>+E68*E66*12/1000</f>
        <v>152.58240000000001</v>
      </c>
      <c r="F69" s="329">
        <f>+F68*F66*12/1000</f>
        <v>154.12965388292685</v>
      </c>
      <c r="G69" s="329"/>
      <c r="H69" s="329"/>
      <c r="I69" s="329"/>
      <c r="J69" s="329"/>
      <c r="K69" s="329"/>
      <c r="L69" s="329"/>
      <c r="M69" s="329"/>
      <c r="N69" s="329">
        <f t="shared" ref="N69:W69" si="75">+N68*N66*12/1000</f>
        <v>272.16818003851591</v>
      </c>
      <c r="O69" s="329">
        <f t="shared" si="75"/>
        <v>275.3165178313115</v>
      </c>
      <c r="P69" s="329">
        <f t="shared" si="75"/>
        <v>284.71205654127186</v>
      </c>
      <c r="Q69" s="329">
        <f t="shared" si="75"/>
        <v>294.25469395235439</v>
      </c>
      <c r="R69" s="329">
        <f t="shared" si="75"/>
        <v>303.94647649592974</v>
      </c>
      <c r="S69" s="329">
        <f t="shared" si="75"/>
        <v>313.78947753040433</v>
      </c>
      <c r="T69" s="329">
        <f t="shared" si="75"/>
        <v>323.78579767589991</v>
      </c>
      <c r="U69" s="329">
        <f t="shared" si="75"/>
        <v>333.93756515308684</v>
      </c>
      <c r="V69" s="329">
        <f t="shared" si="75"/>
        <v>344.24693612621343</v>
      </c>
      <c r="W69" s="329">
        <f t="shared" si="75"/>
        <v>354.71609505037577</v>
      </c>
      <c r="AA69" s="91"/>
      <c r="AB69" s="91"/>
      <c r="AC69" s="91"/>
      <c r="AD69" s="91"/>
      <c r="AE69" s="91"/>
      <c r="AF69" s="91"/>
      <c r="AG69" s="91"/>
      <c r="AH69" s="91"/>
      <c r="AI69" s="91"/>
      <c r="AJ69" s="91"/>
      <c r="AK69" s="91"/>
      <c r="AL69" s="91"/>
      <c r="AM69" s="91"/>
      <c r="AN69" s="91"/>
      <c r="AO69" s="91"/>
      <c r="AP69" s="91"/>
    </row>
    <row r="70" spans="1:42">
      <c r="A70" s="4" t="s">
        <v>217</v>
      </c>
      <c r="B70" s="326">
        <f>+B90</f>
        <v>159.80000000000001</v>
      </c>
      <c r="C70" s="326">
        <f>+C90</f>
        <v>151.9</v>
      </c>
      <c r="D70" s="326">
        <f>+D90</f>
        <v>145</v>
      </c>
      <c r="E70" s="326">
        <f>+E90</f>
        <v>142.5</v>
      </c>
      <c r="F70" s="368">
        <f>+F69*(E70/E69)</f>
        <v>143.94501383067166</v>
      </c>
      <c r="G70" s="368"/>
      <c r="H70" s="368"/>
      <c r="I70" s="368"/>
      <c r="J70" s="368"/>
      <c r="K70" s="368"/>
      <c r="L70" s="368"/>
      <c r="M70" s="368"/>
      <c r="N70" s="368">
        <f t="shared" ref="N70:S70" si="76">+N69+N71</f>
        <v>262.16818003851591</v>
      </c>
      <c r="O70" s="368">
        <f t="shared" si="76"/>
        <v>265.3165178313115</v>
      </c>
      <c r="P70" s="368">
        <f t="shared" si="76"/>
        <v>274.71205654127186</v>
      </c>
      <c r="Q70" s="368">
        <f t="shared" si="76"/>
        <v>284.25469395235439</v>
      </c>
      <c r="R70" s="368">
        <f t="shared" si="76"/>
        <v>293.94647649592974</v>
      </c>
      <c r="S70" s="368">
        <f t="shared" si="76"/>
        <v>303.78947753040433</v>
      </c>
      <c r="T70" s="368">
        <f>+T69+T71</f>
        <v>313.78579767589991</v>
      </c>
      <c r="U70" s="368">
        <f>+U69+U71</f>
        <v>323.93756515308684</v>
      </c>
      <c r="V70" s="368">
        <f>+V69+V71</f>
        <v>334.24693612621343</v>
      </c>
      <c r="W70" s="368">
        <f>+W69+W71</f>
        <v>344.71609505037577</v>
      </c>
      <c r="AA70" s="91"/>
      <c r="AB70" s="91"/>
      <c r="AC70" s="91"/>
      <c r="AD70" s="91"/>
      <c r="AE70" s="91"/>
      <c r="AF70" s="91"/>
      <c r="AG70" s="91"/>
      <c r="AH70" s="91"/>
      <c r="AI70" s="91"/>
      <c r="AJ70" s="91"/>
      <c r="AK70" s="91"/>
      <c r="AL70" s="91"/>
      <c r="AM70" s="91"/>
      <c r="AN70" s="91"/>
      <c r="AO70" s="91"/>
      <c r="AP70" s="91"/>
    </row>
    <row r="71" spans="1:42">
      <c r="A71" s="4" t="s">
        <v>234</v>
      </c>
      <c r="B71" s="326">
        <f>+B70-B69</f>
        <v>-9.9951999999999828</v>
      </c>
      <c r="C71" s="326">
        <f>+C70-C69</f>
        <v>-14.705600000000004</v>
      </c>
      <c r="D71" s="326">
        <f>+D70-D69</f>
        <v>-11.978000000000009</v>
      </c>
      <c r="E71" s="326">
        <f>+E70-E69</f>
        <v>-10.082400000000007</v>
      </c>
      <c r="F71" s="326">
        <f>+F70-F69</f>
        <v>-10.18464005225519</v>
      </c>
      <c r="G71" s="326"/>
      <c r="H71" s="326"/>
      <c r="I71" s="326"/>
      <c r="J71" s="326"/>
      <c r="K71" s="326"/>
      <c r="L71" s="326"/>
      <c r="M71" s="326"/>
      <c r="N71" s="360">
        <v>-10</v>
      </c>
      <c r="O71" s="360">
        <v>-10</v>
      </c>
      <c r="P71" s="360">
        <v>-10</v>
      </c>
      <c r="Q71" s="360">
        <v>-10</v>
      </c>
      <c r="R71" s="360">
        <v>-10</v>
      </c>
      <c r="S71" s="360">
        <v>-10</v>
      </c>
      <c r="T71" s="360">
        <v>-10</v>
      </c>
      <c r="U71" s="360">
        <v>-10</v>
      </c>
      <c r="V71" s="360">
        <v>-10</v>
      </c>
      <c r="W71" s="360">
        <v>-10</v>
      </c>
      <c r="AA71" s="91"/>
      <c r="AB71" s="91"/>
      <c r="AC71" s="91"/>
      <c r="AD71" s="91"/>
      <c r="AE71" s="91"/>
      <c r="AF71" s="91"/>
      <c r="AG71" s="91"/>
      <c r="AH71" s="91"/>
      <c r="AI71" s="91"/>
      <c r="AJ71" s="91"/>
      <c r="AK71" s="91"/>
      <c r="AL71" s="91"/>
      <c r="AM71" s="91"/>
      <c r="AN71" s="91"/>
      <c r="AO71" s="91"/>
      <c r="AP71" s="91"/>
    </row>
    <row r="72" spans="1:42">
      <c r="O72" s="349">
        <f>+O70/N70-1</f>
        <v>1.2008847878995255E-2</v>
      </c>
      <c r="P72" s="349">
        <f t="shared" ref="P72:W72" si="77">+P70/O70-1</f>
        <v>3.5412566042850147E-2</v>
      </c>
      <c r="Q72" s="349">
        <f t="shared" si="77"/>
        <v>3.4736871512768275E-2</v>
      </c>
      <c r="R72" s="349">
        <f t="shared" si="77"/>
        <v>3.4095417770655612E-2</v>
      </c>
      <c r="S72" s="349">
        <f t="shared" si="77"/>
        <v>3.3485691517077587E-2</v>
      </c>
      <c r="T72" s="349">
        <f t="shared" si="77"/>
        <v>3.2905419327748486E-2</v>
      </c>
      <c r="U72" s="349">
        <f t="shared" si="77"/>
        <v>3.2352539701852256E-2</v>
      </c>
      <c r="V72" s="349">
        <f t="shared" si="77"/>
        <v>3.1825178929941522E-2</v>
      </c>
      <c r="W72" s="349">
        <f t="shared" si="77"/>
        <v>3.1321630186040395E-2</v>
      </c>
      <c r="AA72" s="91"/>
      <c r="AB72" s="91"/>
      <c r="AC72" s="91"/>
      <c r="AD72" s="91"/>
      <c r="AE72" s="91"/>
      <c r="AF72" s="91"/>
      <c r="AG72" s="91"/>
      <c r="AH72" s="91"/>
      <c r="AI72" s="91"/>
      <c r="AJ72" s="91"/>
      <c r="AK72" s="91"/>
      <c r="AL72" s="91"/>
      <c r="AM72" s="91"/>
      <c r="AN72" s="91"/>
      <c r="AO72" s="91"/>
      <c r="AP72" s="91"/>
    </row>
    <row r="73" spans="1:42">
      <c r="A73" s="4" t="s">
        <v>218</v>
      </c>
      <c r="B73" s="327">
        <f>+B29</f>
        <v>21.9</v>
      </c>
      <c r="C73" s="327">
        <f>+C29</f>
        <v>21.9</v>
      </c>
      <c r="D73" s="327">
        <f>+D29</f>
        <v>22.4</v>
      </c>
      <c r="E73" s="327">
        <f>+E29</f>
        <v>22</v>
      </c>
      <c r="F73" s="368">
        <f>+E73*(1+F74)</f>
        <v>22.22</v>
      </c>
      <c r="G73" s="368"/>
      <c r="H73" s="368"/>
      <c r="I73" s="368"/>
      <c r="J73" s="368"/>
      <c r="K73" s="368"/>
      <c r="L73" s="368"/>
      <c r="M73" s="368"/>
      <c r="N73" s="368">
        <f>+F73*(1+N74)</f>
        <v>22.553299999999997</v>
      </c>
      <c r="O73" s="368">
        <f t="shared" ref="O73:W73" si="78">+N73*(1+O74)</f>
        <v>22.778832999999995</v>
      </c>
      <c r="P73" s="368">
        <f t="shared" si="78"/>
        <v>23.006621329999994</v>
      </c>
      <c r="Q73" s="368">
        <f t="shared" si="78"/>
        <v>23.12165443664999</v>
      </c>
      <c r="R73" s="368">
        <f t="shared" si="78"/>
        <v>23.12165443664999</v>
      </c>
      <c r="S73" s="368">
        <f t="shared" si="78"/>
        <v>23.12165443664999</v>
      </c>
      <c r="T73" s="368">
        <f t="shared" si="78"/>
        <v>23.12165443664999</v>
      </c>
      <c r="U73" s="368">
        <f t="shared" si="78"/>
        <v>23.12165443664999</v>
      </c>
      <c r="V73" s="368">
        <f t="shared" si="78"/>
        <v>23.12165443664999</v>
      </c>
      <c r="W73" s="368">
        <f t="shared" si="78"/>
        <v>23.12165443664999</v>
      </c>
      <c r="Y73" s="349">
        <f>+(R73/N73)^(0.25)-1</f>
        <v>6.2414479716350613E-3</v>
      </c>
      <c r="AA73" s="91"/>
      <c r="AB73" s="91"/>
      <c r="AC73" s="91"/>
      <c r="AD73" s="91"/>
      <c r="AE73" s="91"/>
      <c r="AF73" s="91"/>
      <c r="AG73" s="91"/>
      <c r="AH73" s="91"/>
      <c r="AI73" s="91"/>
      <c r="AJ73" s="91"/>
      <c r="AK73" s="91"/>
      <c r="AL73" s="91"/>
      <c r="AM73" s="91"/>
      <c r="AN73" s="91"/>
      <c r="AO73" s="91"/>
      <c r="AP73" s="91"/>
    </row>
    <row r="74" spans="1:42">
      <c r="A74" s="4" t="s">
        <v>222</v>
      </c>
      <c r="B74" s="327"/>
      <c r="C74" s="84">
        <f>+C73/B73-1</f>
        <v>0</v>
      </c>
      <c r="D74" s="84">
        <f>+D73/C73-1</f>
        <v>2.2831050228310446E-2</v>
      </c>
      <c r="E74" s="84">
        <f>+E73/D73-1</f>
        <v>-1.7857142857142794E-2</v>
      </c>
      <c r="F74" s="361">
        <v>0.01</v>
      </c>
      <c r="G74" s="361"/>
      <c r="H74" s="361"/>
      <c r="I74" s="361"/>
      <c r="J74" s="361"/>
      <c r="K74" s="361"/>
      <c r="L74" s="361"/>
      <c r="M74" s="361"/>
      <c r="N74" s="361">
        <v>1.4999999999999999E-2</v>
      </c>
      <c r="O74" s="361">
        <v>0.01</v>
      </c>
      <c r="P74" s="361">
        <v>0.01</v>
      </c>
      <c r="Q74" s="361">
        <v>5.0000000000000001E-3</v>
      </c>
      <c r="R74" s="361">
        <v>0</v>
      </c>
      <c r="S74" s="361">
        <v>0</v>
      </c>
      <c r="T74" s="361">
        <v>0</v>
      </c>
      <c r="U74" s="361">
        <v>0</v>
      </c>
      <c r="V74" s="361">
        <v>0</v>
      </c>
      <c r="W74" s="361">
        <v>0</v>
      </c>
      <c r="AA74" s="91"/>
      <c r="AB74" s="91"/>
      <c r="AC74" s="91"/>
      <c r="AD74" s="91"/>
      <c r="AE74" s="91"/>
      <c r="AF74" s="91"/>
      <c r="AG74" s="91"/>
      <c r="AH74" s="91"/>
      <c r="AI74" s="91"/>
      <c r="AJ74" s="91"/>
      <c r="AK74" s="91"/>
      <c r="AL74" s="91"/>
      <c r="AM74" s="91"/>
      <c r="AN74" s="91"/>
      <c r="AO74" s="91"/>
      <c r="AP74" s="91"/>
    </row>
    <row r="75" spans="1:42">
      <c r="A75" s="4" t="s">
        <v>219</v>
      </c>
      <c r="B75" s="329">
        <f>+B91*1000/B73/12</f>
        <v>102.73972602739725</v>
      </c>
      <c r="C75" s="329">
        <f>+C91*1000/C73/12</f>
        <v>122.90715372907152</v>
      </c>
      <c r="D75" s="329">
        <f>+D91*1000/D73/12</f>
        <v>154.76190476190479</v>
      </c>
      <c r="E75" s="329">
        <f>+E91*1000/E73/12</f>
        <v>190.90909090909091</v>
      </c>
      <c r="F75" s="329">
        <f>+F79/F80</f>
        <v>225.94587493431425</v>
      </c>
      <c r="G75" s="329"/>
      <c r="H75" s="329"/>
      <c r="I75" s="329"/>
      <c r="J75" s="329"/>
      <c r="K75" s="329"/>
      <c r="L75" s="329"/>
      <c r="M75" s="329"/>
      <c r="N75" s="329">
        <f>+N79/N80</f>
        <v>482.5641025641026</v>
      </c>
      <c r="O75" s="329">
        <f>+O79/O80</f>
        <v>534.87179487179492</v>
      </c>
      <c r="P75" s="329">
        <f t="shared" ref="P75:W75" si="79">+P79/P80</f>
        <v>586.15384615384619</v>
      </c>
      <c r="Q75" s="329">
        <f t="shared" si="79"/>
        <v>637.43589743589746</v>
      </c>
      <c r="R75" s="329">
        <f t="shared" si="79"/>
        <v>688.71794871794873</v>
      </c>
      <c r="S75" s="329">
        <f t="shared" si="79"/>
        <v>740</v>
      </c>
      <c r="T75" s="329">
        <f t="shared" si="79"/>
        <v>791.28205128205127</v>
      </c>
      <c r="U75" s="329">
        <f t="shared" si="79"/>
        <v>842.56410256410254</v>
      </c>
      <c r="V75" s="329">
        <f t="shared" si="79"/>
        <v>893.84615384615381</v>
      </c>
      <c r="W75" s="329">
        <f t="shared" si="79"/>
        <v>945.1282051282052</v>
      </c>
      <c r="Y75" s="349">
        <f>+(R75/N75)^(0.25)-1</f>
        <v>9.3003612414758408E-2</v>
      </c>
      <c r="AA75" s="91"/>
      <c r="AB75" s="91"/>
      <c r="AC75" s="91"/>
      <c r="AD75" s="91"/>
      <c r="AE75" s="91"/>
      <c r="AF75" s="91"/>
      <c r="AG75" s="91"/>
      <c r="AH75" s="91"/>
      <c r="AI75" s="91"/>
      <c r="AJ75" s="91"/>
      <c r="AK75" s="91"/>
      <c r="AL75" s="91"/>
      <c r="AM75" s="91"/>
      <c r="AN75" s="91"/>
      <c r="AO75" s="91"/>
      <c r="AP75" s="91"/>
    </row>
    <row r="76" spans="1:42">
      <c r="A76" s="7"/>
      <c r="AA76" s="91"/>
      <c r="AB76" s="91"/>
      <c r="AC76" s="91"/>
      <c r="AD76" s="91"/>
      <c r="AE76" s="91"/>
      <c r="AF76" s="91"/>
      <c r="AG76" s="91"/>
      <c r="AH76" s="91"/>
      <c r="AI76" s="91"/>
      <c r="AJ76" s="91"/>
      <c r="AK76" s="91"/>
      <c r="AL76" s="91"/>
      <c r="AM76" s="91"/>
      <c r="AN76" s="91"/>
      <c r="AO76" s="91"/>
      <c r="AP76" s="91"/>
    </row>
    <row r="77" spans="1:42">
      <c r="A77" s="4" t="s">
        <v>217</v>
      </c>
      <c r="B77" s="326">
        <f>+B91</f>
        <v>27</v>
      </c>
      <c r="C77" s="326">
        <f>+C91</f>
        <v>32.299999999999997</v>
      </c>
      <c r="D77" s="326">
        <f>+D91</f>
        <v>41.6</v>
      </c>
      <c r="E77" s="326">
        <f>+E91</f>
        <v>50.4</v>
      </c>
      <c r="F77" s="368">
        <f>+F73*12*F75/1000</f>
        <v>60.246208092485546</v>
      </c>
      <c r="G77" s="368"/>
      <c r="H77" s="368"/>
      <c r="I77" s="368"/>
      <c r="J77" s="368"/>
      <c r="K77" s="368"/>
      <c r="L77" s="368"/>
      <c r="M77" s="368"/>
      <c r="N77" s="368">
        <f>+N73*12*N75/1000</f>
        <v>130.60095569230768</v>
      </c>
      <c r="O77" s="368">
        <f>+O73*12*O75/1000</f>
        <v>146.20506350153843</v>
      </c>
      <c r="P77" s="368">
        <f t="shared" ref="P77:W77" si="80">+P73*12*P75/1000</f>
        <v>161.82503495501535</v>
      </c>
      <c r="Q77" s="368">
        <f t="shared" si="80"/>
        <v>176.86287055234425</v>
      </c>
      <c r="R77" s="368">
        <f t="shared" si="80"/>
        <v>191.09158097489808</v>
      </c>
      <c r="S77" s="368">
        <f t="shared" si="80"/>
        <v>205.32029139745191</v>
      </c>
      <c r="T77" s="368">
        <f t="shared" si="80"/>
        <v>219.54900182000574</v>
      </c>
      <c r="U77" s="368">
        <f t="shared" si="80"/>
        <v>233.7777122425596</v>
      </c>
      <c r="V77" s="368">
        <f t="shared" si="80"/>
        <v>248.00642266511343</v>
      </c>
      <c r="W77" s="368">
        <f t="shared" si="80"/>
        <v>262.23513308766729</v>
      </c>
      <c r="AA77" s="91"/>
      <c r="AB77" s="91"/>
      <c r="AC77" s="91"/>
      <c r="AD77" s="91"/>
      <c r="AE77" s="91"/>
      <c r="AF77" s="91"/>
      <c r="AG77" s="91"/>
      <c r="AH77" s="91"/>
      <c r="AI77" s="91"/>
      <c r="AJ77" s="91"/>
      <c r="AK77" s="91"/>
      <c r="AL77" s="91"/>
      <c r="AM77" s="91"/>
      <c r="AN77" s="91"/>
      <c r="AO77" s="91"/>
      <c r="AP77" s="91"/>
    </row>
    <row r="78" spans="1:42">
      <c r="A78" s="4" t="s">
        <v>33</v>
      </c>
      <c r="B78" s="329">
        <f>+B25+B26</f>
        <v>202</v>
      </c>
      <c r="C78" s="329">
        <f>+C25+C26</f>
        <v>247</v>
      </c>
      <c r="D78" s="329">
        <f>+D25+D26</f>
        <v>320</v>
      </c>
      <c r="E78" s="329">
        <f>+E25+E26</f>
        <v>372</v>
      </c>
      <c r="F78" s="329">
        <f>+F25+F26</f>
        <v>447</v>
      </c>
      <c r="G78" s="329"/>
      <c r="H78" s="329"/>
      <c r="I78" s="329"/>
      <c r="J78" s="329"/>
      <c r="K78" s="329"/>
      <c r="L78" s="329">
        <f>+L25+L26</f>
        <v>889</v>
      </c>
      <c r="M78" s="329"/>
      <c r="N78" s="329">
        <f>+N25+N26</f>
        <v>993</v>
      </c>
      <c r="O78" s="329">
        <f t="shared" ref="O78:W78" si="81">+O25+O26</f>
        <v>1093</v>
      </c>
      <c r="P78" s="329">
        <f t="shared" si="81"/>
        <v>1193</v>
      </c>
      <c r="Q78" s="329">
        <f t="shared" si="81"/>
        <v>1293</v>
      </c>
      <c r="R78" s="329">
        <f t="shared" si="81"/>
        <v>1393</v>
      </c>
      <c r="S78" s="329">
        <f t="shared" si="81"/>
        <v>1493</v>
      </c>
      <c r="T78" s="329">
        <f t="shared" si="81"/>
        <v>1593</v>
      </c>
      <c r="U78" s="329">
        <f t="shared" si="81"/>
        <v>1693</v>
      </c>
      <c r="V78" s="329">
        <f t="shared" si="81"/>
        <v>1793</v>
      </c>
      <c r="W78" s="329">
        <f t="shared" si="81"/>
        <v>1893</v>
      </c>
      <c r="AA78" s="91"/>
      <c r="AB78" s="91"/>
      <c r="AC78" s="91"/>
      <c r="AD78" s="91"/>
      <c r="AE78" s="91"/>
      <c r="AF78" s="91"/>
      <c r="AG78" s="91"/>
      <c r="AH78" s="91"/>
      <c r="AI78" s="91"/>
      <c r="AJ78" s="91"/>
      <c r="AK78" s="91"/>
      <c r="AL78" s="91"/>
      <c r="AM78" s="91"/>
      <c r="AN78" s="91"/>
      <c r="AO78" s="91"/>
      <c r="AP78" s="91"/>
    </row>
    <row r="79" spans="1:42">
      <c r="A79" s="4" t="s">
        <v>221</v>
      </c>
      <c r="C79" s="329">
        <f>AVERAGE(B78:C78)</f>
        <v>224.5</v>
      </c>
      <c r="D79" s="329">
        <f>AVERAGE(C78:D78)</f>
        <v>283.5</v>
      </c>
      <c r="E79" s="329">
        <f>AVERAGE(D78:E78)</f>
        <v>346</v>
      </c>
      <c r="F79" s="329">
        <f>AVERAGE(E78:F78)</f>
        <v>409.5</v>
      </c>
      <c r="G79" s="329"/>
      <c r="H79" s="329"/>
      <c r="I79" s="329"/>
      <c r="J79" s="329"/>
      <c r="K79" s="329"/>
      <c r="L79" s="329"/>
      <c r="M79" s="329"/>
      <c r="N79" s="329">
        <f>AVERAGE(N78,L78)</f>
        <v>941</v>
      </c>
      <c r="O79" s="329">
        <f t="shared" ref="O79:W79" si="82">AVERAGE(N78:O78)</f>
        <v>1043</v>
      </c>
      <c r="P79" s="329">
        <f t="shared" si="82"/>
        <v>1143</v>
      </c>
      <c r="Q79" s="329">
        <f t="shared" si="82"/>
        <v>1243</v>
      </c>
      <c r="R79" s="329">
        <f t="shared" si="82"/>
        <v>1343</v>
      </c>
      <c r="S79" s="329">
        <f t="shared" si="82"/>
        <v>1443</v>
      </c>
      <c r="T79" s="329">
        <f t="shared" si="82"/>
        <v>1543</v>
      </c>
      <c r="U79" s="329">
        <f t="shared" si="82"/>
        <v>1643</v>
      </c>
      <c r="V79" s="329">
        <f t="shared" si="82"/>
        <v>1743</v>
      </c>
      <c r="W79" s="329">
        <f t="shared" si="82"/>
        <v>1843</v>
      </c>
      <c r="AA79" s="91"/>
      <c r="AB79" s="91"/>
      <c r="AC79" s="91"/>
      <c r="AD79" s="91"/>
      <c r="AE79" s="91"/>
      <c r="AF79" s="91"/>
      <c r="AG79" s="91"/>
      <c r="AH79" s="91" t="s">
        <v>1082</v>
      </c>
      <c r="AI79" s="91"/>
      <c r="AJ79" s="91"/>
      <c r="AK79" s="91"/>
      <c r="AL79" s="91"/>
      <c r="AM79" s="91"/>
      <c r="AN79" s="91"/>
      <c r="AO79" s="91"/>
      <c r="AP79" s="91"/>
    </row>
    <row r="80" spans="1:42">
      <c r="A80" s="4" t="s">
        <v>220</v>
      </c>
      <c r="B80" s="368"/>
      <c r="C80" s="369">
        <f>+C79/C75</f>
        <v>1.8265820433436535</v>
      </c>
      <c r="D80" s="369">
        <f>+D79/D75</f>
        <v>1.8318461538461535</v>
      </c>
      <c r="E80" s="369">
        <f>+E79/E75</f>
        <v>1.8123809523809524</v>
      </c>
      <c r="F80" s="370">
        <f>+E80</f>
        <v>1.8123809523809524</v>
      </c>
      <c r="G80" s="371"/>
      <c r="H80" s="371"/>
      <c r="I80" s="371"/>
      <c r="J80" s="371"/>
      <c r="K80" s="371"/>
      <c r="L80" s="371"/>
      <c r="M80" s="371"/>
      <c r="N80" s="371">
        <v>1.95</v>
      </c>
      <c r="O80" s="371">
        <f t="shared" ref="O80:W80" si="83">+N80</f>
        <v>1.95</v>
      </c>
      <c r="P80" s="371">
        <f t="shared" si="83"/>
        <v>1.95</v>
      </c>
      <c r="Q80" s="371">
        <f t="shared" si="83"/>
        <v>1.95</v>
      </c>
      <c r="R80" s="371">
        <f t="shared" si="83"/>
        <v>1.95</v>
      </c>
      <c r="S80" s="371">
        <f t="shared" si="83"/>
        <v>1.95</v>
      </c>
      <c r="T80" s="371">
        <f t="shared" si="83"/>
        <v>1.95</v>
      </c>
      <c r="U80" s="371">
        <f t="shared" si="83"/>
        <v>1.95</v>
      </c>
      <c r="V80" s="371">
        <f t="shared" si="83"/>
        <v>1.95</v>
      </c>
      <c r="W80" s="371">
        <f t="shared" si="83"/>
        <v>1.95</v>
      </c>
      <c r="AA80" s="91"/>
      <c r="AB80" s="91"/>
      <c r="AC80" s="91"/>
      <c r="AD80" s="91"/>
      <c r="AE80" s="91"/>
      <c r="AF80" s="91"/>
      <c r="AG80" s="91"/>
      <c r="AH80" s="91" t="s">
        <v>1083</v>
      </c>
      <c r="AI80" s="91"/>
      <c r="AJ80" s="91"/>
      <c r="AK80" s="91"/>
      <c r="AL80" s="91"/>
      <c r="AM80" s="91"/>
      <c r="AN80" s="91"/>
      <c r="AO80" s="91"/>
      <c r="AP80" s="91"/>
    </row>
    <row r="81" spans="1:49">
      <c r="AA81" s="91"/>
      <c r="AB81" s="91"/>
      <c r="AC81" s="91"/>
      <c r="AD81" s="91"/>
      <c r="AE81" s="91"/>
      <c r="AF81" s="91"/>
      <c r="AG81" s="91"/>
      <c r="AH81" s="91" t="s">
        <v>1084</v>
      </c>
      <c r="AI81" s="91"/>
      <c r="AJ81" s="91"/>
      <c r="AK81" s="199">
        <f>+J30*12*J21/1000</f>
        <v>110.34720000000002</v>
      </c>
      <c r="AL81" s="91"/>
      <c r="AM81" s="91"/>
      <c r="AN81" s="91"/>
      <c r="AO81" s="91"/>
      <c r="AP81" s="91"/>
    </row>
    <row r="82" spans="1:49">
      <c r="A82" s="4" t="s">
        <v>233</v>
      </c>
      <c r="B82" s="372">
        <f>+B77+B69</f>
        <v>196.79519999999999</v>
      </c>
      <c r="C82" s="372">
        <f>+C77+C69</f>
        <v>198.90559999999999</v>
      </c>
      <c r="D82" s="372">
        <f>+D77+D69</f>
        <v>198.578</v>
      </c>
      <c r="E82" s="372">
        <f>+E77+E69</f>
        <v>202.98240000000001</v>
      </c>
      <c r="F82" s="372">
        <f>+F77+F69</f>
        <v>214.37586197541239</v>
      </c>
      <c r="G82" s="372"/>
      <c r="H82" s="372"/>
      <c r="I82" s="372"/>
      <c r="J82" s="372"/>
      <c r="K82" s="372"/>
      <c r="L82" s="372"/>
      <c r="M82" s="372"/>
      <c r="N82" s="372">
        <f t="shared" ref="N82:V82" si="84">+N77+N69</f>
        <v>402.76913573082356</v>
      </c>
      <c r="O82" s="372">
        <f>+O77+O69</f>
        <v>421.52158133284991</v>
      </c>
      <c r="P82" s="372">
        <f t="shared" si="84"/>
        <v>446.53709149628719</v>
      </c>
      <c r="Q82" s="372">
        <f t="shared" si="84"/>
        <v>471.11756450469863</v>
      </c>
      <c r="R82" s="372">
        <f t="shared" si="84"/>
        <v>495.03805747082782</v>
      </c>
      <c r="S82" s="372">
        <f t="shared" si="84"/>
        <v>519.10976892785629</v>
      </c>
      <c r="T82" s="372">
        <f t="shared" si="84"/>
        <v>543.3347994959056</v>
      </c>
      <c r="U82" s="372">
        <f t="shared" si="84"/>
        <v>567.71527739564647</v>
      </c>
      <c r="V82" s="372">
        <f t="shared" si="84"/>
        <v>592.25335879132683</v>
      </c>
      <c r="W82" s="372">
        <f>+W77+W69</f>
        <v>616.95122813804301</v>
      </c>
      <c r="AA82" s="91"/>
      <c r="AB82" s="91" t="s">
        <v>1061</v>
      </c>
      <c r="AC82" s="91"/>
      <c r="AD82" s="91"/>
      <c r="AE82" s="91"/>
      <c r="AF82" s="91"/>
      <c r="AG82" s="91"/>
      <c r="AH82" s="91" t="s">
        <v>1085</v>
      </c>
      <c r="AI82" s="91"/>
      <c r="AJ82" s="91"/>
      <c r="AK82" s="92">
        <f>+J4</f>
        <v>110</v>
      </c>
      <c r="AL82" s="91"/>
      <c r="AM82" s="91"/>
      <c r="AN82" s="91"/>
      <c r="AO82" s="91"/>
      <c r="AP82" s="91"/>
    </row>
    <row r="83" spans="1:49">
      <c r="A83" s="4" t="s">
        <v>235</v>
      </c>
      <c r="C83" s="329">
        <f>AVERAGE(B21:C21)</f>
        <v>1400</v>
      </c>
      <c r="D83" s="329">
        <f>AVERAGE(C21:D21)</f>
        <v>1327.5</v>
      </c>
      <c r="E83" s="329">
        <f>AVERAGE(D21:E21)</f>
        <v>1292</v>
      </c>
      <c r="F83" s="329">
        <f>AVERAGE(E21:F21)</f>
        <v>1282.4402460223923</v>
      </c>
      <c r="G83" s="329"/>
      <c r="H83" s="329"/>
      <c r="I83" s="329"/>
      <c r="J83" s="329"/>
      <c r="K83" s="329"/>
      <c r="L83" s="329"/>
      <c r="M83" s="329"/>
      <c r="N83" s="329">
        <f>AVERAGE(L21,N21)</f>
        <v>2425.6355000000003</v>
      </c>
      <c r="O83" s="329">
        <f t="shared" ref="O83:W83" si="85">AVERAGE(N21:O21)</f>
        <v>2421.8935000000001</v>
      </c>
      <c r="P83" s="329">
        <f t="shared" si="85"/>
        <v>2433.0884999999998</v>
      </c>
      <c r="Q83" s="329">
        <f t="shared" si="85"/>
        <v>2444.1835000000001</v>
      </c>
      <c r="R83" s="329">
        <f t="shared" si="85"/>
        <v>2455.1785</v>
      </c>
      <c r="S83" s="329">
        <f t="shared" si="85"/>
        <v>2466.0735000000004</v>
      </c>
      <c r="T83" s="329">
        <f t="shared" si="85"/>
        <v>2476.8685000000005</v>
      </c>
      <c r="U83" s="329">
        <f t="shared" si="85"/>
        <v>2487.5635000000002</v>
      </c>
      <c r="V83" s="329">
        <f t="shared" si="85"/>
        <v>2498.1585000000005</v>
      </c>
      <c r="W83" s="329">
        <f t="shared" si="85"/>
        <v>2508.6535000000003</v>
      </c>
      <c r="AA83" s="91"/>
      <c r="AB83" s="91" t="s">
        <v>554</v>
      </c>
      <c r="AC83" s="92" t="e">
        <f>+#REF!</f>
        <v>#REF!</v>
      </c>
      <c r="AD83" s="235" t="e">
        <f>+AC83/#REF!</f>
        <v>#REF!</v>
      </c>
      <c r="AE83" s="91"/>
      <c r="AF83" s="91"/>
      <c r="AG83" s="91"/>
      <c r="AH83" s="91"/>
      <c r="AI83" s="91"/>
      <c r="AJ83" s="91"/>
      <c r="AK83" s="91"/>
      <c r="AL83" s="91"/>
      <c r="AM83" s="91"/>
      <c r="AN83" s="91"/>
      <c r="AO83" s="91"/>
      <c r="AP83" s="91"/>
    </row>
    <row r="84" spans="1:49">
      <c r="A84" s="4" t="s">
        <v>236</v>
      </c>
      <c r="C84" s="368">
        <f>+C82*1000/C83/12</f>
        <v>11.839619047619047</v>
      </c>
      <c r="D84" s="368">
        <f>+D82*1000/D83/12</f>
        <v>12.465662272441934</v>
      </c>
      <c r="E84" s="368">
        <f>+E82*1000/E83/12</f>
        <v>13.092260061919506</v>
      </c>
      <c r="F84" s="368">
        <f>+F82*1000/F83/12</f>
        <v>13.930204717160576</v>
      </c>
      <c r="G84" s="368"/>
      <c r="H84" s="368">
        <v>16.399999999999999</v>
      </c>
      <c r="I84" s="368"/>
      <c r="J84" s="368">
        <v>15.8</v>
      </c>
      <c r="K84" s="368"/>
      <c r="L84" s="368">
        <f>+L30</f>
        <v>15.5</v>
      </c>
      <c r="M84" s="368"/>
      <c r="N84" s="368">
        <f>+N82*1000/N83/12</f>
        <v>13.837237558666706</v>
      </c>
      <c r="O84" s="368">
        <f>+O82*1000/O83/12</f>
        <v>14.50385759919012</v>
      </c>
      <c r="P84" s="368">
        <f t="shared" ref="P84:V84" si="86">+P82*1000/P83/12</f>
        <v>15.293904965379298</v>
      </c>
      <c r="Q84" s="368">
        <f t="shared" si="86"/>
        <v>16.062540738884056</v>
      </c>
      <c r="R84" s="368">
        <f t="shared" si="86"/>
        <v>16.802514137323342</v>
      </c>
      <c r="S84" s="368">
        <f t="shared" si="86"/>
        <v>17.541710500783811</v>
      </c>
      <c r="T84" s="368">
        <f t="shared" si="86"/>
        <v>18.280300289656932</v>
      </c>
      <c r="U84" s="368">
        <f t="shared" si="86"/>
        <v>19.018451770030072</v>
      </c>
      <c r="V84" s="368">
        <f t="shared" si="86"/>
        <v>19.756331139895206</v>
      </c>
      <c r="W84" s="368">
        <f>+W82*1000/W83/12</f>
        <v>20.494102651018526</v>
      </c>
      <c r="AA84" s="91"/>
      <c r="AB84" s="91" t="s">
        <v>1062</v>
      </c>
      <c r="AC84" s="92" t="e">
        <f>+#REF!</f>
        <v>#REF!</v>
      </c>
      <c r="AD84" s="235" t="e">
        <f>+AC84/#REF!</f>
        <v>#REF!</v>
      </c>
      <c r="AE84" s="91"/>
      <c r="AF84" s="91"/>
      <c r="AG84" s="91"/>
      <c r="AH84" s="91"/>
      <c r="AI84" s="91"/>
      <c r="AJ84" s="91"/>
      <c r="AK84" s="91"/>
      <c r="AL84" s="91"/>
      <c r="AM84" s="91"/>
      <c r="AN84" s="91"/>
      <c r="AO84" s="91"/>
      <c r="AP84" s="91"/>
    </row>
    <row r="85" spans="1:49">
      <c r="A85" s="7"/>
      <c r="AA85" s="91"/>
      <c r="AB85" s="91"/>
      <c r="AC85" s="91"/>
      <c r="AD85" s="91"/>
      <c r="AE85" s="91"/>
      <c r="AF85" s="91"/>
      <c r="AG85" s="91"/>
      <c r="AH85" s="91"/>
      <c r="AI85" s="91"/>
      <c r="AJ85" s="91"/>
      <c r="AK85" s="91"/>
      <c r="AL85" s="91"/>
      <c r="AM85" s="91"/>
      <c r="AN85" s="91"/>
      <c r="AO85" s="91"/>
      <c r="AP85" s="91"/>
    </row>
    <row r="86" spans="1:49">
      <c r="A86" s="7"/>
      <c r="AA86" s="91"/>
      <c r="AB86" s="91"/>
      <c r="AC86" s="91"/>
      <c r="AD86" s="91"/>
      <c r="AE86" s="91"/>
      <c r="AF86" s="91"/>
      <c r="AG86" s="91"/>
      <c r="AH86" s="91"/>
      <c r="AI86" s="91"/>
      <c r="AJ86" s="91"/>
      <c r="AK86" s="91"/>
      <c r="AL86" s="91"/>
      <c r="AM86" s="91"/>
      <c r="AN86" s="91"/>
      <c r="AO86" s="91"/>
      <c r="AP86" s="91"/>
    </row>
    <row r="87" spans="1:49">
      <c r="A87" s="7"/>
      <c r="AA87" s="91"/>
      <c r="AB87" s="91"/>
      <c r="AC87" s="91"/>
      <c r="AD87" s="91"/>
      <c r="AE87" s="91"/>
      <c r="AF87" s="91"/>
      <c r="AG87" s="91"/>
      <c r="AH87" s="91"/>
      <c r="AI87" s="91"/>
      <c r="AJ87" s="91"/>
      <c r="AK87" s="91"/>
      <c r="AL87" s="91"/>
      <c r="AM87" s="91"/>
      <c r="AN87" s="91"/>
      <c r="AO87" s="91"/>
      <c r="AP87" s="91"/>
    </row>
    <row r="88" spans="1:49">
      <c r="A88" s="18" t="s">
        <v>271</v>
      </c>
      <c r="B88" s="80" t="str">
        <f>B$3</f>
        <v>2011A</v>
      </c>
      <c r="C88" s="80" t="str">
        <f t="shared" ref="C88:W88" si="87">C$3</f>
        <v>2012A</v>
      </c>
      <c r="D88" s="80" t="str">
        <f t="shared" si="87"/>
        <v>2013A</v>
      </c>
      <c r="E88" s="80" t="str">
        <f t="shared" si="87"/>
        <v>2014A</v>
      </c>
      <c r="F88" s="80" t="str">
        <f t="shared" si="87"/>
        <v>2015A</v>
      </c>
      <c r="G88" s="80" t="str">
        <f t="shared" si="87"/>
        <v>Prima 14A</v>
      </c>
      <c r="H88" s="80" t="str">
        <f t="shared" si="87"/>
        <v>Prima 15E</v>
      </c>
      <c r="I88" s="80" t="str">
        <f t="shared" si="87"/>
        <v>pep 14A</v>
      </c>
      <c r="J88" s="80" t="str">
        <f t="shared" si="87"/>
        <v>pep 15E</v>
      </c>
      <c r="K88" s="80" t="str">
        <f t="shared" si="87"/>
        <v>Adj.</v>
      </c>
      <c r="L88" s="80" t="str">
        <f t="shared" si="87"/>
        <v>PF 2015E</v>
      </c>
      <c r="M88" s="80"/>
      <c r="N88" s="80" t="str">
        <f t="shared" si="87"/>
        <v>2016E</v>
      </c>
      <c r="O88" s="80" t="str">
        <f t="shared" si="87"/>
        <v>2017E</v>
      </c>
      <c r="P88" s="80" t="str">
        <f t="shared" si="87"/>
        <v>2018E</v>
      </c>
      <c r="Q88" s="80" t="str">
        <f t="shared" si="87"/>
        <v>2019E</v>
      </c>
      <c r="R88" s="80" t="str">
        <f t="shared" si="87"/>
        <v>2020E</v>
      </c>
      <c r="S88" s="80" t="str">
        <f t="shared" si="87"/>
        <v>2021E</v>
      </c>
      <c r="T88" s="80" t="str">
        <f t="shared" si="87"/>
        <v>2022E</v>
      </c>
      <c r="U88" s="80" t="str">
        <f t="shared" si="87"/>
        <v>2023E</v>
      </c>
      <c r="V88" s="80" t="str">
        <f t="shared" si="87"/>
        <v>2024E</v>
      </c>
      <c r="W88" s="80" t="str">
        <f t="shared" si="87"/>
        <v>2025E</v>
      </c>
      <c r="Y88" s="80" t="s">
        <v>1113</v>
      </c>
      <c r="AA88" s="92"/>
      <c r="AB88" s="92"/>
      <c r="AC88" s="91"/>
      <c r="AD88" s="91"/>
      <c r="AE88" s="91"/>
      <c r="AF88" s="91"/>
      <c r="AG88" s="91"/>
      <c r="AH88" s="91"/>
      <c r="AI88" s="91"/>
      <c r="AJ88" s="91"/>
      <c r="AK88" s="91"/>
      <c r="AL88" s="91"/>
      <c r="AM88" s="91"/>
      <c r="AN88" s="91"/>
      <c r="AO88" s="91"/>
      <c r="AP88" s="91"/>
    </row>
    <row r="89" spans="1:49">
      <c r="A89" s="7" t="s">
        <v>0</v>
      </c>
      <c r="AA89" s="92"/>
      <c r="AB89" s="92"/>
      <c r="AC89" s="91"/>
      <c r="AD89" s="91"/>
      <c r="AE89" s="91"/>
      <c r="AF89" s="91"/>
      <c r="AG89" s="91"/>
      <c r="AH89" s="91"/>
      <c r="AI89" s="91"/>
      <c r="AJ89" s="91"/>
      <c r="AK89" s="91"/>
      <c r="AL89" s="91"/>
      <c r="AM89" s="91"/>
      <c r="AN89" s="91"/>
      <c r="AO89" s="91"/>
      <c r="AP89" s="91"/>
    </row>
    <row r="90" spans="1:49">
      <c r="A90" s="4" t="s">
        <v>93</v>
      </c>
      <c r="B90" s="326">
        <v>159.80000000000001</v>
      </c>
      <c r="C90" s="326">
        <v>151.9</v>
      </c>
      <c r="D90" s="326">
        <v>145</v>
      </c>
      <c r="E90" s="326">
        <v>142.5</v>
      </c>
      <c r="F90" s="326">
        <v>143.94501383067166</v>
      </c>
      <c r="G90" s="326"/>
      <c r="H90" s="326"/>
      <c r="I90" s="326"/>
      <c r="J90" s="326"/>
      <c r="K90" s="326"/>
      <c r="L90" s="326">
        <f>29.8+243.6</f>
        <v>273.39999999999998</v>
      </c>
      <c r="M90" s="326"/>
      <c r="N90" s="326">
        <f>+N70</f>
        <v>262.16818003851591</v>
      </c>
      <c r="O90" s="326">
        <f t="shared" ref="O90:V90" si="88">+O70</f>
        <v>265.3165178313115</v>
      </c>
      <c r="P90" s="326">
        <f t="shared" si="88"/>
        <v>274.71205654127186</v>
      </c>
      <c r="Q90" s="326">
        <f t="shared" si="88"/>
        <v>284.25469395235439</v>
      </c>
      <c r="R90" s="326">
        <f t="shared" si="88"/>
        <v>293.94647649592974</v>
      </c>
      <c r="S90" s="326">
        <f t="shared" si="88"/>
        <v>303.78947753040433</v>
      </c>
      <c r="T90" s="326">
        <f t="shared" si="88"/>
        <v>313.78579767589991</v>
      </c>
      <c r="U90" s="326">
        <f t="shared" si="88"/>
        <v>323.93756515308684</v>
      </c>
      <c r="V90" s="326">
        <f t="shared" si="88"/>
        <v>334.24693612621343</v>
      </c>
      <c r="W90" s="326">
        <f>+W70</f>
        <v>344.71609505037577</v>
      </c>
      <c r="Y90" s="349">
        <f>+(R90/N90)^(0.25)-1</f>
        <v>2.9015863251256491E-2</v>
      </c>
      <c r="Z90" s="326"/>
      <c r="AA90" s="93"/>
      <c r="AB90" s="93"/>
      <c r="AC90" s="91"/>
      <c r="AD90" s="91"/>
      <c r="AE90" s="91"/>
      <c r="AF90" s="91"/>
      <c r="AG90" s="91"/>
      <c r="AH90" s="91"/>
      <c r="AI90" s="91"/>
      <c r="AJ90" s="91"/>
      <c r="AK90" s="91"/>
      <c r="AL90" s="91"/>
      <c r="AM90" s="91"/>
      <c r="AN90" s="91"/>
      <c r="AO90" s="91"/>
      <c r="AP90" s="91"/>
      <c r="AW90" s="5">
        <f>+F15</f>
        <v>3.4293574758104661</v>
      </c>
    </row>
    <row r="91" spans="1:49" s="6" customFormat="1">
      <c r="A91" s="4" t="s">
        <v>91</v>
      </c>
      <c r="B91" s="326">
        <v>27</v>
      </c>
      <c r="C91" s="326">
        <v>32.299999999999997</v>
      </c>
      <c r="D91" s="326">
        <v>41.6</v>
      </c>
      <c r="E91" s="326">
        <v>50.4</v>
      </c>
      <c r="F91" s="326">
        <v>60.246208092485546</v>
      </c>
      <c r="G91" s="326"/>
      <c r="H91" s="326"/>
      <c r="I91" s="326"/>
      <c r="J91" s="326"/>
      <c r="K91" s="326"/>
      <c r="L91" s="326">
        <v>116.1</v>
      </c>
      <c r="M91" s="326"/>
      <c r="N91" s="326">
        <f>+N77</f>
        <v>130.60095569230768</v>
      </c>
      <c r="O91" s="326">
        <f t="shared" ref="O91:V91" si="89">+O77</f>
        <v>146.20506350153843</v>
      </c>
      <c r="P91" s="326">
        <f t="shared" si="89"/>
        <v>161.82503495501535</v>
      </c>
      <c r="Q91" s="326">
        <f t="shared" si="89"/>
        <v>176.86287055234425</v>
      </c>
      <c r="R91" s="326">
        <f t="shared" si="89"/>
        <v>191.09158097489808</v>
      </c>
      <c r="S91" s="326">
        <f t="shared" si="89"/>
        <v>205.32029139745191</v>
      </c>
      <c r="T91" s="326">
        <f t="shared" si="89"/>
        <v>219.54900182000574</v>
      </c>
      <c r="U91" s="326">
        <f t="shared" si="89"/>
        <v>233.7777122425596</v>
      </c>
      <c r="V91" s="326">
        <f t="shared" si="89"/>
        <v>248.00642266511343</v>
      </c>
      <c r="W91" s="326">
        <f>+W77</f>
        <v>262.23513308766729</v>
      </c>
      <c r="X91" s="326"/>
      <c r="Y91" s="349">
        <f>+(R91/N91)^(0.25)-1</f>
        <v>9.9825537594454339E-2</v>
      </c>
      <c r="Z91" s="326"/>
      <c r="AA91" s="94"/>
      <c r="AB91" s="94"/>
      <c r="AC91" s="95"/>
      <c r="AD91" s="95"/>
      <c r="AE91" s="95"/>
      <c r="AF91" s="95"/>
      <c r="AG91" s="95"/>
      <c r="AH91" s="95"/>
      <c r="AI91" s="95"/>
      <c r="AJ91" s="95"/>
      <c r="AK91" s="95"/>
      <c r="AL91" s="95"/>
      <c r="AM91" s="95"/>
      <c r="AN91" s="95"/>
      <c r="AO91" s="95"/>
      <c r="AP91" s="95"/>
    </row>
    <row r="92" spans="1:49">
      <c r="A92" s="4" t="s">
        <v>80</v>
      </c>
      <c r="B92" s="326">
        <v>17.899999999999999</v>
      </c>
      <c r="C92" s="326">
        <v>21.2</v>
      </c>
      <c r="D92" s="326">
        <v>19.7</v>
      </c>
      <c r="E92" s="326">
        <v>20.100000000000001</v>
      </c>
      <c r="F92" s="373">
        <v>18</v>
      </c>
      <c r="G92" s="373"/>
      <c r="H92" s="373"/>
      <c r="I92" s="373"/>
      <c r="J92" s="373"/>
      <c r="K92" s="373"/>
      <c r="L92" s="373">
        <v>71.2</v>
      </c>
      <c r="M92" s="373"/>
      <c r="N92" s="373">
        <v>82</v>
      </c>
      <c r="O92" s="373">
        <f t="shared" ref="O92:W92" si="90">+N92*1.03</f>
        <v>84.460000000000008</v>
      </c>
      <c r="P92" s="373">
        <f t="shared" si="90"/>
        <v>86.993800000000007</v>
      </c>
      <c r="Q92" s="373">
        <f t="shared" si="90"/>
        <v>89.603614000000007</v>
      </c>
      <c r="R92" s="373">
        <f t="shared" si="90"/>
        <v>92.291722420000013</v>
      </c>
      <c r="S92" s="373">
        <f t="shared" si="90"/>
        <v>95.060474092600018</v>
      </c>
      <c r="T92" s="373">
        <f t="shared" si="90"/>
        <v>97.912288315378021</v>
      </c>
      <c r="U92" s="373">
        <f t="shared" si="90"/>
        <v>100.84965696483937</v>
      </c>
      <c r="V92" s="373">
        <f t="shared" si="90"/>
        <v>103.87514667378456</v>
      </c>
      <c r="W92" s="373">
        <f t="shared" si="90"/>
        <v>106.99140107399809</v>
      </c>
      <c r="X92" s="326"/>
      <c r="Y92" s="349">
        <f>+(R92/N92)^(0.25)-1</f>
        <v>3.0000000000000027E-2</v>
      </c>
      <c r="Z92" s="326"/>
      <c r="AA92" s="93"/>
      <c r="AB92" s="93"/>
      <c r="AC92" s="91"/>
      <c r="AD92" s="91"/>
      <c r="AE92" s="91"/>
      <c r="AF92" s="91"/>
      <c r="AG92" s="91"/>
      <c r="AH92" s="91"/>
      <c r="AI92" s="91"/>
      <c r="AJ92" s="91"/>
      <c r="AK92" s="91"/>
      <c r="AL92" s="91"/>
      <c r="AM92" s="91"/>
      <c r="AN92" s="91"/>
      <c r="AO92" s="91"/>
      <c r="AP92" s="91"/>
    </row>
    <row r="93" spans="1:49">
      <c r="A93" s="4" t="s">
        <v>1013</v>
      </c>
      <c r="B93" s="326"/>
      <c r="C93" s="326"/>
      <c r="D93" s="326"/>
      <c r="E93" s="326"/>
      <c r="F93" s="326"/>
      <c r="G93" s="326"/>
      <c r="H93" s="326"/>
      <c r="I93" s="326"/>
      <c r="J93" s="326"/>
      <c r="K93" s="326"/>
      <c r="L93" s="326">
        <v>0</v>
      </c>
      <c r="M93" s="326"/>
      <c r="N93" s="326">
        <f t="shared" ref="N93:V93" si="91">+N466</f>
        <v>3.2759999999999998</v>
      </c>
      <c r="O93" s="326">
        <f t="shared" si="91"/>
        <v>7.6734000000000009</v>
      </c>
      <c r="P93" s="326">
        <f t="shared" si="91"/>
        <v>13.335840000000003</v>
      </c>
      <c r="Q93" s="326">
        <f t="shared" si="91"/>
        <v>20.420505000000006</v>
      </c>
      <c r="R93" s="326">
        <f t="shared" si="91"/>
        <v>29.099219625000003</v>
      </c>
      <c r="S93" s="326">
        <f t="shared" si="91"/>
        <v>39.559623311250014</v>
      </c>
      <c r="T93" s="326">
        <f t="shared" si="91"/>
        <v>48.291686505562517</v>
      </c>
      <c r="U93" s="326">
        <f t="shared" si="91"/>
        <v>58.329940920792211</v>
      </c>
      <c r="V93" s="326">
        <f t="shared" si="91"/>
        <v>69.809769719033241</v>
      </c>
      <c r="W93" s="326">
        <f>+W466</f>
        <v>82.878158610436245</v>
      </c>
      <c r="X93" s="326"/>
      <c r="Y93" s="349">
        <f>+(R93/N93)^(0.25)-1</f>
        <v>0.72637191546821911</v>
      </c>
      <c r="Z93" s="326"/>
      <c r="AA93" s="93"/>
      <c r="AB93" s="93"/>
      <c r="AC93" s="91"/>
      <c r="AD93" s="91"/>
      <c r="AE93" s="91"/>
      <c r="AF93" s="91"/>
      <c r="AG93" s="91"/>
      <c r="AH93" s="91"/>
      <c r="AI93" s="91"/>
      <c r="AJ93" s="91"/>
      <c r="AK93" s="91"/>
      <c r="AL93" s="91"/>
      <c r="AM93" s="91"/>
      <c r="AN93" s="91"/>
      <c r="AO93" s="91"/>
      <c r="AP93" s="91"/>
    </row>
    <row r="94" spans="1:49">
      <c r="A94" s="7" t="s">
        <v>7</v>
      </c>
      <c r="B94" s="374">
        <v>204.7</v>
      </c>
      <c r="C94" s="374">
        <v>205.3</v>
      </c>
      <c r="D94" s="374">
        <v>206.2</v>
      </c>
      <c r="E94" s="374">
        <v>213</v>
      </c>
      <c r="F94" s="374">
        <v>222.1912219231572</v>
      </c>
      <c r="G94" s="374"/>
      <c r="H94" s="374"/>
      <c r="I94" s="374"/>
      <c r="J94" s="374"/>
      <c r="K94" s="374"/>
      <c r="L94" s="374">
        <f>+L93+L92+L91+L90</f>
        <v>460.7</v>
      </c>
      <c r="M94" s="374"/>
      <c r="N94" s="374">
        <f t="shared" ref="N94:S94" si="92">SUM(N90:N93)</f>
        <v>478.04513573082357</v>
      </c>
      <c r="O94" s="374">
        <f t="shared" si="92"/>
        <v>503.65498133284996</v>
      </c>
      <c r="P94" s="374">
        <f t="shared" si="92"/>
        <v>536.86673149628712</v>
      </c>
      <c r="Q94" s="374">
        <f t="shared" si="92"/>
        <v>571.14168350469868</v>
      </c>
      <c r="R94" s="374">
        <f t="shared" si="92"/>
        <v>606.42899951582785</v>
      </c>
      <c r="S94" s="374">
        <f t="shared" si="92"/>
        <v>643.72986633170626</v>
      </c>
      <c r="T94" s="374">
        <f>SUM(T90:T93)</f>
        <v>679.53877431684612</v>
      </c>
      <c r="U94" s="374">
        <f>SUM(U90:U93)</f>
        <v>716.89487528127802</v>
      </c>
      <c r="V94" s="374">
        <f>SUM(V90:V93)</f>
        <v>755.93827518414469</v>
      </c>
      <c r="W94" s="374">
        <f>SUM(W90:W93)</f>
        <v>796.82078782247731</v>
      </c>
      <c r="X94" s="374"/>
      <c r="Y94" s="349">
        <f>+(R94/N94)^(0.25)-1</f>
        <v>6.1274585940622739E-2</v>
      </c>
      <c r="Z94" s="374"/>
      <c r="AA94" s="92"/>
      <c r="AB94" s="92"/>
      <c r="AC94" s="91"/>
      <c r="AD94" s="91"/>
      <c r="AE94" s="91"/>
      <c r="AF94" s="91"/>
      <c r="AG94" s="91"/>
      <c r="AH94" s="91"/>
      <c r="AI94" s="91"/>
      <c r="AJ94" s="91"/>
      <c r="AK94" s="91"/>
      <c r="AL94" s="91"/>
      <c r="AM94" s="91"/>
      <c r="AN94" s="91"/>
      <c r="AO94" s="91"/>
      <c r="AP94" s="91"/>
    </row>
    <row r="95" spans="1:49">
      <c r="A95" s="6" t="s">
        <v>365</v>
      </c>
      <c r="B95" s="375"/>
      <c r="C95" s="376">
        <v>2.9311187103078229E-3</v>
      </c>
      <c r="D95" s="376">
        <v>4.3838285435946478E-3</v>
      </c>
      <c r="E95" s="376">
        <v>3.2977691561590694E-2</v>
      </c>
      <c r="F95" s="376">
        <v>4.3151276634540769E-2</v>
      </c>
      <c r="G95" s="376"/>
      <c r="H95" s="376"/>
      <c r="I95" s="376"/>
      <c r="J95" s="376"/>
      <c r="K95" s="376"/>
      <c r="L95" s="376"/>
      <c r="M95" s="376"/>
      <c r="N95" s="376">
        <f>+N94/L94-1</f>
        <v>3.7649524052145944E-2</v>
      </c>
      <c r="O95" s="376">
        <f t="shared" ref="O95:W95" si="93">+O94/N94-1</f>
        <v>5.3572024245942096E-2</v>
      </c>
      <c r="P95" s="376">
        <f t="shared" si="93"/>
        <v>6.594147063838629E-2</v>
      </c>
      <c r="Q95" s="376">
        <f t="shared" si="93"/>
        <v>6.3842570227595763E-2</v>
      </c>
      <c r="R95" s="376">
        <f t="shared" si="93"/>
        <v>6.1783821826128182E-2</v>
      </c>
      <c r="S95" s="376">
        <f t="shared" si="93"/>
        <v>6.1509042024143534E-2</v>
      </c>
      <c r="T95" s="376">
        <f t="shared" si="93"/>
        <v>5.5627227907253829E-2</v>
      </c>
      <c r="U95" s="376">
        <f t="shared" si="93"/>
        <v>5.4972729116137264E-2</v>
      </c>
      <c r="V95" s="376">
        <f t="shared" si="93"/>
        <v>5.4461820343669975E-2</v>
      </c>
      <c r="W95" s="376">
        <f t="shared" si="93"/>
        <v>5.4081813264943879E-2</v>
      </c>
      <c r="X95" s="375"/>
      <c r="Y95" s="375"/>
      <c r="Z95" s="375"/>
      <c r="AA95" s="92"/>
      <c r="AB95" s="92"/>
      <c r="AC95" s="91"/>
      <c r="AD95" s="91"/>
      <c r="AE95" s="91"/>
      <c r="AF95" s="91"/>
      <c r="AG95" s="91"/>
      <c r="AH95" s="91"/>
      <c r="AI95" s="91"/>
      <c r="AJ95" s="91"/>
      <c r="AK95" s="91"/>
      <c r="AL95" s="91"/>
      <c r="AM95" s="91"/>
      <c r="AN95" s="91"/>
      <c r="AO95" s="91"/>
      <c r="AP95" s="91"/>
      <c r="AQ95" s="4" t="s">
        <v>1055</v>
      </c>
    </row>
    <row r="96" spans="1:49">
      <c r="A96" s="458" t="s">
        <v>243</v>
      </c>
      <c r="B96" s="459"/>
      <c r="C96" s="459"/>
      <c r="D96" s="459"/>
      <c r="E96" s="460"/>
      <c r="F96" s="460"/>
      <c r="G96" s="460"/>
      <c r="H96" s="460"/>
      <c r="I96" s="460"/>
      <c r="J96" s="460"/>
      <c r="K96" s="460"/>
      <c r="L96" s="460"/>
      <c r="M96" s="460"/>
      <c r="N96" s="447" t="s">
        <v>1117</v>
      </c>
      <c r="O96" s="459"/>
      <c r="P96" s="447"/>
      <c r="Q96" s="447"/>
      <c r="R96" s="459"/>
      <c r="S96" s="459"/>
      <c r="T96" s="459"/>
      <c r="U96" s="459"/>
      <c r="V96" s="459"/>
      <c r="W96" s="459"/>
      <c r="X96" s="326"/>
      <c r="Y96" s="326"/>
      <c r="Z96" s="326"/>
      <c r="AA96" s="91"/>
      <c r="AB96" s="91"/>
      <c r="AC96" s="91"/>
      <c r="AD96" s="91"/>
      <c r="AE96" s="91"/>
      <c r="AF96" s="91"/>
      <c r="AG96" s="91"/>
      <c r="AH96" s="91"/>
      <c r="AI96" s="91"/>
      <c r="AJ96" s="91"/>
      <c r="AK96" s="91"/>
      <c r="AL96" s="91"/>
      <c r="AM96" s="91"/>
      <c r="AN96" s="91"/>
      <c r="AO96" s="91"/>
      <c r="AP96" s="91"/>
    </row>
    <row r="97" spans="1:45">
      <c r="A97" s="7" t="s">
        <v>1090</v>
      </c>
      <c r="B97" s="374">
        <v>18</v>
      </c>
      <c r="C97" s="374">
        <v>17.7</v>
      </c>
      <c r="D97" s="374">
        <v>17.3</v>
      </c>
      <c r="E97" s="374">
        <v>16.799999999999997</v>
      </c>
      <c r="F97" s="374">
        <v>15</v>
      </c>
      <c r="G97" s="374"/>
      <c r="H97" s="374"/>
      <c r="I97" s="374"/>
      <c r="J97" s="374"/>
      <c r="K97" s="374"/>
      <c r="L97" s="374">
        <f>+L98-L94</f>
        <v>47.699999999999989</v>
      </c>
      <c r="M97" s="374"/>
      <c r="N97" s="373">
        <v>35</v>
      </c>
      <c r="O97" s="373">
        <f>N97</f>
        <v>35</v>
      </c>
      <c r="P97" s="373">
        <f t="shared" ref="P97:W97" si="94">O97</f>
        <v>35</v>
      </c>
      <c r="Q97" s="373">
        <f t="shared" si="94"/>
        <v>35</v>
      </c>
      <c r="R97" s="373">
        <f t="shared" si="94"/>
        <v>35</v>
      </c>
      <c r="S97" s="373">
        <f t="shared" si="94"/>
        <v>35</v>
      </c>
      <c r="T97" s="373">
        <f t="shared" si="94"/>
        <v>35</v>
      </c>
      <c r="U97" s="373">
        <f t="shared" si="94"/>
        <v>35</v>
      </c>
      <c r="V97" s="373">
        <f t="shared" si="94"/>
        <v>35</v>
      </c>
      <c r="W97" s="373">
        <f t="shared" si="94"/>
        <v>35</v>
      </c>
      <c r="X97" s="374"/>
      <c r="Y97" s="374"/>
      <c r="Z97" s="374"/>
      <c r="AA97" s="93"/>
      <c r="AB97" s="93"/>
      <c r="AC97" s="91"/>
      <c r="AD97" s="91"/>
      <c r="AE97" s="91"/>
      <c r="AF97" s="91"/>
      <c r="AG97" s="91"/>
      <c r="AH97" s="91"/>
      <c r="AI97" s="91"/>
      <c r="AJ97" s="91"/>
      <c r="AK97" s="91"/>
      <c r="AL97" s="91"/>
      <c r="AM97" s="91"/>
      <c r="AN97" s="91"/>
      <c r="AO97" s="91"/>
      <c r="AP97" s="91"/>
      <c r="AQ97" s="4" t="s">
        <v>1056</v>
      </c>
    </row>
    <row r="98" spans="1:45" ht="12.75" customHeight="1">
      <c r="A98" s="7" t="s">
        <v>123</v>
      </c>
      <c r="B98" s="374">
        <v>222.6</v>
      </c>
      <c r="C98" s="374">
        <v>223</v>
      </c>
      <c r="D98" s="374">
        <v>223.5</v>
      </c>
      <c r="E98" s="374">
        <v>229.83297769156158</v>
      </c>
      <c r="F98" s="374">
        <v>237.23437319979175</v>
      </c>
      <c r="G98" s="374"/>
      <c r="H98" s="374"/>
      <c r="I98" s="374"/>
      <c r="J98" s="374"/>
      <c r="K98" s="374"/>
      <c r="L98" s="374">
        <v>508.4</v>
      </c>
      <c r="M98" s="374"/>
      <c r="N98" s="374">
        <f t="shared" ref="N98:W98" si="95">+N97+N94</f>
        <v>513.04513573082363</v>
      </c>
      <c r="O98" s="374">
        <f t="shared" si="95"/>
        <v>538.65498133284996</v>
      </c>
      <c r="P98" s="374">
        <f t="shared" si="95"/>
        <v>571.86673149628712</v>
      </c>
      <c r="Q98" s="374">
        <f t="shared" si="95"/>
        <v>606.14168350469868</v>
      </c>
      <c r="R98" s="374">
        <f t="shared" si="95"/>
        <v>641.42899951582785</v>
      </c>
      <c r="S98" s="374">
        <f t="shared" si="95"/>
        <v>678.72986633170626</v>
      </c>
      <c r="T98" s="374">
        <f t="shared" si="95"/>
        <v>714.53877431684612</v>
      </c>
      <c r="U98" s="374">
        <f t="shared" si="95"/>
        <v>751.89487528127802</v>
      </c>
      <c r="V98" s="374">
        <f t="shared" si="95"/>
        <v>790.93827518414469</v>
      </c>
      <c r="W98" s="374">
        <f t="shared" si="95"/>
        <v>831.82078782247731</v>
      </c>
      <c r="X98" s="374"/>
      <c r="Y98" s="374"/>
      <c r="Z98" s="374"/>
      <c r="AA98" s="92"/>
      <c r="AB98" s="92"/>
      <c r="AC98" s="91"/>
      <c r="AD98" s="91"/>
      <c r="AE98" s="91"/>
      <c r="AF98" s="91"/>
      <c r="AG98" s="91"/>
      <c r="AH98" s="91"/>
      <c r="AI98" s="91"/>
      <c r="AJ98" s="91"/>
      <c r="AK98" s="91"/>
      <c r="AL98" s="91"/>
      <c r="AM98" s="91"/>
      <c r="AN98" s="91"/>
      <c r="AO98" s="91"/>
      <c r="AP98" s="91"/>
      <c r="AQ98" s="4" t="s">
        <v>1059</v>
      </c>
      <c r="AR98" s="4">
        <v>17.5</v>
      </c>
      <c r="AS98" s="4">
        <v>13</v>
      </c>
    </row>
    <row r="99" spans="1:45">
      <c r="AA99" s="93"/>
      <c r="AB99" s="93"/>
      <c r="AC99" s="91"/>
      <c r="AD99" s="91"/>
      <c r="AE99" s="91"/>
      <c r="AF99" s="91"/>
      <c r="AG99" s="91"/>
      <c r="AH99" s="91"/>
      <c r="AI99" s="91"/>
      <c r="AJ99" s="91"/>
      <c r="AK99" s="91"/>
      <c r="AL99" s="91"/>
      <c r="AM99" s="91"/>
      <c r="AN99" s="91"/>
      <c r="AO99" s="91"/>
      <c r="AP99" s="91"/>
      <c r="AQ99" s="4" t="s">
        <v>161</v>
      </c>
      <c r="AR99" s="4">
        <v>2.5</v>
      </c>
      <c r="AS99" s="4">
        <v>2</v>
      </c>
    </row>
    <row r="100" spans="1:45" s="6" customFormat="1">
      <c r="A100" s="4" t="s">
        <v>81</v>
      </c>
      <c r="B100" s="326">
        <v>-37.4</v>
      </c>
      <c r="C100" s="326">
        <v>-34.700000000000003</v>
      </c>
      <c r="D100" s="326">
        <v>-31</v>
      </c>
      <c r="E100" s="326">
        <v>-32.5</v>
      </c>
      <c r="F100" s="326">
        <v>-29.573428301886779</v>
      </c>
      <c r="G100" s="326"/>
      <c r="H100" s="326"/>
      <c r="I100" s="326"/>
      <c r="J100" s="326"/>
      <c r="K100" s="326"/>
      <c r="L100" s="326"/>
      <c r="M100" s="326"/>
      <c r="N100" s="326">
        <f t="shared" ref="N100:W100" si="96">+N52*N221*0.012</f>
        <v>-50.90566312178386</v>
      </c>
      <c r="O100" s="326">
        <f t="shared" si="96"/>
        <v>-45.186507725557419</v>
      </c>
      <c r="P100" s="326">
        <f t="shared" si="96"/>
        <v>-39.255678248233231</v>
      </c>
      <c r="Q100" s="326">
        <f t="shared" si="96"/>
        <v>-35.381488737525842</v>
      </c>
      <c r="R100" s="326">
        <f t="shared" si="96"/>
        <v>-31.362607746930877</v>
      </c>
      <c r="S100" s="326">
        <f t="shared" si="96"/>
        <v>-27.195316860493907</v>
      </c>
      <c r="T100" s="326">
        <f t="shared" si="96"/>
        <v>-22.875817193563023</v>
      </c>
      <c r="U100" s="326">
        <f t="shared" si="96"/>
        <v>-18.400227869234268</v>
      </c>
      <c r="V100" s="326">
        <f t="shared" si="96"/>
        <v>-13.764584470198994</v>
      </c>
      <c r="W100" s="326">
        <f t="shared" si="96"/>
        <v>-8.9648374657015601</v>
      </c>
      <c r="X100" s="326"/>
      <c r="Y100" s="326"/>
      <c r="Z100" s="326"/>
      <c r="AA100" s="96"/>
      <c r="AB100" s="96"/>
      <c r="AC100" s="95"/>
      <c r="AD100" s="95"/>
      <c r="AE100" s="95"/>
      <c r="AF100" s="95"/>
      <c r="AG100" s="95"/>
      <c r="AH100" s="95"/>
      <c r="AI100" s="95"/>
      <c r="AJ100" s="95"/>
      <c r="AK100" s="95"/>
      <c r="AL100" s="95"/>
      <c r="AM100" s="95"/>
      <c r="AN100" s="95"/>
      <c r="AO100" s="95"/>
      <c r="AP100" s="95"/>
    </row>
    <row r="101" spans="1:45" ht="15" customHeight="1">
      <c r="A101" s="4" t="s">
        <v>82</v>
      </c>
      <c r="B101" s="326">
        <v>-49.8</v>
      </c>
      <c r="C101" s="326">
        <v>-46.1</v>
      </c>
      <c r="D101" s="326">
        <v>-51</v>
      </c>
      <c r="E101" s="326">
        <v>-38.6</v>
      </c>
      <c r="F101" s="326">
        <v>-41.376595387709067</v>
      </c>
      <c r="G101" s="326"/>
      <c r="H101" s="326"/>
      <c r="I101" s="326"/>
      <c r="J101" s="326"/>
      <c r="K101" s="326"/>
      <c r="L101" s="326"/>
      <c r="M101" s="326"/>
      <c r="N101" s="326">
        <f t="shared" ref="N101:W101" si="97">+N94*N222</f>
        <v>-95.130982010433897</v>
      </c>
      <c r="O101" s="326">
        <f t="shared" si="97"/>
        <v>-100.22734128523715</v>
      </c>
      <c r="P101" s="326">
        <f t="shared" si="97"/>
        <v>-106.83647956776115</v>
      </c>
      <c r="Q101" s="326">
        <f t="shared" si="97"/>
        <v>-113.65719501743504</v>
      </c>
      <c r="R101" s="326">
        <f t="shared" si="97"/>
        <v>-120.67937090364975</v>
      </c>
      <c r="S101" s="326">
        <f t="shared" si="97"/>
        <v>-128.10224340000954</v>
      </c>
      <c r="T101" s="326">
        <f t="shared" si="97"/>
        <v>-135.22821608905238</v>
      </c>
      <c r="U101" s="326">
        <f t="shared" si="97"/>
        <v>-142.66208018097433</v>
      </c>
      <c r="V101" s="326">
        <f t="shared" si="97"/>
        <v>-150.43171676164479</v>
      </c>
      <c r="W101" s="326">
        <f t="shared" si="97"/>
        <v>-158.56733677667299</v>
      </c>
      <c r="X101" s="326"/>
      <c r="Y101" s="326"/>
      <c r="Z101" s="326"/>
      <c r="AA101" s="91"/>
      <c r="AB101" s="91"/>
      <c r="AC101" s="91"/>
      <c r="AD101" s="91"/>
      <c r="AE101" s="91"/>
      <c r="AF101" s="91"/>
      <c r="AG101" s="91"/>
      <c r="AH101" s="91"/>
      <c r="AI101" s="91"/>
      <c r="AJ101" s="91"/>
      <c r="AK101" s="91"/>
      <c r="AL101" s="91"/>
      <c r="AM101" s="91"/>
      <c r="AN101" s="91"/>
      <c r="AO101" s="91"/>
      <c r="AP101" s="91"/>
      <c r="AQ101" s="4" t="s">
        <v>1060</v>
      </c>
    </row>
    <row r="102" spans="1:45" ht="15" customHeight="1">
      <c r="A102" s="4" t="s">
        <v>1093</v>
      </c>
      <c r="B102" s="326"/>
      <c r="C102" s="326"/>
      <c r="D102" s="326"/>
      <c r="E102" s="326"/>
      <c r="F102" s="326"/>
      <c r="G102" s="326"/>
      <c r="H102" s="326"/>
      <c r="I102" s="326"/>
      <c r="J102" s="326"/>
      <c r="K102" s="326"/>
      <c r="L102" s="326"/>
      <c r="M102" s="326"/>
      <c r="N102" s="326">
        <f t="shared" ref="N102:W102" si="98">-N466+N468</f>
        <v>-2.7845999999999997</v>
      </c>
      <c r="O102" s="326">
        <f t="shared" si="98"/>
        <v>-6.5223900000000006</v>
      </c>
      <c r="P102" s="326">
        <f t="shared" si="98"/>
        <v>-11.335464000000002</v>
      </c>
      <c r="Q102" s="326">
        <f t="shared" si="98"/>
        <v>-17.357429250000006</v>
      </c>
      <c r="R102" s="326">
        <f t="shared" si="98"/>
        <v>-24.734336681250003</v>
      </c>
      <c r="S102" s="326">
        <f t="shared" si="98"/>
        <v>-33.62567981456251</v>
      </c>
      <c r="T102" s="326">
        <f t="shared" si="98"/>
        <v>-41.047933529728141</v>
      </c>
      <c r="U102" s="326">
        <f t="shared" si="98"/>
        <v>-49.580449782673384</v>
      </c>
      <c r="V102" s="326">
        <f t="shared" si="98"/>
        <v>-59.338304261178251</v>
      </c>
      <c r="W102" s="326">
        <f t="shared" si="98"/>
        <v>-70.446434818870813</v>
      </c>
      <c r="X102" s="326"/>
      <c r="Y102" s="326"/>
      <c r="Z102" s="326"/>
      <c r="AA102" s="91"/>
      <c r="AB102" s="91"/>
      <c r="AC102" s="91"/>
      <c r="AD102" s="91"/>
      <c r="AE102" s="91"/>
      <c r="AF102" s="91"/>
      <c r="AG102" s="91"/>
      <c r="AH102" s="91"/>
      <c r="AI102" s="91"/>
      <c r="AJ102" s="91"/>
      <c r="AK102" s="91"/>
      <c r="AL102" s="91"/>
      <c r="AM102" s="91"/>
      <c r="AN102" s="91"/>
      <c r="AO102" s="91"/>
      <c r="AP102" s="91"/>
    </row>
    <row r="103" spans="1:45" ht="15" customHeight="1">
      <c r="A103" s="4" t="s">
        <v>1092</v>
      </c>
      <c r="B103" s="326"/>
      <c r="C103" s="326"/>
      <c r="D103" s="326"/>
      <c r="E103" s="326"/>
      <c r="F103" s="326"/>
      <c r="G103" s="326"/>
      <c r="H103" s="326"/>
      <c r="I103" s="326"/>
      <c r="J103" s="326"/>
      <c r="K103" s="326"/>
      <c r="L103" s="326"/>
      <c r="M103" s="326"/>
      <c r="N103" s="377">
        <v>4</v>
      </c>
      <c r="O103" s="377">
        <v>10.5</v>
      </c>
      <c r="P103" s="377">
        <v>17</v>
      </c>
      <c r="Q103" s="377">
        <f>P103</f>
        <v>17</v>
      </c>
      <c r="R103" s="377">
        <f t="shared" ref="R103:W103" si="99">Q103</f>
        <v>17</v>
      </c>
      <c r="S103" s="377">
        <f t="shared" si="99"/>
        <v>17</v>
      </c>
      <c r="T103" s="377">
        <f t="shared" si="99"/>
        <v>17</v>
      </c>
      <c r="U103" s="377">
        <f t="shared" si="99"/>
        <v>17</v>
      </c>
      <c r="V103" s="377">
        <f t="shared" si="99"/>
        <v>17</v>
      </c>
      <c r="W103" s="377">
        <f t="shared" si="99"/>
        <v>17</v>
      </c>
      <c r="X103" s="326"/>
      <c r="Y103" s="326"/>
      <c r="Z103" s="326"/>
      <c r="AA103" s="91"/>
      <c r="AB103" s="91"/>
      <c r="AC103" s="91"/>
      <c r="AD103" s="91"/>
      <c r="AE103" s="91"/>
      <c r="AF103" s="91"/>
      <c r="AG103" s="91"/>
      <c r="AH103" s="91"/>
      <c r="AI103" s="91"/>
      <c r="AJ103" s="91"/>
      <c r="AK103" s="91"/>
      <c r="AL103" s="91"/>
      <c r="AM103" s="91"/>
      <c r="AN103" s="91"/>
      <c r="AO103" s="91"/>
      <c r="AP103" s="91"/>
    </row>
    <row r="104" spans="1:45">
      <c r="A104" s="7" t="s">
        <v>181</v>
      </c>
      <c r="B104" s="374">
        <v>135.4</v>
      </c>
      <c r="C104" s="374">
        <v>142.19999999999999</v>
      </c>
      <c r="D104" s="374">
        <v>141.4</v>
      </c>
      <c r="E104" s="374">
        <v>158.73297769156159</v>
      </c>
      <c r="F104" s="374">
        <v>166.28434951019591</v>
      </c>
      <c r="G104" s="374"/>
      <c r="H104" s="374"/>
      <c r="I104" s="374"/>
      <c r="J104" s="374"/>
      <c r="K104" s="374"/>
      <c r="L104" s="374">
        <v>367.7</v>
      </c>
      <c r="M104" s="374"/>
      <c r="N104" s="374">
        <f t="shared" ref="N104:W104" si="100">+N98+N100+N101+N103+N102</f>
        <v>368.22389059860586</v>
      </c>
      <c r="O104" s="374">
        <f t="shared" si="100"/>
        <v>397.21874232205539</v>
      </c>
      <c r="P104" s="374">
        <f t="shared" si="100"/>
        <v>431.43910968029269</v>
      </c>
      <c r="Q104" s="374">
        <f t="shared" si="100"/>
        <v>456.74557049973782</v>
      </c>
      <c r="R104" s="374">
        <f t="shared" si="100"/>
        <v>481.65268418399722</v>
      </c>
      <c r="S104" s="374">
        <f t="shared" si="100"/>
        <v>506.8066262566403</v>
      </c>
      <c r="T104" s="374">
        <f t="shared" si="100"/>
        <v>532.38680750450271</v>
      </c>
      <c r="U104" s="374">
        <f t="shared" si="100"/>
        <v>558.25211744839589</v>
      </c>
      <c r="V104" s="374">
        <f t="shared" si="100"/>
        <v>584.40366969112267</v>
      </c>
      <c r="W104" s="374">
        <f t="shared" si="100"/>
        <v>610.84217876123205</v>
      </c>
      <c r="X104" s="326"/>
      <c r="Y104" s="326"/>
      <c r="Z104" s="374"/>
      <c r="AA104" s="92"/>
      <c r="AB104" s="92"/>
      <c r="AC104" s="91"/>
      <c r="AD104" s="91"/>
      <c r="AE104" s="91"/>
      <c r="AF104" s="91"/>
      <c r="AG104" s="91"/>
      <c r="AH104" s="91"/>
      <c r="AI104" s="91"/>
      <c r="AJ104" s="91"/>
      <c r="AK104" s="91"/>
      <c r="AL104" s="91"/>
      <c r="AM104" s="91"/>
      <c r="AN104" s="91"/>
      <c r="AO104" s="91"/>
      <c r="AP104" s="91"/>
    </row>
    <row r="105" spans="1:45">
      <c r="A105" s="14" t="s">
        <v>26</v>
      </c>
      <c r="B105" s="378">
        <v>0.66200000000000003</v>
      </c>
      <c r="C105" s="378">
        <v>0.69299999999999995</v>
      </c>
      <c r="D105" s="378">
        <v>0.68600000000000005</v>
      </c>
      <c r="E105" s="378">
        <v>0.74522524737822338</v>
      </c>
      <c r="F105" s="378">
        <v>0.74838397336733598</v>
      </c>
      <c r="G105" s="378"/>
      <c r="H105" s="378"/>
      <c r="I105" s="378"/>
      <c r="J105" s="378"/>
      <c r="K105" s="378"/>
      <c r="L105" s="378">
        <f>+L104/L94</f>
        <v>0.79813327545040158</v>
      </c>
      <c r="M105" s="378"/>
      <c r="N105" s="378">
        <f>+N104/N94</f>
        <v>0.77027013366776398</v>
      </c>
      <c r="O105" s="378">
        <f t="shared" ref="O105:W105" si="101">+O104/O94</f>
        <v>0.7886723194335804</v>
      </c>
      <c r="P105" s="378">
        <f t="shared" si="101"/>
        <v>0.80362422249156718</v>
      </c>
      <c r="Q105" s="378">
        <f t="shared" si="101"/>
        <v>0.7997062439866206</v>
      </c>
      <c r="R105" s="378">
        <f t="shared" si="101"/>
        <v>0.79424414823260125</v>
      </c>
      <c r="S105" s="378">
        <f t="shared" si="101"/>
        <v>0.7872970523251891</v>
      </c>
      <c r="T105" s="378">
        <f t="shared" si="101"/>
        <v>0.78345317092423727</v>
      </c>
      <c r="U105" s="378">
        <f t="shared" si="101"/>
        <v>0.77870847832377421</v>
      </c>
      <c r="V105" s="378">
        <f t="shared" si="101"/>
        <v>0.77308384675820707</v>
      </c>
      <c r="W105" s="378">
        <f t="shared" si="101"/>
        <v>0.76659920034280127</v>
      </c>
      <c r="X105" s="326"/>
      <c r="Y105" s="326"/>
      <c r="Z105" s="378"/>
      <c r="AA105" s="92"/>
      <c r="AB105" s="92"/>
      <c r="AC105" s="91"/>
      <c r="AD105" s="91"/>
      <c r="AE105" s="91"/>
      <c r="AF105" s="91"/>
      <c r="AG105" s="91"/>
      <c r="AH105" s="91"/>
      <c r="AI105" s="91"/>
      <c r="AJ105" s="91"/>
      <c r="AK105" s="91"/>
      <c r="AL105" s="91"/>
      <c r="AM105" s="91"/>
      <c r="AN105" s="91"/>
      <c r="AO105" s="91"/>
      <c r="AP105" s="91"/>
    </row>
    <row r="106" spans="1:45">
      <c r="X106" s="326"/>
      <c r="Y106" s="326"/>
      <c r="AA106" s="92"/>
      <c r="AB106" s="92"/>
      <c r="AC106" s="91"/>
      <c r="AD106" s="91"/>
      <c r="AE106" s="91"/>
      <c r="AF106" s="91"/>
      <c r="AG106" s="91"/>
      <c r="AH106" s="91"/>
      <c r="AI106" s="91"/>
      <c r="AJ106" s="91"/>
      <c r="AK106" s="91"/>
      <c r="AL106" s="91"/>
      <c r="AM106" s="91"/>
      <c r="AN106" s="91"/>
      <c r="AO106" s="91"/>
      <c r="AP106" s="91"/>
    </row>
    <row r="107" spans="1:45" ht="15" customHeight="1">
      <c r="A107" s="4" t="s">
        <v>83</v>
      </c>
      <c r="B107" s="326">
        <v>-30.6</v>
      </c>
      <c r="C107" s="326">
        <v>-29.5</v>
      </c>
      <c r="D107" s="326">
        <v>-28.5</v>
      </c>
      <c r="E107" s="326">
        <v>-30.6</v>
      </c>
      <c r="F107" s="326">
        <v>-31.364951010209058</v>
      </c>
      <c r="G107" s="326"/>
      <c r="H107" s="326"/>
      <c r="I107" s="326"/>
      <c r="J107" s="326"/>
      <c r="K107" s="326">
        <v>-8</v>
      </c>
      <c r="L107" s="326">
        <v>-76.8</v>
      </c>
      <c r="M107" s="326"/>
      <c r="N107" s="326">
        <f>+F107/F94*N94+K107</f>
        <v>-75.481793983974356</v>
      </c>
      <c r="O107" s="326">
        <f>+N107/N94*O94</f>
        <v>-79.525506481411028</v>
      </c>
      <c r="P107" s="326">
        <f>+O107/O94*P94</f>
        <v>-84.769535332057799</v>
      </c>
      <c r="Q107" s="373">
        <f>(+P107/P94*Q94)*99%</f>
        <v>-89.27962594120882</v>
      </c>
      <c r="R107" s="373">
        <f t="shared" ref="R107:W107" si="102">(+Q107/Q94*R94)*99%</f>
        <v>-93.847705818633202</v>
      </c>
      <c r="S107" s="373">
        <f t="shared" si="102"/>
        <v>-98.623986416703957</v>
      </c>
      <c r="T107" s="373">
        <f t="shared" si="102"/>
        <v>-103.06906373236558</v>
      </c>
      <c r="U107" s="373">
        <f t="shared" si="102"/>
        <v>-107.64770093864701</v>
      </c>
      <c r="V107" s="373">
        <f t="shared" si="102"/>
        <v>-112.37528678070095</v>
      </c>
      <c r="W107" s="373">
        <f t="shared" si="102"/>
        <v>-117.26821859540962</v>
      </c>
      <c r="X107" s="326"/>
      <c r="Y107" s="326"/>
      <c r="Z107" s="326"/>
      <c r="AA107" s="91"/>
      <c r="AB107" s="91"/>
      <c r="AC107" s="91"/>
      <c r="AD107" s="91"/>
      <c r="AE107" s="91"/>
      <c r="AF107" s="91"/>
      <c r="AG107" s="91"/>
      <c r="AH107" s="91"/>
      <c r="AI107" s="91"/>
      <c r="AJ107" s="91"/>
      <c r="AK107" s="91"/>
      <c r="AL107" s="91"/>
      <c r="AM107" s="91"/>
      <c r="AN107" s="91"/>
      <c r="AO107" s="91"/>
      <c r="AP107" s="91"/>
    </row>
    <row r="108" spans="1:45">
      <c r="A108" s="4" t="s">
        <v>84</v>
      </c>
      <c r="B108" s="326">
        <v>-7.8</v>
      </c>
      <c r="C108" s="326">
        <v>-7</v>
      </c>
      <c r="D108" s="326">
        <v>-6.8</v>
      </c>
      <c r="E108" s="326">
        <v>-8.6999999999999993</v>
      </c>
      <c r="F108" s="326">
        <v>-8.8876488769262885</v>
      </c>
      <c r="G108" s="326"/>
      <c r="H108" s="326"/>
      <c r="I108" s="326"/>
      <c r="J108" s="326"/>
      <c r="K108" s="326">
        <v>5</v>
      </c>
      <c r="L108" s="326">
        <v>-16</v>
      </c>
      <c r="M108" s="326"/>
      <c r="N108" s="326">
        <f>+F108/F94*N94+K108</f>
        <v>-14.121805429232943</v>
      </c>
      <c r="O108" s="326">
        <f t="shared" ref="O108:W108" si="103">+N108/N94*O94</f>
        <v>-14.878339132084287</v>
      </c>
      <c r="P108" s="326">
        <f t="shared" si="103"/>
        <v>-15.859438695110578</v>
      </c>
      <c r="Q108" s="326">
        <f t="shared" si="103"/>
        <v>-16.871946023773425</v>
      </c>
      <c r="R108" s="326">
        <f t="shared" si="103"/>
        <v>-17.914359330766295</v>
      </c>
      <c r="S108" s="326">
        <f t="shared" si="103"/>
        <v>-19.016254411678009</v>
      </c>
      <c r="T108" s="326">
        <f t="shared" si="103"/>
        <v>-20.074075929778743</v>
      </c>
      <c r="U108" s="326">
        <f t="shared" si="103"/>
        <v>-21.177602668123242</v>
      </c>
      <c r="V108" s="326">
        <f t="shared" si="103"/>
        <v>-22.330973459944197</v>
      </c>
      <c r="W108" s="326">
        <f t="shared" si="103"/>
        <v>-23.538672996629316</v>
      </c>
      <c r="X108" s="326"/>
      <c r="Y108" s="326"/>
      <c r="Z108" s="326"/>
      <c r="AA108" s="93"/>
      <c r="AB108" s="93"/>
      <c r="AC108" s="91"/>
      <c r="AD108" s="91"/>
      <c r="AE108" s="91"/>
      <c r="AF108" s="91"/>
      <c r="AG108" s="91"/>
      <c r="AH108" s="91"/>
      <c r="AI108" s="91"/>
      <c r="AJ108" s="91"/>
      <c r="AK108" s="91"/>
      <c r="AL108" s="91"/>
      <c r="AM108" s="91"/>
      <c r="AN108" s="91"/>
      <c r="AO108" s="91"/>
      <c r="AP108" s="91"/>
    </row>
    <row r="109" spans="1:45" s="6" customFormat="1">
      <c r="A109" s="4" t="s">
        <v>75</v>
      </c>
      <c r="B109" s="326">
        <v>-18.600000000000001</v>
      </c>
      <c r="C109" s="326">
        <v>-18.600000000000001</v>
      </c>
      <c r="D109" s="326">
        <v>-18</v>
      </c>
      <c r="E109" s="326">
        <v>-20.399999999999999</v>
      </c>
      <c r="F109" s="326">
        <v>-20.603999999999999</v>
      </c>
      <c r="G109" s="326"/>
      <c r="H109" s="326"/>
      <c r="I109" s="326"/>
      <c r="J109" s="326"/>
      <c r="K109" s="326">
        <v>6</v>
      </c>
      <c r="L109" s="326">
        <v>-41.1</v>
      </c>
      <c r="M109" s="326"/>
      <c r="N109" s="326">
        <f>+F109/F94*N94+K109</f>
        <v>-38.329572929772617</v>
      </c>
      <c r="O109" s="326">
        <f>+N109/N94*O94</f>
        <v>-40.382965740103003</v>
      </c>
      <c r="P109" s="326">
        <f>+O109/O94*P94</f>
        <v>-43.045877889744972</v>
      </c>
      <c r="Q109" s="373">
        <f>(+P109/P94*Q94)*94%</f>
        <v>-43.046395129613749</v>
      </c>
      <c r="R109" s="373">
        <f t="shared" ref="R109:W109" si="104">(+Q109/Q94*R94)*94%</f>
        <v>-42.963607980365374</v>
      </c>
      <c r="S109" s="373">
        <f t="shared" si="104"/>
        <v>-42.869882848190187</v>
      </c>
      <c r="T109" s="373">
        <f t="shared" si="104"/>
        <v>-42.539338656239103</v>
      </c>
      <c r="U109" s="373">
        <f t="shared" si="104"/>
        <v>-42.185171665150065</v>
      </c>
      <c r="V109" s="373">
        <f t="shared" si="104"/>
        <v>-41.813693731211686</v>
      </c>
      <c r="W109" s="373">
        <f t="shared" si="104"/>
        <v>-41.430550861050584</v>
      </c>
      <c r="X109" s="326"/>
      <c r="Y109" s="326"/>
      <c r="Z109" s="326"/>
      <c r="AA109" s="96"/>
      <c r="AB109" s="96"/>
      <c r="AC109" s="95"/>
      <c r="AD109" s="95"/>
      <c r="AE109" s="95"/>
      <c r="AF109" s="95"/>
      <c r="AG109" s="95"/>
      <c r="AH109" s="95"/>
      <c r="AI109" s="95"/>
      <c r="AJ109" s="95"/>
      <c r="AK109" s="95"/>
      <c r="AL109" s="95"/>
      <c r="AM109" s="95"/>
      <c r="AN109" s="95"/>
      <c r="AO109" s="95"/>
      <c r="AP109" s="95"/>
    </row>
    <row r="110" spans="1:45" s="6" customFormat="1">
      <c r="A110" s="4" t="s">
        <v>1093</v>
      </c>
      <c r="B110" s="326"/>
      <c r="C110" s="326"/>
      <c r="D110" s="326"/>
      <c r="E110" s="326"/>
      <c r="F110" s="326"/>
      <c r="G110" s="326"/>
      <c r="H110" s="326"/>
      <c r="I110" s="326"/>
      <c r="J110" s="326"/>
      <c r="K110" s="326"/>
      <c r="L110" s="326">
        <v>0</v>
      </c>
      <c r="M110" s="326"/>
      <c r="N110" s="326">
        <f t="shared" ref="N110:W110" si="105">N469</f>
        <v>-0.52</v>
      </c>
      <c r="O110" s="326">
        <f t="shared" si="105"/>
        <v>-0.64</v>
      </c>
      <c r="P110" s="326">
        <f t="shared" si="105"/>
        <v>-0.76</v>
      </c>
      <c r="Q110" s="326">
        <f t="shared" si="105"/>
        <v>-0.88</v>
      </c>
      <c r="R110" s="326">
        <f t="shared" si="105"/>
        <v>-1</v>
      </c>
      <c r="S110" s="326">
        <f t="shared" si="105"/>
        <v>-1.1200000000000001</v>
      </c>
      <c r="T110" s="326">
        <f t="shared" si="105"/>
        <v>-0.8</v>
      </c>
      <c r="U110" s="326">
        <f t="shared" si="105"/>
        <v>-0.86</v>
      </c>
      <c r="V110" s="326">
        <f t="shared" si="105"/>
        <v>-0.92</v>
      </c>
      <c r="W110" s="326">
        <f t="shared" si="105"/>
        <v>-0.98</v>
      </c>
      <c r="X110" s="326"/>
      <c r="Y110" s="326"/>
      <c r="Z110" s="326"/>
      <c r="AA110" s="96"/>
      <c r="AB110" s="96"/>
      <c r="AC110" s="95"/>
      <c r="AD110" s="95"/>
      <c r="AE110" s="95"/>
      <c r="AF110" s="95"/>
      <c r="AG110" s="95"/>
      <c r="AH110" s="95"/>
      <c r="AI110" s="95"/>
      <c r="AJ110" s="95"/>
      <c r="AK110" s="95"/>
      <c r="AL110" s="95"/>
      <c r="AM110" s="95"/>
      <c r="AN110" s="95"/>
      <c r="AO110" s="95"/>
      <c r="AP110" s="95"/>
    </row>
    <row r="111" spans="1:45" ht="12.75" customHeight="1">
      <c r="A111" s="4" t="s">
        <v>1092</v>
      </c>
      <c r="B111" s="329"/>
      <c r="C111" s="329"/>
      <c r="L111" s="75">
        <v>0</v>
      </c>
      <c r="N111" s="457">
        <v>4</v>
      </c>
      <c r="O111" s="457">
        <v>10.5</v>
      </c>
      <c r="P111" s="457">
        <v>17</v>
      </c>
      <c r="Q111" s="457">
        <f>P111</f>
        <v>17</v>
      </c>
      <c r="R111" s="457">
        <f t="shared" ref="R111:W111" si="106">Q111</f>
        <v>17</v>
      </c>
      <c r="S111" s="457">
        <f t="shared" si="106"/>
        <v>17</v>
      </c>
      <c r="T111" s="457">
        <f t="shared" si="106"/>
        <v>17</v>
      </c>
      <c r="U111" s="457">
        <f t="shared" si="106"/>
        <v>17</v>
      </c>
      <c r="V111" s="457">
        <f t="shared" si="106"/>
        <v>17</v>
      </c>
      <c r="W111" s="457">
        <f t="shared" si="106"/>
        <v>17</v>
      </c>
      <c r="X111" s="326"/>
      <c r="Y111" s="326"/>
      <c r="AA111" s="91"/>
      <c r="AB111" s="91"/>
      <c r="AC111" s="91"/>
      <c r="AD111" s="91"/>
      <c r="AE111" s="91"/>
      <c r="AF111" s="91"/>
      <c r="AG111" s="91"/>
      <c r="AH111" s="91"/>
      <c r="AI111" s="91"/>
      <c r="AJ111" s="91"/>
      <c r="AK111" s="91"/>
      <c r="AL111" s="91"/>
      <c r="AM111" s="91"/>
      <c r="AN111" s="91"/>
      <c r="AO111" s="91"/>
      <c r="AP111" s="91"/>
    </row>
    <row r="112" spans="1:45">
      <c r="A112" s="7" t="s">
        <v>28</v>
      </c>
      <c r="B112" s="374">
        <v>78.400000000000006</v>
      </c>
      <c r="C112" s="374">
        <v>87.1</v>
      </c>
      <c r="D112" s="374">
        <v>88.1</v>
      </c>
      <c r="E112" s="374">
        <v>99.032977691561598</v>
      </c>
      <c r="F112" s="374">
        <v>105.42774962306055</v>
      </c>
      <c r="G112" s="374"/>
      <c r="H112" s="374"/>
      <c r="I112" s="374"/>
      <c r="J112" s="374"/>
      <c r="K112" s="374"/>
      <c r="L112" s="374">
        <f>+L104+L107+L108+L109+L111+L110</f>
        <v>233.79999999999998</v>
      </c>
      <c r="M112" s="374"/>
      <c r="N112" s="374">
        <f>+N104+N107+N108+N109+N111+N110</f>
        <v>243.77071825562595</v>
      </c>
      <c r="O112" s="374">
        <f t="shared" ref="O112:W112" si="107">+O104+O107+O108+O109+O111+O110</f>
        <v>272.29193096845711</v>
      </c>
      <c r="P112" s="374">
        <f t="shared" si="107"/>
        <v>304.00425776337937</v>
      </c>
      <c r="Q112" s="374">
        <f t="shared" si="107"/>
        <v>323.66760340514185</v>
      </c>
      <c r="R112" s="374">
        <f t="shared" si="107"/>
        <v>342.92701105423237</v>
      </c>
      <c r="S112" s="374">
        <f t="shared" si="107"/>
        <v>362.17650258006813</v>
      </c>
      <c r="T112" s="374">
        <f t="shared" si="107"/>
        <v>382.90432918611924</v>
      </c>
      <c r="U112" s="374">
        <f t="shared" si="107"/>
        <v>403.38164217647557</v>
      </c>
      <c r="V112" s="374">
        <f t="shared" si="107"/>
        <v>423.96371571926585</v>
      </c>
      <c r="W112" s="374">
        <f t="shared" si="107"/>
        <v>444.62473630814253</v>
      </c>
      <c r="X112" s="326"/>
      <c r="Y112" s="326"/>
      <c r="Z112" s="374"/>
      <c r="AA112" s="92"/>
      <c r="AB112" s="92"/>
      <c r="AC112" s="91"/>
      <c r="AD112" s="91"/>
      <c r="AE112" s="91"/>
      <c r="AF112" s="91"/>
      <c r="AG112" s="91"/>
      <c r="AH112" s="91"/>
      <c r="AI112" s="91"/>
      <c r="AJ112" s="91"/>
      <c r="AK112" s="91"/>
      <c r="AL112" s="91"/>
      <c r="AM112" s="91"/>
      <c r="AN112" s="91"/>
      <c r="AO112" s="91"/>
      <c r="AP112" s="91"/>
    </row>
    <row r="113" spans="1:42">
      <c r="A113" s="14" t="s">
        <v>26</v>
      </c>
      <c r="B113" s="378">
        <v>0.38300000000000001</v>
      </c>
      <c r="C113" s="378">
        <v>0.42399999999999999</v>
      </c>
      <c r="D113" s="378">
        <v>0.42699999999999999</v>
      </c>
      <c r="E113" s="378">
        <v>0.4649435572373784</v>
      </c>
      <c r="F113" s="378">
        <v>0.47449106544596875</v>
      </c>
      <c r="G113" s="378"/>
      <c r="H113" s="378"/>
      <c r="I113" s="378"/>
      <c r="J113" s="378"/>
      <c r="K113" s="378"/>
      <c r="L113" s="378">
        <f>+L112/L94</f>
        <v>0.50748860429780762</v>
      </c>
      <c r="M113" s="378"/>
      <c r="N113" s="378">
        <f t="shared" ref="N113:W113" si="108">+N112/N94</f>
        <v>0.50993243113530551</v>
      </c>
      <c r="O113" s="378">
        <f t="shared" si="108"/>
        <v>0.54063186320102696</v>
      </c>
      <c r="P113" s="378">
        <f t="shared" si="108"/>
        <v>0.56625646539150809</v>
      </c>
      <c r="Q113" s="378">
        <f t="shared" si="108"/>
        <v>0.56670282130174643</v>
      </c>
      <c r="R113" s="378">
        <f t="shared" si="108"/>
        <v>0.56548583812453701</v>
      </c>
      <c r="S113" s="378">
        <f t="shared" si="108"/>
        <v>0.5626218721898526</v>
      </c>
      <c r="T113" s="378">
        <f t="shared" si="108"/>
        <v>0.56347679287478569</v>
      </c>
      <c r="U113" s="378">
        <f t="shared" si="108"/>
        <v>0.56267893115877887</v>
      </c>
      <c r="V113" s="378">
        <f t="shared" si="108"/>
        <v>0.56084435679088918</v>
      </c>
      <c r="W113" s="378">
        <f t="shared" si="108"/>
        <v>0.55799841457851107</v>
      </c>
      <c r="X113" s="326"/>
      <c r="Y113" s="326"/>
      <c r="Z113" s="378"/>
      <c r="AA113" s="93"/>
      <c r="AB113" s="93"/>
      <c r="AC113" s="91"/>
      <c r="AD113" s="91"/>
      <c r="AE113" s="91"/>
      <c r="AF113" s="91"/>
      <c r="AG113" s="91"/>
      <c r="AH113" s="91"/>
      <c r="AI113" s="91"/>
      <c r="AJ113" s="91"/>
      <c r="AK113" s="91"/>
      <c r="AL113" s="91"/>
      <c r="AM113" s="91"/>
      <c r="AN113" s="91"/>
      <c r="AO113" s="91"/>
      <c r="AP113" s="91"/>
    </row>
    <row r="114" spans="1:42">
      <c r="A114" s="14" t="s">
        <v>1180</v>
      </c>
      <c r="B114" s="378"/>
      <c r="C114" s="378"/>
      <c r="D114" s="378"/>
      <c r="E114" s="378"/>
      <c r="F114" s="378"/>
      <c r="G114" s="378"/>
      <c r="H114" s="378"/>
      <c r="I114" s="378"/>
      <c r="J114" s="378"/>
      <c r="K114" s="378"/>
      <c r="L114" s="378"/>
      <c r="M114" s="378"/>
      <c r="N114" s="378">
        <f>N112/L112-1</f>
        <v>4.2646356953062403E-2</v>
      </c>
      <c r="O114" s="378">
        <f>O112/N112-1</f>
        <v>0.11700015866106961</v>
      </c>
      <c r="P114" s="378">
        <f t="shared" ref="P114:W114" si="109">P112/O112-1</f>
        <v>0.11646443830388753</v>
      </c>
      <c r="Q114" s="378">
        <f t="shared" si="109"/>
        <v>6.4681152120794838E-2</v>
      </c>
      <c r="R114" s="378">
        <f t="shared" si="109"/>
        <v>5.9503661924987572E-2</v>
      </c>
      <c r="S114" s="378">
        <f t="shared" si="109"/>
        <v>5.6132911393181439E-2</v>
      </c>
      <c r="T114" s="378">
        <f t="shared" si="109"/>
        <v>5.7231284907746538E-2</v>
      </c>
      <c r="U114" s="378">
        <f t="shared" si="109"/>
        <v>5.3478927840491686E-2</v>
      </c>
      <c r="V114" s="378">
        <f t="shared" si="109"/>
        <v>5.1023823076672858E-2</v>
      </c>
      <c r="W114" s="378">
        <f t="shared" si="109"/>
        <v>4.873299252466623E-2</v>
      </c>
      <c r="X114" s="326"/>
      <c r="Y114" s="326"/>
      <c r="Z114" s="378"/>
      <c r="AA114" s="93"/>
      <c r="AB114" s="93"/>
      <c r="AC114" s="91"/>
      <c r="AD114" s="91"/>
      <c r="AE114" s="91"/>
      <c r="AF114" s="91"/>
      <c r="AG114" s="91"/>
      <c r="AH114" s="91"/>
      <c r="AI114" s="91"/>
      <c r="AJ114" s="91"/>
      <c r="AK114" s="91"/>
      <c r="AL114" s="91"/>
      <c r="AM114" s="91"/>
      <c r="AN114" s="91"/>
      <c r="AO114" s="91"/>
      <c r="AP114" s="91"/>
    </row>
    <row r="115" spans="1:42">
      <c r="A115" s="458" t="s">
        <v>243</v>
      </c>
      <c r="B115" s="459"/>
      <c r="C115" s="459"/>
      <c r="D115" s="459"/>
      <c r="E115" s="460"/>
      <c r="F115" s="460"/>
      <c r="G115" s="460"/>
      <c r="H115" s="460"/>
      <c r="I115" s="460"/>
      <c r="J115" s="460"/>
      <c r="K115" s="460"/>
      <c r="L115" s="460"/>
      <c r="M115" s="460"/>
      <c r="N115" s="447" t="s">
        <v>1118</v>
      </c>
      <c r="O115" s="459"/>
      <c r="P115" s="447"/>
      <c r="Q115" s="447"/>
      <c r="R115" s="459"/>
      <c r="S115" s="459"/>
      <c r="T115" s="459"/>
      <c r="U115" s="459"/>
      <c r="V115" s="459"/>
      <c r="W115" s="459"/>
      <c r="X115" s="326"/>
      <c r="Y115" s="326"/>
      <c r="Z115" s="326"/>
      <c r="AA115" s="91"/>
      <c r="AB115" s="91"/>
      <c r="AC115" s="91"/>
      <c r="AD115" s="91"/>
      <c r="AE115" s="91"/>
      <c r="AF115" s="91"/>
      <c r="AG115" s="91"/>
      <c r="AH115" s="91"/>
      <c r="AI115" s="91"/>
      <c r="AJ115" s="91"/>
      <c r="AK115" s="91"/>
      <c r="AL115" s="91"/>
      <c r="AM115" s="91"/>
      <c r="AN115" s="91"/>
      <c r="AO115" s="91"/>
      <c r="AP115" s="91"/>
    </row>
    <row r="116" spans="1:42" s="6" customFormat="1">
      <c r="A116" s="4"/>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96"/>
      <c r="AB116" s="96"/>
      <c r="AC116" s="95"/>
      <c r="AD116" s="95"/>
      <c r="AE116" s="95"/>
      <c r="AF116" s="95"/>
      <c r="AG116" s="95"/>
      <c r="AH116" s="95"/>
      <c r="AI116" s="95"/>
      <c r="AJ116" s="95"/>
      <c r="AK116" s="95"/>
      <c r="AL116" s="95"/>
      <c r="AM116" s="95"/>
      <c r="AN116" s="95"/>
      <c r="AO116" s="95"/>
      <c r="AP116" s="95"/>
    </row>
    <row r="117" spans="1:42" ht="12.75" customHeight="1">
      <c r="A117" s="4" t="s">
        <v>85</v>
      </c>
      <c r="B117" s="326">
        <v>-4.5</v>
      </c>
      <c r="C117" s="326">
        <v>30.7</v>
      </c>
      <c r="D117" s="326">
        <v>3.1</v>
      </c>
      <c r="E117" s="326">
        <v>-14.8</v>
      </c>
      <c r="F117" s="373">
        <v>-10</v>
      </c>
      <c r="G117" s="373"/>
      <c r="H117" s="373"/>
      <c r="I117" s="373"/>
      <c r="J117" s="373"/>
      <c r="K117" s="373"/>
      <c r="L117" s="373">
        <v>-82.3</v>
      </c>
      <c r="M117" s="373"/>
      <c r="N117" s="379">
        <v>-16.5</v>
      </c>
      <c r="O117" s="379">
        <v>-16.5</v>
      </c>
      <c r="P117" s="326"/>
      <c r="Q117" s="326"/>
      <c r="R117" s="326"/>
      <c r="S117" s="326"/>
      <c r="T117" s="326"/>
      <c r="U117" s="326"/>
      <c r="V117" s="326"/>
      <c r="W117" s="326"/>
      <c r="X117" s="326"/>
      <c r="Y117" s="326"/>
      <c r="Z117" s="326"/>
      <c r="AA117" s="91"/>
      <c r="AB117" s="91"/>
      <c r="AC117" s="91"/>
      <c r="AD117" s="91"/>
      <c r="AE117" s="91"/>
      <c r="AF117" s="91"/>
      <c r="AG117" s="91"/>
      <c r="AH117" s="91"/>
      <c r="AI117" s="91"/>
      <c r="AJ117" s="91"/>
      <c r="AK117" s="91"/>
      <c r="AL117" s="91"/>
      <c r="AM117" s="91"/>
      <c r="AN117" s="91"/>
      <c r="AO117" s="91"/>
      <c r="AP117" s="91"/>
    </row>
    <row r="118" spans="1:42">
      <c r="A118" s="7" t="s">
        <v>27</v>
      </c>
      <c r="B118" s="374">
        <v>73.900000000000006</v>
      </c>
      <c r="C118" s="374">
        <v>117.8</v>
      </c>
      <c r="D118" s="374">
        <v>91.2</v>
      </c>
      <c r="E118" s="374">
        <v>84.232977691561601</v>
      </c>
      <c r="F118" s="374">
        <v>95.427749623060549</v>
      </c>
      <c r="G118" s="374"/>
      <c r="H118" s="374"/>
      <c r="I118" s="374"/>
      <c r="J118" s="374"/>
      <c r="K118" s="374"/>
      <c r="L118" s="374">
        <f>+L112+L117</f>
        <v>151.5</v>
      </c>
      <c r="M118" s="374"/>
      <c r="N118" s="374">
        <f t="shared" ref="N118:W118" si="110">+N112+N117</f>
        <v>227.27071825562595</v>
      </c>
      <c r="O118" s="374">
        <f t="shared" si="110"/>
        <v>255.79193096845711</v>
      </c>
      <c r="P118" s="374">
        <f t="shared" si="110"/>
        <v>304.00425776337937</v>
      </c>
      <c r="Q118" s="374">
        <f t="shared" si="110"/>
        <v>323.66760340514185</v>
      </c>
      <c r="R118" s="374">
        <f t="shared" si="110"/>
        <v>342.92701105423237</v>
      </c>
      <c r="S118" s="374">
        <f t="shared" si="110"/>
        <v>362.17650258006813</v>
      </c>
      <c r="T118" s="374">
        <f t="shared" si="110"/>
        <v>382.90432918611924</v>
      </c>
      <c r="U118" s="374">
        <f t="shared" si="110"/>
        <v>403.38164217647557</v>
      </c>
      <c r="V118" s="374">
        <f t="shared" si="110"/>
        <v>423.96371571926585</v>
      </c>
      <c r="W118" s="374">
        <f t="shared" si="110"/>
        <v>444.62473630814253</v>
      </c>
      <c r="X118" s="374"/>
      <c r="Y118" s="374"/>
      <c r="Z118" s="374"/>
      <c r="AA118" s="92"/>
      <c r="AB118" s="92"/>
      <c r="AC118" s="91"/>
      <c r="AD118" s="91"/>
      <c r="AE118" s="91"/>
      <c r="AF118" s="91"/>
      <c r="AG118" s="91"/>
      <c r="AH118" s="91"/>
      <c r="AI118" s="91"/>
      <c r="AJ118" s="91"/>
      <c r="AK118" s="91"/>
      <c r="AL118" s="91"/>
      <c r="AM118" s="91"/>
      <c r="AN118" s="91"/>
      <c r="AO118" s="91"/>
      <c r="AP118" s="91"/>
    </row>
    <row r="119" spans="1:42">
      <c r="A119" s="14" t="s">
        <v>26</v>
      </c>
      <c r="B119" s="378">
        <v>0.36099999999999999</v>
      </c>
      <c r="C119" s="378">
        <v>0.57399999999999995</v>
      </c>
      <c r="D119" s="378">
        <v>0.442</v>
      </c>
      <c r="E119" s="378">
        <v>0.39545998916226105</v>
      </c>
      <c r="F119" s="378">
        <v>0.42948478700955778</v>
      </c>
      <c r="G119" s="378"/>
      <c r="H119" s="378"/>
      <c r="I119" s="378"/>
      <c r="J119" s="378"/>
      <c r="K119" s="378"/>
      <c r="L119" s="378">
        <f>+L118/L94</f>
        <v>0.32884740612112007</v>
      </c>
      <c r="M119" s="378"/>
      <c r="N119" s="378">
        <f t="shared" ref="N119:W119" si="111">+N118/N94</f>
        <v>0.47541686185799192</v>
      </c>
      <c r="O119" s="378">
        <f t="shared" si="111"/>
        <v>0.50787134139235712</v>
      </c>
      <c r="P119" s="378">
        <f t="shared" si="111"/>
        <v>0.56625646539150809</v>
      </c>
      <c r="Q119" s="378">
        <f t="shared" si="111"/>
        <v>0.56670282130174643</v>
      </c>
      <c r="R119" s="378">
        <f t="shared" si="111"/>
        <v>0.56548583812453701</v>
      </c>
      <c r="S119" s="378">
        <f t="shared" si="111"/>
        <v>0.5626218721898526</v>
      </c>
      <c r="T119" s="378">
        <f t="shared" si="111"/>
        <v>0.56347679287478569</v>
      </c>
      <c r="U119" s="378">
        <f t="shared" si="111"/>
        <v>0.56267893115877887</v>
      </c>
      <c r="V119" s="378">
        <f t="shared" si="111"/>
        <v>0.56084435679088918</v>
      </c>
      <c r="W119" s="378">
        <f t="shared" si="111"/>
        <v>0.55799841457851107</v>
      </c>
      <c r="X119" s="378"/>
      <c r="Y119" s="378"/>
      <c r="Z119" s="378"/>
      <c r="AA119" s="93"/>
      <c r="AB119" s="93"/>
      <c r="AC119" s="91"/>
      <c r="AD119" s="91"/>
      <c r="AE119" s="91"/>
      <c r="AF119" s="91"/>
      <c r="AG119" s="91"/>
      <c r="AH119" s="91"/>
      <c r="AI119" s="91"/>
      <c r="AJ119" s="91"/>
      <c r="AK119" s="91"/>
      <c r="AL119" s="91"/>
      <c r="AM119" s="91"/>
      <c r="AN119" s="91"/>
      <c r="AO119" s="91"/>
      <c r="AP119" s="91"/>
    </row>
    <row r="120" spans="1:42">
      <c r="A120" s="14"/>
      <c r="B120" s="378"/>
      <c r="C120" s="378"/>
      <c r="D120" s="378"/>
      <c r="E120" s="378"/>
      <c r="F120" s="378"/>
      <c r="G120" s="378"/>
      <c r="H120" s="378"/>
      <c r="I120" s="378"/>
      <c r="J120" s="378"/>
      <c r="K120" s="378"/>
      <c r="L120" s="378"/>
      <c r="M120" s="378"/>
      <c r="N120" s="378"/>
      <c r="O120" s="378"/>
      <c r="P120" s="378"/>
      <c r="Q120" s="378"/>
      <c r="R120" s="378"/>
      <c r="S120" s="378"/>
      <c r="T120" s="378"/>
      <c r="U120" s="378"/>
      <c r="V120" s="378"/>
      <c r="W120" s="378"/>
      <c r="X120" s="378"/>
      <c r="Y120" s="378"/>
      <c r="Z120" s="378"/>
      <c r="AA120" s="93"/>
      <c r="AB120" s="93"/>
      <c r="AC120" s="91"/>
      <c r="AD120" s="91"/>
      <c r="AE120" s="91"/>
      <c r="AF120" s="91"/>
      <c r="AG120" s="91"/>
      <c r="AH120" s="91"/>
      <c r="AI120" s="91"/>
      <c r="AJ120" s="91"/>
      <c r="AK120" s="91"/>
      <c r="AL120" s="91"/>
      <c r="AM120" s="91"/>
      <c r="AN120" s="91"/>
      <c r="AO120" s="91"/>
      <c r="AP120" s="91"/>
    </row>
    <row r="121" spans="1:42" s="447" customFormat="1">
      <c r="A121" s="461" t="s">
        <v>1178</v>
      </c>
      <c r="B121" s="462"/>
      <c r="C121" s="462"/>
      <c r="D121" s="462"/>
      <c r="E121" s="462"/>
      <c r="F121" s="462"/>
      <c r="G121" s="462"/>
      <c r="H121" s="462"/>
      <c r="I121" s="462"/>
      <c r="J121" s="462"/>
      <c r="K121" s="462"/>
      <c r="L121" s="462"/>
      <c r="M121" s="462"/>
      <c r="N121" s="463">
        <f t="shared" ref="N121:W121" si="112">N103+N111</f>
        <v>8</v>
      </c>
      <c r="O121" s="463">
        <f t="shared" si="112"/>
        <v>21</v>
      </c>
      <c r="P121" s="463">
        <f t="shared" si="112"/>
        <v>34</v>
      </c>
      <c r="Q121" s="463">
        <f t="shared" si="112"/>
        <v>34</v>
      </c>
      <c r="R121" s="463">
        <f t="shared" si="112"/>
        <v>34</v>
      </c>
      <c r="S121" s="463">
        <f t="shared" si="112"/>
        <v>34</v>
      </c>
      <c r="T121" s="463">
        <f t="shared" si="112"/>
        <v>34</v>
      </c>
      <c r="U121" s="463">
        <f t="shared" si="112"/>
        <v>34</v>
      </c>
      <c r="V121" s="463">
        <f t="shared" si="112"/>
        <v>34</v>
      </c>
      <c r="W121" s="463">
        <f t="shared" si="112"/>
        <v>34</v>
      </c>
      <c r="X121" s="462"/>
      <c r="Y121" s="462"/>
      <c r="Z121" s="462"/>
      <c r="AA121" s="464"/>
      <c r="AB121" s="464"/>
    </row>
    <row r="122" spans="1:42" s="447" customFormat="1">
      <c r="A122" s="461" t="s">
        <v>1179</v>
      </c>
      <c r="B122" s="462"/>
      <c r="C122" s="462"/>
      <c r="D122" s="462"/>
      <c r="E122" s="462"/>
      <c r="F122" s="462"/>
      <c r="G122" s="462"/>
      <c r="H122" s="462"/>
      <c r="I122" s="462"/>
      <c r="J122" s="462"/>
      <c r="K122" s="462"/>
      <c r="L122" s="462"/>
      <c r="M122" s="462"/>
      <c r="N122" s="463">
        <f>N117</f>
        <v>-16.5</v>
      </c>
      <c r="O122" s="463">
        <f t="shared" ref="O122:W122" si="113">O117</f>
        <v>-16.5</v>
      </c>
      <c r="P122" s="463">
        <f t="shared" si="113"/>
        <v>0</v>
      </c>
      <c r="Q122" s="463">
        <f t="shared" si="113"/>
        <v>0</v>
      </c>
      <c r="R122" s="463">
        <f t="shared" si="113"/>
        <v>0</v>
      </c>
      <c r="S122" s="463">
        <f t="shared" si="113"/>
        <v>0</v>
      </c>
      <c r="T122" s="463">
        <f t="shared" si="113"/>
        <v>0</v>
      </c>
      <c r="U122" s="463">
        <f t="shared" si="113"/>
        <v>0</v>
      </c>
      <c r="V122" s="463">
        <f t="shared" si="113"/>
        <v>0</v>
      </c>
      <c r="W122" s="463">
        <f t="shared" si="113"/>
        <v>0</v>
      </c>
      <c r="X122" s="462"/>
      <c r="Y122" s="462"/>
      <c r="Z122" s="462"/>
      <c r="AA122" s="464"/>
      <c r="AB122" s="464"/>
    </row>
    <row r="123" spans="1:42" s="6" customFormat="1">
      <c r="A123" s="4"/>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96"/>
      <c r="AB123" s="96"/>
      <c r="AC123" s="95"/>
      <c r="AD123" s="95"/>
      <c r="AE123" s="95"/>
      <c r="AF123" s="95"/>
      <c r="AG123" s="95"/>
      <c r="AH123" s="95"/>
      <c r="AI123" s="95"/>
      <c r="AJ123" s="95"/>
      <c r="AK123" s="95"/>
      <c r="AL123" s="95"/>
      <c r="AM123" s="95"/>
      <c r="AN123" s="95"/>
      <c r="AO123" s="95"/>
      <c r="AP123" s="95"/>
    </row>
    <row r="124" spans="1:42">
      <c r="A124" s="4" t="s">
        <v>29</v>
      </c>
      <c r="B124" s="326">
        <v>-57.4</v>
      </c>
      <c r="C124" s="326">
        <v>-62.9</v>
      </c>
      <c r="D124" s="326">
        <v>-62.8</v>
      </c>
      <c r="E124" s="326">
        <v>-50.8</v>
      </c>
      <c r="F124" s="326">
        <v>-61.980000000000004</v>
      </c>
      <c r="G124" s="326"/>
      <c r="H124" s="326"/>
      <c r="I124" s="326"/>
      <c r="J124" s="326"/>
      <c r="K124" s="326"/>
      <c r="L124" s="326">
        <v>-136</v>
      </c>
      <c r="M124" s="326"/>
      <c r="N124" s="326">
        <f>+N232</f>
        <v>-164.12666666666667</v>
      </c>
      <c r="O124" s="326">
        <f>+O232</f>
        <v>-158.75999376912262</v>
      </c>
      <c r="P124" s="326">
        <f t="shared" ref="P124:W124" si="114">+P232</f>
        <v>-164.78120272128749</v>
      </c>
      <c r="Q124" s="326">
        <f t="shared" si="114"/>
        <v>-160.02043932976957</v>
      </c>
      <c r="R124" s="326">
        <f t="shared" si="114"/>
        <v>-161.52735459758327</v>
      </c>
      <c r="S124" s="326">
        <f t="shared" si="114"/>
        <v>-156.45113533301787</v>
      </c>
      <c r="T124" s="326">
        <f t="shared" si="114"/>
        <v>-154.20557955583337</v>
      </c>
      <c r="U124" s="326">
        <f t="shared" si="114"/>
        <v>-154.09799402538914</v>
      </c>
      <c r="V124" s="326">
        <f t="shared" si="114"/>
        <v>-155.71928780952609</v>
      </c>
      <c r="W124" s="326">
        <f t="shared" si="114"/>
        <v>-158.75725692637715</v>
      </c>
      <c r="X124" s="326"/>
      <c r="Y124" s="326"/>
      <c r="Z124" s="326"/>
      <c r="AA124" s="91"/>
      <c r="AB124" s="91"/>
      <c r="AC124" s="91"/>
      <c r="AD124" s="91"/>
      <c r="AE124" s="91"/>
      <c r="AF124" s="91"/>
      <c r="AG124" s="91"/>
      <c r="AH124" s="91"/>
      <c r="AI124" s="91"/>
      <c r="AJ124" s="91"/>
      <c r="AK124" s="91"/>
      <c r="AL124" s="91"/>
      <c r="AM124" s="91"/>
      <c r="AN124" s="91"/>
      <c r="AO124" s="91"/>
      <c r="AP124" s="91"/>
    </row>
    <row r="125" spans="1:42">
      <c r="A125" s="7" t="s">
        <v>182</v>
      </c>
      <c r="B125" s="374">
        <v>16.5</v>
      </c>
      <c r="C125" s="374">
        <v>54.9</v>
      </c>
      <c r="D125" s="374">
        <v>28.3</v>
      </c>
      <c r="E125" s="374">
        <v>33.432977691561604</v>
      </c>
      <c r="F125" s="374">
        <v>33.447749623060545</v>
      </c>
      <c r="G125" s="374"/>
      <c r="H125" s="374"/>
      <c r="I125" s="374"/>
      <c r="J125" s="374"/>
      <c r="K125" s="374"/>
      <c r="L125" s="374">
        <f>+L118+L124</f>
        <v>15.5</v>
      </c>
      <c r="M125" s="374"/>
      <c r="N125" s="374">
        <f t="shared" ref="N125:W125" si="115">+N118+N124</f>
        <v>63.144051588959286</v>
      </c>
      <c r="O125" s="374">
        <f t="shared" si="115"/>
        <v>97.031937199334493</v>
      </c>
      <c r="P125" s="374">
        <f t="shared" si="115"/>
        <v>139.22305504209189</v>
      </c>
      <c r="Q125" s="374">
        <f t="shared" si="115"/>
        <v>163.64716407537227</v>
      </c>
      <c r="R125" s="374">
        <f t="shared" si="115"/>
        <v>181.3996564566491</v>
      </c>
      <c r="S125" s="374">
        <f t="shared" si="115"/>
        <v>205.72536724705026</v>
      </c>
      <c r="T125" s="374">
        <f t="shared" si="115"/>
        <v>228.69874963028587</v>
      </c>
      <c r="U125" s="374">
        <f t="shared" si="115"/>
        <v>249.28364815108642</v>
      </c>
      <c r="V125" s="374">
        <f t="shared" si="115"/>
        <v>268.24442790973978</v>
      </c>
      <c r="W125" s="374">
        <f t="shared" si="115"/>
        <v>285.86747938176541</v>
      </c>
      <c r="X125" s="374"/>
      <c r="Y125" s="374"/>
      <c r="Z125" s="374"/>
      <c r="AA125" s="92"/>
      <c r="AB125" s="92"/>
      <c r="AC125" s="91"/>
      <c r="AD125" s="91"/>
      <c r="AE125" s="91"/>
      <c r="AF125" s="91"/>
      <c r="AG125" s="91"/>
      <c r="AH125" s="91"/>
      <c r="AI125" s="91"/>
      <c r="AJ125" s="91"/>
      <c r="AK125" s="91"/>
      <c r="AL125" s="91"/>
      <c r="AM125" s="91"/>
      <c r="AN125" s="91"/>
      <c r="AO125" s="91"/>
      <c r="AP125" s="91"/>
    </row>
    <row r="126" spans="1:42">
      <c r="A126" s="14" t="s">
        <v>26</v>
      </c>
      <c r="B126" s="378">
        <v>8.1000000000000003E-2</v>
      </c>
      <c r="C126" s="378">
        <v>0.26700000000000002</v>
      </c>
      <c r="D126" s="378">
        <v>0.13700000000000001</v>
      </c>
      <c r="E126" s="378">
        <v>0.15696233658010142</v>
      </c>
      <c r="F126" s="378">
        <v>0.15053587326068238</v>
      </c>
      <c r="G126" s="378"/>
      <c r="H126" s="378"/>
      <c r="I126" s="378"/>
      <c r="J126" s="378"/>
      <c r="K126" s="378"/>
      <c r="L126" s="378">
        <f>+L125/L94</f>
        <v>3.3644454091599739E-2</v>
      </c>
      <c r="M126" s="378"/>
      <c r="N126" s="378">
        <f t="shared" ref="N126:W126" si="116">+N125/N94</f>
        <v>0.13208805376175667</v>
      </c>
      <c r="O126" s="378">
        <f t="shared" si="116"/>
        <v>0.19265556937916811</v>
      </c>
      <c r="P126" s="378">
        <f t="shared" si="116"/>
        <v>0.25932516744717443</v>
      </c>
      <c r="Q126" s="378">
        <f t="shared" si="116"/>
        <v>0.28652638881333897</v>
      </c>
      <c r="R126" s="378">
        <f t="shared" si="116"/>
        <v>0.29912760867550586</v>
      </c>
      <c r="S126" s="378">
        <f t="shared" si="116"/>
        <v>0.31958338117722573</v>
      </c>
      <c r="T126" s="378">
        <f t="shared" si="116"/>
        <v>0.33654996340746163</v>
      </c>
      <c r="U126" s="378">
        <f t="shared" si="116"/>
        <v>0.34772692168189723</v>
      </c>
      <c r="V126" s="378">
        <f t="shared" si="116"/>
        <v>0.35484964409878056</v>
      </c>
      <c r="W126" s="378">
        <f t="shared" si="116"/>
        <v>0.35876006719525178</v>
      </c>
      <c r="X126" s="378"/>
      <c r="Y126" s="378"/>
      <c r="Z126" s="378"/>
      <c r="AA126" s="92"/>
      <c r="AB126" s="92"/>
      <c r="AC126" s="91"/>
      <c r="AD126" s="91"/>
      <c r="AE126" s="91"/>
      <c r="AF126" s="91"/>
      <c r="AG126" s="91"/>
      <c r="AH126" s="91"/>
      <c r="AI126" s="91"/>
      <c r="AJ126" s="91"/>
      <c r="AK126" s="91"/>
      <c r="AL126" s="91"/>
      <c r="AM126" s="91"/>
      <c r="AN126" s="91"/>
      <c r="AO126" s="91"/>
      <c r="AP126" s="91"/>
    </row>
    <row r="127" spans="1:42">
      <c r="B127" s="329"/>
      <c r="C127" s="329"/>
      <c r="AA127" s="92"/>
      <c r="AB127" s="92"/>
      <c r="AC127" s="91"/>
      <c r="AD127" s="91"/>
      <c r="AE127" s="91"/>
      <c r="AF127" s="91"/>
      <c r="AG127" s="91"/>
      <c r="AH127" s="91"/>
      <c r="AI127" s="91"/>
      <c r="AJ127" s="91"/>
      <c r="AK127" s="91"/>
      <c r="AL127" s="91"/>
      <c r="AM127" s="91"/>
      <c r="AN127" s="91"/>
      <c r="AO127" s="91"/>
      <c r="AP127" s="91"/>
    </row>
    <row r="128" spans="1:42">
      <c r="A128" s="4" t="s">
        <v>151</v>
      </c>
      <c r="B128" s="326">
        <v>0.1</v>
      </c>
      <c r="C128" s="326">
        <v>0</v>
      </c>
      <c r="D128" s="326">
        <v>0</v>
      </c>
      <c r="E128" s="326">
        <v>0</v>
      </c>
      <c r="F128" s="373">
        <v>0</v>
      </c>
      <c r="G128" s="373"/>
      <c r="H128" s="373"/>
      <c r="I128" s="373"/>
      <c r="J128" s="373"/>
      <c r="K128" s="373"/>
      <c r="L128" s="373"/>
      <c r="M128" s="373"/>
      <c r="N128" s="373">
        <v>0</v>
      </c>
      <c r="O128" s="373">
        <v>0</v>
      </c>
      <c r="P128" s="373">
        <v>0</v>
      </c>
      <c r="Q128" s="373">
        <v>0</v>
      </c>
      <c r="R128" s="373">
        <v>0</v>
      </c>
      <c r="S128" s="373">
        <v>0</v>
      </c>
      <c r="T128" s="373">
        <v>0</v>
      </c>
      <c r="U128" s="373">
        <v>0</v>
      </c>
      <c r="V128" s="373">
        <v>0</v>
      </c>
      <c r="W128" s="373">
        <v>0</v>
      </c>
      <c r="X128" s="326"/>
      <c r="Y128" s="326"/>
      <c r="Z128" s="326"/>
      <c r="AA128" s="92"/>
      <c r="AB128" s="92"/>
      <c r="AC128" s="91"/>
      <c r="AD128" s="91"/>
      <c r="AE128" s="91"/>
      <c r="AF128" s="91"/>
      <c r="AG128" s="91"/>
      <c r="AH128" s="91"/>
      <c r="AI128" s="91"/>
      <c r="AJ128" s="91"/>
      <c r="AK128" s="91"/>
      <c r="AL128" s="91"/>
      <c r="AM128" s="91"/>
      <c r="AN128" s="91"/>
      <c r="AO128" s="91"/>
      <c r="AP128" s="91"/>
    </row>
    <row r="129" spans="1:42">
      <c r="A129" s="4" t="s">
        <v>87</v>
      </c>
      <c r="B129" s="326">
        <v>0.5</v>
      </c>
      <c r="C129" s="326">
        <v>0.6</v>
      </c>
      <c r="D129" s="326">
        <v>0.4</v>
      </c>
      <c r="E129" s="326">
        <v>0.1</v>
      </c>
      <c r="F129" s="373">
        <v>0.122</v>
      </c>
      <c r="G129" s="373"/>
      <c r="H129" s="373"/>
      <c r="I129" s="373"/>
      <c r="J129" s="373"/>
      <c r="K129" s="373"/>
      <c r="L129" s="373"/>
      <c r="M129" s="373"/>
      <c r="N129" s="373">
        <f>+F147*0.005</f>
        <v>0.62925279336141615</v>
      </c>
      <c r="O129" s="373">
        <f t="shared" ref="O129:W129" si="117">+N147*0.005</f>
        <v>0.31059934299870029</v>
      </c>
      <c r="P129" s="373">
        <f t="shared" si="117"/>
        <v>0.19723716909993796</v>
      </c>
      <c r="Q129" s="373">
        <f t="shared" si="117"/>
        <v>0.47733006658327642</v>
      </c>
      <c r="R129" s="373">
        <f t="shared" si="117"/>
        <v>0.68402949672875168</v>
      </c>
      <c r="S129" s="373">
        <f t="shared" si="117"/>
        <v>0.88795431242947043</v>
      </c>
      <c r="T129" s="373">
        <f t="shared" si="117"/>
        <v>1.0608749277357046</v>
      </c>
      <c r="U129" s="373">
        <f t="shared" si="117"/>
        <v>1.1812657839981837</v>
      </c>
      <c r="V129" s="373">
        <f t="shared" si="117"/>
        <v>1.2521875293932183</v>
      </c>
      <c r="W129" s="373">
        <f t="shared" si="117"/>
        <v>1.2832425757423971</v>
      </c>
      <c r="X129" s="326"/>
      <c r="Y129" s="326"/>
      <c r="Z129" s="326"/>
      <c r="AA129" s="93"/>
      <c r="AB129" s="93"/>
      <c r="AC129" s="91"/>
      <c r="AD129" s="91"/>
      <c r="AE129" s="91"/>
      <c r="AF129" s="91"/>
      <c r="AG129" s="91"/>
      <c r="AH129" s="91"/>
      <c r="AI129" s="91"/>
      <c r="AJ129" s="91"/>
      <c r="AK129" s="91"/>
      <c r="AL129" s="91"/>
      <c r="AM129" s="91"/>
      <c r="AN129" s="91"/>
      <c r="AO129" s="91"/>
      <c r="AP129" s="91"/>
    </row>
    <row r="130" spans="1:42" s="6" customFormat="1">
      <c r="A130" s="4" t="s">
        <v>88</v>
      </c>
      <c r="B130" s="326">
        <v>-34.9</v>
      </c>
      <c r="C130" s="326">
        <v>-32.299999999999997</v>
      </c>
      <c r="D130" s="326">
        <v>-28.3</v>
      </c>
      <c r="E130" s="326">
        <v>-45.8</v>
      </c>
      <c r="F130" s="326">
        <v>-18.558</v>
      </c>
      <c r="G130" s="326"/>
      <c r="H130" s="326"/>
      <c r="I130" s="326"/>
      <c r="J130" s="326"/>
      <c r="K130" s="326"/>
      <c r="L130" s="326">
        <v>-71.7</v>
      </c>
      <c r="M130" s="326"/>
      <c r="N130" s="326">
        <f t="shared" ref="N130:W130" si="118">-N314</f>
        <v>-81.390542499999995</v>
      </c>
      <c r="O130" s="326">
        <f t="shared" si="118"/>
        <v>-66.390542499999995</v>
      </c>
      <c r="P130" s="326">
        <f t="shared" si="118"/>
        <v>-66.390542499999995</v>
      </c>
      <c r="Q130" s="326">
        <f t="shared" si="118"/>
        <v>-66.390542499999995</v>
      </c>
      <c r="R130" s="326">
        <f t="shared" si="118"/>
        <v>-66.390542499999995</v>
      </c>
      <c r="S130" s="326">
        <f t="shared" si="118"/>
        <v>-66.390542499999995</v>
      </c>
      <c r="T130" s="326">
        <f t="shared" si="118"/>
        <v>-66.390542499999995</v>
      </c>
      <c r="U130" s="326">
        <f t="shared" si="118"/>
        <v>-66.390542499999995</v>
      </c>
      <c r="V130" s="326">
        <f t="shared" si="118"/>
        <v>-66.390542499999995</v>
      </c>
      <c r="W130" s="326">
        <f t="shared" si="118"/>
        <v>-66.390542499999995</v>
      </c>
      <c r="X130" s="326"/>
      <c r="Y130" s="326"/>
      <c r="Z130" s="326"/>
      <c r="AA130" s="96" t="s">
        <v>1102</v>
      </c>
      <c r="AB130" s="355">
        <v>30</v>
      </c>
      <c r="AC130" s="357">
        <f>+AB130/R94</f>
        <v>4.9469929742726619E-2</v>
      </c>
      <c r="AD130" s="95"/>
      <c r="AE130" s="95"/>
      <c r="AF130" s="95"/>
      <c r="AG130" s="95"/>
      <c r="AH130" s="95"/>
      <c r="AI130" s="95"/>
      <c r="AJ130" s="95"/>
      <c r="AK130" s="95"/>
      <c r="AL130" s="95"/>
      <c r="AM130" s="95"/>
      <c r="AN130" s="95"/>
      <c r="AO130" s="95"/>
      <c r="AP130" s="95"/>
    </row>
    <row r="131" spans="1:42" ht="12.75" customHeight="1">
      <c r="A131" s="4" t="s">
        <v>152</v>
      </c>
      <c r="B131" s="326">
        <v>-2.6</v>
      </c>
      <c r="C131" s="326">
        <v>-0.1</v>
      </c>
      <c r="D131" s="326">
        <v>-0.5</v>
      </c>
      <c r="E131" s="326">
        <v>-1.5</v>
      </c>
      <c r="F131" s="326"/>
      <c r="G131" s="326"/>
      <c r="H131" s="326"/>
      <c r="I131" s="326"/>
      <c r="J131" s="326"/>
      <c r="K131" s="326"/>
      <c r="L131" s="326"/>
      <c r="M131" s="326"/>
      <c r="N131" s="373">
        <v>15</v>
      </c>
      <c r="O131" s="373">
        <v>0</v>
      </c>
      <c r="P131" s="373">
        <v>0</v>
      </c>
      <c r="Q131" s="373">
        <v>0</v>
      </c>
      <c r="R131" s="373">
        <v>0</v>
      </c>
      <c r="S131" s="373">
        <v>0</v>
      </c>
      <c r="T131" s="373">
        <v>0</v>
      </c>
      <c r="U131" s="373">
        <v>0</v>
      </c>
      <c r="V131" s="373">
        <v>0</v>
      </c>
      <c r="W131" s="373">
        <v>0</v>
      </c>
      <c r="X131" s="326"/>
      <c r="Y131" s="326"/>
      <c r="Z131" s="326"/>
      <c r="AA131" s="91" t="s">
        <v>1103</v>
      </c>
      <c r="AB131" s="97">
        <f>+R52-N52</f>
        <v>-365.52435677530093</v>
      </c>
      <c r="AC131" s="356"/>
      <c r="AD131" s="91"/>
      <c r="AE131" s="91"/>
      <c r="AF131" s="91"/>
      <c r="AG131" s="91"/>
      <c r="AH131" s="91"/>
      <c r="AI131" s="91"/>
      <c r="AJ131" s="91"/>
      <c r="AK131" s="91"/>
      <c r="AL131" s="91"/>
      <c r="AM131" s="91"/>
      <c r="AN131" s="91"/>
      <c r="AO131" s="91"/>
      <c r="AP131" s="91"/>
    </row>
    <row r="132" spans="1:42">
      <c r="A132" s="7" t="s">
        <v>183</v>
      </c>
      <c r="B132" s="380">
        <v>-20.399999999999999</v>
      </c>
      <c r="C132" s="380">
        <v>23.1</v>
      </c>
      <c r="D132" s="380">
        <v>0</v>
      </c>
      <c r="E132" s="380">
        <v>-13.767022308438392</v>
      </c>
      <c r="F132" s="380">
        <v>15.011749623060545</v>
      </c>
      <c r="G132" s="380"/>
      <c r="H132" s="380"/>
      <c r="I132" s="380"/>
      <c r="J132" s="380"/>
      <c r="K132" s="380"/>
      <c r="L132" s="380">
        <f>+L131+L130+L129+L128+L125</f>
        <v>-56.2</v>
      </c>
      <c r="M132" s="380"/>
      <c r="N132" s="380">
        <f t="shared" ref="N132:W132" si="119">+N131+N130+N129+N128+N125</f>
        <v>-2.6172381176792925</v>
      </c>
      <c r="O132" s="380">
        <f t="shared" si="119"/>
        <v>30.951994042333197</v>
      </c>
      <c r="P132" s="380">
        <f t="shared" si="119"/>
        <v>73.029749711191826</v>
      </c>
      <c r="Q132" s="380">
        <f t="shared" si="119"/>
        <v>97.733951641955557</v>
      </c>
      <c r="R132" s="380">
        <f t="shared" si="119"/>
        <v>115.69314345337786</v>
      </c>
      <c r="S132" s="380">
        <f t="shared" si="119"/>
        <v>140.22277905947973</v>
      </c>
      <c r="T132" s="380">
        <f t="shared" si="119"/>
        <v>163.3690820580216</v>
      </c>
      <c r="U132" s="380">
        <f t="shared" si="119"/>
        <v>184.07437143508463</v>
      </c>
      <c r="V132" s="380">
        <f t="shared" si="119"/>
        <v>203.10607293913301</v>
      </c>
      <c r="W132" s="380">
        <f t="shared" si="119"/>
        <v>220.7601794575078</v>
      </c>
      <c r="X132" s="374"/>
      <c r="Y132" s="374"/>
      <c r="Z132" s="374"/>
      <c r="AA132" s="92" t="s">
        <v>1104</v>
      </c>
      <c r="AB132" s="92">
        <f>+AB131*R221*0.012</f>
        <v>23.739319142213979</v>
      </c>
      <c r="AC132" s="358">
        <f>+AB132/R94</f>
        <v>3.9146081670183026E-2</v>
      </c>
      <c r="AD132" s="91"/>
      <c r="AE132" s="91"/>
      <c r="AF132" s="91"/>
      <c r="AG132" s="91"/>
      <c r="AH132" s="91"/>
      <c r="AI132" s="91"/>
      <c r="AJ132" s="91"/>
      <c r="AK132" s="91"/>
      <c r="AL132" s="91"/>
      <c r="AM132" s="91"/>
      <c r="AN132" s="91"/>
      <c r="AO132" s="91"/>
      <c r="AP132" s="91"/>
    </row>
    <row r="133" spans="1:42">
      <c r="A133" s="14" t="s">
        <v>26</v>
      </c>
      <c r="B133" s="378">
        <v>-9.9658036150464091E-2</v>
      </c>
      <c r="C133" s="378">
        <v>0.11251826595226498</v>
      </c>
      <c r="D133" s="378">
        <v>0</v>
      </c>
      <c r="E133" s="378">
        <v>-6.4633907551353953E-2</v>
      </c>
      <c r="F133" s="378">
        <v>6.7562298335315074E-2</v>
      </c>
      <c r="G133" s="378"/>
      <c r="H133" s="378"/>
      <c r="I133" s="378"/>
      <c r="J133" s="378"/>
      <c r="K133" s="378"/>
      <c r="L133" s="378">
        <f>+L132/L94</f>
        <v>-0.12198827870631648</v>
      </c>
      <c r="M133" s="378"/>
      <c r="N133" s="378">
        <f t="shared" ref="N133:W133" si="120">+N132/N94</f>
        <v>-5.4748765797566872E-3</v>
      </c>
      <c r="O133" s="378">
        <f t="shared" si="120"/>
        <v>6.1454756111859014E-2</v>
      </c>
      <c r="P133" s="378">
        <f t="shared" si="120"/>
        <v>0.13602956828345936</v>
      </c>
      <c r="Q133" s="378">
        <f t="shared" si="120"/>
        <v>0.17112032699527441</v>
      </c>
      <c r="R133" s="378">
        <f t="shared" si="120"/>
        <v>0.19077772261179315</v>
      </c>
      <c r="S133" s="378">
        <f t="shared" si="120"/>
        <v>0.21782860543435564</v>
      </c>
      <c r="T133" s="378">
        <f t="shared" si="120"/>
        <v>0.24041171487566665</v>
      </c>
      <c r="U133" s="378">
        <f t="shared" si="120"/>
        <v>0.25676619792108563</v>
      </c>
      <c r="V133" s="378">
        <f t="shared" si="120"/>
        <v>0.26868076350500558</v>
      </c>
      <c r="W133" s="378">
        <f t="shared" si="120"/>
        <v>0.27705123012765914</v>
      </c>
      <c r="X133" s="378"/>
      <c r="Y133" s="378"/>
      <c r="Z133" s="378"/>
      <c r="AA133" s="93" t="s">
        <v>1105</v>
      </c>
      <c r="AB133" s="93"/>
      <c r="AC133" s="358">
        <f>+R113-F113</f>
        <v>9.0994772678568259E-2</v>
      </c>
      <c r="AD133" s="91"/>
      <c r="AE133" s="91"/>
      <c r="AF133" s="91"/>
      <c r="AG133" s="91"/>
      <c r="AH133" s="91"/>
      <c r="AI133" s="91"/>
      <c r="AJ133" s="91"/>
      <c r="AK133" s="91"/>
      <c r="AL133" s="91"/>
      <c r="AM133" s="91"/>
      <c r="AN133" s="91"/>
      <c r="AO133" s="91"/>
      <c r="AP133" s="91"/>
    </row>
    <row r="134" spans="1:42" s="6" customFormat="1">
      <c r="A134" s="4"/>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96"/>
      <c r="AB134" s="96"/>
      <c r="AC134" s="95"/>
      <c r="AD134" s="95"/>
      <c r="AE134" s="95"/>
      <c r="AF134" s="95"/>
      <c r="AG134" s="95"/>
      <c r="AH134" s="95"/>
      <c r="AI134" s="95"/>
      <c r="AJ134" s="95"/>
      <c r="AK134" s="95"/>
      <c r="AL134" s="95"/>
      <c r="AM134" s="95"/>
      <c r="AN134" s="95"/>
      <c r="AO134" s="95"/>
      <c r="AP134" s="95"/>
    </row>
    <row r="135" spans="1:42">
      <c r="A135" s="4" t="s">
        <v>86</v>
      </c>
      <c r="B135" s="326">
        <v>-1.1000000000000001</v>
      </c>
      <c r="C135" s="326">
        <v>-2.7</v>
      </c>
      <c r="D135" s="326">
        <v>-8.6</v>
      </c>
      <c r="E135" s="326">
        <v>-8</v>
      </c>
      <c r="F135" s="326">
        <v>-2.2517624434590817</v>
      </c>
      <c r="G135" s="326"/>
      <c r="H135" s="326"/>
      <c r="I135" s="326"/>
      <c r="J135" s="326"/>
      <c r="K135" s="326"/>
      <c r="L135" s="326">
        <v>-2.7</v>
      </c>
      <c r="M135" s="326"/>
      <c r="N135" s="326">
        <f t="shared" ref="N135:V135" si="121">+N318</f>
        <v>0.78517143530378775</v>
      </c>
      <c r="O135" s="326">
        <f t="shared" si="121"/>
        <v>-9.2855982126999592</v>
      </c>
      <c r="P135" s="326">
        <f t="shared" si="121"/>
        <v>-21.908924913357549</v>
      </c>
      <c r="Q135" s="326">
        <f t="shared" si="121"/>
        <v>-29.320185492586667</v>
      </c>
      <c r="R135" s="326">
        <f t="shared" si="121"/>
        <v>-34.707943036013354</v>
      </c>
      <c r="S135" s="326">
        <f t="shared" si="121"/>
        <v>-42.06683371784392</v>
      </c>
      <c r="T135" s="326">
        <f t="shared" si="121"/>
        <v>-49.010724617406481</v>
      </c>
      <c r="U135" s="326">
        <f t="shared" si="121"/>
        <v>-55.222311430525387</v>
      </c>
      <c r="V135" s="326">
        <f t="shared" si="121"/>
        <v>-60.9318218817399</v>
      </c>
      <c r="W135" s="326">
        <f>+W318</f>
        <v>-66.228053837252332</v>
      </c>
      <c r="X135" s="326"/>
      <c r="Y135" s="326"/>
      <c r="Z135" s="326"/>
      <c r="AA135" s="92"/>
      <c r="AB135" s="92"/>
      <c r="AC135" s="91"/>
      <c r="AD135" s="91"/>
      <c r="AE135" s="91"/>
      <c r="AF135" s="91"/>
      <c r="AG135" s="91"/>
      <c r="AH135" s="91"/>
      <c r="AI135" s="91"/>
      <c r="AJ135" s="91"/>
      <c r="AK135" s="91"/>
      <c r="AL135" s="91"/>
      <c r="AM135" s="91"/>
      <c r="AN135" s="91"/>
      <c r="AO135" s="91"/>
      <c r="AP135" s="91"/>
    </row>
    <row r="136" spans="1:42">
      <c r="A136" s="7" t="s">
        <v>184</v>
      </c>
      <c r="B136" s="380">
        <v>-21.6</v>
      </c>
      <c r="C136" s="380">
        <v>20.5</v>
      </c>
      <c r="D136" s="380">
        <v>-8.6</v>
      </c>
      <c r="E136" s="380">
        <v>-21.767022308438392</v>
      </c>
      <c r="F136" s="380">
        <v>12.759987179601463</v>
      </c>
      <c r="G136" s="380"/>
      <c r="H136" s="380"/>
      <c r="I136" s="380"/>
      <c r="J136" s="380"/>
      <c r="K136" s="380"/>
      <c r="L136" s="380">
        <f t="shared" ref="L136:V136" si="122">+L135+L132</f>
        <v>-58.900000000000006</v>
      </c>
      <c r="M136" s="380"/>
      <c r="N136" s="380">
        <f t="shared" si="122"/>
        <v>-1.8320666823755047</v>
      </c>
      <c r="O136" s="380">
        <f t="shared" si="122"/>
        <v>21.666395829633238</v>
      </c>
      <c r="P136" s="380">
        <f t="shared" si="122"/>
        <v>51.120824797834274</v>
      </c>
      <c r="Q136" s="380">
        <f t="shared" si="122"/>
        <v>68.413766149368882</v>
      </c>
      <c r="R136" s="380">
        <f t="shared" si="122"/>
        <v>80.985200417364496</v>
      </c>
      <c r="S136" s="380">
        <f t="shared" si="122"/>
        <v>98.155945341635814</v>
      </c>
      <c r="T136" s="380">
        <f t="shared" si="122"/>
        <v>114.35835744061512</v>
      </c>
      <c r="U136" s="380">
        <f t="shared" si="122"/>
        <v>128.85206000455923</v>
      </c>
      <c r="V136" s="380">
        <f t="shared" si="122"/>
        <v>142.17425105739312</v>
      </c>
      <c r="W136" s="380">
        <f>+W135+W132</f>
        <v>154.53212562025547</v>
      </c>
      <c r="X136" s="374"/>
      <c r="Y136" s="374"/>
      <c r="Z136" s="374"/>
      <c r="AA136" s="92"/>
      <c r="AB136" s="92"/>
      <c r="AC136" s="91"/>
      <c r="AD136" s="91"/>
      <c r="AE136" s="91"/>
      <c r="AF136" s="91"/>
      <c r="AG136" s="91"/>
      <c r="AH136" s="91"/>
      <c r="AI136" s="91"/>
      <c r="AJ136" s="91"/>
      <c r="AK136" s="91"/>
      <c r="AL136" s="91"/>
      <c r="AM136" s="91"/>
      <c r="AN136" s="91"/>
      <c r="AO136" s="91"/>
      <c r="AP136" s="91"/>
    </row>
    <row r="137" spans="1:42">
      <c r="A137" s="14" t="s">
        <v>26</v>
      </c>
      <c r="B137" s="378">
        <v>-0.10552027357107964</v>
      </c>
      <c r="C137" s="378">
        <v>9.9853872381880177E-2</v>
      </c>
      <c r="D137" s="378">
        <v>-4.1707080504364696E-2</v>
      </c>
      <c r="E137" s="378">
        <v>-0.10219259299736334</v>
      </c>
      <c r="F137" s="378">
        <v>5.7427953585017809E-2</v>
      </c>
      <c r="G137" s="378"/>
      <c r="H137" s="378"/>
      <c r="I137" s="378"/>
      <c r="J137" s="378"/>
      <c r="K137" s="378"/>
      <c r="L137" s="378">
        <f>+L136/L94</f>
        <v>-0.12784892554807903</v>
      </c>
      <c r="M137" s="378"/>
      <c r="N137" s="378">
        <f t="shared" ref="N137:W137" si="123">+N136/N94</f>
        <v>-3.8324136058296809E-3</v>
      </c>
      <c r="O137" s="378">
        <f t="shared" si="123"/>
        <v>4.3018329278301307E-2</v>
      </c>
      <c r="P137" s="378">
        <f t="shared" si="123"/>
        <v>9.5220697798421544E-2</v>
      </c>
      <c r="Q137" s="378">
        <f t="shared" si="123"/>
        <v>0.11978422889669207</v>
      </c>
      <c r="R137" s="378">
        <f t="shared" si="123"/>
        <v>0.13354440582825522</v>
      </c>
      <c r="S137" s="378">
        <f t="shared" si="123"/>
        <v>0.15248002380404893</v>
      </c>
      <c r="T137" s="378">
        <f t="shared" si="123"/>
        <v>0.16828820041296666</v>
      </c>
      <c r="U137" s="378">
        <f t="shared" si="123"/>
        <v>0.17973633854475993</v>
      </c>
      <c r="V137" s="378">
        <f t="shared" si="123"/>
        <v>0.18807653445350392</v>
      </c>
      <c r="W137" s="378">
        <f t="shared" si="123"/>
        <v>0.19393586108936139</v>
      </c>
      <c r="X137" s="378"/>
      <c r="Y137" s="378"/>
      <c r="Z137" s="378"/>
      <c r="AA137" s="97"/>
      <c r="AB137" s="97"/>
      <c r="AC137" s="91"/>
      <c r="AD137" s="91"/>
      <c r="AE137" s="91"/>
      <c r="AF137" s="91"/>
      <c r="AG137" s="91"/>
      <c r="AH137" s="91"/>
      <c r="AI137" s="91"/>
      <c r="AJ137" s="91"/>
      <c r="AK137" s="91"/>
      <c r="AL137" s="91"/>
      <c r="AM137" s="91"/>
      <c r="AN137" s="91"/>
      <c r="AO137" s="91"/>
      <c r="AP137" s="91"/>
    </row>
    <row r="138" spans="1:42">
      <c r="A138" s="4" t="s">
        <v>89</v>
      </c>
      <c r="B138" s="326">
        <v>-23.9</v>
      </c>
      <c r="C138" s="326">
        <v>17.600000000000001</v>
      </c>
      <c r="D138" s="326">
        <v>-12</v>
      </c>
      <c r="E138" s="326">
        <v>-23.967022308438391</v>
      </c>
      <c r="F138" s="326">
        <v>9.7599871796014632</v>
      </c>
      <c r="G138" s="326"/>
      <c r="H138" s="326"/>
      <c r="I138" s="326"/>
      <c r="J138" s="326"/>
      <c r="K138" s="326"/>
      <c r="L138" s="326"/>
      <c r="M138" s="326"/>
      <c r="N138" s="326">
        <f t="shared" ref="N138:W138" si="124">+N136-N139</f>
        <v>-4.8320666823755047</v>
      </c>
      <c r="O138" s="326">
        <f t="shared" si="124"/>
        <v>18.666395829633238</v>
      </c>
      <c r="P138" s="326">
        <f t="shared" si="124"/>
        <v>48.120824797834274</v>
      </c>
      <c r="Q138" s="326">
        <f t="shared" si="124"/>
        <v>65.413766149368882</v>
      </c>
      <c r="R138" s="326">
        <f t="shared" si="124"/>
        <v>77.985200417364496</v>
      </c>
      <c r="S138" s="326">
        <f t="shared" si="124"/>
        <v>95.155945341635814</v>
      </c>
      <c r="T138" s="326">
        <f t="shared" si="124"/>
        <v>111.35835744061512</v>
      </c>
      <c r="U138" s="326">
        <f t="shared" si="124"/>
        <v>125.85206000455923</v>
      </c>
      <c r="V138" s="326">
        <f t="shared" si="124"/>
        <v>139.17425105739312</v>
      </c>
      <c r="W138" s="326">
        <f t="shared" si="124"/>
        <v>151.53212562025547</v>
      </c>
      <c r="X138" s="326"/>
      <c r="Y138" s="326"/>
      <c r="Z138" s="326"/>
      <c r="AA138" s="91"/>
      <c r="AB138" s="91"/>
      <c r="AC138" s="91"/>
      <c r="AD138" s="91"/>
      <c r="AE138" s="91"/>
      <c r="AF138" s="91"/>
      <c r="AG138" s="91"/>
      <c r="AH138" s="91"/>
      <c r="AI138" s="91"/>
      <c r="AJ138" s="91"/>
      <c r="AK138" s="91"/>
      <c r="AL138" s="91"/>
      <c r="AM138" s="91"/>
      <c r="AN138" s="91"/>
      <c r="AO138" s="91"/>
      <c r="AP138" s="91"/>
    </row>
    <row r="139" spans="1:42">
      <c r="A139" s="4" t="s">
        <v>90</v>
      </c>
      <c r="B139" s="326">
        <v>2.2999999999999998</v>
      </c>
      <c r="C139" s="326">
        <v>2.9</v>
      </c>
      <c r="D139" s="326">
        <v>3.3</v>
      </c>
      <c r="E139" s="326">
        <v>2.2000000000000002</v>
      </c>
      <c r="F139" s="373">
        <v>3</v>
      </c>
      <c r="G139" s="373"/>
      <c r="H139" s="373"/>
      <c r="I139" s="373"/>
      <c r="J139" s="373"/>
      <c r="K139" s="373"/>
      <c r="L139" s="373"/>
      <c r="M139" s="373"/>
      <c r="N139" s="373">
        <v>3</v>
      </c>
      <c r="O139" s="373">
        <v>3</v>
      </c>
      <c r="P139" s="373">
        <v>3</v>
      </c>
      <c r="Q139" s="373">
        <v>3</v>
      </c>
      <c r="R139" s="373">
        <v>3</v>
      </c>
      <c r="S139" s="373">
        <v>3</v>
      </c>
      <c r="T139" s="373">
        <v>3</v>
      </c>
      <c r="U139" s="373">
        <v>3</v>
      </c>
      <c r="V139" s="373">
        <v>3</v>
      </c>
      <c r="W139" s="373">
        <v>3</v>
      </c>
      <c r="X139" s="326"/>
      <c r="Y139" s="326"/>
      <c r="Z139" s="326"/>
      <c r="AA139" s="91"/>
      <c r="AB139" s="91"/>
      <c r="AC139" s="91"/>
      <c r="AD139" s="91"/>
      <c r="AE139" s="91"/>
      <c r="AF139" s="91"/>
      <c r="AG139" s="91"/>
      <c r="AH139" s="91"/>
      <c r="AI139" s="91"/>
      <c r="AJ139" s="91"/>
      <c r="AK139" s="91"/>
      <c r="AL139" s="91"/>
      <c r="AM139" s="91"/>
      <c r="AN139" s="91"/>
      <c r="AO139" s="91"/>
      <c r="AP139" s="91"/>
    </row>
    <row r="140" spans="1:42">
      <c r="B140" s="329"/>
      <c r="C140" s="329"/>
      <c r="D140" s="329"/>
      <c r="E140" s="329"/>
      <c r="F140" s="329"/>
      <c r="G140" s="329"/>
      <c r="H140" s="329"/>
      <c r="I140" s="329"/>
      <c r="J140" s="329"/>
      <c r="K140" s="329"/>
      <c r="L140" s="329"/>
      <c r="M140" s="329"/>
      <c r="N140" s="329"/>
      <c r="O140" s="329"/>
      <c r="P140" s="329"/>
      <c r="Q140" s="329"/>
      <c r="R140" s="329"/>
      <c r="S140" s="329"/>
      <c r="T140" s="329"/>
      <c r="U140" s="329"/>
      <c r="V140" s="329"/>
      <c r="W140" s="329"/>
      <c r="X140" s="329"/>
      <c r="Y140" s="329"/>
      <c r="Z140" s="329"/>
      <c r="AA140" s="91"/>
      <c r="AB140" s="91"/>
      <c r="AC140" s="91"/>
      <c r="AD140" s="91"/>
      <c r="AE140" s="91"/>
      <c r="AF140" s="91"/>
      <c r="AG140" s="91"/>
      <c r="AH140" s="91"/>
      <c r="AI140" s="91"/>
      <c r="AJ140" s="91"/>
      <c r="AK140" s="91"/>
      <c r="AL140" s="91"/>
      <c r="AM140" s="91"/>
      <c r="AN140" s="91"/>
      <c r="AO140" s="91"/>
      <c r="AP140" s="91"/>
    </row>
    <row r="141" spans="1:42">
      <c r="A141" s="16"/>
      <c r="AA141" s="91"/>
      <c r="AB141" s="91"/>
      <c r="AC141" s="91"/>
      <c r="AD141" s="91"/>
      <c r="AE141" s="91"/>
      <c r="AF141" s="91"/>
      <c r="AG141" s="91"/>
      <c r="AH141" s="91"/>
      <c r="AI141" s="91"/>
      <c r="AJ141" s="91"/>
      <c r="AK141" s="91"/>
      <c r="AL141" s="91"/>
      <c r="AM141" s="91"/>
      <c r="AN141" s="91"/>
      <c r="AO141" s="91"/>
      <c r="AP141" s="91"/>
    </row>
    <row r="142" spans="1:42">
      <c r="A142" s="17"/>
      <c r="B142" s="381"/>
      <c r="C142" s="381"/>
      <c r="D142" s="381"/>
      <c r="E142" s="381"/>
      <c r="F142" s="381"/>
      <c r="G142" s="381"/>
      <c r="H142" s="381"/>
      <c r="I142" s="381"/>
      <c r="J142" s="381"/>
      <c r="K142" s="381"/>
      <c r="L142" s="381"/>
      <c r="M142" s="381"/>
      <c r="N142" s="381"/>
      <c r="O142" s="381"/>
      <c r="P142" s="381"/>
      <c r="Q142" s="381"/>
      <c r="R142" s="381"/>
      <c r="S142" s="381"/>
      <c r="T142" s="381"/>
      <c r="U142" s="381"/>
      <c r="V142" s="381"/>
      <c r="W142" s="381"/>
      <c r="AA142" s="98"/>
      <c r="AB142" s="98"/>
      <c r="AC142" s="91"/>
      <c r="AD142" s="91"/>
      <c r="AE142" s="91"/>
      <c r="AF142" s="91"/>
      <c r="AG142" s="91"/>
      <c r="AH142" s="91"/>
      <c r="AI142" s="91"/>
      <c r="AJ142" s="91"/>
      <c r="AK142" s="91"/>
      <c r="AL142" s="91"/>
      <c r="AM142" s="91"/>
      <c r="AN142" s="91"/>
      <c r="AO142" s="91"/>
      <c r="AP142" s="91"/>
    </row>
    <row r="143" spans="1:42">
      <c r="A143" s="18" t="s">
        <v>667</v>
      </c>
      <c r="B143" s="80" t="str">
        <f>B$3</f>
        <v>2011A</v>
      </c>
      <c r="C143" s="80" t="str">
        <f t="shared" ref="C143:W143" si="125">C$3</f>
        <v>2012A</v>
      </c>
      <c r="D143" s="80" t="str">
        <f t="shared" si="125"/>
        <v>2013A</v>
      </c>
      <c r="E143" s="80" t="str">
        <f t="shared" si="125"/>
        <v>2014A</v>
      </c>
      <c r="F143" s="80" t="str">
        <f t="shared" si="125"/>
        <v>2015A</v>
      </c>
      <c r="G143" s="80" t="str">
        <f t="shared" si="125"/>
        <v>Prima 14A</v>
      </c>
      <c r="H143" s="80" t="str">
        <f t="shared" si="125"/>
        <v>Prima 15E</v>
      </c>
      <c r="I143" s="80" t="str">
        <f t="shared" si="125"/>
        <v>pep 14A</v>
      </c>
      <c r="J143" s="80" t="str">
        <f t="shared" si="125"/>
        <v>pep 15E</v>
      </c>
      <c r="K143" s="80" t="str">
        <f t="shared" si="125"/>
        <v>Adj.</v>
      </c>
      <c r="L143" s="80" t="str">
        <f t="shared" si="125"/>
        <v>PF 2015E</v>
      </c>
      <c r="M143" s="80"/>
      <c r="N143" s="80" t="str">
        <f t="shared" si="125"/>
        <v>2016E</v>
      </c>
      <c r="O143" s="80" t="str">
        <f t="shared" si="125"/>
        <v>2017E</v>
      </c>
      <c r="P143" s="80" t="str">
        <f t="shared" si="125"/>
        <v>2018E</v>
      </c>
      <c r="Q143" s="80" t="str">
        <f t="shared" si="125"/>
        <v>2019E</v>
      </c>
      <c r="R143" s="80" t="str">
        <f t="shared" si="125"/>
        <v>2020E</v>
      </c>
      <c r="S143" s="80" t="str">
        <f t="shared" si="125"/>
        <v>2021E</v>
      </c>
      <c r="T143" s="80" t="str">
        <f t="shared" si="125"/>
        <v>2022E</v>
      </c>
      <c r="U143" s="80" t="str">
        <f t="shared" si="125"/>
        <v>2023E</v>
      </c>
      <c r="V143" s="80" t="str">
        <f t="shared" si="125"/>
        <v>2024E</v>
      </c>
      <c r="W143" s="80" t="str">
        <f t="shared" si="125"/>
        <v>2025E</v>
      </c>
      <c r="AA143" s="92"/>
      <c r="AB143" s="92"/>
      <c r="AC143" s="91"/>
      <c r="AD143" s="91"/>
      <c r="AE143" s="91"/>
      <c r="AF143" s="91"/>
      <c r="AG143" s="91"/>
      <c r="AH143" s="91"/>
      <c r="AI143" s="91"/>
      <c r="AJ143" s="91"/>
      <c r="AK143" s="91"/>
      <c r="AL143" s="91"/>
      <c r="AM143" s="91"/>
      <c r="AN143" s="91"/>
      <c r="AO143" s="91"/>
      <c r="AP143" s="91"/>
    </row>
    <row r="144" spans="1:42">
      <c r="A144" s="4" t="s">
        <v>38</v>
      </c>
      <c r="B144" s="326">
        <v>204.5</v>
      </c>
      <c r="C144" s="326">
        <v>206.9</v>
      </c>
      <c r="D144" s="326">
        <v>207.8</v>
      </c>
      <c r="E144" s="326">
        <v>209.9</v>
      </c>
      <c r="F144" s="326">
        <v>259.92</v>
      </c>
      <c r="G144" s="326"/>
      <c r="H144" s="326"/>
      <c r="I144" s="326">
        <v>252.07499999999999</v>
      </c>
      <c r="J144" s="326"/>
      <c r="K144" s="326"/>
      <c r="L144" s="326"/>
      <c r="M144" s="326"/>
      <c r="N144" s="326">
        <f t="shared" ref="N144:V144" si="126">+N228</f>
        <v>638.29597133796403</v>
      </c>
      <c r="O144" s="326">
        <f t="shared" si="126"/>
        <v>680.47165279005105</v>
      </c>
      <c r="P144" s="326">
        <f t="shared" si="126"/>
        <v>658.09606484991696</v>
      </c>
      <c r="Q144" s="326">
        <f t="shared" si="126"/>
        <v>636.87309568912474</v>
      </c>
      <c r="R144" s="326">
        <f t="shared" si="126"/>
        <v>611.78010899858043</v>
      </c>
      <c r="S144" s="326">
        <f t="shared" si="126"/>
        <v>599.42510800125012</v>
      </c>
      <c r="T144" s="326">
        <f t="shared" si="126"/>
        <v>596.69097311425116</v>
      </c>
      <c r="U144" s="326">
        <f t="shared" si="126"/>
        <v>601.73679514286744</v>
      </c>
      <c r="V144" s="326">
        <f t="shared" si="126"/>
        <v>613.15765616869714</v>
      </c>
      <c r="W144" s="326">
        <f>+W228</f>
        <v>629.88999050423558</v>
      </c>
      <c r="X144" s="326"/>
      <c r="Y144" s="326"/>
      <c r="Z144" s="326"/>
      <c r="AA144" s="92"/>
      <c r="AB144" s="92"/>
      <c r="AC144" s="91"/>
      <c r="AD144" s="91"/>
      <c r="AE144" s="91"/>
      <c r="AF144" s="91"/>
      <c r="AG144" s="91"/>
      <c r="AH144" s="91"/>
      <c r="AI144" s="91"/>
      <c r="AJ144" s="91"/>
      <c r="AK144" s="91"/>
      <c r="AL144" s="91"/>
      <c r="AM144" s="91"/>
      <c r="AN144" s="91"/>
      <c r="AO144" s="91"/>
      <c r="AP144" s="91"/>
    </row>
    <row r="145" spans="1:42">
      <c r="A145" s="4" t="s">
        <v>39</v>
      </c>
      <c r="B145" s="326">
        <v>386.1</v>
      </c>
      <c r="C145" s="326">
        <v>380.7</v>
      </c>
      <c r="D145" s="326">
        <v>372.2</v>
      </c>
      <c r="E145" s="326">
        <v>381.8</v>
      </c>
      <c r="F145" s="326">
        <v>384.8</v>
      </c>
      <c r="G145" s="326"/>
      <c r="H145" s="326"/>
      <c r="I145" s="326">
        <f>133.98+0.375</f>
        <v>134.35499999999999</v>
      </c>
      <c r="J145" s="326"/>
      <c r="K145" s="326"/>
      <c r="L145" s="326"/>
      <c r="M145" s="326"/>
      <c r="N145" s="326">
        <f t="shared" ref="N145:V145" si="127">+N229</f>
        <v>1392.2991595011576</v>
      </c>
      <c r="O145" s="326">
        <f t="shared" si="127"/>
        <v>1404.5330783064601</v>
      </c>
      <c r="P145" s="326">
        <f t="shared" si="127"/>
        <v>1415.1344820017484</v>
      </c>
      <c r="Q145" s="326">
        <f t="shared" si="127"/>
        <v>1424.8338495439928</v>
      </c>
      <c r="R145" s="326">
        <f t="shared" si="127"/>
        <v>1433.9424415207525</v>
      </c>
      <c r="S145" s="326">
        <f t="shared" si="127"/>
        <v>1444.3414751046744</v>
      </c>
      <c r="T145" s="326">
        <f t="shared" si="127"/>
        <v>1455.9593362718829</v>
      </c>
      <c r="U145" s="326">
        <f t="shared" si="127"/>
        <v>1468.8702902853843</v>
      </c>
      <c r="V145" s="326">
        <f t="shared" si="127"/>
        <v>1483.1553274942232</v>
      </c>
      <c r="W145" s="326">
        <f>+W229</f>
        <v>1498.9027253097022</v>
      </c>
      <c r="X145" s="326"/>
      <c r="Y145" s="326"/>
      <c r="Z145" s="326"/>
      <c r="AA145" s="92"/>
      <c r="AB145" s="92"/>
      <c r="AC145" s="91"/>
      <c r="AD145" s="91"/>
      <c r="AE145" s="91"/>
      <c r="AF145" s="91"/>
      <c r="AG145" s="91"/>
      <c r="AH145" s="91"/>
      <c r="AI145" s="91"/>
      <c r="AJ145" s="91"/>
      <c r="AK145" s="91"/>
      <c r="AL145" s="91"/>
      <c r="AM145" s="91"/>
      <c r="AN145" s="91"/>
      <c r="AO145" s="91"/>
      <c r="AP145" s="91"/>
    </row>
    <row r="146" spans="1:42">
      <c r="A146" s="4" t="s">
        <v>786</v>
      </c>
      <c r="B146" s="75">
        <v>-101.8</v>
      </c>
      <c r="C146" s="75">
        <v>-82.6</v>
      </c>
      <c r="D146" s="75">
        <v>-61.5</v>
      </c>
      <c r="E146" s="75">
        <v>-107.3</v>
      </c>
      <c r="F146" s="368">
        <f>+E146+F138</f>
        <v>-97.54001282039853</v>
      </c>
      <c r="L146" s="454">
        <f>L177</f>
        <v>545.68200000000002</v>
      </c>
      <c r="N146" s="326">
        <f>+L146+N136-N349</f>
        <v>543.8499333176245</v>
      </c>
      <c r="O146" s="326">
        <f>+N146+O136-O349</f>
        <v>565.51632914725769</v>
      </c>
      <c r="P146" s="326">
        <f t="shared" ref="P146:W146" si="128">+O146+P136-P349</f>
        <v>597.13739769842209</v>
      </c>
      <c r="Q146" s="326">
        <f t="shared" si="128"/>
        <v>619.54242152974018</v>
      </c>
      <c r="R146" s="326">
        <f t="shared" si="128"/>
        <v>638.95523241267267</v>
      </c>
      <c r="S146" s="326">
        <f t="shared" si="128"/>
        <v>664.22449737868044</v>
      </c>
      <c r="T146" s="326">
        <f t="shared" si="128"/>
        <v>690.24250401182337</v>
      </c>
      <c r="U146" s="326">
        <f t="shared" si="128"/>
        <v>716.17204231982896</v>
      </c>
      <c r="V146" s="326">
        <f t="shared" si="128"/>
        <v>742.37943937311877</v>
      </c>
      <c r="W146" s="326">
        <f t="shared" si="128"/>
        <v>768.95473904172036</v>
      </c>
      <c r="AA146" s="91"/>
      <c r="AB146" s="91"/>
      <c r="AC146" s="91"/>
      <c r="AD146" s="91"/>
      <c r="AE146" s="91"/>
      <c r="AF146" s="91"/>
      <c r="AG146" s="91"/>
      <c r="AH146" s="91"/>
      <c r="AI146" s="91"/>
      <c r="AJ146" s="91"/>
      <c r="AK146" s="91"/>
      <c r="AL146" s="91"/>
      <c r="AM146" s="91"/>
      <c r="AN146" s="91"/>
      <c r="AO146" s="91"/>
      <c r="AP146" s="91"/>
    </row>
    <row r="147" spans="1:42">
      <c r="A147" s="4" t="s">
        <v>48</v>
      </c>
      <c r="B147" s="326">
        <v>45.6</v>
      </c>
      <c r="C147" s="326">
        <v>22</v>
      </c>
      <c r="D147" s="326">
        <v>70.5</v>
      </c>
      <c r="E147" s="326">
        <v>24.4</v>
      </c>
      <c r="F147" s="326">
        <v>125.85055867228323</v>
      </c>
      <c r="G147" s="326"/>
      <c r="H147" s="326"/>
      <c r="I147" s="326">
        <v>38.200000000000003</v>
      </c>
      <c r="J147" s="326"/>
      <c r="K147" s="326"/>
      <c r="L147" s="373">
        <f>L158</f>
        <v>85.177999999999997</v>
      </c>
      <c r="M147" s="326"/>
      <c r="N147" s="327">
        <f>+L147+N201</f>
        <v>62.119868599740059</v>
      </c>
      <c r="O147" s="327">
        <f t="shared" ref="O147:W147" si="129">+N147+O201</f>
        <v>39.447433819987594</v>
      </c>
      <c r="P147" s="327">
        <f t="shared" si="129"/>
        <v>95.466013316655278</v>
      </c>
      <c r="Q147" s="327">
        <f t="shared" si="129"/>
        <v>136.80589934575033</v>
      </c>
      <c r="R147" s="327">
        <f t="shared" si="129"/>
        <v>177.59086248589409</v>
      </c>
      <c r="S147" s="327">
        <f t="shared" si="129"/>
        <v>212.17498554714092</v>
      </c>
      <c r="T147" s="327">
        <f t="shared" si="129"/>
        <v>236.25315679963674</v>
      </c>
      <c r="U147" s="327">
        <f t="shared" si="129"/>
        <v>250.43750587864366</v>
      </c>
      <c r="V147" s="327">
        <f t="shared" si="129"/>
        <v>256.64851514847942</v>
      </c>
      <c r="W147" s="327">
        <f t="shared" si="129"/>
        <v>256.04031462157621</v>
      </c>
      <c r="Z147" s="326"/>
      <c r="AA147" s="93"/>
      <c r="AB147" s="93"/>
      <c r="AC147" s="91"/>
      <c r="AD147" s="91"/>
      <c r="AE147" s="91"/>
      <c r="AF147" s="91"/>
      <c r="AG147" s="91"/>
      <c r="AH147" s="91"/>
      <c r="AI147" s="91"/>
      <c r="AJ147" s="91"/>
      <c r="AK147" s="91"/>
      <c r="AL147" s="91"/>
      <c r="AM147" s="91"/>
      <c r="AN147" s="91"/>
      <c r="AO147" s="91"/>
      <c r="AP147" s="91"/>
    </row>
    <row r="148" spans="1:42">
      <c r="A148" s="4" t="s">
        <v>54</v>
      </c>
      <c r="B148" s="326">
        <v>597</v>
      </c>
      <c r="C148" s="326">
        <v>601.9</v>
      </c>
      <c r="D148" s="326">
        <v>43.5</v>
      </c>
      <c r="E148" s="326">
        <v>640.5</v>
      </c>
      <c r="F148" s="326">
        <v>487.4</v>
      </c>
      <c r="G148" s="326"/>
      <c r="H148" s="326"/>
      <c r="I148" s="326">
        <f>15.027+179.752</f>
        <v>194.779</v>
      </c>
      <c r="J148" s="326"/>
      <c r="K148" s="326"/>
      <c r="L148" s="326"/>
      <c r="M148" s="326"/>
      <c r="N148" s="326">
        <f t="shared" ref="N148:W148" si="130">+N256</f>
        <v>1220.8789999999999</v>
      </c>
      <c r="O148" s="326">
        <f t="shared" si="130"/>
        <v>1220.8789999999999</v>
      </c>
      <c r="P148" s="326">
        <f t="shared" si="130"/>
        <v>1220.8789999999999</v>
      </c>
      <c r="Q148" s="326">
        <f t="shared" si="130"/>
        <v>1220.8789999999999</v>
      </c>
      <c r="R148" s="326">
        <f t="shared" si="130"/>
        <v>1220.8789999999999</v>
      </c>
      <c r="S148" s="326">
        <f t="shared" si="130"/>
        <v>1220.8789999999999</v>
      </c>
      <c r="T148" s="326">
        <f t="shared" si="130"/>
        <v>1220.8789999999999</v>
      </c>
      <c r="U148" s="326">
        <f t="shared" si="130"/>
        <v>1220.8789999999999</v>
      </c>
      <c r="V148" s="326">
        <f t="shared" si="130"/>
        <v>1220.8789999999999</v>
      </c>
      <c r="W148" s="326">
        <f t="shared" si="130"/>
        <v>1220.8789999999999</v>
      </c>
      <c r="X148" s="326"/>
      <c r="Y148" s="326"/>
      <c r="Z148" s="326"/>
      <c r="AA148" s="92"/>
      <c r="AB148" s="92"/>
      <c r="AC148" s="91"/>
      <c r="AD148" s="91"/>
      <c r="AE148" s="91"/>
      <c r="AF148" s="91"/>
      <c r="AG148" s="91"/>
      <c r="AH148" s="91"/>
      <c r="AI148" s="91"/>
      <c r="AJ148" s="91"/>
      <c r="AK148" s="91"/>
      <c r="AL148" s="91"/>
      <c r="AM148" s="91"/>
      <c r="AN148" s="91"/>
      <c r="AO148" s="91"/>
      <c r="AP148" s="91"/>
    </row>
    <row r="149" spans="1:42">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92"/>
      <c r="AB149" s="92"/>
      <c r="AC149" s="91"/>
      <c r="AD149" s="91"/>
      <c r="AE149" s="91"/>
      <c r="AF149" s="91"/>
      <c r="AG149" s="91"/>
      <c r="AH149" s="91"/>
      <c r="AI149" s="91"/>
      <c r="AJ149" s="91"/>
      <c r="AK149" s="91"/>
      <c r="AL149" s="91"/>
      <c r="AM149" s="91"/>
      <c r="AN149" s="91"/>
      <c r="AO149" s="91"/>
      <c r="AP149" s="91"/>
    </row>
    <row r="150" spans="1:42">
      <c r="A150" s="465" t="s">
        <v>1181</v>
      </c>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92"/>
      <c r="AB150" s="92"/>
      <c r="AC150" s="91"/>
      <c r="AD150" s="91"/>
      <c r="AE150" s="91"/>
      <c r="AF150" s="91"/>
      <c r="AG150" s="91"/>
      <c r="AH150" s="91"/>
      <c r="AI150" s="91"/>
      <c r="AJ150" s="91"/>
      <c r="AK150" s="91"/>
      <c r="AL150" s="91"/>
      <c r="AM150" s="91"/>
      <c r="AN150" s="91"/>
      <c r="AO150" s="91"/>
      <c r="AP150" s="91"/>
    </row>
    <row r="151" spans="1:42">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92"/>
      <c r="AB151" s="92"/>
      <c r="AC151" s="91"/>
      <c r="AD151" s="91"/>
      <c r="AE151" s="91"/>
      <c r="AF151" s="91"/>
      <c r="AG151" s="91"/>
      <c r="AH151" s="91"/>
      <c r="AI151" s="91"/>
      <c r="AJ151" s="91"/>
      <c r="AK151" s="91"/>
      <c r="AL151" s="91"/>
      <c r="AM151" s="91"/>
      <c r="AN151" s="91"/>
      <c r="AO151" s="91"/>
      <c r="AP151" s="91"/>
    </row>
    <row r="152" spans="1:42" s="212" customFormat="1">
      <c r="A152" s="212" t="s">
        <v>1153</v>
      </c>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446"/>
      <c r="AB152" s="446"/>
      <c r="AC152" s="338"/>
      <c r="AD152" s="338"/>
      <c r="AE152" s="338"/>
      <c r="AF152" s="338"/>
      <c r="AG152" s="338"/>
      <c r="AH152" s="338"/>
      <c r="AI152" s="338"/>
      <c r="AJ152" s="338"/>
      <c r="AK152" s="338"/>
      <c r="AL152" s="338"/>
      <c r="AM152" s="338"/>
      <c r="AN152" s="338"/>
      <c r="AO152" s="338"/>
      <c r="AP152" s="338"/>
    </row>
    <row r="153" spans="1:42">
      <c r="A153" s="4" t="s">
        <v>1154</v>
      </c>
      <c r="B153" s="326"/>
      <c r="C153" s="326"/>
      <c r="D153" s="326"/>
      <c r="E153" s="326"/>
      <c r="F153" s="326"/>
      <c r="G153" s="326"/>
      <c r="H153" s="326"/>
      <c r="I153" s="326"/>
      <c r="J153" s="326"/>
      <c r="K153" s="326"/>
      <c r="L153" s="373">
        <v>648.57000000000005</v>
      </c>
      <c r="M153" s="326"/>
      <c r="N153" s="326">
        <f>N144</f>
        <v>638.29597133796403</v>
      </c>
      <c r="O153" s="326">
        <f>O144</f>
        <v>680.47165279005105</v>
      </c>
      <c r="P153" s="326">
        <f t="shared" ref="P153:W153" si="131">P144</f>
        <v>658.09606484991696</v>
      </c>
      <c r="Q153" s="326">
        <f t="shared" si="131"/>
        <v>636.87309568912474</v>
      </c>
      <c r="R153" s="326">
        <f t="shared" si="131"/>
        <v>611.78010899858043</v>
      </c>
      <c r="S153" s="326">
        <f t="shared" si="131"/>
        <v>599.42510800125012</v>
      </c>
      <c r="T153" s="326">
        <f t="shared" si="131"/>
        <v>596.69097311425116</v>
      </c>
      <c r="U153" s="326">
        <f t="shared" si="131"/>
        <v>601.73679514286744</v>
      </c>
      <c r="V153" s="326">
        <f t="shared" si="131"/>
        <v>613.15765616869714</v>
      </c>
      <c r="W153" s="326">
        <f t="shared" si="131"/>
        <v>629.88999050423558</v>
      </c>
      <c r="X153" s="326"/>
      <c r="Y153" s="326"/>
      <c r="Z153" s="326"/>
      <c r="AA153" s="92"/>
      <c r="AB153" s="92"/>
      <c r="AC153" s="91"/>
      <c r="AD153" s="91"/>
      <c r="AE153" s="91"/>
      <c r="AF153" s="91"/>
      <c r="AG153" s="91"/>
      <c r="AH153" s="91"/>
      <c r="AI153" s="91"/>
      <c r="AJ153" s="91"/>
      <c r="AK153" s="91"/>
      <c r="AL153" s="91"/>
      <c r="AM153" s="91"/>
      <c r="AN153" s="91"/>
      <c r="AO153" s="91"/>
      <c r="AP153" s="91"/>
    </row>
    <row r="154" spans="1:42">
      <c r="A154" s="4" t="s">
        <v>1155</v>
      </c>
      <c r="B154" s="326"/>
      <c r="C154" s="326"/>
      <c r="D154" s="326"/>
      <c r="E154" s="326"/>
      <c r="F154" s="326"/>
      <c r="G154" s="326"/>
      <c r="H154" s="326"/>
      <c r="I154" s="326"/>
      <c r="J154" s="326"/>
      <c r="K154" s="326"/>
      <c r="L154" s="373">
        <v>1378.836</v>
      </c>
      <c r="M154" s="326"/>
      <c r="N154" s="326">
        <f>N145</f>
        <v>1392.2991595011576</v>
      </c>
      <c r="O154" s="326">
        <f>O145</f>
        <v>1404.5330783064601</v>
      </c>
      <c r="P154" s="326">
        <f t="shared" ref="P154:W154" si="132">P145</f>
        <v>1415.1344820017484</v>
      </c>
      <c r="Q154" s="326">
        <f t="shared" si="132"/>
        <v>1424.8338495439928</v>
      </c>
      <c r="R154" s="326">
        <f t="shared" si="132"/>
        <v>1433.9424415207525</v>
      </c>
      <c r="S154" s="326">
        <f t="shared" si="132"/>
        <v>1444.3414751046744</v>
      </c>
      <c r="T154" s="326">
        <f t="shared" si="132"/>
        <v>1455.9593362718829</v>
      </c>
      <c r="U154" s="326">
        <f t="shared" si="132"/>
        <v>1468.8702902853843</v>
      </c>
      <c r="V154" s="326">
        <f t="shared" si="132"/>
        <v>1483.1553274942232</v>
      </c>
      <c r="W154" s="326">
        <f t="shared" si="132"/>
        <v>1498.9027253097022</v>
      </c>
      <c r="X154" s="326"/>
      <c r="Y154" s="326"/>
      <c r="Z154" s="326"/>
      <c r="AA154" s="92"/>
      <c r="AB154" s="92"/>
      <c r="AC154" s="91"/>
      <c r="AD154" s="91"/>
      <c r="AE154" s="91"/>
      <c r="AF154" s="91"/>
      <c r="AG154" s="91"/>
      <c r="AH154" s="91"/>
      <c r="AI154" s="91"/>
      <c r="AJ154" s="91"/>
      <c r="AK154" s="91"/>
      <c r="AL154" s="91"/>
      <c r="AM154" s="91"/>
      <c r="AN154" s="91"/>
      <c r="AO154" s="91"/>
      <c r="AP154" s="91"/>
    </row>
    <row r="155" spans="1:42">
      <c r="A155" s="4" t="s">
        <v>1156</v>
      </c>
      <c r="B155" s="326"/>
      <c r="C155" s="326"/>
      <c r="D155" s="326"/>
      <c r="E155" s="326"/>
      <c r="F155" s="326"/>
      <c r="G155" s="326"/>
      <c r="H155" s="326"/>
      <c r="I155" s="326"/>
      <c r="J155" s="326"/>
      <c r="K155" s="326"/>
      <c r="L155" s="373">
        <f>2032.805-L154-L153</f>
        <v>5.3990000000000009</v>
      </c>
      <c r="M155" s="326"/>
      <c r="N155" s="373">
        <f>L155+N131</f>
        <v>20.399000000000001</v>
      </c>
      <c r="O155" s="373">
        <f>N155</f>
        <v>20.399000000000001</v>
      </c>
      <c r="P155" s="373">
        <f t="shared" ref="P155:V155" si="133">O155</f>
        <v>20.399000000000001</v>
      </c>
      <c r="Q155" s="373">
        <f t="shared" si="133"/>
        <v>20.399000000000001</v>
      </c>
      <c r="R155" s="373">
        <f t="shared" si="133"/>
        <v>20.399000000000001</v>
      </c>
      <c r="S155" s="373">
        <f t="shared" si="133"/>
        <v>20.399000000000001</v>
      </c>
      <c r="T155" s="373">
        <f t="shared" si="133"/>
        <v>20.399000000000001</v>
      </c>
      <c r="U155" s="373">
        <f t="shared" si="133"/>
        <v>20.399000000000001</v>
      </c>
      <c r="V155" s="373">
        <f t="shared" si="133"/>
        <v>20.399000000000001</v>
      </c>
      <c r="W155" s="373">
        <f>V155</f>
        <v>20.399000000000001</v>
      </c>
      <c r="X155" s="326"/>
      <c r="Y155" s="326"/>
      <c r="Z155" s="326"/>
      <c r="AA155" s="92"/>
      <c r="AB155" s="92"/>
      <c r="AC155" s="91"/>
      <c r="AD155" s="91"/>
      <c r="AE155" s="91"/>
      <c r="AF155" s="91"/>
      <c r="AG155" s="91"/>
      <c r="AH155" s="91"/>
      <c r="AI155" s="91"/>
      <c r="AJ155" s="91"/>
      <c r="AK155" s="91"/>
      <c r="AL155" s="91"/>
      <c r="AM155" s="91"/>
      <c r="AN155" s="91"/>
      <c r="AO155" s="91"/>
      <c r="AP155" s="91"/>
    </row>
    <row r="156" spans="1:42">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92"/>
      <c r="AB156" s="92"/>
      <c r="AC156" s="91"/>
      <c r="AD156" s="91"/>
      <c r="AE156" s="91"/>
      <c r="AF156" s="91"/>
      <c r="AG156" s="91"/>
      <c r="AH156" s="91"/>
      <c r="AI156" s="91"/>
      <c r="AJ156" s="91"/>
      <c r="AK156" s="91"/>
      <c r="AL156" s="91"/>
      <c r="AM156" s="91"/>
      <c r="AN156" s="91"/>
      <c r="AO156" s="91"/>
      <c r="AP156" s="91"/>
    </row>
    <row r="157" spans="1:42" s="7" customFormat="1">
      <c r="A157" s="7" t="s">
        <v>1157</v>
      </c>
      <c r="B157" s="374"/>
      <c r="C157" s="374"/>
      <c r="D157" s="374"/>
      <c r="E157" s="374"/>
      <c r="F157" s="374"/>
      <c r="G157" s="374"/>
      <c r="H157" s="374"/>
      <c r="I157" s="374"/>
      <c r="J157" s="374"/>
      <c r="K157" s="374"/>
      <c r="L157" s="374"/>
      <c r="M157" s="374"/>
      <c r="N157" s="374"/>
      <c r="O157" s="374"/>
      <c r="P157" s="374"/>
      <c r="Q157" s="374"/>
      <c r="R157" s="374"/>
      <c r="S157" s="374"/>
      <c r="T157" s="374"/>
      <c r="U157" s="374"/>
      <c r="V157" s="374"/>
      <c r="W157" s="374"/>
      <c r="X157" s="374"/>
      <c r="Y157" s="374"/>
      <c r="Z157" s="374"/>
      <c r="AA157" s="93"/>
      <c r="AB157" s="93"/>
      <c r="AC157" s="98"/>
      <c r="AD157" s="98"/>
      <c r="AE157" s="98"/>
      <c r="AF157" s="98"/>
      <c r="AG157" s="98"/>
      <c r="AH157" s="98"/>
      <c r="AI157" s="98"/>
      <c r="AJ157" s="98"/>
      <c r="AK157" s="98"/>
      <c r="AL157" s="98"/>
      <c r="AM157" s="98"/>
      <c r="AN157" s="98"/>
      <c r="AO157" s="98"/>
      <c r="AP157" s="98"/>
    </row>
    <row r="158" spans="1:42">
      <c r="A158" s="4" t="s">
        <v>159</v>
      </c>
      <c r="B158" s="326"/>
      <c r="C158" s="326"/>
      <c r="D158" s="326"/>
      <c r="E158" s="326"/>
      <c r="F158" s="326"/>
      <c r="G158" s="326"/>
      <c r="H158" s="326"/>
      <c r="I158" s="326"/>
      <c r="J158" s="326"/>
      <c r="K158" s="326"/>
      <c r="L158" s="373">
        <v>85.177999999999997</v>
      </c>
      <c r="M158" s="326"/>
      <c r="N158" s="326">
        <f>N147</f>
        <v>62.119868599740059</v>
      </c>
      <c r="O158" s="326">
        <f>O147</f>
        <v>39.447433819987594</v>
      </c>
      <c r="P158" s="326">
        <f t="shared" ref="P158:W158" si="134">P147</f>
        <v>95.466013316655278</v>
      </c>
      <c r="Q158" s="326">
        <f t="shared" si="134"/>
        <v>136.80589934575033</v>
      </c>
      <c r="R158" s="326">
        <f t="shared" si="134"/>
        <v>177.59086248589409</v>
      </c>
      <c r="S158" s="326">
        <f t="shared" si="134"/>
        <v>212.17498554714092</v>
      </c>
      <c r="T158" s="326">
        <f t="shared" si="134"/>
        <v>236.25315679963674</v>
      </c>
      <c r="U158" s="326">
        <f t="shared" si="134"/>
        <v>250.43750587864366</v>
      </c>
      <c r="V158" s="326">
        <f t="shared" si="134"/>
        <v>256.64851514847942</v>
      </c>
      <c r="W158" s="326">
        <f t="shared" si="134"/>
        <v>256.04031462157621</v>
      </c>
      <c r="X158" s="326"/>
      <c r="Y158" s="326"/>
      <c r="Z158" s="326"/>
      <c r="AA158" s="92"/>
      <c r="AB158" s="92"/>
      <c r="AC158" s="91"/>
      <c r="AD158" s="91"/>
      <c r="AE158" s="91"/>
      <c r="AF158" s="91"/>
      <c r="AG158" s="91"/>
      <c r="AH158" s="91"/>
      <c r="AI158" s="91"/>
      <c r="AJ158" s="91"/>
      <c r="AK158" s="91"/>
      <c r="AL158" s="91"/>
      <c r="AM158" s="91"/>
      <c r="AN158" s="91"/>
      <c r="AO158" s="91"/>
      <c r="AP158" s="91"/>
    </row>
    <row r="159" spans="1:42">
      <c r="A159" s="4" t="s">
        <v>1158</v>
      </c>
      <c r="B159" s="326"/>
      <c r="C159" s="326"/>
      <c r="D159" s="326"/>
      <c r="E159" s="326"/>
      <c r="F159" s="326"/>
      <c r="G159" s="326"/>
      <c r="H159" s="326"/>
      <c r="I159" s="326"/>
      <c r="J159" s="326"/>
      <c r="K159" s="326"/>
      <c r="L159" s="373">
        <v>39.591999999999999</v>
      </c>
      <c r="M159" s="326"/>
      <c r="N159" s="373">
        <f>L159</f>
        <v>39.591999999999999</v>
      </c>
      <c r="O159" s="373">
        <f>N159</f>
        <v>39.591999999999999</v>
      </c>
      <c r="P159" s="373">
        <f t="shared" ref="P159:W159" si="135">O159</f>
        <v>39.591999999999999</v>
      </c>
      <c r="Q159" s="373">
        <f t="shared" si="135"/>
        <v>39.591999999999999</v>
      </c>
      <c r="R159" s="373">
        <f t="shared" si="135"/>
        <v>39.591999999999999</v>
      </c>
      <c r="S159" s="373">
        <f t="shared" si="135"/>
        <v>39.591999999999999</v>
      </c>
      <c r="T159" s="373">
        <f t="shared" si="135"/>
        <v>39.591999999999999</v>
      </c>
      <c r="U159" s="373">
        <f t="shared" si="135"/>
        <v>39.591999999999999</v>
      </c>
      <c r="V159" s="373">
        <f t="shared" si="135"/>
        <v>39.591999999999999</v>
      </c>
      <c r="W159" s="373">
        <f t="shared" si="135"/>
        <v>39.591999999999999</v>
      </c>
      <c r="X159" s="326"/>
      <c r="Y159" s="326"/>
      <c r="Z159" s="326"/>
      <c r="AA159" s="92"/>
      <c r="AB159" s="92"/>
      <c r="AC159" s="91"/>
      <c r="AD159" s="91"/>
      <c r="AE159" s="91"/>
      <c r="AF159" s="91"/>
      <c r="AG159" s="91"/>
      <c r="AH159" s="91"/>
      <c r="AI159" s="91"/>
      <c r="AJ159" s="91"/>
      <c r="AK159" s="91"/>
      <c r="AL159" s="91"/>
      <c r="AM159" s="91"/>
      <c r="AN159" s="91"/>
      <c r="AO159" s="91"/>
      <c r="AP159" s="91"/>
    </row>
    <row r="160" spans="1:42">
      <c r="A160" s="4" t="s">
        <v>1159</v>
      </c>
      <c r="B160" s="326"/>
      <c r="C160" s="326"/>
      <c r="D160" s="326"/>
      <c r="E160" s="326"/>
      <c r="F160" s="326"/>
      <c r="G160" s="326"/>
      <c r="H160" s="326"/>
      <c r="I160" s="326"/>
      <c r="J160" s="326"/>
      <c r="K160" s="326"/>
      <c r="L160" s="373">
        <v>10.121</v>
      </c>
      <c r="M160" s="326"/>
      <c r="N160" s="373">
        <f>L160</f>
        <v>10.121</v>
      </c>
      <c r="O160" s="373">
        <f>N160</f>
        <v>10.121</v>
      </c>
      <c r="P160" s="373">
        <f t="shared" ref="P160:W160" si="136">O160</f>
        <v>10.121</v>
      </c>
      <c r="Q160" s="373">
        <f t="shared" si="136"/>
        <v>10.121</v>
      </c>
      <c r="R160" s="373">
        <f t="shared" si="136"/>
        <v>10.121</v>
      </c>
      <c r="S160" s="373">
        <f t="shared" si="136"/>
        <v>10.121</v>
      </c>
      <c r="T160" s="373">
        <f t="shared" si="136"/>
        <v>10.121</v>
      </c>
      <c r="U160" s="373">
        <f t="shared" si="136"/>
        <v>10.121</v>
      </c>
      <c r="V160" s="373">
        <f t="shared" si="136"/>
        <v>10.121</v>
      </c>
      <c r="W160" s="373">
        <f t="shared" si="136"/>
        <v>10.121</v>
      </c>
      <c r="X160" s="326"/>
      <c r="Y160" s="326"/>
      <c r="Z160" s="326"/>
      <c r="AA160" s="92"/>
      <c r="AB160" s="92"/>
      <c r="AC160" s="91"/>
      <c r="AD160" s="91"/>
      <c r="AE160" s="91"/>
      <c r="AF160" s="91"/>
      <c r="AG160" s="91"/>
      <c r="AH160" s="91"/>
      <c r="AI160" s="91"/>
      <c r="AJ160" s="91"/>
      <c r="AK160" s="91"/>
      <c r="AL160" s="91"/>
      <c r="AM160" s="91"/>
      <c r="AN160" s="91"/>
      <c r="AO160" s="91"/>
      <c r="AP160" s="91"/>
    </row>
    <row r="161" spans="1:42">
      <c r="A161" s="4" t="s">
        <v>1160</v>
      </c>
      <c r="B161" s="326"/>
      <c r="C161" s="326"/>
      <c r="D161" s="326"/>
      <c r="E161" s="326"/>
      <c r="F161" s="326"/>
      <c r="G161" s="326"/>
      <c r="H161" s="326"/>
      <c r="I161" s="326"/>
      <c r="J161" s="326"/>
      <c r="K161" s="326"/>
      <c r="L161" s="373">
        <f>162.949-L160-L159-L158</f>
        <v>28.058000000000007</v>
      </c>
      <c r="M161" s="326"/>
      <c r="N161" s="373">
        <f>L161</f>
        <v>28.058000000000007</v>
      </c>
      <c r="O161" s="373">
        <f>N161</f>
        <v>28.058000000000007</v>
      </c>
      <c r="P161" s="373">
        <f t="shared" ref="P161:W161" si="137">O161</f>
        <v>28.058000000000007</v>
      </c>
      <c r="Q161" s="373">
        <f t="shared" si="137"/>
        <v>28.058000000000007</v>
      </c>
      <c r="R161" s="373">
        <f t="shared" si="137"/>
        <v>28.058000000000007</v>
      </c>
      <c r="S161" s="373">
        <f t="shared" si="137"/>
        <v>28.058000000000007</v>
      </c>
      <c r="T161" s="373">
        <f t="shared" si="137"/>
        <v>28.058000000000007</v>
      </c>
      <c r="U161" s="373">
        <f t="shared" si="137"/>
        <v>28.058000000000007</v>
      </c>
      <c r="V161" s="373">
        <f t="shared" si="137"/>
        <v>28.058000000000007</v>
      </c>
      <c r="W161" s="373">
        <f t="shared" si="137"/>
        <v>28.058000000000007</v>
      </c>
      <c r="X161" s="326"/>
      <c r="Y161" s="326"/>
      <c r="Z161" s="326"/>
      <c r="AA161" s="92"/>
      <c r="AB161" s="92"/>
      <c r="AC161" s="91"/>
      <c r="AD161" s="91"/>
      <c r="AE161" s="91"/>
      <c r="AF161" s="91"/>
      <c r="AG161" s="91"/>
      <c r="AH161" s="91"/>
      <c r="AI161" s="91"/>
      <c r="AJ161" s="91"/>
      <c r="AK161" s="91"/>
      <c r="AL161" s="91"/>
      <c r="AM161" s="91"/>
      <c r="AN161" s="91"/>
      <c r="AO161" s="91"/>
      <c r="AP161" s="91"/>
    </row>
    <row r="162" spans="1:42">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92"/>
      <c r="AB162" s="92"/>
      <c r="AC162" s="91"/>
      <c r="AD162" s="91"/>
      <c r="AE162" s="91"/>
      <c r="AF162" s="91"/>
      <c r="AG162" s="91"/>
      <c r="AH162" s="91"/>
      <c r="AI162" s="91"/>
      <c r="AJ162" s="91"/>
      <c r="AK162" s="91"/>
      <c r="AL162" s="91"/>
      <c r="AM162" s="91"/>
      <c r="AN162" s="91"/>
      <c r="AO162" s="91"/>
      <c r="AP162" s="91"/>
    </row>
    <row r="163" spans="1:42" s="7" customFormat="1">
      <c r="A163" s="7" t="s">
        <v>1170</v>
      </c>
      <c r="B163" s="374"/>
      <c r="C163" s="374"/>
      <c r="D163" s="374"/>
      <c r="E163" s="374"/>
      <c r="F163" s="374"/>
      <c r="G163" s="374"/>
      <c r="H163" s="374"/>
      <c r="I163" s="374"/>
      <c r="J163" s="374"/>
      <c r="K163" s="374"/>
      <c r="L163" s="374">
        <f>SUM(L153:L161)</f>
        <v>2195.7539999999999</v>
      </c>
      <c r="M163" s="374"/>
      <c r="N163" s="374">
        <f>SUM(N153:N161)</f>
        <v>2190.884999438862</v>
      </c>
      <c r="O163" s="374">
        <f>SUM(O153:O161)</f>
        <v>2222.6221649164986</v>
      </c>
      <c r="P163" s="374">
        <f t="shared" ref="P163:W163" si="138">SUM(P153:P161)</f>
        <v>2266.8665601683206</v>
      </c>
      <c r="Q163" s="374">
        <f t="shared" si="138"/>
        <v>2296.6828445788678</v>
      </c>
      <c r="R163" s="374">
        <f t="shared" si="138"/>
        <v>2321.4834130052268</v>
      </c>
      <c r="S163" s="374">
        <f t="shared" si="138"/>
        <v>2354.1115686530652</v>
      </c>
      <c r="T163" s="374">
        <f t="shared" si="138"/>
        <v>2387.0734661857705</v>
      </c>
      <c r="U163" s="374">
        <f t="shared" si="138"/>
        <v>2419.2145913068953</v>
      </c>
      <c r="V163" s="374">
        <f t="shared" si="138"/>
        <v>2451.1314988114</v>
      </c>
      <c r="W163" s="374">
        <f t="shared" si="138"/>
        <v>2483.0030304355141</v>
      </c>
      <c r="X163" s="374"/>
      <c r="Y163" s="374"/>
      <c r="Z163" s="374"/>
      <c r="AA163" s="93"/>
      <c r="AB163" s="93"/>
      <c r="AC163" s="98"/>
      <c r="AD163" s="98"/>
      <c r="AE163" s="98"/>
      <c r="AF163" s="98"/>
      <c r="AG163" s="98"/>
      <c r="AH163" s="98"/>
      <c r="AI163" s="98"/>
      <c r="AJ163" s="98"/>
      <c r="AK163" s="98"/>
      <c r="AL163" s="98"/>
      <c r="AM163" s="98"/>
      <c r="AN163" s="98"/>
      <c r="AO163" s="98"/>
      <c r="AP163" s="98"/>
    </row>
    <row r="164" spans="1:42">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92"/>
      <c r="AB164" s="92"/>
      <c r="AC164" s="91"/>
      <c r="AD164" s="91"/>
      <c r="AE164" s="91"/>
      <c r="AF164" s="91"/>
      <c r="AG164" s="91"/>
      <c r="AH164" s="91"/>
      <c r="AI164" s="91"/>
      <c r="AJ164" s="91"/>
      <c r="AK164" s="91"/>
      <c r="AL164" s="91"/>
      <c r="AM164" s="91"/>
      <c r="AN164" s="91"/>
      <c r="AO164" s="91"/>
      <c r="AP164" s="91"/>
    </row>
    <row r="165" spans="1:42" s="7" customFormat="1">
      <c r="A165" s="7" t="s">
        <v>1161</v>
      </c>
      <c r="B165" s="374"/>
      <c r="C165" s="374"/>
      <c r="D165" s="374"/>
      <c r="E165" s="374"/>
      <c r="F165" s="374"/>
      <c r="G165" s="374"/>
      <c r="H165" s="374"/>
      <c r="I165" s="374"/>
      <c r="J165" s="374"/>
      <c r="K165" s="374"/>
      <c r="L165" s="374"/>
      <c r="M165" s="374"/>
      <c r="N165" s="374"/>
      <c r="O165" s="374"/>
      <c r="P165" s="374"/>
      <c r="Q165" s="374"/>
      <c r="R165" s="374"/>
      <c r="S165" s="374"/>
      <c r="T165" s="374"/>
      <c r="U165" s="374"/>
      <c r="V165" s="374"/>
      <c r="W165" s="374"/>
      <c r="X165" s="374"/>
      <c r="Y165" s="374"/>
      <c r="Z165" s="374"/>
      <c r="AA165" s="93"/>
      <c r="AB165" s="93"/>
      <c r="AC165" s="98"/>
      <c r="AD165" s="98"/>
      <c r="AE165" s="98"/>
      <c r="AF165" s="98"/>
      <c r="AG165" s="98"/>
      <c r="AH165" s="98"/>
      <c r="AI165" s="98"/>
      <c r="AJ165" s="98"/>
      <c r="AK165" s="98"/>
      <c r="AL165" s="98"/>
      <c r="AM165" s="98"/>
      <c r="AN165" s="98"/>
      <c r="AO165" s="98"/>
      <c r="AP165" s="98"/>
    </row>
    <row r="166" spans="1:42">
      <c r="A166" s="4" t="s">
        <v>1162</v>
      </c>
      <c r="B166" s="326"/>
      <c r="C166" s="326"/>
      <c r="D166" s="326"/>
      <c r="E166" s="326"/>
      <c r="F166" s="326"/>
      <c r="G166" s="326"/>
      <c r="H166" s="326"/>
      <c r="I166" s="326"/>
      <c r="J166" s="326"/>
      <c r="K166" s="326"/>
      <c r="L166" s="373">
        <v>1220.8789999999999</v>
      </c>
      <c r="M166" s="326"/>
      <c r="N166" s="326">
        <f>N256</f>
        <v>1220.8789999999999</v>
      </c>
      <c r="O166" s="326">
        <f>O256</f>
        <v>1220.8789999999999</v>
      </c>
      <c r="P166" s="326">
        <f t="shared" ref="P166:W166" si="139">P256</f>
        <v>1220.8789999999999</v>
      </c>
      <c r="Q166" s="326">
        <f t="shared" si="139"/>
        <v>1220.8789999999999</v>
      </c>
      <c r="R166" s="326">
        <f t="shared" si="139"/>
        <v>1220.8789999999999</v>
      </c>
      <c r="S166" s="326">
        <f t="shared" si="139"/>
        <v>1220.8789999999999</v>
      </c>
      <c r="T166" s="326">
        <f t="shared" si="139"/>
        <v>1220.8789999999999</v>
      </c>
      <c r="U166" s="326">
        <f t="shared" si="139"/>
        <v>1220.8789999999999</v>
      </c>
      <c r="V166" s="326">
        <f t="shared" si="139"/>
        <v>1220.8789999999999</v>
      </c>
      <c r="W166" s="326">
        <f t="shared" si="139"/>
        <v>1220.8789999999999</v>
      </c>
      <c r="X166" s="326"/>
      <c r="Y166" s="326"/>
      <c r="Z166" s="326"/>
      <c r="AA166" s="92"/>
      <c r="AB166" s="92"/>
      <c r="AC166" s="91"/>
      <c r="AD166" s="91"/>
      <c r="AE166" s="91"/>
      <c r="AF166" s="91"/>
      <c r="AG166" s="91"/>
      <c r="AH166" s="91"/>
      <c r="AI166" s="91"/>
      <c r="AJ166" s="91"/>
      <c r="AK166" s="91"/>
      <c r="AL166" s="91"/>
      <c r="AM166" s="91"/>
      <c r="AN166" s="91"/>
      <c r="AO166" s="91"/>
      <c r="AP166" s="91"/>
    </row>
    <row r="167" spans="1:42">
      <c r="A167" s="4" t="s">
        <v>1163</v>
      </c>
      <c r="B167" s="326"/>
      <c r="C167" s="326"/>
      <c r="D167" s="326"/>
      <c r="E167" s="326"/>
      <c r="F167" s="326"/>
      <c r="G167" s="326"/>
      <c r="H167" s="326"/>
      <c r="I167" s="326"/>
      <c r="J167" s="326"/>
      <c r="K167" s="326"/>
      <c r="L167" s="373">
        <v>1.153</v>
      </c>
      <c r="M167" s="326"/>
      <c r="N167" s="373">
        <f>L167</f>
        <v>1.153</v>
      </c>
      <c r="O167" s="373">
        <f>N167</f>
        <v>1.153</v>
      </c>
      <c r="P167" s="373">
        <f t="shared" ref="P167:W167" si="140">O167</f>
        <v>1.153</v>
      </c>
      <c r="Q167" s="373">
        <f t="shared" si="140"/>
        <v>1.153</v>
      </c>
      <c r="R167" s="373">
        <f t="shared" si="140"/>
        <v>1.153</v>
      </c>
      <c r="S167" s="373">
        <f t="shared" si="140"/>
        <v>1.153</v>
      </c>
      <c r="T167" s="373">
        <f t="shared" si="140"/>
        <v>1.153</v>
      </c>
      <c r="U167" s="373">
        <f t="shared" si="140"/>
        <v>1.153</v>
      </c>
      <c r="V167" s="373">
        <f t="shared" si="140"/>
        <v>1.153</v>
      </c>
      <c r="W167" s="373">
        <f t="shared" si="140"/>
        <v>1.153</v>
      </c>
      <c r="X167" s="326"/>
      <c r="Y167" s="326"/>
      <c r="Z167" s="326"/>
      <c r="AA167" s="92"/>
      <c r="AB167" s="92"/>
      <c r="AC167" s="91"/>
      <c r="AD167" s="91"/>
      <c r="AE167" s="91"/>
      <c r="AF167" s="91"/>
      <c r="AG167" s="91"/>
      <c r="AH167" s="91"/>
      <c r="AI167" s="91"/>
      <c r="AJ167" s="91"/>
      <c r="AK167" s="91"/>
      <c r="AL167" s="91"/>
      <c r="AM167" s="91"/>
      <c r="AN167" s="91"/>
      <c r="AO167" s="91"/>
      <c r="AP167" s="91"/>
    </row>
    <row r="168" spans="1:42">
      <c r="A168" s="4" t="s">
        <v>1164</v>
      </c>
      <c r="B168" s="326"/>
      <c r="C168" s="326"/>
      <c r="D168" s="326"/>
      <c r="E168" s="326"/>
      <c r="F168" s="326"/>
      <c r="G168" s="326"/>
      <c r="H168" s="326"/>
      <c r="I168" s="326"/>
      <c r="J168" s="326"/>
      <c r="K168" s="326"/>
      <c r="L168" s="373">
        <f>1451.409-L167-L166</f>
        <v>229.37700000000018</v>
      </c>
      <c r="M168" s="326"/>
      <c r="N168" s="373">
        <f>L168+N327</f>
        <v>226.3400661212373</v>
      </c>
      <c r="O168" s="373">
        <f>N168+O327</f>
        <v>236.41083576924103</v>
      </c>
      <c r="P168" s="373">
        <f t="shared" ref="P168:W168" si="141">O168+P327</f>
        <v>249.03416246989863</v>
      </c>
      <c r="Q168" s="373">
        <f t="shared" si="141"/>
        <v>256.44542304912773</v>
      </c>
      <c r="R168" s="373">
        <f t="shared" si="141"/>
        <v>261.83318059255441</v>
      </c>
      <c r="S168" s="373">
        <f t="shared" si="141"/>
        <v>269.192071274385</v>
      </c>
      <c r="T168" s="373">
        <f t="shared" si="141"/>
        <v>276.13596217394758</v>
      </c>
      <c r="U168" s="373">
        <f t="shared" si="141"/>
        <v>282.34754898706649</v>
      </c>
      <c r="V168" s="373">
        <f t="shared" si="141"/>
        <v>288.05705943828099</v>
      </c>
      <c r="W168" s="373">
        <f t="shared" si="141"/>
        <v>293.35329139379343</v>
      </c>
      <c r="X168" s="326"/>
      <c r="Y168" s="326"/>
      <c r="Z168" s="326"/>
      <c r="AA168" s="92"/>
      <c r="AB168" s="92"/>
      <c r="AC168" s="91"/>
      <c r="AD168" s="91"/>
      <c r="AE168" s="91"/>
      <c r="AF168" s="91"/>
      <c r="AG168" s="91"/>
      <c r="AH168" s="91"/>
      <c r="AI168" s="91"/>
      <c r="AJ168" s="91"/>
      <c r="AK168" s="91"/>
      <c r="AL168" s="91"/>
      <c r="AM168" s="91"/>
      <c r="AN168" s="91"/>
      <c r="AO168" s="91"/>
      <c r="AP168" s="91"/>
    </row>
    <row r="169" spans="1:42">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92"/>
      <c r="AB169" s="92"/>
      <c r="AC169" s="91"/>
      <c r="AD169" s="91"/>
      <c r="AE169" s="91"/>
      <c r="AF169" s="91"/>
      <c r="AG169" s="91"/>
      <c r="AH169" s="91"/>
      <c r="AI169" s="91"/>
      <c r="AJ169" s="91"/>
      <c r="AK169" s="91"/>
      <c r="AL169" s="91"/>
      <c r="AM169" s="91"/>
      <c r="AN169" s="91"/>
      <c r="AO169" s="91"/>
      <c r="AP169" s="91"/>
    </row>
    <row r="170" spans="1:42" s="7" customFormat="1">
      <c r="A170" s="7" t="s">
        <v>1165</v>
      </c>
      <c r="B170" s="374"/>
      <c r="C170" s="374"/>
      <c r="D170" s="374"/>
      <c r="E170" s="374"/>
      <c r="F170" s="374"/>
      <c r="G170" s="374"/>
      <c r="H170" s="374"/>
      <c r="I170" s="374"/>
      <c r="J170" s="374"/>
      <c r="K170" s="374"/>
      <c r="L170" s="374"/>
      <c r="M170" s="374"/>
      <c r="N170" s="374"/>
      <c r="O170" s="374"/>
      <c r="P170" s="374"/>
      <c r="Q170" s="374"/>
      <c r="R170" s="374"/>
      <c r="S170" s="374"/>
      <c r="T170" s="374"/>
      <c r="U170" s="374"/>
      <c r="V170" s="374"/>
      <c r="W170" s="374"/>
      <c r="X170" s="374"/>
      <c r="Y170" s="374"/>
      <c r="Z170" s="374"/>
      <c r="AA170" s="93"/>
      <c r="AB170" s="93"/>
      <c r="AC170" s="98"/>
      <c r="AD170" s="98"/>
      <c r="AE170" s="98"/>
      <c r="AF170" s="98"/>
      <c r="AG170" s="98"/>
      <c r="AH170" s="98"/>
      <c r="AI170" s="98"/>
      <c r="AJ170" s="98"/>
      <c r="AK170" s="98"/>
      <c r="AL170" s="98"/>
      <c r="AM170" s="98"/>
      <c r="AN170" s="98"/>
      <c r="AO170" s="98"/>
      <c r="AP170" s="98"/>
    </row>
    <row r="171" spans="1:42">
      <c r="A171" s="4" t="s">
        <v>1162</v>
      </c>
      <c r="B171" s="326"/>
      <c r="C171" s="326"/>
      <c r="D171" s="326"/>
      <c r="E171" s="326"/>
      <c r="F171" s="326"/>
      <c r="G171" s="326"/>
      <c r="H171" s="326"/>
      <c r="I171" s="326"/>
      <c r="J171" s="326"/>
      <c r="K171" s="326"/>
      <c r="L171" s="373">
        <v>49.908999999999999</v>
      </c>
      <c r="M171" s="326"/>
      <c r="N171" s="326">
        <f>N255</f>
        <v>49.908999999999999</v>
      </c>
      <c r="O171" s="326">
        <f>O255</f>
        <v>49.908999999999999</v>
      </c>
      <c r="P171" s="326">
        <f t="shared" ref="P171:W171" si="142">P255</f>
        <v>49.908999999999999</v>
      </c>
      <c r="Q171" s="326">
        <f t="shared" si="142"/>
        <v>49.908999999999999</v>
      </c>
      <c r="R171" s="326">
        <f t="shared" si="142"/>
        <v>49.908999999999999</v>
      </c>
      <c r="S171" s="326">
        <f t="shared" si="142"/>
        <v>49.908999999999999</v>
      </c>
      <c r="T171" s="326">
        <f t="shared" si="142"/>
        <v>49.908999999999999</v>
      </c>
      <c r="U171" s="326">
        <f t="shared" si="142"/>
        <v>49.908999999999999</v>
      </c>
      <c r="V171" s="326">
        <f t="shared" si="142"/>
        <v>49.908999999999999</v>
      </c>
      <c r="W171" s="326">
        <f t="shared" si="142"/>
        <v>49.908999999999999</v>
      </c>
      <c r="X171" s="326"/>
      <c r="Y171" s="326"/>
      <c r="Z171" s="326"/>
      <c r="AA171" s="92"/>
      <c r="AB171" s="92"/>
      <c r="AC171" s="91"/>
      <c r="AD171" s="91"/>
      <c r="AE171" s="91"/>
      <c r="AF171" s="91"/>
      <c r="AG171" s="91"/>
      <c r="AH171" s="91"/>
      <c r="AI171" s="91"/>
      <c r="AJ171" s="91"/>
      <c r="AK171" s="91"/>
      <c r="AL171" s="91"/>
      <c r="AM171" s="91"/>
      <c r="AN171" s="91"/>
      <c r="AO171" s="91"/>
      <c r="AP171" s="91"/>
    </row>
    <row r="172" spans="1:42">
      <c r="A172" s="4" t="s">
        <v>1163</v>
      </c>
      <c r="L172" s="373">
        <v>75.203000000000003</v>
      </c>
      <c r="N172" s="373">
        <f>L172</f>
        <v>75.203000000000003</v>
      </c>
      <c r="O172" s="373">
        <f>N172</f>
        <v>75.203000000000003</v>
      </c>
      <c r="P172" s="373">
        <f t="shared" ref="P172:W172" si="143">O172</f>
        <v>75.203000000000003</v>
      </c>
      <c r="Q172" s="373">
        <f t="shared" si="143"/>
        <v>75.203000000000003</v>
      </c>
      <c r="R172" s="373">
        <f t="shared" si="143"/>
        <v>75.203000000000003</v>
      </c>
      <c r="S172" s="373">
        <f t="shared" si="143"/>
        <v>75.203000000000003</v>
      </c>
      <c r="T172" s="373">
        <f t="shared" si="143"/>
        <v>75.203000000000003</v>
      </c>
      <c r="U172" s="373">
        <f t="shared" si="143"/>
        <v>75.203000000000003</v>
      </c>
      <c r="V172" s="373">
        <f t="shared" si="143"/>
        <v>75.203000000000003</v>
      </c>
      <c r="W172" s="373">
        <f t="shared" si="143"/>
        <v>75.203000000000003</v>
      </c>
      <c r="AA172" s="91"/>
      <c r="AB172" s="91"/>
      <c r="AC172" s="91"/>
      <c r="AD172" s="91"/>
      <c r="AE172" s="91"/>
      <c r="AF172" s="91"/>
      <c r="AG172" s="91"/>
      <c r="AH172" s="91"/>
      <c r="AI172" s="91"/>
      <c r="AJ172" s="91"/>
      <c r="AK172" s="91"/>
      <c r="AL172" s="91"/>
      <c r="AM172" s="91"/>
      <c r="AN172" s="91"/>
      <c r="AO172" s="91"/>
      <c r="AP172" s="91"/>
    </row>
    <row r="173" spans="1:42">
      <c r="A173" s="4" t="s">
        <v>1166</v>
      </c>
      <c r="L173" s="373">
        <f>198.663-L172-L171</f>
        <v>73.551000000000016</v>
      </c>
      <c r="N173" s="373">
        <f>L173</f>
        <v>73.551000000000016</v>
      </c>
      <c r="O173" s="373">
        <f>N173</f>
        <v>73.551000000000016</v>
      </c>
      <c r="P173" s="373">
        <f t="shared" ref="P173:W173" si="144">O173</f>
        <v>73.551000000000016</v>
      </c>
      <c r="Q173" s="373">
        <f t="shared" si="144"/>
        <v>73.551000000000016</v>
      </c>
      <c r="R173" s="373">
        <f t="shared" si="144"/>
        <v>73.551000000000016</v>
      </c>
      <c r="S173" s="373">
        <f t="shared" si="144"/>
        <v>73.551000000000016</v>
      </c>
      <c r="T173" s="373">
        <f t="shared" si="144"/>
        <v>73.551000000000016</v>
      </c>
      <c r="U173" s="373">
        <f t="shared" si="144"/>
        <v>73.551000000000016</v>
      </c>
      <c r="V173" s="373">
        <f t="shared" si="144"/>
        <v>73.551000000000016</v>
      </c>
      <c r="W173" s="373">
        <f t="shared" si="144"/>
        <v>73.551000000000016</v>
      </c>
      <c r="AA173" s="91"/>
      <c r="AB173" s="91"/>
      <c r="AC173" s="91"/>
      <c r="AD173" s="91"/>
      <c r="AE173" s="91"/>
      <c r="AF173" s="91"/>
      <c r="AG173" s="91"/>
      <c r="AH173" s="91"/>
      <c r="AI173" s="91"/>
      <c r="AJ173" s="91"/>
      <c r="AK173" s="91"/>
      <c r="AL173" s="91"/>
      <c r="AM173" s="91"/>
      <c r="AN173" s="91"/>
      <c r="AO173" s="91"/>
      <c r="AP173" s="91"/>
    </row>
    <row r="174" spans="1:42">
      <c r="AA174" s="91"/>
      <c r="AB174" s="91"/>
      <c r="AC174" s="91"/>
      <c r="AD174" s="91"/>
      <c r="AE174" s="91"/>
      <c r="AF174" s="91"/>
      <c r="AG174" s="91"/>
      <c r="AH174" s="91"/>
      <c r="AI174" s="91"/>
      <c r="AJ174" s="91"/>
      <c r="AK174" s="91"/>
      <c r="AL174" s="91"/>
      <c r="AM174" s="91"/>
      <c r="AN174" s="91"/>
      <c r="AO174" s="91"/>
      <c r="AP174" s="91"/>
    </row>
    <row r="175" spans="1:42" s="7" customFormat="1">
      <c r="A175" s="7" t="s">
        <v>1171</v>
      </c>
      <c r="B175" s="415"/>
      <c r="C175" s="415"/>
      <c r="D175" s="415"/>
      <c r="E175" s="415"/>
      <c r="F175" s="415"/>
      <c r="G175" s="415"/>
      <c r="H175" s="415"/>
      <c r="I175" s="415"/>
      <c r="J175" s="415"/>
      <c r="K175" s="415"/>
      <c r="L175" s="374">
        <f>SUM(L166:L173)</f>
        <v>1650.0720000000001</v>
      </c>
      <c r="M175" s="415"/>
      <c r="N175" s="374">
        <f>SUM(N166:N173)</f>
        <v>1647.0350661212372</v>
      </c>
      <c r="O175" s="374">
        <f>SUM(O166:O173)</f>
        <v>1657.1058357692409</v>
      </c>
      <c r="P175" s="374">
        <f t="shared" ref="P175:W175" si="145">SUM(P166:P173)</f>
        <v>1669.7291624698985</v>
      </c>
      <c r="Q175" s="374">
        <f t="shared" si="145"/>
        <v>1677.1404230491275</v>
      </c>
      <c r="R175" s="374">
        <f t="shared" si="145"/>
        <v>1682.5281805925542</v>
      </c>
      <c r="S175" s="374">
        <f t="shared" si="145"/>
        <v>1689.8870712743849</v>
      </c>
      <c r="T175" s="374">
        <f t="shared" si="145"/>
        <v>1696.8309621739475</v>
      </c>
      <c r="U175" s="374">
        <f t="shared" si="145"/>
        <v>1703.0425489870663</v>
      </c>
      <c r="V175" s="374">
        <f t="shared" si="145"/>
        <v>1708.7520594382809</v>
      </c>
      <c r="W175" s="374">
        <f t="shared" si="145"/>
        <v>1714.0482913937933</v>
      </c>
      <c r="X175" s="415"/>
      <c r="Y175" s="415"/>
      <c r="Z175" s="415"/>
      <c r="AA175" s="98"/>
      <c r="AB175" s="98"/>
      <c r="AC175" s="98"/>
      <c r="AD175" s="98"/>
      <c r="AE175" s="98"/>
      <c r="AF175" s="98"/>
      <c r="AG175" s="98"/>
      <c r="AH175" s="98"/>
      <c r="AI175" s="98"/>
      <c r="AJ175" s="98"/>
      <c r="AK175" s="98"/>
      <c r="AL175" s="98"/>
      <c r="AM175" s="98"/>
      <c r="AN175" s="98"/>
      <c r="AO175" s="98"/>
      <c r="AP175" s="98"/>
    </row>
    <row r="176" spans="1:42">
      <c r="AA176" s="91"/>
      <c r="AB176" s="91"/>
      <c r="AC176" s="91"/>
      <c r="AD176" s="91"/>
      <c r="AE176" s="91"/>
      <c r="AF176" s="91"/>
      <c r="AG176" s="91"/>
      <c r="AH176" s="91"/>
      <c r="AI176" s="91"/>
      <c r="AJ176" s="91"/>
      <c r="AK176" s="91"/>
      <c r="AL176" s="91"/>
      <c r="AM176" s="91"/>
      <c r="AN176" s="91"/>
      <c r="AO176" s="91"/>
      <c r="AP176" s="91"/>
    </row>
    <row r="177" spans="1:42" s="7" customFormat="1">
      <c r="A177" s="7" t="s">
        <v>49</v>
      </c>
      <c r="B177" s="415"/>
      <c r="C177" s="415"/>
      <c r="D177" s="415"/>
      <c r="E177" s="415"/>
      <c r="F177" s="415"/>
      <c r="G177" s="415"/>
      <c r="H177" s="415"/>
      <c r="I177" s="415"/>
      <c r="J177" s="415"/>
      <c r="K177" s="415"/>
      <c r="L177" s="452">
        <v>545.68200000000002</v>
      </c>
      <c r="M177" s="415"/>
      <c r="N177" s="374">
        <f>N146</f>
        <v>543.8499333176245</v>
      </c>
      <c r="O177" s="374">
        <f>O146</f>
        <v>565.51632914725769</v>
      </c>
      <c r="P177" s="374">
        <f t="shared" ref="P177:W177" si="146">P146</f>
        <v>597.13739769842209</v>
      </c>
      <c r="Q177" s="374">
        <f t="shared" si="146"/>
        <v>619.54242152974018</v>
      </c>
      <c r="R177" s="374">
        <f t="shared" si="146"/>
        <v>638.95523241267267</v>
      </c>
      <c r="S177" s="374">
        <f t="shared" si="146"/>
        <v>664.22449737868044</v>
      </c>
      <c r="T177" s="374">
        <f t="shared" si="146"/>
        <v>690.24250401182337</v>
      </c>
      <c r="U177" s="374">
        <f t="shared" si="146"/>
        <v>716.17204231982896</v>
      </c>
      <c r="V177" s="374">
        <f t="shared" si="146"/>
        <v>742.37943937311877</v>
      </c>
      <c r="W177" s="374">
        <f t="shared" si="146"/>
        <v>768.95473904172036</v>
      </c>
      <c r="X177" s="415"/>
      <c r="Y177" s="415"/>
      <c r="Z177" s="415"/>
      <c r="AA177" s="98"/>
      <c r="AB177" s="98"/>
      <c r="AC177" s="98"/>
      <c r="AD177" s="98"/>
      <c r="AE177" s="98"/>
      <c r="AF177" s="98"/>
      <c r="AG177" s="98"/>
      <c r="AH177" s="98"/>
      <c r="AI177" s="98"/>
      <c r="AJ177" s="98"/>
      <c r="AK177" s="98"/>
      <c r="AL177" s="98"/>
      <c r="AM177" s="98"/>
      <c r="AN177" s="98"/>
      <c r="AO177" s="98"/>
      <c r="AP177" s="98"/>
    </row>
    <row r="178" spans="1:42" s="6" customFormat="1">
      <c r="A178" s="6" t="s">
        <v>1167</v>
      </c>
      <c r="B178" s="449"/>
      <c r="C178" s="449"/>
      <c r="D178" s="449"/>
      <c r="E178" s="449"/>
      <c r="F178" s="449"/>
      <c r="G178" s="449"/>
      <c r="H178" s="449"/>
      <c r="I178" s="449"/>
      <c r="J178" s="449"/>
      <c r="K178" s="449"/>
      <c r="L178" s="453">
        <v>127.556</v>
      </c>
      <c r="M178" s="449"/>
      <c r="N178" s="449"/>
      <c r="O178" s="449"/>
      <c r="P178" s="449"/>
      <c r="Q178" s="449"/>
      <c r="R178" s="449"/>
      <c r="S178" s="449"/>
      <c r="T178" s="449"/>
      <c r="U178" s="449"/>
      <c r="V178" s="449"/>
      <c r="W178" s="449"/>
      <c r="X178" s="449"/>
      <c r="Y178" s="449"/>
      <c r="Z178" s="449"/>
      <c r="AA178" s="95"/>
      <c r="AB178" s="95"/>
      <c r="AC178" s="95"/>
      <c r="AD178" s="95"/>
      <c r="AE178" s="95"/>
      <c r="AF178" s="95"/>
      <c r="AG178" s="95"/>
      <c r="AH178" s="95"/>
      <c r="AI178" s="95"/>
      <c r="AJ178" s="95"/>
      <c r="AK178" s="95"/>
      <c r="AL178" s="95"/>
      <c r="AM178" s="95"/>
      <c r="AN178" s="95"/>
      <c r="AO178" s="95"/>
      <c r="AP178" s="95"/>
    </row>
    <row r="179" spans="1:42" s="6" customFormat="1">
      <c r="A179" s="6" t="s">
        <v>1168</v>
      </c>
      <c r="B179" s="449"/>
      <c r="C179" s="449"/>
      <c r="D179" s="449"/>
      <c r="E179" s="449"/>
      <c r="F179" s="449"/>
      <c r="G179" s="449"/>
      <c r="H179" s="449"/>
      <c r="I179" s="449"/>
      <c r="J179" s="449"/>
      <c r="K179" s="449"/>
      <c r="L179" s="450">
        <f>L177-L178-L180</f>
        <v>411.88600000000002</v>
      </c>
      <c r="M179" s="449"/>
      <c r="N179" s="449"/>
      <c r="O179" s="449"/>
      <c r="P179" s="449"/>
      <c r="Q179" s="449"/>
      <c r="R179" s="449"/>
      <c r="S179" s="449"/>
      <c r="T179" s="449"/>
      <c r="U179" s="449"/>
      <c r="V179" s="449"/>
      <c r="W179" s="449"/>
      <c r="X179" s="449"/>
      <c r="Y179" s="449"/>
      <c r="Z179" s="449"/>
      <c r="AA179" s="95"/>
      <c r="AB179" s="95"/>
      <c r="AC179" s="95"/>
      <c r="AD179" s="95"/>
      <c r="AE179" s="95"/>
      <c r="AF179" s="95"/>
      <c r="AG179" s="95"/>
      <c r="AH179" s="95"/>
      <c r="AI179" s="95"/>
      <c r="AJ179" s="95"/>
      <c r="AK179" s="95"/>
      <c r="AL179" s="95"/>
      <c r="AM179" s="95"/>
      <c r="AN179" s="95"/>
      <c r="AO179" s="95"/>
      <c r="AP179" s="95"/>
    </row>
    <row r="180" spans="1:42" s="6" customFormat="1">
      <c r="A180" s="6" t="s">
        <v>1169</v>
      </c>
      <c r="B180" s="449"/>
      <c r="C180" s="449"/>
      <c r="D180" s="449"/>
      <c r="E180" s="449"/>
      <c r="F180" s="449"/>
      <c r="G180" s="449"/>
      <c r="H180" s="449"/>
      <c r="I180" s="449"/>
      <c r="J180" s="449"/>
      <c r="K180" s="449"/>
      <c r="L180" s="453">
        <v>6.24</v>
      </c>
      <c r="M180" s="449"/>
      <c r="N180" s="456"/>
      <c r="O180" s="456"/>
      <c r="P180" s="456"/>
      <c r="Q180" s="456"/>
      <c r="R180" s="456"/>
      <c r="S180" s="456"/>
      <c r="T180" s="456"/>
      <c r="U180" s="456"/>
      <c r="V180" s="456"/>
      <c r="W180" s="456"/>
      <c r="X180" s="449"/>
      <c r="Y180" s="449"/>
      <c r="Z180" s="449"/>
      <c r="AA180" s="95"/>
      <c r="AB180" s="95"/>
      <c r="AC180" s="95"/>
      <c r="AD180" s="95"/>
      <c r="AE180" s="95"/>
      <c r="AF180" s="95"/>
      <c r="AG180" s="95"/>
      <c r="AH180" s="95"/>
      <c r="AI180" s="95"/>
      <c r="AJ180" s="95"/>
      <c r="AK180" s="95"/>
      <c r="AL180" s="95"/>
      <c r="AM180" s="95"/>
      <c r="AN180" s="95"/>
      <c r="AO180" s="95"/>
      <c r="AP180" s="95"/>
    </row>
    <row r="181" spans="1:42">
      <c r="AA181" s="91"/>
      <c r="AB181" s="91"/>
      <c r="AC181" s="91"/>
      <c r="AD181" s="91"/>
      <c r="AE181" s="91"/>
      <c r="AF181" s="91"/>
      <c r="AG181" s="91"/>
      <c r="AH181" s="91"/>
      <c r="AI181" s="91"/>
      <c r="AJ181" s="91"/>
      <c r="AK181" s="91"/>
      <c r="AL181" s="91"/>
      <c r="AM181" s="91"/>
      <c r="AN181" s="91"/>
      <c r="AO181" s="91"/>
      <c r="AP181" s="91"/>
    </row>
    <row r="182" spans="1:42" s="447" customFormat="1">
      <c r="A182" s="447" t="s">
        <v>1172</v>
      </c>
      <c r="B182" s="448"/>
      <c r="C182" s="448"/>
      <c r="D182" s="448"/>
      <c r="E182" s="448"/>
      <c r="F182" s="448"/>
      <c r="G182" s="448"/>
      <c r="H182" s="448"/>
      <c r="I182" s="448"/>
      <c r="J182" s="448"/>
      <c r="K182" s="448"/>
      <c r="L182" s="451">
        <f>L163-L175-L177</f>
        <v>0</v>
      </c>
      <c r="M182" s="451"/>
      <c r="N182" s="451">
        <f t="shared" ref="N182:W182" si="147">N163-N175-N177</f>
        <v>0</v>
      </c>
      <c r="O182" s="451">
        <f t="shared" si="147"/>
        <v>0</v>
      </c>
      <c r="P182" s="451">
        <f t="shared" si="147"/>
        <v>0</v>
      </c>
      <c r="Q182" s="451">
        <f t="shared" si="147"/>
        <v>0</v>
      </c>
      <c r="R182" s="451">
        <f t="shared" si="147"/>
        <v>0</v>
      </c>
      <c r="S182" s="451">
        <f t="shared" si="147"/>
        <v>0</v>
      </c>
      <c r="T182" s="451">
        <f t="shared" si="147"/>
        <v>0</v>
      </c>
      <c r="U182" s="451">
        <f t="shared" si="147"/>
        <v>0</v>
      </c>
      <c r="V182" s="451">
        <f t="shared" si="147"/>
        <v>0</v>
      </c>
      <c r="W182" s="451">
        <f t="shared" si="147"/>
        <v>0</v>
      </c>
      <c r="X182" s="448"/>
      <c r="Y182" s="448"/>
      <c r="Z182" s="448"/>
    </row>
    <row r="183" spans="1:42">
      <c r="AA183" s="91"/>
      <c r="AB183" s="91"/>
      <c r="AC183" s="91"/>
      <c r="AD183" s="91"/>
      <c r="AE183" s="91"/>
      <c r="AF183" s="91"/>
      <c r="AG183" s="91"/>
      <c r="AH183" s="91"/>
      <c r="AI183" s="91"/>
      <c r="AJ183" s="91"/>
      <c r="AK183" s="91"/>
      <c r="AL183" s="91"/>
      <c r="AM183" s="91"/>
      <c r="AN183" s="91"/>
      <c r="AO183" s="91"/>
      <c r="AP183" s="91"/>
    </row>
    <row r="184" spans="1:42">
      <c r="A184" s="18" t="s">
        <v>293</v>
      </c>
      <c r="B184" s="80" t="str">
        <f>B$3</f>
        <v>2011A</v>
      </c>
      <c r="C184" s="80" t="str">
        <f t="shared" ref="C184:W184" si="148">C$3</f>
        <v>2012A</v>
      </c>
      <c r="D184" s="80" t="str">
        <f t="shared" si="148"/>
        <v>2013A</v>
      </c>
      <c r="E184" s="80" t="str">
        <f t="shared" si="148"/>
        <v>2014A</v>
      </c>
      <c r="F184" s="80" t="str">
        <f t="shared" si="148"/>
        <v>2015A</v>
      </c>
      <c r="G184" s="80" t="str">
        <f t="shared" si="148"/>
        <v>Prima 14A</v>
      </c>
      <c r="H184" s="80" t="str">
        <f t="shared" si="148"/>
        <v>Prima 15E</v>
      </c>
      <c r="I184" s="80" t="str">
        <f t="shared" si="148"/>
        <v>pep 14A</v>
      </c>
      <c r="J184" s="80" t="str">
        <f t="shared" si="148"/>
        <v>pep 15E</v>
      </c>
      <c r="K184" s="80" t="str">
        <f t="shared" si="148"/>
        <v>Adj.</v>
      </c>
      <c r="L184" s="80" t="str">
        <f t="shared" si="148"/>
        <v>PF 2015E</v>
      </c>
      <c r="M184" s="80"/>
      <c r="N184" s="80" t="str">
        <f t="shared" si="148"/>
        <v>2016E</v>
      </c>
      <c r="O184" s="80" t="str">
        <f t="shared" si="148"/>
        <v>2017E</v>
      </c>
      <c r="P184" s="80" t="str">
        <f t="shared" si="148"/>
        <v>2018E</v>
      </c>
      <c r="Q184" s="80" t="str">
        <f t="shared" si="148"/>
        <v>2019E</v>
      </c>
      <c r="R184" s="80" t="str">
        <f t="shared" si="148"/>
        <v>2020E</v>
      </c>
      <c r="S184" s="80" t="str">
        <f t="shared" si="148"/>
        <v>2021E</v>
      </c>
      <c r="T184" s="80" t="str">
        <f t="shared" si="148"/>
        <v>2022E</v>
      </c>
      <c r="U184" s="80" t="str">
        <f t="shared" si="148"/>
        <v>2023E</v>
      </c>
      <c r="V184" s="80" t="str">
        <f t="shared" si="148"/>
        <v>2024E</v>
      </c>
      <c r="W184" s="80" t="str">
        <f t="shared" si="148"/>
        <v>2025E</v>
      </c>
      <c r="AA184" s="92"/>
      <c r="AB184" s="92"/>
      <c r="AC184" s="91"/>
      <c r="AD184" s="91"/>
      <c r="AE184" s="91"/>
      <c r="AF184" s="91"/>
      <c r="AG184" s="91"/>
      <c r="AH184" s="91"/>
      <c r="AI184" s="91"/>
      <c r="AJ184" s="91"/>
      <c r="AK184" s="91"/>
      <c r="AL184" s="91"/>
      <c r="AM184" s="91"/>
      <c r="AN184" s="91"/>
      <c r="AO184" s="91"/>
      <c r="AP184" s="91"/>
    </row>
    <row r="185" spans="1:42">
      <c r="A185" s="7" t="s">
        <v>19</v>
      </c>
      <c r="AA185" s="92"/>
      <c r="AB185" s="92"/>
      <c r="AC185" s="91"/>
      <c r="AD185" s="91"/>
      <c r="AE185" s="91"/>
      <c r="AF185" s="91"/>
      <c r="AG185" s="91"/>
      <c r="AH185" s="91"/>
      <c r="AI185" s="91"/>
      <c r="AJ185" s="91"/>
      <c r="AK185" s="91"/>
      <c r="AL185" s="91"/>
      <c r="AM185" s="91"/>
      <c r="AN185" s="91"/>
      <c r="AO185" s="91"/>
      <c r="AP185" s="91"/>
    </row>
    <row r="186" spans="1:42">
      <c r="A186" s="4" t="s">
        <v>30</v>
      </c>
      <c r="B186" s="326">
        <v>16.5</v>
      </c>
      <c r="C186" s="326">
        <v>54.9</v>
      </c>
      <c r="D186" s="326">
        <v>28.3</v>
      </c>
      <c r="E186" s="326">
        <v>33.432977691561604</v>
      </c>
      <c r="F186" s="326">
        <v>33.447749623060545</v>
      </c>
      <c r="G186" s="326"/>
      <c r="H186" s="326"/>
      <c r="I186" s="326"/>
      <c r="J186" s="326"/>
      <c r="K186" s="326"/>
      <c r="L186" s="326"/>
      <c r="M186" s="326"/>
      <c r="N186" s="326">
        <f t="shared" ref="N186:W186" si="149">+N125</f>
        <v>63.144051588959286</v>
      </c>
      <c r="O186" s="326">
        <f t="shared" si="149"/>
        <v>97.031937199334493</v>
      </c>
      <c r="P186" s="326">
        <f t="shared" si="149"/>
        <v>139.22305504209189</v>
      </c>
      <c r="Q186" s="326">
        <f t="shared" si="149"/>
        <v>163.64716407537227</v>
      </c>
      <c r="R186" s="326">
        <f t="shared" si="149"/>
        <v>181.3996564566491</v>
      </c>
      <c r="S186" s="326">
        <f t="shared" si="149"/>
        <v>205.72536724705026</v>
      </c>
      <c r="T186" s="326">
        <f t="shared" si="149"/>
        <v>228.69874963028587</v>
      </c>
      <c r="U186" s="326">
        <f t="shared" si="149"/>
        <v>249.28364815108642</v>
      </c>
      <c r="V186" s="326">
        <f t="shared" si="149"/>
        <v>268.24442790973978</v>
      </c>
      <c r="W186" s="326">
        <f t="shared" si="149"/>
        <v>285.86747938176541</v>
      </c>
      <c r="X186" s="326"/>
      <c r="Y186" s="326"/>
      <c r="Z186" s="326"/>
      <c r="AA186" s="92"/>
      <c r="AB186" s="92"/>
      <c r="AC186" s="91"/>
      <c r="AD186" s="91"/>
      <c r="AE186" s="91"/>
      <c r="AF186" s="91"/>
      <c r="AG186" s="91"/>
      <c r="AH186" s="91"/>
      <c r="AI186" s="91"/>
      <c r="AJ186" s="91"/>
      <c r="AK186" s="91"/>
      <c r="AL186" s="91"/>
      <c r="AM186" s="91"/>
      <c r="AN186" s="91"/>
      <c r="AO186" s="91"/>
      <c r="AP186" s="91"/>
    </row>
    <row r="187" spans="1:42">
      <c r="A187" s="4" t="s">
        <v>29</v>
      </c>
      <c r="B187" s="326">
        <v>57.4</v>
      </c>
      <c r="C187" s="326">
        <v>62.9</v>
      </c>
      <c r="D187" s="326">
        <v>62.8</v>
      </c>
      <c r="E187" s="326">
        <v>50.8</v>
      </c>
      <c r="F187" s="326">
        <v>61.980000000000004</v>
      </c>
      <c r="G187" s="326"/>
      <c r="H187" s="326"/>
      <c r="I187" s="326"/>
      <c r="J187" s="326"/>
      <c r="K187" s="326"/>
      <c r="L187" s="326"/>
      <c r="M187" s="326"/>
      <c r="N187" s="326">
        <f t="shared" ref="N187:W187" si="150">-N124</f>
        <v>164.12666666666667</v>
      </c>
      <c r="O187" s="326">
        <f t="shared" si="150"/>
        <v>158.75999376912262</v>
      </c>
      <c r="P187" s="326">
        <f t="shared" si="150"/>
        <v>164.78120272128749</v>
      </c>
      <c r="Q187" s="326">
        <f t="shared" si="150"/>
        <v>160.02043932976957</v>
      </c>
      <c r="R187" s="326">
        <f t="shared" si="150"/>
        <v>161.52735459758327</v>
      </c>
      <c r="S187" s="326">
        <f t="shared" si="150"/>
        <v>156.45113533301787</v>
      </c>
      <c r="T187" s="326">
        <f t="shared" si="150"/>
        <v>154.20557955583337</v>
      </c>
      <c r="U187" s="326">
        <f t="shared" si="150"/>
        <v>154.09799402538914</v>
      </c>
      <c r="V187" s="326">
        <f t="shared" si="150"/>
        <v>155.71928780952609</v>
      </c>
      <c r="W187" s="326">
        <f t="shared" si="150"/>
        <v>158.75725692637715</v>
      </c>
      <c r="X187" s="326"/>
      <c r="Y187" s="326"/>
      <c r="Z187" s="326"/>
      <c r="AA187" s="92"/>
      <c r="AB187" s="92"/>
      <c r="AC187" s="91"/>
      <c r="AD187" s="91"/>
      <c r="AE187" s="91"/>
      <c r="AF187" s="91"/>
      <c r="AG187" s="91"/>
      <c r="AH187" s="91"/>
      <c r="AI187" s="91"/>
      <c r="AJ187" s="91"/>
      <c r="AK187" s="91"/>
      <c r="AL187" s="91"/>
      <c r="AM187" s="91"/>
      <c r="AN187" s="91"/>
      <c r="AO187" s="91"/>
      <c r="AP187" s="91"/>
    </row>
    <row r="188" spans="1:42">
      <c r="A188" s="4" t="s">
        <v>1089</v>
      </c>
      <c r="B188" s="326">
        <v>6.9000000000000021</v>
      </c>
      <c r="C188" s="326">
        <v>-37.5</v>
      </c>
      <c r="D188" s="326">
        <v>-10</v>
      </c>
      <c r="E188" s="326">
        <v>-20.399999999999999</v>
      </c>
      <c r="F188" s="326">
        <v>4.8588090492226925</v>
      </c>
      <c r="G188" s="326"/>
      <c r="H188" s="326"/>
      <c r="I188" s="326"/>
      <c r="J188" s="326"/>
      <c r="K188" s="326"/>
      <c r="L188" s="326"/>
      <c r="M188" s="326"/>
      <c r="N188" s="382">
        <f>-(N155+N159+N160+N161-L155-L159-L160-L161)+(N167+N168+N172+N173-L167-L168-L172-L173)-N327+N131</f>
        <v>2.4868995751603507E-14</v>
      </c>
      <c r="O188" s="382">
        <f t="shared" ref="O188:W188" si="151">-(O155+O159+O160+O161-N155-N159-N160-N161)+(O167+O168+O172+O173-N167-N168-N172-N173)-O327</f>
        <v>-6.3948846218409017E-14</v>
      </c>
      <c r="P188" s="382">
        <f t="shared" si="151"/>
        <v>4.6185277824406512E-14</v>
      </c>
      <c r="Q188" s="382">
        <f t="shared" si="151"/>
        <v>-1.7763568394002505E-14</v>
      </c>
      <c r="R188" s="382">
        <f t="shared" si="151"/>
        <v>7.1054273576010019E-15</v>
      </c>
      <c r="S188" s="382">
        <f t="shared" si="151"/>
        <v>8.5265128291212022E-14</v>
      </c>
      <c r="T188" s="382">
        <f t="shared" si="151"/>
        <v>7.815970093361102E-14</v>
      </c>
      <c r="U188" s="382">
        <f t="shared" si="151"/>
        <v>1.4210854715202004E-14</v>
      </c>
      <c r="V188" s="382">
        <f t="shared" si="151"/>
        <v>4.9737991503207013E-14</v>
      </c>
      <c r="W188" s="382">
        <f t="shared" si="151"/>
        <v>7.1054273576010019E-14</v>
      </c>
      <c r="X188" s="326"/>
      <c r="Y188" s="326"/>
      <c r="Z188" s="326"/>
      <c r="AA188" s="92"/>
      <c r="AB188" s="92"/>
      <c r="AC188" s="91"/>
      <c r="AD188" s="91"/>
      <c r="AE188" s="91"/>
      <c r="AF188" s="91"/>
      <c r="AG188" s="91"/>
      <c r="AH188" s="91"/>
      <c r="AI188" s="91"/>
      <c r="AJ188" s="91"/>
      <c r="AK188" s="91"/>
      <c r="AL188" s="91"/>
      <c r="AM188" s="91"/>
      <c r="AN188" s="91"/>
      <c r="AO188" s="91"/>
      <c r="AP188" s="91"/>
    </row>
    <row r="189" spans="1:42">
      <c r="A189" s="26" t="s">
        <v>98</v>
      </c>
      <c r="B189" s="326">
        <v>2.5</v>
      </c>
      <c r="C189" s="326">
        <v>-2.4</v>
      </c>
      <c r="D189" s="326">
        <v>-7.5</v>
      </c>
      <c r="E189" s="326">
        <v>-2.7</v>
      </c>
      <c r="F189" s="326">
        <v>-8</v>
      </c>
      <c r="G189" s="326"/>
      <c r="H189" s="326"/>
      <c r="I189" s="326"/>
      <c r="J189" s="326"/>
      <c r="K189" s="326"/>
      <c r="L189" s="326"/>
      <c r="M189" s="326"/>
      <c r="N189" s="326">
        <f t="shared" ref="N189:W189" si="152">N320</f>
        <v>-2.2517624434590817</v>
      </c>
      <c r="O189" s="326">
        <f t="shared" si="152"/>
        <v>0.78517143530378775</v>
      </c>
      <c r="P189" s="326">
        <f t="shared" si="152"/>
        <v>-9.2855982126999592</v>
      </c>
      <c r="Q189" s="326">
        <f t="shared" si="152"/>
        <v>-21.908924913357549</v>
      </c>
      <c r="R189" s="326">
        <f t="shared" si="152"/>
        <v>-29.320185492586667</v>
      </c>
      <c r="S189" s="326">
        <f t="shared" si="152"/>
        <v>-34.707943036013354</v>
      </c>
      <c r="T189" s="326">
        <f t="shared" si="152"/>
        <v>-42.06683371784392</v>
      </c>
      <c r="U189" s="326">
        <f t="shared" si="152"/>
        <v>-49.010724617406481</v>
      </c>
      <c r="V189" s="326">
        <f t="shared" si="152"/>
        <v>-55.222311430525387</v>
      </c>
      <c r="W189" s="326">
        <f t="shared" si="152"/>
        <v>-60.9318218817399</v>
      </c>
      <c r="X189" s="326"/>
      <c r="Y189" s="326"/>
      <c r="Z189" s="326"/>
      <c r="AA189" s="92"/>
      <c r="AB189" s="92"/>
      <c r="AC189" s="91"/>
      <c r="AD189" s="91"/>
      <c r="AE189" s="91"/>
      <c r="AF189" s="91"/>
      <c r="AG189" s="91"/>
      <c r="AH189" s="91"/>
      <c r="AI189" s="91"/>
      <c r="AJ189" s="91"/>
      <c r="AK189" s="91"/>
      <c r="AL189" s="91"/>
      <c r="AM189" s="91"/>
      <c r="AN189" s="91"/>
      <c r="AO189" s="91"/>
      <c r="AP189" s="91"/>
    </row>
    <row r="190" spans="1:42">
      <c r="A190" s="4" t="s">
        <v>100</v>
      </c>
      <c r="B190" s="326">
        <v>-61.5</v>
      </c>
      <c r="C190" s="326">
        <v>-48.8</v>
      </c>
      <c r="D190" s="326">
        <v>-41.4</v>
      </c>
      <c r="E190" s="326">
        <v>-41.5</v>
      </c>
      <c r="F190" s="326">
        <v>-92</v>
      </c>
      <c r="G190" s="326"/>
      <c r="H190" s="326"/>
      <c r="I190" s="326"/>
      <c r="J190" s="326"/>
      <c r="K190" s="326"/>
      <c r="L190" s="326"/>
      <c r="M190" s="326"/>
      <c r="N190" s="326">
        <f t="shared" ref="N190:V190" si="153">+N235</f>
        <v>-133.85263800463062</v>
      </c>
      <c r="O190" s="326">
        <f t="shared" si="153"/>
        <v>-128.93567522120961</v>
      </c>
      <c r="P190" s="326">
        <f t="shared" si="153"/>
        <v>-122.40561478115347</v>
      </c>
      <c r="Q190" s="326">
        <f t="shared" si="153"/>
        <v>-118.79747016897734</v>
      </c>
      <c r="R190" s="326">
        <f t="shared" si="153"/>
        <v>-116.43436790703896</v>
      </c>
      <c r="S190" s="326">
        <f t="shared" si="153"/>
        <v>-123.59613433568759</v>
      </c>
      <c r="T190" s="326">
        <f t="shared" si="153"/>
        <v>-130.47144466883444</v>
      </c>
      <c r="U190" s="326">
        <f t="shared" si="153"/>
        <v>-137.64381605400538</v>
      </c>
      <c r="V190" s="326">
        <f t="shared" si="153"/>
        <v>-145.1401488353558</v>
      </c>
      <c r="W190" s="326">
        <f>+W235</f>
        <v>-152.98959126191565</v>
      </c>
      <c r="X190" s="326"/>
      <c r="Y190" s="326"/>
      <c r="Z190" s="326"/>
      <c r="AA190" s="92"/>
      <c r="AB190" s="92"/>
      <c r="AC190" s="91"/>
      <c r="AD190" s="91"/>
      <c r="AE190" s="91"/>
      <c r="AF190" s="91"/>
      <c r="AG190" s="91"/>
      <c r="AH190" s="91"/>
      <c r="AI190" s="91"/>
      <c r="AJ190" s="91"/>
      <c r="AK190" s="91"/>
      <c r="AL190" s="91"/>
      <c r="AM190" s="91"/>
      <c r="AN190" s="91"/>
      <c r="AO190" s="91"/>
      <c r="AP190" s="91"/>
    </row>
    <row r="191" spans="1:42">
      <c r="A191" s="4" t="s">
        <v>22</v>
      </c>
      <c r="B191" s="326">
        <v>-5.9</v>
      </c>
      <c r="C191" s="326">
        <v>-7.6</v>
      </c>
      <c r="D191" s="326">
        <v>-6.7</v>
      </c>
      <c r="E191" s="326">
        <v>-7.1</v>
      </c>
      <c r="F191" s="326">
        <v>-23</v>
      </c>
      <c r="G191" s="326"/>
      <c r="H191" s="326"/>
      <c r="I191" s="326"/>
      <c r="J191" s="326"/>
      <c r="K191" s="326"/>
      <c r="L191" s="326"/>
      <c r="M191" s="326"/>
      <c r="N191" s="326">
        <f t="shared" ref="N191:V191" si="154">+N236</f>
        <v>-33.463159501157634</v>
      </c>
      <c r="O191" s="326">
        <f t="shared" si="154"/>
        <v>-32.23391880530238</v>
      </c>
      <c r="P191" s="326">
        <f t="shared" si="154"/>
        <v>-30.601403695288354</v>
      </c>
      <c r="Q191" s="326">
        <f t="shared" si="154"/>
        <v>-29.699367542244332</v>
      </c>
      <c r="R191" s="326">
        <f t="shared" si="154"/>
        <v>-29.108591976759726</v>
      </c>
      <c r="S191" s="326">
        <f t="shared" si="154"/>
        <v>-30.899033583921891</v>
      </c>
      <c r="T191" s="326">
        <f t="shared" si="154"/>
        <v>-32.617861167208616</v>
      </c>
      <c r="U191" s="326">
        <f t="shared" si="154"/>
        <v>-34.410954013501339</v>
      </c>
      <c r="V191" s="326">
        <f t="shared" si="154"/>
        <v>-36.285037208838929</v>
      </c>
      <c r="W191" s="326">
        <f>+W236</f>
        <v>-38.247397815478905</v>
      </c>
      <c r="X191" s="326"/>
      <c r="Y191" s="326"/>
      <c r="Z191" s="326"/>
      <c r="AA191" s="92"/>
      <c r="AB191" s="92"/>
      <c r="AC191" s="91"/>
      <c r="AD191" s="91"/>
      <c r="AE191" s="91"/>
      <c r="AF191" s="91"/>
      <c r="AG191" s="91"/>
      <c r="AH191" s="91"/>
      <c r="AI191" s="91"/>
      <c r="AJ191" s="91"/>
      <c r="AK191" s="91"/>
      <c r="AL191" s="91"/>
      <c r="AM191" s="91"/>
      <c r="AN191" s="91"/>
      <c r="AO191" s="91"/>
      <c r="AP191" s="91"/>
    </row>
    <row r="192" spans="1:42">
      <c r="A192" s="4" t="s">
        <v>1175</v>
      </c>
      <c r="B192" s="326">
        <v>-14.5</v>
      </c>
      <c r="C192" s="326">
        <v>-29.8</v>
      </c>
      <c r="D192" s="326">
        <v>-24</v>
      </c>
      <c r="E192" s="326">
        <v>-17.100000000000001</v>
      </c>
      <c r="F192" s="326">
        <v>-18.558</v>
      </c>
      <c r="G192" s="326"/>
      <c r="H192" s="326"/>
      <c r="I192" s="326"/>
      <c r="J192" s="326"/>
      <c r="K192" s="326"/>
      <c r="L192" s="326"/>
      <c r="M192" s="326"/>
      <c r="N192" s="326">
        <f>+N130+N129</f>
        <v>-80.761289706638578</v>
      </c>
      <c r="O192" s="326">
        <f t="shared" ref="O192:W192" si="155">+O130+O129</f>
        <v>-66.079943157001296</v>
      </c>
      <c r="P192" s="326">
        <f t="shared" si="155"/>
        <v>-66.19330533090006</v>
      </c>
      <c r="Q192" s="326">
        <f t="shared" si="155"/>
        <v>-65.913212433416717</v>
      </c>
      <c r="R192" s="326">
        <f t="shared" si="155"/>
        <v>-65.70651300327124</v>
      </c>
      <c r="S192" s="326">
        <f t="shared" si="155"/>
        <v>-65.502588187570524</v>
      </c>
      <c r="T192" s="326">
        <f t="shared" si="155"/>
        <v>-65.329667572264285</v>
      </c>
      <c r="U192" s="326">
        <f t="shared" si="155"/>
        <v>-65.20927671600181</v>
      </c>
      <c r="V192" s="326">
        <f t="shared" si="155"/>
        <v>-65.13835497060677</v>
      </c>
      <c r="W192" s="326">
        <f t="shared" si="155"/>
        <v>-65.107299924257603</v>
      </c>
      <c r="X192" s="326"/>
      <c r="Y192" s="326"/>
      <c r="Z192" s="326"/>
      <c r="AA192" s="92"/>
      <c r="AB192" s="92"/>
      <c r="AC192" s="91"/>
      <c r="AD192" s="91"/>
      <c r="AE192" s="91"/>
      <c r="AF192" s="91"/>
      <c r="AG192" s="91"/>
      <c r="AH192" s="91"/>
      <c r="AI192" s="91"/>
      <c r="AJ192" s="91"/>
      <c r="AK192" s="91"/>
      <c r="AL192" s="91"/>
      <c r="AM192" s="91"/>
      <c r="AN192" s="91"/>
      <c r="AO192" s="91"/>
      <c r="AP192" s="91"/>
    </row>
    <row r="193" spans="1:42">
      <c r="A193" s="7" t="s">
        <v>294</v>
      </c>
      <c r="B193" s="326"/>
      <c r="C193" s="326"/>
      <c r="D193" s="326"/>
      <c r="E193" s="326">
        <v>0</v>
      </c>
      <c r="F193" s="373">
        <v>360</v>
      </c>
      <c r="G193" s="373"/>
      <c r="H193" s="373"/>
      <c r="I193" s="373"/>
      <c r="J193" s="373"/>
      <c r="K193" s="373"/>
      <c r="L193" s="373"/>
      <c r="M193" s="373"/>
      <c r="N193" s="373"/>
      <c r="O193" s="373"/>
      <c r="P193" s="373"/>
      <c r="Q193" s="373"/>
      <c r="R193" s="373"/>
      <c r="S193" s="373"/>
      <c r="T193" s="373"/>
      <c r="U193" s="373"/>
      <c r="V193" s="373"/>
      <c r="W193" s="373"/>
      <c r="X193" s="326"/>
      <c r="Y193" s="326"/>
      <c r="Z193" s="326"/>
      <c r="AA193" s="92"/>
      <c r="AB193" s="92"/>
      <c r="AC193" s="91"/>
      <c r="AD193" s="91"/>
      <c r="AE193" s="91"/>
      <c r="AF193" s="91"/>
      <c r="AG193" s="91"/>
      <c r="AH193" s="91"/>
      <c r="AI193" s="91"/>
      <c r="AJ193" s="91"/>
      <c r="AK193" s="91"/>
      <c r="AL193" s="91"/>
      <c r="AM193" s="91"/>
      <c r="AN193" s="91"/>
      <c r="AO193" s="91"/>
      <c r="AP193" s="91"/>
    </row>
    <row r="194" spans="1:42">
      <c r="A194" s="4" t="s">
        <v>104</v>
      </c>
      <c r="B194" s="326">
        <v>-2.1</v>
      </c>
      <c r="C194" s="326">
        <v>-2.5</v>
      </c>
      <c r="D194" s="326">
        <v>-2.8</v>
      </c>
      <c r="E194" s="326">
        <v>-3.1</v>
      </c>
      <c r="F194" s="326">
        <v>0</v>
      </c>
      <c r="G194" s="326"/>
      <c r="H194" s="326"/>
      <c r="I194" s="326"/>
      <c r="J194" s="326"/>
      <c r="K194" s="326"/>
      <c r="L194" s="326"/>
      <c r="M194" s="326"/>
      <c r="N194" s="326">
        <f t="shared" ref="N194:W194" si="156">-N349</f>
        <v>0</v>
      </c>
      <c r="O194" s="326">
        <f t="shared" si="156"/>
        <v>0</v>
      </c>
      <c r="P194" s="326">
        <f t="shared" si="156"/>
        <v>-19.499756246669914</v>
      </c>
      <c r="Q194" s="326">
        <f t="shared" si="156"/>
        <v>-46.008742318050849</v>
      </c>
      <c r="R194" s="326">
        <f t="shared" si="156"/>
        <v>-61.572389534431998</v>
      </c>
      <c r="S194" s="326">
        <f t="shared" si="156"/>
        <v>-72.886680375628046</v>
      </c>
      <c r="T194" s="326">
        <f t="shared" si="156"/>
        <v>-88.340350807472234</v>
      </c>
      <c r="U194" s="326">
        <f t="shared" si="156"/>
        <v>-102.92252169655362</v>
      </c>
      <c r="V194" s="326">
        <f t="shared" si="156"/>
        <v>-115.96685400410331</v>
      </c>
      <c r="W194" s="326">
        <f t="shared" si="156"/>
        <v>-127.95682595165381</v>
      </c>
      <c r="X194" s="326"/>
      <c r="Y194" s="326"/>
      <c r="Z194" s="326"/>
      <c r="AA194" s="92"/>
      <c r="AB194" s="92"/>
      <c r="AC194" s="91"/>
      <c r="AD194" s="91"/>
      <c r="AE194" s="91"/>
      <c r="AF194" s="91"/>
      <c r="AG194" s="91"/>
      <c r="AH194" s="91"/>
      <c r="AI194" s="91"/>
      <c r="AJ194" s="91"/>
      <c r="AK194" s="91"/>
      <c r="AL194" s="91"/>
      <c r="AM194" s="91"/>
      <c r="AN194" s="91"/>
      <c r="AO194" s="91"/>
      <c r="AP194" s="91"/>
    </row>
    <row r="195" spans="1:42">
      <c r="AA195" s="91"/>
      <c r="AB195" s="91"/>
      <c r="AC195" s="91"/>
      <c r="AD195" s="91"/>
      <c r="AE195" s="91"/>
      <c r="AF195" s="91"/>
      <c r="AG195" s="91"/>
      <c r="AH195" s="91"/>
      <c r="AI195" s="91"/>
      <c r="AJ195" s="91"/>
      <c r="AK195" s="91"/>
      <c r="AL195" s="91"/>
      <c r="AM195" s="91"/>
      <c r="AN195" s="91"/>
      <c r="AO195" s="91"/>
      <c r="AP195" s="91"/>
    </row>
    <row r="196" spans="1:42">
      <c r="A196" s="4" t="s">
        <v>105</v>
      </c>
      <c r="B196" s="326">
        <v>47.8</v>
      </c>
      <c r="C196" s="326">
        <v>2.9</v>
      </c>
      <c r="D196" s="326">
        <v>8.1999999999999993</v>
      </c>
      <c r="E196" s="326">
        <v>0.1</v>
      </c>
      <c r="F196" s="373">
        <v>75</v>
      </c>
      <c r="G196" s="373"/>
      <c r="H196" s="373"/>
      <c r="I196" s="373"/>
      <c r="J196" s="373"/>
      <c r="K196" s="373"/>
      <c r="L196" s="373"/>
      <c r="M196" s="373"/>
      <c r="N196" s="373">
        <f>N284</f>
        <v>0</v>
      </c>
      <c r="O196" s="373">
        <f t="shared" ref="O196:W196" si="157">O284</f>
        <v>0</v>
      </c>
      <c r="P196" s="373">
        <f t="shared" si="157"/>
        <v>0</v>
      </c>
      <c r="Q196" s="373">
        <f t="shared" si="157"/>
        <v>0</v>
      </c>
      <c r="R196" s="373">
        <f t="shared" si="157"/>
        <v>0</v>
      </c>
      <c r="S196" s="373">
        <f t="shared" si="157"/>
        <v>0</v>
      </c>
      <c r="T196" s="373">
        <f t="shared" si="157"/>
        <v>0</v>
      </c>
      <c r="U196" s="373">
        <f t="shared" si="157"/>
        <v>0</v>
      </c>
      <c r="V196" s="373">
        <f t="shared" si="157"/>
        <v>0</v>
      </c>
      <c r="W196" s="373">
        <f t="shared" si="157"/>
        <v>0</v>
      </c>
      <c r="X196" s="326"/>
      <c r="Y196" s="326"/>
      <c r="Z196" s="326"/>
      <c r="AA196" s="92"/>
      <c r="AB196" s="92"/>
      <c r="AC196" s="91"/>
      <c r="AD196" s="91"/>
      <c r="AE196" s="91"/>
      <c r="AF196" s="91"/>
      <c r="AG196" s="91"/>
      <c r="AH196" s="91"/>
      <c r="AI196" s="91"/>
      <c r="AJ196" s="91"/>
      <c r="AK196" s="91"/>
      <c r="AL196" s="91"/>
      <c r="AM196" s="91"/>
      <c r="AN196" s="91"/>
      <c r="AO196" s="91"/>
      <c r="AP196" s="91"/>
    </row>
    <row r="197" spans="1:42">
      <c r="A197" s="4" t="s">
        <v>106</v>
      </c>
      <c r="B197" s="326">
        <v>-49.4</v>
      </c>
      <c r="C197" s="326">
        <v>-1.8</v>
      </c>
      <c r="D197" s="326">
        <v>-3.5</v>
      </c>
      <c r="E197" s="326">
        <v>-2.9</v>
      </c>
      <c r="F197" s="373">
        <v>-360</v>
      </c>
      <c r="G197" s="373"/>
      <c r="H197" s="373"/>
      <c r="I197" s="373"/>
      <c r="J197" s="373"/>
      <c r="K197" s="373"/>
      <c r="L197" s="373"/>
      <c r="M197" s="373"/>
      <c r="N197" s="373">
        <f>N294</f>
        <v>0</v>
      </c>
      <c r="O197" s="373">
        <f t="shared" ref="O197:W197" si="158">O294</f>
        <v>0</v>
      </c>
      <c r="P197" s="373">
        <f t="shared" si="158"/>
        <v>0</v>
      </c>
      <c r="Q197" s="373">
        <f t="shared" si="158"/>
        <v>0</v>
      </c>
      <c r="R197" s="373">
        <f t="shared" si="158"/>
        <v>0</v>
      </c>
      <c r="S197" s="373">
        <f t="shared" si="158"/>
        <v>0</v>
      </c>
      <c r="T197" s="373">
        <f t="shared" si="158"/>
        <v>0</v>
      </c>
      <c r="U197" s="373">
        <f t="shared" si="158"/>
        <v>0</v>
      </c>
      <c r="V197" s="373">
        <f t="shared" si="158"/>
        <v>0</v>
      </c>
      <c r="W197" s="373">
        <f t="shared" si="158"/>
        <v>0</v>
      </c>
      <c r="X197" s="326"/>
      <c r="Y197" s="326"/>
      <c r="Z197" s="326"/>
      <c r="AA197" s="93"/>
      <c r="AB197" s="93"/>
      <c r="AC197" s="91"/>
      <c r="AD197" s="91"/>
      <c r="AE197" s="91"/>
      <c r="AF197" s="91"/>
      <c r="AG197" s="91"/>
      <c r="AH197" s="91"/>
      <c r="AI197" s="91"/>
      <c r="AJ197" s="91"/>
      <c r="AK197" s="91"/>
      <c r="AL197" s="91"/>
      <c r="AM197" s="91"/>
      <c r="AN197" s="91"/>
      <c r="AO197" s="91"/>
      <c r="AP197" s="91"/>
    </row>
    <row r="198" spans="1:42">
      <c r="AA198" s="91"/>
      <c r="AB198" s="91"/>
      <c r="AC198" s="91"/>
      <c r="AD198" s="91"/>
      <c r="AE198" s="91"/>
      <c r="AF198" s="91"/>
      <c r="AG198" s="91"/>
      <c r="AH198" s="91"/>
      <c r="AI198" s="91"/>
      <c r="AJ198" s="91"/>
      <c r="AK198" s="91"/>
      <c r="AL198" s="91"/>
      <c r="AM198" s="91"/>
      <c r="AN198" s="91"/>
      <c r="AO198" s="91"/>
      <c r="AP198" s="91"/>
    </row>
    <row r="199" spans="1:42">
      <c r="A199" s="4" t="s">
        <v>856</v>
      </c>
      <c r="B199" s="326"/>
      <c r="C199" s="326"/>
      <c r="D199" s="326"/>
      <c r="E199" s="326">
        <v>-19.899999999999999</v>
      </c>
      <c r="F199" s="373"/>
      <c r="G199" s="373"/>
      <c r="H199" s="373"/>
      <c r="I199" s="373"/>
      <c r="J199" s="373"/>
      <c r="K199" s="373"/>
      <c r="L199" s="373"/>
      <c r="M199" s="373"/>
      <c r="N199" s="373"/>
      <c r="O199" s="373">
        <v>-52</v>
      </c>
      <c r="P199" s="373"/>
      <c r="Q199" s="373"/>
      <c r="R199" s="373"/>
      <c r="S199" s="373"/>
      <c r="T199" s="373"/>
      <c r="U199" s="373"/>
      <c r="V199" s="373"/>
      <c r="W199" s="373"/>
      <c r="X199" s="326"/>
      <c r="Y199" s="326"/>
      <c r="Z199" s="326"/>
      <c r="AA199" s="93"/>
      <c r="AB199" s="93"/>
      <c r="AC199" s="91"/>
      <c r="AD199" s="91"/>
      <c r="AE199" s="91"/>
      <c r="AF199" s="91"/>
      <c r="AG199" s="91"/>
      <c r="AH199" s="91"/>
      <c r="AI199" s="91"/>
      <c r="AJ199" s="91"/>
      <c r="AK199" s="91"/>
      <c r="AL199" s="91"/>
      <c r="AM199" s="91"/>
      <c r="AN199" s="91"/>
      <c r="AO199" s="91"/>
      <c r="AP199" s="91"/>
    </row>
    <row r="200" spans="1:42">
      <c r="A200" s="4" t="s">
        <v>169</v>
      </c>
      <c r="B200" s="417">
        <f>+B201-SUM(B186:B199)</f>
        <v>2.9999999999999929</v>
      </c>
      <c r="C200" s="417">
        <f>+C201-SUM(C186:C199)</f>
        <v>1.3000000000000078</v>
      </c>
      <c r="D200" s="417">
        <f>+D201-SUM(D186:D199)</f>
        <v>30.7</v>
      </c>
      <c r="E200" s="417">
        <f>+E201-SUM(E186:E199)</f>
        <v>-15.999999999999993</v>
      </c>
      <c r="F200" s="417">
        <f>+F201-SUM(F186:F199)</f>
        <v>0.1220000000000212</v>
      </c>
      <c r="G200" s="418"/>
      <c r="H200" s="418"/>
      <c r="I200" s="418"/>
      <c r="J200" s="418"/>
      <c r="K200" s="418"/>
      <c r="L200" s="418"/>
      <c r="M200" s="418"/>
      <c r="N200" s="418"/>
      <c r="O200" s="373"/>
      <c r="P200" s="373"/>
      <c r="Q200" s="373"/>
      <c r="R200" s="373"/>
      <c r="S200" s="373"/>
      <c r="T200" s="373"/>
      <c r="U200" s="373"/>
      <c r="V200" s="373"/>
      <c r="W200" s="373"/>
      <c r="X200" s="326"/>
      <c r="Y200" s="326"/>
      <c r="Z200" s="326"/>
      <c r="AA200" s="97"/>
      <c r="AB200" s="97"/>
      <c r="AC200" s="91"/>
      <c r="AD200" s="91"/>
      <c r="AE200" s="91"/>
      <c r="AF200" s="91"/>
      <c r="AG200" s="91"/>
      <c r="AH200" s="91"/>
      <c r="AI200" s="91"/>
      <c r="AJ200" s="91"/>
      <c r="AK200" s="91"/>
      <c r="AL200" s="91"/>
      <c r="AM200" s="91"/>
      <c r="AN200" s="91"/>
      <c r="AO200" s="91"/>
      <c r="AP200" s="91"/>
    </row>
    <row r="201" spans="1:42">
      <c r="A201" s="7" t="s">
        <v>186</v>
      </c>
      <c r="B201" s="374">
        <v>0.70000000000000284</v>
      </c>
      <c r="C201" s="374">
        <v>-8.4</v>
      </c>
      <c r="D201" s="374">
        <v>34.099999999999994</v>
      </c>
      <c r="E201" s="374">
        <v>-46.367022308438393</v>
      </c>
      <c r="F201" s="374">
        <v>33.850558672283235</v>
      </c>
      <c r="G201" s="374"/>
      <c r="H201" s="374"/>
      <c r="I201" s="374"/>
      <c r="J201" s="374"/>
      <c r="K201" s="374"/>
      <c r="L201" s="374"/>
      <c r="M201" s="374"/>
      <c r="N201" s="374">
        <f>SUM(N186:N200)</f>
        <v>-23.058131400259938</v>
      </c>
      <c r="O201" s="380">
        <f t="shared" ref="O201:W201" si="159">SUM(O186:O200)</f>
        <v>-22.672434779752464</v>
      </c>
      <c r="P201" s="380">
        <f t="shared" si="159"/>
        <v>56.018579496667684</v>
      </c>
      <c r="Q201" s="380">
        <f t="shared" si="159"/>
        <v>41.339886029095069</v>
      </c>
      <c r="R201" s="380">
        <f t="shared" si="159"/>
        <v>40.784963140143752</v>
      </c>
      <c r="S201" s="380">
        <f t="shared" si="159"/>
        <v>34.584123061246814</v>
      </c>
      <c r="T201" s="380">
        <f t="shared" si="159"/>
        <v>24.078171252495821</v>
      </c>
      <c r="U201" s="380">
        <f t="shared" si="159"/>
        <v>14.184349079006935</v>
      </c>
      <c r="V201" s="380">
        <f t="shared" si="159"/>
        <v>6.2110092698357562</v>
      </c>
      <c r="W201" s="380">
        <f t="shared" si="159"/>
        <v>-0.60820052690321802</v>
      </c>
      <c r="X201" s="374"/>
      <c r="Y201" s="374"/>
      <c r="Z201" s="374"/>
      <c r="AA201" s="91"/>
      <c r="AB201" s="91"/>
      <c r="AC201" s="91"/>
      <c r="AD201" s="91"/>
      <c r="AE201" s="91"/>
      <c r="AF201" s="91"/>
      <c r="AG201" s="91"/>
      <c r="AH201" s="91"/>
      <c r="AI201" s="91"/>
      <c r="AJ201" s="91"/>
      <c r="AK201" s="91"/>
      <c r="AL201" s="91"/>
      <c r="AM201" s="91"/>
      <c r="AN201" s="91"/>
      <c r="AO201" s="91"/>
      <c r="AP201" s="91"/>
    </row>
    <row r="202" spans="1:42">
      <c r="B202" s="329"/>
      <c r="C202" s="329"/>
      <c r="D202" s="329"/>
      <c r="E202" s="329"/>
      <c r="F202" s="329"/>
      <c r="G202" s="329"/>
      <c r="H202" s="329"/>
      <c r="I202" s="329"/>
      <c r="J202" s="329"/>
      <c r="K202" s="329"/>
      <c r="L202" s="329"/>
      <c r="M202" s="329"/>
      <c r="N202" s="329"/>
      <c r="O202" s="329"/>
      <c r="P202" s="329"/>
      <c r="Q202" s="329"/>
      <c r="R202" s="329"/>
      <c r="S202" s="329"/>
      <c r="T202" s="329"/>
      <c r="U202" s="329"/>
      <c r="V202" s="329"/>
      <c r="W202" s="329"/>
      <c r="X202" s="329"/>
      <c r="Y202" s="329"/>
      <c r="Z202" s="329"/>
      <c r="AA202" s="91"/>
      <c r="AB202" s="91"/>
      <c r="AC202" s="91"/>
      <c r="AD202" s="91"/>
      <c r="AE202" s="91"/>
      <c r="AF202" s="91"/>
      <c r="AG202" s="91"/>
      <c r="AH202" s="91"/>
      <c r="AI202" s="91"/>
      <c r="AJ202" s="91"/>
      <c r="AK202" s="91"/>
      <c r="AL202" s="91"/>
      <c r="AM202" s="91"/>
      <c r="AN202" s="91"/>
      <c r="AO202" s="91"/>
      <c r="AP202" s="91"/>
    </row>
    <row r="203" spans="1:42">
      <c r="B203" s="329"/>
      <c r="C203" s="329"/>
      <c r="D203" s="329"/>
      <c r="E203" s="329"/>
      <c r="F203" s="329"/>
      <c r="G203" s="329"/>
      <c r="H203" s="329"/>
      <c r="I203" s="329"/>
      <c r="J203" s="329"/>
      <c r="K203" s="329"/>
      <c r="L203" s="329"/>
      <c r="M203" s="329"/>
      <c r="N203" s="329"/>
      <c r="O203" s="329"/>
      <c r="P203" s="329"/>
      <c r="Q203" s="329"/>
      <c r="R203" s="329"/>
      <c r="S203" s="329"/>
      <c r="T203" s="329"/>
      <c r="U203" s="329"/>
      <c r="V203" s="329"/>
      <c r="W203" s="329"/>
      <c r="X203" s="329"/>
      <c r="Y203" s="329"/>
      <c r="Z203" s="329"/>
      <c r="AA203" s="91"/>
      <c r="AB203" s="91"/>
      <c r="AC203" s="91"/>
      <c r="AD203" s="91"/>
      <c r="AE203" s="91"/>
      <c r="AF203" s="91"/>
      <c r="AG203" s="91"/>
      <c r="AH203" s="91"/>
      <c r="AI203" s="91"/>
      <c r="AJ203" s="91"/>
      <c r="AK203" s="91"/>
      <c r="AL203" s="91"/>
      <c r="AM203" s="91"/>
      <c r="AN203" s="91"/>
      <c r="AO203" s="91"/>
      <c r="AP203" s="91"/>
    </row>
    <row r="204" spans="1:42">
      <c r="B204" s="329"/>
      <c r="C204" s="329"/>
      <c r="D204" s="329"/>
      <c r="E204" s="329"/>
      <c r="F204" s="329"/>
      <c r="G204" s="329"/>
      <c r="H204" s="329"/>
      <c r="I204" s="329"/>
      <c r="J204" s="329"/>
      <c r="K204" s="329"/>
      <c r="L204" s="329"/>
      <c r="M204" s="329"/>
      <c r="N204" s="329"/>
      <c r="O204" s="329"/>
      <c r="P204" s="329"/>
      <c r="Q204" s="329"/>
      <c r="R204" s="329"/>
      <c r="S204" s="329"/>
      <c r="T204" s="329"/>
      <c r="U204" s="329"/>
      <c r="V204" s="329"/>
      <c r="W204" s="329"/>
      <c r="X204" s="329"/>
      <c r="Y204" s="329"/>
      <c r="Z204" s="329"/>
      <c r="AA204" s="91"/>
      <c r="AB204" s="91"/>
      <c r="AC204" s="91"/>
      <c r="AD204" s="91"/>
      <c r="AE204" s="91"/>
      <c r="AF204" s="91"/>
      <c r="AG204" s="91"/>
      <c r="AH204" s="91"/>
      <c r="AI204" s="91"/>
      <c r="AJ204" s="91"/>
      <c r="AK204" s="91"/>
      <c r="AL204" s="91"/>
      <c r="AM204" s="91"/>
      <c r="AN204" s="91"/>
      <c r="AO204" s="91"/>
      <c r="AP204" s="91"/>
    </row>
    <row r="205" spans="1:42">
      <c r="A205" s="18" t="s">
        <v>212</v>
      </c>
      <c r="B205" s="80" t="str">
        <f>B$3</f>
        <v>2011A</v>
      </c>
      <c r="C205" s="80" t="str">
        <f t="shared" ref="C205:W205" si="160">C$3</f>
        <v>2012A</v>
      </c>
      <c r="D205" s="80" t="str">
        <f t="shared" si="160"/>
        <v>2013A</v>
      </c>
      <c r="E205" s="80" t="str">
        <f t="shared" si="160"/>
        <v>2014A</v>
      </c>
      <c r="F205" s="80" t="str">
        <f t="shared" si="160"/>
        <v>2015A</v>
      </c>
      <c r="G205" s="80" t="str">
        <f t="shared" si="160"/>
        <v>Prima 14A</v>
      </c>
      <c r="H205" s="80" t="str">
        <f t="shared" si="160"/>
        <v>Prima 15E</v>
      </c>
      <c r="I205" s="80" t="str">
        <f t="shared" si="160"/>
        <v>pep 14A</v>
      </c>
      <c r="J205" s="80" t="str">
        <f t="shared" si="160"/>
        <v>pep 15E</v>
      </c>
      <c r="K205" s="80" t="str">
        <f t="shared" si="160"/>
        <v>Adj.</v>
      </c>
      <c r="L205" s="80" t="str">
        <f t="shared" si="160"/>
        <v>PF 2015E</v>
      </c>
      <c r="M205" s="80"/>
      <c r="N205" s="80" t="str">
        <f t="shared" si="160"/>
        <v>2016E</v>
      </c>
      <c r="O205" s="80" t="str">
        <f t="shared" si="160"/>
        <v>2017E</v>
      </c>
      <c r="P205" s="80" t="str">
        <f t="shared" si="160"/>
        <v>2018E</v>
      </c>
      <c r="Q205" s="80" t="str">
        <f t="shared" si="160"/>
        <v>2019E</v>
      </c>
      <c r="R205" s="80" t="str">
        <f t="shared" si="160"/>
        <v>2020E</v>
      </c>
      <c r="S205" s="80" t="str">
        <f t="shared" si="160"/>
        <v>2021E</v>
      </c>
      <c r="T205" s="80" t="str">
        <f t="shared" si="160"/>
        <v>2022E</v>
      </c>
      <c r="U205" s="80" t="str">
        <f t="shared" si="160"/>
        <v>2023E</v>
      </c>
      <c r="V205" s="80" t="str">
        <f t="shared" si="160"/>
        <v>2024E</v>
      </c>
      <c r="W205" s="80" t="str">
        <f t="shared" si="160"/>
        <v>2025E</v>
      </c>
      <c r="AA205" s="92"/>
      <c r="AB205" s="92"/>
      <c r="AC205" s="91"/>
      <c r="AD205" s="91"/>
      <c r="AE205" s="91"/>
      <c r="AF205" s="91"/>
      <c r="AG205" s="91"/>
      <c r="AH205" s="91"/>
      <c r="AI205" s="91"/>
      <c r="AJ205" s="91"/>
      <c r="AK205" s="91"/>
      <c r="AL205" s="91"/>
      <c r="AM205" s="91"/>
      <c r="AN205" s="91"/>
      <c r="AO205" s="91"/>
      <c r="AP205" s="91"/>
    </row>
    <row r="206" spans="1:42">
      <c r="A206" s="7" t="s">
        <v>31</v>
      </c>
      <c r="AA206" s="92"/>
      <c r="AB206" s="92"/>
      <c r="AC206" s="91"/>
      <c r="AD206" s="91"/>
      <c r="AE206" s="91"/>
      <c r="AF206" s="91"/>
      <c r="AG206" s="91"/>
      <c r="AH206" s="91"/>
      <c r="AI206" s="91"/>
      <c r="AJ206" s="91"/>
      <c r="AK206" s="91"/>
      <c r="AL206" s="91"/>
      <c r="AM206" s="91"/>
      <c r="AN206" s="91"/>
      <c r="AO206" s="91"/>
      <c r="AP206" s="91"/>
    </row>
    <row r="207" spans="1:42">
      <c r="A207" s="4" t="s">
        <v>68</v>
      </c>
      <c r="B207" s="326">
        <v>27</v>
      </c>
      <c r="C207" s="326">
        <v>28.3</v>
      </c>
      <c r="D207" s="326">
        <v>24.9</v>
      </c>
      <c r="E207" s="326">
        <v>50.4</v>
      </c>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92"/>
      <c r="AB207" s="92"/>
      <c r="AC207" s="91"/>
      <c r="AD207" s="91"/>
      <c r="AE207" s="91"/>
      <c r="AF207" s="91"/>
      <c r="AG207" s="91"/>
      <c r="AH207" s="91"/>
      <c r="AI207" s="91"/>
      <c r="AJ207" s="91"/>
      <c r="AK207" s="91"/>
      <c r="AL207" s="91"/>
      <c r="AM207" s="91"/>
      <c r="AN207" s="91"/>
      <c r="AO207" s="91"/>
      <c r="AP207" s="91"/>
    </row>
    <row r="208" spans="1:42">
      <c r="A208" s="4" t="s">
        <v>69</v>
      </c>
      <c r="B208" s="326">
        <v>29.2</v>
      </c>
      <c r="C208" s="326">
        <v>22.4</v>
      </c>
      <c r="D208" s="326">
        <v>13.9</v>
      </c>
      <c r="E208" s="326">
        <v>23</v>
      </c>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92"/>
      <c r="AB208" s="92"/>
      <c r="AC208" s="91"/>
      <c r="AD208" s="91"/>
      <c r="AE208" s="91"/>
      <c r="AF208" s="91"/>
      <c r="AG208" s="91"/>
      <c r="AH208" s="91"/>
      <c r="AI208" s="91"/>
      <c r="AJ208" s="91"/>
      <c r="AK208" s="91"/>
      <c r="AL208" s="91"/>
      <c r="AM208" s="91"/>
      <c r="AN208" s="91"/>
      <c r="AO208" s="91"/>
      <c r="AP208" s="91"/>
    </row>
    <row r="209" spans="1:42">
      <c r="A209" s="4" t="s">
        <v>70</v>
      </c>
      <c r="B209" s="326">
        <v>2.9</v>
      </c>
      <c r="C209" s="326">
        <v>0.6</v>
      </c>
      <c r="D209" s="326">
        <v>1.3</v>
      </c>
      <c r="E209" s="326">
        <v>1.4</v>
      </c>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93"/>
      <c r="AB209" s="93"/>
      <c r="AC209" s="91"/>
      <c r="AD209" s="91"/>
      <c r="AE209" s="91"/>
      <c r="AF209" s="91"/>
      <c r="AG209" s="91"/>
      <c r="AH209" s="91"/>
      <c r="AI209" s="91"/>
      <c r="AJ209" s="91"/>
      <c r="AK209" s="91"/>
      <c r="AL209" s="91"/>
      <c r="AM209" s="91"/>
      <c r="AN209" s="91"/>
      <c r="AO209" s="91"/>
      <c r="AP209" s="91"/>
    </row>
    <row r="210" spans="1:42">
      <c r="A210" s="4" t="s">
        <v>71</v>
      </c>
      <c r="B210" s="326">
        <v>2.2999999999999998</v>
      </c>
      <c r="C210" s="326">
        <v>1.3</v>
      </c>
      <c r="D210" s="326">
        <v>4.5</v>
      </c>
      <c r="E210" s="326">
        <v>2.8</v>
      </c>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93"/>
      <c r="AB210" s="93"/>
      <c r="AC210" s="91"/>
      <c r="AD210" s="91"/>
      <c r="AE210" s="91"/>
      <c r="AF210" s="91"/>
      <c r="AG210" s="91"/>
      <c r="AH210" s="91"/>
      <c r="AI210" s="91"/>
      <c r="AJ210" s="91"/>
      <c r="AK210" s="91"/>
      <c r="AL210" s="91"/>
      <c r="AM210" s="91"/>
      <c r="AN210" s="91"/>
      <c r="AO210" s="91"/>
      <c r="AP210" s="91"/>
    </row>
    <row r="211" spans="1:42">
      <c r="A211" s="4" t="s">
        <v>122</v>
      </c>
      <c r="B211" s="417">
        <v>6.7</v>
      </c>
      <c r="C211" s="417">
        <v>7</v>
      </c>
      <c r="D211" s="417">
        <v>6.9</v>
      </c>
      <c r="E211" s="417">
        <v>6.4</v>
      </c>
      <c r="F211" s="417"/>
      <c r="G211" s="417"/>
      <c r="H211" s="417"/>
      <c r="I211" s="417"/>
      <c r="J211" s="417"/>
      <c r="K211" s="417"/>
      <c r="L211" s="417"/>
      <c r="M211" s="417"/>
      <c r="N211" s="417"/>
      <c r="O211" s="417"/>
      <c r="P211" s="417"/>
      <c r="Q211" s="417"/>
      <c r="R211" s="417"/>
      <c r="S211" s="417"/>
      <c r="T211" s="417"/>
      <c r="U211" s="417"/>
      <c r="V211" s="417"/>
      <c r="W211" s="417"/>
      <c r="X211" s="326"/>
      <c r="Y211" s="326"/>
      <c r="Z211" s="326"/>
      <c r="AA211" s="92"/>
      <c r="AB211" s="92"/>
      <c r="AC211" s="91"/>
      <c r="AD211" s="91"/>
      <c r="AE211" s="91"/>
      <c r="AF211" s="91"/>
      <c r="AG211" s="91"/>
      <c r="AH211" s="91"/>
      <c r="AI211" s="91"/>
      <c r="AJ211" s="91"/>
      <c r="AK211" s="91"/>
      <c r="AL211" s="91"/>
      <c r="AM211" s="91"/>
      <c r="AN211" s="91"/>
      <c r="AO211" s="91"/>
      <c r="AP211" s="91"/>
    </row>
    <row r="212" spans="1:42">
      <c r="A212" s="7" t="s">
        <v>32</v>
      </c>
      <c r="B212" s="374">
        <v>68.099999999999994</v>
      </c>
      <c r="C212" s="374">
        <v>59.6</v>
      </c>
      <c r="D212" s="374">
        <v>51.5</v>
      </c>
      <c r="E212" s="383">
        <v>84.1</v>
      </c>
      <c r="F212" s="383">
        <v>115</v>
      </c>
      <c r="G212" s="383"/>
      <c r="H212" s="383"/>
      <c r="I212" s="383"/>
      <c r="J212" s="383"/>
      <c r="K212" s="383"/>
      <c r="L212" s="383"/>
      <c r="M212" s="383"/>
      <c r="N212" s="374">
        <f>+N214*N94</f>
        <v>167.31579750578825</v>
      </c>
      <c r="O212" s="374">
        <f t="shared" ref="O212:W212" si="161">+(O214+$Y$214)*O94</f>
        <v>161.16959402651199</v>
      </c>
      <c r="P212" s="374">
        <f t="shared" si="161"/>
        <v>153.00701847644183</v>
      </c>
      <c r="Q212" s="374">
        <f t="shared" si="161"/>
        <v>148.49683771122167</v>
      </c>
      <c r="R212" s="374">
        <f t="shared" si="161"/>
        <v>145.54295988379869</v>
      </c>
      <c r="S212" s="374">
        <f t="shared" si="161"/>
        <v>154.49516791960949</v>
      </c>
      <c r="T212" s="374">
        <f t="shared" si="161"/>
        <v>163.08930583604305</v>
      </c>
      <c r="U212" s="374">
        <f t="shared" si="161"/>
        <v>172.05477006750672</v>
      </c>
      <c r="V212" s="374">
        <f t="shared" si="161"/>
        <v>181.42518604419473</v>
      </c>
      <c r="W212" s="374">
        <f t="shared" si="161"/>
        <v>191.23698907739455</v>
      </c>
      <c r="X212" s="326"/>
      <c r="Y212" s="326"/>
      <c r="Z212" s="326"/>
      <c r="AA212" s="92"/>
      <c r="AB212" s="92"/>
      <c r="AC212" s="91"/>
      <c r="AD212" s="91"/>
      <c r="AE212" s="91"/>
      <c r="AF212" s="91"/>
      <c r="AG212" s="91"/>
      <c r="AH212" s="91"/>
      <c r="AI212" s="91"/>
      <c r="AJ212" s="91"/>
      <c r="AK212" s="91"/>
      <c r="AL212" s="91"/>
      <c r="AM212" s="91"/>
      <c r="AN212" s="91"/>
      <c r="AO212" s="91"/>
      <c r="AP212" s="91"/>
    </row>
    <row r="213" spans="1:42">
      <c r="A213" s="458" t="s">
        <v>243</v>
      </c>
      <c r="B213" s="459"/>
      <c r="C213" s="459"/>
      <c r="D213" s="459"/>
      <c r="E213" s="460" t="s">
        <v>244</v>
      </c>
      <c r="F213" s="460" t="s">
        <v>245</v>
      </c>
      <c r="G213" s="460"/>
      <c r="H213" s="460"/>
      <c r="I213" s="460"/>
      <c r="J213" s="460"/>
      <c r="K213" s="460"/>
      <c r="L213" s="460"/>
      <c r="M213" s="460"/>
      <c r="N213" s="447" t="s">
        <v>1176</v>
      </c>
      <c r="O213" s="459"/>
      <c r="P213" s="447"/>
      <c r="Q213" s="447"/>
      <c r="R213" s="459" t="s">
        <v>1177</v>
      </c>
      <c r="S213" s="459"/>
      <c r="T213" s="459"/>
      <c r="U213" s="459"/>
      <c r="V213" s="459"/>
      <c r="W213" s="459"/>
      <c r="X213" s="326"/>
      <c r="Y213" s="326"/>
      <c r="Z213" s="326"/>
      <c r="AA213" s="91"/>
      <c r="AB213" s="91"/>
      <c r="AC213" s="91"/>
      <c r="AD213" s="91"/>
      <c r="AE213" s="91"/>
      <c r="AF213" s="91"/>
      <c r="AG213" s="91"/>
      <c r="AH213" s="91"/>
      <c r="AI213" s="91"/>
      <c r="AJ213" s="91"/>
      <c r="AK213" s="91"/>
      <c r="AL213" s="91"/>
      <c r="AM213" s="91"/>
      <c r="AN213" s="91"/>
      <c r="AO213" s="91"/>
      <c r="AP213" s="91"/>
    </row>
    <row r="214" spans="1:42">
      <c r="A214" s="4" t="s">
        <v>247</v>
      </c>
      <c r="B214" s="349">
        <v>0.33268197361993157</v>
      </c>
      <c r="C214" s="349">
        <v>0.29030686799805161</v>
      </c>
      <c r="D214" s="349">
        <v>0.24975751697381185</v>
      </c>
      <c r="E214" s="349">
        <v>0.3948356807511737</v>
      </c>
      <c r="F214" s="349">
        <v>0.51757220201872645</v>
      </c>
      <c r="G214" s="349"/>
      <c r="H214" s="349"/>
      <c r="I214" s="349"/>
      <c r="J214" s="349"/>
      <c r="K214" s="349"/>
      <c r="L214" s="349"/>
      <c r="M214" s="349"/>
      <c r="N214" s="384">
        <v>0.35</v>
      </c>
      <c r="O214" s="384">
        <v>0.32</v>
      </c>
      <c r="P214" s="384">
        <v>0.28499999999999998</v>
      </c>
      <c r="Q214" s="384">
        <v>0.26</v>
      </c>
      <c r="R214" s="384">
        <v>0.24</v>
      </c>
      <c r="S214" s="384">
        <v>0.24</v>
      </c>
      <c r="T214" s="384">
        <v>0.24</v>
      </c>
      <c r="U214" s="384">
        <v>0.24</v>
      </c>
      <c r="V214" s="384">
        <v>0.24</v>
      </c>
      <c r="W214" s="384">
        <v>0.24</v>
      </c>
      <c r="X214" s="326"/>
      <c r="Y214" s="326"/>
      <c r="Z214" s="326"/>
      <c r="AA214" s="91"/>
      <c r="AB214" s="91"/>
      <c r="AC214" s="91"/>
      <c r="AD214" s="91"/>
      <c r="AE214" s="91"/>
      <c r="AF214" s="91"/>
      <c r="AG214" s="91"/>
      <c r="AH214" s="91"/>
      <c r="AI214" s="91"/>
      <c r="AJ214" s="91"/>
      <c r="AK214" s="91"/>
      <c r="AL214" s="91"/>
      <c r="AM214" s="91"/>
      <c r="AN214" s="91"/>
      <c r="AO214" s="91"/>
      <c r="AP214" s="91"/>
    </row>
    <row r="215" spans="1:42">
      <c r="B215" s="349"/>
      <c r="C215" s="349"/>
      <c r="D215" s="349"/>
      <c r="E215" s="349"/>
      <c r="F215" s="349"/>
      <c r="G215" s="349"/>
      <c r="H215" s="349"/>
      <c r="I215" s="349"/>
      <c r="J215" s="349"/>
      <c r="K215" s="349"/>
      <c r="L215" s="349"/>
      <c r="M215" s="349"/>
      <c r="N215" s="349"/>
      <c r="O215" s="349"/>
      <c r="P215" s="349"/>
      <c r="Q215" s="349"/>
      <c r="R215" s="349"/>
      <c r="S215" s="349"/>
      <c r="T215" s="349"/>
      <c r="U215" s="349"/>
      <c r="V215" s="349"/>
      <c r="W215" s="349"/>
      <c r="X215" s="326"/>
      <c r="Y215" s="326"/>
      <c r="Z215" s="326"/>
      <c r="AA215" s="93"/>
      <c r="AB215" s="93"/>
      <c r="AC215" s="91"/>
      <c r="AD215" s="91"/>
      <c r="AE215" s="91"/>
      <c r="AF215" s="91"/>
      <c r="AG215" s="91"/>
      <c r="AH215" s="91"/>
      <c r="AI215" s="91"/>
      <c r="AJ215" s="91"/>
      <c r="AK215" s="91"/>
      <c r="AL215" s="91"/>
      <c r="AM215" s="91"/>
      <c r="AN215" s="91"/>
      <c r="AO215" s="91"/>
      <c r="AP215" s="91"/>
    </row>
    <row r="216" spans="1:42">
      <c r="A216" s="4" t="s">
        <v>702</v>
      </c>
      <c r="B216" s="326" t="s">
        <v>703</v>
      </c>
      <c r="C216" s="326"/>
      <c r="D216" s="326"/>
      <c r="E216" s="383">
        <v>85</v>
      </c>
      <c r="F216" s="383">
        <v>85</v>
      </c>
      <c r="G216" s="383"/>
      <c r="H216" s="383"/>
      <c r="I216" s="383"/>
      <c r="J216" s="383"/>
      <c r="K216" s="383"/>
      <c r="L216" s="383"/>
      <c r="M216" s="383"/>
      <c r="N216" s="383">
        <v>85</v>
      </c>
      <c r="O216" s="383">
        <v>85</v>
      </c>
      <c r="P216" s="383">
        <v>85</v>
      </c>
      <c r="Q216" s="383">
        <v>85</v>
      </c>
      <c r="R216" s="383">
        <v>85</v>
      </c>
      <c r="S216" s="383">
        <v>85</v>
      </c>
      <c r="T216" s="383">
        <v>85</v>
      </c>
      <c r="U216" s="383">
        <v>85</v>
      </c>
      <c r="V216" s="383">
        <v>85</v>
      </c>
      <c r="W216" s="383">
        <v>85</v>
      </c>
      <c r="X216" s="326"/>
      <c r="Y216" s="326"/>
      <c r="Z216" s="326"/>
      <c r="AA216" s="92"/>
      <c r="AB216" s="92"/>
      <c r="AC216" s="91"/>
      <c r="AD216" s="91"/>
      <c r="AE216" s="91"/>
      <c r="AF216" s="91"/>
      <c r="AG216" s="91"/>
      <c r="AH216" s="91"/>
      <c r="AI216" s="91"/>
      <c r="AJ216" s="91"/>
      <c r="AK216" s="91"/>
      <c r="AL216" s="91"/>
      <c r="AM216" s="91"/>
      <c r="AN216" s="91"/>
      <c r="AO216" s="91"/>
      <c r="AP216" s="91"/>
    </row>
    <row r="217" spans="1:42">
      <c r="A217" s="4" t="s">
        <v>704</v>
      </c>
      <c r="B217" s="326"/>
      <c r="C217" s="326"/>
      <c r="D217" s="326"/>
      <c r="E217" s="326">
        <v>42</v>
      </c>
      <c r="F217" s="326">
        <v>63.537001624988989</v>
      </c>
      <c r="G217" s="326"/>
      <c r="H217" s="326"/>
      <c r="I217" s="326"/>
      <c r="J217" s="326"/>
      <c r="K217" s="326"/>
      <c r="L217" s="326"/>
      <c r="M217" s="326"/>
      <c r="N217" s="326"/>
      <c r="O217" s="326"/>
      <c r="P217" s="326"/>
      <c r="Q217" s="326"/>
      <c r="R217" s="326"/>
      <c r="S217" s="326"/>
      <c r="T217" s="326"/>
      <c r="U217" s="326"/>
      <c r="V217" s="326"/>
      <c r="W217" s="326"/>
      <c r="X217" s="326"/>
      <c r="Y217" s="326"/>
      <c r="Z217" s="326"/>
      <c r="AA217" s="93"/>
      <c r="AB217" s="93"/>
      <c r="AC217" s="91"/>
      <c r="AD217" s="91"/>
      <c r="AE217" s="91"/>
      <c r="AF217" s="91"/>
      <c r="AG217" s="91"/>
      <c r="AH217" s="91"/>
      <c r="AI217" s="91"/>
      <c r="AJ217" s="91"/>
      <c r="AK217" s="91"/>
      <c r="AL217" s="91"/>
      <c r="AM217" s="91"/>
      <c r="AN217" s="91"/>
      <c r="AO217" s="91"/>
      <c r="AP217" s="91"/>
    </row>
    <row r="218" spans="1:42">
      <c r="A218" s="4" t="s">
        <v>702</v>
      </c>
      <c r="B218" s="326"/>
      <c r="C218" s="326"/>
      <c r="D218" s="326"/>
      <c r="E218" s="326">
        <v>3.57</v>
      </c>
      <c r="F218" s="326">
        <v>5.4006451381240641</v>
      </c>
      <c r="G218" s="326"/>
      <c r="H218" s="326"/>
      <c r="I218" s="326"/>
      <c r="J218" s="326"/>
      <c r="K218" s="326"/>
      <c r="L218" s="326"/>
      <c r="M218" s="326"/>
      <c r="N218" s="326"/>
      <c r="O218" s="326"/>
      <c r="P218" s="326"/>
      <c r="Q218" s="326"/>
      <c r="R218" s="326"/>
      <c r="S218" s="326"/>
      <c r="T218" s="326"/>
      <c r="U218" s="326"/>
      <c r="V218" s="326"/>
      <c r="W218" s="326"/>
      <c r="X218" s="326"/>
      <c r="Y218" s="326"/>
      <c r="Z218" s="326"/>
      <c r="AA218" s="91"/>
      <c r="AB218" s="91"/>
      <c r="AC218" s="91"/>
      <c r="AD218" s="91"/>
      <c r="AE218" s="91"/>
      <c r="AF218" s="91"/>
      <c r="AG218" s="91"/>
      <c r="AH218" s="91"/>
      <c r="AI218" s="91"/>
      <c r="AJ218" s="91"/>
      <c r="AK218" s="91"/>
      <c r="AL218" s="91"/>
      <c r="AM218" s="91"/>
      <c r="AN218" s="91"/>
      <c r="AO218" s="91"/>
      <c r="AP218" s="91"/>
    </row>
    <row r="219" spans="1:42">
      <c r="A219" s="6" t="s">
        <v>857</v>
      </c>
      <c r="B219" s="375"/>
      <c r="C219" s="375"/>
      <c r="D219" s="375"/>
      <c r="E219" s="375">
        <v>31</v>
      </c>
      <c r="F219" s="375"/>
      <c r="G219" s="375"/>
      <c r="H219" s="375"/>
      <c r="I219" s="375"/>
      <c r="J219" s="375"/>
      <c r="K219" s="375"/>
      <c r="L219" s="375"/>
      <c r="M219" s="375"/>
      <c r="N219" s="375"/>
      <c r="O219" s="375"/>
      <c r="P219" s="375"/>
      <c r="Q219" s="375"/>
      <c r="R219" s="375"/>
      <c r="S219" s="375"/>
      <c r="T219" s="375"/>
      <c r="U219" s="326"/>
      <c r="V219" s="326"/>
      <c r="W219" s="326"/>
      <c r="X219" s="326"/>
      <c r="Y219" s="326"/>
      <c r="Z219" s="326"/>
      <c r="AA219" s="91"/>
      <c r="AB219" s="91"/>
      <c r="AC219" s="91"/>
      <c r="AD219" s="91"/>
      <c r="AE219" s="91"/>
      <c r="AF219" s="91"/>
      <c r="AG219" s="91"/>
      <c r="AH219" s="91"/>
      <c r="AI219" s="91"/>
      <c r="AJ219" s="91"/>
      <c r="AK219" s="91"/>
      <c r="AL219" s="91"/>
      <c r="AM219" s="91"/>
      <c r="AN219" s="91"/>
      <c r="AO219" s="91"/>
      <c r="AP219" s="91"/>
    </row>
    <row r="220" spans="1:42">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91"/>
      <c r="AB220" s="91"/>
      <c r="AC220" s="91"/>
      <c r="AD220" s="91"/>
      <c r="AE220" s="91"/>
      <c r="AF220" s="91"/>
      <c r="AG220" s="91"/>
      <c r="AH220" s="91"/>
      <c r="AI220" s="91"/>
      <c r="AJ220" s="91"/>
      <c r="AK220" s="91"/>
      <c r="AL220" s="91"/>
      <c r="AM220" s="91"/>
      <c r="AN220" s="91"/>
      <c r="AO220" s="91"/>
      <c r="AP220" s="91"/>
    </row>
    <row r="221" spans="1:42">
      <c r="A221" s="4" t="s">
        <v>1091</v>
      </c>
      <c r="B221" s="326">
        <f>1000*B100/B52/12</f>
        <v>-4.516908212560387</v>
      </c>
      <c r="C221" s="326">
        <f>1000*C100/C52/12</f>
        <v>-4.7717271727172719</v>
      </c>
      <c r="D221" s="326">
        <f>1000*D100/D52/12</f>
        <v>-4.6799516908212562</v>
      </c>
      <c r="E221" s="326">
        <f>1000*E100/E52/12</f>
        <v>-5.3988683664170649</v>
      </c>
      <c r="F221" s="326">
        <f>1000*F100/F52/12</f>
        <v>-5.5</v>
      </c>
      <c r="G221" s="326"/>
      <c r="H221" s="326"/>
      <c r="I221" s="326"/>
      <c r="J221" s="326"/>
      <c r="K221" s="326"/>
      <c r="L221" s="326"/>
      <c r="M221" s="326"/>
      <c r="N221" s="383">
        <v>-5</v>
      </c>
      <c r="O221" s="383">
        <f t="shared" ref="O221:W221" si="162">+N221*1.02</f>
        <v>-5.0999999999999996</v>
      </c>
      <c r="P221" s="383">
        <f t="shared" si="162"/>
        <v>-5.202</v>
      </c>
      <c r="Q221" s="383">
        <f>+P221*1.02</f>
        <v>-5.3060400000000003</v>
      </c>
      <c r="R221" s="383">
        <f t="shared" si="162"/>
        <v>-5.4121608000000005</v>
      </c>
      <c r="S221" s="383">
        <f t="shared" si="162"/>
        <v>-5.5204040160000005</v>
      </c>
      <c r="T221" s="383">
        <f t="shared" si="162"/>
        <v>-5.6308120963200006</v>
      </c>
      <c r="U221" s="383">
        <f t="shared" si="162"/>
        <v>-5.7434283382464004</v>
      </c>
      <c r="V221" s="383">
        <f t="shared" si="162"/>
        <v>-5.8582969050113283</v>
      </c>
      <c r="W221" s="383">
        <f t="shared" si="162"/>
        <v>-5.9754628431115551</v>
      </c>
      <c r="X221" s="326"/>
      <c r="Y221" s="326"/>
      <c r="Z221" s="326"/>
      <c r="AA221" s="91"/>
      <c r="AB221" s="91"/>
      <c r="AC221" s="91"/>
      <c r="AD221" s="91"/>
      <c r="AE221" s="91"/>
      <c r="AF221" s="91"/>
      <c r="AG221" s="91"/>
      <c r="AH221" s="91"/>
      <c r="AI221" s="91"/>
      <c r="AJ221" s="91"/>
      <c r="AK221" s="91"/>
      <c r="AL221" s="91"/>
      <c r="AM221" s="91"/>
      <c r="AN221" s="91"/>
      <c r="AO221" s="91"/>
      <c r="AP221" s="91"/>
    </row>
    <row r="222" spans="1:42">
      <c r="A222" s="4" t="s">
        <v>240</v>
      </c>
      <c r="B222" s="349">
        <f>+B101/B94</f>
        <v>-0.24328285295554469</v>
      </c>
      <c r="C222" s="349">
        <f>+C101/C94</f>
        <v>-0.22454943984413053</v>
      </c>
      <c r="D222" s="349">
        <f>+D101/D94</f>
        <v>-0.24733268671193018</v>
      </c>
      <c r="E222" s="349">
        <f>+E101/E94</f>
        <v>-0.18122065727699532</v>
      </c>
      <c r="F222" s="349">
        <f>+F101/F94</f>
        <v>-0.18622065727699533</v>
      </c>
      <c r="G222" s="326"/>
      <c r="H222" s="326"/>
      <c r="I222" s="326"/>
      <c r="J222" s="326"/>
      <c r="K222" s="326"/>
      <c r="L222" s="326"/>
      <c r="M222" s="326"/>
      <c r="N222" s="384">
        <v>-0.19900000000000001</v>
      </c>
      <c r="O222" s="384">
        <f t="shared" ref="O222:W222" si="163">+N222</f>
        <v>-0.19900000000000001</v>
      </c>
      <c r="P222" s="384">
        <f t="shared" si="163"/>
        <v>-0.19900000000000001</v>
      </c>
      <c r="Q222" s="384">
        <f t="shared" si="163"/>
        <v>-0.19900000000000001</v>
      </c>
      <c r="R222" s="384">
        <f t="shared" si="163"/>
        <v>-0.19900000000000001</v>
      </c>
      <c r="S222" s="384">
        <f t="shared" si="163"/>
        <v>-0.19900000000000001</v>
      </c>
      <c r="T222" s="384">
        <f t="shared" si="163"/>
        <v>-0.19900000000000001</v>
      </c>
      <c r="U222" s="384">
        <f t="shared" si="163"/>
        <v>-0.19900000000000001</v>
      </c>
      <c r="V222" s="384">
        <f t="shared" si="163"/>
        <v>-0.19900000000000001</v>
      </c>
      <c r="W222" s="384">
        <f t="shared" si="163"/>
        <v>-0.19900000000000001</v>
      </c>
      <c r="X222" s="326"/>
      <c r="Y222" s="326"/>
      <c r="Z222" s="326"/>
      <c r="AA222" s="91"/>
      <c r="AB222" s="91"/>
      <c r="AC222" s="91"/>
      <c r="AD222" s="91"/>
      <c r="AE222" s="91"/>
      <c r="AF222" s="91"/>
      <c r="AG222" s="91"/>
      <c r="AH222" s="91"/>
      <c r="AI222" s="91"/>
      <c r="AJ222" s="91"/>
      <c r="AK222" s="91"/>
      <c r="AL222" s="91"/>
      <c r="AM222" s="91"/>
      <c r="AN222" s="91"/>
      <c r="AO222" s="91"/>
      <c r="AP222" s="91"/>
    </row>
    <row r="223" spans="1:42">
      <c r="AA223" s="91"/>
      <c r="AB223" s="91"/>
      <c r="AC223" s="91"/>
      <c r="AD223" s="91"/>
      <c r="AE223" s="91"/>
      <c r="AF223" s="91"/>
      <c r="AG223" s="91"/>
      <c r="AH223" s="91"/>
      <c r="AI223" s="91"/>
      <c r="AJ223" s="91"/>
      <c r="AK223" s="91"/>
      <c r="AL223" s="91"/>
      <c r="AM223" s="91"/>
      <c r="AN223" s="91"/>
      <c r="AO223" s="91"/>
      <c r="AP223" s="91"/>
    </row>
    <row r="224" spans="1:42">
      <c r="AA224" s="91"/>
      <c r="AB224" s="91"/>
      <c r="AC224" s="91"/>
      <c r="AD224" s="91"/>
      <c r="AE224" s="91"/>
      <c r="AF224" s="91"/>
      <c r="AG224" s="91"/>
      <c r="AH224" s="91"/>
      <c r="AI224" s="91"/>
      <c r="AJ224" s="91"/>
      <c r="AK224" s="91"/>
      <c r="AL224" s="91"/>
      <c r="AM224" s="91"/>
      <c r="AN224" s="91"/>
      <c r="AO224" s="91"/>
      <c r="AP224" s="91"/>
    </row>
    <row r="225" spans="1:42">
      <c r="AA225" s="91"/>
      <c r="AB225" s="91"/>
      <c r="AC225" s="91"/>
      <c r="AD225" s="91"/>
      <c r="AE225" s="91"/>
      <c r="AF225" s="91"/>
      <c r="AG225" s="91"/>
      <c r="AH225" s="91"/>
      <c r="AI225" s="91"/>
      <c r="AJ225" s="91"/>
      <c r="AK225" s="91"/>
      <c r="AL225" s="91"/>
      <c r="AM225" s="91"/>
      <c r="AN225" s="91"/>
      <c r="AO225" s="91"/>
      <c r="AP225" s="91"/>
    </row>
    <row r="226" spans="1:42">
      <c r="A226" s="18" t="s">
        <v>248</v>
      </c>
      <c r="B226" s="80" t="str">
        <f>B$3</f>
        <v>2011A</v>
      </c>
      <c r="C226" s="80" t="str">
        <f t="shared" ref="C226:W226" si="164">C$3</f>
        <v>2012A</v>
      </c>
      <c r="D226" s="80" t="str">
        <f t="shared" si="164"/>
        <v>2013A</v>
      </c>
      <c r="E226" s="80" t="str">
        <f t="shared" si="164"/>
        <v>2014A</v>
      </c>
      <c r="F226" s="80" t="str">
        <f t="shared" si="164"/>
        <v>2015A</v>
      </c>
      <c r="G226" s="80" t="str">
        <f t="shared" si="164"/>
        <v>Prima 14A</v>
      </c>
      <c r="H226" s="80" t="str">
        <f t="shared" si="164"/>
        <v>Prima 15E</v>
      </c>
      <c r="I226" s="80" t="str">
        <f t="shared" si="164"/>
        <v>pep 14A</v>
      </c>
      <c r="J226" s="80" t="str">
        <f t="shared" si="164"/>
        <v>pep 15E</v>
      </c>
      <c r="K226" s="80" t="str">
        <f t="shared" si="164"/>
        <v>Adj.</v>
      </c>
      <c r="L226" s="80" t="str">
        <f t="shared" si="164"/>
        <v>PF 2015E</v>
      </c>
      <c r="M226" s="80"/>
      <c r="N226" s="80" t="str">
        <f t="shared" si="164"/>
        <v>2016E</v>
      </c>
      <c r="O226" s="80" t="str">
        <f t="shared" si="164"/>
        <v>2017E</v>
      </c>
      <c r="P226" s="80" t="str">
        <f t="shared" si="164"/>
        <v>2018E</v>
      </c>
      <c r="Q226" s="80" t="str">
        <f t="shared" si="164"/>
        <v>2019E</v>
      </c>
      <c r="R226" s="80" t="str">
        <f t="shared" si="164"/>
        <v>2020E</v>
      </c>
      <c r="S226" s="80" t="str">
        <f t="shared" si="164"/>
        <v>2021E</v>
      </c>
      <c r="T226" s="80" t="str">
        <f t="shared" si="164"/>
        <v>2022E</v>
      </c>
      <c r="U226" s="80" t="str">
        <f t="shared" si="164"/>
        <v>2023E</v>
      </c>
      <c r="V226" s="80" t="str">
        <f t="shared" si="164"/>
        <v>2024E</v>
      </c>
      <c r="W226" s="80" t="str">
        <f t="shared" si="164"/>
        <v>2025E</v>
      </c>
      <c r="AA226" s="91"/>
      <c r="AB226" s="91"/>
      <c r="AC226" s="91"/>
      <c r="AD226" s="91"/>
      <c r="AE226" s="91"/>
      <c r="AF226" s="91"/>
      <c r="AG226" s="91"/>
      <c r="AH226" s="91"/>
      <c r="AI226" s="91"/>
      <c r="AJ226" s="91"/>
      <c r="AK226" s="91"/>
      <c r="AL226" s="91"/>
      <c r="AM226" s="91"/>
      <c r="AN226" s="91"/>
      <c r="AO226" s="91"/>
      <c r="AP226" s="91"/>
    </row>
    <row r="227" spans="1:42">
      <c r="A227" s="4" t="s">
        <v>249</v>
      </c>
      <c r="AA227" s="91"/>
      <c r="AB227" s="91"/>
      <c r="AC227" s="91"/>
      <c r="AD227" s="91"/>
      <c r="AE227" s="91"/>
      <c r="AF227" s="91"/>
      <c r="AG227" s="91"/>
      <c r="AH227" s="91"/>
      <c r="AI227" s="91"/>
      <c r="AJ227" s="91"/>
      <c r="AK227" s="91"/>
      <c r="AL227" s="91"/>
      <c r="AM227" s="91"/>
      <c r="AN227" s="91"/>
      <c r="AO227" s="91"/>
      <c r="AP227" s="91"/>
    </row>
    <row r="228" spans="1:42">
      <c r="A228" s="4" t="s">
        <v>38</v>
      </c>
      <c r="B228" s="326">
        <v>204.5</v>
      </c>
      <c r="C228" s="326">
        <v>206.9</v>
      </c>
      <c r="D228" s="326">
        <v>207.8</v>
      </c>
      <c r="E228" s="326">
        <v>209.9</v>
      </c>
      <c r="F228" s="326">
        <v>259.92</v>
      </c>
      <c r="G228" s="326">
        <v>177</v>
      </c>
      <c r="H228" s="326"/>
      <c r="I228" s="326">
        <v>252</v>
      </c>
      <c r="J228" s="326"/>
      <c r="K228" s="326"/>
      <c r="L228" s="373">
        <f>L153</f>
        <v>648.57000000000005</v>
      </c>
      <c r="M228" s="326"/>
      <c r="N228" s="326">
        <f>+L228+N241-N235</f>
        <v>638.29597133796403</v>
      </c>
      <c r="O228" s="326">
        <f>+N228+O241-O235-O199</f>
        <v>680.47165279005105</v>
      </c>
      <c r="P228" s="326">
        <f t="shared" ref="P228:W228" si="165">+O228+P241-P235</f>
        <v>658.09606484991696</v>
      </c>
      <c r="Q228" s="326">
        <f t="shared" si="165"/>
        <v>636.87309568912474</v>
      </c>
      <c r="R228" s="326">
        <f t="shared" si="165"/>
        <v>611.78010899858043</v>
      </c>
      <c r="S228" s="326">
        <f t="shared" si="165"/>
        <v>599.42510800125012</v>
      </c>
      <c r="T228" s="326">
        <f t="shared" si="165"/>
        <v>596.69097311425116</v>
      </c>
      <c r="U228" s="326">
        <f t="shared" si="165"/>
        <v>601.73679514286744</v>
      </c>
      <c r="V228" s="326">
        <f t="shared" si="165"/>
        <v>613.15765616869714</v>
      </c>
      <c r="W228" s="326">
        <f t="shared" si="165"/>
        <v>629.88999050423558</v>
      </c>
      <c r="AA228" s="91"/>
      <c r="AB228" s="91"/>
      <c r="AC228" s="91"/>
      <c r="AD228" s="91"/>
      <c r="AE228" s="91"/>
      <c r="AF228" s="91"/>
      <c r="AG228" s="91"/>
      <c r="AH228" s="91"/>
      <c r="AI228" s="91"/>
      <c r="AJ228" s="91"/>
      <c r="AK228" s="91"/>
      <c r="AL228" s="91"/>
      <c r="AM228" s="91"/>
      <c r="AN228" s="91"/>
      <c r="AO228" s="91"/>
      <c r="AP228" s="91"/>
    </row>
    <row r="229" spans="1:42">
      <c r="A229" s="4" t="s">
        <v>39</v>
      </c>
      <c r="B229" s="326">
        <v>386.1</v>
      </c>
      <c r="C229" s="326">
        <v>380.7</v>
      </c>
      <c r="D229" s="326">
        <v>372.2</v>
      </c>
      <c r="E229" s="326">
        <v>381.8</v>
      </c>
      <c r="F229" s="326">
        <v>384.8</v>
      </c>
      <c r="G229" s="326">
        <v>210</v>
      </c>
      <c r="H229" s="326"/>
      <c r="I229" s="326">
        <v>133</v>
      </c>
      <c r="J229" s="326"/>
      <c r="K229" s="326"/>
      <c r="L229" s="373">
        <f>L154</f>
        <v>1378.836</v>
      </c>
      <c r="M229" s="326"/>
      <c r="N229" s="326">
        <f>+L229+N245-N236</f>
        <v>1392.2991595011576</v>
      </c>
      <c r="O229" s="326">
        <f t="shared" ref="O229:W229" si="166">+N229+O245-O236</f>
        <v>1404.5330783064601</v>
      </c>
      <c r="P229" s="326">
        <f t="shared" si="166"/>
        <v>1415.1344820017484</v>
      </c>
      <c r="Q229" s="326">
        <f t="shared" si="166"/>
        <v>1424.8338495439928</v>
      </c>
      <c r="R229" s="326">
        <f t="shared" si="166"/>
        <v>1433.9424415207525</v>
      </c>
      <c r="S229" s="326">
        <f t="shared" si="166"/>
        <v>1444.3414751046744</v>
      </c>
      <c r="T229" s="326">
        <f t="shared" si="166"/>
        <v>1455.9593362718829</v>
      </c>
      <c r="U229" s="326">
        <f t="shared" si="166"/>
        <v>1468.8702902853843</v>
      </c>
      <c r="V229" s="326">
        <f t="shared" si="166"/>
        <v>1483.1553274942232</v>
      </c>
      <c r="W229" s="326">
        <f t="shared" si="166"/>
        <v>1498.9027253097022</v>
      </c>
      <c r="AA229" s="91"/>
      <c r="AB229" s="91"/>
      <c r="AC229" s="91"/>
      <c r="AD229" s="91"/>
      <c r="AE229" s="91"/>
      <c r="AF229" s="91"/>
      <c r="AG229" s="91"/>
      <c r="AH229" s="91"/>
      <c r="AI229" s="91"/>
      <c r="AJ229" s="91"/>
      <c r="AK229" s="91"/>
      <c r="AL229" s="91"/>
      <c r="AM229" s="91"/>
      <c r="AN229" s="91"/>
      <c r="AO229" s="91"/>
      <c r="AP229" s="91"/>
    </row>
    <row r="230" spans="1:42">
      <c r="B230" s="385">
        <v>590.6</v>
      </c>
      <c r="C230" s="385">
        <v>587.6</v>
      </c>
      <c r="D230" s="385">
        <v>580</v>
      </c>
      <c r="E230" s="385">
        <v>591.70000000000005</v>
      </c>
      <c r="F230" s="385">
        <v>644.72</v>
      </c>
      <c r="G230" s="385"/>
      <c r="H230" s="385"/>
      <c r="I230" s="385"/>
      <c r="J230" s="385"/>
      <c r="K230" s="385"/>
      <c r="L230" s="385">
        <f>+L229+L228</f>
        <v>2027.4059999999999</v>
      </c>
      <c r="M230" s="385"/>
      <c r="N230" s="385">
        <f>+N229+N228</f>
        <v>2030.5951308391218</v>
      </c>
      <c r="O230" s="385">
        <f t="shared" ref="O230:W230" si="167">+O229+O228</f>
        <v>2085.004731096511</v>
      </c>
      <c r="P230" s="385">
        <f t="shared" si="167"/>
        <v>2073.2305468516652</v>
      </c>
      <c r="Q230" s="385">
        <f t="shared" si="167"/>
        <v>2061.7069452331175</v>
      </c>
      <c r="R230" s="385">
        <f t="shared" si="167"/>
        <v>2045.7225505193328</v>
      </c>
      <c r="S230" s="385">
        <f t="shared" si="167"/>
        <v>2043.7665831059244</v>
      </c>
      <c r="T230" s="385">
        <f t="shared" si="167"/>
        <v>2052.6503093861338</v>
      </c>
      <c r="U230" s="385">
        <f t="shared" si="167"/>
        <v>2070.6070854282516</v>
      </c>
      <c r="V230" s="385">
        <f t="shared" si="167"/>
        <v>2096.3129836629205</v>
      </c>
      <c r="W230" s="385">
        <f t="shared" si="167"/>
        <v>2128.7927158139378</v>
      </c>
      <c r="AA230" s="91"/>
      <c r="AB230" s="91"/>
      <c r="AC230" s="91"/>
      <c r="AD230" s="91"/>
      <c r="AE230" s="91"/>
      <c r="AF230" s="91"/>
      <c r="AG230" s="91"/>
      <c r="AH230" s="91"/>
      <c r="AI230" s="91"/>
      <c r="AJ230" s="91"/>
      <c r="AK230" s="91"/>
      <c r="AL230" s="91"/>
      <c r="AM230" s="91"/>
      <c r="AN230" s="91"/>
      <c r="AO230" s="91"/>
      <c r="AP230" s="91"/>
    </row>
    <row r="231" spans="1:42">
      <c r="A231" s="4" t="s">
        <v>250</v>
      </c>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AA231" s="91"/>
      <c r="AB231" s="91"/>
      <c r="AC231" s="91"/>
      <c r="AD231" s="91"/>
      <c r="AE231" s="91"/>
      <c r="AF231" s="91"/>
      <c r="AG231" s="91"/>
      <c r="AH231" s="91"/>
      <c r="AI231" s="91"/>
      <c r="AJ231" s="91"/>
      <c r="AK231" s="91"/>
      <c r="AL231" s="91"/>
      <c r="AM231" s="91"/>
      <c r="AN231" s="91"/>
      <c r="AO231" s="91"/>
      <c r="AP231" s="91"/>
    </row>
    <row r="232" spans="1:42">
      <c r="A232" s="4" t="s">
        <v>29</v>
      </c>
      <c r="B232" s="326">
        <v>-57.4</v>
      </c>
      <c r="C232" s="326">
        <v>-62.9</v>
      </c>
      <c r="D232" s="326">
        <v>-62.8</v>
      </c>
      <c r="E232" s="326">
        <v>-50.8</v>
      </c>
      <c r="F232" s="326">
        <v>-61.980000000000004</v>
      </c>
      <c r="G232" s="326"/>
      <c r="H232" s="326"/>
      <c r="I232" s="326"/>
      <c r="J232" s="326"/>
      <c r="K232" s="326"/>
      <c r="L232" s="326"/>
      <c r="M232" s="326"/>
      <c r="N232" s="326">
        <f t="shared" ref="N232:W232" si="168">+N241+N245</f>
        <v>-164.12666666666667</v>
      </c>
      <c r="O232" s="326">
        <f t="shared" si="168"/>
        <v>-158.75999376912262</v>
      </c>
      <c r="P232" s="326">
        <f t="shared" si="168"/>
        <v>-164.78120272128749</v>
      </c>
      <c r="Q232" s="326">
        <f t="shared" si="168"/>
        <v>-160.02043932976957</v>
      </c>
      <c r="R232" s="326">
        <f t="shared" si="168"/>
        <v>-161.52735459758327</v>
      </c>
      <c r="S232" s="326">
        <f t="shared" si="168"/>
        <v>-156.45113533301787</v>
      </c>
      <c r="T232" s="326">
        <f t="shared" si="168"/>
        <v>-154.20557955583337</v>
      </c>
      <c r="U232" s="326">
        <f t="shared" si="168"/>
        <v>-154.09799402538914</v>
      </c>
      <c r="V232" s="326">
        <f t="shared" si="168"/>
        <v>-155.71928780952609</v>
      </c>
      <c r="W232" s="326">
        <f t="shared" si="168"/>
        <v>-158.75725692637715</v>
      </c>
      <c r="AA232" s="91"/>
      <c r="AB232" s="91"/>
      <c r="AC232" s="91"/>
      <c r="AD232" s="91"/>
      <c r="AE232" s="91"/>
      <c r="AF232" s="91"/>
      <c r="AG232" s="91"/>
      <c r="AH232" s="91"/>
      <c r="AI232" s="91"/>
      <c r="AJ232" s="91"/>
      <c r="AK232" s="91"/>
      <c r="AL232" s="91"/>
      <c r="AM232" s="91"/>
      <c r="AN232" s="91"/>
      <c r="AO232" s="91"/>
      <c r="AP232" s="91"/>
    </row>
    <row r="233" spans="1:42">
      <c r="A233" s="4" t="s">
        <v>251</v>
      </c>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AA233" s="91"/>
      <c r="AB233" s="91"/>
      <c r="AC233" s="91"/>
      <c r="AD233" s="91"/>
      <c r="AE233" s="91"/>
      <c r="AF233" s="91"/>
      <c r="AG233" s="91"/>
      <c r="AH233" s="91"/>
      <c r="AI233" s="91"/>
      <c r="AJ233" s="91"/>
      <c r="AK233" s="91"/>
      <c r="AL233" s="91"/>
      <c r="AM233" s="91"/>
      <c r="AN233" s="91"/>
      <c r="AO233" s="91"/>
      <c r="AP233" s="91"/>
    </row>
    <row r="234" spans="1:42">
      <c r="A234" s="4" t="s">
        <v>99</v>
      </c>
      <c r="B234" s="326">
        <v>2.5</v>
      </c>
      <c r="C234" s="326">
        <v>1.9</v>
      </c>
      <c r="D234" s="326">
        <v>4.5999999999999996</v>
      </c>
      <c r="E234" s="326">
        <v>3.2</v>
      </c>
      <c r="F234" s="326">
        <v>0</v>
      </c>
      <c r="G234" s="326"/>
      <c r="H234" s="326"/>
      <c r="I234" s="326"/>
      <c r="J234" s="326"/>
      <c r="K234" s="326"/>
      <c r="L234" s="326"/>
      <c r="M234" s="326"/>
      <c r="N234" s="326"/>
      <c r="O234" s="326"/>
      <c r="P234" s="326"/>
      <c r="Q234" s="326"/>
      <c r="R234" s="326"/>
      <c r="S234" s="326"/>
      <c r="T234" s="326"/>
      <c r="U234" s="326"/>
      <c r="V234" s="326"/>
      <c r="W234" s="326"/>
      <c r="AA234" s="91"/>
      <c r="AB234" s="91"/>
      <c r="AC234" s="91"/>
      <c r="AD234" s="91"/>
      <c r="AE234" s="91"/>
      <c r="AF234" s="91"/>
      <c r="AG234" s="91"/>
      <c r="AH234" s="91"/>
      <c r="AI234" s="91"/>
      <c r="AJ234" s="91"/>
      <c r="AK234" s="91"/>
      <c r="AL234" s="91"/>
      <c r="AM234" s="91"/>
      <c r="AN234" s="91"/>
      <c r="AO234" s="91"/>
      <c r="AP234" s="91"/>
    </row>
    <row r="235" spans="1:42">
      <c r="A235" s="4" t="s">
        <v>100</v>
      </c>
      <c r="B235" s="326">
        <v>-61.5</v>
      </c>
      <c r="C235" s="326">
        <v>-48.8</v>
      </c>
      <c r="D235" s="326">
        <v>-41.4</v>
      </c>
      <c r="E235" s="326">
        <v>-41.5</v>
      </c>
      <c r="F235" s="326">
        <v>-92</v>
      </c>
      <c r="G235" s="326"/>
      <c r="H235" s="326"/>
      <c r="I235" s="326"/>
      <c r="J235" s="326"/>
      <c r="K235" s="326"/>
      <c r="L235" s="326"/>
      <c r="M235" s="326"/>
      <c r="N235" s="326">
        <f t="shared" ref="N235:W235" si="169">-N238*N239</f>
        <v>-133.85263800463062</v>
      </c>
      <c r="O235" s="326">
        <f t="shared" si="169"/>
        <v>-128.93567522120961</v>
      </c>
      <c r="P235" s="326">
        <f t="shared" si="169"/>
        <v>-122.40561478115347</v>
      </c>
      <c r="Q235" s="326">
        <f t="shared" si="169"/>
        <v>-118.79747016897734</v>
      </c>
      <c r="R235" s="326">
        <f t="shared" si="169"/>
        <v>-116.43436790703896</v>
      </c>
      <c r="S235" s="326">
        <f t="shared" si="169"/>
        <v>-123.59613433568759</v>
      </c>
      <c r="T235" s="326">
        <f t="shared" si="169"/>
        <v>-130.47144466883444</v>
      </c>
      <c r="U235" s="326">
        <f t="shared" si="169"/>
        <v>-137.64381605400538</v>
      </c>
      <c r="V235" s="326">
        <f t="shared" si="169"/>
        <v>-145.1401488353558</v>
      </c>
      <c r="W235" s="326">
        <f t="shared" si="169"/>
        <v>-152.98959126191565</v>
      </c>
      <c r="AA235" s="91"/>
      <c r="AB235" s="91"/>
      <c r="AC235" s="91"/>
      <c r="AD235" s="91"/>
      <c r="AE235" s="91"/>
      <c r="AF235" s="91"/>
      <c r="AG235" s="91"/>
      <c r="AH235" s="91"/>
      <c r="AI235" s="91"/>
      <c r="AJ235" s="91"/>
      <c r="AK235" s="91"/>
      <c r="AL235" s="91"/>
      <c r="AM235" s="91"/>
      <c r="AN235" s="91"/>
      <c r="AO235" s="91"/>
      <c r="AP235" s="91"/>
    </row>
    <row r="236" spans="1:42">
      <c r="A236" s="4" t="s">
        <v>22</v>
      </c>
      <c r="B236" s="326">
        <v>-5.9</v>
      </c>
      <c r="C236" s="326">
        <v>-7.6</v>
      </c>
      <c r="D236" s="326">
        <v>-6.7</v>
      </c>
      <c r="E236" s="326">
        <v>-7.1</v>
      </c>
      <c r="F236" s="326">
        <v>-23</v>
      </c>
      <c r="G236" s="326"/>
      <c r="H236" s="326"/>
      <c r="I236" s="326"/>
      <c r="J236" s="326"/>
      <c r="K236" s="326"/>
      <c r="L236" s="326"/>
      <c r="M236" s="326"/>
      <c r="N236" s="326">
        <f t="shared" ref="N236:W236" si="170">-N238-N235</f>
        <v>-33.463159501157634</v>
      </c>
      <c r="O236" s="326">
        <f t="shared" si="170"/>
        <v>-32.23391880530238</v>
      </c>
      <c r="P236" s="326">
        <f t="shared" si="170"/>
        <v>-30.601403695288354</v>
      </c>
      <c r="Q236" s="326">
        <f t="shared" si="170"/>
        <v>-29.699367542244332</v>
      </c>
      <c r="R236" s="326">
        <f t="shared" si="170"/>
        <v>-29.108591976759726</v>
      </c>
      <c r="S236" s="326">
        <f t="shared" si="170"/>
        <v>-30.899033583921891</v>
      </c>
      <c r="T236" s="326">
        <f t="shared" si="170"/>
        <v>-32.617861167208616</v>
      </c>
      <c r="U236" s="326">
        <f t="shared" si="170"/>
        <v>-34.410954013501339</v>
      </c>
      <c r="V236" s="326">
        <f t="shared" si="170"/>
        <v>-36.285037208838929</v>
      </c>
      <c r="W236" s="326">
        <f t="shared" si="170"/>
        <v>-38.247397815478905</v>
      </c>
      <c r="AA236" s="91"/>
      <c r="AB236" s="91"/>
      <c r="AC236" s="91"/>
      <c r="AD236" s="91"/>
      <c r="AE236" s="91"/>
      <c r="AF236" s="91"/>
      <c r="AG236" s="91"/>
      <c r="AH236" s="91"/>
      <c r="AI236" s="91"/>
      <c r="AJ236" s="91"/>
      <c r="AK236" s="91"/>
      <c r="AL236" s="91"/>
      <c r="AM236" s="91"/>
      <c r="AN236" s="91"/>
      <c r="AO236" s="91"/>
      <c r="AP236" s="91"/>
    </row>
    <row r="237" spans="1:42">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AA237" s="91"/>
      <c r="AB237" s="91"/>
      <c r="AC237" s="91"/>
      <c r="AD237" s="91"/>
      <c r="AE237" s="91"/>
      <c r="AF237" s="91"/>
      <c r="AG237" s="91"/>
      <c r="AH237" s="91"/>
      <c r="AI237" s="91"/>
      <c r="AJ237" s="91"/>
      <c r="AK237" s="91"/>
      <c r="AL237" s="91"/>
      <c r="AM237" s="91"/>
      <c r="AN237" s="91"/>
      <c r="AO237" s="91"/>
      <c r="AP237" s="91"/>
    </row>
    <row r="238" spans="1:42">
      <c r="A238" s="4" t="s">
        <v>252</v>
      </c>
      <c r="B238" s="326">
        <v>68.099999999999994</v>
      </c>
      <c r="C238" s="326">
        <v>59.6</v>
      </c>
      <c r="D238" s="326">
        <v>51.5</v>
      </c>
      <c r="E238" s="326">
        <v>84.1</v>
      </c>
      <c r="F238" s="326">
        <v>115</v>
      </c>
      <c r="G238" s="326"/>
      <c r="H238" s="326"/>
      <c r="I238" s="326"/>
      <c r="J238" s="326"/>
      <c r="K238" s="326"/>
      <c r="L238" s="326"/>
      <c r="M238" s="326"/>
      <c r="N238" s="326">
        <f t="shared" ref="N238:W238" si="171">+N212</f>
        <v>167.31579750578825</v>
      </c>
      <c r="O238" s="326">
        <f t="shared" si="171"/>
        <v>161.16959402651199</v>
      </c>
      <c r="P238" s="326">
        <f t="shared" si="171"/>
        <v>153.00701847644183</v>
      </c>
      <c r="Q238" s="326">
        <f t="shared" si="171"/>
        <v>148.49683771122167</v>
      </c>
      <c r="R238" s="326">
        <f t="shared" si="171"/>
        <v>145.54295988379869</v>
      </c>
      <c r="S238" s="326">
        <f t="shared" si="171"/>
        <v>154.49516791960949</v>
      </c>
      <c r="T238" s="326">
        <f t="shared" si="171"/>
        <v>163.08930583604305</v>
      </c>
      <c r="U238" s="326">
        <f t="shared" si="171"/>
        <v>172.05477006750672</v>
      </c>
      <c r="V238" s="326">
        <f t="shared" si="171"/>
        <v>181.42518604419473</v>
      </c>
      <c r="W238" s="326">
        <f t="shared" si="171"/>
        <v>191.23698907739455</v>
      </c>
      <c r="AA238" s="91"/>
      <c r="AB238" s="91"/>
      <c r="AC238" s="91"/>
      <c r="AD238" s="91"/>
      <c r="AE238" s="91"/>
      <c r="AF238" s="91"/>
      <c r="AG238" s="91"/>
      <c r="AH238" s="91"/>
      <c r="AI238" s="91"/>
      <c r="AJ238" s="91"/>
      <c r="AK238" s="91"/>
      <c r="AL238" s="91"/>
      <c r="AM238" s="91"/>
      <c r="AN238" s="91"/>
      <c r="AO238" s="91"/>
      <c r="AP238" s="91"/>
    </row>
    <row r="239" spans="1:42">
      <c r="A239" s="4" t="s">
        <v>253</v>
      </c>
      <c r="B239" s="349">
        <v>0.90308370044052866</v>
      </c>
      <c r="C239" s="349">
        <v>0.81879194630872476</v>
      </c>
      <c r="D239" s="349">
        <v>0.80388349514563107</v>
      </c>
      <c r="E239" s="349">
        <v>0.49346016646848995</v>
      </c>
      <c r="F239" s="386">
        <v>0.8</v>
      </c>
      <c r="G239" s="386"/>
      <c r="H239" s="386"/>
      <c r="I239" s="386"/>
      <c r="J239" s="386"/>
      <c r="K239" s="386"/>
      <c r="L239" s="386"/>
      <c r="M239" s="386"/>
      <c r="N239" s="386">
        <v>0.8</v>
      </c>
      <c r="O239" s="386">
        <v>0.8</v>
      </c>
      <c r="P239" s="386">
        <v>0.8</v>
      </c>
      <c r="Q239" s="386">
        <v>0.8</v>
      </c>
      <c r="R239" s="386">
        <v>0.8</v>
      </c>
      <c r="S239" s="386">
        <v>0.8</v>
      </c>
      <c r="T239" s="386">
        <v>0.8</v>
      </c>
      <c r="U239" s="386">
        <v>0.8</v>
      </c>
      <c r="V239" s="386">
        <v>0.8</v>
      </c>
      <c r="W239" s="386">
        <v>0.8</v>
      </c>
      <c r="AA239" s="91"/>
      <c r="AB239" s="91"/>
      <c r="AC239" s="91"/>
      <c r="AD239" s="91"/>
      <c r="AE239" s="91"/>
      <c r="AF239" s="91"/>
      <c r="AG239" s="91"/>
      <c r="AH239" s="91"/>
      <c r="AI239" s="91"/>
      <c r="AJ239" s="91"/>
      <c r="AK239" s="91"/>
      <c r="AL239" s="91"/>
      <c r="AM239" s="91"/>
      <c r="AN239" s="91"/>
      <c r="AO239" s="91"/>
      <c r="AP239" s="91"/>
    </row>
    <row r="240" spans="1:42">
      <c r="C240" s="327"/>
      <c r="D240" s="327"/>
      <c r="AA240" s="91"/>
      <c r="AB240" s="91"/>
      <c r="AC240" s="91"/>
      <c r="AD240" s="91"/>
      <c r="AE240" s="91"/>
      <c r="AF240" s="91"/>
      <c r="AG240" s="91"/>
      <c r="AH240" s="91"/>
      <c r="AI240" s="91"/>
      <c r="AJ240" s="91"/>
      <c r="AK240" s="91"/>
      <c r="AL240" s="91"/>
      <c r="AM240" s="91"/>
      <c r="AN240" s="91"/>
      <c r="AO240" s="91"/>
      <c r="AP240" s="91"/>
    </row>
    <row r="241" spans="1:42">
      <c r="A241" s="4" t="s">
        <v>254</v>
      </c>
      <c r="B241" s="326">
        <v>-44.4</v>
      </c>
      <c r="C241" s="326">
        <v>-46.399999999999991</v>
      </c>
      <c r="D241" s="326">
        <v>-40.499999999999993</v>
      </c>
      <c r="E241" s="326">
        <v>-39.400000000000006</v>
      </c>
      <c r="F241" s="326">
        <v>-41.980000000000004</v>
      </c>
      <c r="G241" s="326"/>
      <c r="H241" s="326"/>
      <c r="I241" s="326"/>
      <c r="J241" s="326"/>
      <c r="K241" s="326"/>
      <c r="L241" s="326"/>
      <c r="M241" s="326"/>
      <c r="N241" s="326">
        <f>-L228/N242</f>
        <v>-144.12666666666667</v>
      </c>
      <c r="O241" s="326">
        <f>-N228/O242</f>
        <v>-138.75999376912262</v>
      </c>
      <c r="P241" s="326">
        <f t="shared" ref="P241:W241" si="172">-O228/P242</f>
        <v>-144.78120272128749</v>
      </c>
      <c r="Q241" s="326">
        <f t="shared" si="172"/>
        <v>-140.02043932976957</v>
      </c>
      <c r="R241" s="326">
        <f t="shared" si="172"/>
        <v>-141.52735459758327</v>
      </c>
      <c r="S241" s="326">
        <f t="shared" si="172"/>
        <v>-135.95113533301787</v>
      </c>
      <c r="T241" s="326">
        <f t="shared" si="172"/>
        <v>-133.20557955583337</v>
      </c>
      <c r="U241" s="326">
        <f t="shared" si="172"/>
        <v>-132.59799402538914</v>
      </c>
      <c r="V241" s="326">
        <f t="shared" si="172"/>
        <v>-133.71928780952609</v>
      </c>
      <c r="W241" s="326">
        <f t="shared" si="172"/>
        <v>-136.25725692637715</v>
      </c>
      <c r="AA241" s="91"/>
      <c r="AB241" s="91"/>
      <c r="AC241" s="91"/>
      <c r="AD241" s="91"/>
      <c r="AE241" s="91"/>
      <c r="AF241" s="91"/>
      <c r="AG241" s="91"/>
      <c r="AH241" s="91"/>
      <c r="AI241" s="91"/>
      <c r="AJ241" s="91"/>
      <c r="AK241" s="91"/>
      <c r="AL241" s="91"/>
      <c r="AM241" s="91"/>
      <c r="AN241" s="91"/>
      <c r="AO241" s="91"/>
      <c r="AP241" s="91"/>
    </row>
    <row r="242" spans="1:42">
      <c r="A242" s="4" t="s">
        <v>255</v>
      </c>
      <c r="C242" s="368">
        <v>4.4073275862068977</v>
      </c>
      <c r="D242" s="368">
        <v>5.1086419753086396</v>
      </c>
      <c r="E242" s="368">
        <v>5.2741116751268997</v>
      </c>
      <c r="F242" s="373">
        <v>5</v>
      </c>
      <c r="G242" s="373"/>
      <c r="H242" s="373"/>
      <c r="I242" s="373"/>
      <c r="J242" s="373"/>
      <c r="K242" s="373"/>
      <c r="L242" s="373"/>
      <c r="M242" s="373"/>
      <c r="N242" s="373">
        <v>4.5</v>
      </c>
      <c r="O242" s="373">
        <f>N242+0.1</f>
        <v>4.5999999999999996</v>
      </c>
      <c r="P242" s="373">
        <f>O242+0.1</f>
        <v>4.6999999999999993</v>
      </c>
      <c r="Q242" s="373">
        <v>4.7</v>
      </c>
      <c r="R242" s="373">
        <v>4.5</v>
      </c>
      <c r="S242" s="373">
        <v>4.5</v>
      </c>
      <c r="T242" s="373">
        <v>4.5</v>
      </c>
      <c r="U242" s="373">
        <v>4.5</v>
      </c>
      <c r="V242" s="373">
        <v>4.5</v>
      </c>
      <c r="W242" s="373">
        <v>4.5</v>
      </c>
      <c r="AA242" s="91"/>
      <c r="AB242" s="91"/>
      <c r="AC242" s="91"/>
      <c r="AD242" s="91"/>
      <c r="AE242" s="91"/>
      <c r="AF242" s="91"/>
      <c r="AG242" s="91"/>
      <c r="AH242" s="91"/>
      <c r="AI242" s="91"/>
      <c r="AJ242" s="91"/>
      <c r="AK242" s="91"/>
      <c r="AL242" s="91"/>
      <c r="AM242" s="91"/>
      <c r="AN242" s="91"/>
      <c r="AO242" s="91"/>
      <c r="AP242" s="91"/>
    </row>
    <row r="243" spans="1:42">
      <c r="A243" s="4" t="s">
        <v>1152</v>
      </c>
      <c r="C243" s="368"/>
      <c r="D243" s="368"/>
      <c r="E243" s="368"/>
      <c r="N243" s="368">
        <f>N242/50%</f>
        <v>9</v>
      </c>
      <c r="O243" s="368">
        <f t="shared" ref="O243:W243" si="173">O242/50%</f>
        <v>9.1999999999999993</v>
      </c>
      <c r="P243" s="368">
        <f t="shared" si="173"/>
        <v>9.3999999999999986</v>
      </c>
      <c r="Q243" s="368">
        <f t="shared" si="173"/>
        <v>9.4</v>
      </c>
      <c r="R243" s="368">
        <f t="shared" si="173"/>
        <v>9</v>
      </c>
      <c r="S243" s="368">
        <f t="shared" si="173"/>
        <v>9</v>
      </c>
      <c r="T243" s="368">
        <f t="shared" si="173"/>
        <v>9</v>
      </c>
      <c r="U243" s="368">
        <f t="shared" si="173"/>
        <v>9</v>
      </c>
      <c r="V243" s="368">
        <f t="shared" si="173"/>
        <v>9</v>
      </c>
      <c r="W243" s="368">
        <f t="shared" si="173"/>
        <v>9</v>
      </c>
      <c r="AA243" s="91"/>
      <c r="AB243" s="91"/>
      <c r="AC243" s="91"/>
      <c r="AD243" s="91"/>
      <c r="AE243" s="91"/>
      <c r="AF243" s="91"/>
      <c r="AG243" s="91"/>
      <c r="AH243" s="91"/>
      <c r="AI243" s="91"/>
      <c r="AJ243" s="91"/>
      <c r="AK243" s="91"/>
      <c r="AL243" s="91"/>
      <c r="AM243" s="91"/>
      <c r="AN243" s="91"/>
      <c r="AO243" s="91"/>
      <c r="AP243" s="91"/>
    </row>
    <row r="244" spans="1:42">
      <c r="AA244" s="91"/>
      <c r="AB244" s="91"/>
      <c r="AC244" s="91"/>
      <c r="AD244" s="91"/>
      <c r="AE244" s="91"/>
      <c r="AF244" s="91"/>
      <c r="AG244" s="91"/>
      <c r="AH244" s="91"/>
      <c r="AI244" s="91"/>
      <c r="AJ244" s="91"/>
      <c r="AK244" s="91"/>
      <c r="AL244" s="91"/>
      <c r="AM244" s="91"/>
      <c r="AN244" s="91"/>
      <c r="AO244" s="91"/>
      <c r="AP244" s="91"/>
    </row>
    <row r="245" spans="1:42">
      <c r="A245" s="4" t="s">
        <v>256</v>
      </c>
      <c r="B245" s="373">
        <v>-13</v>
      </c>
      <c r="C245" s="326">
        <v>-13.000000000000034</v>
      </c>
      <c r="D245" s="326">
        <v>-15.2</v>
      </c>
      <c r="E245" s="326">
        <v>2.5000000000000231</v>
      </c>
      <c r="F245" s="373">
        <v>-20</v>
      </c>
      <c r="G245" s="373"/>
      <c r="H245" s="373"/>
      <c r="I245" s="373"/>
      <c r="J245" s="373"/>
      <c r="K245" s="373"/>
      <c r="L245" s="373"/>
      <c r="M245" s="373"/>
      <c r="N245" s="373">
        <v>-20</v>
      </c>
      <c r="O245" s="373">
        <v>-20</v>
      </c>
      <c r="P245" s="373">
        <v>-20</v>
      </c>
      <c r="Q245" s="373">
        <v>-20</v>
      </c>
      <c r="R245" s="373">
        <v>-20</v>
      </c>
      <c r="S245" s="373">
        <f>R245-0.5</f>
        <v>-20.5</v>
      </c>
      <c r="T245" s="373">
        <f>S245-0.5</f>
        <v>-21</v>
      </c>
      <c r="U245" s="373">
        <f>T245-0.5</f>
        <v>-21.5</v>
      </c>
      <c r="V245" s="373">
        <f>U245-0.5</f>
        <v>-22</v>
      </c>
      <c r="W245" s="373">
        <f>V245-0.5</f>
        <v>-22.5</v>
      </c>
      <c r="AA245" s="91"/>
      <c r="AB245" s="91"/>
      <c r="AC245" s="91"/>
      <c r="AD245" s="91"/>
      <c r="AE245" s="91"/>
      <c r="AF245" s="91"/>
      <c r="AG245" s="91"/>
      <c r="AH245" s="91"/>
      <c r="AI245" s="91"/>
      <c r="AJ245" s="91"/>
      <c r="AK245" s="91"/>
      <c r="AL245" s="91"/>
      <c r="AM245" s="91"/>
      <c r="AN245" s="91"/>
      <c r="AO245" s="91"/>
      <c r="AP245" s="91"/>
    </row>
    <row r="246" spans="1:42">
      <c r="A246" s="4" t="s">
        <v>1151</v>
      </c>
      <c r="B246" s="326"/>
      <c r="C246" s="326"/>
      <c r="D246" s="326"/>
      <c r="E246" s="326"/>
      <c r="F246" s="326"/>
      <c r="G246" s="326"/>
      <c r="H246" s="326"/>
      <c r="I246" s="326"/>
      <c r="J246" s="326"/>
      <c r="K246" s="326"/>
      <c r="L246" s="326"/>
      <c r="M246" s="326"/>
      <c r="N246" s="326">
        <f>((L229-L250)/-N245)/2</f>
        <v>7.5393750000000015</v>
      </c>
      <c r="O246" s="326">
        <f>((N229-N250)/-O245)/2</f>
        <v>7.8759539875289422</v>
      </c>
      <c r="P246" s="326">
        <f t="shared" ref="P246:W246" si="174">((O229-O250)/-P245)/2</f>
        <v>8.1818019576615022</v>
      </c>
      <c r="Q246" s="326">
        <f t="shared" si="174"/>
        <v>8.4468370500437118</v>
      </c>
      <c r="R246" s="326">
        <f t="shared" si="174"/>
        <v>8.6893212385998204</v>
      </c>
      <c r="S246" s="326">
        <f t="shared" si="174"/>
        <v>8.6995473541646948</v>
      </c>
      <c r="T246" s="326">
        <f t="shared" si="174"/>
        <v>8.7400113120160565</v>
      </c>
      <c r="U246" s="326">
        <f t="shared" si="174"/>
        <v>8.8069380528344858</v>
      </c>
      <c r="V246" s="326">
        <f t="shared" si="174"/>
        <v>8.9002111428496438</v>
      </c>
      <c r="W246" s="326">
        <f t="shared" si="174"/>
        <v>9.0198739443160729</v>
      </c>
      <c r="AA246" s="91"/>
      <c r="AB246" s="91"/>
      <c r="AC246" s="91"/>
      <c r="AD246" s="91"/>
      <c r="AE246" s="91"/>
      <c r="AF246" s="91"/>
      <c r="AG246" s="91"/>
      <c r="AH246" s="91"/>
      <c r="AI246" s="91"/>
      <c r="AJ246" s="91"/>
      <c r="AK246" s="91"/>
      <c r="AL246" s="91"/>
      <c r="AM246" s="91"/>
      <c r="AN246" s="91"/>
      <c r="AO246" s="91"/>
      <c r="AP246" s="91"/>
    </row>
    <row r="247" spans="1:42">
      <c r="C247" s="326"/>
      <c r="D247" s="326"/>
      <c r="AA247" s="91"/>
      <c r="AB247" s="91"/>
      <c r="AC247" s="91"/>
      <c r="AD247" s="91"/>
      <c r="AE247" s="91"/>
      <c r="AF247" s="91"/>
      <c r="AG247" s="91"/>
      <c r="AH247" s="91"/>
      <c r="AI247" s="91"/>
      <c r="AJ247" s="91"/>
      <c r="AK247" s="91"/>
      <c r="AL247" s="91"/>
      <c r="AM247" s="91"/>
      <c r="AN247" s="91"/>
      <c r="AO247" s="91"/>
      <c r="AP247" s="91"/>
    </row>
    <row r="248" spans="1:42">
      <c r="A248" s="4" t="s">
        <v>1148</v>
      </c>
      <c r="N248" s="349">
        <f>-N238/(N241+N245)</f>
        <v>1.0194309121356773</v>
      </c>
      <c r="O248" s="349">
        <f t="shared" ref="O248:W248" si="175">-O238/(O241+O245)</f>
        <v>1.0151776288231249</v>
      </c>
      <c r="P248" s="349">
        <f t="shared" si="175"/>
        <v>0.92854655718977475</v>
      </c>
      <c r="Q248" s="349">
        <f t="shared" si="175"/>
        <v>0.92798668928286032</v>
      </c>
      <c r="R248" s="349">
        <f t="shared" si="175"/>
        <v>0.90104218103734279</v>
      </c>
      <c r="S248" s="349">
        <f t="shared" si="175"/>
        <v>0.98749790208140731</v>
      </c>
      <c r="T248" s="349">
        <f t="shared" si="175"/>
        <v>1.057609629338951</v>
      </c>
      <c r="U248" s="349">
        <f t="shared" si="175"/>
        <v>1.1165282919851574</v>
      </c>
      <c r="V248" s="349">
        <f t="shared" si="175"/>
        <v>1.1650784472255729</v>
      </c>
      <c r="W248" s="349">
        <f t="shared" si="175"/>
        <v>1.2045873856719489</v>
      </c>
      <c r="AA248" s="100"/>
      <c r="AB248" s="100"/>
      <c r="AC248" s="91"/>
      <c r="AD248" s="91"/>
      <c r="AE248" s="91"/>
      <c r="AF248" s="91"/>
      <c r="AG248" s="91"/>
      <c r="AH248" s="91"/>
      <c r="AI248" s="91"/>
      <c r="AJ248" s="91"/>
      <c r="AK248" s="91"/>
      <c r="AL248" s="91"/>
      <c r="AM248" s="91"/>
      <c r="AN248" s="91"/>
      <c r="AO248" s="91"/>
      <c r="AP248" s="91"/>
    </row>
    <row r="249" spans="1:42">
      <c r="N249" s="349"/>
      <c r="O249" s="349"/>
      <c r="P249" s="349"/>
      <c r="Q249" s="349"/>
      <c r="R249" s="349"/>
      <c r="S249" s="349"/>
      <c r="T249" s="349"/>
      <c r="U249" s="349"/>
      <c r="V249" s="349"/>
      <c r="W249" s="349"/>
      <c r="AA249" s="100"/>
      <c r="AB249" s="100"/>
      <c r="AC249" s="91"/>
      <c r="AD249" s="91"/>
      <c r="AE249" s="91"/>
      <c r="AF249" s="91"/>
      <c r="AG249" s="91"/>
      <c r="AH249" s="91"/>
      <c r="AI249" s="91"/>
      <c r="AJ249" s="91"/>
      <c r="AK249" s="91"/>
      <c r="AL249" s="91"/>
      <c r="AM249" s="91"/>
      <c r="AN249" s="91"/>
      <c r="AO249" s="91"/>
      <c r="AP249" s="91"/>
    </row>
    <row r="250" spans="1:42">
      <c r="A250" s="4" t="s">
        <v>1173</v>
      </c>
      <c r="E250" s="373">
        <v>373.58199999999999</v>
      </c>
      <c r="L250" s="373">
        <f>1225.571-148.31</f>
        <v>1077.261</v>
      </c>
      <c r="N250" s="373">
        <f>L250</f>
        <v>1077.261</v>
      </c>
      <c r="O250" s="326">
        <f>N250</f>
        <v>1077.261</v>
      </c>
      <c r="P250" s="326">
        <f t="shared" ref="P250:W250" si="176">O250</f>
        <v>1077.261</v>
      </c>
      <c r="Q250" s="326">
        <f t="shared" si="176"/>
        <v>1077.261</v>
      </c>
      <c r="R250" s="326">
        <f t="shared" si="176"/>
        <v>1077.261</v>
      </c>
      <c r="S250" s="326">
        <f t="shared" si="176"/>
        <v>1077.261</v>
      </c>
      <c r="T250" s="326">
        <f t="shared" si="176"/>
        <v>1077.261</v>
      </c>
      <c r="U250" s="326">
        <f t="shared" si="176"/>
        <v>1077.261</v>
      </c>
      <c r="V250" s="326">
        <f t="shared" si="176"/>
        <v>1077.261</v>
      </c>
      <c r="W250" s="326">
        <f t="shared" si="176"/>
        <v>1077.261</v>
      </c>
      <c r="AA250" s="100"/>
      <c r="AB250" s="100"/>
      <c r="AC250" s="91"/>
      <c r="AD250" s="91"/>
      <c r="AE250" s="91"/>
      <c r="AF250" s="91"/>
      <c r="AG250" s="91"/>
      <c r="AH250" s="91"/>
      <c r="AI250" s="91"/>
      <c r="AJ250" s="91"/>
      <c r="AK250" s="91"/>
      <c r="AL250" s="91"/>
      <c r="AM250" s="91"/>
      <c r="AN250" s="91"/>
      <c r="AO250" s="91"/>
      <c r="AP250" s="91"/>
    </row>
    <row r="251" spans="1:42">
      <c r="AA251" s="100"/>
      <c r="AB251" s="100"/>
      <c r="AC251" s="91"/>
      <c r="AD251" s="91"/>
      <c r="AE251" s="91"/>
      <c r="AF251" s="91"/>
      <c r="AG251" s="91"/>
      <c r="AH251" s="91"/>
      <c r="AI251" s="91"/>
      <c r="AJ251" s="91"/>
      <c r="AK251" s="91"/>
      <c r="AL251" s="91"/>
      <c r="AM251" s="91"/>
      <c r="AN251" s="91"/>
      <c r="AO251" s="91"/>
      <c r="AP251" s="91"/>
    </row>
    <row r="252" spans="1:42">
      <c r="A252" s="18" t="s">
        <v>272</v>
      </c>
      <c r="B252" s="80" t="str">
        <f>B$3</f>
        <v>2011A</v>
      </c>
      <c r="C252" s="80" t="str">
        <f t="shared" ref="C252:W252" si="177">C$3</f>
        <v>2012A</v>
      </c>
      <c r="D252" s="80" t="str">
        <f t="shared" si="177"/>
        <v>2013A</v>
      </c>
      <c r="E252" s="80" t="str">
        <f t="shared" si="177"/>
        <v>2014A</v>
      </c>
      <c r="F252" s="80" t="str">
        <f t="shared" si="177"/>
        <v>2015A</v>
      </c>
      <c r="G252" s="80" t="str">
        <f t="shared" si="177"/>
        <v>Prima 14A</v>
      </c>
      <c r="H252" s="80" t="str">
        <f t="shared" si="177"/>
        <v>Prima 15E</v>
      </c>
      <c r="I252" s="80" t="str">
        <f t="shared" si="177"/>
        <v>pep 14A</v>
      </c>
      <c r="J252" s="80" t="str">
        <f t="shared" si="177"/>
        <v>pep 15E</v>
      </c>
      <c r="K252" s="80" t="str">
        <f t="shared" si="177"/>
        <v>Adj.</v>
      </c>
      <c r="L252" s="80" t="str">
        <f t="shared" si="177"/>
        <v>PF 2015E</v>
      </c>
      <c r="M252" s="80"/>
      <c r="N252" s="80" t="str">
        <f t="shared" si="177"/>
        <v>2016E</v>
      </c>
      <c r="O252" s="80" t="str">
        <f t="shared" si="177"/>
        <v>2017E</v>
      </c>
      <c r="P252" s="80" t="str">
        <f t="shared" si="177"/>
        <v>2018E</v>
      </c>
      <c r="Q252" s="80" t="str">
        <f t="shared" si="177"/>
        <v>2019E</v>
      </c>
      <c r="R252" s="80" t="str">
        <f t="shared" si="177"/>
        <v>2020E</v>
      </c>
      <c r="S252" s="80" t="str">
        <f t="shared" si="177"/>
        <v>2021E</v>
      </c>
      <c r="T252" s="80" t="str">
        <f t="shared" si="177"/>
        <v>2022E</v>
      </c>
      <c r="U252" s="80" t="str">
        <f t="shared" si="177"/>
        <v>2023E</v>
      </c>
      <c r="V252" s="80" t="str">
        <f t="shared" si="177"/>
        <v>2024E</v>
      </c>
      <c r="W252" s="80" t="str">
        <f t="shared" si="177"/>
        <v>2025E</v>
      </c>
      <c r="AA252" s="92"/>
      <c r="AB252" s="92"/>
      <c r="AC252" s="91"/>
      <c r="AD252" s="91"/>
      <c r="AE252" s="91"/>
      <c r="AF252" s="91"/>
      <c r="AG252" s="91"/>
      <c r="AH252" s="91"/>
      <c r="AI252" s="91"/>
      <c r="AJ252" s="91"/>
      <c r="AK252" s="91"/>
      <c r="AL252" s="91"/>
      <c r="AM252" s="91"/>
      <c r="AN252" s="91"/>
      <c r="AO252" s="91"/>
      <c r="AP252" s="91"/>
    </row>
    <row r="253" spans="1:42">
      <c r="A253" s="4" t="s">
        <v>712</v>
      </c>
      <c r="AA253" s="92"/>
      <c r="AB253" s="92"/>
      <c r="AC253" s="91"/>
      <c r="AD253" s="91"/>
      <c r="AE253" s="91"/>
      <c r="AF253" s="91"/>
      <c r="AG253" s="91"/>
      <c r="AH253" s="91"/>
      <c r="AI253" s="91"/>
      <c r="AJ253" s="91"/>
      <c r="AK253" s="91"/>
      <c r="AL253" s="91"/>
      <c r="AM253" s="91"/>
      <c r="AN253" s="91"/>
      <c r="AO253" s="91"/>
      <c r="AP253" s="91"/>
    </row>
    <row r="254" spans="1:42">
      <c r="A254" s="13" t="s">
        <v>156</v>
      </c>
      <c r="B254" s="387"/>
      <c r="C254" s="387"/>
      <c r="D254" s="388"/>
      <c r="E254" s="374" t="s">
        <v>858</v>
      </c>
      <c r="F254" s="374"/>
      <c r="G254" s="374"/>
      <c r="H254" s="374"/>
      <c r="I254" s="374"/>
      <c r="J254" s="374"/>
      <c r="K254" s="374"/>
      <c r="L254" s="374"/>
      <c r="M254" s="374"/>
      <c r="N254" s="374"/>
      <c r="O254" s="374"/>
      <c r="P254" s="374"/>
      <c r="Q254" s="374"/>
      <c r="R254" s="374"/>
      <c r="S254" s="374"/>
      <c r="T254" s="374"/>
      <c r="U254" s="374"/>
      <c r="V254" s="374"/>
      <c r="W254" s="374"/>
      <c r="X254" s="374"/>
      <c r="Y254" s="374"/>
      <c r="Z254" s="374"/>
      <c r="AA254" s="92"/>
      <c r="AB254" s="92"/>
      <c r="AC254" s="91"/>
      <c r="AD254" s="91"/>
      <c r="AE254" s="91"/>
      <c r="AF254" s="91"/>
      <c r="AG254" s="91"/>
      <c r="AH254" s="91"/>
      <c r="AI254" s="91"/>
      <c r="AJ254" s="91"/>
      <c r="AK254" s="91"/>
      <c r="AL254" s="91"/>
      <c r="AM254" s="91"/>
      <c r="AN254" s="91"/>
      <c r="AO254" s="91"/>
      <c r="AP254" s="91"/>
    </row>
    <row r="255" spans="1:42">
      <c r="A255" s="4" t="s">
        <v>157</v>
      </c>
      <c r="B255" s="326">
        <v>16.5</v>
      </c>
      <c r="C255" s="326">
        <v>14.7</v>
      </c>
      <c r="D255" s="389">
        <v>583.6</v>
      </c>
      <c r="E255" s="326">
        <v>0</v>
      </c>
      <c r="F255" s="326">
        <v>0</v>
      </c>
      <c r="G255" s="326"/>
      <c r="H255" s="326"/>
      <c r="I255" s="326"/>
      <c r="J255" s="326"/>
      <c r="K255" s="326"/>
      <c r="L255" s="326"/>
      <c r="M255" s="326"/>
      <c r="N255" s="326">
        <f>N268</f>
        <v>49.908999999999999</v>
      </c>
      <c r="O255" s="326">
        <f t="shared" ref="O255:V255" si="178">O268</f>
        <v>49.908999999999999</v>
      </c>
      <c r="P255" s="326">
        <f t="shared" si="178"/>
        <v>49.908999999999999</v>
      </c>
      <c r="Q255" s="326">
        <f t="shared" si="178"/>
        <v>49.908999999999999</v>
      </c>
      <c r="R255" s="326">
        <f t="shared" si="178"/>
        <v>49.908999999999999</v>
      </c>
      <c r="S255" s="326">
        <f t="shared" si="178"/>
        <v>49.908999999999999</v>
      </c>
      <c r="T255" s="326">
        <f t="shared" si="178"/>
        <v>49.908999999999999</v>
      </c>
      <c r="U255" s="326">
        <f t="shared" si="178"/>
        <v>49.908999999999999</v>
      </c>
      <c r="V255" s="326">
        <f t="shared" si="178"/>
        <v>49.908999999999999</v>
      </c>
      <c r="W255" s="326">
        <f>W268</f>
        <v>49.908999999999999</v>
      </c>
      <c r="X255" s="326"/>
      <c r="Y255" s="326"/>
      <c r="Z255" s="326"/>
      <c r="AA255" s="92"/>
      <c r="AB255" s="92"/>
      <c r="AC255" s="91"/>
      <c r="AD255" s="91"/>
      <c r="AE255" s="91"/>
      <c r="AF255" s="91"/>
      <c r="AG255" s="91"/>
      <c r="AH255" s="91"/>
      <c r="AI255" s="91"/>
      <c r="AJ255" s="91"/>
      <c r="AK255" s="91"/>
      <c r="AL255" s="91"/>
      <c r="AM255" s="91"/>
      <c r="AN255" s="91"/>
      <c r="AO255" s="91"/>
      <c r="AP255" s="91"/>
    </row>
    <row r="256" spans="1:42">
      <c r="A256" s="4" t="s">
        <v>158</v>
      </c>
      <c r="B256" s="326">
        <v>638.5</v>
      </c>
      <c r="C256" s="326">
        <v>643.29999999999995</v>
      </c>
      <c r="D256" s="389">
        <v>82.3</v>
      </c>
      <c r="E256" s="326">
        <v>412.4</v>
      </c>
      <c r="F256" s="326">
        <v>487.4</v>
      </c>
      <c r="G256" s="326"/>
      <c r="H256" s="326"/>
      <c r="I256" s="326"/>
      <c r="J256" s="326"/>
      <c r="K256" s="326"/>
      <c r="L256" s="326">
        <f>1130+114</f>
        <v>1244</v>
      </c>
      <c r="M256" s="326"/>
      <c r="N256" s="326">
        <f t="shared" ref="N256:W256" si="179">+N274-N255</f>
        <v>1220.8789999999999</v>
      </c>
      <c r="O256" s="326">
        <f t="shared" si="179"/>
        <v>1220.8789999999999</v>
      </c>
      <c r="P256" s="326">
        <f t="shared" si="179"/>
        <v>1220.8789999999999</v>
      </c>
      <c r="Q256" s="326">
        <f t="shared" si="179"/>
        <v>1220.8789999999999</v>
      </c>
      <c r="R256" s="326">
        <f t="shared" si="179"/>
        <v>1220.8789999999999</v>
      </c>
      <c r="S256" s="326">
        <f t="shared" si="179"/>
        <v>1220.8789999999999</v>
      </c>
      <c r="T256" s="326">
        <f t="shared" si="179"/>
        <v>1220.8789999999999</v>
      </c>
      <c r="U256" s="326">
        <f t="shared" si="179"/>
        <v>1220.8789999999999</v>
      </c>
      <c r="V256" s="326">
        <f t="shared" si="179"/>
        <v>1220.8789999999999</v>
      </c>
      <c r="W256" s="326">
        <f t="shared" si="179"/>
        <v>1220.8789999999999</v>
      </c>
      <c r="X256" s="326"/>
      <c r="Y256" s="326"/>
      <c r="Z256" s="326"/>
      <c r="AA256" s="92"/>
      <c r="AB256" s="92"/>
      <c r="AC256" s="91"/>
      <c r="AD256" s="91"/>
      <c r="AE256" s="91"/>
      <c r="AF256" s="91"/>
      <c r="AG256" s="91"/>
      <c r="AH256" s="91"/>
      <c r="AI256" s="91"/>
      <c r="AJ256" s="91"/>
      <c r="AK256" s="91"/>
      <c r="AL256" s="91"/>
      <c r="AM256" s="91"/>
      <c r="AN256" s="91"/>
      <c r="AO256" s="91"/>
      <c r="AP256" s="91"/>
    </row>
    <row r="257" spans="1:42">
      <c r="A257" s="4" t="s">
        <v>159</v>
      </c>
      <c r="B257" s="326">
        <v>45.6</v>
      </c>
      <c r="C257" s="326">
        <v>22</v>
      </c>
      <c r="D257" s="389">
        <v>70.5</v>
      </c>
      <c r="E257" s="326">
        <v>92</v>
      </c>
      <c r="F257" s="326">
        <v>125.85055867228323</v>
      </c>
      <c r="G257" s="326"/>
      <c r="H257" s="326"/>
      <c r="I257" s="326"/>
      <c r="J257" s="326"/>
      <c r="K257" s="326"/>
      <c r="L257" s="326"/>
      <c r="M257" s="326"/>
      <c r="N257" s="417">
        <f t="shared" ref="N257:W257" si="180">+N147</f>
        <v>62.119868599740059</v>
      </c>
      <c r="O257" s="417">
        <f t="shared" si="180"/>
        <v>39.447433819987594</v>
      </c>
      <c r="P257" s="417">
        <f t="shared" si="180"/>
        <v>95.466013316655278</v>
      </c>
      <c r="Q257" s="417">
        <f t="shared" si="180"/>
        <v>136.80589934575033</v>
      </c>
      <c r="R257" s="417">
        <f t="shared" si="180"/>
        <v>177.59086248589409</v>
      </c>
      <c r="S257" s="417">
        <f t="shared" si="180"/>
        <v>212.17498554714092</v>
      </c>
      <c r="T257" s="417">
        <f t="shared" si="180"/>
        <v>236.25315679963674</v>
      </c>
      <c r="U257" s="417">
        <f t="shared" si="180"/>
        <v>250.43750587864366</v>
      </c>
      <c r="V257" s="417">
        <f t="shared" si="180"/>
        <v>256.64851514847942</v>
      </c>
      <c r="W257" s="417">
        <f t="shared" si="180"/>
        <v>256.04031462157621</v>
      </c>
      <c r="X257" s="326"/>
      <c r="Y257" s="326"/>
      <c r="Z257" s="326"/>
      <c r="AA257" s="92"/>
      <c r="AB257" s="92"/>
      <c r="AC257" s="91"/>
      <c r="AD257" s="91"/>
      <c r="AE257" s="91"/>
      <c r="AF257" s="91"/>
      <c r="AG257" s="91"/>
      <c r="AH257" s="91"/>
      <c r="AI257" s="91"/>
      <c r="AJ257" s="91"/>
      <c r="AK257" s="91"/>
      <c r="AL257" s="91"/>
      <c r="AM257" s="91"/>
      <c r="AN257" s="91"/>
      <c r="AO257" s="91"/>
      <c r="AP257" s="91"/>
    </row>
    <row r="258" spans="1:42">
      <c r="A258" s="20" t="s">
        <v>160</v>
      </c>
      <c r="B258" s="390">
        <v>594</v>
      </c>
      <c r="C258" s="390">
        <v>620</v>
      </c>
      <c r="D258" s="390">
        <v>586</v>
      </c>
      <c r="E258" s="391">
        <v>320.39999999999998</v>
      </c>
      <c r="F258" s="391">
        <v>361.54944132771675</v>
      </c>
      <c r="G258" s="391"/>
      <c r="H258" s="391"/>
      <c r="I258" s="391"/>
      <c r="J258" s="391"/>
      <c r="K258" s="391"/>
      <c r="L258" s="391"/>
      <c r="M258" s="391"/>
      <c r="N258" s="391">
        <f t="shared" ref="N258:W258" si="181">+N255+N256-N257</f>
        <v>1208.6681314002599</v>
      </c>
      <c r="O258" s="391">
        <f t="shared" si="181"/>
        <v>1231.3405661800125</v>
      </c>
      <c r="P258" s="391">
        <f t="shared" si="181"/>
        <v>1175.3219866833447</v>
      </c>
      <c r="Q258" s="391">
        <f t="shared" si="181"/>
        <v>1133.9821006542497</v>
      </c>
      <c r="R258" s="391">
        <f t="shared" si="181"/>
        <v>1093.1971375141059</v>
      </c>
      <c r="S258" s="391">
        <f t="shared" si="181"/>
        <v>1058.613014452859</v>
      </c>
      <c r="T258" s="391">
        <f t="shared" si="181"/>
        <v>1034.5348432003632</v>
      </c>
      <c r="U258" s="391">
        <f t="shared" si="181"/>
        <v>1020.3504941213564</v>
      </c>
      <c r="V258" s="391">
        <f t="shared" si="181"/>
        <v>1014.1394848515206</v>
      </c>
      <c r="W258" s="391">
        <f t="shared" si="181"/>
        <v>1014.7476853784237</v>
      </c>
      <c r="X258" s="391"/>
      <c r="Y258" s="391"/>
      <c r="Z258" s="391"/>
      <c r="AA258" s="91"/>
      <c r="AB258" s="91"/>
      <c r="AC258" s="91"/>
      <c r="AD258" s="91"/>
      <c r="AE258" s="91"/>
      <c r="AF258" s="91"/>
      <c r="AG258" s="91"/>
      <c r="AH258" s="91"/>
      <c r="AI258" s="91"/>
      <c r="AJ258" s="91"/>
      <c r="AK258" s="91"/>
      <c r="AL258" s="91"/>
      <c r="AM258" s="91"/>
      <c r="AN258" s="91"/>
      <c r="AO258" s="91"/>
      <c r="AP258" s="91"/>
    </row>
    <row r="259" spans="1:42">
      <c r="A259" s="4" t="s">
        <v>281</v>
      </c>
      <c r="B259" s="326">
        <v>78.400000000000006</v>
      </c>
      <c r="C259" s="326">
        <v>87.1</v>
      </c>
      <c r="D259" s="326">
        <v>88.1</v>
      </c>
      <c r="E259" s="326">
        <v>99.032977691561598</v>
      </c>
      <c r="F259" s="326">
        <v>105.42774962306055</v>
      </c>
      <c r="G259" s="326"/>
      <c r="H259" s="326"/>
      <c r="I259" s="326"/>
      <c r="J259" s="326"/>
      <c r="K259" s="326"/>
      <c r="L259" s="326"/>
      <c r="M259" s="326"/>
      <c r="N259" s="326">
        <f t="shared" ref="N259:W259" si="182">+N112</f>
        <v>243.77071825562595</v>
      </c>
      <c r="O259" s="326">
        <f t="shared" si="182"/>
        <v>272.29193096845711</v>
      </c>
      <c r="P259" s="326">
        <f t="shared" si="182"/>
        <v>304.00425776337937</v>
      </c>
      <c r="Q259" s="326">
        <f t="shared" si="182"/>
        <v>323.66760340514185</v>
      </c>
      <c r="R259" s="326">
        <f t="shared" si="182"/>
        <v>342.92701105423237</v>
      </c>
      <c r="S259" s="326">
        <f t="shared" si="182"/>
        <v>362.17650258006813</v>
      </c>
      <c r="T259" s="326">
        <f t="shared" si="182"/>
        <v>382.90432918611924</v>
      </c>
      <c r="U259" s="326">
        <f t="shared" si="182"/>
        <v>403.38164217647557</v>
      </c>
      <c r="V259" s="326">
        <f t="shared" si="182"/>
        <v>423.96371571926585</v>
      </c>
      <c r="W259" s="326">
        <f t="shared" si="182"/>
        <v>444.62473630814253</v>
      </c>
      <c r="X259" s="326"/>
      <c r="Y259" s="326"/>
      <c r="Z259" s="326"/>
      <c r="AA259" s="91"/>
      <c r="AB259" s="91"/>
      <c r="AC259" s="91"/>
      <c r="AD259" s="91"/>
      <c r="AE259" s="91"/>
      <c r="AF259" s="91"/>
      <c r="AG259" s="91"/>
      <c r="AH259" s="91"/>
      <c r="AI259" s="91"/>
      <c r="AJ259" s="91"/>
      <c r="AK259" s="91"/>
      <c r="AL259" s="91"/>
      <c r="AM259" s="91"/>
      <c r="AN259" s="91"/>
      <c r="AO259" s="91"/>
      <c r="AP259" s="91"/>
    </row>
    <row r="260" spans="1:42">
      <c r="A260" s="4" t="s">
        <v>282</v>
      </c>
      <c r="B260" s="326">
        <v>7.5765306122448974</v>
      </c>
      <c r="C260" s="326">
        <v>7.1182548794489096</v>
      </c>
      <c r="D260" s="326">
        <v>6.651532349602725</v>
      </c>
      <c r="E260" s="326">
        <v>3.2352859367501439</v>
      </c>
      <c r="F260" s="326">
        <v>3.4293574758104661</v>
      </c>
      <c r="G260" s="326"/>
      <c r="H260" s="326"/>
      <c r="I260" s="326"/>
      <c r="J260" s="326"/>
      <c r="K260" s="326"/>
      <c r="L260" s="326"/>
      <c r="M260" s="326"/>
      <c r="N260" s="326">
        <f>+N258/N259</f>
        <v>4.9582170494030002</v>
      </c>
      <c r="O260" s="326">
        <f>+O258/O259</f>
        <v>4.5221338796214772</v>
      </c>
      <c r="P260" s="326">
        <f t="shared" ref="P260:V260" si="183">+P258/P259</f>
        <v>3.866136597330661</v>
      </c>
      <c r="Q260" s="326">
        <f t="shared" si="183"/>
        <v>3.5035390898693666</v>
      </c>
      <c r="R260" s="326">
        <f t="shared" si="183"/>
        <v>3.1878420254892714</v>
      </c>
      <c r="S260" s="326">
        <f t="shared" si="183"/>
        <v>2.9229201975046029</v>
      </c>
      <c r="T260" s="326">
        <f t="shared" si="183"/>
        <v>2.7018102547947538</v>
      </c>
      <c r="U260" s="326">
        <f t="shared" si="183"/>
        <v>2.5294916462136938</v>
      </c>
      <c r="V260" s="326">
        <f t="shared" si="183"/>
        <v>2.3920431094698889</v>
      </c>
      <c r="W260" s="326">
        <f>+W258/W259</f>
        <v>2.2822564794846758</v>
      </c>
      <c r="X260" s="326"/>
      <c r="Y260" s="326"/>
      <c r="Z260" s="326"/>
      <c r="AA260" s="91"/>
      <c r="AB260" s="91"/>
      <c r="AC260" s="91"/>
      <c r="AD260" s="91"/>
      <c r="AE260" s="91"/>
      <c r="AF260" s="91"/>
      <c r="AG260" s="91"/>
      <c r="AH260" s="91"/>
      <c r="AI260" s="91"/>
      <c r="AJ260" s="91"/>
      <c r="AK260" s="91"/>
      <c r="AL260" s="91"/>
      <c r="AM260" s="91"/>
      <c r="AN260" s="91"/>
      <c r="AO260" s="91"/>
      <c r="AP260" s="91"/>
    </row>
    <row r="261" spans="1:42">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91"/>
      <c r="AB261" s="91"/>
      <c r="AC261" s="91"/>
      <c r="AD261" s="91"/>
      <c r="AE261" s="91"/>
      <c r="AF261" s="91"/>
      <c r="AG261" s="91"/>
      <c r="AH261" s="91"/>
      <c r="AI261" s="91"/>
      <c r="AJ261" s="91"/>
      <c r="AK261" s="91"/>
      <c r="AL261" s="91"/>
      <c r="AM261" s="91"/>
      <c r="AN261" s="91"/>
      <c r="AO261" s="91"/>
      <c r="AP261" s="91"/>
    </row>
    <row r="262" spans="1:42">
      <c r="A262" s="4" t="s">
        <v>296</v>
      </c>
      <c r="B262" s="326">
        <v>655</v>
      </c>
      <c r="C262" s="326">
        <v>658</v>
      </c>
      <c r="D262" s="326">
        <v>665.9</v>
      </c>
      <c r="E262" s="326">
        <v>412.4</v>
      </c>
      <c r="F262" s="326">
        <v>487.4</v>
      </c>
      <c r="G262" s="326"/>
      <c r="H262" s="326"/>
      <c r="I262" s="326"/>
      <c r="J262" s="326"/>
      <c r="K262" s="326"/>
      <c r="L262" s="326"/>
      <c r="M262" s="326"/>
      <c r="N262" s="326">
        <f t="shared" ref="N262:V262" si="184">+N255+N256</f>
        <v>1270.788</v>
      </c>
      <c r="O262" s="326">
        <f t="shared" si="184"/>
        <v>1270.788</v>
      </c>
      <c r="P262" s="326">
        <f t="shared" si="184"/>
        <v>1270.788</v>
      </c>
      <c r="Q262" s="326">
        <f t="shared" si="184"/>
        <v>1270.788</v>
      </c>
      <c r="R262" s="326">
        <f t="shared" si="184"/>
        <v>1270.788</v>
      </c>
      <c r="S262" s="326">
        <f t="shared" si="184"/>
        <v>1270.788</v>
      </c>
      <c r="T262" s="326">
        <f t="shared" si="184"/>
        <v>1270.788</v>
      </c>
      <c r="U262" s="326">
        <f t="shared" si="184"/>
        <v>1270.788</v>
      </c>
      <c r="V262" s="326">
        <f t="shared" si="184"/>
        <v>1270.788</v>
      </c>
      <c r="W262" s="326">
        <f>+W255+W256</f>
        <v>1270.788</v>
      </c>
      <c r="X262" s="326"/>
      <c r="Y262" s="326"/>
      <c r="Z262" s="326"/>
      <c r="AA262" s="91"/>
      <c r="AB262" s="91"/>
      <c r="AC262" s="91"/>
      <c r="AD262" s="91"/>
      <c r="AE262" s="91"/>
      <c r="AF262" s="91"/>
      <c r="AG262" s="91"/>
      <c r="AH262" s="91"/>
      <c r="AI262" s="91"/>
      <c r="AJ262" s="91"/>
      <c r="AK262" s="91"/>
      <c r="AL262" s="91"/>
      <c r="AM262" s="91"/>
      <c r="AN262" s="91"/>
      <c r="AO262" s="91"/>
      <c r="AP262" s="91"/>
    </row>
    <row r="263" spans="1:42">
      <c r="A263" s="4" t="s">
        <v>222</v>
      </c>
      <c r="B263" s="326"/>
      <c r="C263" s="326">
        <v>3</v>
      </c>
      <c r="D263" s="326">
        <v>7.8999999999999773</v>
      </c>
      <c r="E263" s="326">
        <v>-253.5</v>
      </c>
      <c r="F263" s="326">
        <v>75</v>
      </c>
      <c r="G263" s="326"/>
      <c r="H263" s="326"/>
      <c r="I263" s="326"/>
      <c r="J263" s="326"/>
      <c r="K263" s="326"/>
      <c r="L263" s="326"/>
      <c r="M263" s="326"/>
      <c r="N263" s="326">
        <f>+N262-F262</f>
        <v>783.38800000000003</v>
      </c>
      <c r="O263" s="326">
        <f t="shared" ref="O263:W263" si="185">+O262-N262</f>
        <v>0</v>
      </c>
      <c r="P263" s="326">
        <f t="shared" si="185"/>
        <v>0</v>
      </c>
      <c r="Q263" s="326">
        <f t="shared" si="185"/>
        <v>0</v>
      </c>
      <c r="R263" s="326">
        <f t="shared" si="185"/>
        <v>0</v>
      </c>
      <c r="S263" s="326">
        <f t="shared" si="185"/>
        <v>0</v>
      </c>
      <c r="T263" s="326">
        <f t="shared" si="185"/>
        <v>0</v>
      </c>
      <c r="U263" s="326">
        <f t="shared" si="185"/>
        <v>0</v>
      </c>
      <c r="V263" s="326">
        <f t="shared" si="185"/>
        <v>0</v>
      </c>
      <c r="W263" s="326">
        <f t="shared" si="185"/>
        <v>0</v>
      </c>
      <c r="X263" s="326"/>
      <c r="Y263" s="326"/>
      <c r="Z263" s="326"/>
      <c r="AA263" s="91"/>
      <c r="AB263" s="91"/>
      <c r="AC263" s="91"/>
      <c r="AD263" s="91"/>
      <c r="AE263" s="91"/>
      <c r="AF263" s="91"/>
      <c r="AG263" s="91"/>
      <c r="AH263" s="91"/>
      <c r="AI263" s="91"/>
      <c r="AJ263" s="91"/>
      <c r="AK263" s="91"/>
      <c r="AL263" s="91"/>
      <c r="AM263" s="91"/>
      <c r="AN263" s="91"/>
      <c r="AO263" s="91"/>
      <c r="AP263" s="91"/>
    </row>
    <row r="264" spans="1:42">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91"/>
      <c r="AB264" s="91"/>
      <c r="AC264" s="91"/>
      <c r="AD264" s="91"/>
      <c r="AE264" s="91"/>
      <c r="AF264" s="91"/>
      <c r="AG264" s="91"/>
      <c r="AH264" s="91"/>
      <c r="AI264" s="91"/>
      <c r="AJ264" s="91"/>
      <c r="AK264" s="91"/>
      <c r="AL264" s="91"/>
      <c r="AM264" s="91"/>
      <c r="AN264" s="91"/>
      <c r="AO264" s="91"/>
      <c r="AP264" s="91"/>
    </row>
    <row r="265" spans="1:42">
      <c r="A265" s="42" t="s">
        <v>283</v>
      </c>
      <c r="B265" s="392"/>
      <c r="C265" s="392"/>
      <c r="D265" s="392"/>
      <c r="E265" s="392" t="s">
        <v>855</v>
      </c>
      <c r="F265" s="392" t="s">
        <v>201</v>
      </c>
      <c r="G265" s="392"/>
      <c r="H265" s="392"/>
      <c r="I265" s="392"/>
      <c r="J265" s="392"/>
      <c r="K265" s="392"/>
      <c r="L265" s="392"/>
      <c r="M265" s="392"/>
      <c r="N265" s="392" t="str">
        <f t="shared" ref="N265:W265" si="186">+N$88</f>
        <v>2016E</v>
      </c>
      <c r="O265" s="392" t="str">
        <f t="shared" si="186"/>
        <v>2017E</v>
      </c>
      <c r="P265" s="392" t="str">
        <f t="shared" si="186"/>
        <v>2018E</v>
      </c>
      <c r="Q265" s="392" t="str">
        <f t="shared" si="186"/>
        <v>2019E</v>
      </c>
      <c r="R265" s="392" t="str">
        <f t="shared" si="186"/>
        <v>2020E</v>
      </c>
      <c r="S265" s="392" t="str">
        <f t="shared" si="186"/>
        <v>2021E</v>
      </c>
      <c r="T265" s="392" t="str">
        <f t="shared" si="186"/>
        <v>2022E</v>
      </c>
      <c r="U265" s="392" t="str">
        <f t="shared" si="186"/>
        <v>2023E</v>
      </c>
      <c r="V265" s="392" t="str">
        <f t="shared" si="186"/>
        <v>2024E</v>
      </c>
      <c r="W265" s="392" t="str">
        <f t="shared" si="186"/>
        <v>2025E</v>
      </c>
      <c r="AA265" s="91"/>
      <c r="AB265" s="91"/>
      <c r="AC265" s="91"/>
      <c r="AD265" s="91"/>
      <c r="AE265" s="91"/>
      <c r="AF265" s="91"/>
      <c r="AG265" s="91"/>
      <c r="AH265" s="91"/>
      <c r="AI265" s="91"/>
      <c r="AJ265" s="91"/>
      <c r="AK265" s="91"/>
      <c r="AL265" s="91"/>
      <c r="AM265" s="91"/>
      <c r="AN265" s="91"/>
      <c r="AO265" s="91"/>
      <c r="AP265" s="91"/>
    </row>
    <row r="266" spans="1:42">
      <c r="A266" s="4" t="s">
        <v>280</v>
      </c>
      <c r="E266" s="393">
        <v>375</v>
      </c>
      <c r="F266" s="75">
        <v>375</v>
      </c>
      <c r="L266" s="75">
        <v>0</v>
      </c>
      <c r="N266" s="75">
        <f t="shared" ref="N266:N271" si="187">+L266+N276-N286</f>
        <v>0</v>
      </c>
      <c r="O266" s="75">
        <f t="shared" ref="O266:W273" si="188">+N266+O276-O286</f>
        <v>0</v>
      </c>
      <c r="P266" s="75">
        <f t="shared" si="188"/>
        <v>0</v>
      </c>
      <c r="Q266" s="75">
        <f t="shared" si="188"/>
        <v>0</v>
      </c>
      <c r="R266" s="75">
        <f t="shared" si="188"/>
        <v>0</v>
      </c>
      <c r="S266" s="75">
        <f t="shared" si="188"/>
        <v>0</v>
      </c>
      <c r="T266" s="75">
        <f t="shared" si="188"/>
        <v>0</v>
      </c>
      <c r="U266" s="75">
        <f t="shared" si="188"/>
        <v>0</v>
      </c>
      <c r="V266" s="75">
        <f t="shared" si="188"/>
        <v>0</v>
      </c>
      <c r="W266" s="75">
        <f t="shared" si="188"/>
        <v>0</v>
      </c>
      <c r="AA266" s="91"/>
      <c r="AB266" s="91"/>
      <c r="AC266" s="91"/>
      <c r="AD266" s="91"/>
      <c r="AE266" s="91"/>
      <c r="AF266" s="91"/>
      <c r="AG266" s="91"/>
      <c r="AH266" s="91"/>
      <c r="AI266" s="91"/>
      <c r="AJ266" s="91"/>
      <c r="AK266" s="91"/>
      <c r="AL266" s="91"/>
      <c r="AM266" s="91"/>
      <c r="AN266" s="91"/>
      <c r="AO266" s="91"/>
      <c r="AP266" s="91"/>
    </row>
    <row r="267" spans="1:42">
      <c r="A267" s="4" t="s">
        <v>274</v>
      </c>
      <c r="E267" s="75">
        <v>0</v>
      </c>
      <c r="F267" s="75">
        <v>75</v>
      </c>
      <c r="L267" s="75">
        <v>0</v>
      </c>
      <c r="N267" s="75">
        <f t="shared" si="187"/>
        <v>0</v>
      </c>
      <c r="O267" s="75">
        <f t="shared" si="188"/>
        <v>0</v>
      </c>
      <c r="P267" s="75">
        <f t="shared" si="188"/>
        <v>0</v>
      </c>
      <c r="Q267" s="75">
        <f t="shared" si="188"/>
        <v>0</v>
      </c>
      <c r="R267" s="75">
        <f t="shared" si="188"/>
        <v>0</v>
      </c>
      <c r="S267" s="75">
        <f t="shared" si="188"/>
        <v>0</v>
      </c>
      <c r="T267" s="75">
        <f t="shared" si="188"/>
        <v>0</v>
      </c>
      <c r="U267" s="75">
        <f t="shared" si="188"/>
        <v>0</v>
      </c>
      <c r="V267" s="75">
        <f t="shared" si="188"/>
        <v>0</v>
      </c>
      <c r="W267" s="75">
        <f t="shared" si="188"/>
        <v>0</v>
      </c>
      <c r="AA267" s="91"/>
      <c r="AB267" s="91"/>
      <c r="AC267" s="91"/>
      <c r="AD267" s="91"/>
      <c r="AE267" s="91"/>
      <c r="AF267" s="91"/>
      <c r="AG267" s="91"/>
      <c r="AH267" s="91"/>
      <c r="AI267" s="91"/>
      <c r="AJ267" s="91"/>
      <c r="AK267" s="91"/>
      <c r="AL267" s="91"/>
      <c r="AM267" s="91"/>
      <c r="AN267" s="91"/>
      <c r="AO267" s="91"/>
      <c r="AP267" s="91"/>
    </row>
    <row r="268" spans="1:42">
      <c r="A268" s="4" t="s">
        <v>273</v>
      </c>
      <c r="E268" s="75">
        <v>0</v>
      </c>
      <c r="F268" s="75">
        <v>0</v>
      </c>
      <c r="L268" s="454">
        <v>49.908999999999999</v>
      </c>
      <c r="N268" s="368">
        <f t="shared" si="187"/>
        <v>49.908999999999999</v>
      </c>
      <c r="O268" s="368">
        <f t="shared" si="188"/>
        <v>49.908999999999999</v>
      </c>
      <c r="P268" s="368">
        <f t="shared" si="188"/>
        <v>49.908999999999999</v>
      </c>
      <c r="Q268" s="368">
        <f t="shared" si="188"/>
        <v>49.908999999999999</v>
      </c>
      <c r="R268" s="368">
        <f t="shared" si="188"/>
        <v>49.908999999999999</v>
      </c>
      <c r="S268" s="368">
        <f t="shared" si="188"/>
        <v>49.908999999999999</v>
      </c>
      <c r="T268" s="368">
        <f t="shared" si="188"/>
        <v>49.908999999999999</v>
      </c>
      <c r="U268" s="368">
        <f t="shared" si="188"/>
        <v>49.908999999999999</v>
      </c>
      <c r="V268" s="368">
        <f t="shared" si="188"/>
        <v>49.908999999999999</v>
      </c>
      <c r="W268" s="368">
        <f t="shared" si="188"/>
        <v>49.908999999999999</v>
      </c>
      <c r="AA268" s="91"/>
      <c r="AB268" s="91"/>
      <c r="AC268" s="91"/>
      <c r="AD268" s="91"/>
      <c r="AE268" s="91"/>
      <c r="AF268" s="91"/>
      <c r="AG268" s="91"/>
      <c r="AH268" s="91"/>
      <c r="AI268" s="91"/>
      <c r="AJ268" s="91"/>
      <c r="AK268" s="91"/>
      <c r="AL268" s="91"/>
      <c r="AM268" s="91"/>
      <c r="AN268" s="91"/>
      <c r="AO268" s="91"/>
      <c r="AP268" s="91"/>
    </row>
    <row r="269" spans="1:42">
      <c r="A269" s="4" t="s">
        <v>169</v>
      </c>
      <c r="E269" s="393">
        <v>37.400000000000006</v>
      </c>
      <c r="F269" s="75">
        <v>37.400000000000006</v>
      </c>
      <c r="L269" s="75">
        <v>0</v>
      </c>
      <c r="N269" s="75">
        <f t="shared" si="187"/>
        <v>0</v>
      </c>
      <c r="O269" s="75">
        <f t="shared" si="188"/>
        <v>0</v>
      </c>
      <c r="P269" s="75">
        <f t="shared" si="188"/>
        <v>0</v>
      </c>
      <c r="Q269" s="75">
        <f t="shared" si="188"/>
        <v>0</v>
      </c>
      <c r="R269" s="75">
        <f t="shared" si="188"/>
        <v>0</v>
      </c>
      <c r="S269" s="75">
        <f t="shared" si="188"/>
        <v>0</v>
      </c>
      <c r="T269" s="75">
        <f t="shared" si="188"/>
        <v>0</v>
      </c>
      <c r="U269" s="75">
        <f t="shared" si="188"/>
        <v>0</v>
      </c>
      <c r="V269" s="75">
        <f t="shared" si="188"/>
        <v>0</v>
      </c>
      <c r="W269" s="75">
        <f t="shared" si="188"/>
        <v>0</v>
      </c>
      <c r="AA269" s="91"/>
      <c r="AB269" s="91"/>
      <c r="AC269" s="91"/>
      <c r="AD269" s="91"/>
      <c r="AE269" s="91"/>
      <c r="AF269" s="91"/>
      <c r="AG269" s="91"/>
      <c r="AH269" s="91"/>
      <c r="AI269" s="91"/>
      <c r="AJ269" s="91"/>
      <c r="AK269" s="91"/>
      <c r="AL269" s="91"/>
      <c r="AM269" s="91"/>
      <c r="AN269" s="91"/>
      <c r="AO269" s="91"/>
      <c r="AP269" s="91"/>
    </row>
    <row r="270" spans="1:42">
      <c r="A270" s="4" t="s">
        <v>1150</v>
      </c>
      <c r="E270" s="75">
        <v>0</v>
      </c>
      <c r="F270" s="75">
        <v>0</v>
      </c>
      <c r="L270" s="395">
        <v>1130</v>
      </c>
      <c r="N270" s="75">
        <f t="shared" si="187"/>
        <v>1130</v>
      </c>
      <c r="O270" s="75">
        <f t="shared" si="188"/>
        <v>1130</v>
      </c>
      <c r="P270" s="75">
        <f t="shared" si="188"/>
        <v>1130</v>
      </c>
      <c r="Q270" s="75">
        <f t="shared" si="188"/>
        <v>1130</v>
      </c>
      <c r="R270" s="75">
        <f t="shared" si="188"/>
        <v>1130</v>
      </c>
      <c r="S270" s="75">
        <f t="shared" si="188"/>
        <v>1130</v>
      </c>
      <c r="T270" s="75">
        <f t="shared" si="188"/>
        <v>1130</v>
      </c>
      <c r="U270" s="75">
        <f t="shared" si="188"/>
        <v>1130</v>
      </c>
      <c r="V270" s="75">
        <f t="shared" si="188"/>
        <v>1130</v>
      </c>
      <c r="W270" s="75">
        <f t="shared" si="188"/>
        <v>1130</v>
      </c>
      <c r="AA270" s="91"/>
      <c r="AB270" s="91"/>
      <c r="AC270" s="91"/>
      <c r="AD270" s="91"/>
      <c r="AE270" s="91"/>
      <c r="AF270" s="91"/>
      <c r="AG270" s="91"/>
      <c r="AH270" s="91"/>
      <c r="AI270" s="91"/>
      <c r="AJ270" s="91"/>
      <c r="AK270" s="91"/>
      <c r="AL270" s="91"/>
      <c r="AM270" s="91"/>
      <c r="AN270" s="91"/>
      <c r="AO270" s="91"/>
      <c r="AP270" s="91"/>
    </row>
    <row r="271" spans="1:42">
      <c r="A271" s="4" t="s">
        <v>1149</v>
      </c>
      <c r="E271" s="75">
        <v>0</v>
      </c>
      <c r="F271" s="75">
        <v>0</v>
      </c>
      <c r="L271" s="455">
        <f>1220.879-L270</f>
        <v>90.878999999999905</v>
      </c>
      <c r="N271" s="368">
        <f t="shared" si="187"/>
        <v>90.878999999999905</v>
      </c>
      <c r="O271" s="368">
        <f t="shared" si="188"/>
        <v>90.878999999999905</v>
      </c>
      <c r="P271" s="368">
        <f t="shared" si="188"/>
        <v>90.878999999999905</v>
      </c>
      <c r="Q271" s="368">
        <f t="shared" si="188"/>
        <v>90.878999999999905</v>
      </c>
      <c r="R271" s="368">
        <f t="shared" si="188"/>
        <v>90.878999999999905</v>
      </c>
      <c r="S271" s="368">
        <f t="shared" si="188"/>
        <v>90.878999999999905</v>
      </c>
      <c r="T271" s="368">
        <f t="shared" si="188"/>
        <v>90.878999999999905</v>
      </c>
      <c r="U271" s="368">
        <f t="shared" si="188"/>
        <v>90.878999999999905</v>
      </c>
      <c r="V271" s="368">
        <f t="shared" si="188"/>
        <v>90.878999999999905</v>
      </c>
      <c r="W271" s="368">
        <f t="shared" si="188"/>
        <v>90.878999999999905</v>
      </c>
      <c r="AA271" s="91"/>
      <c r="AB271" s="91"/>
      <c r="AC271" s="91"/>
      <c r="AD271" s="91"/>
      <c r="AE271" s="91"/>
      <c r="AF271" s="91"/>
      <c r="AG271" s="91"/>
      <c r="AH271" s="91"/>
      <c r="AI271" s="91"/>
      <c r="AJ271" s="91"/>
      <c r="AK271" s="91"/>
      <c r="AL271" s="91"/>
      <c r="AM271" s="91"/>
      <c r="AN271" s="91"/>
      <c r="AO271" s="91"/>
      <c r="AP271" s="91"/>
    </row>
    <row r="272" spans="1:42">
      <c r="A272" s="4" t="s">
        <v>277</v>
      </c>
      <c r="E272" s="75">
        <v>0</v>
      </c>
      <c r="F272" s="75">
        <v>0</v>
      </c>
      <c r="L272" s="75">
        <v>0</v>
      </c>
      <c r="N272" s="75">
        <f>+F272+N282-N292</f>
        <v>0</v>
      </c>
      <c r="O272" s="75">
        <f t="shared" si="188"/>
        <v>0</v>
      </c>
      <c r="P272" s="75">
        <f t="shared" si="188"/>
        <v>0</v>
      </c>
      <c r="Q272" s="75">
        <f t="shared" si="188"/>
        <v>0</v>
      </c>
      <c r="R272" s="75">
        <f t="shared" si="188"/>
        <v>0</v>
      </c>
      <c r="S272" s="75">
        <f t="shared" si="188"/>
        <v>0</v>
      </c>
      <c r="T272" s="75">
        <f t="shared" si="188"/>
        <v>0</v>
      </c>
      <c r="U272" s="75">
        <f t="shared" si="188"/>
        <v>0</v>
      </c>
      <c r="V272" s="75">
        <f t="shared" si="188"/>
        <v>0</v>
      </c>
      <c r="W272" s="75">
        <f t="shared" si="188"/>
        <v>0</v>
      </c>
      <c r="AA272" s="91"/>
      <c r="AB272" s="91"/>
      <c r="AC272" s="91"/>
      <c r="AD272" s="91"/>
      <c r="AE272" s="91"/>
      <c r="AF272" s="91"/>
      <c r="AG272" s="91"/>
      <c r="AH272" s="91"/>
      <c r="AI272" s="91"/>
      <c r="AJ272" s="91"/>
      <c r="AK272" s="91"/>
      <c r="AL272" s="91"/>
      <c r="AM272" s="91"/>
      <c r="AN272" s="91"/>
      <c r="AO272" s="91"/>
      <c r="AP272" s="91"/>
    </row>
    <row r="273" spans="1:42">
      <c r="A273" s="4" t="s">
        <v>278</v>
      </c>
      <c r="E273" s="75">
        <v>0</v>
      </c>
      <c r="F273" s="75">
        <v>0</v>
      </c>
      <c r="L273" s="75">
        <v>0</v>
      </c>
      <c r="N273" s="75">
        <f>+F273+N283-N293</f>
        <v>0</v>
      </c>
      <c r="O273" s="75">
        <f t="shared" si="188"/>
        <v>0</v>
      </c>
      <c r="P273" s="75">
        <f t="shared" si="188"/>
        <v>0</v>
      </c>
      <c r="Q273" s="75">
        <f t="shared" si="188"/>
        <v>0</v>
      </c>
      <c r="R273" s="75">
        <f t="shared" si="188"/>
        <v>0</v>
      </c>
      <c r="S273" s="75">
        <f t="shared" si="188"/>
        <v>0</v>
      </c>
      <c r="T273" s="75">
        <f t="shared" si="188"/>
        <v>0</v>
      </c>
      <c r="U273" s="75">
        <f t="shared" si="188"/>
        <v>0</v>
      </c>
      <c r="V273" s="75">
        <f t="shared" si="188"/>
        <v>0</v>
      </c>
      <c r="W273" s="75">
        <f t="shared" si="188"/>
        <v>0</v>
      </c>
      <c r="AA273" s="91"/>
      <c r="AB273" s="91"/>
      <c r="AC273" s="91"/>
      <c r="AD273" s="91"/>
      <c r="AE273" s="91"/>
      <c r="AF273" s="91"/>
      <c r="AG273" s="91"/>
      <c r="AH273" s="91"/>
      <c r="AI273" s="91"/>
      <c r="AJ273" s="91"/>
      <c r="AK273" s="91"/>
      <c r="AL273" s="91"/>
      <c r="AM273" s="91"/>
      <c r="AN273" s="91"/>
      <c r="AO273" s="91"/>
      <c r="AP273" s="91"/>
    </row>
    <row r="274" spans="1:42">
      <c r="A274" s="4" t="s">
        <v>279</v>
      </c>
      <c r="E274" s="394">
        <v>412.4</v>
      </c>
      <c r="F274" s="394">
        <v>487.4</v>
      </c>
      <c r="G274" s="394"/>
      <c r="H274" s="394"/>
      <c r="I274" s="394"/>
      <c r="J274" s="394"/>
      <c r="K274" s="394"/>
      <c r="L274" s="445">
        <f>SUM(L266:L273)</f>
        <v>1270.788</v>
      </c>
      <c r="M274" s="445"/>
      <c r="N274" s="445">
        <f t="shared" ref="N274:V274" si="189">SUM(N266:N273)</f>
        <v>1270.788</v>
      </c>
      <c r="O274" s="445">
        <f t="shared" si="189"/>
        <v>1270.788</v>
      </c>
      <c r="P274" s="445">
        <f t="shared" si="189"/>
        <v>1270.788</v>
      </c>
      <c r="Q274" s="445">
        <f t="shared" si="189"/>
        <v>1270.788</v>
      </c>
      <c r="R274" s="445">
        <f t="shared" si="189"/>
        <v>1270.788</v>
      </c>
      <c r="S274" s="445">
        <f t="shared" si="189"/>
        <v>1270.788</v>
      </c>
      <c r="T274" s="445">
        <f t="shared" si="189"/>
        <v>1270.788</v>
      </c>
      <c r="U274" s="445">
        <f t="shared" si="189"/>
        <v>1270.788</v>
      </c>
      <c r="V274" s="445">
        <f t="shared" si="189"/>
        <v>1270.788</v>
      </c>
      <c r="W274" s="445">
        <f>SUM(W266:W273)</f>
        <v>1270.788</v>
      </c>
      <c r="AA274" s="91"/>
      <c r="AB274" s="91"/>
      <c r="AC274" s="91"/>
      <c r="AD274" s="91"/>
      <c r="AE274" s="91"/>
      <c r="AF274" s="91"/>
      <c r="AG274" s="91"/>
      <c r="AH274" s="91"/>
      <c r="AI274" s="91"/>
      <c r="AJ274" s="91"/>
      <c r="AK274" s="91"/>
      <c r="AL274" s="91"/>
      <c r="AM274" s="91"/>
      <c r="AN274" s="91"/>
      <c r="AO274" s="91"/>
      <c r="AP274" s="91"/>
    </row>
    <row r="275" spans="1:42">
      <c r="A275" s="42" t="s">
        <v>284</v>
      </c>
      <c r="B275" s="392"/>
      <c r="C275" s="392"/>
      <c r="D275" s="392"/>
      <c r="E275" s="392" t="s">
        <v>855</v>
      </c>
      <c r="F275" s="392" t="s">
        <v>201</v>
      </c>
      <c r="G275" s="392"/>
      <c r="H275" s="392"/>
      <c r="I275" s="392"/>
      <c r="J275" s="392"/>
      <c r="K275" s="392"/>
      <c r="L275" s="392"/>
      <c r="M275" s="392"/>
      <c r="N275" s="392" t="str">
        <f t="shared" ref="N275:W275" si="190">+N$88</f>
        <v>2016E</v>
      </c>
      <c r="O275" s="392" t="str">
        <f t="shared" si="190"/>
        <v>2017E</v>
      </c>
      <c r="P275" s="392" t="str">
        <f t="shared" si="190"/>
        <v>2018E</v>
      </c>
      <c r="Q275" s="392" t="str">
        <f t="shared" si="190"/>
        <v>2019E</v>
      </c>
      <c r="R275" s="392" t="str">
        <f t="shared" si="190"/>
        <v>2020E</v>
      </c>
      <c r="S275" s="392" t="str">
        <f t="shared" si="190"/>
        <v>2021E</v>
      </c>
      <c r="T275" s="392" t="str">
        <f t="shared" si="190"/>
        <v>2022E</v>
      </c>
      <c r="U275" s="392" t="str">
        <f t="shared" si="190"/>
        <v>2023E</v>
      </c>
      <c r="V275" s="392" t="str">
        <f t="shared" si="190"/>
        <v>2024E</v>
      </c>
      <c r="W275" s="392" t="str">
        <f t="shared" si="190"/>
        <v>2025E</v>
      </c>
      <c r="AA275" s="91"/>
      <c r="AB275" s="91"/>
      <c r="AC275" s="91"/>
      <c r="AD275" s="91"/>
      <c r="AE275" s="91"/>
      <c r="AF275" s="91"/>
      <c r="AG275" s="91"/>
      <c r="AH275" s="91"/>
      <c r="AI275" s="91"/>
      <c r="AJ275" s="91"/>
      <c r="AK275" s="91"/>
      <c r="AL275" s="91"/>
      <c r="AM275" s="91"/>
      <c r="AN275" s="91"/>
      <c r="AO275" s="91"/>
      <c r="AP275" s="91"/>
    </row>
    <row r="276" spans="1:42">
      <c r="A276" s="4" t="s">
        <v>280</v>
      </c>
      <c r="E276" s="75">
        <v>0</v>
      </c>
      <c r="AA276" s="91"/>
      <c r="AB276" s="91"/>
      <c r="AC276" s="91"/>
      <c r="AD276" s="91"/>
      <c r="AE276" s="91"/>
      <c r="AF276" s="91"/>
      <c r="AG276" s="91"/>
      <c r="AH276" s="91"/>
      <c r="AI276" s="91"/>
      <c r="AJ276" s="91"/>
      <c r="AK276" s="91"/>
      <c r="AL276" s="91"/>
      <c r="AM276" s="91"/>
      <c r="AN276" s="91"/>
      <c r="AO276" s="91"/>
      <c r="AP276" s="91"/>
    </row>
    <row r="277" spans="1:42">
      <c r="A277" s="4" t="s">
        <v>274</v>
      </c>
      <c r="E277" s="75">
        <v>0</v>
      </c>
      <c r="F277" s="395">
        <v>75</v>
      </c>
      <c r="AA277" s="91"/>
      <c r="AB277" s="91"/>
      <c r="AC277" s="91"/>
      <c r="AD277" s="91"/>
      <c r="AE277" s="91"/>
      <c r="AF277" s="91"/>
      <c r="AG277" s="91"/>
      <c r="AH277" s="91"/>
      <c r="AI277" s="91"/>
      <c r="AJ277" s="91"/>
      <c r="AK277" s="91"/>
      <c r="AL277" s="91"/>
      <c r="AM277" s="91"/>
      <c r="AN277" s="91"/>
      <c r="AO277" s="91"/>
      <c r="AP277" s="91"/>
    </row>
    <row r="278" spans="1:42">
      <c r="A278" s="4" t="s">
        <v>273</v>
      </c>
      <c r="E278" s="75">
        <v>0</v>
      </c>
      <c r="AA278" s="91"/>
      <c r="AB278" s="91"/>
      <c r="AC278" s="91"/>
      <c r="AD278" s="91"/>
      <c r="AE278" s="91"/>
      <c r="AF278" s="91"/>
      <c r="AG278" s="91"/>
      <c r="AH278" s="91"/>
      <c r="AI278" s="91"/>
      <c r="AJ278" s="91"/>
      <c r="AK278" s="91"/>
      <c r="AL278" s="91"/>
      <c r="AM278" s="91"/>
      <c r="AN278" s="91"/>
      <c r="AO278" s="91"/>
      <c r="AP278" s="91"/>
    </row>
    <row r="279" spans="1:42">
      <c r="A279" s="4" t="s">
        <v>169</v>
      </c>
      <c r="E279" s="75">
        <v>0</v>
      </c>
      <c r="AA279" s="91"/>
      <c r="AB279" s="91"/>
      <c r="AC279" s="91"/>
      <c r="AD279" s="91"/>
      <c r="AE279" s="91"/>
      <c r="AF279" s="91"/>
      <c r="AG279" s="91"/>
      <c r="AH279" s="91"/>
      <c r="AI279" s="91"/>
      <c r="AJ279" s="91"/>
      <c r="AK279" s="91"/>
      <c r="AL279" s="91"/>
      <c r="AM279" s="91"/>
      <c r="AN279" s="91"/>
      <c r="AO279" s="91"/>
      <c r="AP279" s="91"/>
    </row>
    <row r="280" spans="1:42">
      <c r="A280" s="4" t="s">
        <v>275</v>
      </c>
      <c r="E280" s="75">
        <v>0</v>
      </c>
      <c r="AA280" s="91"/>
      <c r="AB280" s="91"/>
      <c r="AC280" s="91"/>
      <c r="AD280" s="91"/>
      <c r="AE280" s="91"/>
      <c r="AF280" s="91"/>
      <c r="AG280" s="91"/>
      <c r="AH280" s="91"/>
      <c r="AI280" s="91"/>
      <c r="AJ280" s="91"/>
      <c r="AK280" s="91"/>
      <c r="AL280" s="91"/>
      <c r="AM280" s="91"/>
      <c r="AN280" s="91"/>
      <c r="AO280" s="91"/>
      <c r="AP280" s="91"/>
    </row>
    <row r="281" spans="1:42">
      <c r="A281" s="4" t="s">
        <v>276</v>
      </c>
      <c r="E281" s="75">
        <v>0</v>
      </c>
      <c r="AA281" s="91"/>
      <c r="AB281" s="91"/>
      <c r="AC281" s="91"/>
      <c r="AD281" s="91"/>
      <c r="AE281" s="91"/>
      <c r="AF281" s="91"/>
      <c r="AG281" s="91"/>
      <c r="AH281" s="91"/>
      <c r="AI281" s="91"/>
      <c r="AJ281" s="91"/>
      <c r="AK281" s="91"/>
      <c r="AL281" s="91"/>
      <c r="AM281" s="91"/>
      <c r="AN281" s="91"/>
      <c r="AO281" s="91"/>
      <c r="AP281" s="91"/>
    </row>
    <row r="282" spans="1:42">
      <c r="A282" s="4" t="s">
        <v>277</v>
      </c>
      <c r="E282" s="75">
        <v>0</v>
      </c>
      <c r="AA282" s="91"/>
      <c r="AB282" s="91"/>
      <c r="AC282" s="91"/>
      <c r="AD282" s="91"/>
      <c r="AE282" s="91"/>
      <c r="AF282" s="91"/>
      <c r="AG282" s="91"/>
      <c r="AH282" s="91"/>
      <c r="AI282" s="91"/>
      <c r="AJ282" s="91"/>
      <c r="AK282" s="91"/>
      <c r="AL282" s="91"/>
      <c r="AM282" s="91"/>
      <c r="AN282" s="91"/>
      <c r="AO282" s="91"/>
      <c r="AP282" s="91"/>
    </row>
    <row r="283" spans="1:42">
      <c r="A283" s="4" t="s">
        <v>278</v>
      </c>
      <c r="E283" s="75">
        <v>0</v>
      </c>
      <c r="AA283" s="91"/>
      <c r="AB283" s="91"/>
      <c r="AC283" s="91"/>
      <c r="AD283" s="91"/>
      <c r="AE283" s="91"/>
      <c r="AF283" s="91"/>
      <c r="AG283" s="91"/>
      <c r="AH283" s="91"/>
      <c r="AI283" s="91"/>
      <c r="AJ283" s="91"/>
      <c r="AK283" s="91"/>
      <c r="AL283" s="91"/>
      <c r="AM283" s="91"/>
      <c r="AN283" s="91"/>
      <c r="AO283" s="91"/>
      <c r="AP283" s="91"/>
    </row>
    <row r="284" spans="1:42">
      <c r="A284" s="4" t="s">
        <v>279</v>
      </c>
      <c r="E284" s="394">
        <v>0</v>
      </c>
      <c r="F284" s="394">
        <v>75</v>
      </c>
      <c r="G284" s="394"/>
      <c r="H284" s="394"/>
      <c r="I284" s="394"/>
      <c r="J284" s="394"/>
      <c r="K284" s="394"/>
      <c r="L284" s="394"/>
      <c r="M284" s="394"/>
      <c r="N284" s="394">
        <f t="shared" ref="N284:V284" si="191">SUM(N276:N283)</f>
        <v>0</v>
      </c>
      <c r="O284" s="394">
        <f t="shared" si="191"/>
        <v>0</v>
      </c>
      <c r="P284" s="394">
        <f t="shared" si="191"/>
        <v>0</v>
      </c>
      <c r="Q284" s="394">
        <f t="shared" si="191"/>
        <v>0</v>
      </c>
      <c r="R284" s="394">
        <f t="shared" si="191"/>
        <v>0</v>
      </c>
      <c r="S284" s="394">
        <f t="shared" si="191"/>
        <v>0</v>
      </c>
      <c r="T284" s="394">
        <f t="shared" si="191"/>
        <v>0</v>
      </c>
      <c r="U284" s="394">
        <f t="shared" si="191"/>
        <v>0</v>
      </c>
      <c r="V284" s="394">
        <f t="shared" si="191"/>
        <v>0</v>
      </c>
      <c r="W284" s="394">
        <f>SUM(W276:W283)</f>
        <v>0</v>
      </c>
      <c r="AA284" s="91"/>
      <c r="AB284" s="91"/>
      <c r="AC284" s="91"/>
      <c r="AD284" s="91"/>
      <c r="AE284" s="91"/>
      <c r="AF284" s="91"/>
      <c r="AG284" s="91"/>
      <c r="AH284" s="91"/>
      <c r="AI284" s="91"/>
      <c r="AJ284" s="91"/>
      <c r="AK284" s="91"/>
      <c r="AL284" s="91"/>
      <c r="AM284" s="91"/>
      <c r="AN284" s="91"/>
      <c r="AO284" s="91"/>
      <c r="AP284" s="91"/>
    </row>
    <row r="285" spans="1:42">
      <c r="A285" s="42" t="s">
        <v>285</v>
      </c>
      <c r="B285" s="392"/>
      <c r="C285" s="392"/>
      <c r="D285" s="392"/>
      <c r="E285" s="392" t="s">
        <v>855</v>
      </c>
      <c r="F285" s="392" t="s">
        <v>201</v>
      </c>
      <c r="G285" s="392"/>
      <c r="H285" s="392"/>
      <c r="I285" s="392"/>
      <c r="J285" s="392"/>
      <c r="K285" s="392"/>
      <c r="L285" s="392"/>
      <c r="M285" s="392"/>
      <c r="N285" s="392" t="str">
        <f t="shared" ref="N285:W285" si="192">+N$88</f>
        <v>2016E</v>
      </c>
      <c r="O285" s="392" t="str">
        <f t="shared" si="192"/>
        <v>2017E</v>
      </c>
      <c r="P285" s="392" t="str">
        <f t="shared" si="192"/>
        <v>2018E</v>
      </c>
      <c r="Q285" s="392" t="str">
        <f t="shared" si="192"/>
        <v>2019E</v>
      </c>
      <c r="R285" s="392" t="str">
        <f t="shared" si="192"/>
        <v>2020E</v>
      </c>
      <c r="S285" s="392" t="str">
        <f t="shared" si="192"/>
        <v>2021E</v>
      </c>
      <c r="T285" s="392" t="str">
        <f t="shared" si="192"/>
        <v>2022E</v>
      </c>
      <c r="U285" s="392" t="str">
        <f t="shared" si="192"/>
        <v>2023E</v>
      </c>
      <c r="V285" s="392" t="str">
        <f t="shared" si="192"/>
        <v>2024E</v>
      </c>
      <c r="W285" s="392" t="str">
        <f t="shared" si="192"/>
        <v>2025E</v>
      </c>
      <c r="AA285" s="91"/>
      <c r="AB285" s="91"/>
      <c r="AC285" s="91"/>
      <c r="AD285" s="91"/>
      <c r="AE285" s="91"/>
      <c r="AF285" s="91"/>
      <c r="AG285" s="91"/>
      <c r="AH285" s="91"/>
      <c r="AI285" s="91"/>
      <c r="AJ285" s="91"/>
      <c r="AK285" s="91"/>
      <c r="AL285" s="91"/>
      <c r="AM285" s="91"/>
      <c r="AN285" s="91"/>
      <c r="AO285" s="91"/>
      <c r="AP285" s="91"/>
    </row>
    <row r="286" spans="1:42">
      <c r="A286" s="4" t="s">
        <v>280</v>
      </c>
      <c r="E286" s="75">
        <v>0</v>
      </c>
      <c r="F286" s="75">
        <v>0</v>
      </c>
      <c r="N286" s="75">
        <v>0</v>
      </c>
      <c r="O286" s="75">
        <v>0</v>
      </c>
      <c r="P286" s="75">
        <v>0</v>
      </c>
      <c r="Q286" s="75">
        <v>0</v>
      </c>
      <c r="R286" s="75">
        <v>0</v>
      </c>
      <c r="S286" s="75">
        <v>0</v>
      </c>
      <c r="T286" s="75">
        <v>0</v>
      </c>
      <c r="U286" s="75">
        <v>0</v>
      </c>
      <c r="V286" s="75">
        <v>0</v>
      </c>
      <c r="W286" s="75">
        <v>0</v>
      </c>
      <c r="AA286" s="91"/>
      <c r="AB286" s="91"/>
      <c r="AC286" s="91"/>
      <c r="AD286" s="91"/>
      <c r="AE286" s="91"/>
      <c r="AF286" s="91"/>
      <c r="AG286" s="91"/>
      <c r="AH286" s="91"/>
      <c r="AI286" s="91"/>
      <c r="AJ286" s="91"/>
      <c r="AK286" s="91"/>
      <c r="AL286" s="91"/>
      <c r="AM286" s="91"/>
      <c r="AN286" s="91"/>
      <c r="AO286" s="91"/>
      <c r="AP286" s="91"/>
    </row>
    <row r="287" spans="1:42">
      <c r="A287" s="4" t="s">
        <v>274</v>
      </c>
      <c r="E287" s="75">
        <v>0</v>
      </c>
      <c r="F287" s="75">
        <v>0</v>
      </c>
      <c r="N287" s="75">
        <v>0</v>
      </c>
      <c r="O287" s="75">
        <v>0</v>
      </c>
      <c r="P287" s="75">
        <v>0</v>
      </c>
      <c r="Q287" s="75">
        <v>0</v>
      </c>
      <c r="R287" s="75">
        <v>0</v>
      </c>
      <c r="S287" s="75">
        <v>0</v>
      </c>
      <c r="T287" s="75">
        <v>0</v>
      </c>
      <c r="U287" s="75">
        <v>0</v>
      </c>
      <c r="V287" s="75">
        <v>0</v>
      </c>
      <c r="W287" s="75">
        <v>0</v>
      </c>
      <c r="AA287" s="91"/>
      <c r="AB287" s="91"/>
      <c r="AC287" s="91"/>
      <c r="AD287" s="91"/>
      <c r="AE287" s="91"/>
      <c r="AF287" s="91"/>
      <c r="AG287" s="91"/>
      <c r="AH287" s="91"/>
      <c r="AI287" s="91"/>
      <c r="AJ287" s="91"/>
      <c r="AK287" s="91"/>
      <c r="AL287" s="91"/>
      <c r="AM287" s="91"/>
      <c r="AN287" s="91"/>
      <c r="AO287" s="91"/>
      <c r="AP287" s="91"/>
    </row>
    <row r="288" spans="1:42">
      <c r="A288" s="4" t="s">
        <v>273</v>
      </c>
      <c r="E288" s="75">
        <v>0</v>
      </c>
      <c r="F288" s="75">
        <v>0</v>
      </c>
      <c r="N288" s="75">
        <v>0</v>
      </c>
      <c r="O288" s="75">
        <v>0</v>
      </c>
      <c r="P288" s="75">
        <v>0</v>
      </c>
      <c r="Q288" s="75">
        <v>0</v>
      </c>
      <c r="R288" s="75">
        <v>0</v>
      </c>
      <c r="S288" s="75">
        <v>0</v>
      </c>
      <c r="T288" s="75">
        <v>0</v>
      </c>
      <c r="U288" s="75">
        <v>0</v>
      </c>
      <c r="V288" s="75">
        <v>0</v>
      </c>
      <c r="W288" s="75">
        <v>0</v>
      </c>
      <c r="AA288" s="91"/>
      <c r="AB288" s="91"/>
      <c r="AC288" s="91"/>
      <c r="AD288" s="91"/>
      <c r="AE288" s="91"/>
      <c r="AF288" s="91"/>
      <c r="AG288" s="91"/>
      <c r="AH288" s="91"/>
      <c r="AI288" s="91"/>
      <c r="AJ288" s="91"/>
      <c r="AK288" s="91"/>
      <c r="AL288" s="91"/>
      <c r="AM288" s="91"/>
      <c r="AN288" s="91"/>
      <c r="AO288" s="91"/>
      <c r="AP288" s="91"/>
    </row>
    <row r="289" spans="1:42">
      <c r="A289" s="4" t="s">
        <v>169</v>
      </c>
      <c r="E289" s="75">
        <v>0</v>
      </c>
      <c r="AA289" s="91"/>
      <c r="AB289" s="91"/>
      <c r="AC289" s="91"/>
      <c r="AD289" s="91"/>
      <c r="AE289" s="91"/>
      <c r="AF289" s="91"/>
      <c r="AG289" s="91"/>
      <c r="AH289" s="91"/>
      <c r="AI289" s="91"/>
      <c r="AJ289" s="91"/>
      <c r="AK289" s="91"/>
      <c r="AL289" s="91"/>
      <c r="AM289" s="91"/>
      <c r="AN289" s="91"/>
      <c r="AO289" s="91"/>
      <c r="AP289" s="91"/>
    </row>
    <row r="290" spans="1:42">
      <c r="A290" s="4" t="s">
        <v>275</v>
      </c>
      <c r="E290" s="75">
        <v>0</v>
      </c>
      <c r="AA290" s="91"/>
      <c r="AB290" s="91"/>
      <c r="AC290" s="91"/>
      <c r="AD290" s="91"/>
      <c r="AE290" s="91"/>
      <c r="AF290" s="91"/>
      <c r="AG290" s="91"/>
      <c r="AH290" s="91"/>
      <c r="AI290" s="91"/>
      <c r="AJ290" s="91"/>
      <c r="AK290" s="91"/>
      <c r="AL290" s="91"/>
      <c r="AM290" s="91"/>
      <c r="AN290" s="91"/>
      <c r="AO290" s="91"/>
      <c r="AP290" s="91"/>
    </row>
    <row r="291" spans="1:42">
      <c r="A291" s="4" t="s">
        <v>276</v>
      </c>
      <c r="E291" s="75">
        <v>0</v>
      </c>
      <c r="AA291" s="91"/>
      <c r="AB291" s="91"/>
      <c r="AC291" s="91"/>
      <c r="AD291" s="91"/>
      <c r="AE291" s="91"/>
      <c r="AF291" s="91"/>
      <c r="AG291" s="91"/>
      <c r="AH291" s="91"/>
      <c r="AI291" s="91"/>
      <c r="AJ291" s="91"/>
      <c r="AK291" s="91"/>
      <c r="AL291" s="91"/>
      <c r="AM291" s="91"/>
      <c r="AN291" s="91"/>
      <c r="AO291" s="91"/>
      <c r="AP291" s="91"/>
    </row>
    <row r="292" spans="1:42">
      <c r="A292" s="4" t="s">
        <v>277</v>
      </c>
      <c r="E292" s="75">
        <v>0</v>
      </c>
      <c r="AA292" s="91"/>
      <c r="AB292" s="91"/>
      <c r="AC292" s="91"/>
      <c r="AD292" s="91"/>
      <c r="AE292" s="91"/>
      <c r="AF292" s="91"/>
      <c r="AG292" s="91"/>
      <c r="AH292" s="91"/>
      <c r="AI292" s="91"/>
      <c r="AJ292" s="91"/>
      <c r="AK292" s="91"/>
      <c r="AL292" s="91"/>
      <c r="AM292" s="91"/>
      <c r="AN292" s="91"/>
      <c r="AO292" s="91"/>
      <c r="AP292" s="91"/>
    </row>
    <row r="293" spans="1:42">
      <c r="A293" s="4" t="s">
        <v>278</v>
      </c>
      <c r="E293" s="75">
        <v>0</v>
      </c>
      <c r="AA293" s="91"/>
      <c r="AB293" s="91"/>
      <c r="AC293" s="91"/>
      <c r="AD293" s="91"/>
      <c r="AE293" s="91"/>
      <c r="AF293" s="91"/>
      <c r="AG293" s="91"/>
      <c r="AH293" s="91"/>
      <c r="AI293" s="91"/>
      <c r="AJ293" s="91"/>
      <c r="AK293" s="91"/>
      <c r="AL293" s="91"/>
      <c r="AM293" s="91"/>
      <c r="AN293" s="91"/>
      <c r="AO293" s="91"/>
      <c r="AP293" s="91"/>
    </row>
    <row r="294" spans="1:42">
      <c r="A294" s="4" t="s">
        <v>279</v>
      </c>
      <c r="E294" s="394">
        <v>0</v>
      </c>
      <c r="F294" s="394">
        <v>0</v>
      </c>
      <c r="G294" s="394"/>
      <c r="H294" s="394"/>
      <c r="I294" s="394"/>
      <c r="J294" s="394"/>
      <c r="K294" s="394"/>
      <c r="L294" s="394"/>
      <c r="M294" s="394"/>
      <c r="N294" s="394">
        <f t="shared" ref="N294:V294" si="193">SUM(N286:N293)</f>
        <v>0</v>
      </c>
      <c r="O294" s="394">
        <f t="shared" si="193"/>
        <v>0</v>
      </c>
      <c r="P294" s="394">
        <f t="shared" si="193"/>
        <v>0</v>
      </c>
      <c r="Q294" s="394">
        <f t="shared" si="193"/>
        <v>0</v>
      </c>
      <c r="R294" s="394">
        <f t="shared" si="193"/>
        <v>0</v>
      </c>
      <c r="S294" s="394">
        <f t="shared" si="193"/>
        <v>0</v>
      </c>
      <c r="T294" s="394">
        <f t="shared" si="193"/>
        <v>0</v>
      </c>
      <c r="U294" s="394">
        <f t="shared" si="193"/>
        <v>0</v>
      </c>
      <c r="V294" s="394">
        <f t="shared" si="193"/>
        <v>0</v>
      </c>
      <c r="W294" s="394">
        <f>SUM(W286:W293)</f>
        <v>0</v>
      </c>
      <c r="AA294" s="91"/>
      <c r="AB294" s="91"/>
      <c r="AC294" s="91"/>
      <c r="AD294" s="91"/>
      <c r="AE294" s="91"/>
      <c r="AF294" s="91"/>
      <c r="AG294" s="91"/>
      <c r="AH294" s="91"/>
      <c r="AI294" s="91"/>
      <c r="AJ294" s="91"/>
      <c r="AK294" s="91"/>
      <c r="AL294" s="91"/>
      <c r="AM294" s="91"/>
      <c r="AN294" s="91"/>
      <c r="AO294" s="91"/>
      <c r="AP294" s="91"/>
    </row>
    <row r="295" spans="1:42">
      <c r="A295" s="42" t="s">
        <v>286</v>
      </c>
      <c r="B295" s="392"/>
      <c r="C295" s="392"/>
      <c r="D295" s="392"/>
      <c r="E295" s="392" t="s">
        <v>855</v>
      </c>
      <c r="F295" s="392" t="s">
        <v>201</v>
      </c>
      <c r="G295" s="392"/>
      <c r="H295" s="392"/>
      <c r="I295" s="392"/>
      <c r="J295" s="392"/>
      <c r="K295" s="392"/>
      <c r="L295" s="392"/>
      <c r="M295" s="392"/>
      <c r="N295" s="392" t="str">
        <f t="shared" ref="N295:W295" si="194">+N$88</f>
        <v>2016E</v>
      </c>
      <c r="O295" s="392" t="str">
        <f t="shared" si="194"/>
        <v>2017E</v>
      </c>
      <c r="P295" s="392" t="str">
        <f t="shared" si="194"/>
        <v>2018E</v>
      </c>
      <c r="Q295" s="392" t="str">
        <f t="shared" si="194"/>
        <v>2019E</v>
      </c>
      <c r="R295" s="392" t="str">
        <f t="shared" si="194"/>
        <v>2020E</v>
      </c>
      <c r="S295" s="392" t="str">
        <f t="shared" si="194"/>
        <v>2021E</v>
      </c>
      <c r="T295" s="392" t="str">
        <f t="shared" si="194"/>
        <v>2022E</v>
      </c>
      <c r="U295" s="392" t="str">
        <f t="shared" si="194"/>
        <v>2023E</v>
      </c>
      <c r="V295" s="392" t="str">
        <f t="shared" si="194"/>
        <v>2024E</v>
      </c>
      <c r="W295" s="392" t="str">
        <f t="shared" si="194"/>
        <v>2025E</v>
      </c>
      <c r="AA295" s="91"/>
      <c r="AB295" s="91"/>
      <c r="AC295" s="91"/>
      <c r="AD295" s="91"/>
      <c r="AE295" s="91"/>
      <c r="AF295" s="91"/>
      <c r="AG295" s="91"/>
      <c r="AH295" s="91"/>
      <c r="AI295" s="91"/>
      <c r="AJ295" s="91"/>
      <c r="AK295" s="91"/>
      <c r="AL295" s="91"/>
      <c r="AM295" s="91"/>
      <c r="AN295" s="91"/>
      <c r="AO295" s="91"/>
      <c r="AP295" s="91"/>
    </row>
    <row r="296" spans="1:42">
      <c r="A296" s="4" t="s">
        <v>280</v>
      </c>
      <c r="E296" s="75">
        <v>0</v>
      </c>
      <c r="F296" s="361">
        <v>4.4999999999999998E-2</v>
      </c>
      <c r="G296" s="361"/>
      <c r="H296" s="361"/>
      <c r="I296" s="361"/>
      <c r="J296" s="361"/>
      <c r="K296" s="361"/>
      <c r="L296" s="361"/>
      <c r="M296" s="361"/>
      <c r="N296" s="361"/>
      <c r="O296" s="361"/>
      <c r="P296" s="361"/>
      <c r="Q296" s="361"/>
      <c r="R296" s="361"/>
      <c r="S296" s="361"/>
      <c r="T296" s="361"/>
      <c r="U296" s="361"/>
      <c r="V296" s="361"/>
      <c r="W296" s="361"/>
      <c r="AA296" s="91"/>
      <c r="AB296" s="91"/>
      <c r="AC296" s="91"/>
      <c r="AD296" s="91"/>
      <c r="AE296" s="91"/>
      <c r="AF296" s="91"/>
      <c r="AG296" s="91"/>
      <c r="AH296" s="91"/>
      <c r="AI296" s="91"/>
      <c r="AJ296" s="91"/>
      <c r="AK296" s="91"/>
      <c r="AL296" s="91"/>
      <c r="AM296" s="91"/>
      <c r="AN296" s="91"/>
      <c r="AO296" s="91"/>
      <c r="AP296" s="91"/>
    </row>
    <row r="297" spans="1:42">
      <c r="A297" s="4" t="s">
        <v>274</v>
      </c>
      <c r="E297" s="75">
        <v>0</v>
      </c>
      <c r="F297" s="361">
        <v>4.4999999999999998E-2</v>
      </c>
      <c r="G297" s="361"/>
      <c r="H297" s="361"/>
      <c r="I297" s="361"/>
      <c r="J297" s="361"/>
      <c r="K297" s="361"/>
      <c r="L297" s="361"/>
      <c r="M297" s="361"/>
      <c r="N297" s="361"/>
      <c r="O297" s="361"/>
      <c r="P297" s="361"/>
      <c r="Q297" s="361"/>
      <c r="R297" s="361"/>
      <c r="S297" s="361"/>
      <c r="T297" s="361"/>
      <c r="U297" s="361"/>
      <c r="V297" s="361"/>
      <c r="W297" s="361"/>
      <c r="AA297" s="91"/>
      <c r="AB297" s="91"/>
      <c r="AC297" s="91"/>
      <c r="AD297" s="91"/>
      <c r="AE297" s="91"/>
      <c r="AF297" s="91"/>
      <c r="AG297" s="91"/>
      <c r="AH297" s="91"/>
      <c r="AI297" s="91"/>
      <c r="AJ297" s="91"/>
      <c r="AK297" s="91"/>
      <c r="AL297" s="91"/>
      <c r="AM297" s="91"/>
      <c r="AN297" s="91"/>
      <c r="AO297" s="91"/>
      <c r="AP297" s="91"/>
    </row>
    <row r="298" spans="1:42">
      <c r="A298" s="4" t="s">
        <v>273</v>
      </c>
      <c r="E298" s="75">
        <v>0</v>
      </c>
      <c r="F298" s="361">
        <v>4.4999999999999998E-2</v>
      </c>
      <c r="G298" s="361"/>
      <c r="H298" s="361"/>
      <c r="I298" s="361"/>
      <c r="J298" s="361"/>
      <c r="K298" s="361"/>
      <c r="L298" s="361"/>
      <c r="M298" s="361"/>
      <c r="N298" s="361">
        <v>5.2499999999999998E-2</v>
      </c>
      <c r="O298" s="361">
        <v>5.2499999999999998E-2</v>
      </c>
      <c r="P298" s="361">
        <v>5.2499999999999998E-2</v>
      </c>
      <c r="Q298" s="361">
        <v>5.2499999999999998E-2</v>
      </c>
      <c r="R298" s="361">
        <v>5.2499999999999998E-2</v>
      </c>
      <c r="S298" s="361">
        <v>5.2499999999999998E-2</v>
      </c>
      <c r="T298" s="361">
        <v>5.2499999999999998E-2</v>
      </c>
      <c r="U298" s="361">
        <v>5.2499999999999998E-2</v>
      </c>
      <c r="V298" s="361">
        <v>5.2499999999999998E-2</v>
      </c>
      <c r="W298" s="361">
        <v>5.2499999999999998E-2</v>
      </c>
      <c r="AA298" s="91"/>
      <c r="AB298" s="91"/>
      <c r="AC298" s="91"/>
      <c r="AD298" s="91"/>
      <c r="AE298" s="91"/>
      <c r="AF298" s="91"/>
      <c r="AG298" s="91"/>
      <c r="AH298" s="91"/>
      <c r="AI298" s="91"/>
      <c r="AJ298" s="91"/>
      <c r="AK298" s="91"/>
      <c r="AL298" s="91"/>
      <c r="AM298" s="91"/>
      <c r="AN298" s="91"/>
      <c r="AO298" s="91"/>
      <c r="AP298" s="91"/>
    </row>
    <row r="299" spans="1:42">
      <c r="A299" s="4" t="s">
        <v>169</v>
      </c>
      <c r="E299" s="75">
        <v>0</v>
      </c>
      <c r="F299" s="361">
        <v>4.4999999999999998E-2</v>
      </c>
      <c r="G299" s="361"/>
      <c r="H299" s="361"/>
      <c r="I299" s="361"/>
      <c r="J299" s="361"/>
      <c r="K299" s="361"/>
      <c r="L299" s="361"/>
      <c r="M299" s="361"/>
      <c r="N299" s="361"/>
      <c r="O299" s="361"/>
      <c r="P299" s="361"/>
      <c r="Q299" s="361"/>
      <c r="R299" s="361"/>
      <c r="S299" s="361"/>
      <c r="T299" s="361"/>
      <c r="U299" s="361"/>
      <c r="V299" s="361"/>
      <c r="W299" s="361"/>
      <c r="AA299" s="91"/>
      <c r="AB299" s="91"/>
      <c r="AC299" s="91"/>
      <c r="AD299" s="91"/>
      <c r="AE299" s="91"/>
      <c r="AF299" s="91"/>
      <c r="AG299" s="91"/>
      <c r="AH299" s="91"/>
      <c r="AI299" s="91"/>
      <c r="AJ299" s="91"/>
      <c r="AK299" s="91"/>
      <c r="AL299" s="91"/>
      <c r="AM299" s="91"/>
      <c r="AN299" s="91"/>
      <c r="AO299" s="91"/>
      <c r="AP299" s="91"/>
    </row>
    <row r="300" spans="1:42">
      <c r="A300" s="4" t="s">
        <v>275</v>
      </c>
      <c r="E300" s="75">
        <v>0</v>
      </c>
      <c r="N300" s="361">
        <v>0.05</v>
      </c>
      <c r="O300" s="361">
        <v>0.05</v>
      </c>
      <c r="P300" s="361">
        <v>0.05</v>
      </c>
      <c r="Q300" s="361">
        <v>0.05</v>
      </c>
      <c r="R300" s="361">
        <v>0.05</v>
      </c>
      <c r="S300" s="361">
        <v>0.05</v>
      </c>
      <c r="T300" s="361">
        <v>0.05</v>
      </c>
      <c r="U300" s="361">
        <v>0.05</v>
      </c>
      <c r="V300" s="361">
        <v>0.05</v>
      </c>
      <c r="W300" s="361">
        <v>0.05</v>
      </c>
      <c r="AA300" s="91"/>
      <c r="AB300" s="91"/>
      <c r="AC300" s="91"/>
      <c r="AD300" s="91"/>
      <c r="AE300" s="91"/>
      <c r="AF300" s="91"/>
      <c r="AG300" s="91"/>
      <c r="AH300" s="91"/>
      <c r="AI300" s="91"/>
      <c r="AJ300" s="91"/>
      <c r="AK300" s="91"/>
      <c r="AL300" s="91"/>
      <c r="AM300" s="91"/>
      <c r="AN300" s="91"/>
      <c r="AO300" s="91"/>
      <c r="AP300" s="91"/>
    </row>
    <row r="301" spans="1:42">
      <c r="A301" s="4" t="s">
        <v>276</v>
      </c>
      <c r="E301" s="75">
        <v>0</v>
      </c>
      <c r="N301" s="361">
        <v>0.08</v>
      </c>
      <c r="O301" s="361">
        <v>0.08</v>
      </c>
      <c r="P301" s="361">
        <v>0.08</v>
      </c>
      <c r="Q301" s="361">
        <v>0.08</v>
      </c>
      <c r="R301" s="361">
        <v>0.08</v>
      </c>
      <c r="S301" s="361">
        <v>0.08</v>
      </c>
      <c r="T301" s="361">
        <v>0.08</v>
      </c>
      <c r="U301" s="361">
        <v>0.08</v>
      </c>
      <c r="V301" s="361">
        <v>0.08</v>
      </c>
      <c r="W301" s="361">
        <v>0.08</v>
      </c>
      <c r="AA301" s="91"/>
      <c r="AB301" s="91"/>
      <c r="AC301" s="91"/>
      <c r="AD301" s="91"/>
      <c r="AE301" s="91"/>
      <c r="AF301" s="91"/>
      <c r="AG301" s="91"/>
      <c r="AH301" s="91"/>
      <c r="AI301" s="91"/>
      <c r="AJ301" s="91"/>
      <c r="AK301" s="91"/>
      <c r="AL301" s="91"/>
      <c r="AM301" s="91"/>
      <c r="AN301" s="91"/>
      <c r="AO301" s="91"/>
      <c r="AP301" s="91"/>
    </row>
    <row r="302" spans="1:42">
      <c r="A302" s="4" t="s">
        <v>277</v>
      </c>
      <c r="E302" s="75">
        <v>0</v>
      </c>
      <c r="AA302" s="91"/>
      <c r="AB302" s="91"/>
      <c r="AC302" s="91"/>
      <c r="AD302" s="91"/>
      <c r="AE302" s="91"/>
      <c r="AF302" s="91"/>
      <c r="AG302" s="91"/>
      <c r="AH302" s="91"/>
      <c r="AI302" s="91"/>
      <c r="AJ302" s="91"/>
      <c r="AK302" s="91"/>
      <c r="AL302" s="91"/>
      <c r="AM302" s="91"/>
      <c r="AN302" s="91"/>
      <c r="AO302" s="91"/>
      <c r="AP302" s="91"/>
    </row>
    <row r="303" spans="1:42">
      <c r="A303" s="4" t="s">
        <v>278</v>
      </c>
      <c r="E303" s="75">
        <v>0</v>
      </c>
      <c r="AA303" s="91"/>
      <c r="AB303" s="91"/>
      <c r="AC303" s="91"/>
      <c r="AD303" s="91"/>
      <c r="AE303" s="91"/>
      <c r="AF303" s="91"/>
      <c r="AG303" s="91"/>
      <c r="AH303" s="91"/>
      <c r="AI303" s="91"/>
      <c r="AJ303" s="91"/>
      <c r="AK303" s="91"/>
      <c r="AL303" s="91"/>
      <c r="AM303" s="91"/>
      <c r="AN303" s="91"/>
      <c r="AO303" s="91"/>
      <c r="AP303" s="91"/>
    </row>
    <row r="304" spans="1:42">
      <c r="A304" s="4" t="s">
        <v>279</v>
      </c>
      <c r="E304" s="394">
        <v>0</v>
      </c>
      <c r="F304" s="396">
        <v>4.5000000000000005E-2</v>
      </c>
      <c r="G304" s="396"/>
      <c r="H304" s="396"/>
      <c r="I304" s="396"/>
      <c r="J304" s="396"/>
      <c r="K304" s="396"/>
      <c r="L304" s="396"/>
      <c r="M304" s="396"/>
      <c r="N304" s="396">
        <f>+N314/F274</f>
        <v>0.16698921317193272</v>
      </c>
      <c r="O304" s="396">
        <f t="shared" ref="O304:W304" si="195">+O314/N274</f>
        <v>5.2243602001277943E-2</v>
      </c>
      <c r="P304" s="396">
        <f t="shared" si="195"/>
        <v>5.2243602001277943E-2</v>
      </c>
      <c r="Q304" s="396">
        <f t="shared" si="195"/>
        <v>5.2243602001277943E-2</v>
      </c>
      <c r="R304" s="396">
        <f t="shared" si="195"/>
        <v>5.2243602001277943E-2</v>
      </c>
      <c r="S304" s="396">
        <f t="shared" si="195"/>
        <v>5.2243602001277943E-2</v>
      </c>
      <c r="T304" s="396">
        <f t="shared" si="195"/>
        <v>5.2243602001277943E-2</v>
      </c>
      <c r="U304" s="396">
        <f t="shared" si="195"/>
        <v>5.2243602001277943E-2</v>
      </c>
      <c r="V304" s="396">
        <f t="shared" si="195"/>
        <v>5.2243602001277943E-2</v>
      </c>
      <c r="W304" s="396">
        <f t="shared" si="195"/>
        <v>5.2243602001277943E-2</v>
      </c>
      <c r="AA304" s="91"/>
      <c r="AB304" s="91"/>
      <c r="AC304" s="91"/>
      <c r="AD304" s="91"/>
      <c r="AE304" s="91"/>
      <c r="AF304" s="91"/>
      <c r="AG304" s="91"/>
      <c r="AH304" s="91"/>
      <c r="AI304" s="91"/>
      <c r="AJ304" s="91"/>
      <c r="AK304" s="91"/>
      <c r="AL304" s="91"/>
      <c r="AM304" s="91"/>
      <c r="AN304" s="91"/>
      <c r="AO304" s="91"/>
      <c r="AP304" s="91"/>
    </row>
    <row r="305" spans="1:42">
      <c r="A305" s="42" t="s">
        <v>287</v>
      </c>
      <c r="B305" s="392"/>
      <c r="C305" s="392"/>
      <c r="D305" s="392"/>
      <c r="E305" s="392" t="s">
        <v>855</v>
      </c>
      <c r="F305" s="392" t="s">
        <v>201</v>
      </c>
      <c r="G305" s="392"/>
      <c r="H305" s="392"/>
      <c r="I305" s="392"/>
      <c r="J305" s="392"/>
      <c r="K305" s="392"/>
      <c r="L305" s="392"/>
      <c r="M305" s="392"/>
      <c r="N305" s="392" t="str">
        <f t="shared" ref="N305:W305" si="196">+N$88</f>
        <v>2016E</v>
      </c>
      <c r="O305" s="392" t="str">
        <f t="shared" si="196"/>
        <v>2017E</v>
      </c>
      <c r="P305" s="392" t="str">
        <f t="shared" si="196"/>
        <v>2018E</v>
      </c>
      <c r="Q305" s="392" t="str">
        <f t="shared" si="196"/>
        <v>2019E</v>
      </c>
      <c r="R305" s="392" t="str">
        <f t="shared" si="196"/>
        <v>2020E</v>
      </c>
      <c r="S305" s="392" t="str">
        <f t="shared" si="196"/>
        <v>2021E</v>
      </c>
      <c r="T305" s="392" t="str">
        <f t="shared" si="196"/>
        <v>2022E</v>
      </c>
      <c r="U305" s="392" t="str">
        <f t="shared" si="196"/>
        <v>2023E</v>
      </c>
      <c r="V305" s="392" t="str">
        <f t="shared" si="196"/>
        <v>2024E</v>
      </c>
      <c r="W305" s="392" t="str">
        <f t="shared" si="196"/>
        <v>2025E</v>
      </c>
      <c r="AA305" s="91"/>
      <c r="AB305" s="91"/>
      <c r="AC305" s="91"/>
      <c r="AD305" s="91"/>
      <c r="AE305" s="91"/>
      <c r="AF305" s="91"/>
      <c r="AG305" s="91"/>
      <c r="AH305" s="91"/>
      <c r="AI305" s="91"/>
      <c r="AJ305" s="91"/>
      <c r="AK305" s="91"/>
      <c r="AL305" s="91"/>
      <c r="AM305" s="91"/>
      <c r="AN305" s="91"/>
      <c r="AO305" s="91"/>
      <c r="AP305" s="91"/>
    </row>
    <row r="306" spans="1:42">
      <c r="A306" s="4" t="s">
        <v>280</v>
      </c>
      <c r="E306" s="75">
        <v>375</v>
      </c>
      <c r="F306" s="75">
        <v>16.875</v>
      </c>
      <c r="N306" s="408">
        <f>+N296*L266</f>
        <v>0</v>
      </c>
      <c r="O306" s="408">
        <f t="shared" ref="O306:W307" si="197">+O296*N266</f>
        <v>0</v>
      </c>
      <c r="P306" s="408">
        <f t="shared" si="197"/>
        <v>0</v>
      </c>
      <c r="Q306" s="408">
        <f t="shared" si="197"/>
        <v>0</v>
      </c>
      <c r="R306" s="408">
        <f t="shared" si="197"/>
        <v>0</v>
      </c>
      <c r="S306" s="408">
        <f t="shared" si="197"/>
        <v>0</v>
      </c>
      <c r="T306" s="408">
        <f t="shared" si="197"/>
        <v>0</v>
      </c>
      <c r="U306" s="408">
        <f t="shared" si="197"/>
        <v>0</v>
      </c>
      <c r="V306" s="408">
        <f t="shared" si="197"/>
        <v>0</v>
      </c>
      <c r="W306" s="408">
        <f t="shared" si="197"/>
        <v>0</v>
      </c>
      <c r="AA306" s="91"/>
      <c r="AB306" s="91"/>
      <c r="AC306" s="91"/>
      <c r="AD306" s="91"/>
      <c r="AE306" s="91"/>
      <c r="AF306" s="91"/>
      <c r="AG306" s="91"/>
      <c r="AH306" s="91"/>
      <c r="AI306" s="91"/>
      <c r="AJ306" s="91"/>
      <c r="AK306" s="91"/>
      <c r="AL306" s="91"/>
      <c r="AM306" s="91"/>
      <c r="AN306" s="91"/>
      <c r="AO306" s="91"/>
      <c r="AP306" s="91"/>
    </row>
    <row r="307" spans="1:42">
      <c r="A307" s="4" t="s">
        <v>274</v>
      </c>
      <c r="E307" s="75">
        <v>0</v>
      </c>
      <c r="F307" s="75">
        <v>0</v>
      </c>
      <c r="N307" s="408">
        <f>+N297*L267</f>
        <v>0</v>
      </c>
      <c r="O307" s="408">
        <f t="shared" si="197"/>
        <v>0</v>
      </c>
      <c r="P307" s="408">
        <f t="shared" si="197"/>
        <v>0</v>
      </c>
      <c r="Q307" s="408">
        <f t="shared" si="197"/>
        <v>0</v>
      </c>
      <c r="R307" s="408">
        <f t="shared" si="197"/>
        <v>0</v>
      </c>
      <c r="S307" s="408">
        <f t="shared" si="197"/>
        <v>0</v>
      </c>
      <c r="T307" s="408">
        <f t="shared" si="197"/>
        <v>0</v>
      </c>
      <c r="U307" s="408">
        <f t="shared" si="197"/>
        <v>0</v>
      </c>
      <c r="V307" s="408">
        <f t="shared" si="197"/>
        <v>0</v>
      </c>
      <c r="W307" s="408">
        <f t="shared" si="197"/>
        <v>0</v>
      </c>
      <c r="AA307" s="91"/>
      <c r="AB307" s="91"/>
      <c r="AC307" s="91"/>
      <c r="AD307" s="91"/>
      <c r="AE307" s="91"/>
      <c r="AF307" s="91"/>
      <c r="AG307" s="91"/>
      <c r="AH307" s="91"/>
      <c r="AI307" s="91"/>
      <c r="AJ307" s="91"/>
      <c r="AK307" s="91"/>
      <c r="AL307" s="91"/>
      <c r="AM307" s="91"/>
      <c r="AN307" s="91"/>
      <c r="AO307" s="91"/>
      <c r="AP307" s="91"/>
    </row>
    <row r="308" spans="1:42">
      <c r="A308" s="4" t="s">
        <v>273</v>
      </c>
      <c r="E308" s="75">
        <v>0</v>
      </c>
      <c r="F308" s="75">
        <v>0</v>
      </c>
      <c r="N308" s="368">
        <f>+N298*L268</f>
        <v>2.6202224999999997</v>
      </c>
      <c r="O308" s="368">
        <f>+O298*N268</f>
        <v>2.6202224999999997</v>
      </c>
      <c r="P308" s="368">
        <f t="shared" ref="O308:W313" si="198">+P298*O268</f>
        <v>2.6202224999999997</v>
      </c>
      <c r="Q308" s="368">
        <f t="shared" si="198"/>
        <v>2.6202224999999997</v>
      </c>
      <c r="R308" s="368">
        <f t="shared" si="198"/>
        <v>2.6202224999999997</v>
      </c>
      <c r="S308" s="368">
        <f t="shared" si="198"/>
        <v>2.6202224999999997</v>
      </c>
      <c r="T308" s="368">
        <f t="shared" si="198"/>
        <v>2.6202224999999997</v>
      </c>
      <c r="U308" s="368">
        <f t="shared" si="198"/>
        <v>2.6202224999999997</v>
      </c>
      <c r="V308" s="368">
        <f t="shared" si="198"/>
        <v>2.6202224999999997</v>
      </c>
      <c r="W308" s="368">
        <f t="shared" si="198"/>
        <v>2.6202224999999997</v>
      </c>
      <c r="AA308" s="91"/>
      <c r="AB308" s="91"/>
      <c r="AC308" s="91"/>
      <c r="AD308" s="91"/>
      <c r="AE308" s="91"/>
      <c r="AF308" s="91"/>
      <c r="AG308" s="91"/>
      <c r="AH308" s="91"/>
      <c r="AI308" s="91"/>
      <c r="AJ308" s="91"/>
      <c r="AK308" s="91"/>
      <c r="AL308" s="91"/>
      <c r="AM308" s="91"/>
      <c r="AN308" s="91"/>
      <c r="AO308" s="91"/>
      <c r="AP308" s="91"/>
    </row>
    <row r="309" spans="1:42">
      <c r="A309" s="4" t="s">
        <v>169</v>
      </c>
      <c r="E309" s="75">
        <v>0</v>
      </c>
      <c r="F309" s="75">
        <v>1.6830000000000003</v>
      </c>
      <c r="N309" s="395">
        <v>15</v>
      </c>
      <c r="O309" s="395">
        <f t="shared" si="198"/>
        <v>0</v>
      </c>
      <c r="P309" s="395">
        <f t="shared" si="198"/>
        <v>0</v>
      </c>
      <c r="Q309" s="395">
        <f t="shared" si="198"/>
        <v>0</v>
      </c>
      <c r="R309" s="395">
        <f t="shared" si="198"/>
        <v>0</v>
      </c>
      <c r="S309" s="395">
        <f t="shared" si="198"/>
        <v>0</v>
      </c>
      <c r="T309" s="395">
        <f t="shared" si="198"/>
        <v>0</v>
      </c>
      <c r="U309" s="395">
        <f t="shared" si="198"/>
        <v>0</v>
      </c>
      <c r="V309" s="395">
        <f t="shared" si="198"/>
        <v>0</v>
      </c>
      <c r="W309" s="395">
        <f t="shared" si="198"/>
        <v>0</v>
      </c>
      <c r="AA309" s="91"/>
      <c r="AB309" s="91"/>
      <c r="AC309" s="91"/>
      <c r="AD309" s="91"/>
      <c r="AE309" s="91"/>
      <c r="AF309" s="91"/>
      <c r="AG309" s="91"/>
      <c r="AH309" s="91"/>
      <c r="AI309" s="91"/>
      <c r="AJ309" s="91"/>
      <c r="AK309" s="91"/>
      <c r="AL309" s="91"/>
      <c r="AM309" s="91"/>
      <c r="AN309" s="91"/>
      <c r="AO309" s="91"/>
      <c r="AP309" s="91"/>
    </row>
    <row r="310" spans="1:42">
      <c r="A310" s="4" t="s">
        <v>275</v>
      </c>
      <c r="E310" s="75">
        <v>0</v>
      </c>
      <c r="F310" s="75">
        <v>0</v>
      </c>
      <c r="N310" s="75">
        <f>+N300*L270</f>
        <v>56.5</v>
      </c>
      <c r="O310" s="75">
        <f t="shared" si="198"/>
        <v>56.5</v>
      </c>
      <c r="P310" s="75">
        <f t="shared" si="198"/>
        <v>56.5</v>
      </c>
      <c r="Q310" s="75">
        <f t="shared" si="198"/>
        <v>56.5</v>
      </c>
      <c r="R310" s="75">
        <f t="shared" si="198"/>
        <v>56.5</v>
      </c>
      <c r="S310" s="75">
        <f t="shared" si="198"/>
        <v>56.5</v>
      </c>
      <c r="T310" s="75">
        <f t="shared" si="198"/>
        <v>56.5</v>
      </c>
      <c r="U310" s="75">
        <f t="shared" si="198"/>
        <v>56.5</v>
      </c>
      <c r="V310" s="75">
        <f t="shared" si="198"/>
        <v>56.5</v>
      </c>
      <c r="W310" s="75">
        <f t="shared" si="198"/>
        <v>56.5</v>
      </c>
      <c r="AA310" s="91"/>
      <c r="AB310" s="91"/>
      <c r="AC310" s="91"/>
      <c r="AD310" s="91"/>
      <c r="AE310" s="91"/>
      <c r="AF310" s="91"/>
      <c r="AG310" s="91"/>
      <c r="AH310" s="91"/>
      <c r="AI310" s="91"/>
      <c r="AJ310" s="91"/>
      <c r="AK310" s="91"/>
      <c r="AL310" s="91"/>
      <c r="AM310" s="91"/>
      <c r="AN310" s="91"/>
      <c r="AO310" s="91"/>
      <c r="AP310" s="91"/>
    </row>
    <row r="311" spans="1:42">
      <c r="A311" s="4" t="s">
        <v>276</v>
      </c>
      <c r="E311" s="75">
        <v>0</v>
      </c>
      <c r="F311" s="75">
        <v>0</v>
      </c>
      <c r="N311" s="368">
        <f>+N301*L271</f>
        <v>7.2703199999999928</v>
      </c>
      <c r="O311" s="368">
        <f t="shared" si="198"/>
        <v>7.2703199999999928</v>
      </c>
      <c r="P311" s="368">
        <f t="shared" si="198"/>
        <v>7.2703199999999928</v>
      </c>
      <c r="Q311" s="368">
        <f t="shared" si="198"/>
        <v>7.2703199999999928</v>
      </c>
      <c r="R311" s="368">
        <f t="shared" si="198"/>
        <v>7.2703199999999928</v>
      </c>
      <c r="S311" s="368">
        <f t="shared" si="198"/>
        <v>7.2703199999999928</v>
      </c>
      <c r="T311" s="368">
        <f t="shared" si="198"/>
        <v>7.2703199999999928</v>
      </c>
      <c r="U311" s="368">
        <f t="shared" si="198"/>
        <v>7.2703199999999928</v>
      </c>
      <c r="V311" s="368">
        <f t="shared" si="198"/>
        <v>7.2703199999999928</v>
      </c>
      <c r="W311" s="368">
        <f t="shared" si="198"/>
        <v>7.2703199999999928</v>
      </c>
      <c r="AA311" s="91"/>
      <c r="AB311" s="91"/>
      <c r="AC311" s="91"/>
      <c r="AD311" s="91"/>
      <c r="AE311" s="91"/>
      <c r="AF311" s="91"/>
      <c r="AG311" s="91"/>
      <c r="AH311" s="91"/>
      <c r="AI311" s="91"/>
      <c r="AJ311" s="91"/>
      <c r="AK311" s="91"/>
      <c r="AL311" s="91"/>
      <c r="AM311" s="91"/>
      <c r="AN311" s="91"/>
      <c r="AO311" s="91"/>
      <c r="AP311" s="91"/>
    </row>
    <row r="312" spans="1:42">
      <c r="A312" s="4" t="s">
        <v>277</v>
      </c>
      <c r="E312" s="75">
        <v>0</v>
      </c>
      <c r="F312" s="75">
        <v>0</v>
      </c>
      <c r="N312" s="75">
        <f>+N302*F272</f>
        <v>0</v>
      </c>
      <c r="O312" s="75">
        <f t="shared" si="198"/>
        <v>0</v>
      </c>
      <c r="P312" s="75">
        <f t="shared" si="198"/>
        <v>0</v>
      </c>
      <c r="Q312" s="75">
        <f t="shared" si="198"/>
        <v>0</v>
      </c>
      <c r="R312" s="75">
        <f t="shared" si="198"/>
        <v>0</v>
      </c>
      <c r="S312" s="75">
        <f t="shared" si="198"/>
        <v>0</v>
      </c>
      <c r="T312" s="75">
        <f t="shared" si="198"/>
        <v>0</v>
      </c>
      <c r="U312" s="75">
        <f t="shared" si="198"/>
        <v>0</v>
      </c>
      <c r="V312" s="75">
        <f t="shared" si="198"/>
        <v>0</v>
      </c>
      <c r="W312" s="75">
        <f t="shared" si="198"/>
        <v>0</v>
      </c>
      <c r="AA312" s="91"/>
      <c r="AB312" s="91"/>
      <c r="AC312" s="91"/>
      <c r="AD312" s="91"/>
      <c r="AE312" s="91"/>
      <c r="AF312" s="91"/>
      <c r="AG312" s="91"/>
      <c r="AH312" s="91"/>
      <c r="AI312" s="91"/>
      <c r="AJ312" s="91"/>
      <c r="AK312" s="91"/>
      <c r="AL312" s="91"/>
      <c r="AM312" s="91"/>
      <c r="AN312" s="91"/>
      <c r="AO312" s="91"/>
      <c r="AP312" s="91"/>
    </row>
    <row r="313" spans="1:42">
      <c r="A313" s="4" t="s">
        <v>278</v>
      </c>
      <c r="E313" s="75">
        <v>0</v>
      </c>
      <c r="F313" s="75">
        <v>0</v>
      </c>
      <c r="N313" s="75">
        <f>+N303*F273</f>
        <v>0</v>
      </c>
      <c r="O313" s="75">
        <f t="shared" si="198"/>
        <v>0</v>
      </c>
      <c r="P313" s="75">
        <f t="shared" si="198"/>
        <v>0</v>
      </c>
      <c r="Q313" s="75">
        <f t="shared" si="198"/>
        <v>0</v>
      </c>
      <c r="R313" s="75">
        <f t="shared" si="198"/>
        <v>0</v>
      </c>
      <c r="S313" s="75">
        <f t="shared" si="198"/>
        <v>0</v>
      </c>
      <c r="T313" s="75">
        <f t="shared" si="198"/>
        <v>0</v>
      </c>
      <c r="U313" s="75">
        <f t="shared" si="198"/>
        <v>0</v>
      </c>
      <c r="V313" s="75">
        <f t="shared" si="198"/>
        <v>0</v>
      </c>
      <c r="W313" s="75">
        <f t="shared" si="198"/>
        <v>0</v>
      </c>
      <c r="AA313" s="91"/>
      <c r="AB313" s="91"/>
      <c r="AC313" s="91"/>
      <c r="AD313" s="91"/>
      <c r="AE313" s="91"/>
      <c r="AF313" s="91"/>
      <c r="AG313" s="91"/>
      <c r="AH313" s="91"/>
      <c r="AI313" s="91"/>
      <c r="AJ313" s="91"/>
      <c r="AK313" s="91"/>
      <c r="AL313" s="91"/>
      <c r="AM313" s="91"/>
      <c r="AN313" s="91"/>
      <c r="AO313" s="91"/>
      <c r="AP313" s="91"/>
    </row>
    <row r="314" spans="1:42">
      <c r="A314" s="4" t="s">
        <v>279</v>
      </c>
      <c r="E314" s="394">
        <v>375</v>
      </c>
      <c r="F314" s="394">
        <v>18.558</v>
      </c>
      <c r="G314" s="394"/>
      <c r="H314" s="394"/>
      <c r="I314" s="394"/>
      <c r="J314" s="394"/>
      <c r="K314" s="394"/>
      <c r="L314" s="394"/>
      <c r="M314" s="394"/>
      <c r="N314" s="445">
        <f t="shared" ref="N314:W314" si="199">SUM(N306:N313)</f>
        <v>81.390542499999995</v>
      </c>
      <c r="O314" s="445">
        <f t="shared" si="199"/>
        <v>66.390542499999995</v>
      </c>
      <c r="P314" s="445">
        <f t="shared" si="199"/>
        <v>66.390542499999995</v>
      </c>
      <c r="Q314" s="445">
        <f t="shared" si="199"/>
        <v>66.390542499999995</v>
      </c>
      <c r="R314" s="445">
        <f t="shared" si="199"/>
        <v>66.390542499999995</v>
      </c>
      <c r="S314" s="445">
        <f t="shared" si="199"/>
        <v>66.390542499999995</v>
      </c>
      <c r="T314" s="445">
        <f t="shared" si="199"/>
        <v>66.390542499999995</v>
      </c>
      <c r="U314" s="445">
        <f t="shared" si="199"/>
        <v>66.390542499999995</v>
      </c>
      <c r="V314" s="445">
        <f t="shared" si="199"/>
        <v>66.390542499999995</v>
      </c>
      <c r="W314" s="445">
        <f t="shared" si="199"/>
        <v>66.390542499999995</v>
      </c>
      <c r="AA314" s="91"/>
      <c r="AB314" s="91"/>
      <c r="AC314" s="91"/>
      <c r="AD314" s="91"/>
      <c r="AE314" s="91"/>
      <c r="AF314" s="91"/>
      <c r="AG314" s="91"/>
      <c r="AH314" s="91"/>
      <c r="AI314" s="91"/>
      <c r="AJ314" s="91"/>
      <c r="AK314" s="91"/>
      <c r="AL314" s="91"/>
      <c r="AM314" s="91"/>
      <c r="AN314" s="91"/>
      <c r="AO314" s="91"/>
      <c r="AP314" s="91"/>
    </row>
    <row r="315" spans="1:42">
      <c r="AA315" s="91"/>
      <c r="AB315" s="91"/>
      <c r="AC315" s="91"/>
      <c r="AD315" s="91"/>
      <c r="AE315" s="91"/>
      <c r="AF315" s="91"/>
      <c r="AG315" s="91"/>
      <c r="AH315" s="91"/>
      <c r="AI315" s="91"/>
      <c r="AJ315" s="91"/>
      <c r="AK315" s="91"/>
      <c r="AL315" s="91"/>
      <c r="AM315" s="91"/>
      <c r="AN315" s="91"/>
      <c r="AO315" s="91"/>
      <c r="AP315" s="91"/>
    </row>
    <row r="316" spans="1:42">
      <c r="A316" s="18" t="s">
        <v>288</v>
      </c>
      <c r="B316" s="80" t="str">
        <f>B$3</f>
        <v>2011A</v>
      </c>
      <c r="C316" s="80" t="str">
        <f t="shared" ref="C316:W316" si="200">C$3</f>
        <v>2012A</v>
      </c>
      <c r="D316" s="80" t="str">
        <f t="shared" si="200"/>
        <v>2013A</v>
      </c>
      <c r="E316" s="80" t="str">
        <f t="shared" si="200"/>
        <v>2014A</v>
      </c>
      <c r="F316" s="80" t="str">
        <f t="shared" si="200"/>
        <v>2015A</v>
      </c>
      <c r="G316" s="80" t="str">
        <f t="shared" si="200"/>
        <v>Prima 14A</v>
      </c>
      <c r="H316" s="80" t="str">
        <f t="shared" si="200"/>
        <v>Prima 15E</v>
      </c>
      <c r="I316" s="80" t="str">
        <f t="shared" si="200"/>
        <v>pep 14A</v>
      </c>
      <c r="J316" s="80" t="str">
        <f t="shared" si="200"/>
        <v>pep 15E</v>
      </c>
      <c r="K316" s="80" t="str">
        <f t="shared" si="200"/>
        <v>Adj.</v>
      </c>
      <c r="L316" s="80" t="str">
        <f t="shared" si="200"/>
        <v>PF 2015E</v>
      </c>
      <c r="M316" s="80"/>
      <c r="N316" s="80" t="str">
        <f t="shared" si="200"/>
        <v>2016E</v>
      </c>
      <c r="O316" s="80" t="str">
        <f t="shared" si="200"/>
        <v>2017E</v>
      </c>
      <c r="P316" s="80" t="str">
        <f t="shared" si="200"/>
        <v>2018E</v>
      </c>
      <c r="Q316" s="80" t="str">
        <f t="shared" si="200"/>
        <v>2019E</v>
      </c>
      <c r="R316" s="80" t="str">
        <f t="shared" si="200"/>
        <v>2020E</v>
      </c>
      <c r="S316" s="80" t="str">
        <f t="shared" si="200"/>
        <v>2021E</v>
      </c>
      <c r="T316" s="80" t="str">
        <f t="shared" si="200"/>
        <v>2022E</v>
      </c>
      <c r="U316" s="80" t="str">
        <f t="shared" si="200"/>
        <v>2023E</v>
      </c>
      <c r="V316" s="80" t="str">
        <f t="shared" si="200"/>
        <v>2024E</v>
      </c>
      <c r="W316" s="80" t="str">
        <f t="shared" si="200"/>
        <v>2025E</v>
      </c>
      <c r="AA316" s="91"/>
      <c r="AB316" s="91"/>
      <c r="AC316" s="91"/>
      <c r="AD316" s="91"/>
      <c r="AE316" s="91"/>
      <c r="AF316" s="91"/>
      <c r="AG316" s="91"/>
      <c r="AH316" s="91"/>
      <c r="AI316" s="91"/>
      <c r="AJ316" s="91"/>
      <c r="AK316" s="91"/>
      <c r="AL316" s="91"/>
      <c r="AM316" s="91"/>
      <c r="AN316" s="91"/>
      <c r="AO316" s="91"/>
      <c r="AP316" s="91"/>
    </row>
    <row r="317" spans="1:42">
      <c r="AA317" s="91"/>
      <c r="AB317" s="91"/>
      <c r="AC317" s="91"/>
      <c r="AD317" s="91"/>
      <c r="AE317" s="91"/>
      <c r="AF317" s="91"/>
      <c r="AG317" s="91"/>
      <c r="AH317" s="91"/>
      <c r="AI317" s="91"/>
      <c r="AJ317" s="91"/>
      <c r="AK317" s="91"/>
      <c r="AL317" s="91"/>
      <c r="AM317" s="91"/>
      <c r="AN317" s="91"/>
      <c r="AO317" s="91"/>
      <c r="AP317" s="91"/>
    </row>
    <row r="318" spans="1:42">
      <c r="A318" s="4" t="s">
        <v>289</v>
      </c>
      <c r="B318" s="326">
        <v>-1.1000000000000001</v>
      </c>
      <c r="C318" s="326">
        <v>-2.7</v>
      </c>
      <c r="D318" s="326">
        <v>-8.6</v>
      </c>
      <c r="E318" s="326">
        <v>-8</v>
      </c>
      <c r="F318" s="326">
        <v>-2.2517624434590817</v>
      </c>
      <c r="G318" s="326"/>
      <c r="H318" s="326"/>
      <c r="I318" s="326"/>
      <c r="J318" s="326"/>
      <c r="K318" s="326"/>
      <c r="L318" s="326"/>
      <c r="M318" s="326"/>
      <c r="N318" s="326">
        <f>-N323*N319</f>
        <v>0.78517143530378775</v>
      </c>
      <c r="O318" s="326">
        <f t="shared" ref="O318:W318" si="201">-O323*O319</f>
        <v>-9.2855982126999592</v>
      </c>
      <c r="P318" s="326">
        <f t="shared" si="201"/>
        <v>-21.908924913357549</v>
      </c>
      <c r="Q318" s="326">
        <f t="shared" si="201"/>
        <v>-29.320185492586667</v>
      </c>
      <c r="R318" s="326">
        <f t="shared" si="201"/>
        <v>-34.707943036013354</v>
      </c>
      <c r="S318" s="326">
        <f t="shared" si="201"/>
        <v>-42.06683371784392</v>
      </c>
      <c r="T318" s="326">
        <f t="shared" si="201"/>
        <v>-49.010724617406481</v>
      </c>
      <c r="U318" s="326">
        <f t="shared" si="201"/>
        <v>-55.222311430525387</v>
      </c>
      <c r="V318" s="326">
        <f t="shared" si="201"/>
        <v>-60.9318218817399</v>
      </c>
      <c r="W318" s="326">
        <f t="shared" si="201"/>
        <v>-66.228053837252332</v>
      </c>
      <c r="AA318" s="91"/>
      <c r="AB318" s="91"/>
      <c r="AC318" s="91"/>
      <c r="AD318" s="91"/>
      <c r="AE318" s="91"/>
      <c r="AF318" s="91"/>
      <c r="AG318" s="91"/>
      <c r="AH318" s="91"/>
      <c r="AI318" s="91"/>
      <c r="AJ318" s="91"/>
      <c r="AK318" s="91"/>
      <c r="AL318" s="91"/>
      <c r="AM318" s="91"/>
      <c r="AN318" s="91"/>
      <c r="AO318" s="91"/>
      <c r="AP318" s="91"/>
    </row>
    <row r="319" spans="1:42">
      <c r="A319" s="4" t="s">
        <v>1201</v>
      </c>
      <c r="B319" s="84">
        <f>IFERROR(B318/B323,"N/A")</f>
        <v>5.392156862745099E-2</v>
      </c>
      <c r="C319" s="84">
        <f>IFERROR(C318/C323,"N/A")</f>
        <v>-0.11688311688311688</v>
      </c>
      <c r="D319" s="84" t="str">
        <f>IFERROR(D318/D323,"N/A")</f>
        <v>N/A</v>
      </c>
      <c r="E319" s="84">
        <f>IFERROR(E318/E323,"N/A")</f>
        <v>0.58109878961236672</v>
      </c>
      <c r="F319" s="84">
        <f>IFERROR(F318/F323,"N/A")</f>
        <v>-0.15</v>
      </c>
      <c r="G319" s="326"/>
      <c r="H319" s="326"/>
      <c r="I319" s="326"/>
      <c r="J319" s="326"/>
      <c r="K319" s="326"/>
      <c r="L319" s="326"/>
      <c r="M319" s="326"/>
      <c r="N319" s="384">
        <f>'SOP OLD'!F38</f>
        <v>0.3</v>
      </c>
      <c r="O319" s="384">
        <f>'SOP OLD'!G38</f>
        <v>0.3</v>
      </c>
      <c r="P319" s="384">
        <f>'SOP OLD'!H38</f>
        <v>0.3</v>
      </c>
      <c r="Q319" s="384">
        <f>'SOP OLD'!I38</f>
        <v>0.3</v>
      </c>
      <c r="R319" s="384">
        <f>'SOP OLD'!J38</f>
        <v>0.3</v>
      </c>
      <c r="S319" s="384">
        <f>'SOP OLD'!K38</f>
        <v>0.3</v>
      </c>
      <c r="T319" s="384">
        <f>'SOP OLD'!L38</f>
        <v>0.3</v>
      </c>
      <c r="U319" s="384">
        <f>'SOP OLD'!M38</f>
        <v>0.3</v>
      </c>
      <c r="V319" s="384">
        <f>'SOP OLD'!N38</f>
        <v>0.3</v>
      </c>
      <c r="W319" s="384">
        <f>'SOP OLD'!O38</f>
        <v>0.3</v>
      </c>
      <c r="AA319" s="91"/>
      <c r="AB319" s="91"/>
      <c r="AC319" s="91"/>
      <c r="AD319" s="91"/>
      <c r="AE319" s="91"/>
      <c r="AF319" s="91"/>
      <c r="AG319" s="91"/>
      <c r="AH319" s="91"/>
      <c r="AI319" s="91"/>
      <c r="AJ319" s="91"/>
      <c r="AK319" s="91"/>
      <c r="AL319" s="91"/>
      <c r="AM319" s="91"/>
      <c r="AN319" s="91"/>
      <c r="AO319" s="91"/>
      <c r="AP319" s="91"/>
    </row>
    <row r="320" spans="1:42">
      <c r="A320" s="4" t="s">
        <v>290</v>
      </c>
      <c r="B320" s="326">
        <v>2.5</v>
      </c>
      <c r="C320" s="326">
        <v>-2.4</v>
      </c>
      <c r="D320" s="326">
        <v>-7.5</v>
      </c>
      <c r="E320" s="326">
        <v>-2.7</v>
      </c>
      <c r="F320" s="326">
        <v>-8</v>
      </c>
      <c r="G320" s="326"/>
      <c r="H320" s="326"/>
      <c r="I320" s="326"/>
      <c r="J320" s="326"/>
      <c r="K320" s="326"/>
      <c r="L320" s="326"/>
      <c r="M320" s="326"/>
      <c r="N320" s="326">
        <f>+F318</f>
        <v>-2.2517624434590817</v>
      </c>
      <c r="O320" s="326">
        <f>+N318</f>
        <v>0.78517143530378775</v>
      </c>
      <c r="P320" s="326">
        <f t="shared" ref="P320:W320" si="202">+O318</f>
        <v>-9.2855982126999592</v>
      </c>
      <c r="Q320" s="326">
        <f t="shared" si="202"/>
        <v>-21.908924913357549</v>
      </c>
      <c r="R320" s="326">
        <f t="shared" si="202"/>
        <v>-29.320185492586667</v>
      </c>
      <c r="S320" s="326">
        <f t="shared" si="202"/>
        <v>-34.707943036013354</v>
      </c>
      <c r="T320" s="326">
        <f t="shared" si="202"/>
        <v>-42.06683371784392</v>
      </c>
      <c r="U320" s="326">
        <f t="shared" si="202"/>
        <v>-49.010724617406481</v>
      </c>
      <c r="V320" s="326">
        <f t="shared" si="202"/>
        <v>-55.222311430525387</v>
      </c>
      <c r="W320" s="326">
        <f t="shared" si="202"/>
        <v>-60.9318218817399</v>
      </c>
      <c r="AA320" s="91"/>
      <c r="AB320" s="91"/>
      <c r="AC320" s="91"/>
      <c r="AD320" s="91"/>
      <c r="AE320" s="91"/>
      <c r="AF320" s="91"/>
      <c r="AG320" s="91"/>
      <c r="AH320" s="91"/>
      <c r="AI320" s="91"/>
      <c r="AJ320" s="91"/>
      <c r="AK320" s="91"/>
      <c r="AL320" s="91"/>
      <c r="AM320" s="91"/>
      <c r="AN320" s="91"/>
      <c r="AO320" s="91"/>
      <c r="AP320" s="91"/>
    </row>
    <row r="321" spans="1:42">
      <c r="A321" s="4" t="s">
        <v>1200</v>
      </c>
      <c r="B321" s="84">
        <f>IFERROR(-B320/B323,"N/A")</f>
        <v>0.12254901960784315</v>
      </c>
      <c r="C321" s="84">
        <f>IFERROR(-C320/C323,"N/A")</f>
        <v>0.10389610389610389</v>
      </c>
      <c r="D321" s="84" t="str">
        <f>IFERROR(-D320/D323,"N/A")</f>
        <v>N/A</v>
      </c>
      <c r="E321" s="84">
        <f>IFERROR(-E320/E323,"N/A")</f>
        <v>-0.19612084149417378</v>
      </c>
      <c r="F321" s="84">
        <f>IFERROR(-F320/F323,"N/A")</f>
        <v>0.53291589593998212</v>
      </c>
      <c r="G321" s="326"/>
      <c r="H321" s="326"/>
      <c r="I321" s="326"/>
      <c r="J321" s="326"/>
      <c r="K321" s="326"/>
      <c r="L321" s="326"/>
      <c r="M321" s="326"/>
      <c r="N321" s="84">
        <f t="shared" ref="N321:W321" si="203">IFERROR(-N320/N323,"N/A")</f>
        <v>-0.86035826402212179</v>
      </c>
      <c r="O321" s="84">
        <f t="shared" si="203"/>
        <v>-2.5367394237343962E-2</v>
      </c>
      <c r="P321" s="84">
        <f t="shared" si="203"/>
        <v>0.12714815879037497</v>
      </c>
      <c r="Q321" s="84">
        <f t="shared" si="203"/>
        <v>0.22416902770513181</v>
      </c>
      <c r="R321" s="84">
        <f t="shared" si="203"/>
        <v>0.25343062360823609</v>
      </c>
      <c r="S321" s="84">
        <f t="shared" si="203"/>
        <v>0.24752000544284555</v>
      </c>
      <c r="T321" s="84">
        <f t="shared" si="203"/>
        <v>0.25749568515604199</v>
      </c>
      <c r="U321" s="84">
        <f t="shared" si="203"/>
        <v>0.2662550154880769</v>
      </c>
      <c r="V321" s="84">
        <f t="shared" si="203"/>
        <v>0.27188902149210697</v>
      </c>
      <c r="W321" s="84">
        <f t="shared" si="203"/>
        <v>0.27600911555459273</v>
      </c>
      <c r="AA321" s="91"/>
      <c r="AB321" s="91"/>
      <c r="AC321" s="91"/>
      <c r="AD321" s="91"/>
      <c r="AE321" s="91"/>
      <c r="AF321" s="91"/>
      <c r="AG321" s="91"/>
      <c r="AH321" s="91"/>
      <c r="AI321" s="91"/>
      <c r="AJ321" s="91"/>
      <c r="AK321" s="91"/>
      <c r="AL321" s="91"/>
      <c r="AM321" s="91"/>
      <c r="AN321" s="91"/>
      <c r="AO321" s="91"/>
      <c r="AP321" s="91"/>
    </row>
    <row r="322" spans="1:42">
      <c r="AA322" s="91"/>
      <c r="AB322" s="91"/>
      <c r="AC322" s="91"/>
      <c r="AD322" s="91"/>
      <c r="AE322" s="91"/>
      <c r="AF322" s="91"/>
      <c r="AG322" s="91"/>
      <c r="AH322" s="91"/>
      <c r="AI322" s="91"/>
      <c r="AJ322" s="91"/>
      <c r="AK322" s="91"/>
      <c r="AL322" s="91"/>
      <c r="AM322" s="91"/>
      <c r="AN322" s="91"/>
      <c r="AO322" s="91"/>
      <c r="AP322" s="91"/>
    </row>
    <row r="323" spans="1:42">
      <c r="A323" s="4" t="s">
        <v>291</v>
      </c>
      <c r="B323" s="326">
        <v>-20.399999999999999</v>
      </c>
      <c r="C323" s="326">
        <v>23.1</v>
      </c>
      <c r="D323" s="326">
        <v>0</v>
      </c>
      <c r="E323" s="326">
        <v>-13.767022308438392</v>
      </c>
      <c r="F323" s="326">
        <v>15.011749623060545</v>
      </c>
      <c r="G323" s="326"/>
      <c r="H323" s="326"/>
      <c r="I323" s="326"/>
      <c r="J323" s="326"/>
      <c r="K323" s="326"/>
      <c r="L323" s="326"/>
      <c r="M323" s="326"/>
      <c r="N323" s="326">
        <f t="shared" ref="N323:W323" si="204">+N132</f>
        <v>-2.6172381176792925</v>
      </c>
      <c r="O323" s="326">
        <f t="shared" si="204"/>
        <v>30.951994042333197</v>
      </c>
      <c r="P323" s="326">
        <f t="shared" si="204"/>
        <v>73.029749711191826</v>
      </c>
      <c r="Q323" s="326">
        <f t="shared" si="204"/>
        <v>97.733951641955557</v>
      </c>
      <c r="R323" s="326">
        <f t="shared" si="204"/>
        <v>115.69314345337786</v>
      </c>
      <c r="S323" s="326">
        <f t="shared" si="204"/>
        <v>140.22277905947973</v>
      </c>
      <c r="T323" s="326">
        <f t="shared" si="204"/>
        <v>163.3690820580216</v>
      </c>
      <c r="U323" s="326">
        <f t="shared" si="204"/>
        <v>184.07437143508463</v>
      </c>
      <c r="V323" s="326">
        <f t="shared" si="204"/>
        <v>203.10607293913301</v>
      </c>
      <c r="W323" s="326">
        <f t="shared" si="204"/>
        <v>220.7601794575078</v>
      </c>
      <c r="AA323" s="91"/>
      <c r="AB323" s="91"/>
      <c r="AC323" s="91"/>
      <c r="AD323" s="91"/>
      <c r="AE323" s="91"/>
      <c r="AF323" s="91"/>
      <c r="AG323" s="91"/>
      <c r="AH323" s="91"/>
      <c r="AI323" s="91"/>
      <c r="AJ323" s="91"/>
      <c r="AK323" s="91"/>
      <c r="AL323" s="91"/>
      <c r="AM323" s="91"/>
      <c r="AN323" s="91"/>
      <c r="AO323" s="91"/>
      <c r="AP323" s="91"/>
    </row>
    <row r="324" spans="1:42">
      <c r="AA324" s="91"/>
      <c r="AB324" s="91"/>
      <c r="AC324" s="91"/>
      <c r="AD324" s="91"/>
      <c r="AE324" s="91"/>
      <c r="AF324" s="91"/>
      <c r="AG324" s="91"/>
      <c r="AH324" s="91"/>
      <c r="AI324" s="91"/>
      <c r="AJ324" s="91"/>
      <c r="AK324" s="91"/>
      <c r="AL324" s="91"/>
      <c r="AM324" s="91"/>
      <c r="AN324" s="91"/>
      <c r="AO324" s="91"/>
      <c r="AP324" s="91"/>
    </row>
    <row r="325" spans="1:42">
      <c r="A325" s="4" t="s">
        <v>292</v>
      </c>
      <c r="AA325" s="91"/>
      <c r="AB325" s="91"/>
      <c r="AC325" s="91"/>
      <c r="AD325" s="91"/>
      <c r="AE325" s="91"/>
      <c r="AF325" s="91"/>
      <c r="AG325" s="91"/>
      <c r="AH325" s="91"/>
      <c r="AI325" s="91"/>
      <c r="AJ325" s="91"/>
      <c r="AK325" s="91"/>
      <c r="AL325" s="91"/>
      <c r="AM325" s="91"/>
      <c r="AN325" s="91"/>
      <c r="AO325" s="91"/>
      <c r="AP325" s="91"/>
    </row>
    <row r="326" spans="1:42">
      <c r="AA326" s="91"/>
      <c r="AB326" s="91"/>
      <c r="AC326" s="91"/>
      <c r="AD326" s="91"/>
      <c r="AE326" s="91"/>
      <c r="AF326" s="91"/>
      <c r="AG326" s="91"/>
      <c r="AH326" s="91"/>
      <c r="AI326" s="91"/>
      <c r="AJ326" s="91"/>
      <c r="AK326" s="91"/>
      <c r="AL326" s="91"/>
      <c r="AM326" s="91"/>
      <c r="AN326" s="91"/>
      <c r="AO326" s="91"/>
      <c r="AP326" s="91"/>
    </row>
    <row r="327" spans="1:42">
      <c r="A327" s="4" t="s">
        <v>1174</v>
      </c>
      <c r="N327" s="327">
        <f>N320-N318</f>
        <v>-3.0369338787628695</v>
      </c>
      <c r="O327" s="327">
        <f>O320-O318</f>
        <v>10.070769648003747</v>
      </c>
      <c r="P327" s="327">
        <f t="shared" ref="P327:W327" si="205">P320-P318</f>
        <v>12.623326700657589</v>
      </c>
      <c r="Q327" s="327">
        <f t="shared" si="205"/>
        <v>7.4112605792291184</v>
      </c>
      <c r="R327" s="327">
        <f t="shared" si="205"/>
        <v>5.3877575434266873</v>
      </c>
      <c r="S327" s="327">
        <f t="shared" si="205"/>
        <v>7.3588906818305659</v>
      </c>
      <c r="T327" s="327">
        <f t="shared" si="205"/>
        <v>6.943890899562561</v>
      </c>
      <c r="U327" s="327">
        <f t="shared" si="205"/>
        <v>6.211586813118906</v>
      </c>
      <c r="V327" s="327">
        <f t="shared" si="205"/>
        <v>5.7095104512145127</v>
      </c>
      <c r="W327" s="327">
        <f t="shared" si="205"/>
        <v>5.2962319555124324</v>
      </c>
      <c r="AA327" s="91"/>
      <c r="AB327" s="91"/>
      <c r="AC327" s="91"/>
      <c r="AD327" s="91"/>
      <c r="AE327" s="91"/>
      <c r="AF327" s="91"/>
      <c r="AG327" s="91"/>
      <c r="AH327" s="91"/>
      <c r="AI327" s="91"/>
      <c r="AJ327" s="91"/>
      <c r="AK327" s="91"/>
      <c r="AL327" s="91"/>
      <c r="AM327" s="91"/>
      <c r="AN327" s="91"/>
      <c r="AO327" s="91"/>
      <c r="AP327" s="91"/>
    </row>
    <row r="328" spans="1:42">
      <c r="AA328" s="91"/>
      <c r="AB328" s="91"/>
      <c r="AC328" s="91"/>
      <c r="AD328" s="91"/>
      <c r="AE328" s="91"/>
      <c r="AF328" s="91"/>
      <c r="AG328" s="91"/>
      <c r="AH328" s="91"/>
      <c r="AI328" s="91"/>
      <c r="AJ328" s="91"/>
      <c r="AK328" s="91"/>
      <c r="AL328" s="91"/>
      <c r="AM328" s="91"/>
      <c r="AN328" s="91"/>
      <c r="AO328" s="91"/>
      <c r="AP328" s="91"/>
    </row>
    <row r="329" spans="1:42">
      <c r="A329" s="18" t="s">
        <v>297</v>
      </c>
      <c r="B329" s="80" t="str">
        <f>B$3</f>
        <v>2011A</v>
      </c>
      <c r="C329" s="80" t="str">
        <f t="shared" ref="C329:W329" si="206">C$3</f>
        <v>2012A</v>
      </c>
      <c r="D329" s="80" t="str">
        <f t="shared" si="206"/>
        <v>2013A</v>
      </c>
      <c r="E329" s="80" t="str">
        <f t="shared" si="206"/>
        <v>2014A</v>
      </c>
      <c r="F329" s="80" t="str">
        <f t="shared" si="206"/>
        <v>2015A</v>
      </c>
      <c r="G329" s="80" t="str">
        <f t="shared" si="206"/>
        <v>Prima 14A</v>
      </c>
      <c r="H329" s="80" t="str">
        <f t="shared" si="206"/>
        <v>Prima 15E</v>
      </c>
      <c r="I329" s="80" t="str">
        <f t="shared" si="206"/>
        <v>pep 14A</v>
      </c>
      <c r="J329" s="80" t="str">
        <f t="shared" si="206"/>
        <v>pep 15E</v>
      </c>
      <c r="K329" s="80" t="str">
        <f t="shared" si="206"/>
        <v>Adj.</v>
      </c>
      <c r="L329" s="80" t="str">
        <f t="shared" si="206"/>
        <v>PF 2015E</v>
      </c>
      <c r="M329" s="80"/>
      <c r="N329" s="80" t="str">
        <f t="shared" si="206"/>
        <v>2016E</v>
      </c>
      <c r="O329" s="80" t="str">
        <f t="shared" si="206"/>
        <v>2017E</v>
      </c>
      <c r="P329" s="80" t="str">
        <f t="shared" si="206"/>
        <v>2018E</v>
      </c>
      <c r="Q329" s="80" t="str">
        <f t="shared" si="206"/>
        <v>2019E</v>
      </c>
      <c r="R329" s="80" t="str">
        <f t="shared" si="206"/>
        <v>2020E</v>
      </c>
      <c r="S329" s="80" t="str">
        <f t="shared" si="206"/>
        <v>2021E</v>
      </c>
      <c r="T329" s="80" t="str">
        <f t="shared" si="206"/>
        <v>2022E</v>
      </c>
      <c r="U329" s="80" t="str">
        <f t="shared" si="206"/>
        <v>2023E</v>
      </c>
      <c r="V329" s="80" t="str">
        <f t="shared" si="206"/>
        <v>2024E</v>
      </c>
      <c r="W329" s="80" t="str">
        <f t="shared" si="206"/>
        <v>2025E</v>
      </c>
      <c r="X329" s="415"/>
      <c r="AA329" s="91"/>
      <c r="AB329" s="91"/>
      <c r="AC329" s="91"/>
      <c r="AD329" s="91"/>
      <c r="AE329" s="91"/>
      <c r="AF329" s="91"/>
      <c r="AG329" s="91"/>
      <c r="AH329" s="91"/>
      <c r="AI329" s="91"/>
      <c r="AJ329" s="91"/>
      <c r="AK329" s="91"/>
      <c r="AL329" s="91"/>
      <c r="AM329" s="91"/>
      <c r="AN329" s="91"/>
      <c r="AO329" s="91"/>
      <c r="AP329" s="91"/>
    </row>
    <row r="330" spans="1:42">
      <c r="B330" s="397"/>
      <c r="C330" s="397"/>
      <c r="D330" s="397"/>
      <c r="E330" s="397"/>
      <c r="F330" s="397"/>
      <c r="G330" s="397"/>
      <c r="H330" s="397"/>
      <c r="I330" s="397"/>
      <c r="J330" s="397"/>
      <c r="K330" s="397"/>
      <c r="L330" s="397"/>
      <c r="M330" s="397"/>
      <c r="N330" s="397"/>
      <c r="O330" s="397"/>
      <c r="P330" s="397"/>
      <c r="Q330" s="397"/>
      <c r="R330" s="397"/>
      <c r="S330" s="397"/>
      <c r="T330" s="397"/>
      <c r="X330" s="416"/>
      <c r="AA330" s="91"/>
      <c r="AB330" s="91"/>
      <c r="AC330" s="91"/>
      <c r="AD330" s="91"/>
      <c r="AE330" s="91"/>
      <c r="AF330" s="91"/>
      <c r="AG330" s="91"/>
      <c r="AH330" s="91"/>
      <c r="AI330" s="91"/>
      <c r="AJ330" s="91"/>
      <c r="AK330" s="91"/>
      <c r="AL330" s="91"/>
      <c r="AM330" s="91"/>
      <c r="AN330" s="91"/>
      <c r="AO330" s="91"/>
      <c r="AP330" s="91"/>
    </row>
    <row r="331" spans="1:42">
      <c r="A331" s="66" t="s">
        <v>281</v>
      </c>
      <c r="B331" s="398">
        <v>78.400000000000006</v>
      </c>
      <c r="C331" s="398">
        <v>87.1</v>
      </c>
      <c r="D331" s="398">
        <v>88.1</v>
      </c>
      <c r="E331" s="398">
        <v>99.032977691561598</v>
      </c>
      <c r="F331" s="398">
        <v>105.42774962306055</v>
      </c>
      <c r="G331" s="398"/>
      <c r="H331" s="398"/>
      <c r="I331" s="398"/>
      <c r="J331" s="398"/>
      <c r="K331" s="398"/>
      <c r="L331" s="398"/>
      <c r="M331" s="398"/>
      <c r="N331" s="398">
        <f t="shared" ref="N331:W331" si="207">+N112</f>
        <v>243.77071825562595</v>
      </c>
      <c r="O331" s="398">
        <f t="shared" si="207"/>
        <v>272.29193096845711</v>
      </c>
      <c r="P331" s="398">
        <f t="shared" si="207"/>
        <v>304.00425776337937</v>
      </c>
      <c r="Q331" s="398">
        <f t="shared" si="207"/>
        <v>323.66760340514185</v>
      </c>
      <c r="R331" s="398">
        <f t="shared" si="207"/>
        <v>342.92701105423237</v>
      </c>
      <c r="S331" s="398">
        <f t="shared" si="207"/>
        <v>362.17650258006813</v>
      </c>
      <c r="T331" s="398">
        <f t="shared" si="207"/>
        <v>382.90432918611924</v>
      </c>
      <c r="U331" s="398">
        <f t="shared" si="207"/>
        <v>403.38164217647557</v>
      </c>
      <c r="V331" s="398">
        <f t="shared" si="207"/>
        <v>423.96371571926585</v>
      </c>
      <c r="W331" s="398">
        <f t="shared" si="207"/>
        <v>444.62473630814253</v>
      </c>
      <c r="X331" s="398"/>
      <c r="AA331" s="91"/>
      <c r="AB331" s="91"/>
      <c r="AC331" s="91"/>
      <c r="AD331" s="91"/>
      <c r="AE331" s="91"/>
      <c r="AF331" s="91"/>
      <c r="AG331" s="91"/>
      <c r="AH331" s="91"/>
      <c r="AI331" s="91"/>
      <c r="AJ331" s="91"/>
      <c r="AK331" s="91"/>
      <c r="AL331" s="91"/>
      <c r="AM331" s="91"/>
      <c r="AN331" s="91"/>
      <c r="AO331" s="91"/>
      <c r="AP331" s="91"/>
    </row>
    <row r="332" spans="1:42">
      <c r="A332" s="66" t="s">
        <v>298</v>
      </c>
      <c r="B332" s="398">
        <v>-57.4</v>
      </c>
      <c r="C332" s="398">
        <v>-62.9</v>
      </c>
      <c r="D332" s="398">
        <v>-62.8</v>
      </c>
      <c r="E332" s="398">
        <v>-50.8</v>
      </c>
      <c r="F332" s="398">
        <v>-61.980000000000004</v>
      </c>
      <c r="G332" s="398"/>
      <c r="H332" s="398"/>
      <c r="I332" s="398"/>
      <c r="J332" s="398"/>
      <c r="K332" s="398"/>
      <c r="L332" s="398"/>
      <c r="M332" s="398"/>
      <c r="N332" s="398">
        <f t="shared" ref="N332:W332" si="208">+N124</f>
        <v>-164.12666666666667</v>
      </c>
      <c r="O332" s="398">
        <f t="shared" si="208"/>
        <v>-158.75999376912262</v>
      </c>
      <c r="P332" s="398">
        <f t="shared" si="208"/>
        <v>-164.78120272128749</v>
      </c>
      <c r="Q332" s="398">
        <f t="shared" si="208"/>
        <v>-160.02043932976957</v>
      </c>
      <c r="R332" s="398">
        <f t="shared" si="208"/>
        <v>-161.52735459758327</v>
      </c>
      <c r="S332" s="398">
        <f t="shared" si="208"/>
        <v>-156.45113533301787</v>
      </c>
      <c r="T332" s="398">
        <f t="shared" si="208"/>
        <v>-154.20557955583337</v>
      </c>
      <c r="U332" s="398">
        <f t="shared" si="208"/>
        <v>-154.09799402538914</v>
      </c>
      <c r="V332" s="398">
        <f t="shared" si="208"/>
        <v>-155.71928780952609</v>
      </c>
      <c r="W332" s="398">
        <f t="shared" si="208"/>
        <v>-158.75725692637715</v>
      </c>
      <c r="X332" s="398"/>
      <c r="AA332" s="91"/>
      <c r="AB332" s="91"/>
      <c r="AC332" s="91"/>
      <c r="AD332" s="91"/>
      <c r="AE332" s="91"/>
      <c r="AF332" s="91"/>
      <c r="AG332" s="91"/>
      <c r="AH332" s="91"/>
      <c r="AI332" s="91"/>
      <c r="AJ332" s="91"/>
      <c r="AK332" s="91"/>
      <c r="AL332" s="91"/>
      <c r="AM332" s="91"/>
      <c r="AN332" s="91"/>
      <c r="AO332" s="91"/>
      <c r="AP332" s="91"/>
    </row>
    <row r="333" spans="1:42">
      <c r="A333" s="66" t="s">
        <v>299</v>
      </c>
      <c r="B333" s="398">
        <v>-34.9</v>
      </c>
      <c r="C333" s="398">
        <v>-32.299999999999997</v>
      </c>
      <c r="D333" s="398">
        <v>-28.3</v>
      </c>
      <c r="E333" s="398">
        <v>-45.8</v>
      </c>
      <c r="F333" s="398">
        <v>-18.558</v>
      </c>
      <c r="G333" s="398"/>
      <c r="H333" s="398"/>
      <c r="I333" s="398"/>
      <c r="J333" s="398"/>
      <c r="K333" s="398"/>
      <c r="L333" s="398"/>
      <c r="M333" s="398"/>
      <c r="N333" s="398">
        <f t="shared" ref="N333:W333" si="209">+N130</f>
        <v>-81.390542499999995</v>
      </c>
      <c r="O333" s="398">
        <f t="shared" si="209"/>
        <v>-66.390542499999995</v>
      </c>
      <c r="P333" s="398">
        <f t="shared" si="209"/>
        <v>-66.390542499999995</v>
      </c>
      <c r="Q333" s="398">
        <f t="shared" si="209"/>
        <v>-66.390542499999995</v>
      </c>
      <c r="R333" s="398">
        <f t="shared" si="209"/>
        <v>-66.390542499999995</v>
      </c>
      <c r="S333" s="398">
        <f t="shared" si="209"/>
        <v>-66.390542499999995</v>
      </c>
      <c r="T333" s="398">
        <f t="shared" si="209"/>
        <v>-66.390542499999995</v>
      </c>
      <c r="U333" s="398">
        <f t="shared" si="209"/>
        <v>-66.390542499999995</v>
      </c>
      <c r="V333" s="398">
        <f t="shared" si="209"/>
        <v>-66.390542499999995</v>
      </c>
      <c r="W333" s="398">
        <f t="shared" si="209"/>
        <v>-66.390542499999995</v>
      </c>
      <c r="X333" s="398"/>
      <c r="AA333" s="91"/>
      <c r="AB333" s="91"/>
      <c r="AC333" s="91"/>
      <c r="AD333" s="91"/>
      <c r="AE333" s="91"/>
      <c r="AF333" s="91"/>
      <c r="AG333" s="91"/>
      <c r="AH333" s="91"/>
      <c r="AI333" s="91"/>
      <c r="AJ333" s="91"/>
      <c r="AK333" s="91"/>
      <c r="AL333" s="91"/>
      <c r="AM333" s="91"/>
      <c r="AN333" s="91"/>
      <c r="AO333" s="91"/>
      <c r="AP333" s="91"/>
    </row>
    <row r="334" spans="1:42">
      <c r="A334" s="66" t="s">
        <v>300</v>
      </c>
      <c r="B334" s="398">
        <v>0</v>
      </c>
      <c r="C334" s="398">
        <v>0</v>
      </c>
      <c r="D334" s="398">
        <v>0</v>
      </c>
      <c r="E334" s="398">
        <v>0</v>
      </c>
      <c r="F334" s="419">
        <v>0</v>
      </c>
      <c r="G334" s="419"/>
      <c r="H334" s="419"/>
      <c r="I334" s="419"/>
      <c r="J334" s="419"/>
      <c r="K334" s="419"/>
      <c r="L334" s="419"/>
      <c r="M334" s="419"/>
      <c r="N334" s="419">
        <v>0</v>
      </c>
      <c r="O334" s="419">
        <v>0</v>
      </c>
      <c r="P334" s="419">
        <v>0</v>
      </c>
      <c r="Q334" s="419">
        <v>0</v>
      </c>
      <c r="R334" s="419">
        <v>0</v>
      </c>
      <c r="S334" s="419">
        <v>0</v>
      </c>
      <c r="T334" s="419">
        <v>0</v>
      </c>
      <c r="U334" s="419">
        <v>0</v>
      </c>
      <c r="V334" s="419">
        <v>0</v>
      </c>
      <c r="W334" s="419">
        <v>0</v>
      </c>
      <c r="X334" s="398"/>
      <c r="AA334" s="91"/>
      <c r="AB334" s="91"/>
      <c r="AC334" s="91"/>
      <c r="AD334" s="91"/>
      <c r="AE334" s="91"/>
      <c r="AF334" s="91"/>
      <c r="AG334" s="91"/>
      <c r="AH334" s="91"/>
      <c r="AI334" s="91"/>
      <c r="AJ334" s="91"/>
      <c r="AK334" s="91"/>
      <c r="AL334" s="91"/>
      <c r="AM334" s="91"/>
      <c r="AN334" s="91"/>
      <c r="AO334" s="91"/>
      <c r="AP334" s="91"/>
    </row>
    <row r="335" spans="1:42">
      <c r="A335" s="66" t="s">
        <v>301</v>
      </c>
      <c r="B335" s="398">
        <v>0</v>
      </c>
      <c r="C335" s="398">
        <v>-6.9300000000000006</v>
      </c>
      <c r="D335" s="398">
        <v>0</v>
      </c>
      <c r="E335" s="398">
        <v>0</v>
      </c>
      <c r="F335" s="398">
        <v>-4.5035248869181634</v>
      </c>
      <c r="G335" s="398"/>
      <c r="H335" s="398"/>
      <c r="I335" s="398"/>
      <c r="J335" s="398"/>
      <c r="K335" s="398"/>
      <c r="L335" s="398"/>
      <c r="M335" s="398"/>
      <c r="N335" s="398">
        <f t="shared" ref="N335:V335" si="210">MIN(0,N323*-0.3)</f>
        <v>0</v>
      </c>
      <c r="O335" s="398">
        <f t="shared" si="210"/>
        <v>-9.2855982126999592</v>
      </c>
      <c r="P335" s="398">
        <f t="shared" si="210"/>
        <v>-21.908924913357549</v>
      </c>
      <c r="Q335" s="398">
        <f t="shared" si="210"/>
        <v>-29.320185492586667</v>
      </c>
      <c r="R335" s="398">
        <f t="shared" si="210"/>
        <v>-34.707943036013354</v>
      </c>
      <c r="S335" s="398">
        <f t="shared" si="210"/>
        <v>-42.06683371784392</v>
      </c>
      <c r="T335" s="398">
        <f t="shared" si="210"/>
        <v>-49.010724617406481</v>
      </c>
      <c r="U335" s="398">
        <f t="shared" si="210"/>
        <v>-55.222311430525387</v>
      </c>
      <c r="V335" s="398">
        <f t="shared" si="210"/>
        <v>-60.9318218817399</v>
      </c>
      <c r="W335" s="398">
        <f>MIN(0,W323*-0.3)</f>
        <v>-66.228053837252332</v>
      </c>
      <c r="X335" s="398"/>
      <c r="AA335" s="91"/>
      <c r="AB335" s="91"/>
      <c r="AC335" s="91"/>
      <c r="AD335" s="91"/>
      <c r="AE335" s="91"/>
      <c r="AF335" s="91"/>
      <c r="AG335" s="91"/>
      <c r="AH335" s="91"/>
      <c r="AI335" s="91"/>
      <c r="AJ335" s="91"/>
      <c r="AK335" s="91"/>
      <c r="AL335" s="91"/>
      <c r="AM335" s="91"/>
      <c r="AN335" s="91"/>
      <c r="AO335" s="91"/>
      <c r="AP335" s="91"/>
    </row>
    <row r="336" spans="1:42">
      <c r="A336" s="66" t="s">
        <v>302</v>
      </c>
      <c r="B336" s="398">
        <v>-2.2999999999999998</v>
      </c>
      <c r="C336" s="398">
        <v>-2.9</v>
      </c>
      <c r="D336" s="398">
        <v>-3.3</v>
      </c>
      <c r="E336" s="398">
        <v>-2.2000000000000002</v>
      </c>
      <c r="F336" s="398">
        <v>-3</v>
      </c>
      <c r="G336" s="398"/>
      <c r="H336" s="398"/>
      <c r="I336" s="398"/>
      <c r="J336" s="398"/>
      <c r="K336" s="398"/>
      <c r="L336" s="398"/>
      <c r="M336" s="398"/>
      <c r="N336" s="398">
        <f t="shared" ref="N336:W336" si="211">-N139</f>
        <v>-3</v>
      </c>
      <c r="O336" s="398">
        <f t="shared" si="211"/>
        <v>-3</v>
      </c>
      <c r="P336" s="398">
        <f t="shared" si="211"/>
        <v>-3</v>
      </c>
      <c r="Q336" s="398">
        <f t="shared" si="211"/>
        <v>-3</v>
      </c>
      <c r="R336" s="398">
        <f t="shared" si="211"/>
        <v>-3</v>
      </c>
      <c r="S336" s="398">
        <f t="shared" si="211"/>
        <v>-3</v>
      </c>
      <c r="T336" s="398">
        <f t="shared" si="211"/>
        <v>-3</v>
      </c>
      <c r="U336" s="398">
        <f t="shared" si="211"/>
        <v>-3</v>
      </c>
      <c r="V336" s="398">
        <f t="shared" si="211"/>
        <v>-3</v>
      </c>
      <c r="W336" s="398">
        <f t="shared" si="211"/>
        <v>-3</v>
      </c>
      <c r="X336" s="398"/>
      <c r="AA336" s="91"/>
      <c r="AB336" s="91"/>
      <c r="AC336" s="91"/>
      <c r="AD336" s="91"/>
      <c r="AE336" s="91"/>
      <c r="AF336" s="91"/>
      <c r="AG336" s="91"/>
      <c r="AH336" s="91"/>
      <c r="AI336" s="91"/>
      <c r="AJ336" s="91"/>
      <c r="AK336" s="91"/>
      <c r="AL336" s="91"/>
      <c r="AM336" s="91"/>
      <c r="AN336" s="91"/>
      <c r="AO336" s="91"/>
      <c r="AP336" s="91"/>
    </row>
    <row r="337" spans="1:42">
      <c r="A337" s="69" t="s">
        <v>303</v>
      </c>
      <c r="B337" s="399">
        <v>-16.199999999999992</v>
      </c>
      <c r="C337" s="399">
        <v>-17.93</v>
      </c>
      <c r="D337" s="399">
        <v>-6.3000000000000034</v>
      </c>
      <c r="E337" s="399">
        <v>0.23297769156160353</v>
      </c>
      <c r="F337" s="399">
        <v>17.386224736142381</v>
      </c>
      <c r="G337" s="400"/>
      <c r="H337" s="400"/>
      <c r="I337" s="400"/>
      <c r="J337" s="400"/>
      <c r="K337" s="400"/>
      <c r="L337" s="400"/>
      <c r="M337" s="400"/>
      <c r="N337" s="399">
        <f t="shared" ref="N337:V337" si="212">SUM(N331:N336)</f>
        <v>-4.7464909110407092</v>
      </c>
      <c r="O337" s="399">
        <f t="shared" si="212"/>
        <v>34.855796486634539</v>
      </c>
      <c r="P337" s="399">
        <f t="shared" si="212"/>
        <v>47.923587628734339</v>
      </c>
      <c r="Q337" s="399">
        <f t="shared" si="212"/>
        <v>64.936436082785605</v>
      </c>
      <c r="R337" s="399">
        <f t="shared" si="212"/>
        <v>77.301170920635741</v>
      </c>
      <c r="S337" s="399">
        <f t="shared" si="212"/>
        <v>94.267991029206357</v>
      </c>
      <c r="T337" s="399">
        <f t="shared" si="212"/>
        <v>110.29748251287941</v>
      </c>
      <c r="U337" s="399">
        <f t="shared" si="212"/>
        <v>124.67079422056105</v>
      </c>
      <c r="V337" s="399">
        <f t="shared" si="212"/>
        <v>137.92206352799991</v>
      </c>
      <c r="W337" s="399">
        <f>SUM(W331:W336)</f>
        <v>150.24888304451309</v>
      </c>
      <c r="X337" s="420"/>
      <c r="AA337" s="91"/>
      <c r="AB337" s="91"/>
      <c r="AC337" s="91"/>
      <c r="AD337" s="91"/>
      <c r="AE337" s="91"/>
      <c r="AF337" s="91"/>
      <c r="AG337" s="91"/>
      <c r="AH337" s="91"/>
      <c r="AI337" s="91"/>
      <c r="AJ337" s="91"/>
      <c r="AK337" s="91"/>
      <c r="AL337" s="91"/>
      <c r="AM337" s="91"/>
      <c r="AN337" s="91"/>
      <c r="AO337" s="91"/>
      <c r="AP337" s="91"/>
    </row>
    <row r="338" spans="1:42">
      <c r="A338" s="66" t="s">
        <v>304</v>
      </c>
      <c r="B338" s="401">
        <v>-0.28571428571428559</v>
      </c>
      <c r="C338" s="401">
        <v>-0.31622574955908289</v>
      </c>
      <c r="D338" s="401">
        <v>-0.11111111111111116</v>
      </c>
      <c r="E338" s="401">
        <v>4.1089539957954767E-3</v>
      </c>
      <c r="F338" s="401">
        <v>0.18869868116827981</v>
      </c>
      <c r="G338" s="401"/>
      <c r="H338" s="401"/>
      <c r="I338" s="401"/>
      <c r="J338" s="401"/>
      <c r="K338" s="401"/>
      <c r="L338" s="401"/>
      <c r="M338" s="401"/>
      <c r="N338" s="401">
        <f t="shared" ref="N338:V338" si="213">+N337/N347</f>
        <v>-5.1515299536461362E-2</v>
      </c>
      <c r="O338" s="401">
        <f t="shared" si="213"/>
        <v>0.6147406787766232</v>
      </c>
      <c r="P338" s="401">
        <f t="shared" si="213"/>
        <v>0.84521318569196358</v>
      </c>
      <c r="Q338" s="401">
        <f t="shared" si="213"/>
        <v>1.1452634229768184</v>
      </c>
      <c r="R338" s="401">
        <f t="shared" si="213"/>
        <v>1.3633363478066267</v>
      </c>
      <c r="S338" s="401">
        <f t="shared" si="213"/>
        <v>1.6625747976932337</v>
      </c>
      <c r="T338" s="401">
        <f t="shared" si="213"/>
        <v>1.9452818785340282</v>
      </c>
      <c r="U338" s="401">
        <f t="shared" si="213"/>
        <v>2.1987794395160676</v>
      </c>
      <c r="V338" s="401">
        <f t="shared" si="213"/>
        <v>2.4324878929100513</v>
      </c>
      <c r="W338" s="401">
        <f>+W337/W347</f>
        <v>2.6498921171871794</v>
      </c>
      <c r="X338" s="401"/>
      <c r="AA338" s="91"/>
      <c r="AB338" s="91"/>
      <c r="AC338" s="91"/>
      <c r="AD338" s="91"/>
      <c r="AE338" s="91"/>
      <c r="AF338" s="91"/>
      <c r="AG338" s="91"/>
      <c r="AH338" s="91"/>
      <c r="AI338" s="91"/>
      <c r="AJ338" s="91"/>
      <c r="AK338" s="91"/>
      <c r="AL338" s="91"/>
      <c r="AM338" s="91"/>
      <c r="AN338" s="91"/>
      <c r="AO338" s="91"/>
      <c r="AP338" s="91"/>
    </row>
    <row r="339" spans="1:42">
      <c r="A339" s="66"/>
      <c r="B339" s="397"/>
      <c r="C339" s="397"/>
      <c r="D339" s="397"/>
      <c r="E339" s="397"/>
      <c r="F339" s="397"/>
      <c r="G339" s="397"/>
      <c r="H339" s="397"/>
      <c r="I339" s="397"/>
      <c r="J339" s="397"/>
      <c r="K339" s="397"/>
      <c r="L339" s="397"/>
      <c r="M339" s="397"/>
      <c r="N339" s="397"/>
      <c r="O339" s="397"/>
      <c r="P339" s="397"/>
      <c r="Q339" s="397"/>
      <c r="R339" s="397"/>
      <c r="S339" s="397"/>
      <c r="T339" s="397"/>
      <c r="U339" s="397"/>
      <c r="V339" s="397"/>
      <c r="W339" s="397"/>
      <c r="X339" s="397"/>
      <c r="AA339" s="91"/>
      <c r="AB339" s="91"/>
      <c r="AC339" s="91"/>
      <c r="AD339" s="91"/>
      <c r="AE339" s="91"/>
      <c r="AF339" s="91"/>
      <c r="AG339" s="91"/>
      <c r="AH339" s="91"/>
      <c r="AI339" s="91"/>
      <c r="AJ339" s="91"/>
      <c r="AK339" s="91"/>
      <c r="AL339" s="91"/>
      <c r="AM339" s="91"/>
      <c r="AN339" s="91"/>
      <c r="AO339" s="91"/>
      <c r="AP339" s="91"/>
    </row>
    <row r="340" spans="1:42">
      <c r="A340" s="66" t="s">
        <v>303</v>
      </c>
      <c r="B340" s="398">
        <v>-16.199999999999992</v>
      </c>
      <c r="C340" s="398">
        <v>-17.93</v>
      </c>
      <c r="D340" s="398">
        <v>-6.3000000000000034</v>
      </c>
      <c r="E340" s="398">
        <v>0.23297769156160353</v>
      </c>
      <c r="F340" s="398">
        <v>17.386224736142381</v>
      </c>
      <c r="G340" s="398"/>
      <c r="H340" s="398"/>
      <c r="I340" s="398"/>
      <c r="J340" s="398"/>
      <c r="K340" s="398"/>
      <c r="L340" s="398"/>
      <c r="M340" s="398"/>
      <c r="N340" s="398">
        <f t="shared" ref="N340:V340" si="214">+N337</f>
        <v>-4.7464909110407092</v>
      </c>
      <c r="O340" s="398">
        <f t="shared" si="214"/>
        <v>34.855796486634539</v>
      </c>
      <c r="P340" s="398">
        <f t="shared" si="214"/>
        <v>47.923587628734339</v>
      </c>
      <c r="Q340" s="398">
        <f t="shared" si="214"/>
        <v>64.936436082785605</v>
      </c>
      <c r="R340" s="398">
        <f t="shared" si="214"/>
        <v>77.301170920635741</v>
      </c>
      <c r="S340" s="398">
        <f t="shared" si="214"/>
        <v>94.267991029206357</v>
      </c>
      <c r="T340" s="398">
        <f t="shared" si="214"/>
        <v>110.29748251287941</v>
      </c>
      <c r="U340" s="398">
        <f t="shared" si="214"/>
        <v>124.67079422056105</v>
      </c>
      <c r="V340" s="398">
        <f t="shared" si="214"/>
        <v>137.92206352799991</v>
      </c>
      <c r="W340" s="398">
        <f>+W337</f>
        <v>150.24888304451309</v>
      </c>
      <c r="X340" s="398"/>
      <c r="AA340" s="91"/>
      <c r="AB340" s="91"/>
      <c r="AC340" s="91"/>
      <c r="AD340" s="91"/>
      <c r="AE340" s="91"/>
      <c r="AF340" s="91"/>
      <c r="AG340" s="91"/>
      <c r="AH340" s="91"/>
      <c r="AI340" s="91"/>
      <c r="AJ340" s="91"/>
      <c r="AK340" s="91"/>
      <c r="AL340" s="91"/>
      <c r="AM340" s="91"/>
      <c r="AN340" s="91"/>
      <c r="AO340" s="91"/>
      <c r="AP340" s="91"/>
    </row>
    <row r="341" spans="1:42">
      <c r="A341" s="66" t="s">
        <v>305</v>
      </c>
      <c r="B341" s="398">
        <v>57.4</v>
      </c>
      <c r="C341" s="398">
        <v>62.9</v>
      </c>
      <c r="D341" s="398">
        <v>62.8</v>
      </c>
      <c r="E341" s="398">
        <v>50.8</v>
      </c>
      <c r="F341" s="398">
        <v>61.980000000000004</v>
      </c>
      <c r="G341" s="398"/>
      <c r="H341" s="398"/>
      <c r="I341" s="398"/>
      <c r="J341" s="398"/>
      <c r="K341" s="398"/>
      <c r="L341" s="398"/>
      <c r="M341" s="398"/>
      <c r="N341" s="398">
        <f t="shared" ref="N341:V341" si="215">-N332</f>
        <v>164.12666666666667</v>
      </c>
      <c r="O341" s="398">
        <f t="shared" si="215"/>
        <v>158.75999376912262</v>
      </c>
      <c r="P341" s="398">
        <f t="shared" si="215"/>
        <v>164.78120272128749</v>
      </c>
      <c r="Q341" s="398">
        <f t="shared" si="215"/>
        <v>160.02043932976957</v>
      </c>
      <c r="R341" s="398">
        <f t="shared" si="215"/>
        <v>161.52735459758327</v>
      </c>
      <c r="S341" s="398">
        <f t="shared" si="215"/>
        <v>156.45113533301787</v>
      </c>
      <c r="T341" s="398">
        <f t="shared" si="215"/>
        <v>154.20557955583337</v>
      </c>
      <c r="U341" s="398">
        <f t="shared" si="215"/>
        <v>154.09799402538914</v>
      </c>
      <c r="V341" s="398">
        <f t="shared" si="215"/>
        <v>155.71928780952609</v>
      </c>
      <c r="W341" s="398">
        <f>-W332</f>
        <v>158.75725692637715</v>
      </c>
      <c r="X341" s="398"/>
      <c r="AA341" s="91"/>
      <c r="AB341" s="91"/>
      <c r="AC341" s="91"/>
      <c r="AD341" s="91"/>
      <c r="AE341" s="91"/>
      <c r="AF341" s="91"/>
      <c r="AG341" s="91"/>
      <c r="AH341" s="91"/>
      <c r="AI341" s="91"/>
      <c r="AJ341" s="91"/>
      <c r="AK341" s="91"/>
      <c r="AL341" s="91"/>
      <c r="AM341" s="91"/>
      <c r="AN341" s="91"/>
      <c r="AO341" s="91"/>
      <c r="AP341" s="91"/>
    </row>
    <row r="342" spans="1:42">
      <c r="A342" s="66" t="s">
        <v>306</v>
      </c>
      <c r="B342" s="398">
        <v>-68.099999999999994</v>
      </c>
      <c r="C342" s="398">
        <v>-59.6</v>
      </c>
      <c r="D342" s="398">
        <v>-51.5</v>
      </c>
      <c r="E342" s="398">
        <v>-84.1</v>
      </c>
      <c r="F342" s="398">
        <v>-115</v>
      </c>
      <c r="G342" s="398"/>
      <c r="H342" s="398"/>
      <c r="I342" s="398"/>
      <c r="J342" s="398"/>
      <c r="K342" s="398"/>
      <c r="L342" s="398"/>
      <c r="M342" s="398"/>
      <c r="N342" s="398">
        <f t="shared" ref="N342:V342" si="216">-N212</f>
        <v>-167.31579750578825</v>
      </c>
      <c r="O342" s="398">
        <f t="shared" si="216"/>
        <v>-161.16959402651199</v>
      </c>
      <c r="P342" s="398">
        <f t="shared" si="216"/>
        <v>-153.00701847644183</v>
      </c>
      <c r="Q342" s="398">
        <f t="shared" si="216"/>
        <v>-148.49683771122167</v>
      </c>
      <c r="R342" s="398">
        <f t="shared" si="216"/>
        <v>-145.54295988379869</v>
      </c>
      <c r="S342" s="398">
        <f t="shared" si="216"/>
        <v>-154.49516791960949</v>
      </c>
      <c r="T342" s="398">
        <f t="shared" si="216"/>
        <v>-163.08930583604305</v>
      </c>
      <c r="U342" s="398">
        <f t="shared" si="216"/>
        <v>-172.05477006750672</v>
      </c>
      <c r="V342" s="398">
        <f t="shared" si="216"/>
        <v>-181.42518604419473</v>
      </c>
      <c r="W342" s="398">
        <f>-W212</f>
        <v>-191.23698907739455</v>
      </c>
      <c r="X342" s="398"/>
      <c r="AA342" s="91"/>
      <c r="AB342" s="91"/>
      <c r="AC342" s="91"/>
      <c r="AD342" s="91"/>
      <c r="AE342" s="91"/>
      <c r="AF342" s="91"/>
      <c r="AG342" s="91"/>
      <c r="AH342" s="91"/>
      <c r="AI342" s="91"/>
      <c r="AJ342" s="91"/>
      <c r="AK342" s="91"/>
      <c r="AL342" s="91"/>
      <c r="AM342" s="91"/>
      <c r="AN342" s="91"/>
      <c r="AO342" s="91"/>
      <c r="AP342" s="91"/>
    </row>
    <row r="343" spans="1:42">
      <c r="A343" s="69" t="s">
        <v>307</v>
      </c>
      <c r="B343" s="399">
        <v>-26.899999999999991</v>
      </c>
      <c r="C343" s="399">
        <v>-14.630000000000003</v>
      </c>
      <c r="D343" s="399">
        <v>4.9999999999999929</v>
      </c>
      <c r="E343" s="399">
        <v>-33.067022308438396</v>
      </c>
      <c r="F343" s="399">
        <v>-35.633775263857615</v>
      </c>
      <c r="G343" s="400"/>
      <c r="H343" s="400"/>
      <c r="I343" s="400"/>
      <c r="J343" s="400"/>
      <c r="K343" s="400"/>
      <c r="L343" s="400"/>
      <c r="M343" s="400"/>
      <c r="N343" s="399">
        <f t="shared" ref="N343:V343" si="217">SUM(N340:N342)</f>
        <v>-7.9356217501623121</v>
      </c>
      <c r="O343" s="399">
        <f t="shared" si="217"/>
        <v>32.446196229245174</v>
      </c>
      <c r="P343" s="399">
        <f t="shared" si="217"/>
        <v>59.697771873579995</v>
      </c>
      <c r="Q343" s="399">
        <f t="shared" si="217"/>
        <v>76.460037701333505</v>
      </c>
      <c r="R343" s="399">
        <f t="shared" si="217"/>
        <v>93.285565634420323</v>
      </c>
      <c r="S343" s="399">
        <f t="shared" si="217"/>
        <v>96.223958442614759</v>
      </c>
      <c r="T343" s="399">
        <f t="shared" si="217"/>
        <v>101.41375623266973</v>
      </c>
      <c r="U343" s="399">
        <f t="shared" si="217"/>
        <v>106.71401817844347</v>
      </c>
      <c r="V343" s="399">
        <f t="shared" si="217"/>
        <v>112.21616529333124</v>
      </c>
      <c r="W343" s="399">
        <f>SUM(W340:W342)</f>
        <v>117.76915089349566</v>
      </c>
      <c r="X343" s="420"/>
      <c r="AA343" s="91"/>
      <c r="AB343" s="91"/>
      <c r="AC343" s="91"/>
      <c r="AD343" s="91"/>
      <c r="AE343" s="91"/>
      <c r="AF343" s="91"/>
      <c r="AG343" s="91"/>
      <c r="AH343" s="91"/>
      <c r="AI343" s="91"/>
      <c r="AJ343" s="91"/>
      <c r="AK343" s="91"/>
      <c r="AL343" s="91"/>
      <c r="AM343" s="91"/>
      <c r="AN343" s="91"/>
      <c r="AO343" s="91"/>
      <c r="AP343" s="91"/>
    </row>
    <row r="344" spans="1:42">
      <c r="A344" s="50"/>
      <c r="B344" s="372"/>
      <c r="C344" s="372"/>
      <c r="D344" s="372"/>
      <c r="E344" s="372"/>
      <c r="F344" s="372"/>
      <c r="G344" s="372"/>
      <c r="H344" s="372"/>
      <c r="I344" s="372"/>
      <c r="J344" s="372"/>
      <c r="K344" s="372"/>
      <c r="L344" s="372"/>
      <c r="M344" s="372"/>
      <c r="N344" s="372"/>
      <c r="O344" s="372"/>
      <c r="P344" s="372"/>
      <c r="Q344" s="372"/>
      <c r="R344" s="372"/>
      <c r="S344" s="372"/>
      <c r="T344" s="372"/>
      <c r="U344" s="372"/>
      <c r="V344" s="372"/>
      <c r="W344" s="372"/>
      <c r="X344" s="372"/>
      <c r="AA344" s="91"/>
      <c r="AB344" s="91"/>
      <c r="AC344" s="91"/>
      <c r="AD344" s="91"/>
      <c r="AE344" s="91"/>
      <c r="AF344" s="91"/>
      <c r="AG344" s="91"/>
      <c r="AH344" s="91"/>
      <c r="AI344" s="91"/>
      <c r="AJ344" s="91"/>
      <c r="AK344" s="91"/>
      <c r="AL344" s="91"/>
      <c r="AM344" s="91"/>
      <c r="AN344" s="91"/>
      <c r="AO344" s="91"/>
      <c r="AP344" s="91"/>
    </row>
    <row r="345" spans="1:42">
      <c r="A345" s="50"/>
      <c r="B345" s="372"/>
      <c r="C345" s="372"/>
      <c r="D345" s="372"/>
      <c r="E345" s="372"/>
      <c r="F345" s="372"/>
      <c r="G345" s="372"/>
      <c r="H345" s="372"/>
      <c r="I345" s="372"/>
      <c r="J345" s="372"/>
      <c r="K345" s="372"/>
      <c r="L345" s="372"/>
      <c r="M345" s="372"/>
      <c r="N345" s="372"/>
      <c r="O345" s="372"/>
      <c r="P345" s="372"/>
      <c r="Q345" s="372"/>
      <c r="R345" s="372"/>
      <c r="S345" s="372"/>
      <c r="T345" s="372"/>
      <c r="U345" s="372"/>
      <c r="V345" s="372"/>
      <c r="W345" s="372"/>
      <c r="X345" s="372"/>
      <c r="AA345" s="91"/>
      <c r="AB345" s="91"/>
      <c r="AC345" s="91"/>
      <c r="AD345" s="91"/>
      <c r="AE345" s="91"/>
      <c r="AF345" s="91"/>
      <c r="AG345" s="91"/>
      <c r="AH345" s="91"/>
      <c r="AI345" s="91"/>
      <c r="AJ345" s="91"/>
      <c r="AK345" s="91"/>
      <c r="AL345" s="91"/>
      <c r="AM345" s="91"/>
      <c r="AN345" s="91"/>
      <c r="AO345" s="91"/>
      <c r="AP345" s="91"/>
    </row>
    <row r="346" spans="1:42">
      <c r="A346" s="50" t="s">
        <v>364</v>
      </c>
      <c r="B346" s="402">
        <v>56.7</v>
      </c>
      <c r="C346" s="402">
        <v>56.7</v>
      </c>
      <c r="D346" s="402">
        <v>56.7</v>
      </c>
      <c r="E346" s="402">
        <v>56.7</v>
      </c>
      <c r="F346" s="403">
        <v>127.575</v>
      </c>
      <c r="G346" s="403"/>
      <c r="H346" s="403"/>
      <c r="I346" s="403"/>
      <c r="J346" s="403"/>
      <c r="K346" s="403"/>
      <c r="L346" s="403"/>
      <c r="M346" s="403"/>
      <c r="N346" s="403">
        <f>Valuation!C34</f>
        <v>56.7</v>
      </c>
      <c r="O346" s="402">
        <f t="shared" ref="O346:W346" si="218">+N346</f>
        <v>56.7</v>
      </c>
      <c r="P346" s="402">
        <f t="shared" si="218"/>
        <v>56.7</v>
      </c>
      <c r="Q346" s="402">
        <f t="shared" si="218"/>
        <v>56.7</v>
      </c>
      <c r="R346" s="402">
        <f t="shared" si="218"/>
        <v>56.7</v>
      </c>
      <c r="S346" s="402">
        <f t="shared" si="218"/>
        <v>56.7</v>
      </c>
      <c r="T346" s="402">
        <f t="shared" si="218"/>
        <v>56.7</v>
      </c>
      <c r="U346" s="402">
        <f t="shared" si="218"/>
        <v>56.7</v>
      </c>
      <c r="V346" s="402">
        <f t="shared" si="218"/>
        <v>56.7</v>
      </c>
      <c r="W346" s="402">
        <f t="shared" si="218"/>
        <v>56.7</v>
      </c>
      <c r="X346" s="372"/>
      <c r="AA346" s="91"/>
      <c r="AB346" s="91"/>
      <c r="AC346" s="91"/>
      <c r="AD346" s="91"/>
      <c r="AE346" s="91"/>
      <c r="AF346" s="91"/>
      <c r="AG346" s="91"/>
      <c r="AH346" s="91"/>
      <c r="AI346" s="91"/>
      <c r="AJ346" s="91"/>
      <c r="AK346" s="91"/>
      <c r="AL346" s="91"/>
      <c r="AM346" s="91"/>
      <c r="AN346" s="91"/>
      <c r="AO346" s="91"/>
      <c r="AP346" s="91"/>
    </row>
    <row r="347" spans="1:42">
      <c r="A347" s="50" t="s">
        <v>308</v>
      </c>
      <c r="B347" s="372">
        <v>56.7</v>
      </c>
      <c r="C347" s="372">
        <v>56.7</v>
      </c>
      <c r="D347" s="372">
        <v>56.7</v>
      </c>
      <c r="E347" s="372">
        <v>56.7</v>
      </c>
      <c r="F347" s="372">
        <v>92.137500000000003</v>
      </c>
      <c r="G347" s="372"/>
      <c r="H347" s="372"/>
      <c r="I347" s="372"/>
      <c r="J347" s="372"/>
      <c r="K347" s="372"/>
      <c r="L347" s="372"/>
      <c r="M347" s="372"/>
      <c r="N347" s="372">
        <f>AVERAGE(F346:N346)</f>
        <v>92.137500000000003</v>
      </c>
      <c r="O347" s="372">
        <f t="shared" ref="O347:W347" si="219">AVERAGE(N346:O346)</f>
        <v>56.7</v>
      </c>
      <c r="P347" s="372">
        <f t="shared" si="219"/>
        <v>56.7</v>
      </c>
      <c r="Q347" s="372">
        <f t="shared" si="219"/>
        <v>56.7</v>
      </c>
      <c r="R347" s="372">
        <f t="shared" si="219"/>
        <v>56.7</v>
      </c>
      <c r="S347" s="372">
        <f t="shared" si="219"/>
        <v>56.7</v>
      </c>
      <c r="T347" s="372">
        <f t="shared" si="219"/>
        <v>56.7</v>
      </c>
      <c r="U347" s="372">
        <f t="shared" si="219"/>
        <v>56.7</v>
      </c>
      <c r="V347" s="372">
        <f t="shared" si="219"/>
        <v>56.7</v>
      </c>
      <c r="W347" s="372">
        <f t="shared" si="219"/>
        <v>56.7</v>
      </c>
      <c r="X347" s="372"/>
      <c r="AA347" s="91"/>
      <c r="AB347" s="91"/>
      <c r="AC347" s="91"/>
      <c r="AD347" s="91"/>
      <c r="AE347" s="91"/>
      <c r="AF347" s="91"/>
      <c r="AG347" s="91"/>
      <c r="AH347" s="91"/>
      <c r="AI347" s="91"/>
      <c r="AJ347" s="91"/>
      <c r="AK347" s="91"/>
      <c r="AL347" s="91"/>
      <c r="AM347" s="91"/>
      <c r="AN347" s="91"/>
      <c r="AO347" s="91"/>
      <c r="AP347" s="91"/>
    </row>
    <row r="348" spans="1:42">
      <c r="A348" s="50"/>
      <c r="B348" s="372"/>
      <c r="C348" s="372"/>
      <c r="D348" s="372"/>
      <c r="E348" s="372"/>
      <c r="F348" s="372"/>
      <c r="G348" s="372"/>
      <c r="H348" s="372"/>
      <c r="I348" s="372"/>
      <c r="J348" s="372"/>
      <c r="K348" s="372"/>
      <c r="L348" s="372"/>
      <c r="M348" s="372"/>
      <c r="N348" s="372"/>
      <c r="O348" s="372"/>
      <c r="P348" s="372"/>
      <c r="Q348" s="372"/>
      <c r="R348" s="372"/>
      <c r="S348" s="372"/>
      <c r="T348" s="372"/>
      <c r="U348" s="372"/>
      <c r="V348" s="372"/>
      <c r="W348" s="372"/>
      <c r="X348" s="372"/>
      <c r="AA348" s="91"/>
      <c r="AB348" s="91"/>
      <c r="AC348" s="91"/>
      <c r="AD348" s="91"/>
      <c r="AE348" s="91"/>
      <c r="AF348" s="91"/>
      <c r="AG348" s="91"/>
      <c r="AH348" s="91"/>
      <c r="AI348" s="91"/>
      <c r="AJ348" s="91"/>
      <c r="AK348" s="91"/>
      <c r="AL348" s="91"/>
      <c r="AM348" s="91"/>
      <c r="AN348" s="91"/>
      <c r="AO348" s="91"/>
      <c r="AP348" s="91"/>
    </row>
    <row r="349" spans="1:42">
      <c r="A349" s="50" t="s">
        <v>309</v>
      </c>
      <c r="B349" s="372"/>
      <c r="C349" s="372"/>
      <c r="D349" s="372"/>
      <c r="E349" s="372">
        <v>0</v>
      </c>
      <c r="F349" s="372">
        <v>0</v>
      </c>
      <c r="G349" s="372"/>
      <c r="H349" s="372"/>
      <c r="I349" s="372"/>
      <c r="J349" s="372"/>
      <c r="K349" s="372"/>
      <c r="L349" s="372"/>
      <c r="M349" s="372"/>
      <c r="N349" s="372">
        <v>0</v>
      </c>
      <c r="O349" s="372">
        <f t="shared" ref="O349:W349" si="220">N136*O353</f>
        <v>0</v>
      </c>
      <c r="P349" s="372">
        <f t="shared" si="220"/>
        <v>19.499756246669914</v>
      </c>
      <c r="Q349" s="372">
        <f t="shared" si="220"/>
        <v>46.008742318050849</v>
      </c>
      <c r="R349" s="372">
        <f t="shared" si="220"/>
        <v>61.572389534431998</v>
      </c>
      <c r="S349" s="372">
        <f t="shared" si="220"/>
        <v>72.886680375628046</v>
      </c>
      <c r="T349" s="372">
        <f t="shared" si="220"/>
        <v>88.340350807472234</v>
      </c>
      <c r="U349" s="372">
        <f t="shared" si="220"/>
        <v>102.92252169655362</v>
      </c>
      <c r="V349" s="372">
        <f t="shared" si="220"/>
        <v>115.96685400410331</v>
      </c>
      <c r="W349" s="372">
        <f t="shared" si="220"/>
        <v>127.95682595165381</v>
      </c>
      <c r="X349" s="372"/>
      <c r="AA349" s="91"/>
      <c r="AB349" s="91"/>
      <c r="AC349" s="91"/>
      <c r="AD349" s="91"/>
      <c r="AE349" s="91"/>
      <c r="AF349" s="91"/>
      <c r="AG349" s="91"/>
      <c r="AH349" s="91"/>
      <c r="AI349" s="91"/>
      <c r="AJ349" s="91"/>
      <c r="AK349" s="91"/>
      <c r="AL349" s="91"/>
      <c r="AM349" s="91"/>
      <c r="AN349" s="91"/>
      <c r="AO349" s="91"/>
      <c r="AP349" s="91"/>
    </row>
    <row r="350" spans="1:42">
      <c r="A350" s="50" t="s">
        <v>310</v>
      </c>
      <c r="B350" s="372"/>
      <c r="C350" s="372"/>
      <c r="D350" s="372"/>
      <c r="E350" s="372"/>
      <c r="F350" s="372"/>
      <c r="G350" s="372"/>
      <c r="H350" s="372"/>
      <c r="I350" s="372"/>
      <c r="J350" s="372"/>
      <c r="K350" s="372"/>
      <c r="L350" s="372"/>
      <c r="M350" s="372"/>
      <c r="N350" s="327"/>
      <c r="O350" s="404">
        <f t="shared" ref="O350:W350" si="221">O349/O347</f>
        <v>0</v>
      </c>
      <c r="P350" s="404">
        <f t="shared" si="221"/>
        <v>0.34391104491481328</v>
      </c>
      <c r="Q350" s="404">
        <f t="shared" si="221"/>
        <v>0.81144166345768687</v>
      </c>
      <c r="R350" s="404">
        <f t="shared" si="221"/>
        <v>1.0859327960217282</v>
      </c>
      <c r="S350" s="404">
        <f>S349/S347</f>
        <v>1.2854793717041983</v>
      </c>
      <c r="T350" s="404">
        <f t="shared" si="221"/>
        <v>1.5580308784386636</v>
      </c>
      <c r="U350" s="404">
        <f t="shared" si="221"/>
        <v>1.8152120228669066</v>
      </c>
      <c r="V350" s="404">
        <f t="shared" si="221"/>
        <v>2.0452707937231622</v>
      </c>
      <c r="W350" s="404">
        <f t="shared" si="221"/>
        <v>2.2567341437681447</v>
      </c>
      <c r="X350" s="327"/>
      <c r="AA350" s="91"/>
      <c r="AB350" s="91"/>
      <c r="AC350" s="91"/>
      <c r="AD350" s="91"/>
      <c r="AE350" s="91"/>
      <c r="AF350" s="91"/>
      <c r="AG350" s="91"/>
      <c r="AH350" s="91"/>
      <c r="AI350" s="91"/>
      <c r="AJ350" s="91"/>
      <c r="AK350" s="91"/>
      <c r="AL350" s="91"/>
      <c r="AM350" s="91"/>
      <c r="AN350" s="91"/>
      <c r="AO350" s="91"/>
      <c r="AP350" s="91"/>
    </row>
    <row r="351" spans="1:42">
      <c r="A351" s="50" t="s">
        <v>311</v>
      </c>
      <c r="B351" s="372"/>
      <c r="C351" s="372"/>
      <c r="D351" s="372"/>
      <c r="E351" s="372"/>
      <c r="F351" s="372"/>
      <c r="G351" s="372"/>
      <c r="H351" s="372"/>
      <c r="I351" s="372"/>
      <c r="J351" s="372"/>
      <c r="K351" s="372"/>
      <c r="L351" s="372"/>
      <c r="M351" s="372"/>
      <c r="N351" s="372"/>
      <c r="O351" s="84"/>
      <c r="P351" s="84"/>
      <c r="Q351" s="84"/>
      <c r="R351" s="84"/>
      <c r="S351" s="84"/>
      <c r="T351" s="84"/>
      <c r="U351" s="84"/>
      <c r="V351" s="84"/>
      <c r="W351" s="84"/>
      <c r="X351" s="84"/>
      <c r="AA351" s="91"/>
      <c r="AB351" s="91"/>
      <c r="AC351" s="91"/>
      <c r="AD351" s="91"/>
      <c r="AE351" s="91"/>
      <c r="AF351" s="91"/>
      <c r="AG351" s="91"/>
      <c r="AH351" s="91"/>
      <c r="AI351" s="91"/>
      <c r="AJ351" s="91"/>
      <c r="AK351" s="91"/>
      <c r="AL351" s="91"/>
      <c r="AM351" s="91"/>
      <c r="AN351" s="91"/>
      <c r="AO351" s="91"/>
      <c r="AP351" s="91"/>
    </row>
    <row r="352" spans="1:42">
      <c r="A352" s="50" t="s">
        <v>312</v>
      </c>
      <c r="B352" s="372"/>
      <c r="C352" s="372"/>
      <c r="D352" s="372"/>
      <c r="E352" s="372"/>
      <c r="F352" s="372"/>
      <c r="G352" s="372"/>
      <c r="H352" s="372"/>
      <c r="I352" s="372"/>
      <c r="J352" s="372"/>
      <c r="K352" s="372"/>
      <c r="L352" s="372"/>
      <c r="M352" s="372"/>
      <c r="N352" s="372"/>
      <c r="O352" s="372"/>
      <c r="P352" s="327"/>
      <c r="Q352" s="327"/>
      <c r="R352" s="327"/>
      <c r="S352" s="327"/>
      <c r="T352" s="327"/>
      <c r="U352" s="327"/>
      <c r="V352" s="327"/>
      <c r="W352" s="327"/>
      <c r="X352" s="327"/>
      <c r="AA352" s="91"/>
      <c r="AB352" s="91"/>
      <c r="AC352" s="91"/>
      <c r="AD352" s="91"/>
      <c r="AE352" s="91"/>
      <c r="AF352" s="91"/>
      <c r="AG352" s="91"/>
      <c r="AH352" s="91"/>
      <c r="AI352" s="91"/>
      <c r="AJ352" s="91"/>
      <c r="AK352" s="91"/>
      <c r="AL352" s="91"/>
      <c r="AM352" s="91"/>
      <c r="AN352" s="91"/>
      <c r="AO352" s="91"/>
      <c r="AP352" s="91"/>
    </row>
    <row r="353" spans="1:43">
      <c r="A353" s="4" t="s">
        <v>363</v>
      </c>
      <c r="O353" s="384">
        <v>0</v>
      </c>
      <c r="P353" s="384">
        <v>0.9</v>
      </c>
      <c r="Q353" s="384">
        <v>0.9</v>
      </c>
      <c r="R353" s="384">
        <v>0.9</v>
      </c>
      <c r="S353" s="384">
        <v>0.9</v>
      </c>
      <c r="T353" s="384">
        <v>0.9</v>
      </c>
      <c r="U353" s="384">
        <v>0.9</v>
      </c>
      <c r="V353" s="384">
        <v>0.9</v>
      </c>
      <c r="W353" s="384">
        <v>0.9</v>
      </c>
      <c r="AA353" s="91"/>
      <c r="AB353" s="91"/>
      <c r="AC353" s="91"/>
      <c r="AD353" s="91"/>
      <c r="AE353" s="91"/>
      <c r="AF353" s="91"/>
      <c r="AG353" s="91"/>
      <c r="AH353" s="91"/>
      <c r="AI353" s="91"/>
      <c r="AJ353" s="91"/>
      <c r="AK353" s="91"/>
      <c r="AL353" s="91"/>
      <c r="AM353" s="91"/>
      <c r="AN353" s="91"/>
      <c r="AO353" s="91"/>
      <c r="AP353" s="91"/>
    </row>
    <row r="354" spans="1:43">
      <c r="O354" s="349"/>
      <c r="P354" s="349"/>
      <c r="Q354" s="349"/>
      <c r="R354" s="349"/>
      <c r="S354" s="349"/>
      <c r="T354" s="349"/>
      <c r="U354" s="349"/>
      <c r="V354" s="349"/>
      <c r="W354" s="349"/>
      <c r="AA354" s="91"/>
      <c r="AB354" s="91"/>
      <c r="AC354" s="91"/>
      <c r="AD354" s="91"/>
      <c r="AE354" s="91"/>
      <c r="AF354" s="91"/>
      <c r="AG354" s="91"/>
      <c r="AH354" s="91"/>
      <c r="AI354" s="91"/>
      <c r="AJ354" s="91"/>
      <c r="AK354" s="91"/>
      <c r="AL354" s="91"/>
      <c r="AM354" s="91"/>
      <c r="AN354" s="91"/>
      <c r="AO354" s="91"/>
      <c r="AP354" s="91"/>
    </row>
    <row r="355" spans="1:43">
      <c r="A355" s="4" t="s">
        <v>359</v>
      </c>
      <c r="B355" s="405"/>
      <c r="C355" s="398">
        <v>6.9300000000000006</v>
      </c>
      <c r="D355" s="398">
        <v>0</v>
      </c>
      <c r="E355" s="398">
        <v>0</v>
      </c>
      <c r="F355" s="398">
        <v>4.5035248869181634</v>
      </c>
      <c r="G355" s="398"/>
      <c r="H355" s="398"/>
      <c r="I355" s="398"/>
      <c r="J355" s="398"/>
      <c r="K355" s="398"/>
      <c r="L355" s="398"/>
      <c r="M355" s="398"/>
      <c r="N355" s="398">
        <f t="shared" ref="N355:V355" si="222">-N335</f>
        <v>0</v>
      </c>
      <c r="O355" s="398">
        <f t="shared" si="222"/>
        <v>9.2855982126999592</v>
      </c>
      <c r="P355" s="398">
        <f t="shared" si="222"/>
        <v>21.908924913357549</v>
      </c>
      <c r="Q355" s="398">
        <f t="shared" si="222"/>
        <v>29.320185492586667</v>
      </c>
      <c r="R355" s="398">
        <f t="shared" si="222"/>
        <v>34.707943036013354</v>
      </c>
      <c r="S355" s="398">
        <f t="shared" si="222"/>
        <v>42.06683371784392</v>
      </c>
      <c r="T355" s="398">
        <f t="shared" si="222"/>
        <v>49.010724617406481</v>
      </c>
      <c r="U355" s="398">
        <f t="shared" si="222"/>
        <v>55.222311430525387</v>
      </c>
      <c r="V355" s="398">
        <f t="shared" si="222"/>
        <v>60.9318218817399</v>
      </c>
      <c r="W355" s="398">
        <f>-W335</f>
        <v>66.228053837252332</v>
      </c>
      <c r="AA355" s="91"/>
      <c r="AB355" s="91"/>
      <c r="AC355" s="91"/>
      <c r="AD355" s="91"/>
      <c r="AE355" s="91"/>
      <c r="AF355" s="91"/>
      <c r="AG355" s="91"/>
      <c r="AH355" s="91"/>
      <c r="AI355" s="91"/>
      <c r="AJ355" s="91"/>
      <c r="AK355" s="91"/>
      <c r="AL355" s="91"/>
      <c r="AM355" s="91"/>
      <c r="AN355" s="91"/>
      <c r="AO355" s="91"/>
      <c r="AP355" s="91"/>
    </row>
    <row r="356" spans="1:43">
      <c r="A356" s="4" t="s">
        <v>360</v>
      </c>
      <c r="B356" s="326"/>
      <c r="C356" s="398">
        <v>2.4</v>
      </c>
      <c r="D356" s="398">
        <v>7.5</v>
      </c>
      <c r="E356" s="398">
        <v>2.7</v>
      </c>
      <c r="F356" s="398">
        <v>8</v>
      </c>
      <c r="G356" s="398"/>
      <c r="H356" s="398"/>
      <c r="I356" s="398"/>
      <c r="J356" s="398"/>
      <c r="K356" s="398"/>
      <c r="L356" s="398"/>
      <c r="M356" s="398"/>
      <c r="N356" s="398">
        <f t="shared" ref="N356:W356" si="223">-N189</f>
        <v>2.2517624434590817</v>
      </c>
      <c r="O356" s="398">
        <f t="shared" si="223"/>
        <v>-0.78517143530378775</v>
      </c>
      <c r="P356" s="398">
        <f t="shared" si="223"/>
        <v>9.2855982126999592</v>
      </c>
      <c r="Q356" s="398">
        <f t="shared" si="223"/>
        <v>21.908924913357549</v>
      </c>
      <c r="R356" s="398">
        <f t="shared" si="223"/>
        <v>29.320185492586667</v>
      </c>
      <c r="S356" s="398">
        <f t="shared" si="223"/>
        <v>34.707943036013354</v>
      </c>
      <c r="T356" s="398">
        <f t="shared" si="223"/>
        <v>42.06683371784392</v>
      </c>
      <c r="U356" s="398">
        <f t="shared" si="223"/>
        <v>49.010724617406481</v>
      </c>
      <c r="V356" s="398">
        <f t="shared" si="223"/>
        <v>55.222311430525387</v>
      </c>
      <c r="W356" s="398">
        <f t="shared" si="223"/>
        <v>60.9318218817399</v>
      </c>
      <c r="AA356" s="91"/>
      <c r="AB356" s="91"/>
      <c r="AC356" s="91"/>
      <c r="AD356" s="91"/>
      <c r="AE356" s="91"/>
      <c r="AF356" s="91"/>
      <c r="AG356" s="91"/>
      <c r="AH356" s="91"/>
      <c r="AI356" s="91"/>
      <c r="AJ356" s="91"/>
      <c r="AK356" s="91"/>
      <c r="AL356" s="91"/>
      <c r="AM356" s="91"/>
      <c r="AN356" s="91"/>
      <c r="AO356" s="91"/>
      <c r="AP356" s="91"/>
    </row>
    <row r="357" spans="1:43">
      <c r="A357" s="4" t="s">
        <v>361</v>
      </c>
      <c r="C357" s="398"/>
      <c r="D357" s="398"/>
      <c r="E357" s="398">
        <v>-2.7</v>
      </c>
      <c r="F357" s="398">
        <v>-3.4964751130818366</v>
      </c>
      <c r="G357" s="398"/>
      <c r="H357" s="398"/>
      <c r="I357" s="398"/>
      <c r="J357" s="398"/>
      <c r="K357" s="398"/>
      <c r="L357" s="398"/>
      <c r="M357" s="398"/>
      <c r="N357" s="398">
        <f t="shared" ref="N357:V357" si="224">+N355-N356</f>
        <v>-2.2517624434590817</v>
      </c>
      <c r="O357" s="398">
        <f t="shared" si="224"/>
        <v>10.070769648003747</v>
      </c>
      <c r="P357" s="398">
        <f t="shared" si="224"/>
        <v>12.623326700657589</v>
      </c>
      <c r="Q357" s="398">
        <f t="shared" si="224"/>
        <v>7.4112605792291184</v>
      </c>
      <c r="R357" s="398">
        <f t="shared" si="224"/>
        <v>5.3877575434266873</v>
      </c>
      <c r="S357" s="398">
        <f t="shared" si="224"/>
        <v>7.3588906818305659</v>
      </c>
      <c r="T357" s="398">
        <f t="shared" si="224"/>
        <v>6.943890899562561</v>
      </c>
      <c r="U357" s="398">
        <f t="shared" si="224"/>
        <v>6.211586813118906</v>
      </c>
      <c r="V357" s="398">
        <f t="shared" si="224"/>
        <v>5.7095104512145127</v>
      </c>
      <c r="W357" s="398">
        <f>+W355-W356</f>
        <v>5.2962319555124324</v>
      </c>
      <c r="AA357" s="91"/>
      <c r="AB357" s="91"/>
      <c r="AC357" s="91"/>
      <c r="AD357" s="91"/>
      <c r="AE357" s="91"/>
      <c r="AF357" s="91"/>
      <c r="AG357" s="91"/>
      <c r="AH357" s="91"/>
      <c r="AI357" s="91"/>
      <c r="AJ357" s="91"/>
      <c r="AK357" s="91"/>
      <c r="AL357" s="91"/>
      <c r="AM357" s="91"/>
      <c r="AN357" s="91"/>
      <c r="AO357" s="91"/>
      <c r="AP357" s="91"/>
    </row>
    <row r="358" spans="1:43">
      <c r="A358" s="4" t="s">
        <v>362</v>
      </c>
      <c r="C358" s="398"/>
      <c r="D358" s="398"/>
      <c r="E358" s="398">
        <v>59.630389220657875</v>
      </c>
      <c r="F358" s="398">
        <v>66.385255687662621</v>
      </c>
      <c r="G358" s="398"/>
      <c r="H358" s="398"/>
      <c r="I358" s="398"/>
      <c r="J358" s="398"/>
      <c r="K358" s="398"/>
      <c r="L358" s="398"/>
      <c r="M358" s="398"/>
      <c r="N358" s="398">
        <f>NPV(6.8%,N357:$V357)</f>
        <v>42.825416102431646</v>
      </c>
      <c r="O358" s="398">
        <f>NPV(6.8%,O357:$V357)</f>
        <v>47.989306840856081</v>
      </c>
      <c r="P358" s="398">
        <f>NPV(6.8%,P357:$V357)</f>
        <v>41.18181005803055</v>
      </c>
      <c r="Q358" s="398">
        <f>NPV(6.8%,Q357:$V357)</f>
        <v>31.358846441319052</v>
      </c>
      <c r="R358" s="398">
        <f>NPV(6.8%,R357:$V357)</f>
        <v>26.079987420099624</v>
      </c>
      <c r="S358" s="398">
        <f>NPV(6.8%,S357:$V357)</f>
        <v>22.465669021239716</v>
      </c>
      <c r="T358" s="398">
        <f>NPV(6.8%,T357:$V357)</f>
        <v>16.634443832853449</v>
      </c>
      <c r="U358" s="398">
        <f>NPV(6.8%,U357:$V357)</f>
        <v>10.821695113924925</v>
      </c>
      <c r="V358" s="398">
        <f>NPV(6.8%,V357:$V357)</f>
        <v>5.3459835685529145</v>
      </c>
      <c r="W358" s="398">
        <f>NPV(6.8%,$V357:W357)</f>
        <v>9.9892594907783199</v>
      </c>
      <c r="AA358" s="91"/>
      <c r="AB358" s="91"/>
      <c r="AC358" s="91"/>
      <c r="AD358" s="91"/>
      <c r="AE358" s="91"/>
      <c r="AF358" s="91"/>
      <c r="AG358" s="91"/>
      <c r="AH358" s="91"/>
      <c r="AI358" s="91"/>
      <c r="AJ358" s="91"/>
      <c r="AK358" s="91"/>
      <c r="AL358" s="91"/>
      <c r="AM358" s="91"/>
      <c r="AN358" s="91"/>
      <c r="AO358" s="91"/>
      <c r="AP358" s="91"/>
    </row>
    <row r="359" spans="1:43">
      <c r="AA359" s="91"/>
      <c r="AB359" s="91"/>
      <c r="AC359" s="91"/>
      <c r="AD359" s="91"/>
      <c r="AE359" s="91"/>
      <c r="AF359" s="91"/>
      <c r="AG359" s="91"/>
      <c r="AH359" s="91"/>
      <c r="AI359" s="91"/>
      <c r="AJ359" s="91"/>
      <c r="AK359" s="91"/>
      <c r="AL359" s="91"/>
      <c r="AM359" s="91"/>
      <c r="AN359" s="91"/>
      <c r="AO359" s="91"/>
      <c r="AP359" s="91"/>
    </row>
    <row r="360" spans="1:43">
      <c r="A360" s="4" t="s">
        <v>768</v>
      </c>
      <c r="AA360" s="91"/>
      <c r="AB360" s="91"/>
      <c r="AC360" s="91"/>
      <c r="AD360" s="91"/>
      <c r="AE360" s="91"/>
      <c r="AF360" s="91"/>
      <c r="AG360" s="91"/>
      <c r="AH360" s="91"/>
      <c r="AI360" s="91"/>
      <c r="AJ360" s="91"/>
      <c r="AK360" s="91"/>
      <c r="AL360" s="91"/>
      <c r="AM360" s="91"/>
      <c r="AN360" s="91"/>
      <c r="AO360" s="91"/>
      <c r="AP360" s="91"/>
    </row>
    <row r="361" spans="1:43">
      <c r="A361" s="4" t="s">
        <v>769</v>
      </c>
      <c r="AA361" s="91"/>
      <c r="AB361" s="91"/>
      <c r="AC361" s="91"/>
      <c r="AD361" s="91"/>
      <c r="AE361" s="91"/>
      <c r="AF361" s="91"/>
      <c r="AG361" s="91"/>
      <c r="AH361" s="91"/>
      <c r="AI361" s="91"/>
      <c r="AJ361" s="91"/>
      <c r="AK361" s="91"/>
      <c r="AL361" s="91"/>
      <c r="AM361" s="91"/>
      <c r="AN361" s="91"/>
      <c r="AO361" s="91"/>
      <c r="AP361" s="91"/>
    </row>
    <row r="362" spans="1:43">
      <c r="A362" s="4" t="s">
        <v>143</v>
      </c>
      <c r="D362" s="373">
        <v>24.4</v>
      </c>
      <c r="E362" s="373">
        <v>24.887999999999998</v>
      </c>
      <c r="F362" s="373">
        <v>25.385759999999998</v>
      </c>
      <c r="G362" s="373"/>
      <c r="H362" s="373"/>
      <c r="I362" s="373"/>
      <c r="J362" s="373"/>
      <c r="K362" s="373"/>
      <c r="L362" s="373"/>
      <c r="M362" s="373"/>
      <c r="N362" s="373">
        <f>+F362*1.02</f>
        <v>25.893475199999997</v>
      </c>
      <c r="O362" s="373">
        <f t="shared" ref="O362:W362" si="225">+N362*1.02</f>
        <v>26.411344703999998</v>
      </c>
      <c r="P362" s="373">
        <f t="shared" si="225"/>
        <v>26.939571598079997</v>
      </c>
      <c r="Q362" s="373">
        <f t="shared" si="225"/>
        <v>27.478363030041596</v>
      </c>
      <c r="R362" s="373">
        <f t="shared" si="225"/>
        <v>28.027930290642427</v>
      </c>
      <c r="S362" s="373">
        <f t="shared" si="225"/>
        <v>28.588488896455274</v>
      </c>
      <c r="T362" s="373">
        <f t="shared" si="225"/>
        <v>29.16025867438438</v>
      </c>
      <c r="U362" s="373">
        <f t="shared" si="225"/>
        <v>29.743463847872068</v>
      </c>
      <c r="V362" s="373">
        <f t="shared" si="225"/>
        <v>30.338333124829511</v>
      </c>
      <c r="W362" s="373">
        <f t="shared" si="225"/>
        <v>30.9450997873261</v>
      </c>
      <c r="AA362" s="91"/>
      <c r="AB362" s="91"/>
      <c r="AC362" s="91"/>
      <c r="AD362" s="91"/>
      <c r="AE362" s="91"/>
      <c r="AF362" s="91"/>
      <c r="AG362" s="91"/>
      <c r="AH362" s="91"/>
      <c r="AI362" s="91"/>
      <c r="AJ362" s="91"/>
      <c r="AK362" s="91"/>
      <c r="AL362" s="91"/>
      <c r="AM362" s="91"/>
      <c r="AN362" s="91"/>
      <c r="AO362" s="91"/>
      <c r="AP362" s="91"/>
    </row>
    <row r="363" spans="1:43">
      <c r="A363" s="4" t="s">
        <v>281</v>
      </c>
      <c r="D363" s="398">
        <v>10.8</v>
      </c>
      <c r="E363" s="398">
        <v>11.016</v>
      </c>
      <c r="F363" s="398">
        <v>11.236320000000001</v>
      </c>
      <c r="G363" s="398"/>
      <c r="H363" s="398"/>
      <c r="I363" s="398"/>
      <c r="J363" s="398"/>
      <c r="K363" s="398"/>
      <c r="L363" s="398"/>
      <c r="M363" s="398"/>
      <c r="N363" s="398">
        <f t="shared" ref="N363:W363" si="226">+N362*N364</f>
        <v>11.461046400000001</v>
      </c>
      <c r="O363" s="398">
        <f t="shared" si="226"/>
        <v>11.690267328000001</v>
      </c>
      <c r="P363" s="398">
        <f t="shared" si="226"/>
        <v>11.92407267456</v>
      </c>
      <c r="Q363" s="398">
        <f t="shared" si="226"/>
        <v>12.1625541280512</v>
      </c>
      <c r="R363" s="398">
        <f t="shared" si="226"/>
        <v>12.405805210612224</v>
      </c>
      <c r="S363" s="398">
        <f t="shared" si="226"/>
        <v>12.653921314824467</v>
      </c>
      <c r="T363" s="398">
        <f t="shared" si="226"/>
        <v>12.906999741120957</v>
      </c>
      <c r="U363" s="398">
        <f t="shared" si="226"/>
        <v>13.165139735943375</v>
      </c>
      <c r="V363" s="398">
        <f t="shared" si="226"/>
        <v>13.428442530662243</v>
      </c>
      <c r="W363" s="398">
        <f t="shared" si="226"/>
        <v>13.697011381275489</v>
      </c>
      <c r="AA363" s="91"/>
      <c r="AB363" s="91"/>
      <c r="AC363" s="91"/>
      <c r="AD363" s="91"/>
      <c r="AE363" s="91"/>
      <c r="AF363" s="91"/>
      <c r="AG363" s="91"/>
      <c r="AH363" s="91"/>
      <c r="AI363" s="91"/>
      <c r="AJ363" s="91"/>
      <c r="AK363" s="91"/>
      <c r="AL363" s="91"/>
      <c r="AM363" s="91"/>
      <c r="AN363" s="91"/>
      <c r="AO363" s="91"/>
      <c r="AP363" s="91"/>
    </row>
    <row r="364" spans="1:43" s="66" customFormat="1">
      <c r="A364" s="4" t="s">
        <v>611</v>
      </c>
      <c r="B364" s="75"/>
      <c r="C364" s="75"/>
      <c r="D364" s="349">
        <v>0.44262295081967218</v>
      </c>
      <c r="E364" s="384">
        <v>0.44262295081967218</v>
      </c>
      <c r="F364" s="384">
        <v>0.44262295081967218</v>
      </c>
      <c r="G364" s="384"/>
      <c r="H364" s="384"/>
      <c r="I364" s="384"/>
      <c r="J364" s="384"/>
      <c r="K364" s="384"/>
      <c r="L364" s="384"/>
      <c r="M364" s="384"/>
      <c r="N364" s="384">
        <f>+F364</f>
        <v>0.44262295081967218</v>
      </c>
      <c r="O364" s="384">
        <f t="shared" ref="O364:W365" si="227">+N364</f>
        <v>0.44262295081967218</v>
      </c>
      <c r="P364" s="384">
        <f t="shared" si="227"/>
        <v>0.44262295081967218</v>
      </c>
      <c r="Q364" s="384">
        <f t="shared" si="227"/>
        <v>0.44262295081967218</v>
      </c>
      <c r="R364" s="384">
        <f t="shared" si="227"/>
        <v>0.44262295081967218</v>
      </c>
      <c r="S364" s="384">
        <f t="shared" si="227"/>
        <v>0.44262295081967218</v>
      </c>
      <c r="T364" s="384">
        <f t="shared" si="227"/>
        <v>0.44262295081967218</v>
      </c>
      <c r="U364" s="384">
        <f t="shared" si="227"/>
        <v>0.44262295081967218</v>
      </c>
      <c r="V364" s="384">
        <f t="shared" si="227"/>
        <v>0.44262295081967218</v>
      </c>
      <c r="W364" s="384">
        <f t="shared" si="227"/>
        <v>0.44262295081967218</v>
      </c>
      <c r="X364" s="75"/>
      <c r="Y364" s="75"/>
      <c r="Z364" s="75"/>
      <c r="AA364" s="91"/>
      <c r="AB364" s="91"/>
      <c r="AC364" s="91"/>
      <c r="AD364" s="91"/>
      <c r="AE364" s="91"/>
      <c r="AF364" s="91"/>
      <c r="AG364" s="91"/>
      <c r="AH364" s="91"/>
      <c r="AI364" s="91"/>
      <c r="AJ364" s="91"/>
      <c r="AK364" s="91"/>
      <c r="AL364" s="91"/>
      <c r="AM364" s="91"/>
      <c r="AN364" s="91"/>
      <c r="AO364" s="91"/>
      <c r="AP364" s="91"/>
      <c r="AQ364" s="4"/>
    </row>
    <row r="365" spans="1:43">
      <c r="A365" s="4" t="s">
        <v>160</v>
      </c>
      <c r="D365" s="75">
        <v>3.5</v>
      </c>
      <c r="E365" s="373">
        <v>3.5</v>
      </c>
      <c r="F365" s="373">
        <v>3.5</v>
      </c>
      <c r="G365" s="373"/>
      <c r="H365" s="373"/>
      <c r="I365" s="373"/>
      <c r="J365" s="373"/>
      <c r="K365" s="373"/>
      <c r="L365" s="373"/>
      <c r="M365" s="373"/>
      <c r="N365" s="373">
        <f>+F365</f>
        <v>3.5</v>
      </c>
      <c r="O365" s="373">
        <f t="shared" si="227"/>
        <v>3.5</v>
      </c>
      <c r="P365" s="373">
        <f t="shared" si="227"/>
        <v>3.5</v>
      </c>
      <c r="Q365" s="373">
        <f t="shared" si="227"/>
        <v>3.5</v>
      </c>
      <c r="R365" s="373">
        <f t="shared" si="227"/>
        <v>3.5</v>
      </c>
      <c r="S365" s="373">
        <f t="shared" si="227"/>
        <v>3.5</v>
      </c>
      <c r="T365" s="373">
        <f t="shared" si="227"/>
        <v>3.5</v>
      </c>
      <c r="U365" s="373">
        <f t="shared" si="227"/>
        <v>3.5</v>
      </c>
      <c r="V365" s="373">
        <f t="shared" si="227"/>
        <v>3.5</v>
      </c>
      <c r="W365" s="373">
        <f t="shared" si="227"/>
        <v>3.5</v>
      </c>
      <c r="AA365" s="91"/>
      <c r="AB365" s="91"/>
      <c r="AC365" s="91"/>
      <c r="AD365" s="91"/>
      <c r="AE365" s="91"/>
      <c r="AF365" s="91"/>
      <c r="AG365" s="91"/>
      <c r="AH365" s="91"/>
      <c r="AI365" s="91"/>
      <c r="AJ365" s="91"/>
      <c r="AK365" s="91"/>
      <c r="AL365" s="91"/>
      <c r="AM365" s="91"/>
      <c r="AN365" s="91"/>
      <c r="AO365" s="91"/>
      <c r="AP365" s="91"/>
    </row>
    <row r="366" spans="1:43">
      <c r="A366" s="4" t="s">
        <v>772</v>
      </c>
      <c r="AA366" s="91"/>
      <c r="AB366" s="91"/>
      <c r="AC366" s="91"/>
      <c r="AD366" s="91"/>
      <c r="AE366" s="91"/>
      <c r="AF366" s="91"/>
      <c r="AG366" s="91"/>
      <c r="AH366" s="91"/>
      <c r="AI366" s="91"/>
      <c r="AJ366" s="91"/>
      <c r="AK366" s="91"/>
      <c r="AL366" s="91"/>
      <c r="AM366" s="91"/>
      <c r="AN366" s="91"/>
      <c r="AO366" s="91"/>
      <c r="AP366" s="91"/>
    </row>
    <row r="367" spans="1:43">
      <c r="A367" s="4" t="s">
        <v>143</v>
      </c>
      <c r="D367" s="75">
        <v>1.6</v>
      </c>
      <c r="E367" s="373">
        <v>1.6320000000000001</v>
      </c>
      <c r="F367" s="373">
        <v>1.6646400000000001</v>
      </c>
      <c r="G367" s="373"/>
      <c r="H367" s="373"/>
      <c r="I367" s="373"/>
      <c r="J367" s="373"/>
      <c r="K367" s="373"/>
      <c r="L367" s="373"/>
      <c r="M367" s="373"/>
      <c r="N367" s="373">
        <f>+F367*1.02</f>
        <v>1.6979328000000002</v>
      </c>
      <c r="O367" s="373">
        <f t="shared" ref="O367:W367" si="228">+N367*1.02</f>
        <v>1.7318914560000003</v>
      </c>
      <c r="P367" s="373">
        <f t="shared" si="228"/>
        <v>1.7665292851200003</v>
      </c>
      <c r="Q367" s="373">
        <f t="shared" si="228"/>
        <v>1.8018598708224003</v>
      </c>
      <c r="R367" s="373">
        <f t="shared" si="228"/>
        <v>1.8378970682388482</v>
      </c>
      <c r="S367" s="373">
        <f t="shared" si="228"/>
        <v>1.8746550096036252</v>
      </c>
      <c r="T367" s="373">
        <f t="shared" si="228"/>
        <v>1.9121481097956978</v>
      </c>
      <c r="U367" s="373">
        <f t="shared" si="228"/>
        <v>1.9503910719916118</v>
      </c>
      <c r="V367" s="373">
        <f t="shared" si="228"/>
        <v>1.9893988934314439</v>
      </c>
      <c r="W367" s="373">
        <f t="shared" si="228"/>
        <v>2.0291868713000727</v>
      </c>
      <c r="AA367" s="91"/>
      <c r="AB367" s="91"/>
      <c r="AC367" s="91"/>
      <c r="AD367" s="91"/>
      <c r="AE367" s="91"/>
      <c r="AF367" s="91"/>
      <c r="AG367" s="91"/>
      <c r="AH367" s="91"/>
      <c r="AI367" s="91"/>
      <c r="AJ367" s="91"/>
      <c r="AK367" s="91"/>
      <c r="AL367" s="91"/>
      <c r="AM367" s="91"/>
      <c r="AN367" s="91"/>
      <c r="AO367" s="91"/>
      <c r="AP367" s="91"/>
    </row>
    <row r="368" spans="1:43">
      <c r="A368" s="4" t="s">
        <v>281</v>
      </c>
      <c r="D368" s="75">
        <v>0.5</v>
      </c>
      <c r="E368" s="398">
        <v>0.51</v>
      </c>
      <c r="F368" s="398">
        <v>0.5202</v>
      </c>
      <c r="G368" s="398"/>
      <c r="H368" s="398"/>
      <c r="I368" s="398"/>
      <c r="J368" s="398"/>
      <c r="K368" s="398"/>
      <c r="L368" s="398"/>
      <c r="M368" s="398"/>
      <c r="N368" s="398">
        <f t="shared" ref="N368:W368" si="229">+N367*N369</f>
        <v>0.53060400000000008</v>
      </c>
      <c r="O368" s="398">
        <f t="shared" si="229"/>
        <v>0.5412160800000001</v>
      </c>
      <c r="P368" s="398">
        <f t="shared" si="229"/>
        <v>0.55204040160000012</v>
      </c>
      <c r="Q368" s="398">
        <f t="shared" si="229"/>
        <v>0.56308120963200015</v>
      </c>
      <c r="R368" s="398">
        <f t="shared" si="229"/>
        <v>0.57434283382464013</v>
      </c>
      <c r="S368" s="398">
        <f t="shared" si="229"/>
        <v>0.58582969050113287</v>
      </c>
      <c r="T368" s="398">
        <f t="shared" si="229"/>
        <v>0.59754628431115553</v>
      </c>
      <c r="U368" s="398">
        <f t="shared" si="229"/>
        <v>0.60949720999737866</v>
      </c>
      <c r="V368" s="398">
        <f t="shared" si="229"/>
        <v>0.62168715419732623</v>
      </c>
      <c r="W368" s="398">
        <f t="shared" si="229"/>
        <v>0.63412089728127274</v>
      </c>
      <c r="AA368" s="91"/>
      <c r="AB368" s="91"/>
      <c r="AC368" s="91"/>
      <c r="AD368" s="91"/>
      <c r="AE368" s="91"/>
      <c r="AF368" s="91"/>
      <c r="AG368" s="91"/>
      <c r="AH368" s="91"/>
      <c r="AI368" s="91"/>
      <c r="AJ368" s="91"/>
      <c r="AK368" s="91"/>
      <c r="AL368" s="91"/>
      <c r="AM368" s="91"/>
      <c r="AN368" s="91"/>
      <c r="AO368" s="91"/>
      <c r="AP368" s="91"/>
    </row>
    <row r="369" spans="1:42">
      <c r="A369" s="4" t="s">
        <v>611</v>
      </c>
      <c r="D369" s="349">
        <v>0.3125</v>
      </c>
      <c r="E369" s="384">
        <v>0.3125</v>
      </c>
      <c r="F369" s="384">
        <v>0.3125</v>
      </c>
      <c r="G369" s="384"/>
      <c r="H369" s="384"/>
      <c r="I369" s="384"/>
      <c r="J369" s="384"/>
      <c r="K369" s="384"/>
      <c r="L369" s="384"/>
      <c r="M369" s="384"/>
      <c r="N369" s="384">
        <f>+F369</f>
        <v>0.3125</v>
      </c>
      <c r="O369" s="384">
        <f t="shared" ref="O369:W370" si="230">+N369</f>
        <v>0.3125</v>
      </c>
      <c r="P369" s="384">
        <f t="shared" si="230"/>
        <v>0.3125</v>
      </c>
      <c r="Q369" s="384">
        <f t="shared" si="230"/>
        <v>0.3125</v>
      </c>
      <c r="R369" s="384">
        <f t="shared" si="230"/>
        <v>0.3125</v>
      </c>
      <c r="S369" s="384">
        <f t="shared" si="230"/>
        <v>0.3125</v>
      </c>
      <c r="T369" s="384">
        <f t="shared" si="230"/>
        <v>0.3125</v>
      </c>
      <c r="U369" s="384">
        <f t="shared" si="230"/>
        <v>0.3125</v>
      </c>
      <c r="V369" s="384">
        <f t="shared" si="230"/>
        <v>0.3125</v>
      </c>
      <c r="W369" s="384">
        <f t="shared" si="230"/>
        <v>0.3125</v>
      </c>
      <c r="AA369" s="91"/>
      <c r="AB369" s="91"/>
      <c r="AC369" s="91"/>
      <c r="AD369" s="91"/>
      <c r="AE369" s="91"/>
      <c r="AF369" s="91"/>
      <c r="AG369" s="91"/>
      <c r="AH369" s="91"/>
      <c r="AI369" s="91"/>
      <c r="AJ369" s="91"/>
      <c r="AK369" s="91"/>
      <c r="AL369" s="91"/>
      <c r="AM369" s="91"/>
      <c r="AN369" s="91"/>
      <c r="AO369" s="91"/>
      <c r="AP369" s="91"/>
    </row>
    <row r="370" spans="1:42">
      <c r="A370" s="4" t="s">
        <v>160</v>
      </c>
      <c r="D370" s="75">
        <v>-0.5</v>
      </c>
      <c r="E370" s="373">
        <v>-0.5</v>
      </c>
      <c r="F370" s="373">
        <v>-0.5</v>
      </c>
      <c r="G370" s="373"/>
      <c r="H370" s="373"/>
      <c r="I370" s="373"/>
      <c r="J370" s="373"/>
      <c r="K370" s="373"/>
      <c r="L370" s="373"/>
      <c r="M370" s="373"/>
      <c r="N370" s="373">
        <f>+F370</f>
        <v>-0.5</v>
      </c>
      <c r="O370" s="373">
        <f t="shared" si="230"/>
        <v>-0.5</v>
      </c>
      <c r="P370" s="373">
        <f t="shared" si="230"/>
        <v>-0.5</v>
      </c>
      <c r="Q370" s="373">
        <f t="shared" si="230"/>
        <v>-0.5</v>
      </c>
      <c r="R370" s="373">
        <f t="shared" si="230"/>
        <v>-0.5</v>
      </c>
      <c r="S370" s="373">
        <f t="shared" si="230"/>
        <v>-0.5</v>
      </c>
      <c r="T370" s="373">
        <f t="shared" si="230"/>
        <v>-0.5</v>
      </c>
      <c r="U370" s="373">
        <f t="shared" si="230"/>
        <v>-0.5</v>
      </c>
      <c r="V370" s="373">
        <f t="shared" si="230"/>
        <v>-0.5</v>
      </c>
      <c r="W370" s="373">
        <f t="shared" si="230"/>
        <v>-0.5</v>
      </c>
      <c r="AA370" s="91"/>
      <c r="AB370" s="91"/>
      <c r="AC370" s="91"/>
      <c r="AD370" s="91"/>
      <c r="AE370" s="91"/>
      <c r="AF370" s="91"/>
      <c r="AG370" s="91"/>
      <c r="AH370" s="91"/>
      <c r="AI370" s="91"/>
      <c r="AJ370" s="91"/>
      <c r="AK370" s="91"/>
      <c r="AL370" s="91"/>
      <c r="AM370" s="91"/>
      <c r="AN370" s="91"/>
      <c r="AO370" s="91"/>
      <c r="AP370" s="91"/>
    </row>
    <row r="371" spans="1:42">
      <c r="A371" s="4" t="s">
        <v>1106</v>
      </c>
      <c r="E371" s="373"/>
      <c r="F371" s="373"/>
      <c r="G371" s="373"/>
      <c r="H371" s="373"/>
      <c r="I371" s="373"/>
      <c r="J371" s="373"/>
      <c r="K371" s="373"/>
      <c r="L371" s="373"/>
      <c r="M371" s="373"/>
      <c r="N371" s="373"/>
      <c r="O371" s="373"/>
      <c r="P371" s="373"/>
      <c r="Q371" s="373"/>
      <c r="R371" s="373"/>
      <c r="S371" s="373"/>
      <c r="T371" s="373"/>
      <c r="U371" s="373"/>
      <c r="V371" s="373"/>
      <c r="W371" s="373"/>
      <c r="AA371" s="91"/>
      <c r="AB371" s="91"/>
      <c r="AC371" s="91"/>
      <c r="AD371" s="91"/>
      <c r="AE371" s="91"/>
      <c r="AF371" s="91"/>
      <c r="AG371" s="91"/>
      <c r="AH371" s="91"/>
      <c r="AI371" s="91"/>
      <c r="AJ371" s="91"/>
      <c r="AK371" s="91"/>
      <c r="AL371" s="91"/>
      <c r="AM371" s="91"/>
      <c r="AN371" s="91"/>
      <c r="AO371" s="91"/>
      <c r="AP371" s="91"/>
    </row>
    <row r="372" spans="1:42">
      <c r="A372" s="4" t="s">
        <v>1107</v>
      </c>
      <c r="E372" s="373"/>
      <c r="F372" s="373"/>
      <c r="G372" s="373"/>
      <c r="H372" s="373"/>
      <c r="I372" s="373"/>
      <c r="J372" s="373"/>
      <c r="K372" s="373"/>
      <c r="L372" s="373"/>
      <c r="M372" s="373"/>
      <c r="N372" s="373"/>
      <c r="O372" s="373"/>
      <c r="P372" s="373"/>
      <c r="Q372" s="373"/>
      <c r="R372" s="373"/>
      <c r="S372" s="373"/>
      <c r="T372" s="373"/>
      <c r="U372" s="373"/>
      <c r="V372" s="373"/>
      <c r="W372" s="373"/>
      <c r="AA372" s="91"/>
      <c r="AB372" s="91"/>
      <c r="AC372" s="91"/>
      <c r="AD372" s="91"/>
      <c r="AE372" s="91"/>
      <c r="AF372" s="91"/>
      <c r="AG372" s="91"/>
      <c r="AH372" s="91"/>
      <c r="AI372" s="91"/>
      <c r="AJ372" s="91"/>
      <c r="AK372" s="91"/>
      <c r="AL372" s="91"/>
      <c r="AM372" s="91"/>
      <c r="AN372" s="91"/>
      <c r="AO372" s="91"/>
      <c r="AP372" s="91"/>
    </row>
    <row r="373" spans="1:42">
      <c r="A373" s="4" t="s">
        <v>1108</v>
      </c>
      <c r="E373" s="373"/>
      <c r="F373" s="373"/>
      <c r="G373" s="373"/>
      <c r="H373" s="373"/>
      <c r="I373" s="373"/>
      <c r="J373" s="373"/>
      <c r="K373" s="373"/>
      <c r="L373" s="373">
        <f>+K6+J6</f>
        <v>58.1</v>
      </c>
      <c r="M373" s="373"/>
      <c r="N373" s="373">
        <f>+L373*(1+N7)</f>
        <v>60.577753338972926</v>
      </c>
      <c r="O373" s="373">
        <f t="shared" ref="O373:W373" si="231">+N373*(1+O7)</f>
        <v>67.665360090963901</v>
      </c>
      <c r="P373" s="373">
        <f t="shared" si="231"/>
        <v>75.545968246588302</v>
      </c>
      <c r="Q373" s="373">
        <f t="shared" si="231"/>
        <v>80.432368510858623</v>
      </c>
      <c r="R373" s="373">
        <f t="shared" si="231"/>
        <v>85.21838897455477</v>
      </c>
      <c r="S373" s="373">
        <f t="shared" si="231"/>
        <v>90.001945251933122</v>
      </c>
      <c r="T373" s="373">
        <f t="shared" si="231"/>
        <v>95.152872222897912</v>
      </c>
      <c r="U373" s="373">
        <f t="shared" si="231"/>
        <v>100.2415458103218</v>
      </c>
      <c r="V373" s="373">
        <f t="shared" si="231"/>
        <v>105.35625270867985</v>
      </c>
      <c r="W373" s="373">
        <f t="shared" si="231"/>
        <v>110.49057818435878</v>
      </c>
      <c r="AA373" s="91"/>
      <c r="AB373" s="91"/>
      <c r="AC373" s="91"/>
      <c r="AD373" s="91"/>
      <c r="AE373" s="91"/>
      <c r="AF373" s="91"/>
      <c r="AG373" s="91"/>
      <c r="AH373" s="91"/>
      <c r="AI373" s="91"/>
      <c r="AJ373" s="91"/>
      <c r="AK373" s="91"/>
      <c r="AL373" s="91"/>
      <c r="AM373" s="91"/>
      <c r="AN373" s="91"/>
      <c r="AO373" s="91"/>
      <c r="AP373" s="91"/>
    </row>
    <row r="374" spans="1:42">
      <c r="A374" s="4" t="s">
        <v>1109</v>
      </c>
      <c r="E374" s="373"/>
      <c r="F374" s="373"/>
      <c r="G374" s="373"/>
      <c r="H374" s="373"/>
      <c r="I374" s="373"/>
      <c r="J374" s="373"/>
      <c r="K374" s="373"/>
      <c r="L374" s="373">
        <f>+L373*50%</f>
        <v>29.05</v>
      </c>
      <c r="M374" s="373"/>
      <c r="N374" s="373">
        <f>+N373*50%</f>
        <v>30.288876669486463</v>
      </c>
      <c r="O374" s="373">
        <f t="shared" ref="O374:V374" si="232">+O373*50%</f>
        <v>33.832680045481951</v>
      </c>
      <c r="P374" s="373">
        <f t="shared" si="232"/>
        <v>37.772984123294151</v>
      </c>
      <c r="Q374" s="373">
        <f t="shared" si="232"/>
        <v>40.216184255429312</v>
      </c>
      <c r="R374" s="373">
        <f t="shared" si="232"/>
        <v>42.609194487277385</v>
      </c>
      <c r="S374" s="373">
        <f t="shared" si="232"/>
        <v>45.000972625966561</v>
      </c>
      <c r="T374" s="373">
        <f t="shared" si="232"/>
        <v>47.576436111448956</v>
      </c>
      <c r="U374" s="373">
        <f t="shared" si="232"/>
        <v>50.120772905160898</v>
      </c>
      <c r="V374" s="373">
        <f t="shared" si="232"/>
        <v>52.678126354339923</v>
      </c>
      <c r="W374" s="373">
        <f>+W373*50%</f>
        <v>55.245289092179391</v>
      </c>
      <c r="AA374" s="91"/>
      <c r="AB374" s="91"/>
      <c r="AC374" s="91"/>
      <c r="AD374" s="91"/>
      <c r="AE374" s="91"/>
      <c r="AF374" s="91"/>
      <c r="AG374" s="91"/>
      <c r="AH374" s="91"/>
      <c r="AI374" s="91"/>
      <c r="AJ374" s="91"/>
      <c r="AK374" s="91"/>
      <c r="AL374" s="91"/>
      <c r="AM374" s="91"/>
      <c r="AN374" s="91"/>
      <c r="AO374" s="91"/>
      <c r="AP374" s="91"/>
    </row>
    <row r="375" spans="1:42">
      <c r="A375" s="4" t="s">
        <v>1110</v>
      </c>
      <c r="E375" s="373"/>
      <c r="F375" s="373"/>
      <c r="G375" s="373"/>
      <c r="H375" s="373"/>
      <c r="I375" s="373"/>
      <c r="J375" s="373"/>
      <c r="K375" s="373"/>
      <c r="L375" s="373">
        <f>+L374*30%</f>
        <v>8.7149999999999999</v>
      </c>
      <c r="M375" s="373"/>
      <c r="N375" s="373">
        <f>+N374*30%</f>
        <v>9.0866630008459381</v>
      </c>
      <c r="O375" s="373">
        <f t="shared" ref="O375:V375" si="233">+O374*30%</f>
        <v>10.149804013644586</v>
      </c>
      <c r="P375" s="373">
        <f t="shared" si="233"/>
        <v>11.331895236988245</v>
      </c>
      <c r="Q375" s="373">
        <f t="shared" si="233"/>
        <v>12.064855276628792</v>
      </c>
      <c r="R375" s="373">
        <f t="shared" si="233"/>
        <v>12.782758346183215</v>
      </c>
      <c r="S375" s="373">
        <f t="shared" si="233"/>
        <v>13.500291787789967</v>
      </c>
      <c r="T375" s="373">
        <f t="shared" si="233"/>
        <v>14.272930833434687</v>
      </c>
      <c r="U375" s="373">
        <f t="shared" si="233"/>
        <v>15.036231871548269</v>
      </c>
      <c r="V375" s="373">
        <f t="shared" si="233"/>
        <v>15.803437906301976</v>
      </c>
      <c r="W375" s="373">
        <f>+W374*30%</f>
        <v>16.573586727653815</v>
      </c>
      <c r="AA375" s="91"/>
      <c r="AB375" s="91"/>
      <c r="AC375" s="91"/>
      <c r="AD375" s="91"/>
      <c r="AE375" s="91"/>
      <c r="AF375" s="91"/>
      <c r="AG375" s="91"/>
      <c r="AH375" s="91"/>
      <c r="AI375" s="91"/>
      <c r="AJ375" s="91"/>
      <c r="AK375" s="91"/>
      <c r="AL375" s="91"/>
      <c r="AM375" s="91"/>
      <c r="AN375" s="91"/>
      <c r="AO375" s="91"/>
      <c r="AP375" s="91"/>
    </row>
    <row r="376" spans="1:42">
      <c r="E376" s="326"/>
      <c r="F376" s="326"/>
      <c r="G376" s="326"/>
      <c r="H376" s="326"/>
      <c r="I376" s="326"/>
      <c r="J376" s="326"/>
      <c r="K376" s="326"/>
      <c r="L376" s="326"/>
      <c r="M376" s="326"/>
      <c r="N376" s="326"/>
      <c r="O376" s="326"/>
      <c r="P376" s="326"/>
      <c r="Q376" s="326"/>
      <c r="R376" s="326"/>
      <c r="S376" s="326"/>
      <c r="T376" s="326"/>
      <c r="U376" s="326"/>
      <c r="V376" s="326"/>
      <c r="W376" s="326"/>
      <c r="AA376" s="91"/>
      <c r="AB376" s="91"/>
      <c r="AC376" s="91"/>
      <c r="AD376" s="91"/>
      <c r="AE376" s="91"/>
      <c r="AF376" s="91"/>
      <c r="AG376" s="91"/>
      <c r="AH376" s="91"/>
      <c r="AI376" s="91"/>
      <c r="AJ376" s="91"/>
      <c r="AK376" s="91"/>
      <c r="AL376" s="91"/>
      <c r="AM376" s="91"/>
      <c r="AN376" s="91"/>
      <c r="AO376" s="91"/>
      <c r="AP376" s="91"/>
    </row>
    <row r="377" spans="1:42">
      <c r="E377" s="326"/>
      <c r="F377" s="326"/>
      <c r="G377" s="326"/>
      <c r="H377" s="326"/>
      <c r="I377" s="326"/>
      <c r="J377" s="326"/>
      <c r="K377" s="326"/>
      <c r="L377" s="326"/>
      <c r="M377" s="326"/>
      <c r="N377" s="326"/>
      <c r="O377" s="326"/>
      <c r="P377" s="326"/>
      <c r="Q377" s="326"/>
      <c r="R377" s="326"/>
      <c r="S377" s="326"/>
      <c r="T377" s="326"/>
      <c r="U377" s="326"/>
      <c r="V377" s="326"/>
      <c r="W377" s="326"/>
      <c r="AA377" s="91"/>
      <c r="AB377" s="91"/>
      <c r="AC377" s="91"/>
      <c r="AD377" s="91"/>
      <c r="AE377" s="91"/>
      <c r="AF377" s="91"/>
      <c r="AG377" s="91"/>
      <c r="AH377" s="91"/>
      <c r="AI377" s="91"/>
      <c r="AJ377" s="91"/>
      <c r="AK377" s="91"/>
      <c r="AL377" s="91"/>
      <c r="AM377" s="91"/>
      <c r="AN377" s="91"/>
      <c r="AO377" s="91"/>
      <c r="AP377" s="91"/>
    </row>
    <row r="378" spans="1:42">
      <c r="E378" s="326"/>
      <c r="F378" s="326"/>
      <c r="G378" s="326"/>
      <c r="H378" s="326"/>
      <c r="I378" s="326"/>
      <c r="J378" s="326"/>
      <c r="K378" s="326"/>
      <c r="L378" s="326"/>
      <c r="M378" s="326"/>
      <c r="N378" s="326"/>
      <c r="O378" s="326"/>
      <c r="P378" s="326"/>
      <c r="Q378" s="326"/>
      <c r="R378" s="326"/>
      <c r="S378" s="326"/>
      <c r="T378" s="326"/>
      <c r="U378" s="326"/>
      <c r="V378" s="326"/>
      <c r="W378" s="326"/>
      <c r="AA378" s="91"/>
      <c r="AB378" s="91"/>
      <c r="AC378" s="91"/>
      <c r="AD378" s="91"/>
      <c r="AE378" s="91"/>
      <c r="AF378" s="91"/>
      <c r="AG378" s="91"/>
      <c r="AH378" s="91"/>
      <c r="AI378" s="91"/>
      <c r="AJ378" s="91"/>
      <c r="AK378" s="91"/>
      <c r="AL378" s="91"/>
      <c r="AM378" s="91"/>
      <c r="AN378" s="91"/>
      <c r="AO378" s="91"/>
      <c r="AP378" s="91"/>
    </row>
    <row r="379" spans="1:42">
      <c r="A379" s="4" t="s">
        <v>279</v>
      </c>
      <c r="AA379" s="91"/>
      <c r="AB379" s="91"/>
      <c r="AC379" s="91"/>
      <c r="AD379" s="91"/>
      <c r="AE379" s="91"/>
      <c r="AF379" s="91"/>
      <c r="AG379" s="91"/>
      <c r="AH379" s="91"/>
      <c r="AI379" s="91"/>
      <c r="AJ379" s="91"/>
      <c r="AK379" s="91"/>
      <c r="AL379" s="91"/>
      <c r="AM379" s="91"/>
      <c r="AN379" s="91"/>
      <c r="AO379" s="91"/>
      <c r="AP379" s="91"/>
    </row>
    <row r="380" spans="1:42">
      <c r="A380" s="4" t="s">
        <v>281</v>
      </c>
      <c r="D380" s="398">
        <v>11.3</v>
      </c>
      <c r="E380" s="398">
        <v>11.526</v>
      </c>
      <c r="F380" s="398">
        <v>11.756520000000002</v>
      </c>
      <c r="G380" s="398"/>
      <c r="H380" s="398"/>
      <c r="I380" s="398"/>
      <c r="J380" s="398"/>
      <c r="K380" s="398"/>
      <c r="L380" s="398"/>
      <c r="M380" s="398"/>
      <c r="N380" s="398">
        <f>+N363+N368+N375</f>
        <v>21.078313400845939</v>
      </c>
      <c r="O380" s="398">
        <f>+O363+O368+O375</f>
        <v>22.381287421644586</v>
      </c>
      <c r="P380" s="398">
        <f t="shared" ref="P380:V380" si="234">+P363+P368+P375</f>
        <v>23.808008313148243</v>
      </c>
      <c r="Q380" s="398">
        <f t="shared" si="234"/>
        <v>24.790490614311992</v>
      </c>
      <c r="R380" s="398">
        <f t="shared" si="234"/>
        <v>25.762906390620078</v>
      </c>
      <c r="S380" s="398">
        <f t="shared" si="234"/>
        <v>26.740042793115567</v>
      </c>
      <c r="T380" s="398">
        <f t="shared" si="234"/>
        <v>27.777476858866798</v>
      </c>
      <c r="U380" s="398">
        <f t="shared" si="234"/>
        <v>28.810868817489023</v>
      </c>
      <c r="V380" s="398">
        <f t="shared" si="234"/>
        <v>29.853567591161546</v>
      </c>
      <c r="W380" s="398">
        <f>+W363+W368+W375</f>
        <v>30.904719006210577</v>
      </c>
      <c r="AA380" s="91"/>
      <c r="AB380" s="91"/>
      <c r="AC380" s="91"/>
      <c r="AD380" s="91"/>
      <c r="AE380" s="91"/>
      <c r="AF380" s="91"/>
      <c r="AG380" s="91"/>
      <c r="AH380" s="91"/>
      <c r="AI380" s="91"/>
      <c r="AJ380" s="91"/>
      <c r="AK380" s="91"/>
      <c r="AL380" s="91"/>
      <c r="AM380" s="91"/>
      <c r="AN380" s="91"/>
      <c r="AO380" s="91"/>
      <c r="AP380" s="91"/>
    </row>
    <row r="381" spans="1:42">
      <c r="A381" s="4" t="s">
        <v>755</v>
      </c>
      <c r="D381" s="398">
        <v>3</v>
      </c>
      <c r="E381" s="398">
        <v>3</v>
      </c>
      <c r="F381" s="398">
        <v>3</v>
      </c>
      <c r="G381" s="398"/>
      <c r="H381" s="398"/>
      <c r="I381" s="398"/>
      <c r="J381" s="398"/>
      <c r="K381" s="398"/>
      <c r="L381" s="398"/>
      <c r="M381" s="398"/>
      <c r="N381" s="398">
        <f t="shared" ref="N381:V381" si="235">+N365+N370</f>
        <v>3</v>
      </c>
      <c r="O381" s="398">
        <f t="shared" si="235"/>
        <v>3</v>
      </c>
      <c r="P381" s="398">
        <f t="shared" si="235"/>
        <v>3</v>
      </c>
      <c r="Q381" s="398">
        <f t="shared" si="235"/>
        <v>3</v>
      </c>
      <c r="R381" s="398">
        <f t="shared" si="235"/>
        <v>3</v>
      </c>
      <c r="S381" s="398">
        <f t="shared" si="235"/>
        <v>3</v>
      </c>
      <c r="T381" s="398">
        <f t="shared" si="235"/>
        <v>3</v>
      </c>
      <c r="U381" s="398">
        <f t="shared" si="235"/>
        <v>3</v>
      </c>
      <c r="V381" s="398">
        <f t="shared" si="235"/>
        <v>3</v>
      </c>
      <c r="W381" s="398">
        <f>+W365+W370</f>
        <v>3</v>
      </c>
      <c r="AA381" s="91"/>
      <c r="AB381" s="91"/>
      <c r="AC381" s="91"/>
      <c r="AD381" s="91"/>
      <c r="AE381" s="91"/>
      <c r="AF381" s="91"/>
      <c r="AG381" s="91"/>
      <c r="AH381" s="91"/>
      <c r="AI381" s="91"/>
      <c r="AJ381" s="91"/>
      <c r="AK381" s="91"/>
      <c r="AL381" s="91"/>
      <c r="AM381" s="91"/>
      <c r="AN381" s="91"/>
      <c r="AO381" s="91"/>
      <c r="AP381" s="91"/>
    </row>
    <row r="382" spans="1:42">
      <c r="A382" s="4" t="s">
        <v>770</v>
      </c>
      <c r="D382" s="398">
        <v>8</v>
      </c>
      <c r="E382" s="398">
        <v>8</v>
      </c>
      <c r="F382" s="419">
        <v>8</v>
      </c>
      <c r="G382" s="419"/>
      <c r="H382" s="419"/>
      <c r="I382" s="419"/>
      <c r="J382" s="419"/>
      <c r="K382" s="419"/>
      <c r="L382" s="419"/>
      <c r="M382" s="419"/>
      <c r="N382" s="419">
        <v>9</v>
      </c>
      <c r="O382" s="419">
        <v>9</v>
      </c>
      <c r="P382" s="419">
        <v>9</v>
      </c>
      <c r="Q382" s="419">
        <v>9</v>
      </c>
      <c r="R382" s="419">
        <v>9</v>
      </c>
      <c r="S382" s="419">
        <v>9</v>
      </c>
      <c r="T382" s="419">
        <v>9</v>
      </c>
      <c r="U382" s="419">
        <v>9</v>
      </c>
      <c r="V382" s="419">
        <v>9</v>
      </c>
      <c r="W382" s="419">
        <v>9</v>
      </c>
      <c r="AA382" s="91"/>
      <c r="AB382" s="91"/>
      <c r="AC382" s="91"/>
      <c r="AD382" s="91"/>
      <c r="AE382" s="91"/>
      <c r="AF382" s="91"/>
      <c r="AG382" s="91"/>
      <c r="AH382" s="91"/>
      <c r="AI382" s="91"/>
      <c r="AJ382" s="91"/>
      <c r="AK382" s="91"/>
      <c r="AL382" s="91"/>
      <c r="AM382" s="91"/>
      <c r="AN382" s="91"/>
      <c r="AO382" s="91"/>
      <c r="AP382" s="91"/>
    </row>
    <row r="383" spans="1:42">
      <c r="A383" s="4" t="s">
        <v>317</v>
      </c>
      <c r="D383" s="398">
        <v>90.4</v>
      </c>
      <c r="E383" s="398">
        <v>92.207999999999998</v>
      </c>
      <c r="F383" s="398">
        <v>94.052160000000015</v>
      </c>
      <c r="G383" s="398"/>
      <c r="H383" s="398"/>
      <c r="I383" s="398"/>
      <c r="J383" s="398"/>
      <c r="K383" s="398"/>
      <c r="L383" s="398"/>
      <c r="M383" s="398"/>
      <c r="N383" s="398">
        <f t="shared" ref="N383:W383" si="236">+N380*N382</f>
        <v>189.70482060761344</v>
      </c>
      <c r="O383" s="398">
        <f t="shared" si="236"/>
        <v>201.43158679480126</v>
      </c>
      <c r="P383" s="398">
        <f t="shared" si="236"/>
        <v>214.27207481833418</v>
      </c>
      <c r="Q383" s="398">
        <f t="shared" si="236"/>
        <v>223.11441552880791</v>
      </c>
      <c r="R383" s="398">
        <f t="shared" si="236"/>
        <v>231.86615751558071</v>
      </c>
      <c r="S383" s="398">
        <f t="shared" si="236"/>
        <v>240.66038513804011</v>
      </c>
      <c r="T383" s="398">
        <f t="shared" si="236"/>
        <v>249.99729172980119</v>
      </c>
      <c r="U383" s="398">
        <f t="shared" si="236"/>
        <v>259.29781935740118</v>
      </c>
      <c r="V383" s="398">
        <f t="shared" si="236"/>
        <v>268.68210832045389</v>
      </c>
      <c r="W383" s="398">
        <f t="shared" si="236"/>
        <v>278.14247105589521</v>
      </c>
      <c r="AA383" s="91"/>
      <c r="AB383" s="91"/>
      <c r="AC383" s="91"/>
      <c r="AD383" s="91"/>
      <c r="AE383" s="91"/>
      <c r="AF383" s="91"/>
      <c r="AG383" s="91"/>
      <c r="AH383" s="91"/>
      <c r="AI383" s="91"/>
      <c r="AJ383" s="91"/>
      <c r="AK383" s="91"/>
      <c r="AL383" s="91"/>
      <c r="AM383" s="91"/>
      <c r="AN383" s="91"/>
      <c r="AO383" s="91"/>
      <c r="AP383" s="91"/>
    </row>
    <row r="384" spans="1:42">
      <c r="A384" s="4" t="s">
        <v>315</v>
      </c>
      <c r="D384" s="398">
        <v>87.4</v>
      </c>
      <c r="E384" s="398">
        <v>89.207999999999998</v>
      </c>
      <c r="F384" s="398">
        <v>91.052160000000015</v>
      </c>
      <c r="G384" s="398"/>
      <c r="H384" s="398"/>
      <c r="I384" s="398"/>
      <c r="J384" s="398"/>
      <c r="K384" s="398"/>
      <c r="L384" s="398"/>
      <c r="M384" s="398"/>
      <c r="N384" s="398">
        <f>+N383-N381</f>
        <v>186.70482060761344</v>
      </c>
      <c r="O384" s="398">
        <f>+O383-O381</f>
        <v>198.43158679480126</v>
      </c>
      <c r="P384" s="398">
        <f>+P383-P381</f>
        <v>211.27207481833418</v>
      </c>
      <c r="Q384" s="398">
        <f t="shared" ref="Q384:V384" si="237">+Q383-Q381</f>
        <v>220.11441552880791</v>
      </c>
      <c r="R384" s="398">
        <f t="shared" si="237"/>
        <v>228.86615751558071</v>
      </c>
      <c r="S384" s="398">
        <f t="shared" si="237"/>
        <v>237.66038513804011</v>
      </c>
      <c r="T384" s="398">
        <f t="shared" si="237"/>
        <v>246.99729172980119</v>
      </c>
      <c r="U384" s="398">
        <f t="shared" si="237"/>
        <v>256.29781935740118</v>
      </c>
      <c r="V384" s="398">
        <f t="shared" si="237"/>
        <v>265.68210832045389</v>
      </c>
      <c r="W384" s="398">
        <f>+W383-W381</f>
        <v>275.14247105589521</v>
      </c>
      <c r="AA384" s="91"/>
      <c r="AB384" s="91"/>
      <c r="AC384" s="91"/>
      <c r="AD384" s="91"/>
      <c r="AE384" s="91"/>
      <c r="AF384" s="91"/>
      <c r="AG384" s="91"/>
      <c r="AH384" s="91"/>
      <c r="AI384" s="91"/>
      <c r="AJ384" s="91"/>
      <c r="AK384" s="91"/>
      <c r="AL384" s="91"/>
      <c r="AM384" s="91"/>
      <c r="AN384" s="91"/>
      <c r="AO384" s="91"/>
      <c r="AP384" s="91"/>
    </row>
    <row r="385" spans="1:42">
      <c r="A385" s="4" t="s">
        <v>771</v>
      </c>
      <c r="D385" s="398">
        <v>42.826000000000001</v>
      </c>
      <c r="E385" s="398">
        <v>43.711919999999999</v>
      </c>
      <c r="F385" s="398">
        <v>44.615558400000005</v>
      </c>
      <c r="G385" s="398"/>
      <c r="H385" s="398"/>
      <c r="I385" s="398"/>
      <c r="J385" s="398"/>
      <c r="K385" s="398"/>
      <c r="L385" s="398"/>
      <c r="M385" s="398"/>
      <c r="N385" s="398">
        <f t="shared" ref="N385:W385" si="238">+N384*49%</f>
        <v>91.485362097730587</v>
      </c>
      <c r="O385" s="398">
        <f t="shared" si="238"/>
        <v>97.231477529452619</v>
      </c>
      <c r="P385" s="398">
        <f t="shared" si="238"/>
        <v>103.52331666098374</v>
      </c>
      <c r="Q385" s="398">
        <f t="shared" si="238"/>
        <v>107.85606360911588</v>
      </c>
      <c r="R385" s="398">
        <f t="shared" si="238"/>
        <v>112.14441718263454</v>
      </c>
      <c r="S385" s="398">
        <f t="shared" si="238"/>
        <v>116.45358871763965</v>
      </c>
      <c r="T385" s="398">
        <f t="shared" si="238"/>
        <v>121.02867294760259</v>
      </c>
      <c r="U385" s="398">
        <f t="shared" si="238"/>
        <v>125.58593148512658</v>
      </c>
      <c r="V385" s="398">
        <f t="shared" si="238"/>
        <v>130.18423307702241</v>
      </c>
      <c r="W385" s="398">
        <f t="shared" si="238"/>
        <v>134.81981081738866</v>
      </c>
      <c r="AA385" s="91"/>
      <c r="AB385" s="91"/>
      <c r="AC385" s="91"/>
      <c r="AD385" s="91"/>
      <c r="AE385" s="91"/>
      <c r="AF385" s="91"/>
      <c r="AG385" s="91"/>
      <c r="AH385" s="91"/>
      <c r="AI385" s="91"/>
      <c r="AJ385" s="91"/>
      <c r="AK385" s="91"/>
      <c r="AL385" s="91"/>
      <c r="AM385" s="91"/>
      <c r="AN385" s="91"/>
      <c r="AO385" s="91"/>
      <c r="AP385" s="91"/>
    </row>
    <row r="386" spans="1:42">
      <c r="AA386" s="91"/>
      <c r="AB386" s="91"/>
      <c r="AC386" s="91"/>
      <c r="AD386" s="91"/>
      <c r="AE386" s="91"/>
      <c r="AF386" s="91"/>
      <c r="AG386" s="91"/>
      <c r="AH386" s="91"/>
      <c r="AI386" s="91"/>
      <c r="AJ386" s="91"/>
      <c r="AK386" s="91"/>
      <c r="AL386" s="91"/>
      <c r="AM386" s="91"/>
      <c r="AN386" s="91"/>
      <c r="AO386" s="91"/>
      <c r="AP386" s="91"/>
    </row>
    <row r="387" spans="1:42">
      <c r="AA387" s="91"/>
      <c r="AB387" s="91"/>
      <c r="AC387" s="91"/>
      <c r="AD387" s="91"/>
      <c r="AE387" s="91"/>
      <c r="AF387" s="91"/>
      <c r="AG387" s="91"/>
      <c r="AH387" s="91"/>
      <c r="AI387" s="91"/>
      <c r="AJ387" s="91"/>
      <c r="AK387" s="91"/>
      <c r="AL387" s="91"/>
      <c r="AM387" s="91"/>
      <c r="AN387" s="91"/>
      <c r="AO387" s="91"/>
      <c r="AP387" s="91"/>
    </row>
    <row r="388" spans="1:42">
      <c r="AA388" s="91"/>
      <c r="AB388" s="91"/>
      <c r="AC388" s="91"/>
      <c r="AD388" s="91"/>
      <c r="AE388" s="91"/>
      <c r="AF388" s="91"/>
      <c r="AG388" s="91"/>
      <c r="AH388" s="91"/>
      <c r="AI388" s="91"/>
      <c r="AJ388" s="91"/>
      <c r="AK388" s="91"/>
      <c r="AL388" s="91"/>
      <c r="AM388" s="91"/>
      <c r="AN388" s="91"/>
      <c r="AO388" s="91"/>
      <c r="AP388" s="91"/>
    </row>
    <row r="389" spans="1:42">
      <c r="A389" s="166"/>
      <c r="B389" s="406"/>
      <c r="C389" s="406"/>
      <c r="D389" s="406"/>
      <c r="E389" s="406"/>
      <c r="F389" s="406"/>
      <c r="G389" s="406"/>
      <c r="H389" s="406"/>
      <c r="I389" s="406"/>
      <c r="J389" s="406"/>
      <c r="K389" s="406"/>
      <c r="L389" s="406"/>
      <c r="M389" s="406"/>
      <c r="N389" s="406"/>
      <c r="O389" s="406"/>
      <c r="P389" s="406"/>
      <c r="Q389" s="406"/>
      <c r="R389" s="406"/>
      <c r="S389" s="406"/>
      <c r="T389" s="406"/>
      <c r="U389" s="406"/>
      <c r="V389" s="406"/>
      <c r="W389" s="406"/>
      <c r="X389" s="406"/>
      <c r="Y389" s="406"/>
      <c r="Z389" s="406"/>
      <c r="AA389" s="91"/>
      <c r="AB389" s="91"/>
      <c r="AC389" s="91"/>
      <c r="AD389" s="91"/>
      <c r="AE389" s="91"/>
      <c r="AF389" s="91"/>
      <c r="AG389" s="91"/>
      <c r="AH389" s="91"/>
      <c r="AI389" s="91"/>
      <c r="AJ389" s="91"/>
      <c r="AK389" s="91"/>
      <c r="AL389" s="91"/>
      <c r="AM389" s="91"/>
      <c r="AN389" s="91"/>
      <c r="AO389" s="91"/>
      <c r="AP389" s="91"/>
    </row>
    <row r="390" spans="1:42">
      <c r="A390" s="4" t="s">
        <v>666</v>
      </c>
      <c r="AA390" s="91"/>
      <c r="AB390" s="91"/>
      <c r="AC390" s="91"/>
      <c r="AD390" s="91"/>
      <c r="AE390" s="91"/>
      <c r="AF390" s="91"/>
      <c r="AG390" s="91"/>
      <c r="AH390" s="91"/>
      <c r="AI390" s="91"/>
      <c r="AJ390" s="91"/>
      <c r="AK390" s="91"/>
      <c r="AL390" s="91"/>
      <c r="AM390" s="91"/>
      <c r="AN390" s="91"/>
      <c r="AO390" s="91"/>
      <c r="AP390" s="91"/>
    </row>
    <row r="391" spans="1:42">
      <c r="A391" s="18" t="str">
        <f t="shared" ref="A391:A401" si="239">+A3</f>
        <v>Summary €m</v>
      </c>
      <c r="B391" s="80" t="str">
        <f>B$3</f>
        <v>2011A</v>
      </c>
      <c r="C391" s="80" t="str">
        <f t="shared" ref="C391:W391" si="240">C$3</f>
        <v>2012A</v>
      </c>
      <c r="D391" s="80" t="str">
        <f t="shared" si="240"/>
        <v>2013A</v>
      </c>
      <c r="E391" s="80" t="str">
        <f t="shared" si="240"/>
        <v>2014A</v>
      </c>
      <c r="F391" s="80" t="str">
        <f t="shared" si="240"/>
        <v>2015A</v>
      </c>
      <c r="G391" s="80" t="str">
        <f t="shared" si="240"/>
        <v>Prima 14A</v>
      </c>
      <c r="H391" s="80" t="str">
        <f t="shared" si="240"/>
        <v>Prima 15E</v>
      </c>
      <c r="I391" s="80" t="str">
        <f t="shared" si="240"/>
        <v>pep 14A</v>
      </c>
      <c r="J391" s="80" t="str">
        <f t="shared" si="240"/>
        <v>pep 15E</v>
      </c>
      <c r="K391" s="80" t="str">
        <f t="shared" si="240"/>
        <v>Adj.</v>
      </c>
      <c r="L391" s="80" t="str">
        <f t="shared" si="240"/>
        <v>PF 2015E</v>
      </c>
      <c r="M391" s="80"/>
      <c r="N391" s="80" t="str">
        <f t="shared" si="240"/>
        <v>2016E</v>
      </c>
      <c r="O391" s="80" t="str">
        <f t="shared" si="240"/>
        <v>2017E</v>
      </c>
      <c r="P391" s="80" t="str">
        <f t="shared" si="240"/>
        <v>2018E</v>
      </c>
      <c r="Q391" s="80" t="str">
        <f t="shared" si="240"/>
        <v>2019E</v>
      </c>
      <c r="R391" s="80" t="str">
        <f t="shared" si="240"/>
        <v>2020E</v>
      </c>
      <c r="S391" s="80" t="str">
        <f t="shared" si="240"/>
        <v>2021E</v>
      </c>
      <c r="T391" s="80" t="str">
        <f t="shared" si="240"/>
        <v>2022E</v>
      </c>
      <c r="U391" s="80" t="str">
        <f t="shared" si="240"/>
        <v>2023E</v>
      </c>
      <c r="V391" s="80" t="str">
        <f t="shared" si="240"/>
        <v>2024E</v>
      </c>
      <c r="W391" s="80" t="str">
        <f t="shared" si="240"/>
        <v>2025E</v>
      </c>
      <c r="AA391" s="91"/>
      <c r="AB391" s="91"/>
      <c r="AC391" s="91"/>
      <c r="AD391" s="91"/>
      <c r="AE391" s="91"/>
      <c r="AF391" s="91"/>
      <c r="AG391" s="91"/>
      <c r="AH391" s="91"/>
      <c r="AI391" s="91"/>
      <c r="AJ391" s="91"/>
      <c r="AK391" s="91"/>
      <c r="AL391" s="91"/>
      <c r="AM391" s="91"/>
      <c r="AN391" s="91"/>
      <c r="AO391" s="91"/>
      <c r="AP391" s="91"/>
    </row>
    <row r="392" spans="1:42">
      <c r="A392" s="81" t="str">
        <f t="shared" si="239"/>
        <v>Revenues</v>
      </c>
      <c r="B392" s="325">
        <f t="shared" ref="B392:L392" si="241">+B4</f>
        <v>204.7</v>
      </c>
      <c r="C392" s="325">
        <f t="shared" si="241"/>
        <v>205.3</v>
      </c>
      <c r="D392" s="325">
        <f t="shared" si="241"/>
        <v>206.2</v>
      </c>
      <c r="E392" s="325">
        <f t="shared" si="241"/>
        <v>213</v>
      </c>
      <c r="F392" s="325">
        <f t="shared" si="241"/>
        <v>222.1912219231572</v>
      </c>
      <c r="G392" s="325">
        <f t="shared" si="241"/>
        <v>117.5</v>
      </c>
      <c r="H392" s="325">
        <f t="shared" si="241"/>
        <v>120</v>
      </c>
      <c r="I392" s="325">
        <f t="shared" si="241"/>
        <v>105.6</v>
      </c>
      <c r="J392" s="325">
        <f t="shared" si="241"/>
        <v>110</v>
      </c>
      <c r="K392" s="325">
        <f t="shared" si="241"/>
        <v>-1.8</v>
      </c>
      <c r="L392" s="325">
        <f t="shared" si="241"/>
        <v>460.7</v>
      </c>
      <c r="M392" s="325"/>
      <c r="N392" s="325">
        <f t="shared" ref="N392:W392" si="242">+N4</f>
        <v>478.04513573082357</v>
      </c>
      <c r="O392" s="325">
        <f t="shared" si="242"/>
        <v>503.65498133284996</v>
      </c>
      <c r="P392" s="325">
        <f t="shared" si="242"/>
        <v>536.86673149628712</v>
      </c>
      <c r="Q392" s="325">
        <f t="shared" si="242"/>
        <v>571.14168350469868</v>
      </c>
      <c r="R392" s="325">
        <f t="shared" si="242"/>
        <v>606.42899951582785</v>
      </c>
      <c r="S392" s="325">
        <f t="shared" si="242"/>
        <v>643.72986633170626</v>
      </c>
      <c r="T392" s="325">
        <f t="shared" si="242"/>
        <v>679.53877431684612</v>
      </c>
      <c r="U392" s="325">
        <f t="shared" si="242"/>
        <v>716.89487528127802</v>
      </c>
      <c r="V392" s="325">
        <f t="shared" si="242"/>
        <v>755.93827518414469</v>
      </c>
      <c r="W392" s="325">
        <f t="shared" si="242"/>
        <v>796.82078782247731</v>
      </c>
      <c r="AA392" s="91"/>
      <c r="AB392" s="91"/>
      <c r="AC392" s="91"/>
      <c r="AD392" s="91"/>
      <c r="AE392" s="91"/>
      <c r="AF392" s="91"/>
      <c r="AG392" s="91"/>
      <c r="AH392" s="91"/>
      <c r="AI392" s="91"/>
      <c r="AJ392" s="91"/>
      <c r="AK392" s="91"/>
      <c r="AL392" s="91"/>
      <c r="AM392" s="91"/>
      <c r="AN392" s="91"/>
      <c r="AO392" s="91"/>
      <c r="AP392" s="91"/>
    </row>
    <row r="393" spans="1:42">
      <c r="A393" s="4" t="str">
        <f t="shared" si="239"/>
        <v>YoY</v>
      </c>
      <c r="B393" s="75">
        <f t="shared" ref="B393:F394" si="243">+B5</f>
        <v>0</v>
      </c>
      <c r="C393" s="84">
        <f t="shared" si="243"/>
        <v>2.9311187103078229E-3</v>
      </c>
      <c r="D393" s="84">
        <f t="shared" si="243"/>
        <v>4.3838285435946478E-3</v>
      </c>
      <c r="E393" s="84">
        <f t="shared" si="243"/>
        <v>3.2977691561590694E-2</v>
      </c>
      <c r="F393" s="84">
        <f t="shared" si="243"/>
        <v>4.3151276634540769E-2</v>
      </c>
      <c r="G393" s="84"/>
      <c r="H393" s="84"/>
      <c r="I393" s="84"/>
      <c r="J393" s="84"/>
      <c r="K393" s="84"/>
      <c r="L393" s="84"/>
      <c r="M393" s="84"/>
      <c r="N393" s="84">
        <f t="shared" ref="N393:W393" si="244">+N5</f>
        <v>3.7649524052145944E-2</v>
      </c>
      <c r="O393" s="84">
        <f t="shared" si="244"/>
        <v>5.3572024245942096E-2</v>
      </c>
      <c r="P393" s="84">
        <f t="shared" si="244"/>
        <v>6.594147063838629E-2</v>
      </c>
      <c r="Q393" s="84">
        <f t="shared" si="244"/>
        <v>6.3842570227595763E-2</v>
      </c>
      <c r="R393" s="84">
        <f t="shared" si="244"/>
        <v>6.1783821826128182E-2</v>
      </c>
      <c r="S393" s="84">
        <f t="shared" si="244"/>
        <v>6.1509042024143534E-2</v>
      </c>
      <c r="T393" s="84">
        <f t="shared" si="244"/>
        <v>5.5627227907253829E-2</v>
      </c>
      <c r="U393" s="84">
        <f t="shared" si="244"/>
        <v>5.4972729116137264E-2</v>
      </c>
      <c r="V393" s="84">
        <f t="shared" si="244"/>
        <v>5.4461820343669975E-2</v>
      </c>
      <c r="W393" s="84">
        <f t="shared" si="244"/>
        <v>5.4081813264943879E-2</v>
      </c>
      <c r="AA393" s="91"/>
      <c r="AB393" s="91"/>
      <c r="AC393" s="91"/>
      <c r="AD393" s="91"/>
      <c r="AE393" s="91"/>
      <c r="AF393" s="91"/>
      <c r="AG393" s="91"/>
      <c r="AH393" s="91"/>
      <c r="AI393" s="91"/>
      <c r="AJ393" s="91"/>
      <c r="AK393" s="91"/>
      <c r="AL393" s="91"/>
      <c r="AM393" s="91"/>
      <c r="AN393" s="91"/>
      <c r="AO393" s="91"/>
      <c r="AP393" s="91"/>
    </row>
    <row r="394" spans="1:42">
      <c r="A394" s="81" t="str">
        <f t="shared" si="239"/>
        <v>EBITDA adjusted</v>
      </c>
      <c r="B394" s="325">
        <f t="shared" si="243"/>
        <v>78.400000000000006</v>
      </c>
      <c r="C394" s="325">
        <f t="shared" si="243"/>
        <v>87.1</v>
      </c>
      <c r="D394" s="325">
        <f t="shared" si="243"/>
        <v>88.1</v>
      </c>
      <c r="E394" s="325">
        <f t="shared" si="243"/>
        <v>99.032977691561598</v>
      </c>
      <c r="F394" s="325">
        <f t="shared" si="243"/>
        <v>105.42774962306055</v>
      </c>
      <c r="G394" s="325">
        <f t="shared" ref="G394:L394" si="245">+G6</f>
        <v>50.367022308438408</v>
      </c>
      <c r="H394" s="325">
        <f t="shared" si="245"/>
        <v>52</v>
      </c>
      <c r="I394" s="325">
        <f t="shared" si="245"/>
        <v>55</v>
      </c>
      <c r="J394" s="325">
        <f t="shared" si="245"/>
        <v>57</v>
      </c>
      <c r="K394" s="325">
        <f t="shared" si="245"/>
        <v>1.1000000000000001</v>
      </c>
      <c r="L394" s="325">
        <f t="shared" si="245"/>
        <v>233.79999999999998</v>
      </c>
      <c r="M394" s="325"/>
      <c r="N394" s="325">
        <f t="shared" ref="N394:W394" si="246">+N6</f>
        <v>243.77071825562595</v>
      </c>
      <c r="O394" s="325">
        <f t="shared" si="246"/>
        <v>272.29193096845711</v>
      </c>
      <c r="P394" s="325">
        <f t="shared" si="246"/>
        <v>304.00425776337937</v>
      </c>
      <c r="Q394" s="325">
        <f t="shared" si="246"/>
        <v>323.66760340514185</v>
      </c>
      <c r="R394" s="325">
        <f t="shared" si="246"/>
        <v>342.92701105423237</v>
      </c>
      <c r="S394" s="325">
        <f t="shared" si="246"/>
        <v>362.17650258006813</v>
      </c>
      <c r="T394" s="325">
        <f t="shared" si="246"/>
        <v>382.90432918611924</v>
      </c>
      <c r="U394" s="325">
        <f t="shared" si="246"/>
        <v>403.38164217647557</v>
      </c>
      <c r="V394" s="325">
        <f t="shared" si="246"/>
        <v>423.96371571926585</v>
      </c>
      <c r="W394" s="325">
        <f t="shared" si="246"/>
        <v>444.62473630814253</v>
      </c>
      <c r="AA394" s="91"/>
      <c r="AB394" s="91"/>
      <c r="AC394" s="91"/>
      <c r="AD394" s="91"/>
      <c r="AE394" s="91"/>
      <c r="AF394" s="91"/>
      <c r="AG394" s="91"/>
      <c r="AH394" s="91"/>
      <c r="AI394" s="91"/>
      <c r="AJ394" s="91"/>
      <c r="AK394" s="91"/>
      <c r="AL394" s="91"/>
      <c r="AM394" s="91"/>
      <c r="AN394" s="91"/>
      <c r="AO394" s="91"/>
      <c r="AP394" s="91"/>
    </row>
    <row r="395" spans="1:42">
      <c r="A395" s="4" t="str">
        <f t="shared" si="239"/>
        <v>YoY</v>
      </c>
      <c r="C395" s="84">
        <f t="shared" ref="C395:F401" si="247">+C7</f>
        <v>0.1109693877551019</v>
      </c>
      <c r="D395" s="84">
        <f t="shared" si="247"/>
        <v>1.1481056257175659E-2</v>
      </c>
      <c r="E395" s="84">
        <f t="shared" si="247"/>
        <v>0.12409736312782749</v>
      </c>
      <c r="F395" s="84">
        <f t="shared" si="247"/>
        <v>6.4572146375477812E-2</v>
      </c>
      <c r="G395" s="84"/>
      <c r="H395" s="84"/>
      <c r="I395" s="84"/>
      <c r="J395" s="84"/>
      <c r="K395" s="84"/>
      <c r="L395" s="84"/>
      <c r="M395" s="84"/>
      <c r="N395" s="84">
        <f t="shared" ref="N395:W395" si="248">+N7</f>
        <v>4.2646356953062403E-2</v>
      </c>
      <c r="O395" s="84">
        <f t="shared" si="248"/>
        <v>0.11700015866106961</v>
      </c>
      <c r="P395" s="84">
        <f t="shared" si="248"/>
        <v>0.11646443830388753</v>
      </c>
      <c r="Q395" s="84">
        <f t="shared" si="248"/>
        <v>6.4681152120794838E-2</v>
      </c>
      <c r="R395" s="84">
        <f t="shared" si="248"/>
        <v>5.9503661924987572E-2</v>
      </c>
      <c r="S395" s="84">
        <f t="shared" si="248"/>
        <v>5.6132911393181439E-2</v>
      </c>
      <c r="T395" s="84">
        <f t="shared" si="248"/>
        <v>5.7231284907746538E-2</v>
      </c>
      <c r="U395" s="84">
        <f t="shared" si="248"/>
        <v>5.3478927840491686E-2</v>
      </c>
      <c r="V395" s="84">
        <f t="shared" si="248"/>
        <v>5.1023823076672858E-2</v>
      </c>
      <c r="W395" s="84">
        <f t="shared" si="248"/>
        <v>4.873299252466623E-2</v>
      </c>
      <c r="AA395" s="91"/>
      <c r="AB395" s="91"/>
      <c r="AC395" s="91"/>
      <c r="AD395" s="91"/>
      <c r="AE395" s="91"/>
      <c r="AF395" s="91"/>
      <c r="AG395" s="91"/>
      <c r="AH395" s="91"/>
      <c r="AI395" s="91"/>
      <c r="AJ395" s="91"/>
      <c r="AK395" s="91"/>
      <c r="AL395" s="91"/>
      <c r="AM395" s="91"/>
      <c r="AN395" s="91"/>
      <c r="AO395" s="91"/>
      <c r="AP395" s="91"/>
    </row>
    <row r="396" spans="1:42">
      <c r="A396" s="81" t="str">
        <f t="shared" si="239"/>
        <v>Margin</v>
      </c>
      <c r="B396" s="76">
        <f t="shared" ref="B396:B401" si="249">+B8</f>
        <v>0.38299951148021499</v>
      </c>
      <c r="C396" s="76">
        <f t="shared" si="247"/>
        <v>0.42425718460789086</v>
      </c>
      <c r="D396" s="76">
        <f t="shared" si="247"/>
        <v>0.42725509214354995</v>
      </c>
      <c r="E396" s="76">
        <f t="shared" si="247"/>
        <v>0.4649435572373784</v>
      </c>
      <c r="F396" s="76">
        <f t="shared" si="247"/>
        <v>0.47449106544596875</v>
      </c>
      <c r="G396" s="76"/>
      <c r="H396" s="76"/>
      <c r="I396" s="76"/>
      <c r="J396" s="76"/>
      <c r="K396" s="76"/>
      <c r="L396" s="76">
        <f>+L8</f>
        <v>0.50748860429780762</v>
      </c>
      <c r="M396" s="76"/>
      <c r="N396" s="76">
        <f t="shared" ref="N396:W396" si="250">+N8</f>
        <v>0.50993243113530551</v>
      </c>
      <c r="O396" s="76">
        <f t="shared" si="250"/>
        <v>0.54063186320102696</v>
      </c>
      <c r="P396" s="76">
        <f t="shared" si="250"/>
        <v>0.56625646539150809</v>
      </c>
      <c r="Q396" s="76">
        <f t="shared" si="250"/>
        <v>0.56670282130174643</v>
      </c>
      <c r="R396" s="76">
        <f t="shared" si="250"/>
        <v>0.56548583812453701</v>
      </c>
      <c r="S396" s="76">
        <f t="shared" si="250"/>
        <v>0.5626218721898526</v>
      </c>
      <c r="T396" s="76">
        <f t="shared" si="250"/>
        <v>0.56347679287478569</v>
      </c>
      <c r="U396" s="76">
        <f t="shared" si="250"/>
        <v>0.56267893115877887</v>
      </c>
      <c r="V396" s="76">
        <f t="shared" si="250"/>
        <v>0.56084435679088918</v>
      </c>
      <c r="W396" s="76">
        <f t="shared" si="250"/>
        <v>0.55799841457851107</v>
      </c>
      <c r="AA396" s="91"/>
      <c r="AB396" s="91"/>
      <c r="AC396" s="91"/>
      <c r="AD396" s="91"/>
      <c r="AE396" s="91"/>
      <c r="AF396" s="91"/>
      <c r="AG396" s="91"/>
      <c r="AH396" s="91"/>
      <c r="AI396" s="91"/>
      <c r="AJ396" s="91"/>
      <c r="AK396" s="91"/>
      <c r="AL396" s="91"/>
      <c r="AM396" s="91"/>
      <c r="AN396" s="91"/>
      <c r="AO396" s="91"/>
      <c r="AP396" s="91"/>
    </row>
    <row r="397" spans="1:42">
      <c r="A397" s="4" t="str">
        <f t="shared" si="239"/>
        <v>Capex</v>
      </c>
      <c r="B397" s="326">
        <f t="shared" si="249"/>
        <v>68.099999999999994</v>
      </c>
      <c r="C397" s="326">
        <f t="shared" si="247"/>
        <v>59.6</v>
      </c>
      <c r="D397" s="326">
        <f t="shared" si="247"/>
        <v>51.5</v>
      </c>
      <c r="E397" s="326">
        <f t="shared" si="247"/>
        <v>84.1</v>
      </c>
      <c r="F397" s="326">
        <f t="shared" si="247"/>
        <v>115</v>
      </c>
      <c r="G397" s="326">
        <f>+G9</f>
        <v>33</v>
      </c>
      <c r="H397" s="326">
        <f>+H9</f>
        <v>30</v>
      </c>
      <c r="I397" s="326">
        <f>+I9</f>
        <v>28.3</v>
      </c>
      <c r="J397" s="326">
        <f>+J9</f>
        <v>25</v>
      </c>
      <c r="K397" s="326"/>
      <c r="L397" s="326">
        <f>+L9</f>
        <v>170</v>
      </c>
      <c r="M397" s="326"/>
      <c r="N397" s="326">
        <f t="shared" ref="N397:W397" si="251">+N9</f>
        <v>167.31579750578825</v>
      </c>
      <c r="O397" s="326">
        <f t="shared" si="251"/>
        <v>161.16959402651199</v>
      </c>
      <c r="P397" s="326">
        <f t="shared" si="251"/>
        <v>153.00701847644183</v>
      </c>
      <c r="Q397" s="326">
        <f t="shared" si="251"/>
        <v>148.49683771122167</v>
      </c>
      <c r="R397" s="326">
        <f t="shared" si="251"/>
        <v>145.54295988379869</v>
      </c>
      <c r="S397" s="326">
        <f t="shared" si="251"/>
        <v>154.49516791960949</v>
      </c>
      <c r="T397" s="326">
        <f t="shared" si="251"/>
        <v>163.08930583604305</v>
      </c>
      <c r="U397" s="326">
        <f t="shared" si="251"/>
        <v>172.05477006750672</v>
      </c>
      <c r="V397" s="326">
        <f t="shared" si="251"/>
        <v>181.42518604419473</v>
      </c>
      <c r="W397" s="326">
        <f t="shared" si="251"/>
        <v>191.23698907739455</v>
      </c>
      <c r="AA397" s="91"/>
      <c r="AB397" s="91"/>
      <c r="AC397" s="235">
        <f>+(E397+F397+N397)/(+E392+F392+N392)</f>
        <v>0.40122778121435759</v>
      </c>
      <c r="AD397" s="91"/>
      <c r="AE397" s="91"/>
      <c r="AF397" s="91"/>
      <c r="AG397" s="91"/>
      <c r="AH397" s="91"/>
      <c r="AI397" s="91"/>
      <c r="AJ397" s="91"/>
      <c r="AK397" s="91"/>
      <c r="AL397" s="91"/>
      <c r="AM397" s="91"/>
      <c r="AN397" s="91"/>
      <c r="AO397" s="91"/>
      <c r="AP397" s="91"/>
    </row>
    <row r="398" spans="1:42">
      <c r="A398" s="81" t="str">
        <f t="shared" si="239"/>
        <v>% revenues</v>
      </c>
      <c r="B398" s="76">
        <f t="shared" si="249"/>
        <v>0.33268197361993157</v>
      </c>
      <c r="C398" s="76">
        <f t="shared" si="247"/>
        <v>0.29030686799805161</v>
      </c>
      <c r="D398" s="76">
        <f t="shared" si="247"/>
        <v>0.24975751697381185</v>
      </c>
      <c r="E398" s="76">
        <f t="shared" si="247"/>
        <v>0.3948356807511737</v>
      </c>
      <c r="F398" s="76">
        <f t="shared" si="247"/>
        <v>0.51757220201872645</v>
      </c>
      <c r="G398" s="76"/>
      <c r="H398" s="76"/>
      <c r="I398" s="76"/>
      <c r="J398" s="76"/>
      <c r="K398" s="76"/>
      <c r="L398" s="76">
        <f>+L10</f>
        <v>0.36900369003690037</v>
      </c>
      <c r="M398" s="76"/>
      <c r="N398" s="76">
        <f t="shared" ref="N398:W398" si="252">+N10</f>
        <v>0.35000000000000003</v>
      </c>
      <c r="O398" s="76">
        <f t="shared" si="252"/>
        <v>0.32</v>
      </c>
      <c r="P398" s="76">
        <f t="shared" si="252"/>
        <v>0.28499999999999998</v>
      </c>
      <c r="Q398" s="76">
        <f t="shared" si="252"/>
        <v>0.26</v>
      </c>
      <c r="R398" s="76">
        <f t="shared" si="252"/>
        <v>0.24</v>
      </c>
      <c r="S398" s="76">
        <f t="shared" si="252"/>
        <v>0.23999999999999996</v>
      </c>
      <c r="T398" s="76">
        <f t="shared" si="252"/>
        <v>0.24</v>
      </c>
      <c r="U398" s="76">
        <f t="shared" si="252"/>
        <v>0.24</v>
      </c>
      <c r="V398" s="76">
        <f t="shared" si="252"/>
        <v>0.24000000000000002</v>
      </c>
      <c r="W398" s="76">
        <f t="shared" si="252"/>
        <v>0.24</v>
      </c>
      <c r="AA398" s="91"/>
      <c r="AB398" s="91"/>
      <c r="AC398" s="91"/>
      <c r="AD398" s="91"/>
      <c r="AE398" s="91"/>
      <c r="AF398" s="91"/>
      <c r="AG398" s="91"/>
      <c r="AH398" s="91"/>
      <c r="AI398" s="91"/>
      <c r="AJ398" s="91"/>
      <c r="AK398" s="91"/>
      <c r="AL398" s="91"/>
      <c r="AM398" s="91"/>
      <c r="AN398" s="91"/>
      <c r="AO398" s="91"/>
      <c r="AP398" s="91"/>
    </row>
    <row r="399" spans="1:42">
      <c r="A399" s="4" t="str">
        <f t="shared" si="239"/>
        <v>OpFCF</v>
      </c>
      <c r="B399" s="327">
        <f t="shared" si="249"/>
        <v>10.300000000000011</v>
      </c>
      <c r="C399" s="327">
        <f t="shared" si="247"/>
        <v>27.499999999999993</v>
      </c>
      <c r="D399" s="327">
        <f t="shared" si="247"/>
        <v>36.599999999999994</v>
      </c>
      <c r="E399" s="327">
        <f t="shared" si="247"/>
        <v>14.932977691561604</v>
      </c>
      <c r="F399" s="327">
        <f t="shared" si="247"/>
        <v>-9.5722503769394507</v>
      </c>
      <c r="G399" s="327">
        <f>+G11</f>
        <v>17.367022308438408</v>
      </c>
      <c r="H399" s="327">
        <f>+H11</f>
        <v>22</v>
      </c>
      <c r="I399" s="327">
        <f>+I11</f>
        <v>26.7</v>
      </c>
      <c r="J399" s="327">
        <f>+J11</f>
        <v>32</v>
      </c>
      <c r="K399" s="327">
        <f>+K11</f>
        <v>1.1000000000000001</v>
      </c>
      <c r="L399" s="327">
        <f>+L11</f>
        <v>63.799999999999983</v>
      </c>
      <c r="M399" s="327"/>
      <c r="N399" s="327">
        <f t="shared" ref="N399:W399" si="253">+N11</f>
        <v>76.454920749837697</v>
      </c>
      <c r="O399" s="327">
        <f t="shared" si="253"/>
        <v>111.12233694194512</v>
      </c>
      <c r="P399" s="327">
        <f t="shared" si="253"/>
        <v>150.99723928693754</v>
      </c>
      <c r="Q399" s="327">
        <f t="shared" si="253"/>
        <v>175.17076569392017</v>
      </c>
      <c r="R399" s="327">
        <f t="shared" si="253"/>
        <v>197.38405117043368</v>
      </c>
      <c r="S399" s="327">
        <f t="shared" si="253"/>
        <v>207.68133466045865</v>
      </c>
      <c r="T399" s="327">
        <f t="shared" si="253"/>
        <v>219.81502335007619</v>
      </c>
      <c r="U399" s="327">
        <f t="shared" si="253"/>
        <v>231.32687210896884</v>
      </c>
      <c r="V399" s="327">
        <f t="shared" si="253"/>
        <v>242.53852967507112</v>
      </c>
      <c r="W399" s="327">
        <f t="shared" si="253"/>
        <v>253.38774723074798</v>
      </c>
      <c r="AA399" s="91"/>
      <c r="AB399" s="91"/>
      <c r="AC399" s="91"/>
      <c r="AD399" s="91"/>
      <c r="AE399" s="91"/>
      <c r="AF399" s="91"/>
      <c r="AG399" s="91"/>
      <c r="AH399" s="91"/>
      <c r="AI399" s="91"/>
      <c r="AJ399" s="91"/>
      <c r="AK399" s="91"/>
      <c r="AL399" s="91"/>
      <c r="AM399" s="91"/>
      <c r="AN399" s="91"/>
      <c r="AO399" s="91"/>
      <c r="AP399" s="91"/>
    </row>
    <row r="400" spans="1:42">
      <c r="A400" s="81" t="str">
        <f t="shared" si="239"/>
        <v>Margin</v>
      </c>
      <c r="B400" s="76">
        <f t="shared" si="249"/>
        <v>5.0317537860283403E-2</v>
      </c>
      <c r="C400" s="76">
        <f t="shared" si="247"/>
        <v>0.13395031660983922</v>
      </c>
      <c r="D400" s="76">
        <f t="shared" si="247"/>
        <v>0.1774975751697381</v>
      </c>
      <c r="E400" s="76">
        <f t="shared" si="247"/>
        <v>7.0107876486204715E-2</v>
      </c>
      <c r="F400" s="76">
        <f t="shared" si="247"/>
        <v>-4.3081136572757701E-2</v>
      </c>
      <c r="G400" s="76"/>
      <c r="H400" s="76"/>
      <c r="I400" s="76"/>
      <c r="J400" s="76"/>
      <c r="K400" s="76"/>
      <c r="L400" s="76"/>
      <c r="M400" s="76"/>
      <c r="N400" s="76">
        <f t="shared" ref="N400:W400" si="254">+N12</f>
        <v>0.15993243113530548</v>
      </c>
      <c r="O400" s="76">
        <f t="shared" si="254"/>
        <v>0.22063186320102693</v>
      </c>
      <c r="P400" s="76">
        <f t="shared" si="254"/>
        <v>0.28125646539150811</v>
      </c>
      <c r="Q400" s="76">
        <f t="shared" si="254"/>
        <v>0.30670282130174636</v>
      </c>
      <c r="R400" s="76">
        <f t="shared" si="254"/>
        <v>0.32548583812453702</v>
      </c>
      <c r="S400" s="76">
        <f t="shared" si="254"/>
        <v>0.32262187218985261</v>
      </c>
      <c r="T400" s="76">
        <f t="shared" si="254"/>
        <v>0.3234767928747857</v>
      </c>
      <c r="U400" s="76">
        <f t="shared" si="254"/>
        <v>0.32267893115877883</v>
      </c>
      <c r="V400" s="76">
        <f t="shared" si="254"/>
        <v>0.32084435679088924</v>
      </c>
      <c r="W400" s="76">
        <f t="shared" si="254"/>
        <v>0.31799841457851113</v>
      </c>
      <c r="AA400" s="91"/>
      <c r="AB400" s="91"/>
      <c r="AC400" s="91"/>
      <c r="AD400" s="91"/>
      <c r="AE400" s="91"/>
      <c r="AF400" s="91"/>
      <c r="AG400" s="91"/>
      <c r="AH400" s="91"/>
      <c r="AI400" s="91"/>
      <c r="AJ400" s="91"/>
      <c r="AK400" s="91"/>
      <c r="AL400" s="91"/>
      <c r="AM400" s="91"/>
      <c r="AN400" s="91"/>
      <c r="AO400" s="91"/>
      <c r="AP400" s="91"/>
    </row>
    <row r="401" spans="1:42">
      <c r="A401" s="4" t="str">
        <f t="shared" si="239"/>
        <v>Net income</v>
      </c>
      <c r="B401" s="326">
        <f t="shared" si="249"/>
        <v>-21.6</v>
      </c>
      <c r="C401" s="326">
        <f t="shared" si="247"/>
        <v>20.5</v>
      </c>
      <c r="D401" s="326">
        <f t="shared" si="247"/>
        <v>-8.6</v>
      </c>
      <c r="E401" s="326">
        <f t="shared" si="247"/>
        <v>-21.767022308438392</v>
      </c>
      <c r="F401" s="326">
        <f t="shared" si="247"/>
        <v>12.759987179601463</v>
      </c>
      <c r="G401" s="326"/>
      <c r="H401" s="326"/>
      <c r="I401" s="326"/>
      <c r="J401" s="326"/>
      <c r="K401" s="326"/>
      <c r="L401" s="326"/>
      <c r="M401" s="326"/>
      <c r="N401" s="326">
        <f t="shared" ref="N401:W401" si="255">+N13</f>
        <v>-1.8320666823755047</v>
      </c>
      <c r="O401" s="326">
        <f t="shared" si="255"/>
        <v>21.666395829633238</v>
      </c>
      <c r="P401" s="326">
        <f t="shared" si="255"/>
        <v>51.120824797834274</v>
      </c>
      <c r="Q401" s="326">
        <f t="shared" si="255"/>
        <v>68.413766149368882</v>
      </c>
      <c r="R401" s="326">
        <f t="shared" si="255"/>
        <v>80.985200417364496</v>
      </c>
      <c r="S401" s="326">
        <f t="shared" si="255"/>
        <v>98.155945341635814</v>
      </c>
      <c r="T401" s="326">
        <f t="shared" si="255"/>
        <v>114.35835744061512</v>
      </c>
      <c r="U401" s="326">
        <f t="shared" si="255"/>
        <v>128.85206000455923</v>
      </c>
      <c r="V401" s="326">
        <f t="shared" si="255"/>
        <v>142.17425105739312</v>
      </c>
      <c r="W401" s="326">
        <f t="shared" si="255"/>
        <v>154.53212562025547</v>
      </c>
      <c r="AA401" s="91"/>
      <c r="AB401" s="91"/>
      <c r="AC401" s="91"/>
      <c r="AD401" s="91"/>
      <c r="AE401" s="91"/>
      <c r="AF401" s="91"/>
      <c r="AG401" s="91"/>
      <c r="AH401" s="91"/>
      <c r="AI401" s="91"/>
      <c r="AJ401" s="91"/>
      <c r="AK401" s="91"/>
      <c r="AL401" s="91"/>
      <c r="AM401" s="91"/>
      <c r="AN401" s="91"/>
      <c r="AO401" s="91"/>
      <c r="AP401" s="91"/>
    </row>
    <row r="402" spans="1:42">
      <c r="A402" s="81" t="str">
        <f>+A17</f>
        <v>KPIs 000s</v>
      </c>
      <c r="B402" s="83"/>
      <c r="C402" s="83"/>
      <c r="D402" s="83"/>
      <c r="E402" s="83"/>
      <c r="F402" s="83"/>
      <c r="G402" s="83"/>
      <c r="H402" s="83"/>
      <c r="I402" s="83"/>
      <c r="J402" s="83"/>
      <c r="K402" s="83"/>
      <c r="L402" s="83"/>
      <c r="M402" s="83"/>
      <c r="N402" s="83"/>
      <c r="O402" s="83"/>
      <c r="P402" s="83"/>
      <c r="Q402" s="83"/>
      <c r="R402" s="83"/>
      <c r="S402" s="83"/>
      <c r="T402" s="83"/>
      <c r="U402" s="83"/>
      <c r="V402" s="83"/>
      <c r="W402" s="83"/>
      <c r="AA402" s="91"/>
      <c r="AB402" s="91"/>
      <c r="AC402" s="91"/>
      <c r="AD402" s="91"/>
      <c r="AE402" s="91"/>
      <c r="AF402" s="91"/>
      <c r="AG402" s="91"/>
      <c r="AH402" s="91"/>
      <c r="AI402" s="91"/>
      <c r="AJ402" s="91"/>
      <c r="AK402" s="91"/>
      <c r="AL402" s="91"/>
      <c r="AM402" s="91"/>
      <c r="AN402" s="91"/>
      <c r="AO402" s="91"/>
      <c r="AP402" s="91"/>
    </row>
    <row r="403" spans="1:42">
      <c r="A403" s="4" t="str">
        <f>+A18</f>
        <v>Homes connected</v>
      </c>
      <c r="B403" s="329">
        <f>+B18</f>
        <v>1963</v>
      </c>
      <c r="C403" s="329">
        <f>+C18</f>
        <v>1856</v>
      </c>
      <c r="D403" s="329">
        <f>+D18</f>
        <v>1749</v>
      </c>
      <c r="E403" s="329">
        <f>+E18</f>
        <v>1697</v>
      </c>
      <c r="F403" s="329">
        <f>+F18</f>
        <v>1687</v>
      </c>
      <c r="G403" s="329"/>
      <c r="H403" s="329">
        <f>+H18</f>
        <v>1152</v>
      </c>
      <c r="I403" s="329"/>
      <c r="J403" s="329">
        <f>+J18</f>
        <v>787</v>
      </c>
      <c r="K403" s="329"/>
      <c r="L403" s="329">
        <f>+L18</f>
        <v>3605</v>
      </c>
      <c r="M403" s="329"/>
      <c r="N403" s="329">
        <f t="shared" ref="N403:W403" si="256">+N18</f>
        <v>3601</v>
      </c>
      <c r="O403" s="329">
        <f t="shared" si="256"/>
        <v>3591</v>
      </c>
      <c r="P403" s="329">
        <f t="shared" si="256"/>
        <v>3581</v>
      </c>
      <c r="Q403" s="329">
        <f t="shared" si="256"/>
        <v>3571</v>
      </c>
      <c r="R403" s="329">
        <f t="shared" si="256"/>
        <v>3561</v>
      </c>
      <c r="S403" s="329">
        <f t="shared" si="256"/>
        <v>3551</v>
      </c>
      <c r="T403" s="329">
        <f t="shared" si="256"/>
        <v>3541</v>
      </c>
      <c r="U403" s="329">
        <f t="shared" si="256"/>
        <v>3531</v>
      </c>
      <c r="V403" s="329">
        <f t="shared" si="256"/>
        <v>3521</v>
      </c>
      <c r="W403" s="329">
        <f t="shared" si="256"/>
        <v>3511</v>
      </c>
      <c r="AA403" s="91"/>
      <c r="AB403" s="91"/>
      <c r="AC403" s="91"/>
      <c r="AD403" s="91"/>
      <c r="AE403" s="91"/>
      <c r="AF403" s="91"/>
      <c r="AG403" s="91"/>
      <c r="AH403" s="91"/>
      <c r="AI403" s="91"/>
      <c r="AJ403" s="91"/>
      <c r="AK403" s="91"/>
      <c r="AL403" s="91"/>
      <c r="AM403" s="91"/>
      <c r="AN403" s="91"/>
      <c r="AO403" s="91"/>
      <c r="AP403" s="91"/>
    </row>
    <row r="404" spans="1:42">
      <c r="A404" s="81" t="str">
        <f t="shared" ref="A404:F404" si="257">+A21</f>
        <v>Customers</v>
      </c>
      <c r="B404" s="328">
        <f t="shared" si="257"/>
        <v>1447</v>
      </c>
      <c r="C404" s="328">
        <f t="shared" si="257"/>
        <v>1353</v>
      </c>
      <c r="D404" s="328">
        <f t="shared" si="257"/>
        <v>1302</v>
      </c>
      <c r="E404" s="328">
        <f t="shared" si="257"/>
        <v>1282</v>
      </c>
      <c r="F404" s="328">
        <f t="shared" si="257"/>
        <v>1282.8804920447849</v>
      </c>
      <c r="G404" s="328"/>
      <c r="H404" s="328">
        <f>+H21</f>
        <v>642</v>
      </c>
      <c r="I404" s="328"/>
      <c r="J404" s="328">
        <f>+J21</f>
        <v>582</v>
      </c>
      <c r="K404" s="328"/>
      <c r="L404" s="328">
        <f>+L21</f>
        <v>2435</v>
      </c>
      <c r="M404" s="328"/>
      <c r="N404" s="328">
        <f t="shared" ref="N404:W404" si="258">+N21</f>
        <v>2416.2710000000002</v>
      </c>
      <c r="O404" s="328">
        <f t="shared" si="258"/>
        <v>2427.5160000000001</v>
      </c>
      <c r="P404" s="328">
        <f t="shared" si="258"/>
        <v>2438.6610000000001</v>
      </c>
      <c r="Q404" s="328">
        <f t="shared" si="258"/>
        <v>2449.7060000000001</v>
      </c>
      <c r="R404" s="328">
        <f t="shared" si="258"/>
        <v>2460.6510000000003</v>
      </c>
      <c r="S404" s="328">
        <f t="shared" si="258"/>
        <v>2471.4960000000001</v>
      </c>
      <c r="T404" s="328">
        <f t="shared" si="258"/>
        <v>2482.2410000000004</v>
      </c>
      <c r="U404" s="328">
        <f t="shared" si="258"/>
        <v>2492.8860000000004</v>
      </c>
      <c r="V404" s="328">
        <f t="shared" si="258"/>
        <v>2503.4310000000005</v>
      </c>
      <c r="W404" s="328">
        <f t="shared" si="258"/>
        <v>2513.8760000000002</v>
      </c>
      <c r="AA404" s="91"/>
      <c r="AB404" s="91"/>
      <c r="AC404" s="91"/>
      <c r="AD404" s="91"/>
      <c r="AE404" s="91"/>
      <c r="AF404" s="91"/>
      <c r="AG404" s="91"/>
      <c r="AH404" s="91"/>
      <c r="AI404" s="91"/>
      <c r="AJ404" s="91"/>
      <c r="AK404" s="91"/>
      <c r="AL404" s="91"/>
      <c r="AM404" s="91"/>
      <c r="AN404" s="91"/>
      <c r="AO404" s="91"/>
      <c r="AP404" s="91"/>
    </row>
    <row r="405" spans="1:42">
      <c r="A405" s="4" t="str">
        <f t="shared" ref="A405:A413" si="259">+A22</f>
        <v>RGUs</v>
      </c>
      <c r="AA405" s="91"/>
      <c r="AB405" s="91"/>
      <c r="AC405" s="91"/>
      <c r="AD405" s="91"/>
      <c r="AE405" s="91"/>
      <c r="AF405" s="91"/>
      <c r="AG405" s="91"/>
      <c r="AH405" s="91"/>
      <c r="AI405" s="91"/>
      <c r="AJ405" s="91"/>
      <c r="AK405" s="91"/>
      <c r="AL405" s="91"/>
      <c r="AM405" s="91"/>
      <c r="AN405" s="91"/>
      <c r="AO405" s="91"/>
      <c r="AP405" s="91"/>
    </row>
    <row r="406" spans="1:42">
      <c r="A406" s="81" t="str">
        <f t="shared" si="259"/>
        <v>Basic video</v>
      </c>
      <c r="B406" s="328">
        <f t="shared" ref="B406:F409" si="260">+B23</f>
        <v>1538</v>
      </c>
      <c r="C406" s="328">
        <f t="shared" si="260"/>
        <v>1416</v>
      </c>
      <c r="D406" s="328">
        <f t="shared" si="260"/>
        <v>1338</v>
      </c>
      <c r="E406" s="328">
        <f t="shared" si="260"/>
        <v>1311</v>
      </c>
      <c r="F406" s="328">
        <f t="shared" si="260"/>
        <v>1281</v>
      </c>
      <c r="G406" s="328"/>
      <c r="H406" s="328">
        <f>+H23</f>
        <v>642</v>
      </c>
      <c r="I406" s="328"/>
      <c r="J406" s="328">
        <f>+J23</f>
        <v>582</v>
      </c>
      <c r="K406" s="328"/>
      <c r="L406" s="328">
        <f>+L23</f>
        <v>2458</v>
      </c>
      <c r="M406" s="328"/>
      <c r="N406" s="328">
        <f t="shared" ref="N406:W406" si="261">+N23</f>
        <v>2430.768626</v>
      </c>
      <c r="O406" s="328">
        <f t="shared" si="261"/>
        <v>2442.0810959999999</v>
      </c>
      <c r="P406" s="328">
        <f t="shared" si="261"/>
        <v>2453.292966</v>
      </c>
      <c r="Q406" s="328">
        <f t="shared" si="261"/>
        <v>2464.4042360000003</v>
      </c>
      <c r="R406" s="328">
        <f t="shared" si="261"/>
        <v>2475.4149060000004</v>
      </c>
      <c r="S406" s="328">
        <f t="shared" si="261"/>
        <v>2486.3249760000003</v>
      </c>
      <c r="T406" s="328">
        <f t="shared" si="261"/>
        <v>2497.1344460000005</v>
      </c>
      <c r="U406" s="328">
        <f t="shared" si="261"/>
        <v>2507.8433160000004</v>
      </c>
      <c r="V406" s="328">
        <f t="shared" si="261"/>
        <v>2518.4515860000006</v>
      </c>
      <c r="W406" s="328">
        <f t="shared" si="261"/>
        <v>2528.9592560000001</v>
      </c>
      <c r="AA406" s="91"/>
      <c r="AB406" s="91"/>
      <c r="AC406" s="91"/>
      <c r="AD406" s="91"/>
      <c r="AE406" s="91"/>
      <c r="AF406" s="91"/>
      <c r="AG406" s="91"/>
      <c r="AH406" s="91"/>
      <c r="AI406" s="91"/>
      <c r="AJ406" s="91"/>
      <c r="AK406" s="91"/>
      <c r="AL406" s="91"/>
      <c r="AM406" s="91"/>
      <c r="AN406" s="91"/>
      <c r="AO406" s="91"/>
      <c r="AP406" s="91"/>
    </row>
    <row r="407" spans="1:42">
      <c r="A407" s="4" t="str">
        <f t="shared" si="259"/>
        <v>Premium video</v>
      </c>
      <c r="B407" s="329">
        <f t="shared" si="260"/>
        <v>142</v>
      </c>
      <c r="C407" s="329">
        <f t="shared" si="260"/>
        <v>153</v>
      </c>
      <c r="D407" s="329">
        <f t="shared" si="260"/>
        <v>164</v>
      </c>
      <c r="E407" s="329">
        <f t="shared" si="260"/>
        <v>161</v>
      </c>
      <c r="F407" s="329">
        <f t="shared" si="260"/>
        <v>181</v>
      </c>
      <c r="G407" s="329"/>
      <c r="H407" s="329">
        <f>+H24</f>
        <v>233</v>
      </c>
      <c r="I407" s="329"/>
      <c r="J407" s="329">
        <f>+J24</f>
        <v>21</v>
      </c>
      <c r="K407" s="329"/>
      <c r="L407" s="329">
        <f>+L24</f>
        <v>426</v>
      </c>
      <c r="M407" s="329"/>
      <c r="N407" s="329">
        <f t="shared" ref="N407:W407" si="262">+N24</f>
        <v>422</v>
      </c>
      <c r="O407" s="329">
        <f t="shared" si="262"/>
        <v>442</v>
      </c>
      <c r="P407" s="329">
        <f t="shared" si="262"/>
        <v>492</v>
      </c>
      <c r="Q407" s="329">
        <f t="shared" si="262"/>
        <v>542</v>
      </c>
      <c r="R407" s="329">
        <f t="shared" si="262"/>
        <v>592</v>
      </c>
      <c r="S407" s="329">
        <f t="shared" si="262"/>
        <v>642</v>
      </c>
      <c r="T407" s="329">
        <f t="shared" si="262"/>
        <v>692</v>
      </c>
      <c r="U407" s="329">
        <f t="shared" si="262"/>
        <v>742</v>
      </c>
      <c r="V407" s="329">
        <f t="shared" si="262"/>
        <v>792</v>
      </c>
      <c r="W407" s="329">
        <f t="shared" si="262"/>
        <v>842</v>
      </c>
      <c r="AA407" s="91"/>
      <c r="AB407" s="91"/>
      <c r="AC407" s="91"/>
      <c r="AD407" s="91"/>
      <c r="AE407" s="91"/>
      <c r="AF407" s="91"/>
      <c r="AG407" s="91"/>
      <c r="AH407" s="91"/>
      <c r="AI407" s="91"/>
      <c r="AJ407" s="91"/>
      <c r="AK407" s="91"/>
      <c r="AL407" s="91"/>
      <c r="AM407" s="91"/>
      <c r="AN407" s="91"/>
      <c r="AO407" s="91"/>
      <c r="AP407" s="91"/>
    </row>
    <row r="408" spans="1:42">
      <c r="A408" s="81" t="str">
        <f t="shared" si="259"/>
        <v>Broadband</v>
      </c>
      <c r="B408" s="328">
        <f t="shared" si="260"/>
        <v>115</v>
      </c>
      <c r="C408" s="328">
        <f t="shared" si="260"/>
        <v>135</v>
      </c>
      <c r="D408" s="328">
        <f t="shared" si="260"/>
        <v>174</v>
      </c>
      <c r="E408" s="328">
        <f t="shared" si="260"/>
        <v>202</v>
      </c>
      <c r="F408" s="328">
        <f t="shared" si="260"/>
        <v>242</v>
      </c>
      <c r="G408" s="328"/>
      <c r="H408" s="328">
        <f>+H25</f>
        <v>140</v>
      </c>
      <c r="I408" s="328"/>
      <c r="J408" s="328">
        <f>+J25</f>
        <v>83</v>
      </c>
      <c r="K408" s="328"/>
      <c r="L408" s="328">
        <f>+L25</f>
        <v>462</v>
      </c>
      <c r="M408" s="328"/>
      <c r="N408" s="328">
        <f t="shared" ref="N408:W408" si="263">+N25</f>
        <v>520</v>
      </c>
      <c r="O408" s="328">
        <f t="shared" si="263"/>
        <v>580</v>
      </c>
      <c r="P408" s="328">
        <f t="shared" si="263"/>
        <v>640</v>
      </c>
      <c r="Q408" s="328">
        <f t="shared" si="263"/>
        <v>700</v>
      </c>
      <c r="R408" s="328">
        <f t="shared" si="263"/>
        <v>760</v>
      </c>
      <c r="S408" s="328">
        <f t="shared" si="263"/>
        <v>820</v>
      </c>
      <c r="T408" s="328">
        <f t="shared" si="263"/>
        <v>880</v>
      </c>
      <c r="U408" s="328">
        <f t="shared" si="263"/>
        <v>940</v>
      </c>
      <c r="V408" s="328">
        <f t="shared" si="263"/>
        <v>1000</v>
      </c>
      <c r="W408" s="328">
        <f t="shared" si="263"/>
        <v>1060</v>
      </c>
      <c r="AA408" s="91"/>
      <c r="AB408" s="91"/>
      <c r="AC408" s="91"/>
      <c r="AD408" s="91"/>
      <c r="AE408" s="91"/>
      <c r="AF408" s="91"/>
      <c r="AG408" s="91"/>
      <c r="AH408" s="91"/>
      <c r="AI408" s="91"/>
      <c r="AJ408" s="91"/>
      <c r="AK408" s="91"/>
      <c r="AL408" s="91"/>
      <c r="AM408" s="91"/>
      <c r="AN408" s="91"/>
      <c r="AO408" s="91"/>
      <c r="AP408" s="91"/>
    </row>
    <row r="409" spans="1:42">
      <c r="A409" s="4" t="str">
        <f t="shared" si="259"/>
        <v>Telephony</v>
      </c>
      <c r="B409" s="329">
        <f t="shared" si="260"/>
        <v>87</v>
      </c>
      <c r="C409" s="329">
        <f t="shared" si="260"/>
        <v>112</v>
      </c>
      <c r="D409" s="329">
        <f t="shared" si="260"/>
        <v>146</v>
      </c>
      <c r="E409" s="329">
        <f t="shared" si="260"/>
        <v>170</v>
      </c>
      <c r="F409" s="329">
        <f t="shared" si="260"/>
        <v>205</v>
      </c>
      <c r="G409" s="329"/>
      <c r="H409" s="329">
        <f>+H26</f>
        <v>133</v>
      </c>
      <c r="I409" s="329"/>
      <c r="J409" s="329">
        <f>+J26</f>
        <v>63</v>
      </c>
      <c r="K409" s="329"/>
      <c r="L409" s="329">
        <f>+L26</f>
        <v>427</v>
      </c>
      <c r="M409" s="329"/>
      <c r="N409" s="329">
        <f t="shared" ref="N409:W409" si="264">+N26</f>
        <v>473</v>
      </c>
      <c r="O409" s="329">
        <f t="shared" si="264"/>
        <v>513</v>
      </c>
      <c r="P409" s="329">
        <f t="shared" si="264"/>
        <v>553</v>
      </c>
      <c r="Q409" s="329">
        <f t="shared" si="264"/>
        <v>593</v>
      </c>
      <c r="R409" s="329">
        <f t="shared" si="264"/>
        <v>633</v>
      </c>
      <c r="S409" s="329">
        <f t="shared" si="264"/>
        <v>673</v>
      </c>
      <c r="T409" s="329">
        <f t="shared" si="264"/>
        <v>713</v>
      </c>
      <c r="U409" s="329">
        <f t="shared" si="264"/>
        <v>753</v>
      </c>
      <c r="V409" s="329">
        <f t="shared" si="264"/>
        <v>793</v>
      </c>
      <c r="W409" s="329">
        <f t="shared" si="264"/>
        <v>833</v>
      </c>
      <c r="AA409" s="91"/>
      <c r="AB409" s="91"/>
      <c r="AC409" s="91"/>
      <c r="AD409" s="91"/>
      <c r="AE409" s="91"/>
      <c r="AF409" s="91"/>
      <c r="AG409" s="91"/>
      <c r="AH409" s="91"/>
      <c r="AI409" s="91"/>
      <c r="AJ409" s="91"/>
      <c r="AK409" s="91"/>
      <c r="AL409" s="91"/>
      <c r="AM409" s="91"/>
      <c r="AN409" s="91"/>
      <c r="AO409" s="91"/>
      <c r="AP409" s="91"/>
    </row>
    <row r="410" spans="1:42">
      <c r="A410" s="81" t="str">
        <f t="shared" si="259"/>
        <v>ARPU € per month</v>
      </c>
      <c r="B410" s="83"/>
      <c r="C410" s="83"/>
      <c r="D410" s="83"/>
      <c r="E410" s="83"/>
      <c r="F410" s="83"/>
      <c r="G410" s="83"/>
      <c r="H410" s="83"/>
      <c r="I410" s="83"/>
      <c r="J410" s="83"/>
      <c r="K410" s="83"/>
      <c r="L410" s="83"/>
      <c r="M410" s="83"/>
      <c r="N410" s="83"/>
      <c r="O410" s="83"/>
      <c r="P410" s="83"/>
      <c r="Q410" s="83"/>
      <c r="R410" s="83"/>
      <c r="S410" s="83"/>
      <c r="T410" s="83"/>
      <c r="U410" s="83"/>
      <c r="V410" s="83"/>
      <c r="W410" s="83"/>
      <c r="AA410" s="91"/>
      <c r="AB410" s="91"/>
      <c r="AC410" s="91"/>
      <c r="AD410" s="91"/>
      <c r="AE410" s="91"/>
      <c r="AF410" s="91"/>
      <c r="AG410" s="91"/>
      <c r="AH410" s="91"/>
      <c r="AI410" s="91"/>
      <c r="AJ410" s="91"/>
      <c r="AK410" s="91"/>
      <c r="AL410" s="91"/>
      <c r="AM410" s="91"/>
      <c r="AN410" s="91"/>
      <c r="AO410" s="91"/>
      <c r="AP410" s="91"/>
    </row>
    <row r="411" spans="1:42">
      <c r="A411" s="4" t="str">
        <f t="shared" si="259"/>
        <v>Blended video</v>
      </c>
      <c r="B411" s="327">
        <f t="shared" ref="B411:F413" si="265">+B28</f>
        <v>9.1999999999999993</v>
      </c>
      <c r="C411" s="327">
        <f t="shared" si="265"/>
        <v>9.4</v>
      </c>
      <c r="D411" s="327">
        <f t="shared" si="265"/>
        <v>9.5</v>
      </c>
      <c r="E411" s="327">
        <f t="shared" si="265"/>
        <v>9.6</v>
      </c>
      <c r="F411" s="327">
        <f t="shared" si="265"/>
        <v>9.9106001725133019</v>
      </c>
      <c r="G411" s="327"/>
      <c r="H411" s="327"/>
      <c r="I411" s="327"/>
      <c r="J411" s="327"/>
      <c r="K411" s="327"/>
      <c r="L411" s="327"/>
      <c r="M411" s="327"/>
      <c r="N411" s="327">
        <f t="shared" ref="N411:W411" si="266">+N28</f>
        <v>9.2786889317090484</v>
      </c>
      <c r="O411" s="327">
        <f t="shared" si="266"/>
        <v>9.4166840602638597</v>
      </c>
      <c r="P411" s="327">
        <f t="shared" si="266"/>
        <v>9.6932346379591774</v>
      </c>
      <c r="Q411" s="327">
        <f t="shared" si="266"/>
        <v>9.9726451177420543</v>
      </c>
      <c r="R411" s="327">
        <f t="shared" si="266"/>
        <v>10.254979914536912</v>
      </c>
      <c r="S411" s="327">
        <f t="shared" si="266"/>
        <v>10.540303905247605</v>
      </c>
      <c r="T411" s="327">
        <f t="shared" si="266"/>
        <v>10.828682455889773</v>
      </c>
      <c r="U411" s="327">
        <f t="shared" si="266"/>
        <v>11.120181448440132</v>
      </c>
      <c r="V411" s="327">
        <f t="shared" si="266"/>
        <v>11.414867307435372</v>
      </c>
      <c r="W411" s="327">
        <f t="shared" si="266"/>
        <v>11.71280702635195</v>
      </c>
      <c r="AA411" s="91"/>
      <c r="AB411" s="91"/>
      <c r="AC411" s="91"/>
      <c r="AD411" s="91"/>
      <c r="AE411" s="91"/>
      <c r="AF411" s="91"/>
      <c r="AG411" s="91"/>
      <c r="AH411" s="91"/>
      <c r="AI411" s="91"/>
      <c r="AJ411" s="91"/>
      <c r="AK411" s="91"/>
      <c r="AL411" s="91"/>
      <c r="AM411" s="91"/>
      <c r="AN411" s="91"/>
      <c r="AO411" s="91"/>
      <c r="AP411" s="91"/>
    </row>
    <row r="412" spans="1:42">
      <c r="A412" s="81" t="str">
        <f t="shared" si="259"/>
        <v>Blended bb/tel</v>
      </c>
      <c r="B412" s="330">
        <f t="shared" si="265"/>
        <v>21.9</v>
      </c>
      <c r="C412" s="330">
        <f t="shared" si="265"/>
        <v>21.9</v>
      </c>
      <c r="D412" s="330">
        <f t="shared" si="265"/>
        <v>22.4</v>
      </c>
      <c r="E412" s="330">
        <f t="shared" si="265"/>
        <v>22</v>
      </c>
      <c r="F412" s="330">
        <f t="shared" si="265"/>
        <v>22.22</v>
      </c>
      <c r="G412" s="330"/>
      <c r="H412" s="330"/>
      <c r="I412" s="330"/>
      <c r="J412" s="330"/>
      <c r="K412" s="330"/>
      <c r="L412" s="330"/>
      <c r="M412" s="330"/>
      <c r="N412" s="330">
        <f t="shared" ref="N412:W412" si="267">+N29</f>
        <v>22.553299999999997</v>
      </c>
      <c r="O412" s="330">
        <f t="shared" si="267"/>
        <v>22.778832999999995</v>
      </c>
      <c r="P412" s="330">
        <f t="shared" si="267"/>
        <v>23.006621329999994</v>
      </c>
      <c r="Q412" s="330">
        <f t="shared" si="267"/>
        <v>23.12165443664999</v>
      </c>
      <c r="R412" s="330">
        <f t="shared" si="267"/>
        <v>23.12165443664999</v>
      </c>
      <c r="S412" s="330">
        <f t="shared" si="267"/>
        <v>23.12165443664999</v>
      </c>
      <c r="T412" s="330">
        <f t="shared" si="267"/>
        <v>23.12165443664999</v>
      </c>
      <c r="U412" s="330">
        <f t="shared" si="267"/>
        <v>23.12165443664999</v>
      </c>
      <c r="V412" s="330">
        <f t="shared" si="267"/>
        <v>23.12165443664999</v>
      </c>
      <c r="W412" s="330">
        <f t="shared" si="267"/>
        <v>23.12165443664999</v>
      </c>
      <c r="AA412" s="91"/>
      <c r="AB412" s="91"/>
      <c r="AC412" s="91"/>
      <c r="AD412" s="91"/>
      <c r="AE412" s="91"/>
      <c r="AF412" s="91"/>
      <c r="AG412" s="91"/>
      <c r="AH412" s="91"/>
      <c r="AI412" s="91"/>
      <c r="AJ412" s="91"/>
      <c r="AK412" s="91"/>
      <c r="AL412" s="91"/>
      <c r="AM412" s="91"/>
      <c r="AN412" s="91"/>
      <c r="AO412" s="91"/>
      <c r="AP412" s="91"/>
    </row>
    <row r="413" spans="1:42">
      <c r="A413" s="4" t="str">
        <f t="shared" si="259"/>
        <v>Blended customer</v>
      </c>
      <c r="B413" s="327">
        <f t="shared" si="265"/>
        <v>11.6</v>
      </c>
      <c r="C413" s="327">
        <f t="shared" si="265"/>
        <v>12.4</v>
      </c>
      <c r="D413" s="327">
        <f t="shared" si="265"/>
        <v>13.2</v>
      </c>
      <c r="E413" s="327">
        <f t="shared" si="265"/>
        <v>13.9</v>
      </c>
      <c r="F413" s="327">
        <f t="shared" si="265"/>
        <v>13.930204717160576</v>
      </c>
      <c r="G413" s="327"/>
      <c r="H413" s="327">
        <f>+H30</f>
        <v>16.399999999999999</v>
      </c>
      <c r="I413" s="327"/>
      <c r="J413" s="327">
        <f>+J30</f>
        <v>15.8</v>
      </c>
      <c r="K413" s="327"/>
      <c r="L413" s="327">
        <f>+L30</f>
        <v>15.5</v>
      </c>
      <c r="M413" s="327"/>
      <c r="N413" s="327">
        <f t="shared" ref="N413:W413" si="268">+N30</f>
        <v>13.80893822234095</v>
      </c>
      <c r="O413" s="327">
        <f t="shared" si="268"/>
        <v>14.558791395705303</v>
      </c>
      <c r="P413" s="327">
        <f t="shared" si="268"/>
        <v>15.426826732683152</v>
      </c>
      <c r="Q413" s="327">
        <f t="shared" si="268"/>
        <v>16.272955135306855</v>
      </c>
      <c r="R413" s="327">
        <f t="shared" si="268"/>
        <v>17.088755505730205</v>
      </c>
      <c r="S413" s="327">
        <f t="shared" si="268"/>
        <v>17.90308689643928</v>
      </c>
      <c r="T413" s="327">
        <f t="shared" si="268"/>
        <v>18.716137577683476</v>
      </c>
      <c r="U413" s="327">
        <f t="shared" si="268"/>
        <v>19.528093146710525</v>
      </c>
      <c r="V413" s="327">
        <f t="shared" si="268"/>
        <v>20.339136671187276</v>
      </c>
      <c r="W413" s="327">
        <f t="shared" si="268"/>
        <v>21.149448827562193</v>
      </c>
      <c r="AA413" s="91"/>
      <c r="AB413" s="91"/>
      <c r="AC413" s="91"/>
      <c r="AD413" s="91"/>
      <c r="AE413" s="91"/>
      <c r="AF413" s="91"/>
      <c r="AG413" s="91"/>
      <c r="AH413" s="91"/>
      <c r="AI413" s="91"/>
      <c r="AJ413" s="91"/>
      <c r="AK413" s="91"/>
      <c r="AL413" s="91"/>
      <c r="AM413" s="91"/>
      <c r="AN413" s="91"/>
      <c r="AO413" s="91"/>
      <c r="AP413" s="91"/>
    </row>
    <row r="414" spans="1:42">
      <c r="AA414" s="91"/>
      <c r="AB414" s="91"/>
      <c r="AC414" s="91"/>
      <c r="AD414" s="91"/>
      <c r="AE414" s="91"/>
      <c r="AF414" s="91"/>
      <c r="AG414" s="91"/>
      <c r="AH414" s="91"/>
      <c r="AI414" s="91"/>
      <c r="AJ414" s="91"/>
      <c r="AK414" s="91"/>
      <c r="AL414" s="91"/>
      <c r="AM414" s="91"/>
      <c r="AN414" s="91"/>
      <c r="AO414" s="91"/>
      <c r="AP414" s="91"/>
    </row>
    <row r="415" spans="1:42">
      <c r="A415" s="18" t="str">
        <f>+A88</f>
        <v>Consolidated income statement €m</v>
      </c>
      <c r="B415" s="80" t="str">
        <f>B$3</f>
        <v>2011A</v>
      </c>
      <c r="C415" s="80" t="str">
        <f t="shared" ref="C415:W415" si="269">C$3</f>
        <v>2012A</v>
      </c>
      <c r="D415" s="80" t="str">
        <f t="shared" si="269"/>
        <v>2013A</v>
      </c>
      <c r="E415" s="80" t="str">
        <f t="shared" si="269"/>
        <v>2014A</v>
      </c>
      <c r="F415" s="80" t="str">
        <f t="shared" si="269"/>
        <v>2015A</v>
      </c>
      <c r="G415" s="80" t="str">
        <f t="shared" si="269"/>
        <v>Prima 14A</v>
      </c>
      <c r="H415" s="80" t="str">
        <f t="shared" si="269"/>
        <v>Prima 15E</v>
      </c>
      <c r="I415" s="80" t="str">
        <f t="shared" si="269"/>
        <v>pep 14A</v>
      </c>
      <c r="J415" s="80" t="str">
        <f t="shared" si="269"/>
        <v>pep 15E</v>
      </c>
      <c r="K415" s="80" t="str">
        <f t="shared" si="269"/>
        <v>Adj.</v>
      </c>
      <c r="L415" s="80" t="str">
        <f t="shared" si="269"/>
        <v>PF 2015E</v>
      </c>
      <c r="M415" s="80"/>
      <c r="N415" s="80" t="str">
        <f t="shared" si="269"/>
        <v>2016E</v>
      </c>
      <c r="O415" s="80" t="str">
        <f t="shared" si="269"/>
        <v>2017E</v>
      </c>
      <c r="P415" s="80" t="str">
        <f t="shared" si="269"/>
        <v>2018E</v>
      </c>
      <c r="Q415" s="80" t="str">
        <f t="shared" si="269"/>
        <v>2019E</v>
      </c>
      <c r="R415" s="80" t="str">
        <f t="shared" si="269"/>
        <v>2020E</v>
      </c>
      <c r="S415" s="80" t="str">
        <f t="shared" si="269"/>
        <v>2021E</v>
      </c>
      <c r="T415" s="80" t="str">
        <f t="shared" si="269"/>
        <v>2022E</v>
      </c>
      <c r="U415" s="80" t="str">
        <f t="shared" si="269"/>
        <v>2023E</v>
      </c>
      <c r="V415" s="80" t="str">
        <f t="shared" si="269"/>
        <v>2024E</v>
      </c>
      <c r="W415" s="80" t="str">
        <f t="shared" si="269"/>
        <v>2025E</v>
      </c>
      <c r="AA415" s="91"/>
      <c r="AB415" s="91"/>
      <c r="AC415" s="91"/>
      <c r="AD415" s="91"/>
      <c r="AE415" s="91"/>
      <c r="AF415" s="91"/>
      <c r="AG415" s="91"/>
      <c r="AH415" s="91"/>
      <c r="AI415" s="91"/>
      <c r="AJ415" s="91"/>
      <c r="AK415" s="91"/>
      <c r="AL415" s="91"/>
      <c r="AM415" s="91"/>
      <c r="AN415" s="91"/>
      <c r="AO415" s="91"/>
      <c r="AP415" s="91"/>
    </row>
    <row r="416" spans="1:42">
      <c r="A416" s="7" t="str">
        <f>+A89</f>
        <v>Revenue</v>
      </c>
      <c r="AA416" s="91"/>
      <c r="AB416" s="91"/>
      <c r="AC416" s="91"/>
      <c r="AD416" s="91"/>
      <c r="AE416" s="91"/>
      <c r="AF416" s="91"/>
      <c r="AG416" s="91"/>
      <c r="AH416" s="91"/>
      <c r="AI416" s="91"/>
      <c r="AJ416" s="91"/>
      <c r="AK416" s="91"/>
      <c r="AL416" s="91"/>
      <c r="AM416" s="91"/>
      <c r="AN416" s="91"/>
      <c r="AO416" s="91"/>
      <c r="AP416" s="91"/>
    </row>
    <row r="417" spans="1:42">
      <c r="A417" s="4" t="str">
        <f>+A90</f>
        <v>TV</v>
      </c>
      <c r="B417" s="326">
        <f t="shared" ref="B417:F419" si="270">+B90</f>
        <v>159.80000000000001</v>
      </c>
      <c r="C417" s="326">
        <f t="shared" si="270"/>
        <v>151.9</v>
      </c>
      <c r="D417" s="326">
        <f t="shared" si="270"/>
        <v>145</v>
      </c>
      <c r="E417" s="326">
        <f t="shared" si="270"/>
        <v>142.5</v>
      </c>
      <c r="F417" s="326">
        <f t="shared" si="270"/>
        <v>143.94501383067166</v>
      </c>
      <c r="G417" s="326"/>
      <c r="H417" s="326"/>
      <c r="I417" s="326"/>
      <c r="J417" s="326"/>
      <c r="K417" s="326"/>
      <c r="L417" s="326"/>
      <c r="M417" s="326"/>
      <c r="N417" s="326">
        <f t="shared" ref="N417:W417" si="271">+N90</f>
        <v>262.16818003851591</v>
      </c>
      <c r="O417" s="326">
        <f t="shared" si="271"/>
        <v>265.3165178313115</v>
      </c>
      <c r="P417" s="326">
        <f t="shared" si="271"/>
        <v>274.71205654127186</v>
      </c>
      <c r="Q417" s="326">
        <f t="shared" si="271"/>
        <v>284.25469395235439</v>
      </c>
      <c r="R417" s="326">
        <f t="shared" si="271"/>
        <v>293.94647649592974</v>
      </c>
      <c r="S417" s="326">
        <f t="shared" si="271"/>
        <v>303.78947753040433</v>
      </c>
      <c r="T417" s="326">
        <f t="shared" si="271"/>
        <v>313.78579767589991</v>
      </c>
      <c r="U417" s="326">
        <f t="shared" si="271"/>
        <v>323.93756515308684</v>
      </c>
      <c r="V417" s="326">
        <f t="shared" si="271"/>
        <v>334.24693612621343</v>
      </c>
      <c r="W417" s="326">
        <f t="shared" si="271"/>
        <v>344.71609505037577</v>
      </c>
      <c r="AA417" s="91"/>
      <c r="AB417" s="91"/>
      <c r="AC417" s="91"/>
      <c r="AD417" s="91"/>
      <c r="AE417" s="91"/>
      <c r="AF417" s="91"/>
      <c r="AG417" s="91"/>
      <c r="AH417" s="91"/>
      <c r="AI417" s="91"/>
      <c r="AJ417" s="91"/>
      <c r="AK417" s="91"/>
      <c r="AL417" s="91"/>
      <c r="AM417" s="91"/>
      <c r="AN417" s="91"/>
      <c r="AO417" s="91"/>
      <c r="AP417" s="91"/>
    </row>
    <row r="418" spans="1:42">
      <c r="A418" s="4" t="str">
        <f>+A91</f>
        <v>Internet &amp; Telephony</v>
      </c>
      <c r="B418" s="326">
        <f t="shared" si="270"/>
        <v>27</v>
      </c>
      <c r="C418" s="326">
        <f t="shared" si="270"/>
        <v>32.299999999999997</v>
      </c>
      <c r="D418" s="326">
        <f t="shared" si="270"/>
        <v>41.6</v>
      </c>
      <c r="E418" s="326">
        <f t="shared" si="270"/>
        <v>50.4</v>
      </c>
      <c r="F418" s="326">
        <f t="shared" si="270"/>
        <v>60.246208092485546</v>
      </c>
      <c r="G418" s="326"/>
      <c r="H418" s="326"/>
      <c r="I418" s="326"/>
      <c r="J418" s="326"/>
      <c r="K418" s="326"/>
      <c r="L418" s="326"/>
      <c r="M418" s="326"/>
      <c r="N418" s="326">
        <f t="shared" ref="N418:W418" si="272">+N91</f>
        <v>130.60095569230768</v>
      </c>
      <c r="O418" s="326">
        <f t="shared" si="272"/>
        <v>146.20506350153843</v>
      </c>
      <c r="P418" s="326">
        <f t="shared" si="272"/>
        <v>161.82503495501535</v>
      </c>
      <c r="Q418" s="326">
        <f t="shared" si="272"/>
        <v>176.86287055234425</v>
      </c>
      <c r="R418" s="326">
        <f t="shared" si="272"/>
        <v>191.09158097489808</v>
      </c>
      <c r="S418" s="326">
        <f t="shared" si="272"/>
        <v>205.32029139745191</v>
      </c>
      <c r="T418" s="326">
        <f t="shared" si="272"/>
        <v>219.54900182000574</v>
      </c>
      <c r="U418" s="326">
        <f t="shared" si="272"/>
        <v>233.7777122425596</v>
      </c>
      <c r="V418" s="326">
        <f t="shared" si="272"/>
        <v>248.00642266511343</v>
      </c>
      <c r="W418" s="326">
        <f t="shared" si="272"/>
        <v>262.23513308766729</v>
      </c>
      <c r="AA418" s="91"/>
      <c r="AB418" s="91"/>
      <c r="AC418" s="91"/>
      <c r="AD418" s="91"/>
      <c r="AE418" s="91"/>
      <c r="AF418" s="91"/>
      <c r="AG418" s="91"/>
      <c r="AH418" s="91"/>
      <c r="AI418" s="91"/>
      <c r="AJ418" s="91"/>
      <c r="AK418" s="91"/>
      <c r="AL418" s="91"/>
      <c r="AM418" s="91"/>
      <c r="AN418" s="91"/>
      <c r="AO418" s="91"/>
      <c r="AP418" s="91"/>
    </row>
    <row r="419" spans="1:42">
      <c r="A419" s="4" t="str">
        <f>+A92</f>
        <v>Other revenue</v>
      </c>
      <c r="B419" s="326">
        <f t="shared" si="270"/>
        <v>17.899999999999999</v>
      </c>
      <c r="C419" s="326">
        <f t="shared" si="270"/>
        <v>21.2</v>
      </c>
      <c r="D419" s="326">
        <f t="shared" si="270"/>
        <v>19.7</v>
      </c>
      <c r="E419" s="326">
        <f t="shared" si="270"/>
        <v>20.100000000000001</v>
      </c>
      <c r="F419" s="326">
        <f t="shared" si="270"/>
        <v>18</v>
      </c>
      <c r="G419" s="326"/>
      <c r="H419" s="326"/>
      <c r="I419" s="326"/>
      <c r="J419" s="326"/>
      <c r="K419" s="326"/>
      <c r="L419" s="326"/>
      <c r="M419" s="326"/>
      <c r="N419" s="326">
        <f t="shared" ref="N419:W419" si="273">+N92</f>
        <v>82</v>
      </c>
      <c r="O419" s="326">
        <f t="shared" si="273"/>
        <v>84.460000000000008</v>
      </c>
      <c r="P419" s="326">
        <f t="shared" si="273"/>
        <v>86.993800000000007</v>
      </c>
      <c r="Q419" s="326">
        <f t="shared" si="273"/>
        <v>89.603614000000007</v>
      </c>
      <c r="R419" s="326">
        <f t="shared" si="273"/>
        <v>92.291722420000013</v>
      </c>
      <c r="S419" s="326">
        <f t="shared" si="273"/>
        <v>95.060474092600018</v>
      </c>
      <c r="T419" s="326">
        <f t="shared" si="273"/>
        <v>97.912288315378021</v>
      </c>
      <c r="U419" s="326">
        <f t="shared" si="273"/>
        <v>100.84965696483937</v>
      </c>
      <c r="V419" s="326">
        <f t="shared" si="273"/>
        <v>103.87514667378456</v>
      </c>
      <c r="W419" s="326">
        <f t="shared" si="273"/>
        <v>106.99140107399809</v>
      </c>
      <c r="AA419" s="91"/>
      <c r="AB419" s="91"/>
      <c r="AC419" s="91"/>
      <c r="AD419" s="91"/>
      <c r="AE419" s="91"/>
      <c r="AF419" s="91"/>
      <c r="AG419" s="91"/>
      <c r="AH419" s="91"/>
      <c r="AI419" s="91"/>
      <c r="AJ419" s="91"/>
      <c r="AK419" s="91"/>
      <c r="AL419" s="91"/>
      <c r="AM419" s="91"/>
      <c r="AN419" s="91"/>
      <c r="AO419" s="91"/>
      <c r="AP419" s="91"/>
    </row>
    <row r="420" spans="1:42">
      <c r="A420" s="7" t="str">
        <f t="shared" ref="A420:F420" si="274">+A94</f>
        <v>Total revenue</v>
      </c>
      <c r="B420" s="374">
        <f t="shared" si="274"/>
        <v>204.7</v>
      </c>
      <c r="C420" s="374">
        <f t="shared" si="274"/>
        <v>205.3</v>
      </c>
      <c r="D420" s="374">
        <f t="shared" si="274"/>
        <v>206.2</v>
      </c>
      <c r="E420" s="374">
        <f t="shared" si="274"/>
        <v>213</v>
      </c>
      <c r="F420" s="374">
        <f t="shared" si="274"/>
        <v>222.1912219231572</v>
      </c>
      <c r="G420" s="374"/>
      <c r="H420" s="374"/>
      <c r="I420" s="374"/>
      <c r="J420" s="374"/>
      <c r="K420" s="374"/>
      <c r="L420" s="374"/>
      <c r="M420" s="374"/>
      <c r="N420" s="374">
        <f t="shared" ref="N420:W420" si="275">+N94</f>
        <v>478.04513573082357</v>
      </c>
      <c r="O420" s="374">
        <f t="shared" si="275"/>
        <v>503.65498133284996</v>
      </c>
      <c r="P420" s="374">
        <f t="shared" si="275"/>
        <v>536.86673149628712</v>
      </c>
      <c r="Q420" s="374">
        <f t="shared" si="275"/>
        <v>571.14168350469868</v>
      </c>
      <c r="R420" s="374">
        <f t="shared" si="275"/>
        <v>606.42899951582785</v>
      </c>
      <c r="S420" s="374">
        <f t="shared" si="275"/>
        <v>643.72986633170626</v>
      </c>
      <c r="T420" s="374">
        <f t="shared" si="275"/>
        <v>679.53877431684612</v>
      </c>
      <c r="U420" s="374">
        <f t="shared" si="275"/>
        <v>716.89487528127802</v>
      </c>
      <c r="V420" s="374">
        <f t="shared" si="275"/>
        <v>755.93827518414469</v>
      </c>
      <c r="W420" s="374">
        <f t="shared" si="275"/>
        <v>796.82078782247731</v>
      </c>
      <c r="AA420" s="91"/>
      <c r="AB420" s="91"/>
      <c r="AC420" s="91"/>
      <c r="AD420" s="91"/>
      <c r="AE420" s="91"/>
      <c r="AF420" s="91"/>
      <c r="AG420" s="91"/>
      <c r="AH420" s="91"/>
      <c r="AI420" s="91"/>
      <c r="AJ420" s="91"/>
      <c r="AK420" s="91"/>
      <c r="AL420" s="91"/>
      <c r="AM420" s="91"/>
      <c r="AN420" s="91"/>
      <c r="AO420" s="91"/>
      <c r="AP420" s="91"/>
    </row>
    <row r="421" spans="1:42">
      <c r="A421" s="6" t="str">
        <f>+A95</f>
        <v>YoY growth</v>
      </c>
      <c r="B421" s="375"/>
      <c r="C421" s="376">
        <f>+C95</f>
        <v>2.9311187103078229E-3</v>
      </c>
      <c r="D421" s="376">
        <f>+D95</f>
        <v>4.3838285435946478E-3</v>
      </c>
      <c r="E421" s="376">
        <f>+E95</f>
        <v>3.2977691561590694E-2</v>
      </c>
      <c r="F421" s="376">
        <f>+F95</f>
        <v>4.3151276634540769E-2</v>
      </c>
      <c r="G421" s="376"/>
      <c r="H421" s="376"/>
      <c r="I421" s="376"/>
      <c r="J421" s="376"/>
      <c r="K421" s="376"/>
      <c r="L421" s="376"/>
      <c r="M421" s="376"/>
      <c r="N421" s="376">
        <f t="shared" ref="N421:W421" si="276">+N95</f>
        <v>3.7649524052145944E-2</v>
      </c>
      <c r="O421" s="376">
        <f t="shared" si="276"/>
        <v>5.3572024245942096E-2</v>
      </c>
      <c r="P421" s="376">
        <f t="shared" si="276"/>
        <v>6.594147063838629E-2</v>
      </c>
      <c r="Q421" s="376">
        <f t="shared" si="276"/>
        <v>6.3842570227595763E-2</v>
      </c>
      <c r="R421" s="376">
        <f t="shared" si="276"/>
        <v>6.1783821826128182E-2</v>
      </c>
      <c r="S421" s="376">
        <f t="shared" si="276"/>
        <v>6.1509042024143534E-2</v>
      </c>
      <c r="T421" s="376">
        <f t="shared" si="276"/>
        <v>5.5627227907253829E-2</v>
      </c>
      <c r="U421" s="376">
        <f t="shared" si="276"/>
        <v>5.4972729116137264E-2</v>
      </c>
      <c r="V421" s="376">
        <f t="shared" si="276"/>
        <v>5.4461820343669975E-2</v>
      </c>
      <c r="W421" s="376">
        <f t="shared" si="276"/>
        <v>5.4081813264943879E-2</v>
      </c>
      <c r="AA421" s="91"/>
      <c r="AB421" s="91"/>
      <c r="AC421" s="91"/>
      <c r="AD421" s="91"/>
      <c r="AE421" s="91"/>
      <c r="AF421" s="91"/>
      <c r="AG421" s="91"/>
      <c r="AH421" s="91"/>
      <c r="AI421" s="91"/>
      <c r="AJ421" s="91"/>
      <c r="AK421" s="91"/>
      <c r="AL421" s="91"/>
      <c r="AM421" s="91"/>
      <c r="AN421" s="91"/>
      <c r="AO421" s="91"/>
      <c r="AP421" s="91"/>
    </row>
    <row r="422" spans="1:42">
      <c r="A422" s="7"/>
      <c r="B422" s="374"/>
      <c r="C422" s="374"/>
      <c r="D422" s="374"/>
      <c r="E422" s="374"/>
      <c r="F422" s="374"/>
      <c r="G422" s="374"/>
      <c r="H422" s="374"/>
      <c r="I422" s="374"/>
      <c r="J422" s="374"/>
      <c r="K422" s="374"/>
      <c r="L422" s="374"/>
      <c r="M422" s="374"/>
      <c r="N422" s="374"/>
      <c r="O422" s="374"/>
      <c r="P422" s="374"/>
      <c r="Q422" s="374"/>
      <c r="R422" s="374"/>
      <c r="S422" s="374"/>
      <c r="T422" s="374"/>
      <c r="U422" s="374"/>
      <c r="V422" s="374"/>
      <c r="W422" s="374"/>
      <c r="AA422" s="91"/>
      <c r="AB422" s="91"/>
      <c r="AC422" s="91"/>
      <c r="AD422" s="91"/>
      <c r="AE422" s="91"/>
      <c r="AF422" s="91"/>
      <c r="AG422" s="91"/>
      <c r="AH422" s="91"/>
      <c r="AI422" s="91"/>
      <c r="AJ422" s="91"/>
      <c r="AK422" s="91"/>
      <c r="AL422" s="91"/>
      <c r="AM422" s="91"/>
      <c r="AN422" s="91"/>
      <c r="AO422" s="91"/>
      <c r="AP422" s="91"/>
    </row>
    <row r="423" spans="1:42">
      <c r="A423" s="7" t="str">
        <f t="shared" ref="A423:F423" si="277">+A98</f>
        <v>Normalised total operating performance</v>
      </c>
      <c r="B423" s="374">
        <f t="shared" si="277"/>
        <v>222.6</v>
      </c>
      <c r="C423" s="374">
        <f t="shared" si="277"/>
        <v>223</v>
      </c>
      <c r="D423" s="374">
        <f t="shared" si="277"/>
        <v>223.5</v>
      </c>
      <c r="E423" s="374">
        <f t="shared" si="277"/>
        <v>229.83297769156158</v>
      </c>
      <c r="F423" s="374">
        <f t="shared" si="277"/>
        <v>237.23437319979175</v>
      </c>
      <c r="G423" s="374"/>
      <c r="H423" s="374"/>
      <c r="I423" s="374"/>
      <c r="J423" s="374"/>
      <c r="K423" s="374"/>
      <c r="L423" s="374"/>
      <c r="M423" s="374"/>
      <c r="N423" s="374">
        <f t="shared" ref="N423:W423" si="278">+N98</f>
        <v>513.04513573082363</v>
      </c>
      <c r="O423" s="374">
        <f t="shared" si="278"/>
        <v>538.65498133284996</v>
      </c>
      <c r="P423" s="374">
        <f t="shared" si="278"/>
        <v>571.86673149628712</v>
      </c>
      <c r="Q423" s="374">
        <f t="shared" si="278"/>
        <v>606.14168350469868</v>
      </c>
      <c r="R423" s="374">
        <f t="shared" si="278"/>
        <v>641.42899951582785</v>
      </c>
      <c r="S423" s="374">
        <f t="shared" si="278"/>
        <v>678.72986633170626</v>
      </c>
      <c r="T423" s="374">
        <f t="shared" si="278"/>
        <v>714.53877431684612</v>
      </c>
      <c r="U423" s="374">
        <f t="shared" si="278"/>
        <v>751.89487528127802</v>
      </c>
      <c r="V423" s="374">
        <f t="shared" si="278"/>
        <v>790.93827518414469</v>
      </c>
      <c r="W423" s="374">
        <f t="shared" si="278"/>
        <v>831.82078782247731</v>
      </c>
      <c r="AA423" s="91"/>
      <c r="AB423" s="91"/>
      <c r="AC423" s="91"/>
      <c r="AD423" s="91"/>
      <c r="AE423" s="91"/>
      <c r="AF423" s="91"/>
      <c r="AG423" s="91"/>
      <c r="AH423" s="91"/>
      <c r="AI423" s="91"/>
      <c r="AJ423" s="91"/>
      <c r="AK423" s="91"/>
      <c r="AL423" s="91"/>
      <c r="AM423" s="91"/>
      <c r="AN423" s="91"/>
      <c r="AO423" s="91"/>
      <c r="AP423" s="91"/>
    </row>
    <row r="424" spans="1:42">
      <c r="AA424" s="91"/>
      <c r="AB424" s="91"/>
      <c r="AC424" s="91"/>
      <c r="AD424" s="91"/>
      <c r="AE424" s="91"/>
      <c r="AF424" s="91"/>
      <c r="AG424" s="91"/>
      <c r="AH424" s="91"/>
      <c r="AI424" s="91"/>
      <c r="AJ424" s="91"/>
      <c r="AK424" s="91"/>
      <c r="AL424" s="91"/>
      <c r="AM424" s="91"/>
      <c r="AN424" s="91"/>
      <c r="AO424" s="91"/>
      <c r="AP424" s="91"/>
    </row>
    <row r="425" spans="1:42">
      <c r="A425" s="4" t="str">
        <f t="shared" ref="A425:F426" si="279">+A100</f>
        <v>Basic CaTV signal fee</v>
      </c>
      <c r="B425" s="326">
        <f t="shared" si="279"/>
        <v>-37.4</v>
      </c>
      <c r="C425" s="326">
        <f t="shared" si="279"/>
        <v>-34.700000000000003</v>
      </c>
      <c r="D425" s="326">
        <f t="shared" si="279"/>
        <v>-31</v>
      </c>
      <c r="E425" s="326">
        <f t="shared" si="279"/>
        <v>-32.5</v>
      </c>
      <c r="F425" s="326">
        <f t="shared" si="279"/>
        <v>-29.573428301886779</v>
      </c>
      <c r="G425" s="326"/>
      <c r="H425" s="326"/>
      <c r="I425" s="326"/>
      <c r="J425" s="326"/>
      <c r="K425" s="326"/>
      <c r="L425" s="326"/>
      <c r="M425" s="326"/>
      <c r="N425" s="326">
        <f t="shared" ref="N425:W425" si="280">+N100</f>
        <v>-50.90566312178386</v>
      </c>
      <c r="O425" s="326">
        <f t="shared" si="280"/>
        <v>-45.186507725557419</v>
      </c>
      <c r="P425" s="326">
        <f t="shared" si="280"/>
        <v>-39.255678248233231</v>
      </c>
      <c r="Q425" s="326">
        <f t="shared" si="280"/>
        <v>-35.381488737525842</v>
      </c>
      <c r="R425" s="326">
        <f t="shared" si="280"/>
        <v>-31.362607746930877</v>
      </c>
      <c r="S425" s="326">
        <f t="shared" si="280"/>
        <v>-27.195316860493907</v>
      </c>
      <c r="T425" s="326">
        <f t="shared" si="280"/>
        <v>-22.875817193563023</v>
      </c>
      <c r="U425" s="326">
        <f t="shared" si="280"/>
        <v>-18.400227869234268</v>
      </c>
      <c r="V425" s="326">
        <f t="shared" si="280"/>
        <v>-13.764584470198994</v>
      </c>
      <c r="W425" s="326">
        <f t="shared" si="280"/>
        <v>-8.9648374657015601</v>
      </c>
      <c r="AA425" s="91"/>
      <c r="AB425" s="91"/>
      <c r="AC425" s="91"/>
      <c r="AD425" s="91"/>
      <c r="AE425" s="91"/>
      <c r="AF425" s="91"/>
      <c r="AG425" s="91"/>
      <c r="AH425" s="91"/>
      <c r="AI425" s="91"/>
      <c r="AJ425" s="91"/>
      <c r="AK425" s="91"/>
      <c r="AL425" s="91"/>
      <c r="AM425" s="91"/>
      <c r="AN425" s="91"/>
      <c r="AO425" s="91"/>
      <c r="AP425" s="91"/>
    </row>
    <row r="426" spans="1:42">
      <c r="A426" s="4" t="str">
        <f t="shared" si="279"/>
        <v>Other direct costs</v>
      </c>
      <c r="B426" s="326">
        <f t="shared" si="279"/>
        <v>-49.8</v>
      </c>
      <c r="C426" s="326">
        <f t="shared" si="279"/>
        <v>-46.1</v>
      </c>
      <c r="D426" s="326">
        <f t="shared" si="279"/>
        <v>-51</v>
      </c>
      <c r="E426" s="326">
        <f t="shared" si="279"/>
        <v>-38.6</v>
      </c>
      <c r="F426" s="326">
        <f t="shared" si="279"/>
        <v>-41.376595387709067</v>
      </c>
      <c r="G426" s="326"/>
      <c r="H426" s="326"/>
      <c r="I426" s="326"/>
      <c r="J426" s="326"/>
      <c r="K426" s="326"/>
      <c r="L426" s="326"/>
      <c r="M426" s="326"/>
      <c r="N426" s="326">
        <f t="shared" ref="N426:W426" si="281">+N101</f>
        <v>-95.130982010433897</v>
      </c>
      <c r="O426" s="326">
        <f t="shared" si="281"/>
        <v>-100.22734128523715</v>
      </c>
      <c r="P426" s="326">
        <f t="shared" si="281"/>
        <v>-106.83647956776115</v>
      </c>
      <c r="Q426" s="326">
        <f t="shared" si="281"/>
        <v>-113.65719501743504</v>
      </c>
      <c r="R426" s="326">
        <f t="shared" si="281"/>
        <v>-120.67937090364975</v>
      </c>
      <c r="S426" s="326">
        <f t="shared" si="281"/>
        <v>-128.10224340000954</v>
      </c>
      <c r="T426" s="326">
        <f t="shared" si="281"/>
        <v>-135.22821608905238</v>
      </c>
      <c r="U426" s="326">
        <f t="shared" si="281"/>
        <v>-142.66208018097433</v>
      </c>
      <c r="V426" s="326">
        <f t="shared" si="281"/>
        <v>-150.43171676164479</v>
      </c>
      <c r="W426" s="326">
        <f t="shared" si="281"/>
        <v>-158.56733677667299</v>
      </c>
      <c r="AA426" s="91"/>
      <c r="AB426" s="91"/>
      <c r="AC426" s="91"/>
      <c r="AD426" s="91"/>
      <c r="AE426" s="91"/>
      <c r="AF426" s="91"/>
      <c r="AG426" s="91"/>
      <c r="AH426" s="91"/>
      <c r="AI426" s="91"/>
      <c r="AJ426" s="91"/>
      <c r="AK426" s="91"/>
      <c r="AL426" s="91"/>
      <c r="AM426" s="91"/>
      <c r="AN426" s="91"/>
      <c r="AO426" s="91"/>
      <c r="AP426" s="91"/>
    </row>
    <row r="427" spans="1:42">
      <c r="A427" s="7" t="str">
        <f t="shared" ref="A427:F428" si="282">+A104</f>
        <v>Normalised contribution margin</v>
      </c>
      <c r="B427" s="374">
        <f t="shared" si="282"/>
        <v>135.4</v>
      </c>
      <c r="C427" s="374">
        <f t="shared" si="282"/>
        <v>142.19999999999999</v>
      </c>
      <c r="D427" s="374">
        <f t="shared" si="282"/>
        <v>141.4</v>
      </c>
      <c r="E427" s="374">
        <f t="shared" si="282"/>
        <v>158.73297769156159</v>
      </c>
      <c r="F427" s="374">
        <f t="shared" si="282"/>
        <v>166.28434951019591</v>
      </c>
      <c r="G427" s="374"/>
      <c r="H427" s="374"/>
      <c r="I427" s="374"/>
      <c r="J427" s="374"/>
      <c r="K427" s="374"/>
      <c r="L427" s="374"/>
      <c r="M427" s="374"/>
      <c r="N427" s="374">
        <f t="shared" ref="N427:W427" si="283">+N104</f>
        <v>368.22389059860586</v>
      </c>
      <c r="O427" s="374">
        <f t="shared" si="283"/>
        <v>397.21874232205539</v>
      </c>
      <c r="P427" s="374">
        <f t="shared" si="283"/>
        <v>431.43910968029269</v>
      </c>
      <c r="Q427" s="374">
        <f t="shared" si="283"/>
        <v>456.74557049973782</v>
      </c>
      <c r="R427" s="374">
        <f t="shared" si="283"/>
        <v>481.65268418399722</v>
      </c>
      <c r="S427" s="374">
        <f t="shared" si="283"/>
        <v>506.8066262566403</v>
      </c>
      <c r="T427" s="374">
        <f t="shared" si="283"/>
        <v>532.38680750450271</v>
      </c>
      <c r="U427" s="374">
        <f t="shared" si="283"/>
        <v>558.25211744839589</v>
      </c>
      <c r="V427" s="374">
        <f t="shared" si="283"/>
        <v>584.40366969112267</v>
      </c>
      <c r="W427" s="374">
        <f t="shared" si="283"/>
        <v>610.84217876123205</v>
      </c>
      <c r="AA427" s="91"/>
      <c r="AB427" s="91"/>
      <c r="AC427" s="91"/>
      <c r="AD427" s="91"/>
      <c r="AE427" s="91"/>
      <c r="AF427" s="91"/>
      <c r="AG427" s="91"/>
      <c r="AH427" s="91"/>
      <c r="AI427" s="91"/>
      <c r="AJ427" s="91"/>
      <c r="AK427" s="91"/>
      <c r="AL427" s="91"/>
      <c r="AM427" s="91"/>
      <c r="AN427" s="91"/>
      <c r="AO427" s="91"/>
      <c r="AP427" s="91"/>
    </row>
    <row r="428" spans="1:42">
      <c r="A428" s="14" t="str">
        <f t="shared" si="282"/>
        <v>% margin</v>
      </c>
      <c r="B428" s="378">
        <f t="shared" si="282"/>
        <v>0.66200000000000003</v>
      </c>
      <c r="C428" s="378">
        <f t="shared" si="282"/>
        <v>0.69299999999999995</v>
      </c>
      <c r="D428" s="378">
        <f t="shared" si="282"/>
        <v>0.68600000000000005</v>
      </c>
      <c r="E428" s="378">
        <f t="shared" si="282"/>
        <v>0.74522524737822338</v>
      </c>
      <c r="F428" s="378">
        <f t="shared" si="282"/>
        <v>0.74838397336733598</v>
      </c>
      <c r="G428" s="378"/>
      <c r="H428" s="378"/>
      <c r="I428" s="378"/>
      <c r="J428" s="378"/>
      <c r="K428" s="378"/>
      <c r="L428" s="378"/>
      <c r="M428" s="378"/>
      <c r="N428" s="378">
        <f t="shared" ref="N428:W428" si="284">+N105</f>
        <v>0.77027013366776398</v>
      </c>
      <c r="O428" s="378">
        <f t="shared" si="284"/>
        <v>0.7886723194335804</v>
      </c>
      <c r="P428" s="378">
        <f t="shared" si="284"/>
        <v>0.80362422249156718</v>
      </c>
      <c r="Q428" s="378">
        <f t="shared" si="284"/>
        <v>0.7997062439866206</v>
      </c>
      <c r="R428" s="378">
        <f t="shared" si="284"/>
        <v>0.79424414823260125</v>
      </c>
      <c r="S428" s="378">
        <f t="shared" si="284"/>
        <v>0.7872970523251891</v>
      </c>
      <c r="T428" s="378">
        <f t="shared" si="284"/>
        <v>0.78345317092423727</v>
      </c>
      <c r="U428" s="378">
        <f t="shared" si="284"/>
        <v>0.77870847832377421</v>
      </c>
      <c r="V428" s="378">
        <f t="shared" si="284"/>
        <v>0.77308384675820707</v>
      </c>
      <c r="W428" s="378">
        <f t="shared" si="284"/>
        <v>0.76659920034280127</v>
      </c>
      <c r="AA428" s="91"/>
      <c r="AB428" s="91"/>
      <c r="AC428" s="91"/>
      <c r="AD428" s="91"/>
      <c r="AE428" s="91"/>
      <c r="AF428" s="91"/>
      <c r="AG428" s="91"/>
      <c r="AH428" s="91"/>
      <c r="AI428" s="91"/>
      <c r="AJ428" s="91"/>
      <c r="AK428" s="91"/>
      <c r="AL428" s="91"/>
      <c r="AM428" s="91"/>
      <c r="AN428" s="91"/>
      <c r="AO428" s="91"/>
      <c r="AP428" s="91"/>
    </row>
    <row r="429" spans="1:42">
      <c r="AA429" s="91"/>
      <c r="AB429" s="91"/>
      <c r="AC429" s="91"/>
      <c r="AD429" s="91"/>
      <c r="AE429" s="91"/>
      <c r="AF429" s="91"/>
      <c r="AG429" s="91"/>
      <c r="AH429" s="91"/>
      <c r="AI429" s="91"/>
      <c r="AJ429" s="91"/>
      <c r="AK429" s="91"/>
      <c r="AL429" s="91"/>
      <c r="AM429" s="91"/>
      <c r="AN429" s="91"/>
      <c r="AO429" s="91"/>
      <c r="AP429" s="91"/>
    </row>
    <row r="430" spans="1:42">
      <c r="A430" s="4" t="str">
        <f t="shared" ref="A430:F432" si="285">+A107</f>
        <v>Employee benefits</v>
      </c>
      <c r="B430" s="326">
        <f t="shared" si="285"/>
        <v>-30.6</v>
      </c>
      <c r="C430" s="326">
        <f t="shared" si="285"/>
        <v>-29.5</v>
      </c>
      <c r="D430" s="326">
        <f t="shared" si="285"/>
        <v>-28.5</v>
      </c>
      <c r="E430" s="326">
        <f t="shared" si="285"/>
        <v>-30.6</v>
      </c>
      <c r="F430" s="326">
        <f t="shared" si="285"/>
        <v>-31.364951010209058</v>
      </c>
      <c r="G430" s="326"/>
      <c r="H430" s="326"/>
      <c r="I430" s="326"/>
      <c r="J430" s="326"/>
      <c r="K430" s="326"/>
      <c r="L430" s="326"/>
      <c r="M430" s="326"/>
      <c r="N430" s="326">
        <f t="shared" ref="N430:W430" si="286">+N107</f>
        <v>-75.481793983974356</v>
      </c>
      <c r="O430" s="326">
        <f t="shared" si="286"/>
        <v>-79.525506481411028</v>
      </c>
      <c r="P430" s="326">
        <f t="shared" si="286"/>
        <v>-84.769535332057799</v>
      </c>
      <c r="Q430" s="326">
        <f t="shared" si="286"/>
        <v>-89.27962594120882</v>
      </c>
      <c r="R430" s="326">
        <f t="shared" si="286"/>
        <v>-93.847705818633202</v>
      </c>
      <c r="S430" s="326">
        <f t="shared" si="286"/>
        <v>-98.623986416703957</v>
      </c>
      <c r="T430" s="326">
        <f t="shared" si="286"/>
        <v>-103.06906373236558</v>
      </c>
      <c r="U430" s="326">
        <f t="shared" si="286"/>
        <v>-107.64770093864701</v>
      </c>
      <c r="V430" s="326">
        <f t="shared" si="286"/>
        <v>-112.37528678070095</v>
      </c>
      <c r="W430" s="326">
        <f t="shared" si="286"/>
        <v>-117.26821859540962</v>
      </c>
      <c r="AA430" s="91"/>
      <c r="AB430" s="91"/>
      <c r="AC430" s="91"/>
      <c r="AD430" s="91"/>
      <c r="AE430" s="91"/>
      <c r="AF430" s="91"/>
      <c r="AG430" s="91"/>
      <c r="AH430" s="91"/>
      <c r="AI430" s="91"/>
      <c r="AJ430" s="91"/>
      <c r="AK430" s="91"/>
      <c r="AL430" s="91"/>
      <c r="AM430" s="91"/>
      <c r="AN430" s="91"/>
      <c r="AO430" s="91"/>
      <c r="AP430" s="91"/>
    </row>
    <row r="431" spans="1:42">
      <c r="A431" s="4" t="str">
        <f t="shared" si="285"/>
        <v>Advertising</v>
      </c>
      <c r="B431" s="326">
        <f t="shared" si="285"/>
        <v>-7.8</v>
      </c>
      <c r="C431" s="326">
        <f t="shared" si="285"/>
        <v>-7</v>
      </c>
      <c r="D431" s="326">
        <f t="shared" si="285"/>
        <v>-6.8</v>
      </c>
      <c r="E431" s="326">
        <f t="shared" si="285"/>
        <v>-8.6999999999999993</v>
      </c>
      <c r="F431" s="326">
        <f t="shared" si="285"/>
        <v>-8.8876488769262885</v>
      </c>
      <c r="G431" s="326"/>
      <c r="H431" s="326"/>
      <c r="I431" s="326"/>
      <c r="J431" s="326"/>
      <c r="K431" s="326"/>
      <c r="L431" s="326"/>
      <c r="M431" s="326"/>
      <c r="N431" s="326">
        <f t="shared" ref="N431:W431" si="287">+N108</f>
        <v>-14.121805429232943</v>
      </c>
      <c r="O431" s="326">
        <f t="shared" si="287"/>
        <v>-14.878339132084287</v>
      </c>
      <c r="P431" s="326">
        <f t="shared" si="287"/>
        <v>-15.859438695110578</v>
      </c>
      <c r="Q431" s="326">
        <f t="shared" si="287"/>
        <v>-16.871946023773425</v>
      </c>
      <c r="R431" s="326">
        <f t="shared" si="287"/>
        <v>-17.914359330766295</v>
      </c>
      <c r="S431" s="326">
        <f t="shared" si="287"/>
        <v>-19.016254411678009</v>
      </c>
      <c r="T431" s="326">
        <f t="shared" si="287"/>
        <v>-20.074075929778743</v>
      </c>
      <c r="U431" s="326">
        <f t="shared" si="287"/>
        <v>-21.177602668123242</v>
      </c>
      <c r="V431" s="326">
        <f t="shared" si="287"/>
        <v>-22.330973459944197</v>
      </c>
      <c r="W431" s="326">
        <f t="shared" si="287"/>
        <v>-23.538672996629316</v>
      </c>
      <c r="AA431" s="91"/>
      <c r="AB431" s="91"/>
      <c r="AC431" s="91"/>
      <c r="AD431" s="91"/>
      <c r="AE431" s="91"/>
      <c r="AF431" s="91"/>
      <c r="AG431" s="91"/>
      <c r="AH431" s="91"/>
      <c r="AI431" s="91"/>
      <c r="AJ431" s="91"/>
      <c r="AK431" s="91"/>
      <c r="AL431" s="91"/>
      <c r="AM431" s="91"/>
      <c r="AN431" s="91"/>
      <c r="AO431" s="91"/>
      <c r="AP431" s="91"/>
    </row>
    <row r="432" spans="1:42">
      <c r="A432" s="4" t="str">
        <f t="shared" si="285"/>
        <v>Other operating income and expenses</v>
      </c>
      <c r="B432" s="326">
        <f t="shared" si="285"/>
        <v>-18.600000000000001</v>
      </c>
      <c r="C432" s="326">
        <f t="shared" si="285"/>
        <v>-18.600000000000001</v>
      </c>
      <c r="D432" s="326">
        <f t="shared" si="285"/>
        <v>-18</v>
      </c>
      <c r="E432" s="326">
        <f t="shared" si="285"/>
        <v>-20.399999999999999</v>
      </c>
      <c r="F432" s="326">
        <f t="shared" si="285"/>
        <v>-20.603999999999999</v>
      </c>
      <c r="G432" s="326"/>
      <c r="H432" s="326"/>
      <c r="I432" s="326"/>
      <c r="J432" s="326"/>
      <c r="K432" s="326"/>
      <c r="L432" s="326"/>
      <c r="M432" s="326"/>
      <c r="N432" s="326">
        <f t="shared" ref="N432:W432" si="288">+N109</f>
        <v>-38.329572929772617</v>
      </c>
      <c r="O432" s="326">
        <f t="shared" si="288"/>
        <v>-40.382965740103003</v>
      </c>
      <c r="P432" s="326">
        <f t="shared" si="288"/>
        <v>-43.045877889744972</v>
      </c>
      <c r="Q432" s="326">
        <f t="shared" si="288"/>
        <v>-43.046395129613749</v>
      </c>
      <c r="R432" s="326">
        <f t="shared" si="288"/>
        <v>-42.963607980365374</v>
      </c>
      <c r="S432" s="326">
        <f t="shared" si="288"/>
        <v>-42.869882848190187</v>
      </c>
      <c r="T432" s="326">
        <f t="shared" si="288"/>
        <v>-42.539338656239103</v>
      </c>
      <c r="U432" s="326">
        <f t="shared" si="288"/>
        <v>-42.185171665150065</v>
      </c>
      <c r="V432" s="326">
        <f t="shared" si="288"/>
        <v>-41.813693731211686</v>
      </c>
      <c r="W432" s="326">
        <f t="shared" si="288"/>
        <v>-41.430550861050584</v>
      </c>
      <c r="AA432" s="91"/>
      <c r="AB432" s="91"/>
      <c r="AC432" s="91"/>
      <c r="AD432" s="91"/>
      <c r="AE432" s="91"/>
      <c r="AF432" s="91"/>
      <c r="AG432" s="91"/>
      <c r="AH432" s="91"/>
      <c r="AI432" s="91"/>
      <c r="AJ432" s="91"/>
      <c r="AK432" s="91"/>
      <c r="AL432" s="91"/>
      <c r="AM432" s="91"/>
      <c r="AN432" s="91"/>
      <c r="AO432" s="91"/>
      <c r="AP432" s="91"/>
    </row>
    <row r="433" spans="1:42">
      <c r="B433" s="329"/>
      <c r="C433" s="329"/>
      <c r="AA433" s="91"/>
      <c r="AB433" s="91"/>
      <c r="AC433" s="91"/>
      <c r="AD433" s="91"/>
      <c r="AE433" s="91"/>
      <c r="AF433" s="91"/>
      <c r="AG433" s="91"/>
      <c r="AH433" s="91"/>
      <c r="AI433" s="91"/>
      <c r="AJ433" s="91"/>
      <c r="AK433" s="91"/>
      <c r="AL433" s="91"/>
      <c r="AM433" s="91"/>
      <c r="AN433" s="91"/>
      <c r="AO433" s="91"/>
      <c r="AP433" s="91"/>
    </row>
    <row r="434" spans="1:42">
      <c r="A434" s="7" t="str">
        <f t="shared" ref="A434:F435" si="289">+A112</f>
        <v>Normalised EBITDA</v>
      </c>
      <c r="B434" s="374">
        <f t="shared" si="289"/>
        <v>78.400000000000006</v>
      </c>
      <c r="C434" s="374">
        <f t="shared" si="289"/>
        <v>87.1</v>
      </c>
      <c r="D434" s="374">
        <f t="shared" si="289"/>
        <v>88.1</v>
      </c>
      <c r="E434" s="374">
        <f t="shared" si="289"/>
        <v>99.032977691561598</v>
      </c>
      <c r="F434" s="374">
        <f t="shared" si="289"/>
        <v>105.42774962306055</v>
      </c>
      <c r="G434" s="374"/>
      <c r="H434" s="374"/>
      <c r="I434" s="374"/>
      <c r="J434" s="374"/>
      <c r="K434" s="374"/>
      <c r="L434" s="374"/>
      <c r="M434" s="374"/>
      <c r="N434" s="374">
        <f t="shared" ref="N434:W434" si="290">+N112</f>
        <v>243.77071825562595</v>
      </c>
      <c r="O434" s="374">
        <f t="shared" si="290"/>
        <v>272.29193096845711</v>
      </c>
      <c r="P434" s="374">
        <f t="shared" si="290"/>
        <v>304.00425776337937</v>
      </c>
      <c r="Q434" s="374">
        <f t="shared" si="290"/>
        <v>323.66760340514185</v>
      </c>
      <c r="R434" s="374">
        <f t="shared" si="290"/>
        <v>342.92701105423237</v>
      </c>
      <c r="S434" s="374">
        <f t="shared" si="290"/>
        <v>362.17650258006813</v>
      </c>
      <c r="T434" s="374">
        <f t="shared" si="290"/>
        <v>382.90432918611924</v>
      </c>
      <c r="U434" s="374">
        <f t="shared" si="290"/>
        <v>403.38164217647557</v>
      </c>
      <c r="V434" s="374">
        <f t="shared" si="290"/>
        <v>423.96371571926585</v>
      </c>
      <c r="W434" s="374">
        <f t="shared" si="290"/>
        <v>444.62473630814253</v>
      </c>
      <c r="AA434" s="91"/>
      <c r="AB434" s="91"/>
      <c r="AC434" s="91"/>
      <c r="AD434" s="91"/>
      <c r="AE434" s="91"/>
      <c r="AF434" s="91"/>
      <c r="AG434" s="91"/>
      <c r="AH434" s="91"/>
      <c r="AI434" s="91"/>
      <c r="AJ434" s="91"/>
      <c r="AK434" s="91"/>
      <c r="AL434" s="91"/>
      <c r="AM434" s="91"/>
      <c r="AN434" s="91"/>
      <c r="AO434" s="91"/>
      <c r="AP434" s="91"/>
    </row>
    <row r="435" spans="1:42">
      <c r="A435" s="14" t="str">
        <f t="shared" si="289"/>
        <v>% margin</v>
      </c>
      <c r="B435" s="378">
        <f t="shared" si="289"/>
        <v>0.38300000000000001</v>
      </c>
      <c r="C435" s="378">
        <f t="shared" si="289"/>
        <v>0.42399999999999999</v>
      </c>
      <c r="D435" s="378">
        <f t="shared" si="289"/>
        <v>0.42699999999999999</v>
      </c>
      <c r="E435" s="378">
        <f t="shared" si="289"/>
        <v>0.4649435572373784</v>
      </c>
      <c r="F435" s="378">
        <f t="shared" si="289"/>
        <v>0.47449106544596875</v>
      </c>
      <c r="G435" s="378"/>
      <c r="H435" s="378"/>
      <c r="I435" s="378"/>
      <c r="J435" s="378"/>
      <c r="K435" s="378"/>
      <c r="L435" s="378"/>
      <c r="M435" s="378"/>
      <c r="N435" s="378">
        <f t="shared" ref="N435:W435" si="291">+N113</f>
        <v>0.50993243113530551</v>
      </c>
      <c r="O435" s="378">
        <f t="shared" si="291"/>
        <v>0.54063186320102696</v>
      </c>
      <c r="P435" s="378">
        <f t="shared" si="291"/>
        <v>0.56625646539150809</v>
      </c>
      <c r="Q435" s="378">
        <f t="shared" si="291"/>
        <v>0.56670282130174643</v>
      </c>
      <c r="R435" s="378">
        <f t="shared" si="291"/>
        <v>0.56548583812453701</v>
      </c>
      <c r="S435" s="378">
        <f t="shared" si="291"/>
        <v>0.5626218721898526</v>
      </c>
      <c r="T435" s="378">
        <f t="shared" si="291"/>
        <v>0.56347679287478569</v>
      </c>
      <c r="U435" s="378">
        <f t="shared" si="291"/>
        <v>0.56267893115877887</v>
      </c>
      <c r="V435" s="378">
        <f t="shared" si="291"/>
        <v>0.56084435679088918</v>
      </c>
      <c r="W435" s="378">
        <f t="shared" si="291"/>
        <v>0.55799841457851107</v>
      </c>
      <c r="AA435" s="91"/>
      <c r="AB435" s="91"/>
      <c r="AC435" s="91"/>
      <c r="AD435" s="91"/>
      <c r="AE435" s="91"/>
      <c r="AF435" s="91"/>
      <c r="AG435" s="91"/>
      <c r="AH435" s="91"/>
      <c r="AI435" s="91"/>
      <c r="AJ435" s="91"/>
      <c r="AK435" s="91"/>
      <c r="AL435" s="91"/>
      <c r="AM435" s="91"/>
      <c r="AN435" s="91"/>
      <c r="AO435" s="91"/>
      <c r="AP435" s="91"/>
    </row>
    <row r="436" spans="1:42">
      <c r="AA436" s="91"/>
      <c r="AB436" s="91"/>
      <c r="AC436" s="91"/>
      <c r="AD436" s="91"/>
      <c r="AE436" s="91"/>
      <c r="AF436" s="91"/>
      <c r="AG436" s="91"/>
      <c r="AH436" s="91"/>
      <c r="AI436" s="91"/>
      <c r="AJ436" s="91"/>
      <c r="AK436" s="91"/>
      <c r="AL436" s="91"/>
      <c r="AM436" s="91"/>
      <c r="AN436" s="91"/>
      <c r="AO436" s="91"/>
      <c r="AP436" s="91"/>
    </row>
    <row r="437" spans="1:42">
      <c r="A437" s="4" t="str">
        <f t="shared" ref="A437:F439" si="292">+A117</f>
        <v>Non-recurring items</v>
      </c>
      <c r="B437" s="326">
        <f t="shared" si="292"/>
        <v>-4.5</v>
      </c>
      <c r="C437" s="326">
        <f t="shared" si="292"/>
        <v>30.7</v>
      </c>
      <c r="D437" s="326">
        <f t="shared" si="292"/>
        <v>3.1</v>
      </c>
      <c r="E437" s="326">
        <f t="shared" si="292"/>
        <v>-14.8</v>
      </c>
      <c r="F437" s="326">
        <f t="shared" si="292"/>
        <v>-10</v>
      </c>
      <c r="G437" s="326"/>
      <c r="H437" s="326"/>
      <c r="I437" s="326"/>
      <c r="J437" s="326"/>
      <c r="K437" s="326"/>
      <c r="L437" s="326"/>
      <c r="M437" s="326"/>
      <c r="N437" s="326">
        <f t="shared" ref="N437:W437" si="293">+N117</f>
        <v>-16.5</v>
      </c>
      <c r="O437" s="326">
        <f t="shared" si="293"/>
        <v>-16.5</v>
      </c>
      <c r="P437" s="326">
        <f t="shared" si="293"/>
        <v>0</v>
      </c>
      <c r="Q437" s="326">
        <f t="shared" si="293"/>
        <v>0</v>
      </c>
      <c r="R437" s="326">
        <f t="shared" si="293"/>
        <v>0</v>
      </c>
      <c r="S437" s="326">
        <f t="shared" si="293"/>
        <v>0</v>
      </c>
      <c r="T437" s="326">
        <f t="shared" si="293"/>
        <v>0</v>
      </c>
      <c r="U437" s="326">
        <f t="shared" si="293"/>
        <v>0</v>
      </c>
      <c r="V437" s="326">
        <f t="shared" si="293"/>
        <v>0</v>
      </c>
      <c r="W437" s="326">
        <f t="shared" si="293"/>
        <v>0</v>
      </c>
      <c r="AA437" s="91"/>
      <c r="AB437" s="91"/>
      <c r="AC437" s="91"/>
      <c r="AD437" s="91"/>
      <c r="AE437" s="91"/>
      <c r="AF437" s="91"/>
      <c r="AG437" s="91"/>
      <c r="AH437" s="91"/>
      <c r="AI437" s="91"/>
      <c r="AJ437" s="91"/>
      <c r="AK437" s="91"/>
      <c r="AL437" s="91"/>
      <c r="AM437" s="91"/>
      <c r="AN437" s="91"/>
      <c r="AO437" s="91"/>
      <c r="AP437" s="91"/>
    </row>
    <row r="438" spans="1:42">
      <c r="A438" s="7" t="str">
        <f t="shared" si="292"/>
        <v>Reported EBITDA</v>
      </c>
      <c r="B438" s="374">
        <f t="shared" si="292"/>
        <v>73.900000000000006</v>
      </c>
      <c r="C438" s="374">
        <f t="shared" si="292"/>
        <v>117.8</v>
      </c>
      <c r="D438" s="374">
        <f t="shared" si="292"/>
        <v>91.2</v>
      </c>
      <c r="E438" s="374">
        <f t="shared" si="292"/>
        <v>84.232977691561601</v>
      </c>
      <c r="F438" s="374">
        <f t="shared" si="292"/>
        <v>95.427749623060549</v>
      </c>
      <c r="G438" s="374"/>
      <c r="H438" s="374"/>
      <c r="I438" s="374"/>
      <c r="J438" s="374"/>
      <c r="K438" s="374"/>
      <c r="L438" s="374"/>
      <c r="M438" s="374"/>
      <c r="N438" s="374">
        <f t="shared" ref="N438:W438" si="294">+N118</f>
        <v>227.27071825562595</v>
      </c>
      <c r="O438" s="374">
        <f t="shared" si="294"/>
        <v>255.79193096845711</v>
      </c>
      <c r="P438" s="374">
        <f t="shared" si="294"/>
        <v>304.00425776337937</v>
      </c>
      <c r="Q438" s="374">
        <f t="shared" si="294"/>
        <v>323.66760340514185</v>
      </c>
      <c r="R438" s="374">
        <f t="shared" si="294"/>
        <v>342.92701105423237</v>
      </c>
      <c r="S438" s="374">
        <f t="shared" si="294"/>
        <v>362.17650258006813</v>
      </c>
      <c r="T438" s="374">
        <f t="shared" si="294"/>
        <v>382.90432918611924</v>
      </c>
      <c r="U438" s="374">
        <f t="shared" si="294"/>
        <v>403.38164217647557</v>
      </c>
      <c r="V438" s="374">
        <f t="shared" si="294"/>
        <v>423.96371571926585</v>
      </c>
      <c r="W438" s="374">
        <f t="shared" si="294"/>
        <v>444.62473630814253</v>
      </c>
      <c r="AA438" s="91"/>
      <c r="AB438" s="91"/>
      <c r="AC438" s="91"/>
      <c r="AD438" s="91"/>
      <c r="AE438" s="91"/>
      <c r="AF438" s="91"/>
      <c r="AG438" s="91"/>
      <c r="AH438" s="91"/>
      <c r="AI438" s="91"/>
      <c r="AJ438" s="91"/>
      <c r="AK438" s="91"/>
      <c r="AL438" s="91"/>
      <c r="AM438" s="91"/>
      <c r="AN438" s="91"/>
      <c r="AO438" s="91"/>
      <c r="AP438" s="91"/>
    </row>
    <row r="439" spans="1:42">
      <c r="A439" s="14" t="str">
        <f t="shared" si="292"/>
        <v>% margin</v>
      </c>
      <c r="B439" s="378">
        <f t="shared" si="292"/>
        <v>0.36099999999999999</v>
      </c>
      <c r="C439" s="378">
        <f t="shared" si="292"/>
        <v>0.57399999999999995</v>
      </c>
      <c r="D439" s="378">
        <f t="shared" si="292"/>
        <v>0.442</v>
      </c>
      <c r="E439" s="378">
        <f t="shared" si="292"/>
        <v>0.39545998916226105</v>
      </c>
      <c r="F439" s="378">
        <f t="shared" si="292"/>
        <v>0.42948478700955778</v>
      </c>
      <c r="G439" s="378"/>
      <c r="H439" s="378"/>
      <c r="I439" s="378"/>
      <c r="J439" s="378"/>
      <c r="K439" s="378"/>
      <c r="L439" s="378"/>
      <c r="M439" s="378"/>
      <c r="N439" s="378">
        <f t="shared" ref="N439:W439" si="295">+N119</f>
        <v>0.47541686185799192</v>
      </c>
      <c r="O439" s="378">
        <f t="shared" si="295"/>
        <v>0.50787134139235712</v>
      </c>
      <c r="P439" s="378">
        <f t="shared" si="295"/>
        <v>0.56625646539150809</v>
      </c>
      <c r="Q439" s="378">
        <f t="shared" si="295"/>
        <v>0.56670282130174643</v>
      </c>
      <c r="R439" s="378">
        <f t="shared" si="295"/>
        <v>0.56548583812453701</v>
      </c>
      <c r="S439" s="378">
        <f t="shared" si="295"/>
        <v>0.5626218721898526</v>
      </c>
      <c r="T439" s="378">
        <f t="shared" si="295"/>
        <v>0.56347679287478569</v>
      </c>
      <c r="U439" s="378">
        <f t="shared" si="295"/>
        <v>0.56267893115877887</v>
      </c>
      <c r="V439" s="378">
        <f t="shared" si="295"/>
        <v>0.56084435679088918</v>
      </c>
      <c r="W439" s="378">
        <f t="shared" si="295"/>
        <v>0.55799841457851107</v>
      </c>
      <c r="AA439" s="91"/>
      <c r="AB439" s="91"/>
      <c r="AC439" s="91"/>
      <c r="AD439" s="91"/>
      <c r="AE439" s="91"/>
      <c r="AF439" s="91"/>
      <c r="AG439" s="91"/>
      <c r="AH439" s="91"/>
      <c r="AI439" s="91"/>
      <c r="AJ439" s="91"/>
      <c r="AK439" s="91"/>
      <c r="AL439" s="91"/>
      <c r="AM439" s="91"/>
      <c r="AN439" s="91"/>
      <c r="AO439" s="91"/>
      <c r="AP439" s="91"/>
    </row>
    <row r="440" spans="1:42">
      <c r="AA440" s="91"/>
      <c r="AB440" s="91"/>
      <c r="AC440" s="91"/>
      <c r="AD440" s="91"/>
      <c r="AE440" s="91"/>
      <c r="AF440" s="91"/>
      <c r="AG440" s="91"/>
      <c r="AH440" s="91"/>
      <c r="AI440" s="91"/>
      <c r="AJ440" s="91"/>
      <c r="AK440" s="91"/>
      <c r="AL440" s="91"/>
      <c r="AM440" s="91"/>
      <c r="AN440" s="91"/>
      <c r="AO440" s="91"/>
      <c r="AP440" s="91"/>
    </row>
    <row r="441" spans="1:42">
      <c r="A441" s="4" t="str">
        <f t="shared" ref="A441:F443" si="296">+A124</f>
        <v>Depreciation and Amortization</v>
      </c>
      <c r="B441" s="326">
        <f t="shared" si="296"/>
        <v>-57.4</v>
      </c>
      <c r="C441" s="326">
        <f t="shared" si="296"/>
        <v>-62.9</v>
      </c>
      <c r="D441" s="326">
        <f t="shared" si="296"/>
        <v>-62.8</v>
      </c>
      <c r="E441" s="326">
        <f t="shared" si="296"/>
        <v>-50.8</v>
      </c>
      <c r="F441" s="326">
        <f t="shared" si="296"/>
        <v>-61.980000000000004</v>
      </c>
      <c r="G441" s="326"/>
      <c r="H441" s="326"/>
      <c r="I441" s="326"/>
      <c r="J441" s="326"/>
      <c r="K441" s="326"/>
      <c r="L441" s="326"/>
      <c r="M441" s="326"/>
      <c r="N441" s="326">
        <f t="shared" ref="N441:W441" si="297">+N124</f>
        <v>-164.12666666666667</v>
      </c>
      <c r="O441" s="326">
        <f t="shared" si="297"/>
        <v>-158.75999376912262</v>
      </c>
      <c r="P441" s="326">
        <f t="shared" si="297"/>
        <v>-164.78120272128749</v>
      </c>
      <c r="Q441" s="326">
        <f t="shared" si="297"/>
        <v>-160.02043932976957</v>
      </c>
      <c r="R441" s="326">
        <f t="shared" si="297"/>
        <v>-161.52735459758327</v>
      </c>
      <c r="S441" s="326">
        <f t="shared" si="297"/>
        <v>-156.45113533301787</v>
      </c>
      <c r="T441" s="326">
        <f t="shared" si="297"/>
        <v>-154.20557955583337</v>
      </c>
      <c r="U441" s="326">
        <f t="shared" si="297"/>
        <v>-154.09799402538914</v>
      </c>
      <c r="V441" s="326">
        <f t="shared" si="297"/>
        <v>-155.71928780952609</v>
      </c>
      <c r="W441" s="326">
        <f t="shared" si="297"/>
        <v>-158.75725692637715</v>
      </c>
      <c r="AA441" s="91"/>
      <c r="AB441" s="91"/>
      <c r="AC441" s="91"/>
      <c r="AD441" s="91"/>
      <c r="AE441" s="91"/>
      <c r="AF441" s="91"/>
      <c r="AG441" s="91"/>
      <c r="AH441" s="91"/>
      <c r="AI441" s="91"/>
      <c r="AJ441" s="91"/>
      <c r="AK441" s="91"/>
      <c r="AL441" s="91"/>
      <c r="AM441" s="91"/>
      <c r="AN441" s="91"/>
      <c r="AO441" s="91"/>
      <c r="AP441" s="91"/>
    </row>
    <row r="442" spans="1:42">
      <c r="A442" s="7" t="str">
        <f t="shared" si="296"/>
        <v>Reported Operating Profit (EBIT)</v>
      </c>
      <c r="B442" s="374">
        <f t="shared" si="296"/>
        <v>16.5</v>
      </c>
      <c r="C442" s="374">
        <f t="shared" si="296"/>
        <v>54.9</v>
      </c>
      <c r="D442" s="374">
        <f t="shared" si="296"/>
        <v>28.3</v>
      </c>
      <c r="E442" s="374">
        <f t="shared" si="296"/>
        <v>33.432977691561604</v>
      </c>
      <c r="F442" s="374">
        <f t="shared" si="296"/>
        <v>33.447749623060545</v>
      </c>
      <c r="G442" s="374"/>
      <c r="H442" s="374"/>
      <c r="I442" s="374"/>
      <c r="J442" s="374"/>
      <c r="K442" s="374"/>
      <c r="L442" s="374"/>
      <c r="M442" s="374"/>
      <c r="N442" s="374">
        <f t="shared" ref="N442:W442" si="298">+N125</f>
        <v>63.144051588959286</v>
      </c>
      <c r="O442" s="374">
        <f t="shared" si="298"/>
        <v>97.031937199334493</v>
      </c>
      <c r="P442" s="374">
        <f t="shared" si="298"/>
        <v>139.22305504209189</v>
      </c>
      <c r="Q442" s="374">
        <f t="shared" si="298"/>
        <v>163.64716407537227</v>
      </c>
      <c r="R442" s="374">
        <f t="shared" si="298"/>
        <v>181.3996564566491</v>
      </c>
      <c r="S442" s="374">
        <f t="shared" si="298"/>
        <v>205.72536724705026</v>
      </c>
      <c r="T442" s="374">
        <f t="shared" si="298"/>
        <v>228.69874963028587</v>
      </c>
      <c r="U442" s="374">
        <f t="shared" si="298"/>
        <v>249.28364815108642</v>
      </c>
      <c r="V442" s="374">
        <f t="shared" si="298"/>
        <v>268.24442790973978</v>
      </c>
      <c r="W442" s="374">
        <f t="shared" si="298"/>
        <v>285.86747938176541</v>
      </c>
      <c r="AA442" s="91"/>
      <c r="AB442" s="91"/>
      <c r="AC442" s="91"/>
      <c r="AD442" s="91"/>
      <c r="AE442" s="91"/>
      <c r="AF442" s="91"/>
      <c r="AG442" s="91"/>
      <c r="AH442" s="91"/>
      <c r="AI442" s="91"/>
      <c r="AJ442" s="91"/>
      <c r="AK442" s="91"/>
      <c r="AL442" s="91"/>
      <c r="AM442" s="91"/>
      <c r="AN442" s="91"/>
      <c r="AO442" s="91"/>
      <c r="AP442" s="91"/>
    </row>
    <row r="443" spans="1:42">
      <c r="A443" s="14" t="str">
        <f t="shared" si="296"/>
        <v>% margin</v>
      </c>
      <c r="B443" s="378">
        <f t="shared" si="296"/>
        <v>8.1000000000000003E-2</v>
      </c>
      <c r="C443" s="378">
        <f t="shared" si="296"/>
        <v>0.26700000000000002</v>
      </c>
      <c r="D443" s="378">
        <f t="shared" si="296"/>
        <v>0.13700000000000001</v>
      </c>
      <c r="E443" s="378">
        <f t="shared" si="296"/>
        <v>0.15696233658010142</v>
      </c>
      <c r="F443" s="378">
        <f t="shared" si="296"/>
        <v>0.15053587326068238</v>
      </c>
      <c r="G443" s="378"/>
      <c r="H443" s="378"/>
      <c r="I443" s="378"/>
      <c r="J443" s="378"/>
      <c r="K443" s="378"/>
      <c r="L443" s="378"/>
      <c r="M443" s="378"/>
      <c r="N443" s="378">
        <f t="shared" ref="N443:W443" si="299">+N126</f>
        <v>0.13208805376175667</v>
      </c>
      <c r="O443" s="378">
        <f t="shared" si="299"/>
        <v>0.19265556937916811</v>
      </c>
      <c r="P443" s="378">
        <f t="shared" si="299"/>
        <v>0.25932516744717443</v>
      </c>
      <c r="Q443" s="378">
        <f t="shared" si="299"/>
        <v>0.28652638881333897</v>
      </c>
      <c r="R443" s="378">
        <f t="shared" si="299"/>
        <v>0.29912760867550586</v>
      </c>
      <c r="S443" s="378">
        <f t="shared" si="299"/>
        <v>0.31958338117722573</v>
      </c>
      <c r="T443" s="378">
        <f t="shared" si="299"/>
        <v>0.33654996340746163</v>
      </c>
      <c r="U443" s="378">
        <f t="shared" si="299"/>
        <v>0.34772692168189723</v>
      </c>
      <c r="V443" s="378">
        <f t="shared" si="299"/>
        <v>0.35484964409878056</v>
      </c>
      <c r="W443" s="378">
        <f t="shared" si="299"/>
        <v>0.35876006719525178</v>
      </c>
      <c r="AA443" s="91"/>
      <c r="AB443" s="91"/>
      <c r="AC443" s="91"/>
      <c r="AD443" s="91"/>
      <c r="AE443" s="91"/>
      <c r="AF443" s="91"/>
      <c r="AG443" s="91"/>
      <c r="AH443" s="91"/>
      <c r="AI443" s="91"/>
      <c r="AJ443" s="91"/>
      <c r="AK443" s="91"/>
      <c r="AL443" s="91"/>
      <c r="AM443" s="91"/>
      <c r="AN443" s="91"/>
      <c r="AO443" s="91"/>
      <c r="AP443" s="91"/>
    </row>
    <row r="444" spans="1:42">
      <c r="B444" s="329"/>
      <c r="C444" s="329"/>
      <c r="AA444" s="91"/>
      <c r="AB444" s="91"/>
      <c r="AC444" s="91"/>
      <c r="AD444" s="91"/>
      <c r="AE444" s="91"/>
      <c r="AF444" s="91"/>
      <c r="AG444" s="91"/>
      <c r="AH444" s="91"/>
      <c r="AI444" s="91"/>
      <c r="AJ444" s="91"/>
      <c r="AK444" s="91"/>
      <c r="AL444" s="91"/>
      <c r="AM444" s="91"/>
      <c r="AN444" s="91"/>
      <c r="AO444" s="91"/>
      <c r="AP444" s="91"/>
    </row>
    <row r="445" spans="1:42">
      <c r="A445" s="4" t="str">
        <f t="shared" ref="A445:F448" si="300">+A128</f>
        <v>Profit from investments in associates</v>
      </c>
      <c r="B445" s="326">
        <f t="shared" si="300"/>
        <v>0.1</v>
      </c>
      <c r="C445" s="326">
        <f t="shared" si="300"/>
        <v>0</v>
      </c>
      <c r="D445" s="326">
        <f t="shared" si="300"/>
        <v>0</v>
      </c>
      <c r="E445" s="326">
        <f t="shared" si="300"/>
        <v>0</v>
      </c>
      <c r="F445" s="326">
        <f t="shared" si="300"/>
        <v>0</v>
      </c>
      <c r="G445" s="326"/>
      <c r="H445" s="326"/>
      <c r="I445" s="326"/>
      <c r="J445" s="326"/>
      <c r="K445" s="326"/>
      <c r="L445" s="326"/>
      <c r="M445" s="326"/>
      <c r="N445" s="326">
        <f t="shared" ref="N445:W445" si="301">+N128</f>
        <v>0</v>
      </c>
      <c r="O445" s="326">
        <f t="shared" si="301"/>
        <v>0</v>
      </c>
      <c r="P445" s="326">
        <f t="shared" si="301"/>
        <v>0</v>
      </c>
      <c r="Q445" s="326">
        <f t="shared" si="301"/>
        <v>0</v>
      </c>
      <c r="R445" s="326">
        <f t="shared" si="301"/>
        <v>0</v>
      </c>
      <c r="S445" s="326">
        <f t="shared" si="301"/>
        <v>0</v>
      </c>
      <c r="T445" s="326">
        <f t="shared" si="301"/>
        <v>0</v>
      </c>
      <c r="U445" s="326">
        <f t="shared" si="301"/>
        <v>0</v>
      </c>
      <c r="V445" s="326">
        <f t="shared" si="301"/>
        <v>0</v>
      </c>
      <c r="W445" s="326">
        <f t="shared" si="301"/>
        <v>0</v>
      </c>
      <c r="AA445" s="91"/>
      <c r="AB445" s="91"/>
      <c r="AC445" s="91"/>
      <c r="AD445" s="91"/>
      <c r="AE445" s="91"/>
      <c r="AF445" s="91"/>
      <c r="AG445" s="91"/>
      <c r="AH445" s="91"/>
      <c r="AI445" s="91"/>
      <c r="AJ445" s="91"/>
      <c r="AK445" s="91"/>
      <c r="AL445" s="91"/>
      <c r="AM445" s="91"/>
      <c r="AN445" s="91"/>
      <c r="AO445" s="91"/>
      <c r="AP445" s="91"/>
    </row>
    <row r="446" spans="1:42">
      <c r="A446" s="4" t="str">
        <f t="shared" si="300"/>
        <v>Interest and similar income</v>
      </c>
      <c r="B446" s="326">
        <f t="shared" si="300"/>
        <v>0.5</v>
      </c>
      <c r="C446" s="326">
        <f t="shared" si="300"/>
        <v>0.6</v>
      </c>
      <c r="D446" s="326">
        <f t="shared" si="300"/>
        <v>0.4</v>
      </c>
      <c r="E446" s="326">
        <f t="shared" si="300"/>
        <v>0.1</v>
      </c>
      <c r="F446" s="326">
        <f t="shared" si="300"/>
        <v>0.122</v>
      </c>
      <c r="G446" s="326"/>
      <c r="H446" s="326"/>
      <c r="I446" s="326"/>
      <c r="J446" s="326"/>
      <c r="K446" s="326"/>
      <c r="L446" s="326"/>
      <c r="M446" s="326"/>
      <c r="N446" s="326">
        <f t="shared" ref="N446:W446" si="302">+N129</f>
        <v>0.62925279336141615</v>
      </c>
      <c r="O446" s="326">
        <f t="shared" si="302"/>
        <v>0.31059934299870029</v>
      </c>
      <c r="P446" s="326">
        <f t="shared" si="302"/>
        <v>0.19723716909993796</v>
      </c>
      <c r="Q446" s="326">
        <f t="shared" si="302"/>
        <v>0.47733006658327642</v>
      </c>
      <c r="R446" s="326">
        <f t="shared" si="302"/>
        <v>0.68402949672875168</v>
      </c>
      <c r="S446" s="326">
        <f t="shared" si="302"/>
        <v>0.88795431242947043</v>
      </c>
      <c r="T446" s="326">
        <f t="shared" si="302"/>
        <v>1.0608749277357046</v>
      </c>
      <c r="U446" s="326">
        <f t="shared" si="302"/>
        <v>1.1812657839981837</v>
      </c>
      <c r="V446" s="326">
        <f t="shared" si="302"/>
        <v>1.2521875293932183</v>
      </c>
      <c r="W446" s="326">
        <f t="shared" si="302"/>
        <v>1.2832425757423971</v>
      </c>
      <c r="AA446" s="91"/>
      <c r="AB446" s="91"/>
      <c r="AC446" s="91"/>
      <c r="AD446" s="91"/>
      <c r="AE446" s="91"/>
      <c r="AF446" s="91"/>
      <c r="AG446" s="91"/>
      <c r="AH446" s="91"/>
      <c r="AI446" s="91"/>
      <c r="AJ446" s="91"/>
      <c r="AK446" s="91"/>
      <c r="AL446" s="91"/>
      <c r="AM446" s="91"/>
      <c r="AN446" s="91"/>
      <c r="AO446" s="91"/>
      <c r="AP446" s="91"/>
    </row>
    <row r="447" spans="1:42">
      <c r="A447" s="4" t="str">
        <f t="shared" si="300"/>
        <v>Interest and similar expenses</v>
      </c>
      <c r="B447" s="326">
        <f t="shared" si="300"/>
        <v>-34.9</v>
      </c>
      <c r="C447" s="326">
        <f t="shared" si="300"/>
        <v>-32.299999999999997</v>
      </c>
      <c r="D447" s="326">
        <f t="shared" si="300"/>
        <v>-28.3</v>
      </c>
      <c r="E447" s="326">
        <f t="shared" si="300"/>
        <v>-45.8</v>
      </c>
      <c r="F447" s="326">
        <f t="shared" si="300"/>
        <v>-18.558</v>
      </c>
      <c r="G447" s="326"/>
      <c r="H447" s="326"/>
      <c r="I447" s="326"/>
      <c r="J447" s="326"/>
      <c r="K447" s="326"/>
      <c r="L447" s="326"/>
      <c r="M447" s="326"/>
      <c r="N447" s="326">
        <f t="shared" ref="N447:W447" si="303">+N130</f>
        <v>-81.390542499999995</v>
      </c>
      <c r="O447" s="326">
        <f t="shared" si="303"/>
        <v>-66.390542499999995</v>
      </c>
      <c r="P447" s="326">
        <f t="shared" si="303"/>
        <v>-66.390542499999995</v>
      </c>
      <c r="Q447" s="326">
        <f t="shared" si="303"/>
        <v>-66.390542499999995</v>
      </c>
      <c r="R447" s="326">
        <f t="shared" si="303"/>
        <v>-66.390542499999995</v>
      </c>
      <c r="S447" s="326">
        <f t="shared" si="303"/>
        <v>-66.390542499999995</v>
      </c>
      <c r="T447" s="326">
        <f t="shared" si="303"/>
        <v>-66.390542499999995</v>
      </c>
      <c r="U447" s="326">
        <f t="shared" si="303"/>
        <v>-66.390542499999995</v>
      </c>
      <c r="V447" s="326">
        <f t="shared" si="303"/>
        <v>-66.390542499999995</v>
      </c>
      <c r="W447" s="326">
        <f t="shared" si="303"/>
        <v>-66.390542499999995</v>
      </c>
      <c r="AA447" s="91"/>
      <c r="AB447" s="91"/>
      <c r="AC447" s="91"/>
      <c r="AD447" s="91"/>
      <c r="AE447" s="91"/>
      <c r="AF447" s="91"/>
      <c r="AG447" s="91"/>
      <c r="AH447" s="91"/>
      <c r="AI447" s="91"/>
      <c r="AJ447" s="91"/>
      <c r="AK447" s="91"/>
      <c r="AL447" s="91"/>
      <c r="AM447" s="91"/>
      <c r="AN447" s="91"/>
      <c r="AO447" s="91"/>
      <c r="AP447" s="91"/>
    </row>
    <row r="448" spans="1:42">
      <c r="A448" s="4" t="str">
        <f t="shared" si="300"/>
        <v>Other finance income/costs</v>
      </c>
      <c r="B448" s="326">
        <f t="shared" si="300"/>
        <v>-2.6</v>
      </c>
      <c r="C448" s="326">
        <f t="shared" si="300"/>
        <v>-0.1</v>
      </c>
      <c r="D448" s="326">
        <f t="shared" si="300"/>
        <v>-0.5</v>
      </c>
      <c r="E448" s="326">
        <f t="shared" si="300"/>
        <v>-1.5</v>
      </c>
      <c r="F448" s="326">
        <f t="shared" si="300"/>
        <v>0</v>
      </c>
      <c r="G448" s="326"/>
      <c r="H448" s="326"/>
      <c r="I448" s="326"/>
      <c r="J448" s="326"/>
      <c r="K448" s="326"/>
      <c r="L448" s="326"/>
      <c r="M448" s="326"/>
      <c r="N448" s="326">
        <f t="shared" ref="N448:W448" si="304">+N131</f>
        <v>15</v>
      </c>
      <c r="O448" s="326">
        <f t="shared" si="304"/>
        <v>0</v>
      </c>
      <c r="P448" s="326">
        <f t="shared" si="304"/>
        <v>0</v>
      </c>
      <c r="Q448" s="326">
        <f t="shared" si="304"/>
        <v>0</v>
      </c>
      <c r="R448" s="326">
        <f t="shared" si="304"/>
        <v>0</v>
      </c>
      <c r="S448" s="326">
        <f t="shared" si="304"/>
        <v>0</v>
      </c>
      <c r="T448" s="326">
        <f t="shared" si="304"/>
        <v>0</v>
      </c>
      <c r="U448" s="326">
        <f t="shared" si="304"/>
        <v>0</v>
      </c>
      <c r="V448" s="326">
        <f t="shared" si="304"/>
        <v>0</v>
      </c>
      <c r="W448" s="326">
        <f t="shared" si="304"/>
        <v>0</v>
      </c>
      <c r="AA448" s="91"/>
      <c r="AB448" s="91"/>
      <c r="AC448" s="91"/>
      <c r="AD448" s="91"/>
      <c r="AE448" s="91"/>
      <c r="AF448" s="91"/>
      <c r="AG448" s="91"/>
      <c r="AH448" s="91"/>
      <c r="AI448" s="91"/>
      <c r="AJ448" s="91"/>
      <c r="AK448" s="91"/>
      <c r="AL448" s="91"/>
      <c r="AM448" s="91"/>
      <c r="AN448" s="91"/>
      <c r="AO448" s="91"/>
      <c r="AP448" s="91"/>
    </row>
    <row r="449" spans="1:95">
      <c r="A449" s="7" t="str">
        <f>+A132</f>
        <v>Reported Profit before tax</v>
      </c>
      <c r="B449" s="380">
        <v>-20.5</v>
      </c>
      <c r="C449" s="380">
        <v>23.2</v>
      </c>
      <c r="D449" s="380">
        <f t="shared" ref="D449:F450" si="305">+D132</f>
        <v>0</v>
      </c>
      <c r="E449" s="380">
        <f t="shared" si="305"/>
        <v>-13.767022308438392</v>
      </c>
      <c r="F449" s="380">
        <f t="shared" si="305"/>
        <v>15.011749623060545</v>
      </c>
      <c r="G449" s="380"/>
      <c r="H449" s="380"/>
      <c r="I449" s="380"/>
      <c r="J449" s="380"/>
      <c r="K449" s="380"/>
      <c r="L449" s="380"/>
      <c r="M449" s="380"/>
      <c r="N449" s="380">
        <f t="shared" ref="N449:W449" si="306">+N132</f>
        <v>-2.6172381176792925</v>
      </c>
      <c r="O449" s="380">
        <f t="shared" si="306"/>
        <v>30.951994042333197</v>
      </c>
      <c r="P449" s="380">
        <f t="shared" si="306"/>
        <v>73.029749711191826</v>
      </c>
      <c r="Q449" s="380">
        <f t="shared" si="306"/>
        <v>97.733951641955557</v>
      </c>
      <c r="R449" s="380">
        <f t="shared" si="306"/>
        <v>115.69314345337786</v>
      </c>
      <c r="S449" s="380">
        <f t="shared" si="306"/>
        <v>140.22277905947973</v>
      </c>
      <c r="T449" s="380">
        <f t="shared" si="306"/>
        <v>163.3690820580216</v>
      </c>
      <c r="U449" s="380">
        <f t="shared" si="306"/>
        <v>184.07437143508463</v>
      </c>
      <c r="V449" s="380">
        <f t="shared" si="306"/>
        <v>203.10607293913301</v>
      </c>
      <c r="W449" s="380">
        <f t="shared" si="306"/>
        <v>220.7601794575078</v>
      </c>
      <c r="AA449" s="91"/>
      <c r="AB449" s="91"/>
      <c r="AC449" s="91"/>
      <c r="AD449" s="91"/>
      <c r="AE449" s="91"/>
      <c r="AF449" s="91"/>
      <c r="AG449" s="91"/>
      <c r="AH449" s="91"/>
      <c r="AI449" s="91"/>
      <c r="AJ449" s="91"/>
      <c r="AK449" s="91"/>
      <c r="AL449" s="91"/>
      <c r="AM449" s="91"/>
      <c r="AN449" s="91"/>
      <c r="AO449" s="91"/>
      <c r="AP449" s="91"/>
    </row>
    <row r="450" spans="1:95">
      <c r="A450" s="14" t="str">
        <f>+A133</f>
        <v>% margin</v>
      </c>
      <c r="B450" s="378">
        <f>+B133</f>
        <v>-9.9658036150464091E-2</v>
      </c>
      <c r="C450" s="378">
        <f>+C133</f>
        <v>0.11251826595226498</v>
      </c>
      <c r="D450" s="378">
        <f t="shared" si="305"/>
        <v>0</v>
      </c>
      <c r="E450" s="378">
        <f t="shared" si="305"/>
        <v>-6.4633907551353953E-2</v>
      </c>
      <c r="F450" s="378">
        <f t="shared" si="305"/>
        <v>6.7562298335315074E-2</v>
      </c>
      <c r="G450" s="378"/>
      <c r="H450" s="378"/>
      <c r="I450" s="378"/>
      <c r="J450" s="378"/>
      <c r="K450" s="378"/>
      <c r="L450" s="378"/>
      <c r="M450" s="378"/>
      <c r="N450" s="378">
        <f t="shared" ref="N450:W450" si="307">+N133</f>
        <v>-5.4748765797566872E-3</v>
      </c>
      <c r="O450" s="378">
        <f t="shared" si="307"/>
        <v>6.1454756111859014E-2</v>
      </c>
      <c r="P450" s="378">
        <f t="shared" si="307"/>
        <v>0.13602956828345936</v>
      </c>
      <c r="Q450" s="378">
        <f t="shared" si="307"/>
        <v>0.17112032699527441</v>
      </c>
      <c r="R450" s="378">
        <f t="shared" si="307"/>
        <v>0.19077772261179315</v>
      </c>
      <c r="S450" s="378">
        <f t="shared" si="307"/>
        <v>0.21782860543435564</v>
      </c>
      <c r="T450" s="378">
        <f t="shared" si="307"/>
        <v>0.24041171487566665</v>
      </c>
      <c r="U450" s="378">
        <f t="shared" si="307"/>
        <v>0.25676619792108563</v>
      </c>
      <c r="V450" s="378">
        <f t="shared" si="307"/>
        <v>0.26868076350500558</v>
      </c>
      <c r="W450" s="378">
        <f t="shared" si="307"/>
        <v>0.27705123012765914</v>
      </c>
      <c r="AA450" s="91"/>
      <c r="AB450" s="91"/>
      <c r="AC450" s="91"/>
      <c r="AD450" s="91"/>
      <c r="AE450" s="91"/>
      <c r="AF450" s="91"/>
      <c r="AG450" s="91"/>
      <c r="AH450" s="91"/>
      <c r="AI450" s="91"/>
      <c r="AJ450" s="91"/>
      <c r="AK450" s="91"/>
      <c r="AL450" s="91"/>
      <c r="AM450" s="91"/>
      <c r="AN450" s="91"/>
      <c r="AO450" s="91"/>
      <c r="AP450" s="91"/>
    </row>
    <row r="451" spans="1:95">
      <c r="AA451" s="91"/>
      <c r="AB451" s="91"/>
      <c r="AC451" s="91"/>
      <c r="AD451" s="91"/>
      <c r="AE451" s="91"/>
      <c r="AF451" s="91"/>
      <c r="AG451" s="91"/>
      <c r="AH451" s="91"/>
      <c r="AI451" s="91"/>
      <c r="AJ451" s="91"/>
      <c r="AK451" s="91"/>
      <c r="AL451" s="91"/>
      <c r="AM451" s="91"/>
      <c r="AN451" s="91"/>
      <c r="AO451" s="91"/>
      <c r="AP451" s="91"/>
    </row>
    <row r="452" spans="1:95">
      <c r="A452" s="4" t="str">
        <f t="shared" ref="A452:F456" si="308">+A135</f>
        <v>Income tax expenses</v>
      </c>
      <c r="B452" s="326">
        <f t="shared" si="308"/>
        <v>-1.1000000000000001</v>
      </c>
      <c r="C452" s="326">
        <f t="shared" si="308"/>
        <v>-2.7</v>
      </c>
      <c r="D452" s="326">
        <f t="shared" si="308"/>
        <v>-8.6</v>
      </c>
      <c r="E452" s="326">
        <f t="shared" si="308"/>
        <v>-8</v>
      </c>
      <c r="F452" s="326">
        <f t="shared" si="308"/>
        <v>-2.2517624434590817</v>
      </c>
      <c r="G452" s="326"/>
      <c r="H452" s="326"/>
      <c r="I452" s="326"/>
      <c r="J452" s="326"/>
      <c r="K452" s="326"/>
      <c r="L452" s="326"/>
      <c r="M452" s="326"/>
      <c r="N452" s="326">
        <f t="shared" ref="N452:W452" si="309">+N135</f>
        <v>0.78517143530378775</v>
      </c>
      <c r="O452" s="326">
        <f t="shared" si="309"/>
        <v>-9.2855982126999592</v>
      </c>
      <c r="P452" s="326">
        <f t="shared" si="309"/>
        <v>-21.908924913357549</v>
      </c>
      <c r="Q452" s="326">
        <f t="shared" si="309"/>
        <v>-29.320185492586667</v>
      </c>
      <c r="R452" s="326">
        <f t="shared" si="309"/>
        <v>-34.707943036013354</v>
      </c>
      <c r="S452" s="326">
        <f t="shared" si="309"/>
        <v>-42.06683371784392</v>
      </c>
      <c r="T452" s="326">
        <f t="shared" si="309"/>
        <v>-49.010724617406481</v>
      </c>
      <c r="U452" s="326">
        <f t="shared" si="309"/>
        <v>-55.222311430525387</v>
      </c>
      <c r="V452" s="326">
        <f t="shared" si="309"/>
        <v>-60.9318218817399</v>
      </c>
      <c r="W452" s="326">
        <f t="shared" si="309"/>
        <v>-66.228053837252332</v>
      </c>
      <c r="AA452" s="91"/>
      <c r="AB452" s="91"/>
      <c r="AC452" s="91"/>
      <c r="AD452" s="91"/>
      <c r="AE452" s="91"/>
      <c r="AF452" s="91"/>
      <c r="AG452" s="91"/>
      <c r="AH452" s="91"/>
      <c r="AI452" s="91"/>
      <c r="AJ452" s="91"/>
      <c r="AK452" s="91"/>
      <c r="AL452" s="91"/>
      <c r="AM452" s="91"/>
      <c r="AN452" s="91"/>
      <c r="AO452" s="91"/>
      <c r="AP452" s="91"/>
    </row>
    <row r="453" spans="1:95">
      <c r="A453" s="7" t="str">
        <f t="shared" si="308"/>
        <v>Reported Profit/loss for the period</v>
      </c>
      <c r="B453" s="380">
        <f t="shared" si="308"/>
        <v>-21.6</v>
      </c>
      <c r="C453" s="380">
        <f t="shared" si="308"/>
        <v>20.5</v>
      </c>
      <c r="D453" s="380">
        <f t="shared" si="308"/>
        <v>-8.6</v>
      </c>
      <c r="E453" s="380">
        <f t="shared" si="308"/>
        <v>-21.767022308438392</v>
      </c>
      <c r="F453" s="380">
        <f t="shared" si="308"/>
        <v>12.759987179601463</v>
      </c>
      <c r="G453" s="380"/>
      <c r="H453" s="380"/>
      <c r="I453" s="380"/>
      <c r="J453" s="380"/>
      <c r="K453" s="380"/>
      <c r="L453" s="380"/>
      <c r="M453" s="380"/>
      <c r="N453" s="380">
        <f t="shared" ref="N453:W453" si="310">+N136</f>
        <v>-1.8320666823755047</v>
      </c>
      <c r="O453" s="380">
        <f t="shared" si="310"/>
        <v>21.666395829633238</v>
      </c>
      <c r="P453" s="380">
        <f t="shared" si="310"/>
        <v>51.120824797834274</v>
      </c>
      <c r="Q453" s="380">
        <f t="shared" si="310"/>
        <v>68.413766149368882</v>
      </c>
      <c r="R453" s="380">
        <f t="shared" si="310"/>
        <v>80.985200417364496</v>
      </c>
      <c r="S453" s="380">
        <f t="shared" si="310"/>
        <v>98.155945341635814</v>
      </c>
      <c r="T453" s="380">
        <f t="shared" si="310"/>
        <v>114.35835744061512</v>
      </c>
      <c r="U453" s="380">
        <f t="shared" si="310"/>
        <v>128.85206000455923</v>
      </c>
      <c r="V453" s="380">
        <f t="shared" si="310"/>
        <v>142.17425105739312</v>
      </c>
      <c r="W453" s="380">
        <f t="shared" si="310"/>
        <v>154.53212562025547</v>
      </c>
      <c r="AA453" s="91"/>
      <c r="AB453" s="91"/>
      <c r="AC453" s="91"/>
      <c r="AD453" s="91"/>
      <c r="AE453" s="91"/>
      <c r="AF453" s="91"/>
      <c r="AG453" s="91"/>
      <c r="AH453" s="91"/>
      <c r="AI453" s="91"/>
      <c r="AJ453" s="91"/>
      <c r="AK453" s="91"/>
      <c r="AL453" s="91"/>
      <c r="AM453" s="91"/>
      <c r="AN453" s="91"/>
      <c r="AO453" s="91"/>
      <c r="AP453" s="91"/>
    </row>
    <row r="454" spans="1:95">
      <c r="A454" s="14" t="str">
        <f t="shared" si="308"/>
        <v>% margin</v>
      </c>
      <c r="B454" s="378">
        <f t="shared" si="308"/>
        <v>-0.10552027357107964</v>
      </c>
      <c r="C454" s="378">
        <f t="shared" si="308"/>
        <v>9.9853872381880177E-2</v>
      </c>
      <c r="D454" s="378">
        <f t="shared" si="308"/>
        <v>-4.1707080504364696E-2</v>
      </c>
      <c r="E454" s="378">
        <f t="shared" si="308"/>
        <v>-0.10219259299736334</v>
      </c>
      <c r="F454" s="378">
        <f t="shared" si="308"/>
        <v>5.7427953585017809E-2</v>
      </c>
      <c r="G454" s="378"/>
      <c r="H454" s="378"/>
      <c r="I454" s="378"/>
      <c r="J454" s="378"/>
      <c r="K454" s="378"/>
      <c r="L454" s="378"/>
      <c r="M454" s="378"/>
      <c r="N454" s="378">
        <f t="shared" ref="N454:W454" si="311">+N137</f>
        <v>-3.8324136058296809E-3</v>
      </c>
      <c r="O454" s="378">
        <f t="shared" si="311"/>
        <v>4.3018329278301307E-2</v>
      </c>
      <c r="P454" s="378">
        <f t="shared" si="311"/>
        <v>9.5220697798421544E-2</v>
      </c>
      <c r="Q454" s="378">
        <f t="shared" si="311"/>
        <v>0.11978422889669207</v>
      </c>
      <c r="R454" s="378">
        <f t="shared" si="311"/>
        <v>0.13354440582825522</v>
      </c>
      <c r="S454" s="378">
        <f t="shared" si="311"/>
        <v>0.15248002380404893</v>
      </c>
      <c r="T454" s="378">
        <f t="shared" si="311"/>
        <v>0.16828820041296666</v>
      </c>
      <c r="U454" s="378">
        <f t="shared" si="311"/>
        <v>0.17973633854475993</v>
      </c>
      <c r="V454" s="378">
        <f t="shared" si="311"/>
        <v>0.18807653445350392</v>
      </c>
      <c r="W454" s="378">
        <f t="shared" si="311"/>
        <v>0.19393586108936139</v>
      </c>
      <c r="AA454" s="91"/>
      <c r="AB454" s="91"/>
      <c r="AC454" s="91"/>
      <c r="AD454" s="91"/>
      <c r="AE454" s="91"/>
      <c r="AF454" s="91"/>
      <c r="AG454" s="91"/>
      <c r="AH454" s="91"/>
      <c r="AI454" s="91"/>
      <c r="AJ454" s="91"/>
      <c r="AK454" s="91"/>
      <c r="AL454" s="91"/>
      <c r="AM454" s="91"/>
      <c r="AN454" s="91"/>
      <c r="AO454" s="91"/>
      <c r="AP454" s="91"/>
    </row>
    <row r="455" spans="1:95">
      <c r="A455" s="4" t="str">
        <f t="shared" si="308"/>
        <v>Profit/loss attributable to owners of Tele Columbus Group</v>
      </c>
      <c r="B455" s="326">
        <f t="shared" si="308"/>
        <v>-23.9</v>
      </c>
      <c r="C455" s="326">
        <f t="shared" si="308"/>
        <v>17.600000000000001</v>
      </c>
      <c r="D455" s="326">
        <f t="shared" si="308"/>
        <v>-12</v>
      </c>
      <c r="E455" s="326">
        <f t="shared" si="308"/>
        <v>-23.967022308438391</v>
      </c>
      <c r="F455" s="326">
        <f t="shared" si="308"/>
        <v>9.7599871796014632</v>
      </c>
      <c r="G455" s="326"/>
      <c r="H455" s="326"/>
      <c r="I455" s="326"/>
      <c r="J455" s="326"/>
      <c r="K455" s="326"/>
      <c r="L455" s="326"/>
      <c r="M455" s="326"/>
      <c r="N455" s="326">
        <f t="shared" ref="N455:W455" si="312">+N138</f>
        <v>-4.8320666823755047</v>
      </c>
      <c r="O455" s="326">
        <f t="shared" si="312"/>
        <v>18.666395829633238</v>
      </c>
      <c r="P455" s="326">
        <f t="shared" si="312"/>
        <v>48.120824797834274</v>
      </c>
      <c r="Q455" s="326">
        <f t="shared" si="312"/>
        <v>65.413766149368882</v>
      </c>
      <c r="R455" s="326">
        <f t="shared" si="312"/>
        <v>77.985200417364496</v>
      </c>
      <c r="S455" s="326">
        <f t="shared" si="312"/>
        <v>95.155945341635814</v>
      </c>
      <c r="T455" s="326">
        <f t="shared" si="312"/>
        <v>111.35835744061512</v>
      </c>
      <c r="U455" s="326">
        <f t="shared" si="312"/>
        <v>125.85206000455923</v>
      </c>
      <c r="V455" s="326">
        <f t="shared" si="312"/>
        <v>139.17425105739312</v>
      </c>
      <c r="W455" s="326">
        <f t="shared" si="312"/>
        <v>151.53212562025547</v>
      </c>
      <c r="AA455" s="91"/>
      <c r="AB455" s="91"/>
      <c r="AC455" s="91"/>
      <c r="AD455" s="91"/>
      <c r="AE455" s="91"/>
      <c r="AF455" s="91"/>
      <c r="AG455" s="91"/>
      <c r="AH455" s="91"/>
      <c r="AI455" s="91"/>
      <c r="AJ455" s="91"/>
      <c r="AK455" s="91"/>
      <c r="AL455" s="91"/>
      <c r="AM455" s="91"/>
      <c r="AN455" s="91"/>
      <c r="AO455" s="91"/>
      <c r="AP455" s="91"/>
    </row>
    <row r="456" spans="1:95">
      <c r="A456" s="4" t="str">
        <f t="shared" si="308"/>
        <v>Profit/loss attributable to non-controlling interests</v>
      </c>
      <c r="B456" s="326">
        <f t="shared" si="308"/>
        <v>2.2999999999999998</v>
      </c>
      <c r="C456" s="326">
        <f t="shared" si="308"/>
        <v>2.9</v>
      </c>
      <c r="D456" s="326">
        <f t="shared" si="308"/>
        <v>3.3</v>
      </c>
      <c r="E456" s="326">
        <f t="shared" si="308"/>
        <v>2.2000000000000002</v>
      </c>
      <c r="F456" s="326">
        <f t="shared" si="308"/>
        <v>3</v>
      </c>
      <c r="G456" s="326"/>
      <c r="H456" s="326"/>
      <c r="I456" s="326"/>
      <c r="J456" s="326"/>
      <c r="K456" s="326"/>
      <c r="L456" s="326"/>
      <c r="M456" s="326"/>
      <c r="N456" s="326">
        <f t="shared" ref="N456:W456" si="313">+N139</f>
        <v>3</v>
      </c>
      <c r="O456" s="326">
        <f t="shared" si="313"/>
        <v>3</v>
      </c>
      <c r="P456" s="326">
        <f t="shared" si="313"/>
        <v>3</v>
      </c>
      <c r="Q456" s="326">
        <f t="shared" si="313"/>
        <v>3</v>
      </c>
      <c r="R456" s="326">
        <f t="shared" si="313"/>
        <v>3</v>
      </c>
      <c r="S456" s="326">
        <f t="shared" si="313"/>
        <v>3</v>
      </c>
      <c r="T456" s="326">
        <f t="shared" si="313"/>
        <v>3</v>
      </c>
      <c r="U456" s="326">
        <f t="shared" si="313"/>
        <v>3</v>
      </c>
      <c r="V456" s="326">
        <f t="shared" si="313"/>
        <v>3</v>
      </c>
      <c r="W456" s="326">
        <f t="shared" si="313"/>
        <v>3</v>
      </c>
      <c r="AA456" s="91"/>
      <c r="AB456" s="91"/>
      <c r="AC456" s="91"/>
      <c r="AD456" s="91"/>
      <c r="AE456" s="91"/>
      <c r="AF456" s="91"/>
      <c r="AG456" s="91"/>
      <c r="AH456" s="91"/>
      <c r="AI456" s="91"/>
      <c r="AJ456" s="91"/>
      <c r="AK456" s="91"/>
      <c r="AL456" s="91"/>
      <c r="AM456" s="91"/>
      <c r="AN456" s="91"/>
      <c r="AO456" s="91"/>
      <c r="AP456" s="91"/>
    </row>
    <row r="457" spans="1:95">
      <c r="A457" s="13"/>
      <c r="B457" s="310"/>
      <c r="C457" s="310"/>
      <c r="D457" s="310"/>
      <c r="E457" s="310"/>
      <c r="F457" s="310"/>
      <c r="G457" s="310"/>
      <c r="H457" s="310"/>
      <c r="I457" s="310"/>
      <c r="J457" s="310"/>
      <c r="K457" s="310"/>
      <c r="L457" s="310"/>
      <c r="M457" s="310"/>
      <c r="N457" s="310"/>
      <c r="O457" s="310"/>
      <c r="P457" s="310"/>
      <c r="Q457" s="310"/>
      <c r="R457" s="310"/>
      <c r="S457" s="310"/>
      <c r="T457" s="310"/>
      <c r="U457" s="310"/>
      <c r="V457" s="310"/>
      <c r="W457" s="310"/>
      <c r="AA457" s="91"/>
      <c r="AB457" s="91"/>
      <c r="AC457" s="91"/>
      <c r="AD457" s="91"/>
      <c r="AE457" s="91"/>
      <c r="AF457" s="91"/>
      <c r="AG457" s="91"/>
      <c r="AH457" s="91"/>
      <c r="AI457" s="91"/>
      <c r="AJ457" s="91"/>
      <c r="AK457" s="91"/>
      <c r="AL457" s="91"/>
      <c r="AM457" s="91"/>
      <c r="AN457" s="91"/>
      <c r="AO457" s="91"/>
      <c r="AP457" s="91"/>
    </row>
    <row r="458" spans="1:95">
      <c r="AA458" s="91"/>
      <c r="AB458" s="91"/>
      <c r="AC458" s="91"/>
      <c r="AD458" s="91"/>
      <c r="AE458" s="91"/>
      <c r="AF458" s="91"/>
      <c r="AG458" s="91"/>
      <c r="AH458" s="91"/>
      <c r="AI458" s="91"/>
      <c r="AJ458" s="91"/>
      <c r="AK458" s="91"/>
      <c r="AL458" s="91"/>
      <c r="AM458" s="91"/>
      <c r="AN458" s="91"/>
      <c r="AO458" s="91"/>
      <c r="AP458" s="91"/>
    </row>
    <row r="459" spans="1:95">
      <c r="AA459" s="91"/>
      <c r="AB459" s="91"/>
      <c r="AC459" s="91"/>
      <c r="AD459" s="91"/>
      <c r="AE459" s="91"/>
      <c r="AF459" s="91"/>
      <c r="AG459" s="91"/>
      <c r="AH459" s="91"/>
      <c r="AI459" s="91"/>
      <c r="AJ459" s="91"/>
      <c r="AK459" s="91"/>
      <c r="AL459" s="91"/>
      <c r="AM459" s="91"/>
      <c r="AN459" s="91"/>
      <c r="AO459" s="91"/>
      <c r="AP459" s="91"/>
    </row>
    <row r="460" spans="1:95">
      <c r="AA460" s="91"/>
      <c r="AB460" s="91"/>
      <c r="AC460" s="91"/>
      <c r="AD460" s="91"/>
      <c r="AE460" s="91"/>
      <c r="AF460" s="91"/>
      <c r="AG460" s="91"/>
      <c r="AH460" s="91"/>
      <c r="AI460" s="91"/>
      <c r="AJ460" s="91"/>
      <c r="AK460" s="91"/>
      <c r="AL460" s="91"/>
      <c r="AM460" s="91"/>
      <c r="AN460" s="91"/>
      <c r="AO460" s="91"/>
      <c r="AP460" s="91"/>
    </row>
    <row r="461" spans="1:95">
      <c r="A461" s="18" t="s">
        <v>1014</v>
      </c>
      <c r="B461" s="80" t="str">
        <f>B$3</f>
        <v>2011A</v>
      </c>
      <c r="C461" s="80" t="str">
        <f t="shared" ref="C461:W461" si="314">C$3</f>
        <v>2012A</v>
      </c>
      <c r="D461" s="80" t="str">
        <f t="shared" si="314"/>
        <v>2013A</v>
      </c>
      <c r="E461" s="80" t="str">
        <f t="shared" si="314"/>
        <v>2014A</v>
      </c>
      <c r="F461" s="80" t="str">
        <f t="shared" si="314"/>
        <v>2015A</v>
      </c>
      <c r="G461" s="80" t="str">
        <f t="shared" si="314"/>
        <v>Prima 14A</v>
      </c>
      <c r="H461" s="80" t="str">
        <f t="shared" si="314"/>
        <v>Prima 15E</v>
      </c>
      <c r="I461" s="80" t="str">
        <f t="shared" si="314"/>
        <v>pep 14A</v>
      </c>
      <c r="J461" s="80" t="str">
        <f t="shared" si="314"/>
        <v>pep 15E</v>
      </c>
      <c r="K461" s="80" t="str">
        <f t="shared" si="314"/>
        <v>Adj.</v>
      </c>
      <c r="L461" s="80" t="str">
        <f t="shared" si="314"/>
        <v>PF 2015E</v>
      </c>
      <c r="M461" s="80"/>
      <c r="N461" s="80" t="str">
        <f t="shared" si="314"/>
        <v>2016E</v>
      </c>
      <c r="O461" s="80" t="str">
        <f t="shared" si="314"/>
        <v>2017E</v>
      </c>
      <c r="P461" s="80" t="str">
        <f t="shared" si="314"/>
        <v>2018E</v>
      </c>
      <c r="Q461" s="80" t="str">
        <f t="shared" si="314"/>
        <v>2019E</v>
      </c>
      <c r="R461" s="80" t="str">
        <f t="shared" si="314"/>
        <v>2020E</v>
      </c>
      <c r="S461" s="80" t="str">
        <f t="shared" si="314"/>
        <v>2021E</v>
      </c>
      <c r="T461" s="80" t="str">
        <f t="shared" si="314"/>
        <v>2022E</v>
      </c>
      <c r="U461" s="80" t="str">
        <f t="shared" si="314"/>
        <v>2023E</v>
      </c>
      <c r="V461" s="80" t="str">
        <f t="shared" si="314"/>
        <v>2024E</v>
      </c>
      <c r="W461" s="80" t="str">
        <f t="shared" si="314"/>
        <v>2025E</v>
      </c>
      <c r="AA461" s="91"/>
      <c r="AB461" s="91"/>
      <c r="AC461" s="91"/>
      <c r="AD461" s="91"/>
      <c r="AE461" s="91"/>
      <c r="AF461" s="91"/>
      <c r="AG461" s="91"/>
      <c r="AH461" s="91"/>
      <c r="AI461" s="91"/>
      <c r="AJ461" s="91"/>
      <c r="AK461" s="91"/>
      <c r="AL461" s="91"/>
      <c r="AM461" s="91"/>
      <c r="AN461" s="91"/>
      <c r="AO461" s="91"/>
      <c r="AP461" s="91"/>
      <c r="BK461" s="208" t="s">
        <v>609</v>
      </c>
      <c r="BL461" s="209" t="s">
        <v>197</v>
      </c>
      <c r="BM461" s="209" t="s">
        <v>198</v>
      </c>
      <c r="BN461" s="209" t="s">
        <v>199</v>
      </c>
      <c r="BO461" s="209" t="s">
        <v>200</v>
      </c>
      <c r="BP461" s="209" t="s">
        <v>201</v>
      </c>
      <c r="BQ461" s="209" t="s">
        <v>202</v>
      </c>
      <c r="BR461" s="209" t="s">
        <v>203</v>
      </c>
      <c r="BS461" s="8"/>
      <c r="BT461" s="8"/>
      <c r="BV461" s="208" t="str">
        <f t="shared" ref="BV461:CA461" si="315">+A461</f>
        <v>Mobile business</v>
      </c>
      <c r="BW461" s="209" t="str">
        <f t="shared" si="315"/>
        <v>2011A</v>
      </c>
      <c r="BX461" s="209" t="str">
        <f t="shared" si="315"/>
        <v>2012A</v>
      </c>
      <c r="BY461" s="209" t="str">
        <f t="shared" si="315"/>
        <v>2013A</v>
      </c>
      <c r="BZ461" s="209" t="str">
        <f t="shared" si="315"/>
        <v>2014A</v>
      </c>
      <c r="CA461" s="209" t="str">
        <f t="shared" si="315"/>
        <v>2015A</v>
      </c>
      <c r="CB461" s="209" t="str">
        <f>+N461</f>
        <v>2016E</v>
      </c>
      <c r="CC461" s="209" t="str">
        <f>+O461</f>
        <v>2017E</v>
      </c>
      <c r="CD461" s="8"/>
      <c r="CE461" s="8"/>
      <c r="CH461" s="209" t="str">
        <f>+BZ461</f>
        <v>2014A</v>
      </c>
      <c r="CI461" s="209" t="str">
        <f>+CA461</f>
        <v>2015A</v>
      </c>
      <c r="CJ461" s="209" t="str">
        <f>+CB461</f>
        <v>2016E</v>
      </c>
      <c r="CK461" s="209" t="str">
        <f>+CC461</f>
        <v>2017E</v>
      </c>
      <c r="CN461" s="209" t="str">
        <f>+CH461</f>
        <v>2014A</v>
      </c>
      <c r="CO461" s="209" t="str">
        <f>+CI461</f>
        <v>2015A</v>
      </c>
      <c r="CP461" s="209" t="str">
        <f>+CJ461</f>
        <v>2016E</v>
      </c>
      <c r="CQ461" s="209" t="str">
        <f>+CK461</f>
        <v>2017E</v>
      </c>
    </row>
    <row r="462" spans="1:95">
      <c r="A462" s="81" t="s">
        <v>796</v>
      </c>
      <c r="B462" s="83"/>
      <c r="C462" s="83"/>
      <c r="D462" s="83"/>
      <c r="E462" s="83"/>
      <c r="F462" s="328">
        <f>+F25</f>
        <v>242</v>
      </c>
      <c r="G462" s="328"/>
      <c r="H462" s="328"/>
      <c r="I462" s="328"/>
      <c r="J462" s="328"/>
      <c r="K462" s="328"/>
      <c r="L462" s="328"/>
      <c r="M462" s="328"/>
      <c r="N462" s="328">
        <f t="shared" ref="N462:W462" si="316">+N25</f>
        <v>520</v>
      </c>
      <c r="O462" s="328">
        <f t="shared" si="316"/>
        <v>580</v>
      </c>
      <c r="P462" s="328">
        <f t="shared" si="316"/>
        <v>640</v>
      </c>
      <c r="Q462" s="328">
        <f t="shared" si="316"/>
        <v>700</v>
      </c>
      <c r="R462" s="328">
        <f t="shared" si="316"/>
        <v>760</v>
      </c>
      <c r="S462" s="328">
        <f t="shared" si="316"/>
        <v>820</v>
      </c>
      <c r="T462" s="328">
        <f t="shared" si="316"/>
        <v>880</v>
      </c>
      <c r="U462" s="328">
        <f t="shared" si="316"/>
        <v>940</v>
      </c>
      <c r="V462" s="328">
        <f t="shared" si="316"/>
        <v>1000</v>
      </c>
      <c r="W462" s="328">
        <f t="shared" si="316"/>
        <v>1060</v>
      </c>
      <c r="AA462" s="91"/>
      <c r="AB462" s="91"/>
      <c r="AC462" s="91"/>
      <c r="AD462" s="91"/>
      <c r="AE462" s="91"/>
      <c r="AF462" s="91"/>
      <c r="AG462" s="91"/>
      <c r="AH462" s="91"/>
      <c r="AI462" s="91"/>
      <c r="AJ462" s="91"/>
      <c r="AK462" s="91"/>
      <c r="AL462" s="91"/>
      <c r="AM462" s="91"/>
      <c r="AN462" s="91"/>
      <c r="AO462" s="91"/>
      <c r="AP462" s="91"/>
    </row>
    <row r="463" spans="1:95">
      <c r="A463" s="4" t="s">
        <v>1032</v>
      </c>
      <c r="B463" s="411"/>
      <c r="C463" s="411"/>
      <c r="D463" s="411"/>
      <c r="E463" s="411"/>
      <c r="F463" s="412">
        <v>0</v>
      </c>
      <c r="G463" s="412"/>
      <c r="H463" s="412"/>
      <c r="I463" s="412"/>
      <c r="J463" s="412"/>
      <c r="K463" s="412"/>
      <c r="L463" s="412"/>
      <c r="M463" s="412"/>
      <c r="N463" s="412">
        <v>0.1</v>
      </c>
      <c r="O463" s="412">
        <v>0.2</v>
      </c>
      <c r="P463" s="412">
        <v>0.3</v>
      </c>
      <c r="Q463" s="412">
        <v>0.4</v>
      </c>
      <c r="R463" s="412">
        <v>0.5</v>
      </c>
      <c r="S463" s="412">
        <v>0.6</v>
      </c>
      <c r="T463" s="412">
        <v>0.65</v>
      </c>
      <c r="U463" s="412">
        <v>0.7</v>
      </c>
      <c r="V463" s="412">
        <v>0.75</v>
      </c>
      <c r="W463" s="412">
        <v>0.8</v>
      </c>
      <c r="AA463" s="91"/>
      <c r="AB463" s="91"/>
      <c r="AC463" s="91"/>
      <c r="AD463" s="91"/>
      <c r="AE463" s="91"/>
      <c r="AF463" s="91"/>
      <c r="AG463" s="91"/>
      <c r="AH463" s="91"/>
      <c r="AI463" s="91"/>
      <c r="AJ463" s="91"/>
      <c r="AK463" s="91"/>
      <c r="AL463" s="91"/>
      <c r="AM463" s="91"/>
      <c r="AN463" s="91"/>
      <c r="AO463" s="91"/>
      <c r="AP463" s="91"/>
    </row>
    <row r="464" spans="1:95">
      <c r="A464" s="81" t="s">
        <v>1015</v>
      </c>
      <c r="B464" s="83"/>
      <c r="C464" s="83"/>
      <c r="D464" s="83"/>
      <c r="E464" s="83"/>
      <c r="F464" s="328">
        <f>+F463*F462</f>
        <v>0</v>
      </c>
      <c r="G464" s="328"/>
      <c r="H464" s="328"/>
      <c r="I464" s="328"/>
      <c r="J464" s="328"/>
      <c r="K464" s="328"/>
      <c r="L464" s="328"/>
      <c r="M464" s="328"/>
      <c r="N464" s="328">
        <f t="shared" ref="N464:W464" si="317">+N463*N462</f>
        <v>52</v>
      </c>
      <c r="O464" s="328">
        <f t="shared" si="317"/>
        <v>116</v>
      </c>
      <c r="P464" s="328">
        <f t="shared" si="317"/>
        <v>192</v>
      </c>
      <c r="Q464" s="328">
        <f t="shared" si="317"/>
        <v>280</v>
      </c>
      <c r="R464" s="328">
        <f t="shared" si="317"/>
        <v>380</v>
      </c>
      <c r="S464" s="328">
        <f t="shared" si="317"/>
        <v>492</v>
      </c>
      <c r="T464" s="328">
        <f t="shared" si="317"/>
        <v>572</v>
      </c>
      <c r="U464" s="328">
        <f t="shared" si="317"/>
        <v>658</v>
      </c>
      <c r="V464" s="328">
        <f t="shared" si="317"/>
        <v>750</v>
      </c>
      <c r="W464" s="328">
        <f t="shared" si="317"/>
        <v>848</v>
      </c>
      <c r="AA464" s="91"/>
      <c r="AB464" s="91"/>
      <c r="AC464" s="91"/>
      <c r="AD464" s="91"/>
      <c r="AE464" s="91"/>
      <c r="AF464" s="91"/>
      <c r="AG464" s="91"/>
      <c r="AH464" s="91"/>
      <c r="AI464" s="91"/>
      <c r="AJ464" s="91"/>
      <c r="AK464" s="91"/>
      <c r="AL464" s="91"/>
      <c r="AM464" s="91"/>
      <c r="AN464" s="91"/>
      <c r="AO464" s="91"/>
      <c r="AP464" s="91"/>
    </row>
    <row r="465" spans="1:42">
      <c r="A465" s="4" t="s">
        <v>188</v>
      </c>
      <c r="B465" s="411"/>
      <c r="C465" s="411"/>
      <c r="D465" s="411"/>
      <c r="E465" s="411"/>
      <c r="F465" s="413">
        <v>5</v>
      </c>
      <c r="G465" s="413"/>
      <c r="H465" s="413"/>
      <c r="I465" s="413"/>
      <c r="J465" s="413"/>
      <c r="K465" s="413"/>
      <c r="L465" s="413"/>
      <c r="M465" s="413"/>
      <c r="N465" s="413">
        <f>+F465*1.05</f>
        <v>5.25</v>
      </c>
      <c r="O465" s="413">
        <f t="shared" ref="O465:W465" si="318">+N465*1.05</f>
        <v>5.5125000000000002</v>
      </c>
      <c r="P465" s="413">
        <f t="shared" si="318"/>
        <v>5.7881250000000009</v>
      </c>
      <c r="Q465" s="413">
        <f t="shared" si="318"/>
        <v>6.0775312500000007</v>
      </c>
      <c r="R465" s="413">
        <f t="shared" si="318"/>
        <v>6.3814078125000009</v>
      </c>
      <c r="S465" s="413">
        <f t="shared" si="318"/>
        <v>6.7004782031250016</v>
      </c>
      <c r="T465" s="413">
        <f t="shared" si="318"/>
        <v>7.0355021132812521</v>
      </c>
      <c r="U465" s="413">
        <f t="shared" si="318"/>
        <v>7.3872772189453153</v>
      </c>
      <c r="V465" s="413">
        <f t="shared" si="318"/>
        <v>7.7566410798925816</v>
      </c>
      <c r="W465" s="413">
        <f t="shared" si="318"/>
        <v>8.1444731338872103</v>
      </c>
      <c r="AA465" s="91"/>
      <c r="AB465" s="91"/>
      <c r="AC465" s="91"/>
      <c r="AD465" s="91"/>
      <c r="AE465" s="91"/>
      <c r="AF465" s="91"/>
      <c r="AG465" s="91"/>
      <c r="AH465" s="91"/>
      <c r="AI465" s="91"/>
      <c r="AJ465" s="91"/>
      <c r="AK465" s="91"/>
      <c r="AL465" s="91"/>
      <c r="AM465" s="91"/>
      <c r="AN465" s="91"/>
      <c r="AO465" s="91"/>
      <c r="AP465" s="91"/>
    </row>
    <row r="466" spans="1:42">
      <c r="A466" s="81" t="s">
        <v>143</v>
      </c>
      <c r="B466" s="83"/>
      <c r="C466" s="83"/>
      <c r="D466" s="83"/>
      <c r="E466" s="83"/>
      <c r="F466" s="328">
        <f>+F464*F465*3/1000</f>
        <v>0</v>
      </c>
      <c r="G466" s="328"/>
      <c r="H466" s="328"/>
      <c r="I466" s="328"/>
      <c r="J466" s="328"/>
      <c r="K466" s="328"/>
      <c r="L466" s="328"/>
      <c r="M466" s="328"/>
      <c r="N466" s="328">
        <f t="shared" ref="N466:W466" si="319">+N464*N465*12/1000</f>
        <v>3.2759999999999998</v>
      </c>
      <c r="O466" s="328">
        <f t="shared" si="319"/>
        <v>7.6734000000000009</v>
      </c>
      <c r="P466" s="328">
        <f t="shared" si="319"/>
        <v>13.335840000000003</v>
      </c>
      <c r="Q466" s="328">
        <f t="shared" si="319"/>
        <v>20.420505000000006</v>
      </c>
      <c r="R466" s="328">
        <f t="shared" si="319"/>
        <v>29.099219625000003</v>
      </c>
      <c r="S466" s="328">
        <f t="shared" si="319"/>
        <v>39.559623311250014</v>
      </c>
      <c r="T466" s="328">
        <f t="shared" si="319"/>
        <v>48.291686505562517</v>
      </c>
      <c r="U466" s="328">
        <f t="shared" si="319"/>
        <v>58.329940920792211</v>
      </c>
      <c r="V466" s="328">
        <f t="shared" si="319"/>
        <v>69.809769719033241</v>
      </c>
      <c r="W466" s="328">
        <f t="shared" si="319"/>
        <v>82.878158610436245</v>
      </c>
      <c r="AA466" s="91"/>
      <c r="AB466" s="91"/>
      <c r="AC466" s="91"/>
      <c r="AD466" s="91"/>
      <c r="AE466" s="91"/>
      <c r="AF466" s="91"/>
      <c r="AG466" s="91"/>
      <c r="AH466" s="91"/>
      <c r="AI466" s="91"/>
      <c r="AJ466" s="91"/>
      <c r="AK466" s="91"/>
      <c r="AL466" s="91"/>
      <c r="AM466" s="91"/>
      <c r="AN466" s="91"/>
      <c r="AO466" s="91"/>
      <c r="AP466" s="91"/>
    </row>
    <row r="467" spans="1:42">
      <c r="A467" s="4" t="s">
        <v>611</v>
      </c>
      <c r="B467" s="411"/>
      <c r="C467" s="411"/>
      <c r="D467" s="411"/>
      <c r="E467" s="411"/>
      <c r="F467" s="412">
        <v>0.15</v>
      </c>
      <c r="G467" s="412"/>
      <c r="H467" s="412"/>
      <c r="I467" s="412"/>
      <c r="J467" s="412"/>
      <c r="K467" s="412"/>
      <c r="L467" s="412"/>
      <c r="M467" s="412"/>
      <c r="N467" s="412">
        <v>0.15</v>
      </c>
      <c r="O467" s="412">
        <v>0.15</v>
      </c>
      <c r="P467" s="412">
        <v>0.15</v>
      </c>
      <c r="Q467" s="412">
        <v>0.15</v>
      </c>
      <c r="R467" s="412">
        <v>0.15</v>
      </c>
      <c r="S467" s="412">
        <v>0.15</v>
      </c>
      <c r="T467" s="412">
        <v>0.15</v>
      </c>
      <c r="U467" s="412">
        <v>0.15</v>
      </c>
      <c r="V467" s="412">
        <v>0.15</v>
      </c>
      <c r="W467" s="412">
        <v>0.15</v>
      </c>
      <c r="AA467" s="91"/>
      <c r="AB467" s="91"/>
      <c r="AC467" s="91"/>
      <c r="AD467" s="91"/>
      <c r="AE467" s="91"/>
      <c r="AF467" s="91"/>
      <c r="AG467" s="91"/>
      <c r="AH467" s="91"/>
      <c r="AI467" s="91"/>
      <c r="AJ467" s="91"/>
      <c r="AK467" s="91"/>
      <c r="AL467" s="91"/>
      <c r="AM467" s="91"/>
      <c r="AN467" s="91"/>
      <c r="AO467" s="91"/>
      <c r="AP467" s="91"/>
    </row>
    <row r="468" spans="1:42">
      <c r="A468" s="81" t="s">
        <v>1016</v>
      </c>
      <c r="B468" s="83"/>
      <c r="C468" s="83"/>
      <c r="D468" s="83"/>
      <c r="E468" s="83"/>
      <c r="F468" s="328">
        <f>+F466*F467</f>
        <v>0</v>
      </c>
      <c r="G468" s="328"/>
      <c r="H468" s="328"/>
      <c r="I468" s="328"/>
      <c r="J468" s="328"/>
      <c r="K468" s="328"/>
      <c r="L468" s="328"/>
      <c r="M468" s="328"/>
      <c r="N468" s="328">
        <f t="shared" ref="N468:W468" si="320">+N466*N467</f>
        <v>0.49139999999999995</v>
      </c>
      <c r="O468" s="328">
        <f t="shared" si="320"/>
        <v>1.1510100000000001</v>
      </c>
      <c r="P468" s="328">
        <f t="shared" si="320"/>
        <v>2.0003760000000002</v>
      </c>
      <c r="Q468" s="328">
        <f t="shared" si="320"/>
        <v>3.0630757500000008</v>
      </c>
      <c r="R468" s="328">
        <f t="shared" si="320"/>
        <v>4.3648829437500005</v>
      </c>
      <c r="S468" s="328">
        <f t="shared" si="320"/>
        <v>5.933943496687502</v>
      </c>
      <c r="T468" s="328">
        <f t="shared" si="320"/>
        <v>7.2437529758343775</v>
      </c>
      <c r="U468" s="328">
        <f t="shared" si="320"/>
        <v>8.7494911381188309</v>
      </c>
      <c r="V468" s="328">
        <f t="shared" si="320"/>
        <v>10.471465457854986</v>
      </c>
      <c r="W468" s="328">
        <f t="shared" si="320"/>
        <v>12.431723791565437</v>
      </c>
      <c r="AA468" s="91"/>
      <c r="AB468" s="91"/>
      <c r="AC468" s="91"/>
      <c r="AD468" s="91"/>
      <c r="AE468" s="91"/>
      <c r="AF468" s="91"/>
      <c r="AG468" s="91"/>
      <c r="AH468" s="91"/>
      <c r="AI468" s="91"/>
      <c r="AJ468" s="91"/>
      <c r="AK468" s="91"/>
      <c r="AL468" s="91"/>
      <c r="AM468" s="91"/>
      <c r="AN468" s="91"/>
      <c r="AO468" s="91"/>
      <c r="AP468" s="91"/>
    </row>
    <row r="469" spans="1:42">
      <c r="A469" s="4" t="s">
        <v>1017</v>
      </c>
      <c r="B469" s="411"/>
      <c r="C469" s="411"/>
      <c r="D469" s="411"/>
      <c r="E469" s="411"/>
      <c r="F469" s="414">
        <f>-(F464-E464)*10/1000</f>
        <v>0</v>
      </c>
      <c r="G469" s="414"/>
      <c r="H469" s="414"/>
      <c r="I469" s="414"/>
      <c r="J469" s="414"/>
      <c r="K469" s="414"/>
      <c r="L469" s="414"/>
      <c r="M469" s="414"/>
      <c r="N469" s="414">
        <f>-(N464-F464)*10/1000</f>
        <v>-0.52</v>
      </c>
      <c r="O469" s="414">
        <f t="shared" ref="O469:W469" si="321">-(O464-N464)*10/1000</f>
        <v>-0.64</v>
      </c>
      <c r="P469" s="414">
        <f t="shared" si="321"/>
        <v>-0.76</v>
      </c>
      <c r="Q469" s="414">
        <f t="shared" si="321"/>
        <v>-0.88</v>
      </c>
      <c r="R469" s="414">
        <f t="shared" si="321"/>
        <v>-1</v>
      </c>
      <c r="S469" s="414">
        <f t="shared" si="321"/>
        <v>-1.1200000000000001</v>
      </c>
      <c r="T469" s="414">
        <f t="shared" si="321"/>
        <v>-0.8</v>
      </c>
      <c r="U469" s="414">
        <f t="shared" si="321"/>
        <v>-0.86</v>
      </c>
      <c r="V469" s="414">
        <f t="shared" si="321"/>
        <v>-0.92</v>
      </c>
      <c r="W469" s="414">
        <f t="shared" si="321"/>
        <v>-0.98</v>
      </c>
      <c r="AA469" s="91"/>
      <c r="AB469" s="91"/>
      <c r="AC469" s="91"/>
      <c r="AD469" s="91"/>
      <c r="AE469" s="91"/>
      <c r="AF469" s="91"/>
      <c r="AG469" s="91"/>
      <c r="AH469" s="91"/>
      <c r="AI469" s="91"/>
      <c r="AJ469" s="91"/>
      <c r="AK469" s="91"/>
      <c r="AL469" s="91"/>
      <c r="AM469" s="91"/>
      <c r="AN469" s="91"/>
      <c r="AO469" s="91"/>
      <c r="AP469" s="91"/>
    </row>
    <row r="470" spans="1:42">
      <c r="A470" s="81" t="s">
        <v>1018</v>
      </c>
      <c r="B470" s="83"/>
      <c r="C470" s="83"/>
      <c r="D470" s="83"/>
      <c r="E470" s="83"/>
      <c r="F470" s="328">
        <v>-5</v>
      </c>
      <c r="G470" s="328"/>
      <c r="H470" s="328"/>
      <c r="I470" s="328"/>
      <c r="J470" s="328"/>
      <c r="K470" s="328"/>
      <c r="L470" s="328"/>
      <c r="M470" s="328"/>
      <c r="N470" s="328"/>
      <c r="O470" s="328"/>
      <c r="P470" s="328"/>
      <c r="Q470" s="328"/>
      <c r="R470" s="328"/>
      <c r="S470" s="328"/>
      <c r="T470" s="328"/>
      <c r="U470" s="328"/>
      <c r="V470" s="328"/>
      <c r="W470" s="328"/>
      <c r="AA470" s="91"/>
      <c r="AB470" s="91"/>
      <c r="AC470" s="91"/>
      <c r="AD470" s="91"/>
      <c r="AE470" s="91"/>
      <c r="AF470" s="91"/>
      <c r="AG470" s="91"/>
      <c r="AH470" s="91"/>
      <c r="AI470" s="91"/>
      <c r="AJ470" s="91"/>
      <c r="AK470" s="91"/>
      <c r="AL470" s="91"/>
      <c r="AM470" s="91"/>
      <c r="AN470" s="91"/>
      <c r="AO470" s="91"/>
      <c r="AP470" s="91"/>
    </row>
    <row r="471" spans="1:42">
      <c r="A471" s="4" t="s">
        <v>281</v>
      </c>
      <c r="F471" s="407">
        <f>+F468+F469+F470</f>
        <v>-5</v>
      </c>
      <c r="G471" s="407"/>
      <c r="H471" s="407"/>
      <c r="I471" s="407"/>
      <c r="J471" s="407"/>
      <c r="K471" s="407"/>
      <c r="L471" s="407"/>
      <c r="M471" s="407"/>
      <c r="N471" s="407">
        <f t="shared" ref="N471:V471" si="322">+N468+N469+N470</f>
        <v>-2.860000000000007E-2</v>
      </c>
      <c r="O471" s="407">
        <f t="shared" si="322"/>
        <v>0.51101000000000008</v>
      </c>
      <c r="P471" s="407">
        <f t="shared" si="322"/>
        <v>1.2403760000000001</v>
      </c>
      <c r="Q471" s="407">
        <f t="shared" si="322"/>
        <v>2.1830757500000009</v>
      </c>
      <c r="R471" s="407">
        <f t="shared" si="322"/>
        <v>3.3648829437500005</v>
      </c>
      <c r="S471" s="407">
        <f t="shared" si="322"/>
        <v>4.8139434966875019</v>
      </c>
      <c r="T471" s="407">
        <f t="shared" si="322"/>
        <v>6.4437529758343777</v>
      </c>
      <c r="U471" s="407">
        <f t="shared" si="322"/>
        <v>7.8894911381188306</v>
      </c>
      <c r="V471" s="407">
        <f t="shared" si="322"/>
        <v>9.5514654578549862</v>
      </c>
      <c r="W471" s="407">
        <f>+W468+W469+W470</f>
        <v>11.451723791565437</v>
      </c>
      <c r="X471" s="408">
        <f>+V471*10</f>
        <v>95.514654578549866</v>
      </c>
      <c r="AA471" s="91"/>
      <c r="AB471" s="91"/>
      <c r="AC471" s="91"/>
      <c r="AD471" s="91"/>
      <c r="AE471" s="91"/>
      <c r="AF471" s="91"/>
      <c r="AG471" s="91"/>
      <c r="AH471" s="91"/>
      <c r="AI471" s="91"/>
      <c r="AJ471" s="91"/>
      <c r="AK471" s="91"/>
      <c r="AL471" s="91"/>
      <c r="AM471" s="91"/>
      <c r="AN471" s="91"/>
      <c r="AO471" s="91"/>
      <c r="AP471" s="91"/>
    </row>
    <row r="472" spans="1:42">
      <c r="A472" s="81" t="s">
        <v>362</v>
      </c>
      <c r="B472" s="83"/>
      <c r="C472" s="83"/>
      <c r="D472" s="83"/>
      <c r="E472" s="83"/>
      <c r="F472" s="409">
        <f>NPV(0.068,F471:X471)</f>
        <v>65.586752361649033</v>
      </c>
      <c r="G472" s="328"/>
      <c r="H472" s="328"/>
      <c r="I472" s="328"/>
      <c r="J472" s="328"/>
      <c r="K472" s="328"/>
      <c r="L472" s="328"/>
      <c r="M472" s="328"/>
      <c r="U472" s="83" t="s">
        <v>93</v>
      </c>
      <c r="V472" s="283">
        <f>+X471</f>
        <v>95.514654578549866</v>
      </c>
      <c r="W472" s="283"/>
      <c r="AA472" s="91"/>
      <c r="AB472" s="91"/>
      <c r="AC472" s="91"/>
      <c r="AD472" s="91"/>
      <c r="AE472" s="91"/>
      <c r="AF472" s="91"/>
      <c r="AG472" s="91"/>
      <c r="AH472" s="91"/>
      <c r="AI472" s="91"/>
      <c r="AJ472" s="91"/>
      <c r="AK472" s="91"/>
      <c r="AL472" s="91"/>
      <c r="AM472" s="91"/>
      <c r="AN472" s="91"/>
      <c r="AO472" s="91"/>
      <c r="AP472" s="91"/>
    </row>
    <row r="473" spans="1:42">
      <c r="A473" s="4" t="s">
        <v>1019</v>
      </c>
      <c r="F473" s="408">
        <f>+F472*0.7</f>
        <v>45.91072665315432</v>
      </c>
      <c r="G473" s="408"/>
      <c r="H473" s="408"/>
      <c r="I473" s="408"/>
      <c r="J473" s="408"/>
      <c r="K473" s="408"/>
      <c r="L473" s="408"/>
      <c r="M473" s="408"/>
      <c r="AA473" s="91"/>
      <c r="AB473" s="91"/>
      <c r="AC473" s="91"/>
      <c r="AD473" s="91"/>
      <c r="AE473" s="91"/>
      <c r="AF473" s="91"/>
      <c r="AG473" s="91"/>
      <c r="AH473" s="91"/>
      <c r="AI473" s="91"/>
      <c r="AJ473" s="91"/>
      <c r="AK473" s="91"/>
      <c r="AL473" s="91"/>
      <c r="AM473" s="91"/>
      <c r="AN473" s="91"/>
      <c r="AO473" s="91"/>
      <c r="AP473" s="91"/>
    </row>
    <row r="474" spans="1:42">
      <c r="A474" s="81" t="s">
        <v>1010</v>
      </c>
      <c r="B474" s="83"/>
      <c r="C474" s="83"/>
      <c r="D474" s="83"/>
      <c r="E474" s="83"/>
      <c r="F474" s="283">
        <f>+Valuation!E34</f>
        <v>127.575</v>
      </c>
      <c r="G474" s="283"/>
      <c r="H474" s="283"/>
      <c r="I474" s="283"/>
      <c r="J474" s="283"/>
      <c r="K474" s="283"/>
      <c r="L474" s="283"/>
      <c r="M474" s="283"/>
      <c r="AA474" s="91"/>
      <c r="AB474" s="91"/>
      <c r="AC474" s="91"/>
      <c r="AD474" s="91"/>
      <c r="AE474" s="91"/>
      <c r="AF474" s="91"/>
      <c r="AG474" s="91"/>
      <c r="AH474" s="91"/>
      <c r="AI474" s="91"/>
      <c r="AJ474" s="91"/>
      <c r="AK474" s="91"/>
      <c r="AL474" s="91"/>
      <c r="AM474" s="91"/>
      <c r="AN474" s="91"/>
      <c r="AO474" s="91"/>
      <c r="AP474" s="91"/>
    </row>
    <row r="475" spans="1:42">
      <c r="A475" s="4" t="s">
        <v>1033</v>
      </c>
      <c r="F475" s="369">
        <f>+F473/F474</f>
        <v>0.35987244094183279</v>
      </c>
      <c r="G475" s="369"/>
      <c r="H475" s="369"/>
      <c r="I475" s="369"/>
      <c r="J475" s="369"/>
      <c r="K475" s="369"/>
      <c r="L475" s="369"/>
      <c r="M475" s="369"/>
      <c r="AA475" s="91"/>
      <c r="AB475" s="91"/>
      <c r="AC475" s="91"/>
      <c r="AD475" s="91"/>
      <c r="AE475" s="91"/>
      <c r="AF475" s="91"/>
      <c r="AG475" s="91"/>
      <c r="AH475" s="91"/>
      <c r="AI475" s="91"/>
      <c r="AJ475" s="91"/>
      <c r="AK475" s="91"/>
      <c r="AL475" s="91"/>
      <c r="AM475" s="91"/>
      <c r="AN475" s="91"/>
      <c r="AO475" s="91"/>
      <c r="AP475" s="91"/>
    </row>
    <row r="476" spans="1:42">
      <c r="AA476" s="91"/>
      <c r="AB476" s="91"/>
      <c r="AC476" s="91"/>
      <c r="AD476" s="91"/>
      <c r="AE476" s="91"/>
      <c r="AF476" s="91"/>
      <c r="AG476" s="91"/>
      <c r="AH476" s="91"/>
      <c r="AI476" s="91"/>
      <c r="AJ476" s="91"/>
      <c r="AK476" s="91"/>
      <c r="AL476" s="91"/>
      <c r="AM476" s="91"/>
      <c r="AN476" s="91"/>
      <c r="AO476" s="91"/>
      <c r="AP476" s="91"/>
    </row>
    <row r="477" spans="1:42">
      <c r="A477" s="4" t="s">
        <v>1101</v>
      </c>
      <c r="N477" s="349">
        <f t="shared" ref="N477:W477" si="323">+N464/N21</f>
        <v>2.1520764847982696E-2</v>
      </c>
      <c r="O477" s="349">
        <f t="shared" si="323"/>
        <v>4.7785472886687462E-2</v>
      </c>
      <c r="P477" s="349">
        <f t="shared" si="323"/>
        <v>7.8731730240488532E-2</v>
      </c>
      <c r="Q477" s="349">
        <f t="shared" si="323"/>
        <v>0.11429943021734036</v>
      </c>
      <c r="R477" s="349">
        <f t="shared" si="323"/>
        <v>0.15443067708504779</v>
      </c>
      <c r="S477" s="349">
        <f t="shared" si="323"/>
        <v>0.19906971324250575</v>
      </c>
      <c r="T477" s="349">
        <f t="shared" si="323"/>
        <v>0.23043693178865385</v>
      </c>
      <c r="U477" s="349">
        <f t="shared" si="323"/>
        <v>0.26395109924802013</v>
      </c>
      <c r="V477" s="349">
        <f t="shared" si="323"/>
        <v>0.29958884427012361</v>
      </c>
      <c r="W477" s="349">
        <f t="shared" si="323"/>
        <v>0.33732769635415588</v>
      </c>
      <c r="AA477" s="91"/>
      <c r="AB477" s="91"/>
      <c r="AC477" s="91"/>
      <c r="AD477" s="91"/>
      <c r="AE477" s="91"/>
      <c r="AF477" s="91"/>
      <c r="AG477" s="91"/>
      <c r="AH477" s="91"/>
      <c r="AI477" s="91"/>
      <c r="AJ477" s="91"/>
      <c r="AK477" s="91"/>
      <c r="AL477" s="91"/>
      <c r="AM477" s="91"/>
      <c r="AN477" s="91"/>
      <c r="AO477" s="91"/>
      <c r="AP477" s="91"/>
    </row>
    <row r="478" spans="1:42">
      <c r="AA478" s="91"/>
      <c r="AB478" s="91"/>
      <c r="AC478" s="91"/>
      <c r="AD478" s="91"/>
      <c r="AE478" s="91"/>
      <c r="AF478" s="91"/>
      <c r="AG478" s="91"/>
      <c r="AH478" s="91"/>
      <c r="AI478" s="91"/>
      <c r="AJ478" s="91"/>
      <c r="AK478" s="91"/>
      <c r="AL478" s="91"/>
      <c r="AM478" s="91"/>
      <c r="AN478" s="91"/>
      <c r="AO478" s="91"/>
      <c r="AP478" s="91"/>
    </row>
    <row r="479" spans="1:42">
      <c r="AA479" s="91"/>
      <c r="AB479" s="91"/>
      <c r="AC479" s="91"/>
      <c r="AD479" s="91"/>
      <c r="AE479" s="91"/>
      <c r="AF479" s="91"/>
      <c r="AG479" s="91"/>
      <c r="AH479" s="91"/>
      <c r="AI479" s="91"/>
      <c r="AJ479" s="91"/>
      <c r="AK479" s="91"/>
      <c r="AL479" s="91"/>
      <c r="AM479" s="91"/>
      <c r="AN479" s="91"/>
      <c r="AO479" s="91"/>
      <c r="AP479" s="91"/>
    </row>
    <row r="480" spans="1:42">
      <c r="AA480" s="91"/>
      <c r="AB480" s="91"/>
      <c r="AC480" s="91"/>
      <c r="AD480" s="91"/>
      <c r="AE480" s="91"/>
      <c r="AF480" s="91"/>
      <c r="AG480" s="91"/>
      <c r="AH480" s="91"/>
      <c r="AI480" s="91"/>
      <c r="AJ480" s="91"/>
      <c r="AK480" s="91"/>
      <c r="AL480" s="91"/>
      <c r="AM480" s="91"/>
      <c r="AN480" s="91"/>
      <c r="AO480" s="91"/>
      <c r="AP480" s="91"/>
    </row>
    <row r="481" spans="1:95">
      <c r="A481" s="18" t="s">
        <v>997</v>
      </c>
      <c r="B481" s="80"/>
      <c r="C481" s="80"/>
      <c r="D481" s="80"/>
      <c r="E481" s="80" t="s">
        <v>855</v>
      </c>
      <c r="F481" s="80" t="s">
        <v>201</v>
      </c>
      <c r="G481" s="316"/>
      <c r="H481" s="316"/>
      <c r="I481" s="316"/>
      <c r="J481" s="316"/>
      <c r="K481" s="316"/>
      <c r="L481" s="316"/>
      <c r="M481" s="316"/>
      <c r="N481" s="80" t="s">
        <v>202</v>
      </c>
      <c r="O481" s="80" t="s">
        <v>203</v>
      </c>
      <c r="P481" s="80" t="s">
        <v>204</v>
      </c>
      <c r="Q481" s="80" t="s">
        <v>205</v>
      </c>
      <c r="R481" s="80" t="s">
        <v>206</v>
      </c>
      <c r="S481" s="80" t="s">
        <v>207</v>
      </c>
      <c r="T481" s="80" t="s">
        <v>208</v>
      </c>
      <c r="U481" s="80" t="s">
        <v>209</v>
      </c>
      <c r="V481" s="80" t="s">
        <v>210</v>
      </c>
      <c r="W481" s="80" t="s">
        <v>1111</v>
      </c>
      <c r="AA481" s="91"/>
      <c r="AB481" s="91"/>
      <c r="AC481" s="91"/>
      <c r="AD481" s="91"/>
      <c r="AE481" s="91"/>
      <c r="AF481" s="91"/>
      <c r="AG481" s="91"/>
      <c r="AH481" s="91"/>
      <c r="AI481" s="91"/>
      <c r="AJ481" s="91"/>
      <c r="AK481" s="91"/>
      <c r="AL481" s="91"/>
      <c r="AM481" s="91"/>
      <c r="AN481" s="91"/>
      <c r="AO481" s="91"/>
      <c r="AP481" s="91"/>
      <c r="BK481" s="208" t="s">
        <v>609</v>
      </c>
      <c r="BL481" s="209" t="s">
        <v>197</v>
      </c>
      <c r="BM481" s="209" t="s">
        <v>198</v>
      </c>
      <c r="BN481" s="209" t="s">
        <v>199</v>
      </c>
      <c r="BO481" s="209" t="s">
        <v>200</v>
      </c>
      <c r="BP481" s="209" t="s">
        <v>201</v>
      </c>
      <c r="BQ481" s="209" t="s">
        <v>202</v>
      </c>
      <c r="BR481" s="209" t="s">
        <v>203</v>
      </c>
      <c r="BS481" s="8"/>
      <c r="BT481" s="8"/>
      <c r="BV481" s="208" t="str">
        <f t="shared" ref="BV481:CA481" si="324">+A481</f>
        <v>Primacom</v>
      </c>
      <c r="BW481" s="209">
        <f t="shared" si="324"/>
        <v>0</v>
      </c>
      <c r="BX481" s="209">
        <f t="shared" si="324"/>
        <v>0</v>
      </c>
      <c r="BY481" s="209">
        <f t="shared" si="324"/>
        <v>0</v>
      </c>
      <c r="BZ481" s="209" t="str">
        <f t="shared" si="324"/>
        <v>2014A</v>
      </c>
      <c r="CA481" s="209" t="str">
        <f t="shared" si="324"/>
        <v>2015E</v>
      </c>
      <c r="CB481" s="209" t="str">
        <f>+N481</f>
        <v>2016E</v>
      </c>
      <c r="CC481" s="209" t="str">
        <f>+O481</f>
        <v>2017E</v>
      </c>
      <c r="CD481" s="8"/>
      <c r="CE481" s="8"/>
      <c r="CH481" s="209" t="str">
        <f>+BZ481</f>
        <v>2014A</v>
      </c>
      <c r="CI481" s="209" t="str">
        <f>+CA481</f>
        <v>2015E</v>
      </c>
      <c r="CJ481" s="209" t="str">
        <f>+CB481</f>
        <v>2016E</v>
      </c>
      <c r="CK481" s="209" t="str">
        <f>+CC481</f>
        <v>2017E</v>
      </c>
      <c r="CN481" s="209" t="str">
        <f>+CH481</f>
        <v>2014A</v>
      </c>
      <c r="CO481" s="209" t="str">
        <f>+CI481</f>
        <v>2015E</v>
      </c>
      <c r="CP481" s="209" t="str">
        <f>+CJ481</f>
        <v>2016E</v>
      </c>
      <c r="CQ481" s="209" t="str">
        <f>+CK481</f>
        <v>2017E</v>
      </c>
    </row>
    <row r="482" spans="1:95">
      <c r="A482" s="4" t="s">
        <v>143</v>
      </c>
      <c r="E482" s="329">
        <v>132</v>
      </c>
      <c r="F482" s="329"/>
      <c r="G482" s="329"/>
      <c r="H482" s="329"/>
      <c r="I482" s="329"/>
      <c r="J482" s="329"/>
      <c r="K482" s="329"/>
      <c r="L482" s="329"/>
      <c r="M482" s="329"/>
      <c r="N482" s="329"/>
      <c r="O482" s="329"/>
      <c r="P482" s="329"/>
      <c r="Q482" s="329"/>
      <c r="R482" s="329"/>
      <c r="S482" s="329"/>
      <c r="T482" s="329"/>
      <c r="U482" s="329"/>
      <c r="V482" s="329"/>
      <c r="W482" s="329"/>
      <c r="X482" s="329"/>
      <c r="AA482" s="91"/>
      <c r="AB482" s="91"/>
      <c r="AC482" s="91"/>
      <c r="AD482" s="91"/>
      <c r="AE482" s="91"/>
      <c r="AF482" s="91"/>
      <c r="AG482" s="91"/>
      <c r="AH482" s="91"/>
      <c r="AI482" s="91"/>
      <c r="AJ482" s="91"/>
      <c r="AK482" s="91"/>
      <c r="AL482" s="91"/>
      <c r="AM482" s="91"/>
      <c r="AN482" s="91"/>
      <c r="AO482" s="91"/>
      <c r="AP482" s="91"/>
    </row>
    <row r="483" spans="1:95">
      <c r="A483" s="4" t="s">
        <v>281</v>
      </c>
      <c r="E483" s="329">
        <v>55</v>
      </c>
      <c r="F483" s="329">
        <f>711/11</f>
        <v>64.63636363636364</v>
      </c>
      <c r="G483" s="329"/>
      <c r="H483" s="329"/>
      <c r="I483" s="329"/>
      <c r="J483" s="329"/>
      <c r="K483" s="329"/>
      <c r="L483" s="329"/>
      <c r="M483" s="329"/>
      <c r="N483" s="329"/>
      <c r="O483" s="329"/>
      <c r="P483" s="329"/>
      <c r="Q483" s="329"/>
      <c r="R483" s="329"/>
      <c r="S483" s="329"/>
      <c r="T483" s="329"/>
      <c r="U483" s="329"/>
      <c r="V483" s="329"/>
      <c r="W483" s="329"/>
      <c r="X483" s="329"/>
      <c r="AA483" s="91"/>
      <c r="AB483" s="91"/>
      <c r="AC483" s="91"/>
      <c r="AD483" s="91"/>
      <c r="AE483" s="91"/>
      <c r="AF483" s="91"/>
      <c r="AG483" s="91"/>
      <c r="AH483" s="91"/>
      <c r="AI483" s="91"/>
      <c r="AJ483" s="91"/>
      <c r="AK483" s="91"/>
      <c r="AL483" s="91"/>
      <c r="AM483" s="91"/>
      <c r="AN483" s="91"/>
      <c r="AO483" s="91"/>
      <c r="AP483" s="91"/>
    </row>
    <row r="484" spans="1:95">
      <c r="A484" s="4" t="s">
        <v>161</v>
      </c>
      <c r="E484" s="329">
        <v>34</v>
      </c>
      <c r="F484" s="329"/>
      <c r="G484" s="329"/>
      <c r="H484" s="329"/>
      <c r="I484" s="329"/>
      <c r="J484" s="329"/>
      <c r="K484" s="329"/>
      <c r="L484" s="329"/>
      <c r="M484" s="329"/>
      <c r="N484" s="329"/>
      <c r="O484" s="329"/>
      <c r="P484" s="329"/>
      <c r="Q484" s="329"/>
      <c r="R484" s="329"/>
      <c r="S484" s="329"/>
      <c r="T484" s="329"/>
      <c r="U484" s="329"/>
      <c r="V484" s="329"/>
      <c r="W484" s="329"/>
      <c r="X484" s="329"/>
      <c r="AA484" s="91"/>
      <c r="AB484" s="91"/>
      <c r="AC484" s="91"/>
      <c r="AD484" s="91"/>
      <c r="AE484" s="91"/>
      <c r="AF484" s="91"/>
      <c r="AG484" s="91"/>
      <c r="AH484" s="91"/>
      <c r="AI484" s="91"/>
      <c r="AJ484" s="91"/>
      <c r="AK484" s="91"/>
      <c r="AL484" s="91"/>
      <c r="AM484" s="91"/>
      <c r="AN484" s="91"/>
      <c r="AO484" s="91"/>
      <c r="AP484" s="91"/>
    </row>
    <row r="485" spans="1:95">
      <c r="E485" s="349"/>
      <c r="F485" s="329"/>
      <c r="G485" s="329"/>
      <c r="H485" s="329"/>
      <c r="I485" s="329"/>
      <c r="J485" s="329"/>
      <c r="K485" s="329"/>
      <c r="L485" s="329"/>
      <c r="M485" s="329"/>
      <c r="N485" s="329"/>
      <c r="O485" s="329"/>
      <c r="P485" s="329"/>
      <c r="Q485" s="329"/>
      <c r="R485" s="329"/>
      <c r="S485" s="329"/>
      <c r="T485" s="329"/>
      <c r="U485" s="329"/>
      <c r="V485" s="329"/>
      <c r="W485" s="329"/>
      <c r="X485" s="329"/>
      <c r="AA485" s="91"/>
      <c r="AB485" s="91"/>
      <c r="AC485" s="91"/>
      <c r="AD485" s="91"/>
      <c r="AE485" s="91"/>
      <c r="AF485" s="91"/>
      <c r="AG485" s="91"/>
      <c r="AH485" s="91"/>
      <c r="AI485" s="91"/>
      <c r="AJ485" s="91"/>
      <c r="AK485" s="91"/>
      <c r="AL485" s="91"/>
      <c r="AM485" s="91"/>
      <c r="AN485" s="91"/>
      <c r="AO485" s="91"/>
      <c r="AP485" s="91"/>
    </row>
    <row r="486" spans="1:95">
      <c r="A486" s="4" t="s">
        <v>1020</v>
      </c>
      <c r="E486" s="329"/>
      <c r="F486" s="329"/>
      <c r="G486" s="329"/>
      <c r="H486" s="329"/>
      <c r="I486" s="329"/>
      <c r="J486" s="329"/>
      <c r="K486" s="329"/>
      <c r="L486" s="329"/>
      <c r="M486" s="329"/>
      <c r="N486" s="329">
        <v>8</v>
      </c>
      <c r="O486" s="329">
        <v>17.5</v>
      </c>
      <c r="P486" s="329">
        <f t="shared" ref="P486:W486" si="325">+O486</f>
        <v>17.5</v>
      </c>
      <c r="Q486" s="329">
        <f t="shared" si="325"/>
        <v>17.5</v>
      </c>
      <c r="R486" s="329">
        <f t="shared" si="325"/>
        <v>17.5</v>
      </c>
      <c r="S486" s="329">
        <f t="shared" si="325"/>
        <v>17.5</v>
      </c>
      <c r="T486" s="329">
        <f t="shared" si="325"/>
        <v>17.5</v>
      </c>
      <c r="U486" s="329">
        <f t="shared" si="325"/>
        <v>17.5</v>
      </c>
      <c r="V486" s="329">
        <f t="shared" si="325"/>
        <v>17.5</v>
      </c>
      <c r="W486" s="329">
        <f t="shared" si="325"/>
        <v>17.5</v>
      </c>
      <c r="X486" s="329"/>
      <c r="AA486" s="91"/>
      <c r="AB486" s="91"/>
      <c r="AC486" s="91"/>
      <c r="AD486" s="91"/>
      <c r="AE486" s="91"/>
      <c r="AF486" s="91"/>
      <c r="AG486" s="91"/>
      <c r="AH486" s="91"/>
      <c r="AI486" s="91"/>
      <c r="AJ486" s="91"/>
      <c r="AK486" s="91"/>
      <c r="AL486" s="91"/>
      <c r="AM486" s="91"/>
      <c r="AN486" s="91"/>
      <c r="AO486" s="91"/>
      <c r="AP486" s="91"/>
    </row>
    <row r="487" spans="1:95">
      <c r="A487" s="4" t="s">
        <v>1021</v>
      </c>
      <c r="E487" s="329"/>
      <c r="F487" s="329"/>
      <c r="G487" s="329"/>
      <c r="H487" s="329"/>
      <c r="I487" s="329"/>
      <c r="J487" s="329"/>
      <c r="K487" s="329"/>
      <c r="L487" s="329"/>
      <c r="M487" s="329"/>
      <c r="N487" s="329">
        <v>0.5</v>
      </c>
      <c r="O487" s="329">
        <v>2.5</v>
      </c>
      <c r="P487" s="329">
        <v>2.5</v>
      </c>
      <c r="Q487" s="329">
        <v>2.5</v>
      </c>
      <c r="R487" s="329">
        <v>2.5</v>
      </c>
      <c r="S487" s="329">
        <v>2.5</v>
      </c>
      <c r="T487" s="329">
        <v>2.5</v>
      </c>
      <c r="U487" s="329">
        <v>2.5</v>
      </c>
      <c r="V487" s="329">
        <v>2.5</v>
      </c>
      <c r="W487" s="329">
        <v>2.5</v>
      </c>
      <c r="X487" s="329"/>
      <c r="AA487" s="91"/>
      <c r="AB487" s="91"/>
      <c r="AC487" s="91"/>
      <c r="AD487" s="91"/>
      <c r="AE487" s="91"/>
      <c r="AF487" s="91"/>
      <c r="AG487" s="91"/>
      <c r="AH487" s="91"/>
      <c r="AI487" s="91"/>
      <c r="AJ487" s="91"/>
      <c r="AK487" s="91"/>
      <c r="AL487" s="91"/>
      <c r="AM487" s="91"/>
      <c r="AN487" s="91"/>
      <c r="AO487" s="91"/>
      <c r="AP487" s="91"/>
    </row>
    <row r="488" spans="1:95">
      <c r="A488" s="4" t="s">
        <v>1022</v>
      </c>
      <c r="E488" s="329"/>
      <c r="F488" s="329"/>
      <c r="G488" s="329"/>
      <c r="H488" s="329"/>
      <c r="I488" s="329"/>
      <c r="J488" s="329"/>
      <c r="K488" s="329"/>
      <c r="L488" s="329"/>
      <c r="M488" s="329"/>
      <c r="N488" s="329">
        <v>-20</v>
      </c>
      <c r="O488" s="329"/>
      <c r="P488" s="329"/>
      <c r="Q488" s="329"/>
      <c r="R488" s="329"/>
      <c r="S488" s="329"/>
      <c r="T488" s="329"/>
      <c r="U488" s="329"/>
      <c r="V488" s="329"/>
      <c r="W488" s="329"/>
      <c r="X488" s="329"/>
      <c r="AA488" s="91"/>
      <c r="AB488" s="91"/>
      <c r="AC488" s="91"/>
      <c r="AD488" s="91"/>
      <c r="AE488" s="91"/>
      <c r="AF488" s="91"/>
      <c r="AG488" s="91"/>
      <c r="AH488" s="91"/>
      <c r="AI488" s="91"/>
      <c r="AJ488" s="91"/>
      <c r="AK488" s="91"/>
      <c r="AL488" s="91"/>
      <c r="AM488" s="91"/>
      <c r="AN488" s="91"/>
      <c r="AO488" s="91"/>
      <c r="AP488" s="91"/>
    </row>
    <row r="489" spans="1:95">
      <c r="A489" s="4" t="s">
        <v>279</v>
      </c>
      <c r="E489" s="329"/>
      <c r="F489" s="329"/>
      <c r="G489" s="329"/>
      <c r="H489" s="329"/>
      <c r="I489" s="329"/>
      <c r="J489" s="329"/>
      <c r="K489" s="329"/>
      <c r="L489" s="329"/>
      <c r="M489" s="329"/>
      <c r="N489" s="407">
        <f t="shared" ref="N489:V489" si="326">+N488+N487+N486</f>
        <v>-11.5</v>
      </c>
      <c r="O489" s="407">
        <f t="shared" si="326"/>
        <v>20</v>
      </c>
      <c r="P489" s="407">
        <f t="shared" si="326"/>
        <v>20</v>
      </c>
      <c r="Q489" s="407">
        <f t="shared" si="326"/>
        <v>20</v>
      </c>
      <c r="R489" s="407">
        <f t="shared" si="326"/>
        <v>20</v>
      </c>
      <c r="S489" s="407">
        <f t="shared" si="326"/>
        <v>20</v>
      </c>
      <c r="T489" s="407">
        <f t="shared" si="326"/>
        <v>20</v>
      </c>
      <c r="U489" s="407">
        <f t="shared" si="326"/>
        <v>20</v>
      </c>
      <c r="V489" s="407">
        <f t="shared" si="326"/>
        <v>20</v>
      </c>
      <c r="W489" s="407">
        <f>+W488+W487+W486</f>
        <v>20</v>
      </c>
      <c r="X489" s="329">
        <f>+V486*8</f>
        <v>140</v>
      </c>
      <c r="AA489" s="91"/>
      <c r="AB489" s="91"/>
      <c r="AC489" s="91"/>
      <c r="AD489" s="91"/>
      <c r="AE489" s="91"/>
      <c r="AF489" s="91"/>
      <c r="AG489" s="91"/>
      <c r="AH489" s="91"/>
      <c r="AI489" s="91"/>
      <c r="AJ489" s="91"/>
      <c r="AK489" s="91"/>
      <c r="AL489" s="91"/>
      <c r="AM489" s="91"/>
      <c r="AN489" s="91"/>
      <c r="AO489" s="91"/>
      <c r="AP489" s="91"/>
    </row>
    <row r="490" spans="1:95">
      <c r="AA490" s="91"/>
      <c r="AB490" s="91"/>
      <c r="AC490" s="91"/>
      <c r="AD490" s="91"/>
      <c r="AE490" s="91"/>
      <c r="AF490" s="91"/>
      <c r="AG490" s="91"/>
      <c r="AH490" s="91"/>
      <c r="AI490" s="91"/>
      <c r="AJ490" s="91"/>
      <c r="AK490" s="91"/>
      <c r="AL490" s="91"/>
      <c r="AM490" s="91"/>
      <c r="AN490" s="91"/>
      <c r="AO490" s="91"/>
      <c r="AP490" s="91"/>
    </row>
    <row r="491" spans="1:95">
      <c r="AA491" s="91"/>
      <c r="AB491" s="91"/>
      <c r="AC491" s="91"/>
      <c r="AD491" s="91"/>
      <c r="AE491" s="91"/>
      <c r="AF491" s="91"/>
      <c r="AG491" s="91"/>
      <c r="AH491" s="91"/>
      <c r="AI491" s="91"/>
      <c r="AJ491" s="91"/>
      <c r="AK491" s="91"/>
      <c r="AL491" s="91"/>
      <c r="AM491" s="91"/>
      <c r="AN491" s="91"/>
      <c r="AO491" s="91"/>
      <c r="AP491" s="91"/>
    </row>
    <row r="492" spans="1:95">
      <c r="AA492" s="91"/>
      <c r="AB492" s="91"/>
      <c r="AC492" s="91"/>
      <c r="AD492" s="91"/>
      <c r="AE492" s="91"/>
      <c r="AF492" s="91"/>
      <c r="AG492" s="91"/>
      <c r="AH492" s="91"/>
      <c r="AI492" s="91"/>
      <c r="AJ492" s="91"/>
      <c r="AK492" s="91"/>
      <c r="AL492" s="91"/>
      <c r="AM492" s="91"/>
      <c r="AN492" s="91"/>
      <c r="AO492" s="91"/>
      <c r="AP492" s="91"/>
    </row>
    <row r="493" spans="1:95">
      <c r="E493" s="329"/>
      <c r="F493" s="329"/>
      <c r="G493" s="329"/>
      <c r="H493" s="329"/>
      <c r="I493" s="329"/>
      <c r="J493" s="329"/>
      <c r="K493" s="329"/>
      <c r="L493" s="329"/>
      <c r="M493" s="329"/>
      <c r="N493" s="329"/>
      <c r="O493" s="329"/>
      <c r="P493" s="329"/>
      <c r="Q493" s="329"/>
      <c r="R493" s="329"/>
      <c r="S493" s="329"/>
      <c r="T493" s="329"/>
      <c r="U493" s="329"/>
      <c r="V493" s="329"/>
      <c r="W493" s="329"/>
      <c r="X493" s="329"/>
      <c r="AA493" s="91"/>
      <c r="AB493" s="91"/>
      <c r="AC493" s="91"/>
      <c r="AD493" s="91"/>
      <c r="AE493" s="91"/>
      <c r="AF493" s="91"/>
      <c r="AG493" s="91"/>
      <c r="AH493" s="91"/>
      <c r="AI493" s="91"/>
      <c r="AJ493" s="91"/>
      <c r="AK493" s="91"/>
      <c r="AL493" s="91"/>
      <c r="AM493" s="91"/>
      <c r="AN493" s="91"/>
      <c r="AO493" s="91"/>
      <c r="AP493" s="91"/>
    </row>
    <row r="494" spans="1:95">
      <c r="E494" s="329"/>
      <c r="F494" s="329"/>
      <c r="G494" s="329"/>
      <c r="H494" s="329"/>
      <c r="I494" s="329"/>
      <c r="J494" s="329"/>
      <c r="K494" s="329"/>
      <c r="L494" s="329"/>
      <c r="M494" s="329"/>
      <c r="N494" s="329"/>
      <c r="O494" s="329"/>
      <c r="P494" s="329"/>
      <c r="Q494" s="329"/>
      <c r="R494" s="329"/>
      <c r="S494" s="329"/>
      <c r="T494" s="329"/>
      <c r="U494" s="329"/>
      <c r="V494" s="329"/>
      <c r="W494" s="329"/>
      <c r="X494" s="329"/>
      <c r="AA494" s="91"/>
      <c r="AB494" s="91"/>
      <c r="AC494" s="91"/>
      <c r="AD494" s="91"/>
      <c r="AE494" s="91"/>
      <c r="AF494" s="91"/>
      <c r="AG494" s="91"/>
      <c r="AH494" s="91"/>
      <c r="AI494" s="91"/>
      <c r="AJ494" s="91"/>
      <c r="AK494" s="91"/>
      <c r="AL494" s="91"/>
      <c r="AM494" s="91"/>
      <c r="AN494" s="91"/>
      <c r="AO494" s="91"/>
      <c r="AP494" s="91"/>
    </row>
    <row r="495" spans="1:95">
      <c r="E495" s="329"/>
      <c r="F495" s="329"/>
      <c r="G495" s="329"/>
      <c r="H495" s="329"/>
      <c r="I495" s="329"/>
      <c r="J495" s="329"/>
      <c r="K495" s="329"/>
      <c r="L495" s="329"/>
      <c r="M495" s="329"/>
      <c r="N495" s="329"/>
      <c r="O495" s="329"/>
      <c r="P495" s="329"/>
      <c r="Q495" s="329"/>
      <c r="R495" s="329"/>
      <c r="S495" s="329"/>
      <c r="T495" s="329"/>
      <c r="U495" s="329"/>
      <c r="V495" s="329"/>
      <c r="W495" s="329"/>
      <c r="X495" s="329"/>
      <c r="AA495" s="91"/>
      <c r="AB495" s="91"/>
      <c r="AC495" s="91"/>
      <c r="AD495" s="91"/>
      <c r="AE495" s="91"/>
      <c r="AF495" s="91"/>
      <c r="AG495" s="91"/>
      <c r="AH495" s="91"/>
      <c r="AI495" s="91"/>
      <c r="AJ495" s="91"/>
      <c r="AK495" s="91"/>
      <c r="AL495" s="91"/>
      <c r="AM495" s="91"/>
      <c r="AN495" s="91"/>
      <c r="AO495" s="91"/>
      <c r="AP495" s="91"/>
    </row>
    <row r="496" spans="1:95">
      <c r="A496" s="4" t="s">
        <v>721</v>
      </c>
      <c r="F496" s="75">
        <v>1200</v>
      </c>
      <c r="AA496" s="91"/>
      <c r="AB496" s="91"/>
      <c r="AC496" s="91"/>
      <c r="AD496" s="91"/>
      <c r="AE496" s="91"/>
      <c r="AF496" s="91"/>
      <c r="AG496" s="91"/>
      <c r="AH496" s="91"/>
      <c r="AI496" s="91"/>
      <c r="AJ496" s="91"/>
      <c r="AK496" s="91"/>
      <c r="AL496" s="91"/>
      <c r="AM496" s="91"/>
      <c r="AN496" s="91"/>
      <c r="AO496" s="91"/>
      <c r="AP496" s="91"/>
    </row>
    <row r="497" spans="1:42">
      <c r="A497" s="4" t="s">
        <v>1023</v>
      </c>
      <c r="F497" s="75">
        <v>130</v>
      </c>
      <c r="N497" s="408">
        <f>+F497*N25/F25</f>
        <v>279.3388429752066</v>
      </c>
      <c r="O497" s="408">
        <f t="shared" ref="O497:W497" si="327">+N497*O25/N25</f>
        <v>311.57024793388427</v>
      </c>
      <c r="P497" s="408">
        <f t="shared" si="327"/>
        <v>343.80165289256195</v>
      </c>
      <c r="Q497" s="408">
        <f t="shared" si="327"/>
        <v>376.03305785123962</v>
      </c>
      <c r="R497" s="408">
        <f t="shared" si="327"/>
        <v>408.26446280991735</v>
      </c>
      <c r="S497" s="408">
        <f t="shared" si="327"/>
        <v>440.49586776859508</v>
      </c>
      <c r="T497" s="408">
        <f t="shared" si="327"/>
        <v>472.72727272727275</v>
      </c>
      <c r="U497" s="408">
        <f t="shared" si="327"/>
        <v>504.95867768595048</v>
      </c>
      <c r="V497" s="408">
        <f t="shared" si="327"/>
        <v>537.19008264462821</v>
      </c>
      <c r="W497" s="408">
        <f t="shared" si="327"/>
        <v>569.42148760330599</v>
      </c>
      <c r="AA497" s="91"/>
      <c r="AB497" s="91"/>
      <c r="AC497" s="91"/>
      <c r="AD497" s="91"/>
      <c r="AE497" s="91"/>
      <c r="AF497" s="91"/>
      <c r="AG497" s="91"/>
      <c r="AH497" s="91"/>
      <c r="AI497" s="91"/>
      <c r="AJ497" s="91"/>
      <c r="AK497" s="91"/>
      <c r="AL497" s="91"/>
      <c r="AM497" s="91"/>
      <c r="AN497" s="91"/>
      <c r="AO497" s="91"/>
      <c r="AP497" s="91"/>
    </row>
    <row r="498" spans="1:42">
      <c r="AA498" s="91"/>
      <c r="AB498" s="91"/>
      <c r="AC498" s="91"/>
      <c r="AD498" s="91"/>
      <c r="AE498" s="91"/>
      <c r="AF498" s="91"/>
      <c r="AG498" s="91"/>
      <c r="AH498" s="91"/>
      <c r="AI498" s="91"/>
      <c r="AJ498" s="91"/>
      <c r="AK498" s="91"/>
      <c r="AL498" s="91"/>
      <c r="AM498" s="91"/>
      <c r="AN498" s="91"/>
      <c r="AO498" s="91"/>
      <c r="AP498" s="91"/>
    </row>
    <row r="499" spans="1:42">
      <c r="A499" s="4" t="s">
        <v>1026</v>
      </c>
      <c r="AA499" s="91"/>
      <c r="AB499" s="91"/>
      <c r="AC499" s="91"/>
      <c r="AD499" s="91"/>
      <c r="AE499" s="91"/>
      <c r="AF499" s="91"/>
      <c r="AG499" s="91"/>
      <c r="AH499" s="91"/>
      <c r="AI499" s="91"/>
      <c r="AJ499" s="91"/>
      <c r="AK499" s="91"/>
      <c r="AL499" s="91"/>
      <c r="AM499" s="91"/>
      <c r="AN499" s="91"/>
      <c r="AO499" s="91"/>
      <c r="AP499" s="91"/>
    </row>
    <row r="500" spans="1:42">
      <c r="A500" s="4" t="s">
        <v>362</v>
      </c>
      <c r="E500" s="329"/>
      <c r="F500" s="329">
        <f>NPV(0.068,(N489:X489))</f>
        <v>180.18116799663844</v>
      </c>
      <c r="G500" s="329"/>
      <c r="H500" s="329"/>
      <c r="I500" s="329"/>
      <c r="J500" s="329"/>
      <c r="K500" s="329"/>
      <c r="L500" s="329"/>
      <c r="M500" s="329"/>
      <c r="O500" s="326"/>
      <c r="P500" s="329"/>
      <c r="Q500" s="329"/>
      <c r="R500" s="329"/>
      <c r="S500" s="329"/>
      <c r="T500" s="329"/>
      <c r="U500" s="329"/>
      <c r="V500" s="329"/>
      <c r="W500" s="329"/>
      <c r="X500" s="329"/>
      <c r="AA500" s="91"/>
      <c r="AB500" s="91"/>
      <c r="AC500" s="91"/>
      <c r="AD500" s="91"/>
      <c r="AE500" s="91"/>
      <c r="AF500" s="91"/>
      <c r="AG500" s="91"/>
      <c r="AH500" s="91"/>
      <c r="AI500" s="91"/>
      <c r="AJ500" s="91"/>
      <c r="AK500" s="91"/>
      <c r="AL500" s="91"/>
      <c r="AM500" s="91"/>
      <c r="AN500" s="91"/>
      <c r="AO500" s="91"/>
      <c r="AP500" s="91"/>
    </row>
    <row r="501" spans="1:42">
      <c r="A501" s="4" t="s">
        <v>1024</v>
      </c>
      <c r="E501" s="329"/>
      <c r="F501" s="329">
        <f>+F500*(1-0.3)</f>
        <v>126.12681759764689</v>
      </c>
      <c r="G501" s="329"/>
      <c r="H501" s="329"/>
      <c r="I501" s="329"/>
      <c r="J501" s="329"/>
      <c r="K501" s="329"/>
      <c r="L501" s="329"/>
      <c r="M501" s="329"/>
      <c r="O501" s="329"/>
      <c r="P501" s="329"/>
      <c r="Q501" s="329"/>
      <c r="R501" s="329"/>
      <c r="S501" s="329"/>
      <c r="T501" s="329"/>
      <c r="U501" s="329"/>
      <c r="V501" s="329"/>
      <c r="W501" s="329"/>
      <c r="X501" s="329"/>
      <c r="AA501" s="91"/>
      <c r="AB501" s="91"/>
      <c r="AC501" s="91"/>
      <c r="AD501" s="91"/>
      <c r="AE501" s="91"/>
      <c r="AF501" s="91"/>
      <c r="AG501" s="91"/>
      <c r="AH501" s="91"/>
      <c r="AI501" s="91"/>
      <c r="AJ501" s="91"/>
      <c r="AK501" s="91"/>
      <c r="AL501" s="91"/>
      <c r="AM501" s="91"/>
      <c r="AN501" s="91"/>
      <c r="AO501" s="91"/>
      <c r="AP501" s="91"/>
    </row>
    <row r="502" spans="1:42">
      <c r="A502" s="4" t="s">
        <v>1025</v>
      </c>
      <c r="E502" s="329"/>
      <c r="F502" s="326">
        <f>+F501/Valuation!E34</f>
        <v>0.98864838406934652</v>
      </c>
      <c r="G502" s="326"/>
      <c r="H502" s="326"/>
      <c r="I502" s="326"/>
      <c r="J502" s="326"/>
      <c r="K502" s="326"/>
      <c r="L502" s="326"/>
      <c r="M502" s="326"/>
      <c r="O502" s="329"/>
      <c r="P502" s="329"/>
      <c r="Q502" s="329"/>
      <c r="R502" s="329"/>
      <c r="S502" s="329"/>
      <c r="T502" s="329"/>
      <c r="U502" s="329"/>
      <c r="V502" s="329"/>
      <c r="W502" s="329"/>
      <c r="X502" s="329"/>
      <c r="AA502" s="91"/>
      <c r="AB502" s="91"/>
      <c r="AC502" s="91"/>
      <c r="AD502" s="91"/>
      <c r="AE502" s="91"/>
      <c r="AF502" s="91"/>
      <c r="AG502" s="91"/>
      <c r="AH502" s="91"/>
      <c r="AI502" s="91"/>
      <c r="AJ502" s="91"/>
      <c r="AK502" s="91"/>
      <c r="AL502" s="91"/>
      <c r="AM502" s="91"/>
      <c r="AN502" s="91"/>
      <c r="AO502" s="91"/>
      <c r="AP502" s="91"/>
    </row>
    <row r="503" spans="1:42">
      <c r="F503" s="329"/>
      <c r="G503" s="329"/>
      <c r="H503" s="329"/>
      <c r="I503" s="329"/>
      <c r="J503" s="329"/>
      <c r="K503" s="329"/>
      <c r="L503" s="329"/>
      <c r="M503" s="329"/>
      <c r="AA503" s="91"/>
      <c r="AB503" s="91"/>
      <c r="AC503" s="91"/>
      <c r="AD503" s="91"/>
      <c r="AE503" s="91"/>
      <c r="AF503" s="91"/>
      <c r="AG503" s="91"/>
      <c r="AH503" s="91"/>
      <c r="AI503" s="91"/>
      <c r="AJ503" s="91"/>
      <c r="AK503" s="91"/>
      <c r="AL503" s="91"/>
      <c r="AM503" s="91"/>
      <c r="AN503" s="91"/>
      <c r="AO503" s="91"/>
      <c r="AP503" s="91"/>
    </row>
    <row r="504" spans="1:42">
      <c r="A504" s="4" t="s">
        <v>1027</v>
      </c>
      <c r="F504" s="329"/>
      <c r="G504" s="329"/>
      <c r="H504" s="329"/>
      <c r="I504" s="329"/>
      <c r="J504" s="329"/>
      <c r="K504" s="329"/>
      <c r="L504" s="329"/>
      <c r="M504" s="329"/>
      <c r="AA504" s="91"/>
      <c r="AB504" s="91"/>
      <c r="AC504" s="91"/>
      <c r="AD504" s="91"/>
      <c r="AE504" s="91"/>
      <c r="AF504" s="91"/>
      <c r="AG504" s="91"/>
      <c r="AH504" s="91"/>
      <c r="AI504" s="91"/>
      <c r="AJ504" s="91"/>
      <c r="AK504" s="91"/>
      <c r="AL504" s="91"/>
      <c r="AM504" s="91"/>
      <c r="AN504" s="91"/>
      <c r="AO504" s="91"/>
      <c r="AP504" s="91"/>
    </row>
    <row r="505" spans="1:42">
      <c r="A505" s="4" t="s">
        <v>1028</v>
      </c>
      <c r="F505" s="326">
        <v>11</v>
      </c>
      <c r="G505" s="326"/>
      <c r="H505" s="326"/>
      <c r="I505" s="326"/>
      <c r="J505" s="326"/>
      <c r="K505" s="326"/>
      <c r="L505" s="326"/>
      <c r="M505" s="326"/>
      <c r="AA505" s="91"/>
      <c r="AB505" s="91"/>
      <c r="AC505" s="91"/>
      <c r="AD505" s="91"/>
      <c r="AE505" s="91"/>
      <c r="AF505" s="91"/>
      <c r="AG505" s="91"/>
      <c r="AH505" s="91"/>
      <c r="AI505" s="91"/>
      <c r="AJ505" s="91"/>
      <c r="AK505" s="91"/>
      <c r="AL505" s="91"/>
      <c r="AM505" s="91"/>
      <c r="AN505" s="91"/>
      <c r="AO505" s="91"/>
      <c r="AP505" s="91"/>
    </row>
    <row r="506" spans="1:42">
      <c r="A506" s="4" t="s">
        <v>1029</v>
      </c>
      <c r="F506" s="326">
        <v>10.5</v>
      </c>
      <c r="G506" s="326"/>
      <c r="H506" s="326"/>
      <c r="I506" s="326"/>
      <c r="J506" s="326"/>
      <c r="K506" s="326"/>
      <c r="L506" s="326"/>
      <c r="M506" s="326"/>
      <c r="AA506" s="91"/>
      <c r="AB506" s="91"/>
      <c r="AC506" s="91"/>
      <c r="AD506" s="91"/>
      <c r="AE506" s="91"/>
      <c r="AF506" s="91"/>
      <c r="AG506" s="91"/>
      <c r="AH506" s="91"/>
      <c r="AI506" s="91"/>
      <c r="AJ506" s="91"/>
      <c r="AK506" s="91"/>
      <c r="AL506" s="91"/>
      <c r="AM506" s="91"/>
      <c r="AN506" s="91"/>
      <c r="AO506" s="91"/>
      <c r="AP506" s="91"/>
    </row>
    <row r="507" spans="1:42">
      <c r="F507" s="326">
        <f>+F505-F506</f>
        <v>0.5</v>
      </c>
      <c r="G507" s="326"/>
      <c r="H507" s="326"/>
      <c r="I507" s="326"/>
      <c r="J507" s="326"/>
      <c r="K507" s="326"/>
      <c r="L507" s="326"/>
      <c r="M507" s="326"/>
      <c r="AA507" s="91"/>
      <c r="AB507" s="91"/>
      <c r="AC507" s="91"/>
      <c r="AD507" s="91"/>
      <c r="AE507" s="91"/>
      <c r="AF507" s="91"/>
      <c r="AG507" s="91"/>
      <c r="AH507" s="91"/>
      <c r="AI507" s="91"/>
      <c r="AJ507" s="91"/>
      <c r="AK507" s="91"/>
      <c r="AL507" s="91"/>
      <c r="AM507" s="91"/>
      <c r="AN507" s="91"/>
      <c r="AO507" s="91"/>
      <c r="AP507" s="91"/>
    </row>
    <row r="508" spans="1:42">
      <c r="A508" s="4" t="s">
        <v>1030</v>
      </c>
      <c r="F508" s="329">
        <f>+F507*F483</f>
        <v>32.31818181818182</v>
      </c>
      <c r="G508" s="329"/>
      <c r="H508" s="329"/>
      <c r="I508" s="329"/>
      <c r="J508" s="329"/>
      <c r="K508" s="329"/>
      <c r="L508" s="329"/>
      <c r="M508" s="329"/>
      <c r="AA508" s="91"/>
      <c r="AB508" s="91"/>
      <c r="AC508" s="91"/>
      <c r="AD508" s="91"/>
      <c r="AE508" s="91"/>
      <c r="AF508" s="91"/>
      <c r="AG508" s="91"/>
      <c r="AH508" s="91"/>
      <c r="AI508" s="91"/>
      <c r="AJ508" s="91"/>
      <c r="AK508" s="91"/>
      <c r="AL508" s="91"/>
      <c r="AM508" s="91"/>
      <c r="AN508" s="91"/>
      <c r="AO508" s="91"/>
      <c r="AP508" s="91"/>
    </row>
    <row r="509" spans="1:42">
      <c r="A509" s="4" t="s">
        <v>1025</v>
      </c>
      <c r="F509" s="326">
        <f>+F508/Valuation!E34</f>
        <v>0.2533269199935867</v>
      </c>
      <c r="G509" s="326"/>
      <c r="H509" s="326"/>
      <c r="I509" s="326"/>
      <c r="J509" s="326"/>
      <c r="K509" s="326"/>
      <c r="L509" s="326"/>
      <c r="M509" s="326"/>
      <c r="AA509" s="91"/>
      <c r="AB509" s="91"/>
      <c r="AC509" s="91"/>
      <c r="AD509" s="91"/>
      <c r="AE509" s="91"/>
      <c r="AF509" s="91"/>
      <c r="AG509" s="91"/>
      <c r="AH509" s="91"/>
      <c r="AI509" s="91"/>
      <c r="AJ509" s="91"/>
      <c r="AK509" s="91"/>
      <c r="AL509" s="91"/>
      <c r="AM509" s="91"/>
      <c r="AN509" s="91"/>
      <c r="AO509" s="91"/>
      <c r="AP509" s="91"/>
    </row>
    <row r="510" spans="1:42">
      <c r="A510" s="4" t="s">
        <v>1031</v>
      </c>
      <c r="F510" s="326">
        <f>+F502-F509</f>
        <v>0.73532146407575982</v>
      </c>
      <c r="G510" s="326"/>
      <c r="H510" s="326"/>
      <c r="I510" s="326"/>
      <c r="J510" s="326"/>
      <c r="K510" s="326"/>
      <c r="L510" s="326"/>
      <c r="M510" s="326"/>
      <c r="AA510" s="91"/>
      <c r="AB510" s="91"/>
      <c r="AC510" s="91"/>
      <c r="AD510" s="91"/>
      <c r="AE510" s="91"/>
      <c r="AF510" s="91"/>
      <c r="AG510" s="91"/>
      <c r="AH510" s="91"/>
      <c r="AI510" s="91"/>
      <c r="AJ510" s="91"/>
      <c r="AK510" s="91"/>
      <c r="AL510" s="91"/>
      <c r="AM510" s="91"/>
      <c r="AN510" s="91"/>
      <c r="AO510" s="91"/>
      <c r="AP510" s="91"/>
    </row>
    <row r="511" spans="1:42">
      <c r="AA511" s="91"/>
      <c r="AB511" s="91"/>
      <c r="AC511" s="91"/>
      <c r="AD511" s="91"/>
      <c r="AE511" s="91"/>
      <c r="AF511" s="91"/>
      <c r="AG511" s="91"/>
      <c r="AH511" s="91"/>
      <c r="AI511" s="91"/>
      <c r="AJ511" s="91"/>
      <c r="AK511" s="91"/>
      <c r="AL511" s="91"/>
      <c r="AM511" s="91"/>
      <c r="AN511" s="91"/>
      <c r="AO511" s="91"/>
      <c r="AP511" s="91"/>
    </row>
    <row r="512" spans="1:42">
      <c r="AA512" s="91"/>
      <c r="AB512" s="91"/>
      <c r="AC512" s="91"/>
      <c r="AD512" s="91"/>
      <c r="AE512" s="91"/>
      <c r="AF512" s="91"/>
      <c r="AG512" s="91"/>
      <c r="AH512" s="91"/>
      <c r="AI512" s="91"/>
      <c r="AJ512" s="91"/>
      <c r="AK512" s="91"/>
      <c r="AL512" s="91"/>
      <c r="AM512" s="91"/>
      <c r="AN512" s="91"/>
      <c r="AO512" s="91"/>
      <c r="AP512" s="91"/>
    </row>
    <row r="513" spans="1:42">
      <c r="AA513" s="91"/>
      <c r="AB513" s="91"/>
      <c r="AC513" s="91"/>
      <c r="AD513" s="91"/>
      <c r="AE513" s="91"/>
      <c r="AF513" s="91"/>
      <c r="AG513" s="91"/>
      <c r="AH513" s="91"/>
      <c r="AI513" s="91"/>
      <c r="AJ513" s="91"/>
      <c r="AK513" s="91"/>
      <c r="AL513" s="91"/>
      <c r="AM513" s="91"/>
      <c r="AN513" s="91"/>
      <c r="AO513" s="91"/>
      <c r="AP513" s="91"/>
    </row>
    <row r="514" spans="1:42">
      <c r="A514" s="18" t="s">
        <v>1035</v>
      </c>
      <c r="B514" s="80"/>
      <c r="C514" s="80"/>
      <c r="D514" s="80"/>
      <c r="E514" s="80" t="s">
        <v>855</v>
      </c>
      <c r="F514" s="80" t="s">
        <v>201</v>
      </c>
      <c r="G514" s="316"/>
      <c r="H514" s="316"/>
      <c r="I514" s="316"/>
      <c r="J514" s="316"/>
      <c r="K514" s="316"/>
      <c r="L514" s="316"/>
      <c r="M514" s="316"/>
      <c r="N514" s="80" t="s">
        <v>202</v>
      </c>
      <c r="O514" s="80" t="s">
        <v>203</v>
      </c>
      <c r="P514" s="80" t="s">
        <v>204</v>
      </c>
      <c r="Q514" s="80" t="s">
        <v>205</v>
      </c>
      <c r="R514" s="80" t="s">
        <v>206</v>
      </c>
      <c r="S514" s="80" t="s">
        <v>207</v>
      </c>
      <c r="T514" s="80" t="s">
        <v>208</v>
      </c>
      <c r="U514" s="80" t="s">
        <v>209</v>
      </c>
      <c r="V514" s="80" t="s">
        <v>210</v>
      </c>
      <c r="W514" s="80" t="s">
        <v>1111</v>
      </c>
      <c r="AA514" s="91"/>
      <c r="AB514" s="91"/>
      <c r="AC514" s="91"/>
      <c r="AD514" s="91"/>
      <c r="AE514" s="91"/>
      <c r="AF514" s="91"/>
      <c r="AG514" s="91"/>
      <c r="AH514" s="91"/>
      <c r="AI514" s="91"/>
      <c r="AJ514" s="91"/>
      <c r="AK514" s="91"/>
      <c r="AL514" s="91"/>
      <c r="AM514" s="91"/>
      <c r="AN514" s="91"/>
      <c r="AO514" s="91"/>
      <c r="AP514" s="91"/>
    </row>
    <row r="515" spans="1:42">
      <c r="A515" s="4" t="s">
        <v>143</v>
      </c>
      <c r="E515" s="329">
        <v>126</v>
      </c>
      <c r="F515" s="329"/>
      <c r="G515" s="329"/>
      <c r="H515" s="329"/>
      <c r="I515" s="329"/>
      <c r="J515" s="329"/>
      <c r="K515" s="329"/>
      <c r="L515" s="329"/>
      <c r="M515" s="329"/>
      <c r="N515" s="329"/>
      <c r="O515" s="329"/>
      <c r="P515" s="329"/>
      <c r="Q515" s="329"/>
      <c r="R515" s="329"/>
      <c r="S515" s="329"/>
      <c r="T515" s="329"/>
      <c r="U515" s="329"/>
      <c r="V515" s="329"/>
      <c r="W515" s="329"/>
      <c r="AA515" s="91"/>
      <c r="AB515" s="91"/>
      <c r="AC515" s="91"/>
      <c r="AD515" s="91"/>
      <c r="AE515" s="91"/>
      <c r="AF515" s="91"/>
      <c r="AG515" s="91"/>
      <c r="AH515" s="91"/>
      <c r="AI515" s="91"/>
      <c r="AJ515" s="91"/>
      <c r="AK515" s="91"/>
      <c r="AL515" s="91"/>
      <c r="AM515" s="91"/>
      <c r="AN515" s="91"/>
      <c r="AO515" s="91"/>
      <c r="AP515" s="91"/>
    </row>
    <row r="516" spans="1:42">
      <c r="A516" s="4" t="s">
        <v>281</v>
      </c>
      <c r="E516" s="329">
        <v>57</v>
      </c>
      <c r="F516" s="329">
        <f>608/9.5</f>
        <v>64</v>
      </c>
      <c r="G516" s="329"/>
      <c r="H516" s="329"/>
      <c r="I516" s="329"/>
      <c r="J516" s="329"/>
      <c r="K516" s="329"/>
      <c r="L516" s="329"/>
      <c r="M516" s="329"/>
      <c r="N516" s="329"/>
      <c r="O516" s="329"/>
      <c r="P516" s="329"/>
      <c r="Q516" s="329"/>
      <c r="R516" s="329"/>
      <c r="S516" s="329"/>
      <c r="T516" s="329"/>
      <c r="U516" s="329"/>
      <c r="V516" s="329"/>
      <c r="W516" s="329"/>
      <c r="AA516" s="91"/>
      <c r="AB516" s="91"/>
      <c r="AC516" s="91"/>
      <c r="AD516" s="91"/>
      <c r="AE516" s="91"/>
      <c r="AF516" s="91"/>
      <c r="AG516" s="91"/>
      <c r="AH516" s="91"/>
      <c r="AI516" s="91"/>
      <c r="AJ516" s="91"/>
      <c r="AK516" s="91"/>
      <c r="AL516" s="91"/>
      <c r="AM516" s="91"/>
      <c r="AN516" s="91"/>
      <c r="AO516" s="91"/>
      <c r="AP516" s="91"/>
    </row>
    <row r="517" spans="1:42">
      <c r="A517" s="4" t="s">
        <v>161</v>
      </c>
      <c r="E517" s="410">
        <v>30</v>
      </c>
      <c r="F517" s="410">
        <v>30</v>
      </c>
      <c r="G517" s="410"/>
      <c r="H517" s="410"/>
      <c r="I517" s="410"/>
      <c r="J517" s="410"/>
      <c r="K517" s="410"/>
      <c r="L517" s="410"/>
      <c r="M517" s="410"/>
      <c r="N517" s="329"/>
      <c r="O517" s="329"/>
      <c r="P517" s="329"/>
      <c r="Q517" s="329"/>
      <c r="R517" s="329"/>
      <c r="S517" s="329"/>
      <c r="T517" s="329"/>
      <c r="U517" s="329"/>
      <c r="V517" s="329"/>
      <c r="W517" s="329"/>
      <c r="AA517" s="91"/>
      <c r="AB517" s="91"/>
      <c r="AC517" s="91"/>
      <c r="AD517" s="91"/>
      <c r="AE517" s="91"/>
      <c r="AF517" s="91"/>
      <c r="AG517" s="91"/>
      <c r="AH517" s="91"/>
      <c r="AI517" s="91"/>
      <c r="AJ517" s="91"/>
      <c r="AK517" s="91"/>
      <c r="AL517" s="91"/>
      <c r="AM517" s="91"/>
      <c r="AN517" s="91"/>
      <c r="AO517" s="91"/>
      <c r="AP517" s="91"/>
    </row>
    <row r="518" spans="1:42">
      <c r="E518" s="349"/>
      <c r="F518" s="329"/>
      <c r="G518" s="329"/>
      <c r="H518" s="329"/>
      <c r="I518" s="329"/>
      <c r="J518" s="329"/>
      <c r="K518" s="329"/>
      <c r="L518" s="329"/>
      <c r="M518" s="329"/>
      <c r="N518" s="329"/>
      <c r="O518" s="329"/>
      <c r="P518" s="329"/>
      <c r="Q518" s="329"/>
      <c r="R518" s="329"/>
      <c r="S518" s="329"/>
      <c r="T518" s="329"/>
      <c r="U518" s="329"/>
      <c r="V518" s="329"/>
      <c r="W518" s="329"/>
      <c r="AA518" s="91"/>
      <c r="AB518" s="91"/>
      <c r="AC518" s="91"/>
      <c r="AD518" s="91"/>
      <c r="AE518" s="91"/>
      <c r="AF518" s="91"/>
      <c r="AG518" s="91"/>
      <c r="AH518" s="91"/>
      <c r="AI518" s="91"/>
      <c r="AJ518" s="91"/>
      <c r="AK518" s="91"/>
      <c r="AL518" s="91"/>
      <c r="AM518" s="91"/>
      <c r="AN518" s="91"/>
      <c r="AO518" s="91"/>
      <c r="AP518" s="91"/>
    </row>
    <row r="519" spans="1:42">
      <c r="A519" s="4" t="s">
        <v>1020</v>
      </c>
      <c r="E519" s="329"/>
      <c r="F519" s="329"/>
      <c r="G519" s="329"/>
      <c r="H519" s="329"/>
      <c r="I519" s="329"/>
      <c r="J519" s="329"/>
      <c r="K519" s="329"/>
      <c r="L519" s="329"/>
      <c r="M519" s="329"/>
      <c r="N519" s="329">
        <v>7</v>
      </c>
      <c r="O519" s="329">
        <v>13</v>
      </c>
      <c r="P519" s="329">
        <v>13</v>
      </c>
      <c r="Q519" s="329">
        <v>13</v>
      </c>
      <c r="R519" s="329">
        <v>13</v>
      </c>
      <c r="S519" s="329">
        <v>13</v>
      </c>
      <c r="T519" s="329">
        <v>13</v>
      </c>
      <c r="U519" s="329">
        <v>13</v>
      </c>
      <c r="V519" s="329">
        <v>13</v>
      </c>
      <c r="W519" s="329">
        <v>13</v>
      </c>
      <c r="AA519" s="91"/>
      <c r="AB519" s="91"/>
      <c r="AC519" s="91"/>
      <c r="AD519" s="91"/>
      <c r="AE519" s="91"/>
      <c r="AF519" s="91"/>
      <c r="AG519" s="91"/>
      <c r="AH519" s="91"/>
      <c r="AI519" s="91"/>
      <c r="AJ519" s="91"/>
      <c r="AK519" s="91"/>
      <c r="AL519" s="91"/>
      <c r="AM519" s="91"/>
      <c r="AN519" s="91"/>
      <c r="AO519" s="91"/>
      <c r="AP519" s="91"/>
    </row>
    <row r="520" spans="1:42">
      <c r="A520" s="4" t="s">
        <v>1021</v>
      </c>
      <c r="E520" s="329"/>
      <c r="F520" s="329"/>
      <c r="G520" s="329"/>
      <c r="H520" s="329"/>
      <c r="I520" s="329"/>
      <c r="J520" s="329"/>
      <c r="K520" s="329"/>
      <c r="L520" s="329"/>
      <c r="M520" s="329"/>
      <c r="N520" s="329">
        <v>0.5</v>
      </c>
      <c r="O520" s="329">
        <v>2</v>
      </c>
      <c r="P520" s="329">
        <v>2</v>
      </c>
      <c r="Q520" s="329">
        <v>2</v>
      </c>
      <c r="R520" s="329">
        <v>2</v>
      </c>
      <c r="S520" s="329">
        <v>2</v>
      </c>
      <c r="T520" s="329">
        <v>2</v>
      </c>
      <c r="U520" s="329">
        <v>2</v>
      </c>
      <c r="V520" s="329">
        <v>2</v>
      </c>
      <c r="W520" s="329">
        <v>2</v>
      </c>
      <c r="AA520" s="91"/>
      <c r="AB520" s="91"/>
      <c r="AC520" s="91"/>
      <c r="AD520" s="91"/>
      <c r="AE520" s="91"/>
      <c r="AF520" s="91"/>
      <c r="AG520" s="91"/>
      <c r="AH520" s="91"/>
      <c r="AI520" s="91"/>
      <c r="AJ520" s="91"/>
      <c r="AK520" s="91"/>
      <c r="AL520" s="91"/>
      <c r="AM520" s="91"/>
      <c r="AN520" s="91"/>
      <c r="AO520" s="91"/>
      <c r="AP520" s="91"/>
    </row>
    <row r="521" spans="1:42">
      <c r="A521" s="4" t="s">
        <v>1022</v>
      </c>
      <c r="E521" s="329"/>
      <c r="F521" s="329"/>
      <c r="G521" s="329"/>
      <c r="H521" s="329"/>
      <c r="I521" s="329"/>
      <c r="J521" s="329"/>
      <c r="K521" s="329"/>
      <c r="L521" s="329"/>
      <c r="M521" s="329"/>
      <c r="N521" s="329">
        <v>-15</v>
      </c>
      <c r="O521" s="329"/>
      <c r="P521" s="329"/>
      <c r="Q521" s="329"/>
      <c r="R521" s="329"/>
      <c r="S521" s="329"/>
      <c r="T521" s="329"/>
      <c r="U521" s="329"/>
      <c r="V521" s="329"/>
      <c r="W521" s="329"/>
      <c r="AA521" s="91"/>
      <c r="AB521" s="91"/>
      <c r="AC521" s="91"/>
      <c r="AD521" s="91"/>
      <c r="AE521" s="91"/>
      <c r="AF521" s="91"/>
      <c r="AG521" s="91"/>
      <c r="AH521" s="91"/>
      <c r="AI521" s="91"/>
      <c r="AJ521" s="91"/>
      <c r="AK521" s="91"/>
      <c r="AL521" s="91"/>
      <c r="AM521" s="91"/>
      <c r="AN521" s="91"/>
      <c r="AO521" s="91"/>
      <c r="AP521" s="91"/>
    </row>
    <row r="522" spans="1:42">
      <c r="A522" s="4" t="s">
        <v>279</v>
      </c>
      <c r="E522" s="329"/>
      <c r="F522" s="329"/>
      <c r="G522" s="329"/>
      <c r="H522" s="329"/>
      <c r="I522" s="329"/>
      <c r="J522" s="329"/>
      <c r="K522" s="329"/>
      <c r="L522" s="329"/>
      <c r="M522" s="329"/>
      <c r="N522" s="407">
        <f t="shared" ref="N522:V522" si="328">+N521+N520+N519</f>
        <v>-7.5</v>
      </c>
      <c r="O522" s="407">
        <f t="shared" si="328"/>
        <v>15</v>
      </c>
      <c r="P522" s="407">
        <f t="shared" si="328"/>
        <v>15</v>
      </c>
      <c r="Q522" s="407">
        <f t="shared" si="328"/>
        <v>15</v>
      </c>
      <c r="R522" s="407">
        <f t="shared" si="328"/>
        <v>15</v>
      </c>
      <c r="S522" s="407">
        <f t="shared" si="328"/>
        <v>15</v>
      </c>
      <c r="T522" s="407">
        <f t="shared" si="328"/>
        <v>15</v>
      </c>
      <c r="U522" s="407">
        <f t="shared" si="328"/>
        <v>15</v>
      </c>
      <c r="V522" s="407">
        <f t="shared" si="328"/>
        <v>15</v>
      </c>
      <c r="W522" s="407">
        <f>+W521+W520+W519</f>
        <v>15</v>
      </c>
      <c r="X522" s="75">
        <f>+V519*8</f>
        <v>104</v>
      </c>
      <c r="AA522" s="91"/>
      <c r="AB522" s="91"/>
      <c r="AC522" s="91"/>
      <c r="AD522" s="91"/>
      <c r="AE522" s="91"/>
      <c r="AF522" s="91"/>
      <c r="AG522" s="91"/>
      <c r="AH522" s="91"/>
      <c r="AI522" s="91"/>
      <c r="AJ522" s="91"/>
      <c r="AK522" s="91"/>
      <c r="AL522" s="91"/>
      <c r="AM522" s="91"/>
      <c r="AN522" s="91"/>
      <c r="AO522" s="91"/>
      <c r="AP522" s="91"/>
    </row>
    <row r="523" spans="1:42">
      <c r="AA523" s="91"/>
      <c r="AB523" s="91"/>
      <c r="AC523" s="91"/>
      <c r="AD523" s="91"/>
      <c r="AE523" s="91"/>
      <c r="AF523" s="91"/>
      <c r="AG523" s="91"/>
      <c r="AH523" s="91"/>
      <c r="AI523" s="91"/>
      <c r="AJ523" s="91"/>
      <c r="AK523" s="91"/>
      <c r="AL523" s="91"/>
      <c r="AM523" s="91"/>
      <c r="AN523" s="91"/>
      <c r="AO523" s="91"/>
      <c r="AP523" s="91"/>
    </row>
    <row r="524" spans="1:42">
      <c r="AA524" s="91"/>
      <c r="AB524" s="91"/>
      <c r="AC524" s="91"/>
      <c r="AD524" s="91"/>
      <c r="AE524" s="91"/>
      <c r="AF524" s="91"/>
      <c r="AG524" s="91"/>
      <c r="AH524" s="91"/>
      <c r="AI524" s="91"/>
      <c r="AJ524" s="91"/>
      <c r="AK524" s="91"/>
      <c r="AL524" s="91"/>
      <c r="AM524" s="91"/>
      <c r="AN524" s="91"/>
      <c r="AO524" s="91"/>
      <c r="AP524" s="91"/>
    </row>
    <row r="525" spans="1:42">
      <c r="AA525" s="91"/>
      <c r="AB525" s="91"/>
      <c r="AC525" s="91"/>
      <c r="AD525" s="91"/>
      <c r="AE525" s="91"/>
      <c r="AF525" s="91"/>
      <c r="AG525" s="91"/>
      <c r="AH525" s="91"/>
      <c r="AI525" s="91"/>
      <c r="AJ525" s="91"/>
      <c r="AK525" s="91"/>
      <c r="AL525" s="91"/>
      <c r="AM525" s="91"/>
      <c r="AN525" s="91"/>
      <c r="AO525" s="91"/>
      <c r="AP525" s="91"/>
    </row>
    <row r="526" spans="1:42">
      <c r="E526" s="329"/>
      <c r="F526" s="329"/>
      <c r="G526" s="329"/>
      <c r="H526" s="329"/>
      <c r="I526" s="329"/>
      <c r="J526" s="329"/>
      <c r="K526" s="329"/>
      <c r="L526" s="329"/>
      <c r="M526" s="329"/>
      <c r="N526" s="329"/>
      <c r="O526" s="329"/>
      <c r="P526" s="329"/>
      <c r="Q526" s="329"/>
      <c r="R526" s="329"/>
      <c r="S526" s="329"/>
      <c r="T526" s="329"/>
      <c r="U526" s="329"/>
      <c r="V526" s="329"/>
      <c r="W526" s="329"/>
      <c r="AA526" s="91"/>
      <c r="AB526" s="91"/>
      <c r="AC526" s="91"/>
      <c r="AD526" s="91"/>
      <c r="AE526" s="91"/>
      <c r="AF526" s="91"/>
      <c r="AG526" s="91"/>
      <c r="AH526" s="91"/>
      <c r="AI526" s="91"/>
      <c r="AJ526" s="91"/>
      <c r="AK526" s="91"/>
      <c r="AL526" s="91"/>
      <c r="AM526" s="91"/>
      <c r="AN526" s="91"/>
      <c r="AO526" s="91"/>
      <c r="AP526" s="91"/>
    </row>
    <row r="527" spans="1:42">
      <c r="E527" s="329"/>
      <c r="F527" s="329"/>
      <c r="G527" s="329"/>
      <c r="H527" s="329"/>
      <c r="I527" s="329"/>
      <c r="J527" s="329"/>
      <c r="K527" s="329"/>
      <c r="L527" s="329"/>
      <c r="M527" s="329"/>
      <c r="N527" s="329"/>
      <c r="O527" s="329"/>
      <c r="P527" s="329"/>
      <c r="Q527" s="329"/>
      <c r="R527" s="329"/>
      <c r="S527" s="329"/>
      <c r="T527" s="329"/>
      <c r="U527" s="329"/>
      <c r="V527" s="329"/>
      <c r="W527" s="329"/>
      <c r="AA527" s="91"/>
      <c r="AB527" s="91"/>
      <c r="AC527" s="91"/>
      <c r="AD527" s="91"/>
      <c r="AE527" s="91"/>
      <c r="AF527" s="91"/>
      <c r="AG527" s="91"/>
      <c r="AH527" s="91"/>
      <c r="AI527" s="91"/>
      <c r="AJ527" s="91"/>
      <c r="AK527" s="91"/>
      <c r="AL527" s="91"/>
      <c r="AM527" s="91"/>
      <c r="AN527" s="91"/>
      <c r="AO527" s="91"/>
      <c r="AP527" s="91"/>
    </row>
    <row r="528" spans="1:42">
      <c r="E528" s="329"/>
      <c r="F528" s="329"/>
      <c r="G528" s="329"/>
      <c r="H528" s="329"/>
      <c r="I528" s="329"/>
      <c r="J528" s="329"/>
      <c r="K528" s="329"/>
      <c r="L528" s="329"/>
      <c r="M528" s="329"/>
      <c r="N528" s="329"/>
      <c r="O528" s="329"/>
      <c r="P528" s="329"/>
      <c r="Q528" s="329"/>
      <c r="R528" s="329"/>
      <c r="S528" s="329"/>
      <c r="T528" s="329"/>
      <c r="U528" s="329"/>
      <c r="V528" s="329"/>
      <c r="W528" s="329"/>
      <c r="AA528" s="91"/>
      <c r="AB528" s="91"/>
      <c r="AC528" s="91"/>
      <c r="AD528" s="91"/>
      <c r="AE528" s="91"/>
      <c r="AF528" s="91"/>
      <c r="AG528" s="91"/>
      <c r="AH528" s="91"/>
      <c r="AI528" s="91"/>
      <c r="AJ528" s="91"/>
      <c r="AK528" s="91"/>
      <c r="AL528" s="91"/>
      <c r="AM528" s="91"/>
      <c r="AN528" s="91"/>
      <c r="AO528" s="91"/>
      <c r="AP528" s="91"/>
    </row>
    <row r="529" spans="1:42">
      <c r="A529" s="4" t="s">
        <v>721</v>
      </c>
      <c r="F529" s="75">
        <v>800</v>
      </c>
      <c r="AA529" s="91"/>
      <c r="AB529" s="91"/>
      <c r="AC529" s="91"/>
      <c r="AD529" s="91"/>
      <c r="AE529" s="91"/>
      <c r="AF529" s="91"/>
      <c r="AG529" s="91"/>
      <c r="AH529" s="91"/>
      <c r="AI529" s="91"/>
      <c r="AJ529" s="91"/>
      <c r="AK529" s="91"/>
      <c r="AL529" s="91"/>
      <c r="AM529" s="91"/>
      <c r="AN529" s="91"/>
      <c r="AO529" s="91"/>
      <c r="AP529" s="91"/>
    </row>
    <row r="530" spans="1:42">
      <c r="A530" s="4" t="s">
        <v>1023</v>
      </c>
      <c r="F530" s="75">
        <v>80</v>
      </c>
      <c r="N530" s="408">
        <f>+F530*N25/F25</f>
        <v>171.900826446281</v>
      </c>
      <c r="O530" s="408">
        <f t="shared" ref="O530:W530" si="329">+N530*O25/N25</f>
        <v>191.73553719008265</v>
      </c>
      <c r="P530" s="408">
        <f t="shared" si="329"/>
        <v>211.5702479338843</v>
      </c>
      <c r="Q530" s="408">
        <f t="shared" si="329"/>
        <v>231.40495867768595</v>
      </c>
      <c r="R530" s="408">
        <f t="shared" si="329"/>
        <v>251.2396694214876</v>
      </c>
      <c r="S530" s="408">
        <f t="shared" si="329"/>
        <v>271.07438016528926</v>
      </c>
      <c r="T530" s="408">
        <f t="shared" si="329"/>
        <v>290.90909090909093</v>
      </c>
      <c r="U530" s="408">
        <f t="shared" si="329"/>
        <v>310.74380165289256</v>
      </c>
      <c r="V530" s="408">
        <f t="shared" si="329"/>
        <v>330.57851239669418</v>
      </c>
      <c r="W530" s="408">
        <f t="shared" si="329"/>
        <v>350.4132231404958</v>
      </c>
      <c r="AA530" s="91"/>
      <c r="AB530" s="91"/>
      <c r="AC530" s="91"/>
      <c r="AD530" s="91"/>
      <c r="AE530" s="91"/>
      <c r="AF530" s="91"/>
      <c r="AG530" s="91"/>
      <c r="AH530" s="91"/>
      <c r="AI530" s="91"/>
      <c r="AJ530" s="91"/>
      <c r="AK530" s="91"/>
      <c r="AL530" s="91"/>
      <c r="AM530" s="91"/>
      <c r="AN530" s="91"/>
      <c r="AO530" s="91"/>
      <c r="AP530" s="91"/>
    </row>
    <row r="531" spans="1:42">
      <c r="AA531" s="91"/>
      <c r="AB531" s="91"/>
      <c r="AC531" s="91"/>
      <c r="AD531" s="91"/>
      <c r="AE531" s="91"/>
      <c r="AF531" s="91"/>
      <c r="AG531" s="91"/>
      <c r="AH531" s="91"/>
      <c r="AI531" s="91"/>
      <c r="AJ531" s="91"/>
      <c r="AK531" s="91"/>
      <c r="AL531" s="91"/>
      <c r="AM531" s="91"/>
      <c r="AN531" s="91"/>
      <c r="AO531" s="91"/>
      <c r="AP531" s="91"/>
    </row>
    <row r="532" spans="1:42">
      <c r="A532" s="4" t="s">
        <v>1026</v>
      </c>
      <c r="AA532" s="91"/>
      <c r="AB532" s="91"/>
      <c r="AC532" s="91"/>
      <c r="AD532" s="91"/>
      <c r="AE532" s="91"/>
      <c r="AF532" s="91"/>
      <c r="AG532" s="91"/>
      <c r="AH532" s="91"/>
      <c r="AI532" s="91"/>
      <c r="AJ532" s="91"/>
      <c r="AK532" s="91"/>
      <c r="AL532" s="91"/>
      <c r="AM532" s="91"/>
      <c r="AN532" s="91"/>
      <c r="AO532" s="91"/>
      <c r="AP532" s="91"/>
    </row>
    <row r="533" spans="1:42">
      <c r="A533" s="4" t="s">
        <v>362</v>
      </c>
      <c r="E533" s="329"/>
      <c r="F533" s="329">
        <f>NPV(0.068,(N522:X522))</f>
        <v>135.70427528072705</v>
      </c>
      <c r="G533" s="329"/>
      <c r="H533" s="329"/>
      <c r="I533" s="329"/>
      <c r="J533" s="329"/>
      <c r="K533" s="329"/>
      <c r="L533" s="329"/>
      <c r="M533" s="329"/>
      <c r="O533" s="326"/>
      <c r="P533" s="329"/>
      <c r="Q533" s="329"/>
      <c r="R533" s="329"/>
      <c r="S533" s="329"/>
      <c r="T533" s="329"/>
      <c r="U533" s="329"/>
      <c r="V533" s="329"/>
      <c r="W533" s="329"/>
      <c r="AA533" s="91"/>
      <c r="AB533" s="91"/>
      <c r="AC533" s="91"/>
      <c r="AD533" s="91"/>
      <c r="AE533" s="91"/>
      <c r="AF533" s="91"/>
      <c r="AG533" s="91"/>
      <c r="AH533" s="91"/>
      <c r="AI533" s="91"/>
      <c r="AJ533" s="91"/>
      <c r="AK533" s="91"/>
      <c r="AL533" s="91"/>
      <c r="AM533" s="91"/>
      <c r="AN533" s="91"/>
      <c r="AO533" s="91"/>
      <c r="AP533" s="91"/>
    </row>
    <row r="534" spans="1:42">
      <c r="A534" s="4" t="s">
        <v>1024</v>
      </c>
      <c r="E534" s="329"/>
      <c r="F534" s="329">
        <f>+F533*(1-0.3)</f>
        <v>94.992992696508921</v>
      </c>
      <c r="G534" s="329"/>
      <c r="H534" s="329"/>
      <c r="I534" s="329"/>
      <c r="J534" s="329"/>
      <c r="K534" s="329"/>
      <c r="L534" s="329"/>
      <c r="M534" s="329"/>
      <c r="O534" s="329"/>
      <c r="P534" s="329"/>
      <c r="Q534" s="329"/>
      <c r="R534" s="329"/>
      <c r="S534" s="329"/>
      <c r="T534" s="329"/>
      <c r="U534" s="329"/>
      <c r="V534" s="329"/>
      <c r="W534" s="329"/>
      <c r="AA534" s="91"/>
      <c r="AB534" s="91"/>
      <c r="AC534" s="91"/>
      <c r="AD534" s="91"/>
      <c r="AE534" s="91"/>
      <c r="AF534" s="91"/>
      <c r="AG534" s="91"/>
      <c r="AH534" s="91"/>
      <c r="AI534" s="91"/>
      <c r="AJ534" s="91"/>
      <c r="AK534" s="91"/>
      <c r="AL534" s="91"/>
      <c r="AM534" s="91"/>
      <c r="AN534" s="91"/>
      <c r="AO534" s="91"/>
      <c r="AP534" s="91"/>
    </row>
    <row r="535" spans="1:42">
      <c r="A535" s="4" t="s">
        <v>1025</v>
      </c>
      <c r="E535" s="329"/>
      <c r="F535" s="326">
        <f>+F534/Valuation!E34</f>
        <v>0.74460507698615652</v>
      </c>
      <c r="G535" s="326"/>
      <c r="H535" s="326"/>
      <c r="I535" s="326"/>
      <c r="J535" s="326"/>
      <c r="K535" s="326"/>
      <c r="L535" s="326"/>
      <c r="M535" s="326"/>
      <c r="O535" s="329"/>
      <c r="P535" s="329"/>
      <c r="Q535" s="329"/>
      <c r="R535" s="329"/>
      <c r="S535" s="329"/>
      <c r="T535" s="329"/>
      <c r="U535" s="329"/>
      <c r="V535" s="329"/>
      <c r="W535" s="329"/>
      <c r="AA535" s="91"/>
      <c r="AB535" s="91"/>
      <c r="AC535" s="91"/>
      <c r="AD535" s="91"/>
      <c r="AE535" s="91"/>
      <c r="AF535" s="91"/>
      <c r="AG535" s="91"/>
      <c r="AH535" s="91"/>
      <c r="AI535" s="91"/>
      <c r="AJ535" s="91"/>
      <c r="AK535" s="91"/>
      <c r="AL535" s="91"/>
      <c r="AM535" s="91"/>
      <c r="AN535" s="91"/>
      <c r="AO535" s="91"/>
      <c r="AP535" s="91"/>
    </row>
    <row r="536" spans="1:42">
      <c r="F536" s="329"/>
      <c r="G536" s="329"/>
      <c r="H536" s="329"/>
      <c r="I536" s="329"/>
      <c r="J536" s="329"/>
      <c r="K536" s="329"/>
      <c r="L536" s="329"/>
      <c r="M536" s="329"/>
      <c r="AA536" s="91"/>
      <c r="AB536" s="91"/>
      <c r="AC536" s="91"/>
      <c r="AD536" s="91"/>
      <c r="AE536" s="91"/>
      <c r="AF536" s="91"/>
      <c r="AG536" s="91"/>
      <c r="AH536" s="91"/>
      <c r="AI536" s="91"/>
      <c r="AJ536" s="91"/>
      <c r="AK536" s="91"/>
      <c r="AL536" s="91"/>
      <c r="AM536" s="91"/>
      <c r="AN536" s="91"/>
      <c r="AO536" s="91"/>
      <c r="AP536" s="91"/>
    </row>
    <row r="537" spans="1:42">
      <c r="A537" s="4" t="s">
        <v>1027</v>
      </c>
      <c r="F537" s="329"/>
      <c r="G537" s="329"/>
      <c r="H537" s="329"/>
      <c r="I537" s="329"/>
      <c r="J537" s="329"/>
      <c r="K537" s="329"/>
      <c r="L537" s="329"/>
      <c r="M537" s="329"/>
      <c r="AA537" s="91"/>
      <c r="AB537" s="91"/>
      <c r="AC537" s="91"/>
      <c r="AD537" s="91"/>
      <c r="AE537" s="91"/>
      <c r="AF537" s="91"/>
      <c r="AG537" s="91"/>
      <c r="AH537" s="91"/>
      <c r="AI537" s="91"/>
      <c r="AJ537" s="91"/>
      <c r="AK537" s="91"/>
      <c r="AL537" s="91"/>
      <c r="AM537" s="91"/>
      <c r="AN537" s="91"/>
      <c r="AO537" s="91"/>
      <c r="AP537" s="91"/>
    </row>
    <row r="538" spans="1:42">
      <c r="A538" s="4" t="s">
        <v>1028</v>
      </c>
      <c r="F538" s="326">
        <v>9.5</v>
      </c>
      <c r="G538" s="326"/>
      <c r="H538" s="326"/>
      <c r="I538" s="326"/>
      <c r="J538" s="326"/>
      <c r="K538" s="326"/>
      <c r="L538" s="326"/>
      <c r="M538" s="326"/>
      <c r="AA538" s="91"/>
      <c r="AB538" s="91"/>
      <c r="AC538" s="91"/>
      <c r="AD538" s="91"/>
      <c r="AE538" s="91"/>
      <c r="AF538" s="91"/>
      <c r="AG538" s="91"/>
      <c r="AH538" s="91"/>
      <c r="AI538" s="91"/>
      <c r="AJ538" s="91"/>
      <c r="AK538" s="91"/>
      <c r="AL538" s="91"/>
      <c r="AM538" s="91"/>
      <c r="AN538" s="91"/>
      <c r="AO538" s="91"/>
      <c r="AP538" s="91"/>
    </row>
    <row r="539" spans="1:42">
      <c r="A539" s="4" t="s">
        <v>1029</v>
      </c>
      <c r="F539" s="326">
        <v>9.5</v>
      </c>
      <c r="G539" s="326"/>
      <c r="H539" s="326"/>
      <c r="I539" s="326"/>
      <c r="J539" s="326"/>
      <c r="K539" s="326"/>
      <c r="L539" s="326"/>
      <c r="M539" s="326"/>
      <c r="AA539" s="91"/>
      <c r="AB539" s="91"/>
      <c r="AC539" s="91"/>
      <c r="AD539" s="91"/>
      <c r="AE539" s="91"/>
      <c r="AF539" s="91"/>
      <c r="AG539" s="91"/>
      <c r="AH539" s="91"/>
      <c r="AI539" s="91"/>
      <c r="AJ539" s="91"/>
      <c r="AK539" s="91"/>
      <c r="AL539" s="91"/>
      <c r="AM539" s="91"/>
      <c r="AN539" s="91"/>
      <c r="AO539" s="91"/>
      <c r="AP539" s="91"/>
    </row>
    <row r="540" spans="1:42">
      <c r="F540" s="326">
        <f>+F538-F539</f>
        <v>0</v>
      </c>
      <c r="G540" s="326"/>
      <c r="H540" s="326"/>
      <c r="I540" s="326"/>
      <c r="J540" s="326"/>
      <c r="K540" s="326"/>
      <c r="L540" s="326"/>
      <c r="M540" s="326"/>
      <c r="AA540" s="91"/>
      <c r="AB540" s="91"/>
      <c r="AC540" s="91"/>
      <c r="AD540" s="91"/>
      <c r="AE540" s="91"/>
      <c r="AF540" s="91"/>
      <c r="AG540" s="91"/>
      <c r="AH540" s="91"/>
      <c r="AI540" s="91"/>
      <c r="AJ540" s="91"/>
      <c r="AK540" s="91"/>
      <c r="AL540" s="91"/>
      <c r="AM540" s="91"/>
      <c r="AN540" s="91"/>
      <c r="AO540" s="91"/>
      <c r="AP540" s="91"/>
    </row>
    <row r="541" spans="1:42">
      <c r="A541" s="4" t="s">
        <v>1030</v>
      </c>
      <c r="F541" s="329">
        <f>+F540*F516</f>
        <v>0</v>
      </c>
      <c r="G541" s="329"/>
      <c r="H541" s="329"/>
      <c r="I541" s="329"/>
      <c r="J541" s="329"/>
      <c r="K541" s="329"/>
      <c r="L541" s="329"/>
      <c r="M541" s="329"/>
      <c r="AA541" s="91"/>
      <c r="AB541" s="91"/>
      <c r="AC541" s="91"/>
      <c r="AD541" s="91"/>
      <c r="AE541" s="91"/>
      <c r="AF541" s="91"/>
      <c r="AG541" s="91"/>
      <c r="AH541" s="91"/>
      <c r="AI541" s="91"/>
      <c r="AJ541" s="91"/>
      <c r="AK541" s="91"/>
      <c r="AL541" s="91"/>
      <c r="AM541" s="91"/>
      <c r="AN541" s="91"/>
      <c r="AO541" s="91"/>
      <c r="AP541" s="91"/>
    </row>
    <row r="542" spans="1:42">
      <c r="A542" s="4" t="s">
        <v>1025</v>
      </c>
      <c r="F542" s="326">
        <f ca="1">+F541/Valuation!E65</f>
        <v>0</v>
      </c>
      <c r="G542" s="326"/>
      <c r="H542" s="326"/>
      <c r="I542" s="326"/>
      <c r="J542" s="326"/>
      <c r="K542" s="326"/>
      <c r="L542" s="326"/>
      <c r="M542" s="326"/>
      <c r="AA542" s="91"/>
      <c r="AB542" s="91"/>
      <c r="AC542" s="91"/>
      <c r="AD542" s="91"/>
      <c r="AE542" s="91"/>
      <c r="AF542" s="91"/>
      <c r="AG542" s="91"/>
      <c r="AH542" s="91"/>
      <c r="AI542" s="91"/>
      <c r="AJ542" s="91"/>
      <c r="AK542" s="91"/>
      <c r="AL542" s="91"/>
      <c r="AM542" s="91"/>
      <c r="AN542" s="91"/>
      <c r="AO542" s="91"/>
      <c r="AP542" s="91"/>
    </row>
    <row r="543" spans="1:42">
      <c r="A543" s="4" t="s">
        <v>1031</v>
      </c>
      <c r="F543" s="326">
        <f ca="1">+F535-F542</f>
        <v>0.74460507698615652</v>
      </c>
      <c r="G543" s="326"/>
      <c r="H543" s="326"/>
      <c r="I543" s="326"/>
      <c r="J543" s="326"/>
      <c r="K543" s="326"/>
      <c r="L543" s="326"/>
      <c r="M543" s="326"/>
      <c r="AA543" s="91"/>
      <c r="AB543" s="91"/>
      <c r="AC543" s="91"/>
      <c r="AD543" s="91"/>
      <c r="AE543" s="91"/>
      <c r="AF543" s="91"/>
      <c r="AG543" s="91"/>
      <c r="AH543" s="91"/>
      <c r="AI543" s="91"/>
      <c r="AJ543" s="91"/>
      <c r="AK543" s="91"/>
      <c r="AL543" s="91"/>
      <c r="AM543" s="91"/>
      <c r="AN543" s="91"/>
      <c r="AO543" s="91"/>
      <c r="AP543" s="91"/>
    </row>
    <row r="544" spans="1:42">
      <c r="AA544" s="91"/>
      <c r="AB544" s="91"/>
      <c r="AC544" s="91"/>
      <c r="AD544" s="91"/>
      <c r="AE544" s="91"/>
      <c r="AF544" s="91"/>
      <c r="AG544" s="91"/>
      <c r="AH544" s="91"/>
      <c r="AI544" s="91"/>
      <c r="AJ544" s="91"/>
      <c r="AK544" s="91"/>
      <c r="AL544" s="91"/>
      <c r="AM544" s="91"/>
      <c r="AN544" s="91"/>
      <c r="AO544" s="91"/>
      <c r="AP544" s="91"/>
    </row>
    <row r="545" spans="27:42">
      <c r="AA545" s="91"/>
      <c r="AB545" s="91"/>
      <c r="AC545" s="91"/>
      <c r="AD545" s="91"/>
      <c r="AE545" s="91"/>
      <c r="AF545" s="91"/>
      <c r="AG545" s="91"/>
      <c r="AH545" s="91"/>
      <c r="AI545" s="91"/>
      <c r="AJ545" s="91"/>
      <c r="AK545" s="91"/>
      <c r="AL545" s="91"/>
      <c r="AM545" s="91"/>
      <c r="AN545" s="91"/>
      <c r="AO545" s="91"/>
      <c r="AP545" s="91"/>
    </row>
    <row r="546" spans="27:42">
      <c r="AA546" s="91"/>
      <c r="AB546" s="91"/>
      <c r="AC546" s="91"/>
      <c r="AD546" s="91"/>
      <c r="AE546" s="91"/>
      <c r="AF546" s="91"/>
      <c r="AG546" s="91"/>
      <c r="AH546" s="91"/>
      <c r="AI546" s="91"/>
      <c r="AJ546" s="91"/>
      <c r="AK546" s="91"/>
      <c r="AL546" s="91"/>
      <c r="AM546" s="91"/>
      <c r="AN546" s="91"/>
      <c r="AO546" s="91"/>
      <c r="AP546" s="91"/>
    </row>
    <row r="547" spans="27:42">
      <c r="AA547" s="91"/>
      <c r="AB547" s="91"/>
      <c r="AC547" s="91"/>
      <c r="AD547" s="91"/>
      <c r="AE547" s="91"/>
      <c r="AF547" s="91"/>
      <c r="AG547" s="91"/>
      <c r="AH547" s="91"/>
      <c r="AI547" s="91"/>
      <c r="AJ547" s="91"/>
      <c r="AK547" s="91"/>
      <c r="AL547" s="91"/>
      <c r="AM547" s="91"/>
      <c r="AN547" s="91"/>
      <c r="AO547" s="91"/>
      <c r="AP547" s="91"/>
    </row>
    <row r="548" spans="27:42">
      <c r="AA548" s="91"/>
      <c r="AB548" s="91"/>
      <c r="AC548" s="91"/>
      <c r="AD548" s="91"/>
      <c r="AE548" s="91"/>
      <c r="AF548" s="91"/>
      <c r="AG548" s="91"/>
      <c r="AH548" s="91"/>
      <c r="AI548" s="91"/>
      <c r="AJ548" s="91"/>
      <c r="AK548" s="91"/>
      <c r="AL548" s="91"/>
      <c r="AM548" s="91"/>
      <c r="AN548" s="91"/>
      <c r="AO548" s="91"/>
      <c r="AP548" s="91"/>
    </row>
    <row r="549" spans="27:42">
      <c r="AA549" s="91"/>
      <c r="AB549" s="91"/>
      <c r="AC549" s="91"/>
      <c r="AD549" s="91"/>
      <c r="AE549" s="91"/>
      <c r="AF549" s="91"/>
      <c r="AG549" s="91"/>
      <c r="AH549" s="91"/>
      <c r="AI549" s="91"/>
      <c r="AJ549" s="91"/>
      <c r="AK549" s="91"/>
      <c r="AL549" s="91"/>
      <c r="AM549" s="91"/>
      <c r="AN549" s="91"/>
      <c r="AO549" s="91"/>
      <c r="AP549" s="91"/>
    </row>
    <row r="550" spans="27:42">
      <c r="AA550" s="91"/>
      <c r="AB550" s="91"/>
      <c r="AC550" s="91"/>
      <c r="AD550" s="91"/>
      <c r="AE550" s="91"/>
      <c r="AF550" s="91"/>
      <c r="AG550" s="91"/>
      <c r="AH550" s="91"/>
      <c r="AI550" s="91"/>
      <c r="AJ550" s="91"/>
      <c r="AK550" s="91"/>
      <c r="AL550" s="91"/>
      <c r="AM550" s="91"/>
      <c r="AN550" s="91"/>
      <c r="AO550" s="91"/>
      <c r="AP550" s="91"/>
    </row>
    <row r="551" spans="27:42">
      <c r="AA551" s="91"/>
      <c r="AB551" s="91"/>
      <c r="AC551" s="91"/>
      <c r="AD551" s="91"/>
      <c r="AE551" s="91"/>
      <c r="AF551" s="91"/>
      <c r="AG551" s="91"/>
      <c r="AH551" s="91"/>
      <c r="AI551" s="91"/>
      <c r="AJ551" s="91"/>
      <c r="AK551" s="91"/>
      <c r="AL551" s="91"/>
      <c r="AM551" s="91"/>
      <c r="AN551" s="91"/>
      <c r="AO551" s="91"/>
      <c r="AP551" s="91"/>
    </row>
    <row r="552" spans="27:42">
      <c r="AA552" s="91"/>
      <c r="AB552" s="91"/>
      <c r="AC552" s="91"/>
      <c r="AD552" s="91"/>
      <c r="AE552" s="91"/>
      <c r="AF552" s="91"/>
      <c r="AG552" s="91"/>
      <c r="AH552" s="91"/>
      <c r="AI552" s="91"/>
      <c r="AJ552" s="91"/>
      <c r="AK552" s="91"/>
      <c r="AL552" s="91"/>
      <c r="AM552" s="91"/>
      <c r="AN552" s="91"/>
      <c r="AO552" s="91"/>
      <c r="AP552" s="91"/>
    </row>
    <row r="553" spans="27:42">
      <c r="AA553" s="91"/>
      <c r="AB553" s="91"/>
      <c r="AC553" s="91"/>
      <c r="AD553" s="91"/>
      <c r="AE553" s="91"/>
      <c r="AF553" s="91"/>
      <c r="AG553" s="91"/>
      <c r="AH553" s="91"/>
      <c r="AI553" s="91"/>
      <c r="AJ553" s="91"/>
      <c r="AK553" s="91"/>
      <c r="AL553" s="91"/>
      <c r="AM553" s="91"/>
      <c r="AN553" s="91"/>
      <c r="AO553" s="91"/>
      <c r="AP553" s="91"/>
    </row>
    <row r="554" spans="27:42">
      <c r="AA554" s="91"/>
      <c r="AB554" s="91"/>
      <c r="AC554" s="91"/>
      <c r="AD554" s="91"/>
      <c r="AE554" s="91"/>
      <c r="AF554" s="91"/>
      <c r="AG554" s="91"/>
      <c r="AH554" s="91"/>
      <c r="AI554" s="91"/>
      <c r="AJ554" s="91"/>
      <c r="AK554" s="91"/>
      <c r="AL554" s="91"/>
      <c r="AM554" s="91"/>
      <c r="AN554" s="91"/>
      <c r="AO554" s="91"/>
      <c r="AP554" s="91"/>
    </row>
    <row r="555" spans="27:42">
      <c r="AA555" s="91"/>
      <c r="AB555" s="91"/>
      <c r="AC555" s="91"/>
      <c r="AD555" s="91"/>
      <c r="AE555" s="91"/>
      <c r="AF555" s="91"/>
      <c r="AG555" s="91"/>
      <c r="AH555" s="91"/>
      <c r="AI555" s="91"/>
      <c r="AJ555" s="91"/>
      <c r="AK555" s="91"/>
      <c r="AL555" s="91"/>
      <c r="AM555" s="91"/>
      <c r="AN555" s="91"/>
      <c r="AO555" s="91"/>
      <c r="AP555" s="91"/>
    </row>
    <row r="556" spans="27:42">
      <c r="AA556" s="91"/>
      <c r="AB556" s="91"/>
      <c r="AC556" s="91"/>
      <c r="AD556" s="91"/>
      <c r="AE556" s="91"/>
      <c r="AF556" s="91"/>
      <c r="AG556" s="91"/>
      <c r="AH556" s="91"/>
      <c r="AI556" s="91"/>
      <c r="AJ556" s="91"/>
      <c r="AK556" s="91"/>
      <c r="AL556" s="91"/>
      <c r="AM556" s="91"/>
      <c r="AN556" s="91"/>
      <c r="AO556" s="91"/>
      <c r="AP556" s="91"/>
    </row>
    <row r="557" spans="27:42">
      <c r="AA557" s="91"/>
      <c r="AB557" s="91"/>
      <c r="AC557" s="91"/>
      <c r="AD557" s="91"/>
      <c r="AE557" s="91"/>
      <c r="AF557" s="91"/>
      <c r="AG557" s="91"/>
      <c r="AH557" s="91"/>
      <c r="AI557" s="91"/>
      <c r="AJ557" s="91"/>
      <c r="AK557" s="91"/>
      <c r="AL557" s="91"/>
      <c r="AM557" s="91"/>
      <c r="AN557" s="91"/>
      <c r="AO557" s="91"/>
      <c r="AP557" s="91"/>
    </row>
    <row r="558" spans="27:42">
      <c r="AA558" s="91"/>
      <c r="AB558" s="91"/>
      <c r="AC558" s="91"/>
      <c r="AD558" s="91"/>
      <c r="AE558" s="91"/>
      <c r="AF558" s="91"/>
      <c r="AG558" s="91"/>
      <c r="AH558" s="91"/>
      <c r="AI558" s="91"/>
      <c r="AJ558" s="91"/>
      <c r="AK558" s="91"/>
      <c r="AL558" s="91"/>
      <c r="AM558" s="91"/>
      <c r="AN558" s="91"/>
      <c r="AO558" s="91"/>
      <c r="AP558" s="91"/>
    </row>
    <row r="559" spans="27:42">
      <c r="AA559" s="91"/>
      <c r="AB559" s="91"/>
      <c r="AC559" s="91"/>
      <c r="AD559" s="91"/>
      <c r="AE559" s="91"/>
      <c r="AF559" s="91"/>
      <c r="AG559" s="91"/>
      <c r="AH559" s="91"/>
      <c r="AI559" s="91"/>
      <c r="AJ559" s="91"/>
      <c r="AK559" s="91"/>
      <c r="AL559" s="91"/>
      <c r="AM559" s="91"/>
      <c r="AN559" s="91"/>
      <c r="AO559" s="91"/>
      <c r="AP559" s="91"/>
    </row>
    <row r="560" spans="27:42">
      <c r="AA560" s="91"/>
      <c r="AB560" s="91"/>
      <c r="AC560" s="91"/>
      <c r="AD560" s="91"/>
      <c r="AE560" s="91"/>
      <c r="AF560" s="91"/>
      <c r="AG560" s="91"/>
      <c r="AH560" s="91"/>
      <c r="AI560" s="91"/>
      <c r="AJ560" s="91"/>
      <c r="AK560" s="91"/>
      <c r="AL560" s="91"/>
      <c r="AM560" s="91"/>
      <c r="AN560" s="91"/>
      <c r="AO560" s="91"/>
      <c r="AP560" s="91"/>
    </row>
    <row r="561" spans="1:42">
      <c r="AA561" s="91"/>
      <c r="AB561" s="91"/>
      <c r="AC561" s="91"/>
      <c r="AD561" s="91"/>
      <c r="AE561" s="91"/>
      <c r="AF561" s="91"/>
      <c r="AG561" s="91"/>
      <c r="AH561" s="91"/>
      <c r="AI561" s="91"/>
      <c r="AJ561" s="91"/>
      <c r="AK561" s="91"/>
      <c r="AL561" s="91"/>
      <c r="AM561" s="91"/>
      <c r="AN561" s="91"/>
      <c r="AO561" s="91"/>
      <c r="AP561" s="91"/>
    </row>
    <row r="562" spans="1:42">
      <c r="A562" s="4" t="s">
        <v>1094</v>
      </c>
      <c r="AA562" s="91"/>
      <c r="AB562" s="91"/>
      <c r="AC562" s="91"/>
      <c r="AD562" s="91"/>
      <c r="AE562" s="91"/>
      <c r="AF562" s="91"/>
      <c r="AG562" s="91"/>
      <c r="AH562" s="91"/>
      <c r="AI562" s="91"/>
      <c r="AJ562" s="91"/>
      <c r="AK562" s="91"/>
      <c r="AL562" s="91"/>
      <c r="AM562" s="91"/>
      <c r="AN562" s="91"/>
      <c r="AO562" s="91"/>
      <c r="AP562" s="91"/>
    </row>
    <row r="563" spans="1:42">
      <c r="A563" s="4" t="s">
        <v>1095</v>
      </c>
      <c r="O563" s="326">
        <f>+O15</f>
        <v>4.5221338796214772</v>
      </c>
      <c r="P563" s="326">
        <f>+P15</f>
        <v>3.866136597330661</v>
      </c>
      <c r="Q563" s="326">
        <f>+Q15</f>
        <v>3.5035390898693666</v>
      </c>
      <c r="R563" s="326">
        <f>+R15</f>
        <v>3.1878420254892714</v>
      </c>
      <c r="S563" s="326">
        <f>+S15</f>
        <v>2.9229201975046029</v>
      </c>
      <c r="AA563" s="91"/>
      <c r="AB563" s="91"/>
      <c r="AC563" s="91"/>
      <c r="AD563" s="91"/>
      <c r="AE563" s="91"/>
      <c r="AF563" s="91"/>
      <c r="AG563" s="91"/>
      <c r="AH563" s="91"/>
      <c r="AI563" s="91"/>
      <c r="AJ563" s="91"/>
      <c r="AK563" s="91"/>
      <c r="AL563" s="91"/>
      <c r="AM563" s="91"/>
      <c r="AN563" s="91"/>
      <c r="AO563" s="91"/>
      <c r="AP563" s="91"/>
    </row>
    <row r="564" spans="1:42">
      <c r="A564" s="4" t="s">
        <v>1096</v>
      </c>
      <c r="O564" s="326">
        <v>4</v>
      </c>
      <c r="P564" s="326">
        <v>4</v>
      </c>
      <c r="Q564" s="326">
        <v>4</v>
      </c>
      <c r="R564" s="326">
        <v>4</v>
      </c>
      <c r="S564" s="326">
        <v>4</v>
      </c>
      <c r="AA564" s="91"/>
      <c r="AB564" s="91"/>
      <c r="AC564" s="91"/>
      <c r="AD564" s="91"/>
      <c r="AE564" s="91"/>
      <c r="AF564" s="91"/>
      <c r="AG564" s="91"/>
      <c r="AH564" s="91"/>
      <c r="AI564" s="91"/>
      <c r="AJ564" s="91"/>
      <c r="AK564" s="91"/>
      <c r="AL564" s="91"/>
      <c r="AM564" s="91"/>
      <c r="AN564" s="91"/>
      <c r="AO564" s="91"/>
      <c r="AP564" s="91"/>
    </row>
    <row r="565" spans="1:42">
      <c r="A565" s="4" t="s">
        <v>1097</v>
      </c>
      <c r="O565" s="326">
        <f>+O564-O563</f>
        <v>-0.52213387962147717</v>
      </c>
      <c r="P565" s="326">
        <f>+P564-P563</f>
        <v>0.13386340266933905</v>
      </c>
      <c r="Q565" s="326">
        <f>+Q564-Q563</f>
        <v>0.49646091013063343</v>
      </c>
      <c r="R565" s="326">
        <f>+R564-R563</f>
        <v>0.81215797451072858</v>
      </c>
      <c r="S565" s="326">
        <f>+S564-S563</f>
        <v>1.0770798024953971</v>
      </c>
      <c r="AA565" s="91"/>
      <c r="AB565" s="91"/>
      <c r="AC565" s="91"/>
      <c r="AD565" s="91"/>
      <c r="AE565" s="91"/>
      <c r="AF565" s="91"/>
      <c r="AG565" s="91"/>
      <c r="AH565" s="91"/>
      <c r="AI565" s="91"/>
      <c r="AJ565" s="91"/>
      <c r="AK565" s="91"/>
      <c r="AL565" s="91"/>
      <c r="AM565" s="91"/>
      <c r="AN565" s="91"/>
      <c r="AO565" s="91"/>
      <c r="AP565" s="91"/>
    </row>
    <row r="566" spans="1:42">
      <c r="A566" s="4" t="s">
        <v>1098</v>
      </c>
      <c r="O566" s="326">
        <f>+O565*O6</f>
        <v>-142.17284230618395</v>
      </c>
      <c r="P566" s="326">
        <f>+P565*P6</f>
        <v>40.695044370172795</v>
      </c>
      <c r="Q566" s="326">
        <f>+Q565*Q6</f>
        <v>160.68831296631762</v>
      </c>
      <c r="R566" s="326">
        <f>+R565*R6</f>
        <v>278.5109067028236</v>
      </c>
      <c r="S566" s="326">
        <f>+S565*S6</f>
        <v>390.09299586741349</v>
      </c>
      <c r="AA566" s="91"/>
      <c r="AB566" s="91"/>
      <c r="AC566" s="91"/>
      <c r="AD566" s="91"/>
      <c r="AE566" s="91"/>
      <c r="AF566" s="91"/>
      <c r="AG566" s="91"/>
      <c r="AH566" s="91"/>
      <c r="AI566" s="91"/>
      <c r="AJ566" s="91"/>
      <c r="AK566" s="91"/>
      <c r="AL566" s="91"/>
      <c r="AM566" s="91"/>
      <c r="AN566" s="91"/>
      <c r="AO566" s="91"/>
      <c r="AP566" s="91"/>
    </row>
    <row r="567" spans="1:42">
      <c r="A567" s="4" t="s">
        <v>1025</v>
      </c>
      <c r="O567" s="381">
        <f>+O566/O346</f>
        <v>-2.5074575362642673</v>
      </c>
      <c r="P567" s="381">
        <f>+P566/P346</f>
        <v>0.71772565026759771</v>
      </c>
      <c r="Q567" s="381">
        <f>+Q566/Q346</f>
        <v>2.8340090470250021</v>
      </c>
      <c r="R567" s="381">
        <f>+R566/R346</f>
        <v>4.9120089365577355</v>
      </c>
      <c r="S567" s="381">
        <f>+S566/S346</f>
        <v>6.8799470170619657</v>
      </c>
      <c r="AA567" s="91"/>
      <c r="AB567" s="91"/>
      <c r="AC567" s="91"/>
      <c r="AD567" s="91"/>
      <c r="AE567" s="91"/>
      <c r="AF567" s="91"/>
      <c r="AG567" s="91"/>
      <c r="AH567" s="91"/>
      <c r="AI567" s="91"/>
      <c r="AJ567" s="91"/>
      <c r="AK567" s="91"/>
      <c r="AL567" s="91"/>
      <c r="AM567" s="91"/>
      <c r="AN567" s="91"/>
      <c r="AO567" s="91"/>
      <c r="AP567" s="91"/>
    </row>
    <row r="568" spans="1:42">
      <c r="AA568" s="91"/>
      <c r="AB568" s="91"/>
      <c r="AC568" s="91"/>
      <c r="AD568" s="91"/>
      <c r="AE568" s="91"/>
      <c r="AF568" s="91"/>
      <c r="AG568" s="91"/>
      <c r="AH568" s="91"/>
      <c r="AI568" s="91"/>
      <c r="AJ568" s="91"/>
      <c r="AK568" s="91"/>
      <c r="AL568" s="91"/>
      <c r="AM568" s="91"/>
      <c r="AN568" s="91"/>
      <c r="AO568" s="91"/>
      <c r="AP568" s="91"/>
    </row>
    <row r="569" spans="1:42">
      <c r="A569" s="4" t="s">
        <v>309</v>
      </c>
      <c r="O569" s="404">
        <f>+O350</f>
        <v>0</v>
      </c>
      <c r="P569" s="404">
        <f>+P350</f>
        <v>0.34391104491481328</v>
      </c>
      <c r="Q569" s="404">
        <f>+Q350</f>
        <v>0.81144166345768687</v>
      </c>
      <c r="R569" s="404">
        <f>+R350</f>
        <v>1.0859327960217282</v>
      </c>
      <c r="S569" s="404">
        <f>+S350</f>
        <v>1.2854793717041983</v>
      </c>
      <c r="AA569" s="91"/>
      <c r="AB569" s="91"/>
      <c r="AC569" s="91"/>
      <c r="AD569" s="91"/>
      <c r="AE569" s="91"/>
      <c r="AF569" s="91"/>
      <c r="AG569" s="91"/>
      <c r="AH569" s="91"/>
      <c r="AI569" s="91"/>
      <c r="AJ569" s="91"/>
      <c r="AK569" s="91"/>
      <c r="AL569" s="91"/>
      <c r="AM569" s="91"/>
      <c r="AN569" s="91"/>
      <c r="AO569" s="91"/>
      <c r="AP569" s="91"/>
    </row>
    <row r="570" spans="1:42">
      <c r="A570" s="4" t="s">
        <v>1099</v>
      </c>
      <c r="O570" s="404">
        <f>+O569+N569</f>
        <v>0</v>
      </c>
      <c r="P570" s="404">
        <f>+P569+O570</f>
        <v>0.34391104491481328</v>
      </c>
      <c r="Q570" s="404">
        <f>+Q569+P570</f>
        <v>1.1553527083725001</v>
      </c>
      <c r="R570" s="404">
        <f>+R569+Q570</f>
        <v>2.2412855043942281</v>
      </c>
      <c r="S570" s="404">
        <f>+S569+R570</f>
        <v>3.5267648760984267</v>
      </c>
      <c r="AA570" s="91"/>
      <c r="AB570" s="91"/>
      <c r="AC570" s="91"/>
      <c r="AD570" s="91"/>
      <c r="AE570" s="91"/>
      <c r="AF570" s="91"/>
      <c r="AG570" s="91"/>
      <c r="AH570" s="91"/>
      <c r="AI570" s="91"/>
      <c r="AJ570" s="91"/>
      <c r="AK570" s="91"/>
      <c r="AL570" s="91"/>
      <c r="AM570" s="91"/>
      <c r="AN570" s="91"/>
      <c r="AO570" s="91"/>
      <c r="AP570" s="91"/>
    </row>
    <row r="571" spans="1:42">
      <c r="A571" s="4" t="s">
        <v>279</v>
      </c>
      <c r="R571" s="404">
        <f>+R570+R567</f>
        <v>7.1532944409519637</v>
      </c>
      <c r="AA571" s="91"/>
      <c r="AB571" s="91"/>
      <c r="AC571" s="91"/>
      <c r="AD571" s="91"/>
      <c r="AE571" s="91"/>
      <c r="AF571" s="91"/>
      <c r="AG571" s="91"/>
      <c r="AH571" s="91"/>
      <c r="AI571" s="91"/>
      <c r="AJ571" s="91"/>
      <c r="AK571" s="91"/>
      <c r="AL571" s="91"/>
      <c r="AM571" s="91"/>
      <c r="AN571" s="91"/>
      <c r="AO571" s="91"/>
      <c r="AP571" s="91"/>
    </row>
    <row r="572" spans="1:42">
      <c r="A572" s="4" t="s">
        <v>1100</v>
      </c>
      <c r="N572" s="75">
        <f>+Valuation!C4</f>
        <v>3.7</v>
      </c>
      <c r="R572" s="349">
        <f>+R571/N572</f>
        <v>1.9333228218789089</v>
      </c>
      <c r="AA572" s="91"/>
      <c r="AB572" s="91"/>
      <c r="AC572" s="91"/>
      <c r="AD572" s="91"/>
      <c r="AE572" s="91"/>
      <c r="AF572" s="91"/>
      <c r="AG572" s="91"/>
      <c r="AH572" s="91"/>
      <c r="AI572" s="91"/>
      <c r="AJ572" s="91"/>
      <c r="AK572" s="91"/>
      <c r="AL572" s="91"/>
      <c r="AM572" s="91"/>
      <c r="AN572" s="91"/>
      <c r="AO572" s="91"/>
      <c r="AP572" s="91"/>
    </row>
  </sheetData>
  <pageMargins left="0.7" right="0.7" top="0.75" bottom="0.75" header="0.3" footer="0.3"/>
  <pageSetup paperSize="9" scale="34" fitToWidth="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pageSetUpPr fitToPage="1"/>
  </sheetPr>
  <dimension ref="A1:CL831"/>
  <sheetViews>
    <sheetView workbookViewId="0"/>
  </sheetViews>
  <sheetFormatPr defaultColWidth="9.1328125" defaultRowHeight="13.9" outlineLevelCol="1"/>
  <cols>
    <col min="1" max="1" width="39.6640625" style="4" customWidth="1"/>
    <col min="2" max="5" width="10.6640625" style="4" customWidth="1" outlineLevel="1"/>
    <col min="6" max="25" width="10.6640625" style="4" customWidth="1"/>
    <col min="26" max="27" width="10.6640625" style="91" customWidth="1"/>
    <col min="28" max="28" width="11.33203125" style="91" customWidth="1"/>
    <col min="29" max="41" width="9.1328125" style="91"/>
    <col min="42" max="42" width="29.33203125" style="4" customWidth="1"/>
    <col min="43" max="43" width="11" style="4" customWidth="1"/>
    <col min="44" max="44" width="14.6640625" style="4" customWidth="1"/>
    <col min="45" max="45" width="21.46484375" style="4" customWidth="1"/>
    <col min="46" max="70" width="9.1328125" style="4"/>
    <col min="71" max="71" width="16" style="4" customWidth="1"/>
    <col min="72" max="79" width="9.1328125" style="4"/>
    <col min="80" max="80" width="11.53125" style="4" customWidth="1"/>
    <col min="81" max="85" width="9.1328125" style="4"/>
    <col min="86" max="86" width="14.86328125" style="4" customWidth="1"/>
    <col min="87" max="16384" width="9.1328125" style="4"/>
  </cols>
  <sheetData>
    <row r="1" spans="1:90" ht="15.4">
      <c r="A1" s="58" t="s">
        <v>258</v>
      </c>
      <c r="C1" s="40" t="s">
        <v>673</v>
      </c>
      <c r="D1" s="40"/>
      <c r="E1" s="40" t="str">
        <f>IF(SUM(+X56+X199+X285+X287+X288+X289+X315+X317+X327)=0,"YES","NO")</f>
        <v>YES</v>
      </c>
      <c r="F1" s="40">
        <f>+(F9+N9)/(F4+N4)</f>
        <v>0.36785069009465876</v>
      </c>
      <c r="G1" s="40"/>
      <c r="H1" s="40"/>
      <c r="I1" s="40"/>
      <c r="J1" s="40"/>
      <c r="K1" s="40"/>
      <c r="L1" s="40"/>
      <c r="M1" s="40"/>
      <c r="N1" s="40"/>
      <c r="O1" s="40"/>
      <c r="P1" s="40"/>
      <c r="Q1" s="40"/>
      <c r="R1" s="40"/>
      <c r="S1" s="40"/>
      <c r="T1" s="40"/>
      <c r="U1" s="40"/>
      <c r="AG1" s="200" t="str">
        <f>+C1</f>
        <v>Are sensitivities off?</v>
      </c>
      <c r="AI1" s="200" t="str">
        <f>+E1</f>
        <v>YES</v>
      </c>
    </row>
    <row r="2" spans="1:90" ht="15.4">
      <c r="A2" s="278">
        <f>+Valuation!L5</f>
        <v>0</v>
      </c>
      <c r="AG2" s="91" t="s">
        <v>676</v>
      </c>
      <c r="AI2" s="199">
        <f ca="1">+Valuation!E77</f>
        <v>359.52745720434871</v>
      </c>
      <c r="AJ2" s="199">
        <f ca="1">+Valuation!E68</f>
        <v>-1086.2509430074117</v>
      </c>
      <c r="AK2" s="103">
        <f>+A2</f>
        <v>0</v>
      </c>
      <c r="BJ2" s="4" t="s">
        <v>979</v>
      </c>
      <c r="BM2" s="4" t="s">
        <v>873</v>
      </c>
      <c r="BN2" s="32">
        <v>11.86416893055366</v>
      </c>
      <c r="BS2" s="4" t="s">
        <v>978</v>
      </c>
      <c r="BV2" s="4" t="s">
        <v>873</v>
      </c>
      <c r="BW2" s="32">
        <f>+A2</f>
        <v>0</v>
      </c>
    </row>
    <row r="3" spans="1:90">
      <c r="A3" s="18" t="s">
        <v>609</v>
      </c>
      <c r="B3" s="43" t="s">
        <v>197</v>
      </c>
      <c r="C3" s="43" t="s">
        <v>198</v>
      </c>
      <c r="D3" s="43" t="s">
        <v>199</v>
      </c>
      <c r="E3" s="43" t="s">
        <v>855</v>
      </c>
      <c r="F3" s="43" t="s">
        <v>201</v>
      </c>
      <c r="G3" s="209" t="s">
        <v>1051</v>
      </c>
      <c r="H3" s="209" t="s">
        <v>1052</v>
      </c>
      <c r="I3" s="209" t="s">
        <v>1053</v>
      </c>
      <c r="J3" s="209" t="s">
        <v>1054</v>
      </c>
      <c r="K3" s="209" t="s">
        <v>1049</v>
      </c>
      <c r="L3" s="209" t="s">
        <v>1050</v>
      </c>
      <c r="M3" s="209"/>
      <c r="N3" s="43" t="s">
        <v>202</v>
      </c>
      <c r="O3" s="43" t="s">
        <v>203</v>
      </c>
      <c r="P3" s="43" t="s">
        <v>204</v>
      </c>
      <c r="Q3" s="43" t="s">
        <v>205</v>
      </c>
      <c r="R3" s="43" t="s">
        <v>206</v>
      </c>
      <c r="S3" s="43" t="s">
        <v>207</v>
      </c>
      <c r="T3" s="43" t="s">
        <v>208</v>
      </c>
      <c r="U3" s="43" t="s">
        <v>209</v>
      </c>
      <c r="V3" s="43" t="s">
        <v>210</v>
      </c>
      <c r="BJ3" s="208" t="s">
        <v>609</v>
      </c>
      <c r="BK3" s="209" t="s">
        <v>197</v>
      </c>
      <c r="BL3" s="209" t="s">
        <v>198</v>
      </c>
      <c r="BM3" s="209" t="s">
        <v>199</v>
      </c>
      <c r="BN3" s="209" t="s">
        <v>200</v>
      </c>
      <c r="BO3" s="209" t="s">
        <v>201</v>
      </c>
      <c r="BP3" s="209" t="s">
        <v>202</v>
      </c>
      <c r="BQ3" s="209" t="s">
        <v>203</v>
      </c>
      <c r="BS3" s="208" t="str">
        <f t="shared" ref="BS3:BX15" si="0">+A3</f>
        <v>Summary €m</v>
      </c>
      <c r="BT3" s="209" t="str">
        <f t="shared" si="0"/>
        <v>2011A</v>
      </c>
      <c r="BU3" s="209" t="str">
        <f t="shared" si="0"/>
        <v>2012A</v>
      </c>
      <c r="BV3" s="209" t="str">
        <f t="shared" si="0"/>
        <v>2013A</v>
      </c>
      <c r="BW3" s="209" t="str">
        <f t="shared" si="0"/>
        <v>2014A</v>
      </c>
      <c r="BX3" s="209" t="str">
        <f t="shared" si="0"/>
        <v>2015E</v>
      </c>
      <c r="BY3" s="209" t="str">
        <f t="shared" ref="BY3:BZ15" si="1">+N3</f>
        <v>2016E</v>
      </c>
      <c r="BZ3" s="209" t="str">
        <f t="shared" si="1"/>
        <v>2017E</v>
      </c>
      <c r="CC3" s="209" t="str">
        <f t="shared" ref="CC3:CF4" si="2">+BW3</f>
        <v>2014A</v>
      </c>
      <c r="CD3" s="209" t="str">
        <f t="shared" si="2"/>
        <v>2015E</v>
      </c>
      <c r="CE3" s="209" t="str">
        <f t="shared" si="2"/>
        <v>2016E</v>
      </c>
      <c r="CF3" s="209" t="str">
        <f t="shared" si="2"/>
        <v>2017E</v>
      </c>
      <c r="CI3" s="209" t="str">
        <f>+CC3</f>
        <v>2014A</v>
      </c>
      <c r="CJ3" s="209" t="str">
        <f>+CD3</f>
        <v>2015E</v>
      </c>
      <c r="CK3" s="209" t="str">
        <f>+CE3</f>
        <v>2016E</v>
      </c>
      <c r="CL3" s="209" t="str">
        <f>+CF3</f>
        <v>2017E</v>
      </c>
    </row>
    <row r="4" spans="1:90" s="81" customFormat="1">
      <c r="A4" s="81" t="s">
        <v>143</v>
      </c>
      <c r="B4" s="161">
        <f t="shared" ref="B4:V4" si="3">+B39</f>
        <v>204.7</v>
      </c>
      <c r="C4" s="161">
        <f t="shared" si="3"/>
        <v>205.3</v>
      </c>
      <c r="D4" s="161">
        <f t="shared" si="3"/>
        <v>206.2</v>
      </c>
      <c r="E4" s="161">
        <f t="shared" si="3"/>
        <v>213</v>
      </c>
      <c r="F4" s="161">
        <f t="shared" si="3"/>
        <v>222.1912219231572</v>
      </c>
      <c r="G4" s="161">
        <f>330.5-E4</f>
        <v>117.5</v>
      </c>
      <c r="H4" s="161">
        <v>120</v>
      </c>
      <c r="I4" s="161">
        <v>105.6</v>
      </c>
      <c r="J4" s="161">
        <v>110</v>
      </c>
      <c r="K4" s="161">
        <v>-1.8</v>
      </c>
      <c r="L4" s="161">
        <f>+K4+J4+H4+F4</f>
        <v>450.39122192315722</v>
      </c>
      <c r="M4" s="161"/>
      <c r="N4" s="161">
        <f t="shared" si="3"/>
        <v>490.29428641301212</v>
      </c>
      <c r="O4" s="161">
        <f t="shared" si="3"/>
        <v>515.04033710807232</v>
      </c>
      <c r="P4" s="161">
        <f t="shared" si="3"/>
        <v>548.11771319606055</v>
      </c>
      <c r="Q4" s="161">
        <f t="shared" si="3"/>
        <v>580.8228988534139</v>
      </c>
      <c r="R4" s="161">
        <f t="shared" si="3"/>
        <v>612.92839378437907</v>
      </c>
      <c r="S4" s="161">
        <f t="shared" si="3"/>
        <v>645.31526061053376</v>
      </c>
      <c r="T4" s="161">
        <f t="shared" si="3"/>
        <v>678.00861017045077</v>
      </c>
      <c r="U4" s="161">
        <f t="shared" si="3"/>
        <v>711.03302475675355</v>
      </c>
      <c r="V4" s="161">
        <f t="shared" si="3"/>
        <v>744.41267922557336</v>
      </c>
      <c r="AG4" s="91" t="s">
        <v>674</v>
      </c>
      <c r="AH4" s="91"/>
      <c r="AI4" s="91" t="s">
        <v>317</v>
      </c>
      <c r="AJ4" s="91" t="s">
        <v>315</v>
      </c>
      <c r="AK4" s="282" t="s">
        <v>873</v>
      </c>
      <c r="AL4" s="91"/>
      <c r="AM4" s="91"/>
      <c r="AN4" s="91"/>
      <c r="AO4" s="91"/>
      <c r="AP4" s="4"/>
      <c r="AQ4" s="4"/>
      <c r="AR4" s="4"/>
      <c r="AS4" s="4"/>
      <c r="AT4" s="4"/>
      <c r="AU4" s="4"/>
      <c r="AV4" s="4"/>
      <c r="AW4" s="4"/>
      <c r="AX4" s="4"/>
      <c r="AY4" s="4"/>
      <c r="AZ4" s="4"/>
      <c r="BA4" s="4"/>
      <c r="BB4" s="4"/>
      <c r="BC4" s="4"/>
      <c r="BD4" s="4"/>
      <c r="BE4" s="4"/>
      <c r="BF4" s="4"/>
      <c r="BG4" s="4"/>
      <c r="BH4" s="4"/>
      <c r="BI4" s="4"/>
      <c r="BJ4" s="210" t="s">
        <v>143</v>
      </c>
      <c r="BK4" s="211">
        <v>204.7</v>
      </c>
      <c r="BL4" s="211">
        <v>205.3</v>
      </c>
      <c r="BM4" s="211">
        <v>206.2</v>
      </c>
      <c r="BN4" s="211">
        <v>213</v>
      </c>
      <c r="BO4" s="211">
        <v>222.1912219231572</v>
      </c>
      <c r="BP4" s="211">
        <v>240.29639890324177</v>
      </c>
      <c r="BQ4" s="211">
        <v>261.89471846666208</v>
      </c>
      <c r="BS4" s="210" t="str">
        <f t="shared" si="0"/>
        <v>Revenues</v>
      </c>
      <c r="BT4" s="211">
        <f t="shared" si="0"/>
        <v>204.7</v>
      </c>
      <c r="BU4" s="211">
        <f t="shared" si="0"/>
        <v>205.3</v>
      </c>
      <c r="BV4" s="211">
        <f t="shared" si="0"/>
        <v>206.2</v>
      </c>
      <c r="BW4" s="211">
        <f t="shared" si="0"/>
        <v>213</v>
      </c>
      <c r="BX4" s="211">
        <f t="shared" si="0"/>
        <v>222.1912219231572</v>
      </c>
      <c r="BY4" s="211">
        <f t="shared" si="1"/>
        <v>490.29428641301212</v>
      </c>
      <c r="BZ4" s="211">
        <f t="shared" si="1"/>
        <v>515.04033710807232</v>
      </c>
      <c r="CB4" s="81" t="str">
        <f>+BS4</f>
        <v>Revenues</v>
      </c>
      <c r="CC4" s="163">
        <f t="shared" si="2"/>
        <v>213</v>
      </c>
      <c r="CD4" s="163">
        <f t="shared" si="2"/>
        <v>222.1912219231572</v>
      </c>
      <c r="CE4" s="163">
        <f t="shared" si="2"/>
        <v>490.29428641301212</v>
      </c>
      <c r="CF4" s="163">
        <f t="shared" si="2"/>
        <v>515.04033710807232</v>
      </c>
      <c r="CH4" s="81" t="s">
        <v>721</v>
      </c>
      <c r="CI4" s="163">
        <f>+BW18</f>
        <v>1697</v>
      </c>
      <c r="CJ4" s="163">
        <f>+BX18</f>
        <v>1687</v>
      </c>
      <c r="CK4" s="163">
        <f>+BY18</f>
        <v>3616</v>
      </c>
      <c r="CL4" s="163">
        <f>+BZ18</f>
        <v>3606</v>
      </c>
    </row>
    <row r="5" spans="1:90" ht="17.25" customHeight="1">
      <c r="A5" s="4" t="s">
        <v>610</v>
      </c>
      <c r="C5" s="38">
        <f t="shared" ref="C5:V5" si="4">+C4/B4-1</f>
        <v>2.9311187103078229E-3</v>
      </c>
      <c r="D5" s="38">
        <f t="shared" si="4"/>
        <v>4.3838285435946478E-3</v>
      </c>
      <c r="E5" s="38">
        <f t="shared" si="4"/>
        <v>3.2977691561590694E-2</v>
      </c>
      <c r="F5" s="38">
        <f t="shared" si="4"/>
        <v>4.3151276634540769E-2</v>
      </c>
      <c r="G5" s="38"/>
      <c r="H5" s="38"/>
      <c r="I5" s="38"/>
      <c r="J5" s="38"/>
      <c r="K5" s="38"/>
      <c r="L5" s="38"/>
      <c r="M5" s="38"/>
      <c r="N5" s="38">
        <f>+N4/L4-1</f>
        <v>8.8596452478514109E-2</v>
      </c>
      <c r="O5" s="38">
        <f>+O4/N4-1</f>
        <v>5.0471831675017231E-2</v>
      </c>
      <c r="P5" s="38">
        <f t="shared" si="4"/>
        <v>6.4222884509815614E-2</v>
      </c>
      <c r="Q5" s="38">
        <f t="shared" si="4"/>
        <v>5.9668178695868601E-2</v>
      </c>
      <c r="R5" s="38">
        <f t="shared" si="4"/>
        <v>5.5275876681762481E-2</v>
      </c>
      <c r="S5" s="38">
        <f t="shared" si="4"/>
        <v>5.2839560305225408E-2</v>
      </c>
      <c r="T5" s="38">
        <f t="shared" si="4"/>
        <v>5.066260098821429E-2</v>
      </c>
      <c r="U5" s="38">
        <f t="shared" si="4"/>
        <v>4.8707957525790713E-2</v>
      </c>
      <c r="V5" s="38">
        <f t="shared" si="4"/>
        <v>4.6945294109565605E-2</v>
      </c>
      <c r="AG5" s="91" t="s">
        <v>675</v>
      </c>
      <c r="AI5" s="199">
        <v>1060.5071555818465</v>
      </c>
      <c r="AJ5" s="199">
        <v>672.69837836239253</v>
      </c>
      <c r="AK5" s="103">
        <v>11.86416893055366</v>
      </c>
      <c r="AP5" s="201" t="s">
        <v>680</v>
      </c>
      <c r="AQ5" s="202" t="s">
        <v>674</v>
      </c>
      <c r="AR5" s="202" t="s">
        <v>688</v>
      </c>
      <c r="AS5" s="202" t="s">
        <v>689</v>
      </c>
      <c r="BJ5" s="212" t="s">
        <v>610</v>
      </c>
      <c r="BK5" s="212">
        <v>0</v>
      </c>
      <c r="BL5" s="213">
        <v>2.9311187103078229E-3</v>
      </c>
      <c r="BM5" s="213">
        <v>4.3838285435946478E-3</v>
      </c>
      <c r="BN5" s="213">
        <v>3.2977691561590694E-2</v>
      </c>
      <c r="BO5" s="213">
        <v>4.3151276634540769E-2</v>
      </c>
      <c r="BP5" s="213">
        <v>8.148466363061857E-2</v>
      </c>
      <c r="BQ5" s="213">
        <v>8.9881994328667059E-2</v>
      </c>
      <c r="BS5" s="212" t="str">
        <f t="shared" si="0"/>
        <v>YoY</v>
      </c>
      <c r="BT5" s="212">
        <f t="shared" si="0"/>
        <v>0</v>
      </c>
      <c r="BU5" s="213">
        <f t="shared" si="0"/>
        <v>2.9311187103078229E-3</v>
      </c>
      <c r="BV5" s="213">
        <f t="shared" si="0"/>
        <v>4.3838285435946478E-3</v>
      </c>
      <c r="BW5" s="213">
        <f t="shared" si="0"/>
        <v>3.2977691561590694E-2</v>
      </c>
      <c r="BX5" s="213">
        <f t="shared" si="0"/>
        <v>4.3151276634540769E-2</v>
      </c>
      <c r="BY5" s="213">
        <f t="shared" si="1"/>
        <v>8.8596452478514109E-2</v>
      </c>
      <c r="BZ5" s="213">
        <f t="shared" si="1"/>
        <v>5.0471831675017231E-2</v>
      </c>
      <c r="CB5" s="4" t="s">
        <v>719</v>
      </c>
      <c r="CC5" s="11">
        <f>BN4</f>
        <v>213</v>
      </c>
      <c r="CD5" s="11">
        <f>BO4</f>
        <v>222.1912219231572</v>
      </c>
      <c r="CE5" s="11">
        <f>BP4</f>
        <v>240.29639890324177</v>
      </c>
      <c r="CF5" s="11">
        <f>BQ4</f>
        <v>261.89471846666208</v>
      </c>
      <c r="CH5" s="4" t="s">
        <v>719</v>
      </c>
      <c r="CI5" s="11">
        <f>+BN18</f>
        <v>1697</v>
      </c>
      <c r="CJ5" s="11">
        <f>+BO18</f>
        <v>1687</v>
      </c>
      <c r="CK5" s="11">
        <f>+BP18</f>
        <v>1677</v>
      </c>
      <c r="CL5" s="11">
        <f>+BQ18</f>
        <v>1667</v>
      </c>
    </row>
    <row r="6" spans="1:90" s="81" customFormat="1">
      <c r="A6" s="81" t="s">
        <v>618</v>
      </c>
      <c r="B6" s="161">
        <f t="shared" ref="B6:V6" si="5">+B55</f>
        <v>78.400000000000006</v>
      </c>
      <c r="C6" s="161">
        <f t="shared" si="5"/>
        <v>87.1</v>
      </c>
      <c r="D6" s="161">
        <f t="shared" si="5"/>
        <v>88.1</v>
      </c>
      <c r="E6" s="161">
        <f t="shared" si="5"/>
        <v>99.032977691561598</v>
      </c>
      <c r="F6" s="161">
        <f t="shared" si="5"/>
        <v>105.42774962306055</v>
      </c>
      <c r="G6" s="161">
        <f>149.4-E6</f>
        <v>50.367022308438408</v>
      </c>
      <c r="H6" s="161">
        <v>52</v>
      </c>
      <c r="I6" s="161">
        <v>55</v>
      </c>
      <c r="J6" s="161">
        <v>57</v>
      </c>
      <c r="K6" s="161">
        <v>1.1000000000000001</v>
      </c>
      <c r="L6" s="161">
        <f>+K6+J6+H6+F6</f>
        <v>215.52774962306054</v>
      </c>
      <c r="M6" s="161"/>
      <c r="N6" s="161">
        <f t="shared" si="5"/>
        <v>262.42972608363169</v>
      </c>
      <c r="O6" s="161">
        <f t="shared" si="5"/>
        <v>283.36291791583903</v>
      </c>
      <c r="P6" s="161">
        <f t="shared" si="5"/>
        <v>309.53259167382816</v>
      </c>
      <c r="Q6" s="161">
        <f t="shared" si="5"/>
        <v>332.9251919048873</v>
      </c>
      <c r="R6" s="161">
        <f t="shared" si="5"/>
        <v>355.8493129132699</v>
      </c>
      <c r="S6" s="161">
        <f t="shared" si="5"/>
        <v>378.85602287005554</v>
      </c>
      <c r="T6" s="161">
        <f t="shared" si="5"/>
        <v>401.95758119493649</v>
      </c>
      <c r="U6" s="161">
        <f t="shared" si="5"/>
        <v>425.16733485421281</v>
      </c>
      <c r="V6" s="161">
        <f t="shared" si="5"/>
        <v>448.49814594385691</v>
      </c>
      <c r="AG6" s="91" t="s">
        <v>596</v>
      </c>
      <c r="AH6" s="200">
        <v>0.01</v>
      </c>
      <c r="AI6" s="199">
        <v>1094.9363466291745</v>
      </c>
      <c r="AJ6" s="199">
        <v>710.54194969529749</v>
      </c>
      <c r="AK6" s="103">
        <v>12.531604051063447</v>
      </c>
      <c r="AL6" s="195">
        <v>0</v>
      </c>
      <c r="AM6" s="91"/>
      <c r="AN6" s="91"/>
      <c r="AO6" s="91"/>
      <c r="AP6" s="203" t="str">
        <f>+AG6</f>
        <v>EBITDA margin</v>
      </c>
      <c r="AQ6" s="204" t="s">
        <v>684</v>
      </c>
      <c r="AR6" s="205">
        <f>+AI6/AI$5-1</f>
        <v>3.2464836155149168E-2</v>
      </c>
      <c r="AS6" s="205">
        <f>+AJ6/AJ$5-1</f>
        <v>5.6256373658921E-2</v>
      </c>
      <c r="AT6" s="4"/>
      <c r="AU6" s="4"/>
      <c r="AV6" s="4"/>
      <c r="AW6" s="4"/>
      <c r="AX6" s="4"/>
      <c r="AY6" s="4"/>
      <c r="AZ6" s="4"/>
      <c r="BA6" s="4"/>
      <c r="BB6" s="4"/>
      <c r="BC6" s="4"/>
      <c r="BD6" s="4"/>
      <c r="BE6" s="4"/>
      <c r="BF6" s="4"/>
      <c r="BG6" s="4"/>
      <c r="BH6" s="4"/>
      <c r="BI6" s="4"/>
      <c r="BJ6" s="210" t="s">
        <v>618</v>
      </c>
      <c r="BK6" s="211">
        <v>78.400000000000006</v>
      </c>
      <c r="BL6" s="211">
        <v>87.1</v>
      </c>
      <c r="BM6" s="211">
        <v>88.1</v>
      </c>
      <c r="BN6" s="211">
        <v>99.032977691561598</v>
      </c>
      <c r="BO6" s="211">
        <v>105.42774962306055</v>
      </c>
      <c r="BP6" s="211">
        <v>119.34793669611584</v>
      </c>
      <c r="BQ6" s="211">
        <v>135.36521947955981</v>
      </c>
      <c r="BS6" s="210" t="str">
        <f t="shared" si="0"/>
        <v>EBITDA adjusted</v>
      </c>
      <c r="BT6" s="211">
        <f t="shared" si="0"/>
        <v>78.400000000000006</v>
      </c>
      <c r="BU6" s="211">
        <f t="shared" si="0"/>
        <v>87.1</v>
      </c>
      <c r="BV6" s="211">
        <f t="shared" si="0"/>
        <v>88.1</v>
      </c>
      <c r="BW6" s="211">
        <f t="shared" si="0"/>
        <v>99.032977691561598</v>
      </c>
      <c r="BX6" s="211">
        <f t="shared" si="0"/>
        <v>105.42774962306055</v>
      </c>
      <c r="BY6" s="211">
        <f t="shared" si="1"/>
        <v>262.42972608363169</v>
      </c>
      <c r="BZ6" s="211">
        <f t="shared" si="1"/>
        <v>283.36291791583903</v>
      </c>
      <c r="CC6" s="162">
        <f>+CC4/CC5-1</f>
        <v>0</v>
      </c>
      <c r="CD6" s="162">
        <f>+CD4/CD5-1</f>
        <v>0</v>
      </c>
      <c r="CE6" s="162">
        <f>+CE4/CE5-1</f>
        <v>1.0403730087126069</v>
      </c>
      <c r="CF6" s="162">
        <f>+CF4/CF5-1</f>
        <v>0.96659306504355658</v>
      </c>
      <c r="CI6" s="162">
        <f>+CI4/CI5-1</f>
        <v>0</v>
      </c>
      <c r="CJ6" s="162">
        <f>+CJ4/CJ5-1</f>
        <v>0</v>
      </c>
      <c r="CK6" s="162">
        <f>+CK4/CK5-1</f>
        <v>1.1562313655336913</v>
      </c>
      <c r="CL6" s="162">
        <f>+CL4/CL5-1</f>
        <v>1.1631673665266948</v>
      </c>
    </row>
    <row r="7" spans="1:90">
      <c r="A7" s="4" t="s">
        <v>610</v>
      </c>
      <c r="C7" s="38">
        <f t="shared" ref="C7:V7" si="6">+C6/B6-1</f>
        <v>0.1109693877551019</v>
      </c>
      <c r="D7" s="38">
        <f t="shared" si="6"/>
        <v>1.1481056257175659E-2</v>
      </c>
      <c r="E7" s="38">
        <f t="shared" si="6"/>
        <v>0.12409736312782749</v>
      </c>
      <c r="F7" s="38">
        <f t="shared" si="6"/>
        <v>6.4572146375477812E-2</v>
      </c>
      <c r="G7" s="38"/>
      <c r="H7" s="38"/>
      <c r="I7" s="38"/>
      <c r="J7" s="38"/>
      <c r="K7" s="38"/>
      <c r="L7" s="38"/>
      <c r="M7" s="38"/>
      <c r="N7" s="38">
        <f>+N6/L6-1</f>
        <v>0.21761456027169901</v>
      </c>
      <c r="O7" s="38">
        <f t="shared" si="6"/>
        <v>7.9766847089328241E-2</v>
      </c>
      <c r="P7" s="38">
        <f t="shared" si="6"/>
        <v>9.2353911197942118E-2</v>
      </c>
      <c r="Q7" s="38">
        <f t="shared" si="6"/>
        <v>7.5573948786980205E-2</v>
      </c>
      <c r="R7" s="38">
        <f t="shared" si="6"/>
        <v>6.885667280754082E-2</v>
      </c>
      <c r="S7" s="38">
        <f t="shared" si="6"/>
        <v>6.4652955961707947E-2</v>
      </c>
      <c r="T7" s="38">
        <f t="shared" si="6"/>
        <v>6.0977144166465047E-2</v>
      </c>
      <c r="U7" s="38">
        <f t="shared" si="6"/>
        <v>5.7741798500922759E-2</v>
      </c>
      <c r="V7" s="38">
        <f t="shared" si="6"/>
        <v>5.4874420438823401E-2</v>
      </c>
      <c r="AG7" s="91" t="s">
        <v>161</v>
      </c>
      <c r="AH7" s="200">
        <v>0.01</v>
      </c>
      <c r="AI7" s="199">
        <v>1018.9844032832229</v>
      </c>
      <c r="AJ7" s="199">
        <v>630.7594639779179</v>
      </c>
      <c r="AK7" s="103">
        <v>11.124505537529416</v>
      </c>
      <c r="AL7" s="195">
        <v>0</v>
      </c>
      <c r="AP7" s="4" t="s">
        <v>681</v>
      </c>
      <c r="AQ7" s="75" t="s">
        <v>684</v>
      </c>
      <c r="AR7" s="84">
        <f>+AI7/AI$5-1</f>
        <v>-3.9153674805562422E-2</v>
      </c>
      <c r="AS7" s="84">
        <f>+AJ7/AJ$5-1</f>
        <v>-6.2344307245945974E-2</v>
      </c>
      <c r="BJ7" s="212" t="s">
        <v>610</v>
      </c>
      <c r="BK7" s="212">
        <v>0</v>
      </c>
      <c r="BL7" s="213">
        <v>0.1109693877551019</v>
      </c>
      <c r="BM7" s="213">
        <v>1.1481056257175659E-2</v>
      </c>
      <c r="BN7" s="213">
        <v>0.12409736312782749</v>
      </c>
      <c r="BO7" s="213">
        <v>6.4572146375477812E-2</v>
      </c>
      <c r="BP7" s="213">
        <v>0.13203532393344841</v>
      </c>
      <c r="BQ7" s="213">
        <v>0.13420661661061839</v>
      </c>
      <c r="BS7" s="212" t="str">
        <f t="shared" si="0"/>
        <v>YoY</v>
      </c>
      <c r="BT7" s="212">
        <f t="shared" si="0"/>
        <v>0</v>
      </c>
      <c r="BU7" s="213">
        <f t="shared" si="0"/>
        <v>0.1109693877551019</v>
      </c>
      <c r="BV7" s="213">
        <f t="shared" si="0"/>
        <v>1.1481056257175659E-2</v>
      </c>
      <c r="BW7" s="213">
        <f t="shared" si="0"/>
        <v>0.12409736312782749</v>
      </c>
      <c r="BX7" s="213">
        <f t="shared" si="0"/>
        <v>6.4572146375477812E-2</v>
      </c>
      <c r="BY7" s="213">
        <f t="shared" si="1"/>
        <v>0.21761456027169901</v>
      </c>
      <c r="BZ7" s="213">
        <f t="shared" si="1"/>
        <v>7.9766847089328241E-2</v>
      </c>
      <c r="CB7" s="4" t="s">
        <v>623</v>
      </c>
      <c r="CC7" s="11">
        <f>+BW6</f>
        <v>99.032977691561598</v>
      </c>
      <c r="CD7" s="11">
        <f>+BX6</f>
        <v>105.42774962306055</v>
      </c>
      <c r="CE7" s="11">
        <f>+BY6</f>
        <v>262.42972608363169</v>
      </c>
      <c r="CF7" s="11">
        <f>+BZ6</f>
        <v>283.36291791583903</v>
      </c>
      <c r="CH7" s="4" t="s">
        <v>570</v>
      </c>
      <c r="CI7" s="11">
        <f>+BW19</f>
        <v>1282</v>
      </c>
      <c r="CJ7" s="11">
        <f>+BX19</f>
        <v>1282.8804920447849</v>
      </c>
      <c r="CK7" s="11">
        <f>+BY19</f>
        <v>2518.0468668598846</v>
      </c>
      <c r="CL7" s="11">
        <f>+BZ19</f>
        <v>2529.1132416749842</v>
      </c>
    </row>
    <row r="8" spans="1:90" s="81" customFormat="1">
      <c r="A8" s="81" t="s">
        <v>611</v>
      </c>
      <c r="B8" s="162">
        <f t="shared" ref="B8:V8" si="7">+B6/B4</f>
        <v>0.38299951148021499</v>
      </c>
      <c r="C8" s="162">
        <f t="shared" si="7"/>
        <v>0.42425718460789086</v>
      </c>
      <c r="D8" s="162">
        <f t="shared" si="7"/>
        <v>0.42725509214354995</v>
      </c>
      <c r="E8" s="220">
        <f t="shared" si="7"/>
        <v>0.4649435572373784</v>
      </c>
      <c r="F8" s="220">
        <f t="shared" si="7"/>
        <v>0.47449106544596875</v>
      </c>
      <c r="G8" s="220"/>
      <c r="H8" s="220"/>
      <c r="I8" s="220"/>
      <c r="J8" s="220"/>
      <c r="K8" s="220"/>
      <c r="L8" s="220">
        <f>+L6/L4</f>
        <v>0.47853452539053365</v>
      </c>
      <c r="M8" s="220"/>
      <c r="N8" s="162">
        <f>+N6/N4</f>
        <v>0.53524940705217028</v>
      </c>
      <c r="O8" s="162">
        <f t="shared" si="7"/>
        <v>0.55017616582597917</v>
      </c>
      <c r="P8" s="162">
        <f t="shared" si="7"/>
        <v>0.56471919119152603</v>
      </c>
      <c r="Q8" s="162">
        <f t="shared" si="7"/>
        <v>0.57319570657786656</v>
      </c>
      <c r="R8" s="162">
        <f t="shared" si="7"/>
        <v>0.58057240702484647</v>
      </c>
      <c r="S8" s="162">
        <f t="shared" si="7"/>
        <v>0.58708672488485592</v>
      </c>
      <c r="T8" s="162">
        <f t="shared" si="7"/>
        <v>0.59285026055035606</v>
      </c>
      <c r="U8" s="162">
        <f t="shared" si="7"/>
        <v>0.59795722568535237</v>
      </c>
      <c r="V8" s="162">
        <f t="shared" si="7"/>
        <v>0.60248590393494916</v>
      </c>
      <c r="AG8" s="91" t="s">
        <v>677</v>
      </c>
      <c r="AH8" s="91"/>
      <c r="AI8" s="199"/>
      <c r="AJ8" s="199"/>
      <c r="AK8" s="103"/>
      <c r="AL8" s="91"/>
      <c r="AM8" s="91"/>
      <c r="AN8" s="91"/>
      <c r="AO8" s="91"/>
      <c r="AP8" s="81" t="s">
        <v>682</v>
      </c>
      <c r="AQ8" s="83"/>
      <c r="AR8" s="82"/>
      <c r="AS8" s="82"/>
      <c r="AT8" s="4"/>
      <c r="AU8" s="4"/>
      <c r="AV8" s="4"/>
      <c r="AW8" s="4"/>
      <c r="AX8" s="4"/>
      <c r="AY8" s="4"/>
      <c r="AZ8" s="4"/>
      <c r="BA8" s="4"/>
      <c r="BB8" s="4"/>
      <c r="BC8" s="4"/>
      <c r="BD8" s="4"/>
      <c r="BE8" s="4"/>
      <c r="BF8" s="4"/>
      <c r="BG8" s="4"/>
      <c r="BH8" s="4"/>
      <c r="BI8" s="4"/>
      <c r="BJ8" s="210" t="s">
        <v>611</v>
      </c>
      <c r="BK8" s="214">
        <v>0.38299951148021499</v>
      </c>
      <c r="BL8" s="214">
        <v>0.42425718460789086</v>
      </c>
      <c r="BM8" s="214">
        <v>0.42725509214354995</v>
      </c>
      <c r="BN8" s="214">
        <v>0.4649435572373784</v>
      </c>
      <c r="BO8" s="214">
        <v>0.47449106544596875</v>
      </c>
      <c r="BP8" s="214">
        <v>0.49666968477614482</v>
      </c>
      <c r="BQ8" s="214">
        <v>0.51686884054819582</v>
      </c>
      <c r="BS8" s="210" t="str">
        <f t="shared" si="0"/>
        <v>Margin</v>
      </c>
      <c r="BT8" s="214">
        <f t="shared" si="0"/>
        <v>0.38299951148021499</v>
      </c>
      <c r="BU8" s="214">
        <f t="shared" si="0"/>
        <v>0.42425718460789086</v>
      </c>
      <c r="BV8" s="214">
        <f t="shared" si="0"/>
        <v>0.42725509214354995</v>
      </c>
      <c r="BW8" s="214">
        <f t="shared" si="0"/>
        <v>0.4649435572373784</v>
      </c>
      <c r="BX8" s="214">
        <f t="shared" si="0"/>
        <v>0.47449106544596875</v>
      </c>
      <c r="BY8" s="214">
        <f t="shared" si="1"/>
        <v>0.53524940705217028</v>
      </c>
      <c r="BZ8" s="214">
        <f t="shared" si="1"/>
        <v>0.55017616582597917</v>
      </c>
      <c r="CB8" s="81" t="s">
        <v>719</v>
      </c>
      <c r="CC8" s="163">
        <f>+BN6</f>
        <v>99.032977691561598</v>
      </c>
      <c r="CD8" s="163">
        <f>+BO6</f>
        <v>105.42774962306055</v>
      </c>
      <c r="CE8" s="163">
        <f>+BP6</f>
        <v>119.34793669611584</v>
      </c>
      <c r="CF8" s="163">
        <f>+BQ6</f>
        <v>135.36521947955981</v>
      </c>
      <c r="CH8" s="81" t="s">
        <v>719</v>
      </c>
      <c r="CI8" s="163">
        <f>+BN21</f>
        <v>1311</v>
      </c>
      <c r="CJ8" s="163">
        <f>+BO21</f>
        <v>1281</v>
      </c>
      <c r="CK8" s="163">
        <f>+BP21</f>
        <v>1271</v>
      </c>
      <c r="CL8" s="163">
        <f>+BQ21</f>
        <v>1261</v>
      </c>
    </row>
    <row r="9" spans="1:90">
      <c r="A9" s="4" t="s">
        <v>161</v>
      </c>
      <c r="B9" s="5">
        <f t="shared" ref="B9:V9" si="8">+B197</f>
        <v>68.099999999999994</v>
      </c>
      <c r="C9" s="5">
        <f t="shared" si="8"/>
        <v>59.6</v>
      </c>
      <c r="D9" s="5">
        <f t="shared" si="8"/>
        <v>51.5</v>
      </c>
      <c r="E9" s="5">
        <f t="shared" si="8"/>
        <v>84.1</v>
      </c>
      <c r="F9" s="5">
        <f t="shared" si="8"/>
        <v>115</v>
      </c>
      <c r="G9" s="5">
        <v>33</v>
      </c>
      <c r="H9" s="5">
        <v>30</v>
      </c>
      <c r="I9" s="5">
        <v>28.3</v>
      </c>
      <c r="J9" s="5">
        <v>25</v>
      </c>
      <c r="K9" s="5"/>
      <c r="L9" s="5">
        <f>+J9+H9+F9</f>
        <v>170</v>
      </c>
      <c r="M9" s="5"/>
      <c r="N9" s="5">
        <f>+N197</f>
        <v>147.08828592390364</v>
      </c>
      <c r="O9" s="5">
        <f t="shared" si="8"/>
        <v>128.76008427701808</v>
      </c>
      <c r="P9" s="5">
        <f t="shared" si="8"/>
        <v>137.02942829901514</v>
      </c>
      <c r="Q9" s="5">
        <f t="shared" si="8"/>
        <v>145.20572471335348</v>
      </c>
      <c r="R9" s="5">
        <f t="shared" si="8"/>
        <v>153.23209844609477</v>
      </c>
      <c r="S9" s="5">
        <f t="shared" si="8"/>
        <v>161.32881515263344</v>
      </c>
      <c r="T9" s="5">
        <f t="shared" si="8"/>
        <v>169.50215254261269</v>
      </c>
      <c r="U9" s="5">
        <f t="shared" si="8"/>
        <v>177.75825618918839</v>
      </c>
      <c r="V9" s="5">
        <f t="shared" si="8"/>
        <v>186.10316980639334</v>
      </c>
      <c r="AG9" s="91" t="s">
        <v>678</v>
      </c>
      <c r="AH9" s="91">
        <v>10</v>
      </c>
      <c r="AI9" s="199">
        <v>1073.5532768347421</v>
      </c>
      <c r="AJ9" s="199">
        <v>686.63908942738055</v>
      </c>
      <c r="AK9" s="103">
        <v>12.110036850571085</v>
      </c>
      <c r="AL9" s="194">
        <v>0</v>
      </c>
      <c r="AP9" s="4" t="str">
        <f>+AG9</f>
        <v>Basic TV</v>
      </c>
      <c r="AQ9" s="75" t="s">
        <v>685</v>
      </c>
      <c r="AR9" s="84">
        <f t="shared" ref="AR9:AS11" si="9">+AI9/AI$5-1</f>
        <v>1.2301775791166536E-2</v>
      </c>
      <c r="AS9" s="84">
        <f t="shared" si="9"/>
        <v>2.0723568709835494E-2</v>
      </c>
      <c r="BJ9" s="212" t="s">
        <v>161</v>
      </c>
      <c r="BK9" s="215">
        <v>68.099999999999994</v>
      </c>
      <c r="BL9" s="215">
        <v>59.6</v>
      </c>
      <c r="BM9" s="215">
        <v>51.5</v>
      </c>
      <c r="BN9" s="215">
        <v>84.1</v>
      </c>
      <c r="BO9" s="215">
        <v>115</v>
      </c>
      <c r="BP9" s="215">
        <v>72.08891967097253</v>
      </c>
      <c r="BQ9" s="215">
        <v>65.473679616665521</v>
      </c>
      <c r="BS9" s="212" t="str">
        <f t="shared" si="0"/>
        <v>Capex</v>
      </c>
      <c r="BT9" s="215">
        <f t="shared" si="0"/>
        <v>68.099999999999994</v>
      </c>
      <c r="BU9" s="215">
        <f t="shared" si="0"/>
        <v>59.6</v>
      </c>
      <c r="BV9" s="215">
        <f t="shared" si="0"/>
        <v>51.5</v>
      </c>
      <c r="BW9" s="215">
        <f t="shared" si="0"/>
        <v>84.1</v>
      </c>
      <c r="BX9" s="215">
        <f t="shared" si="0"/>
        <v>115</v>
      </c>
      <c r="BY9" s="215">
        <f t="shared" si="1"/>
        <v>147.08828592390364</v>
      </c>
      <c r="BZ9" s="215">
        <f t="shared" si="1"/>
        <v>128.76008427701808</v>
      </c>
      <c r="CC9" s="40">
        <f>+CC7/CC8-1</f>
        <v>0</v>
      </c>
      <c r="CD9" s="40">
        <f>+CD7/CD8-1</f>
        <v>0</v>
      </c>
      <c r="CE9" s="40">
        <f>+CE7/CE8-1</f>
        <v>1.1988626979939441</v>
      </c>
      <c r="CF9" s="40">
        <f>+CF7/CF8-1</f>
        <v>1.0933214529203856</v>
      </c>
      <c r="CI9" s="40">
        <f>+CI7/CI8-1</f>
        <v>-2.2120518688024449E-2</v>
      </c>
      <c r="CJ9" s="40">
        <f>+CJ7/CJ8-1</f>
        <v>1.467987544718774E-3</v>
      </c>
      <c r="CK9" s="40">
        <f>+CK7/CK8-1</f>
        <v>0.98115410453177399</v>
      </c>
      <c r="CL9" s="40">
        <f>+CL7/CL8-1</f>
        <v>1.0056409529539923</v>
      </c>
    </row>
    <row r="10" spans="1:90" s="81" customFormat="1">
      <c r="A10" s="81" t="s">
        <v>247</v>
      </c>
      <c r="B10" s="162">
        <f t="shared" ref="B10:V10" si="10">+B9/B4</f>
        <v>0.33268197361993157</v>
      </c>
      <c r="C10" s="162">
        <f t="shared" si="10"/>
        <v>0.29030686799805161</v>
      </c>
      <c r="D10" s="162">
        <f t="shared" si="10"/>
        <v>0.24975751697381185</v>
      </c>
      <c r="E10" s="162">
        <f t="shared" si="10"/>
        <v>0.3948356807511737</v>
      </c>
      <c r="F10" s="162">
        <f t="shared" si="10"/>
        <v>0.51757220201872645</v>
      </c>
      <c r="G10" s="162"/>
      <c r="H10" s="162"/>
      <c r="I10" s="162"/>
      <c r="J10" s="162"/>
      <c r="K10" s="162"/>
      <c r="L10" s="162">
        <f>+L9/L4</f>
        <v>0.37744962984426078</v>
      </c>
      <c r="M10" s="162"/>
      <c r="N10" s="162">
        <f>+N9/N4</f>
        <v>0.3</v>
      </c>
      <c r="O10" s="162">
        <f t="shared" si="10"/>
        <v>0.25</v>
      </c>
      <c r="P10" s="162">
        <f t="shared" si="10"/>
        <v>0.25</v>
      </c>
      <c r="Q10" s="162">
        <f t="shared" si="10"/>
        <v>0.25</v>
      </c>
      <c r="R10" s="162">
        <f t="shared" si="10"/>
        <v>0.25</v>
      </c>
      <c r="S10" s="162">
        <f t="shared" si="10"/>
        <v>0.25</v>
      </c>
      <c r="T10" s="162">
        <f t="shared" si="10"/>
        <v>0.25</v>
      </c>
      <c r="U10" s="162">
        <f t="shared" si="10"/>
        <v>0.25</v>
      </c>
      <c r="V10" s="162">
        <f t="shared" si="10"/>
        <v>0.25</v>
      </c>
      <c r="AG10" s="91" t="s">
        <v>627</v>
      </c>
      <c r="AH10" s="91">
        <v>10</v>
      </c>
      <c r="AI10" s="199">
        <v>1109.9107651647259</v>
      </c>
      <c r="AJ10" s="199">
        <v>726.5724069688647</v>
      </c>
      <c r="AK10" s="103">
        <v>12.814328165235708</v>
      </c>
      <c r="AL10" s="194">
        <v>0</v>
      </c>
      <c r="AM10" s="91"/>
      <c r="AN10" s="91"/>
      <c r="AO10" s="91"/>
      <c r="AP10" s="81" t="str">
        <f>+AG10</f>
        <v>Premium TV</v>
      </c>
      <c r="AQ10" s="83" t="s">
        <v>685</v>
      </c>
      <c r="AR10" s="82">
        <f t="shared" si="9"/>
        <v>4.6584890373299048E-2</v>
      </c>
      <c r="AS10" s="82">
        <f t="shared" si="9"/>
        <v>8.0086455296090264E-2</v>
      </c>
      <c r="AT10" s="4"/>
      <c r="AU10" s="4"/>
      <c r="AV10" s="4"/>
      <c r="AW10" s="4"/>
      <c r="AX10" s="4"/>
      <c r="AY10" s="4"/>
      <c r="AZ10" s="4"/>
      <c r="BA10" s="4"/>
      <c r="BB10" s="4"/>
      <c r="BC10" s="4"/>
      <c r="BD10" s="4"/>
      <c r="BE10" s="4"/>
      <c r="BF10" s="4"/>
      <c r="BG10" s="4"/>
      <c r="BH10" s="4"/>
      <c r="BI10" s="4"/>
      <c r="BJ10" s="210" t="s">
        <v>247</v>
      </c>
      <c r="BK10" s="214">
        <v>0.33268197361993157</v>
      </c>
      <c r="BL10" s="214">
        <v>0.29030686799805161</v>
      </c>
      <c r="BM10" s="214">
        <v>0.24975751697381185</v>
      </c>
      <c r="BN10" s="214">
        <v>0.3948356807511737</v>
      </c>
      <c r="BO10" s="214">
        <v>0.51757220201872645</v>
      </c>
      <c r="BP10" s="214">
        <v>0.3</v>
      </c>
      <c r="BQ10" s="214">
        <v>0.25</v>
      </c>
      <c r="BS10" s="210" t="str">
        <f t="shared" si="0"/>
        <v>% revenues</v>
      </c>
      <c r="BT10" s="214">
        <f t="shared" si="0"/>
        <v>0.33268197361993157</v>
      </c>
      <c r="BU10" s="214">
        <f t="shared" si="0"/>
        <v>0.29030686799805161</v>
      </c>
      <c r="BV10" s="214">
        <f t="shared" si="0"/>
        <v>0.24975751697381185</v>
      </c>
      <c r="BW10" s="214">
        <f t="shared" si="0"/>
        <v>0.3948356807511737</v>
      </c>
      <c r="BX10" s="214">
        <f t="shared" si="0"/>
        <v>0.51757220201872645</v>
      </c>
      <c r="BY10" s="214">
        <f t="shared" si="1"/>
        <v>0.3</v>
      </c>
      <c r="BZ10" s="214">
        <f t="shared" si="1"/>
        <v>0.25</v>
      </c>
      <c r="CB10" s="81" t="s">
        <v>720</v>
      </c>
      <c r="CC10" s="163">
        <f>+BW9</f>
        <v>84.1</v>
      </c>
      <c r="CD10" s="163">
        <f>+BX9</f>
        <v>115</v>
      </c>
      <c r="CE10" s="163">
        <f>+BY9</f>
        <v>147.08828592390364</v>
      </c>
      <c r="CF10" s="163">
        <f>+BZ9</f>
        <v>128.76008427701808</v>
      </c>
      <c r="CH10" s="81" t="s">
        <v>613</v>
      </c>
      <c r="CI10" s="163">
        <f>+BW23</f>
        <v>202</v>
      </c>
      <c r="CJ10" s="163">
        <f>+BX23</f>
        <v>242</v>
      </c>
      <c r="CK10" s="163">
        <f>+BY23</f>
        <v>525</v>
      </c>
      <c r="CL10" s="163">
        <f>+BZ23</f>
        <v>585</v>
      </c>
    </row>
    <row r="11" spans="1:90">
      <c r="A11" s="4" t="s">
        <v>351</v>
      </c>
      <c r="B11" s="36">
        <f t="shared" ref="B11:V11" si="11">+B6-B9</f>
        <v>10.300000000000011</v>
      </c>
      <c r="C11" s="36">
        <f t="shared" si="11"/>
        <v>27.499999999999993</v>
      </c>
      <c r="D11" s="36">
        <f t="shared" si="11"/>
        <v>36.599999999999994</v>
      </c>
      <c r="E11" s="36">
        <f t="shared" si="11"/>
        <v>14.932977691561604</v>
      </c>
      <c r="F11" s="36">
        <f t="shared" si="11"/>
        <v>-9.5722503769394507</v>
      </c>
      <c r="G11" s="36"/>
      <c r="H11" s="36"/>
      <c r="I11" s="36"/>
      <c r="J11" s="36"/>
      <c r="K11" s="36"/>
      <c r="L11" s="36"/>
      <c r="M11" s="36"/>
      <c r="N11" s="36">
        <f t="shared" si="11"/>
        <v>115.34144015972805</v>
      </c>
      <c r="O11" s="36">
        <f t="shared" si="11"/>
        <v>154.60283363882095</v>
      </c>
      <c r="P11" s="36">
        <f t="shared" si="11"/>
        <v>172.50316337481303</v>
      </c>
      <c r="Q11" s="36">
        <f t="shared" si="11"/>
        <v>187.71946719153382</v>
      </c>
      <c r="R11" s="36">
        <f t="shared" si="11"/>
        <v>202.61721446717513</v>
      </c>
      <c r="S11" s="36">
        <f t="shared" si="11"/>
        <v>217.5272077174221</v>
      </c>
      <c r="T11" s="36">
        <f t="shared" si="11"/>
        <v>232.4554286523238</v>
      </c>
      <c r="U11" s="36">
        <f t="shared" si="11"/>
        <v>247.40907866502442</v>
      </c>
      <c r="V11" s="36">
        <f t="shared" si="11"/>
        <v>262.39497613746357</v>
      </c>
      <c r="AG11" s="91" t="s">
        <v>679</v>
      </c>
      <c r="AH11" s="91">
        <v>10</v>
      </c>
      <c r="AI11" s="199">
        <v>1116.1919645065227</v>
      </c>
      <c r="AJ11" s="199">
        <v>732.50844262314206</v>
      </c>
      <c r="AK11" s="103">
        <v>12.919020152083634</v>
      </c>
      <c r="AL11" s="194">
        <v>0</v>
      </c>
      <c r="AP11" s="4" t="str">
        <f>+AG11</f>
        <v>BB/Tel</v>
      </c>
      <c r="AQ11" s="75" t="s">
        <v>685</v>
      </c>
      <c r="AR11" s="84">
        <f t="shared" si="9"/>
        <v>5.2507716361541057E-2</v>
      </c>
      <c r="AS11" s="84">
        <f t="shared" si="9"/>
        <v>8.8910671089099891E-2</v>
      </c>
      <c r="BJ11" s="212" t="s">
        <v>351</v>
      </c>
      <c r="BK11" s="216">
        <v>10.300000000000011</v>
      </c>
      <c r="BL11" s="216">
        <v>27.499999999999993</v>
      </c>
      <c r="BM11" s="216">
        <v>36.599999999999994</v>
      </c>
      <c r="BN11" s="216">
        <v>14.932977691561604</v>
      </c>
      <c r="BO11" s="216">
        <v>-9.5722503769394507</v>
      </c>
      <c r="BP11" s="216">
        <v>47.259017025143308</v>
      </c>
      <c r="BQ11" s="216">
        <v>69.891539862894291</v>
      </c>
      <c r="BS11" s="212" t="str">
        <f t="shared" si="0"/>
        <v>OpFCF</v>
      </c>
      <c r="BT11" s="216">
        <f t="shared" si="0"/>
        <v>10.300000000000011</v>
      </c>
      <c r="BU11" s="216">
        <f t="shared" si="0"/>
        <v>27.499999999999993</v>
      </c>
      <c r="BV11" s="216">
        <f t="shared" si="0"/>
        <v>36.599999999999994</v>
      </c>
      <c r="BW11" s="216">
        <f t="shared" si="0"/>
        <v>14.932977691561604</v>
      </c>
      <c r="BX11" s="216">
        <f t="shared" si="0"/>
        <v>-9.5722503769394507</v>
      </c>
      <c r="BY11" s="216">
        <f t="shared" si="1"/>
        <v>115.34144015972805</v>
      </c>
      <c r="BZ11" s="216">
        <f t="shared" si="1"/>
        <v>154.60283363882095</v>
      </c>
      <c r="CB11" s="4" t="s">
        <v>719</v>
      </c>
      <c r="CC11" s="11">
        <f>+BN9</f>
        <v>84.1</v>
      </c>
      <c r="CD11" s="11">
        <f>+BO9</f>
        <v>115</v>
      </c>
      <c r="CE11" s="11">
        <f>+BP9</f>
        <v>72.08891967097253</v>
      </c>
      <c r="CF11" s="11">
        <f>+BQ9</f>
        <v>65.473679616665521</v>
      </c>
      <c r="CH11" s="4" t="s">
        <v>719</v>
      </c>
      <c r="CI11" s="11">
        <f>+BN23</f>
        <v>202</v>
      </c>
      <c r="CJ11" s="11">
        <f>+BO23</f>
        <v>242</v>
      </c>
      <c r="CK11" s="11">
        <f>+BP23</f>
        <v>282</v>
      </c>
      <c r="CL11" s="11">
        <f>+BQ23</f>
        <v>322</v>
      </c>
    </row>
    <row r="12" spans="1:90" s="81" customFormat="1">
      <c r="A12" s="81" t="s">
        <v>611</v>
      </c>
      <c r="B12" s="162">
        <f t="shared" ref="B12:V12" si="12">+B11/B4</f>
        <v>5.0317537860283403E-2</v>
      </c>
      <c r="C12" s="162">
        <f t="shared" si="12"/>
        <v>0.13395031660983922</v>
      </c>
      <c r="D12" s="162">
        <f t="shared" si="12"/>
        <v>0.1774975751697381</v>
      </c>
      <c r="E12" s="162">
        <f t="shared" si="12"/>
        <v>7.0107876486204715E-2</v>
      </c>
      <c r="F12" s="162">
        <f t="shared" si="12"/>
        <v>-4.3081136572757701E-2</v>
      </c>
      <c r="G12" s="162"/>
      <c r="H12" s="162"/>
      <c r="I12" s="162"/>
      <c r="J12" s="162"/>
      <c r="K12" s="162"/>
      <c r="L12" s="162"/>
      <c r="M12" s="162"/>
      <c r="N12" s="162">
        <f t="shared" si="12"/>
        <v>0.23524940705217029</v>
      </c>
      <c r="O12" s="162">
        <f t="shared" si="12"/>
        <v>0.30017616582597922</v>
      </c>
      <c r="P12" s="162">
        <f t="shared" si="12"/>
        <v>0.31471919119152608</v>
      </c>
      <c r="Q12" s="162">
        <f t="shared" si="12"/>
        <v>0.32319570657786656</v>
      </c>
      <c r="R12" s="162">
        <f t="shared" si="12"/>
        <v>0.33057240702484647</v>
      </c>
      <c r="S12" s="162">
        <f t="shared" si="12"/>
        <v>0.33708672488485592</v>
      </c>
      <c r="T12" s="162">
        <f t="shared" si="12"/>
        <v>0.342850260550356</v>
      </c>
      <c r="U12" s="162">
        <f t="shared" si="12"/>
        <v>0.34795722568535237</v>
      </c>
      <c r="V12" s="162">
        <f t="shared" si="12"/>
        <v>0.35248590393494916</v>
      </c>
      <c r="AG12" s="91" t="s">
        <v>188</v>
      </c>
      <c r="AH12" s="91"/>
      <c r="AI12" s="199"/>
      <c r="AJ12" s="199"/>
      <c r="AK12" s="103"/>
      <c r="AL12" s="91"/>
      <c r="AM12" s="91"/>
      <c r="AN12" s="91"/>
      <c r="AO12" s="91"/>
      <c r="AP12" s="81" t="s">
        <v>683</v>
      </c>
      <c r="AQ12" s="83"/>
      <c r="AR12" s="82"/>
      <c r="AS12" s="82"/>
      <c r="AT12" s="4"/>
      <c r="AU12" s="4"/>
      <c r="AV12" s="4"/>
      <c r="AW12" s="4"/>
      <c r="AX12" s="4"/>
      <c r="AY12" s="4"/>
      <c r="AZ12" s="4"/>
      <c r="BA12" s="4"/>
      <c r="BB12" s="4"/>
      <c r="BC12" s="4"/>
      <c r="BD12" s="4"/>
      <c r="BE12" s="4"/>
      <c r="BF12" s="4"/>
      <c r="BG12" s="4"/>
      <c r="BH12" s="4"/>
      <c r="BI12" s="4"/>
      <c r="BJ12" s="210" t="s">
        <v>611</v>
      </c>
      <c r="BK12" s="214">
        <v>5.0317537860283403E-2</v>
      </c>
      <c r="BL12" s="214">
        <v>0.13395031660983922</v>
      </c>
      <c r="BM12" s="214">
        <v>0.1774975751697381</v>
      </c>
      <c r="BN12" s="214">
        <v>7.0107876486204715E-2</v>
      </c>
      <c r="BO12" s="214">
        <v>-4.3081136572757701E-2</v>
      </c>
      <c r="BP12" s="214">
        <v>0.1966696847761448</v>
      </c>
      <c r="BQ12" s="214">
        <v>0.26686884054819587</v>
      </c>
      <c r="BS12" s="210" t="str">
        <f t="shared" si="0"/>
        <v>Margin</v>
      </c>
      <c r="BT12" s="214">
        <f t="shared" si="0"/>
        <v>5.0317537860283403E-2</v>
      </c>
      <c r="BU12" s="214">
        <f t="shared" si="0"/>
        <v>0.13395031660983922</v>
      </c>
      <c r="BV12" s="214">
        <f t="shared" si="0"/>
        <v>0.1774975751697381</v>
      </c>
      <c r="BW12" s="214">
        <f t="shared" si="0"/>
        <v>7.0107876486204715E-2</v>
      </c>
      <c r="BX12" s="214">
        <f t="shared" si="0"/>
        <v>-4.3081136572757701E-2</v>
      </c>
      <c r="BY12" s="214">
        <f t="shared" si="1"/>
        <v>0.23524940705217029</v>
      </c>
      <c r="BZ12" s="214">
        <f t="shared" si="1"/>
        <v>0.30017616582597922</v>
      </c>
      <c r="CC12" s="162">
        <f>+CC10/CC11-1</f>
        <v>0</v>
      </c>
      <c r="CD12" s="162">
        <f>+CD10/CD11-1</f>
        <v>0</v>
      </c>
      <c r="CE12" s="162">
        <f>+CE10/CE11-1</f>
        <v>1.0403730087126069</v>
      </c>
      <c r="CF12" s="162">
        <f>+CF10/CF11-1</f>
        <v>0.96659306504355658</v>
      </c>
      <c r="CI12" s="162">
        <f>+CI10/CI11-1</f>
        <v>0</v>
      </c>
      <c r="CJ12" s="162">
        <f>+CJ10/CJ11-1</f>
        <v>0</v>
      </c>
      <c r="CK12" s="162">
        <f>+CK10/CK11-1</f>
        <v>0.86170212765957444</v>
      </c>
      <c r="CL12" s="162">
        <f>+CL10/CL11-1</f>
        <v>0.81677018633540377</v>
      </c>
    </row>
    <row r="13" spans="1:90">
      <c r="A13" s="4" t="s">
        <v>612</v>
      </c>
      <c r="B13" s="5">
        <f t="shared" ref="B13:V13" si="13">+B74</f>
        <v>-21.6</v>
      </c>
      <c r="C13" s="5">
        <f t="shared" si="13"/>
        <v>20.5</v>
      </c>
      <c r="D13" s="5">
        <f t="shared" si="13"/>
        <v>-8.6</v>
      </c>
      <c r="E13" s="5">
        <f t="shared" si="13"/>
        <v>-21.767022308438392</v>
      </c>
      <c r="F13" s="5">
        <f t="shared" si="13"/>
        <v>12.759987179601463</v>
      </c>
      <c r="G13" s="5"/>
      <c r="H13" s="5"/>
      <c r="I13" s="5"/>
      <c r="J13" s="5"/>
      <c r="K13" s="5"/>
      <c r="L13" s="5"/>
      <c r="M13" s="5"/>
      <c r="N13" s="5">
        <f t="shared" si="13"/>
        <v>118.39938521389519</v>
      </c>
      <c r="O13" s="5">
        <f t="shared" si="13"/>
        <v>124.19227756614413</v>
      </c>
      <c r="P13" s="5">
        <f t="shared" si="13"/>
        <v>140.56306212549788</v>
      </c>
      <c r="Q13" s="5">
        <f t="shared" si="13"/>
        <v>155.17405906451248</v>
      </c>
      <c r="R13" s="5">
        <f t="shared" si="13"/>
        <v>166.04819921840343</v>
      </c>
      <c r="S13" s="5">
        <f t="shared" si="13"/>
        <v>177.06989338056871</v>
      </c>
      <c r="T13" s="5">
        <f t="shared" si="13"/>
        <v>188.23625003511941</v>
      </c>
      <c r="U13" s="5">
        <f t="shared" si="13"/>
        <v>199.53110920582711</v>
      </c>
      <c r="V13" s="5">
        <f t="shared" si="13"/>
        <v>210.94228261548687</v>
      </c>
      <c r="AG13" s="91" t="s">
        <v>627</v>
      </c>
      <c r="AH13" s="200">
        <v>0.01</v>
      </c>
      <c r="AI13" s="199">
        <v>1077.8017264097293</v>
      </c>
      <c r="AJ13" s="199">
        <v>691.36743696984672</v>
      </c>
      <c r="AK13" s="103">
        <v>12.193429223454086</v>
      </c>
      <c r="AL13" s="195">
        <v>0</v>
      </c>
      <c r="AP13" s="4" t="str">
        <f>+AG13</f>
        <v>Premium TV</v>
      </c>
      <c r="AQ13" s="75" t="s">
        <v>684</v>
      </c>
      <c r="AR13" s="84">
        <f t="shared" ref="AR13:AS15" si="14">+AI13/AI$5-1</f>
        <v>1.6307830396857792E-2</v>
      </c>
      <c r="AS13" s="84">
        <f t="shared" si="14"/>
        <v>2.7752495335133576E-2</v>
      </c>
      <c r="BJ13" s="212" t="s">
        <v>612</v>
      </c>
      <c r="BK13" s="215">
        <v>-21.6</v>
      </c>
      <c r="BL13" s="215">
        <v>20.5</v>
      </c>
      <c r="BM13" s="215">
        <v>-8.6</v>
      </c>
      <c r="BN13" s="215">
        <v>-21.767022308438392</v>
      </c>
      <c r="BO13" s="215">
        <v>12.759987179601463</v>
      </c>
      <c r="BP13" s="215">
        <v>18.242132642634072</v>
      </c>
      <c r="BQ13" s="215">
        <v>28.70835206669603</v>
      </c>
      <c r="BS13" s="212" t="str">
        <f t="shared" si="0"/>
        <v>Net income</v>
      </c>
      <c r="BT13" s="215">
        <f t="shared" si="0"/>
        <v>-21.6</v>
      </c>
      <c r="BU13" s="215">
        <f t="shared" si="0"/>
        <v>20.5</v>
      </c>
      <c r="BV13" s="215">
        <f t="shared" si="0"/>
        <v>-8.6</v>
      </c>
      <c r="BW13" s="215">
        <f t="shared" si="0"/>
        <v>-21.767022308438392</v>
      </c>
      <c r="BX13" s="215">
        <f t="shared" si="0"/>
        <v>12.759987179601463</v>
      </c>
      <c r="BY13" s="215">
        <f t="shared" si="1"/>
        <v>118.39938521389519</v>
      </c>
      <c r="BZ13" s="215">
        <f t="shared" si="1"/>
        <v>124.19227756614413</v>
      </c>
      <c r="CB13" s="4" t="s">
        <v>351</v>
      </c>
      <c r="CC13" s="5">
        <f>+BW11</f>
        <v>14.932977691561604</v>
      </c>
      <c r="CD13" s="5">
        <f>+BX11</f>
        <v>-9.5722503769394507</v>
      </c>
      <c r="CE13" s="5">
        <f>+BY11</f>
        <v>115.34144015972805</v>
      </c>
      <c r="CF13" s="5">
        <f>+BZ11</f>
        <v>154.60283363882095</v>
      </c>
      <c r="CH13" s="4" t="s">
        <v>722</v>
      </c>
      <c r="CI13" s="5">
        <f>+BW26</f>
        <v>9.6</v>
      </c>
      <c r="CJ13" s="5">
        <f>+BX26</f>
        <v>9.9106001725133019</v>
      </c>
      <c r="CK13" s="5">
        <f>+BY26</f>
        <v>11.055807304290873</v>
      </c>
      <c r="CL13" s="5">
        <f>+BZ26</f>
        <v>11.664476920942862</v>
      </c>
    </row>
    <row r="14" spans="1:90" s="81" customFormat="1">
      <c r="A14" s="81" t="s">
        <v>160</v>
      </c>
      <c r="B14" s="163">
        <f t="shared" ref="B14:V14" si="15">+B414</f>
        <v>594</v>
      </c>
      <c r="C14" s="163">
        <f t="shared" si="15"/>
        <v>620</v>
      </c>
      <c r="D14" s="163">
        <f t="shared" si="15"/>
        <v>586</v>
      </c>
      <c r="E14" s="163">
        <f t="shared" si="15"/>
        <v>320.39999999999998</v>
      </c>
      <c r="F14" s="163">
        <f t="shared" si="15"/>
        <v>361.54944132771675</v>
      </c>
      <c r="G14" s="163"/>
      <c r="H14" s="163"/>
      <c r="I14" s="163"/>
      <c r="J14" s="163"/>
      <c r="K14" s="163"/>
      <c r="L14" s="163"/>
      <c r="M14" s="163"/>
      <c r="N14" s="163">
        <f t="shared" si="15"/>
        <v>265.61055756171675</v>
      </c>
      <c r="O14" s="163">
        <f t="shared" si="15"/>
        <v>306.70862524972802</v>
      </c>
      <c r="P14" s="163">
        <f t="shared" si="15"/>
        <v>333.66337519220008</v>
      </c>
      <c r="Q14" s="163">
        <f t="shared" si="15"/>
        <v>368.353110971766</v>
      </c>
      <c r="R14" s="163">
        <f t="shared" si="15"/>
        <v>409.20584472002849</v>
      </c>
      <c r="S14" s="163">
        <f t="shared" si="15"/>
        <v>450.8879333374631</v>
      </c>
      <c r="T14" s="163">
        <f t="shared" si="15"/>
        <v>493.59567989292918</v>
      </c>
      <c r="U14" s="163">
        <f t="shared" si="15"/>
        <v>537.51502915044648</v>
      </c>
      <c r="V14" s="163">
        <f t="shared" si="15"/>
        <v>582.80294226088859</v>
      </c>
      <c r="W14" s="4"/>
      <c r="X14" s="4"/>
      <c r="Y14" s="4"/>
      <c r="AG14" s="91" t="s">
        <v>678</v>
      </c>
      <c r="AH14" s="200">
        <v>0.01</v>
      </c>
      <c r="AI14" s="199">
        <v>1080.0870955020184</v>
      </c>
      <c r="AJ14" s="199">
        <v>694.03519814328274</v>
      </c>
      <c r="AK14" s="103">
        <v>12.240479685066715</v>
      </c>
      <c r="AL14" s="195">
        <v>0</v>
      </c>
      <c r="AM14" s="199"/>
      <c r="AN14" s="199"/>
      <c r="AO14" s="103"/>
      <c r="AP14" s="81" t="str">
        <f>+AG14</f>
        <v>Basic TV</v>
      </c>
      <c r="AQ14" s="83" t="s">
        <v>686</v>
      </c>
      <c r="AR14" s="82">
        <f t="shared" si="14"/>
        <v>1.8462807928372182E-2</v>
      </c>
      <c r="AS14" s="82">
        <f t="shared" si="14"/>
        <v>3.1718256602360606E-2</v>
      </c>
      <c r="AT14" s="4"/>
      <c r="AU14" s="4"/>
      <c r="AV14" s="4"/>
      <c r="AW14" s="4"/>
      <c r="AX14" s="4"/>
      <c r="AY14" s="4"/>
      <c r="AZ14" s="4"/>
      <c r="BA14" s="4"/>
      <c r="BB14" s="4"/>
      <c r="BC14" s="4"/>
      <c r="BD14" s="4"/>
      <c r="BE14" s="4"/>
      <c r="BF14" s="4"/>
      <c r="BG14" s="4"/>
      <c r="BH14" s="4"/>
      <c r="BI14" s="4"/>
      <c r="BJ14" s="210" t="s">
        <v>160</v>
      </c>
      <c r="BK14" s="217">
        <v>594</v>
      </c>
      <c r="BL14" s="217">
        <v>620</v>
      </c>
      <c r="BM14" s="217">
        <v>586</v>
      </c>
      <c r="BN14" s="217">
        <v>320.39999999999998</v>
      </c>
      <c r="BO14" s="217">
        <v>361.54944132771675</v>
      </c>
      <c r="BP14" s="217">
        <v>347.1721616705463</v>
      </c>
      <c r="BQ14" s="217">
        <v>327.18519791827555</v>
      </c>
      <c r="BS14" s="210" t="str">
        <f t="shared" si="0"/>
        <v>Net debt</v>
      </c>
      <c r="BT14" s="217">
        <f t="shared" si="0"/>
        <v>594</v>
      </c>
      <c r="BU14" s="217">
        <f t="shared" si="0"/>
        <v>620</v>
      </c>
      <c r="BV14" s="217">
        <f t="shared" si="0"/>
        <v>586</v>
      </c>
      <c r="BW14" s="217">
        <f t="shared" si="0"/>
        <v>320.39999999999998</v>
      </c>
      <c r="BX14" s="217">
        <f t="shared" si="0"/>
        <v>361.54944132771675</v>
      </c>
      <c r="BY14" s="217">
        <f t="shared" si="1"/>
        <v>265.61055756171675</v>
      </c>
      <c r="BZ14" s="217">
        <f t="shared" si="1"/>
        <v>306.70862524972802</v>
      </c>
      <c r="CB14" s="81" t="s">
        <v>719</v>
      </c>
      <c r="CC14" s="161">
        <f>+BN11</f>
        <v>14.932977691561604</v>
      </c>
      <c r="CD14" s="161">
        <f>+BO11</f>
        <v>-9.5722503769394507</v>
      </c>
      <c r="CE14" s="161">
        <f>+BP11</f>
        <v>47.259017025143308</v>
      </c>
      <c r="CF14" s="161">
        <f>+BQ11</f>
        <v>69.891539862894291</v>
      </c>
      <c r="CH14" s="81" t="s">
        <v>719</v>
      </c>
      <c r="CI14" s="161">
        <f>+BN26</f>
        <v>9.6</v>
      </c>
      <c r="CJ14" s="161">
        <f>+BO26</f>
        <v>9.9106001725133019</v>
      </c>
      <c r="CK14" s="161">
        <f>+BP26</f>
        <v>10.510566530160467</v>
      </c>
      <c r="CL14" s="161">
        <f>+BQ26</f>
        <v>11.271795736549358</v>
      </c>
    </row>
    <row r="15" spans="1:90">
      <c r="A15" s="4" t="s">
        <v>282</v>
      </c>
      <c r="B15" s="5">
        <f t="shared" ref="B15:V15" si="16">+B416</f>
        <v>7.5765306122448974</v>
      </c>
      <c r="C15" s="5">
        <f t="shared" si="16"/>
        <v>7.1182548794489096</v>
      </c>
      <c r="D15" s="5">
        <f t="shared" si="16"/>
        <v>6.651532349602725</v>
      </c>
      <c r="E15" s="5">
        <f t="shared" si="16"/>
        <v>3.2352859367501439</v>
      </c>
      <c r="F15" s="5">
        <f t="shared" si="16"/>
        <v>3.4293574758104661</v>
      </c>
      <c r="G15" s="5"/>
      <c r="H15" s="5"/>
      <c r="I15" s="5"/>
      <c r="J15" s="5"/>
      <c r="K15" s="5"/>
      <c r="L15" s="5"/>
      <c r="M15" s="5"/>
      <c r="N15" s="5">
        <f t="shared" si="16"/>
        <v>1.012120698083842</v>
      </c>
      <c r="O15" s="5">
        <f t="shared" si="16"/>
        <v>1.0823880114787032</v>
      </c>
      <c r="P15" s="5">
        <f t="shared" si="16"/>
        <v>1.0779587809732161</v>
      </c>
      <c r="Q15" s="5">
        <f t="shared" si="16"/>
        <v>1.1064140531516162</v>
      </c>
      <c r="R15" s="5">
        <f t="shared" si="16"/>
        <v>1.1499413652648054</v>
      </c>
      <c r="S15" s="5">
        <f t="shared" si="16"/>
        <v>1.1901300391682408</v>
      </c>
      <c r="T15" s="5">
        <f t="shared" si="16"/>
        <v>1.2279795256643042</v>
      </c>
      <c r="U15" s="5">
        <f t="shared" si="16"/>
        <v>1.2642434756535494</v>
      </c>
      <c r="V15" s="5">
        <f t="shared" si="16"/>
        <v>1.2994545184448631</v>
      </c>
      <c r="AG15" s="91" t="s">
        <v>679</v>
      </c>
      <c r="AH15" s="200">
        <v>0.01</v>
      </c>
      <c r="AI15" s="199">
        <v>1084.7708038546202</v>
      </c>
      <c r="AJ15" s="199">
        <v>698.8357010650202</v>
      </c>
      <c r="AK15" s="103">
        <v>12.325144639594711</v>
      </c>
      <c r="AL15" s="195">
        <v>0</v>
      </c>
      <c r="AP15" s="4" t="str">
        <f>+AG15</f>
        <v>BB/Tel</v>
      </c>
      <c r="AQ15" s="75" t="s">
        <v>687</v>
      </c>
      <c r="AR15" s="84">
        <f t="shared" si="14"/>
        <v>2.2879287655029001E-2</v>
      </c>
      <c r="AS15" s="84">
        <f t="shared" si="14"/>
        <v>3.8854445830917461E-2</v>
      </c>
      <c r="BJ15" s="212" t="s">
        <v>282</v>
      </c>
      <c r="BK15" s="215">
        <v>7.5765306122448974</v>
      </c>
      <c r="BL15" s="215">
        <v>7.1182548794489096</v>
      </c>
      <c r="BM15" s="215">
        <v>6.651532349602725</v>
      </c>
      <c r="BN15" s="215">
        <v>3.2352859367501439</v>
      </c>
      <c r="BO15" s="215">
        <v>3.4293574758104661</v>
      </c>
      <c r="BP15" s="215">
        <v>2.908907948316839</v>
      </c>
      <c r="BQ15" s="215">
        <v>2.4170551281651829</v>
      </c>
      <c r="BS15" s="212" t="str">
        <f t="shared" si="0"/>
        <v>ND/EBITDA</v>
      </c>
      <c r="BT15" s="215">
        <f t="shared" si="0"/>
        <v>7.5765306122448974</v>
      </c>
      <c r="BU15" s="215">
        <f t="shared" si="0"/>
        <v>7.1182548794489096</v>
      </c>
      <c r="BV15" s="215">
        <f t="shared" si="0"/>
        <v>6.651532349602725</v>
      </c>
      <c r="BW15" s="215">
        <f t="shared" si="0"/>
        <v>3.2352859367501439</v>
      </c>
      <c r="BX15" s="215">
        <f t="shared" si="0"/>
        <v>3.4293574758104661</v>
      </c>
      <c r="BY15" s="215">
        <f t="shared" si="1"/>
        <v>1.012120698083842</v>
      </c>
      <c r="BZ15" s="215">
        <f t="shared" si="1"/>
        <v>1.0823880114787032</v>
      </c>
      <c r="CC15" s="40">
        <f>+CC13/CC14-1</f>
        <v>0</v>
      </c>
      <c r="CD15" s="40">
        <f>+CD13/CD14-1</f>
        <v>0</v>
      </c>
      <c r="CE15" s="40">
        <f>+CE13/CE14-1</f>
        <v>1.4406229206663932</v>
      </c>
      <c r="CF15" s="40">
        <f>+CF13/CF14-1</f>
        <v>1.2120393103672371</v>
      </c>
      <c r="CI15" s="40">
        <f>+CI13/CI14-1</f>
        <v>0</v>
      </c>
      <c r="CJ15" s="40">
        <f>+CJ13/CJ14-1</f>
        <v>0</v>
      </c>
      <c r="CK15" s="40">
        <f>+CK13/CK14-1</f>
        <v>5.1875488591962782E-2</v>
      </c>
      <c r="CL15" s="40">
        <f>+CL13/CL14-1</f>
        <v>3.4837500037391278E-2</v>
      </c>
    </row>
    <row r="16" spans="1:90" s="81" customFormat="1">
      <c r="A16" s="4"/>
      <c r="B16" s="5"/>
      <c r="C16" s="5"/>
      <c r="D16" s="5"/>
      <c r="E16" s="5"/>
      <c r="F16" s="5"/>
      <c r="G16" s="5"/>
      <c r="H16" s="5"/>
      <c r="I16" s="5"/>
      <c r="J16" s="5"/>
      <c r="K16" s="5"/>
      <c r="L16" s="5"/>
      <c r="M16" s="5"/>
      <c r="N16" s="5"/>
      <c r="O16" s="5"/>
      <c r="P16" s="5"/>
      <c r="Q16" s="5"/>
      <c r="R16" s="5"/>
      <c r="S16" s="5"/>
      <c r="T16" s="5"/>
      <c r="U16" s="5"/>
      <c r="V16" s="5"/>
      <c r="W16" s="4"/>
      <c r="X16" s="4"/>
      <c r="Y16" s="4"/>
      <c r="AG16" s="91"/>
      <c r="AH16" s="91"/>
      <c r="AI16" s="199"/>
      <c r="AJ16" s="199"/>
      <c r="AK16" s="91"/>
      <c r="AL16" s="91"/>
      <c r="AM16" s="91"/>
      <c r="AN16" s="91"/>
      <c r="AO16" s="91"/>
      <c r="AP16" s="4"/>
      <c r="AQ16" s="4"/>
      <c r="AR16" s="4"/>
      <c r="AS16" s="4"/>
      <c r="AT16" s="4"/>
      <c r="AU16" s="4"/>
      <c r="AV16" s="4"/>
      <c r="AW16" s="4"/>
      <c r="AX16" s="4"/>
      <c r="AY16" s="4"/>
      <c r="AZ16" s="4"/>
      <c r="BA16" s="4"/>
      <c r="BB16" s="4"/>
      <c r="BC16" s="4"/>
      <c r="BD16" s="4"/>
      <c r="BE16" s="4"/>
      <c r="BF16" s="4"/>
      <c r="BG16" s="4"/>
      <c r="BH16" s="4"/>
      <c r="BI16" s="4"/>
      <c r="BJ16" s="212"/>
      <c r="BK16" s="215"/>
      <c r="BL16" s="215"/>
      <c r="BM16" s="215"/>
      <c r="BN16" s="215"/>
      <c r="BO16" s="215"/>
      <c r="BP16" s="215"/>
      <c r="BQ16" s="215"/>
      <c r="BS16" s="212"/>
      <c r="BT16" s="215"/>
      <c r="BU16" s="215"/>
      <c r="BV16" s="215"/>
      <c r="BW16" s="215"/>
      <c r="BX16" s="215"/>
      <c r="BY16" s="215"/>
      <c r="BZ16" s="215"/>
      <c r="CB16" s="81" t="s">
        <v>612</v>
      </c>
      <c r="CC16" s="161">
        <f>+BW13</f>
        <v>-21.767022308438392</v>
      </c>
      <c r="CD16" s="161">
        <f>+BX13</f>
        <v>12.759987179601463</v>
      </c>
      <c r="CE16" s="161">
        <f>+BY13</f>
        <v>118.39938521389519</v>
      </c>
      <c r="CF16" s="161">
        <f>+BZ13</f>
        <v>124.19227756614413</v>
      </c>
      <c r="CH16" s="81" t="s">
        <v>723</v>
      </c>
      <c r="CI16" s="161">
        <f>+BW27</f>
        <v>22</v>
      </c>
      <c r="CJ16" s="161">
        <f>+BX27</f>
        <v>22.22</v>
      </c>
      <c r="CK16" s="161">
        <f>+BY27</f>
        <v>22.4422</v>
      </c>
      <c r="CL16" s="161">
        <f>+BZ27</f>
        <v>22.666622</v>
      </c>
    </row>
    <row r="17" spans="1:90">
      <c r="A17" s="81" t="s">
        <v>621</v>
      </c>
      <c r="B17" s="81"/>
      <c r="C17" s="81"/>
      <c r="D17" s="81"/>
      <c r="E17" s="81"/>
      <c r="F17" s="81"/>
      <c r="G17" s="81"/>
      <c r="H17" s="81"/>
      <c r="I17" s="81"/>
      <c r="J17" s="81"/>
      <c r="K17" s="81"/>
      <c r="L17" s="81"/>
      <c r="M17" s="81"/>
      <c r="N17" s="81"/>
      <c r="O17" s="81"/>
      <c r="P17" s="81"/>
      <c r="Q17" s="81"/>
      <c r="R17" s="81"/>
      <c r="S17" s="81"/>
      <c r="T17" s="81"/>
      <c r="U17" s="81"/>
      <c r="V17" s="81"/>
      <c r="W17" s="81"/>
      <c r="X17" s="81"/>
      <c r="Y17" s="81"/>
      <c r="AI17" s="199"/>
      <c r="AJ17" s="199"/>
      <c r="BJ17" s="210" t="s">
        <v>621</v>
      </c>
      <c r="BK17" s="210"/>
      <c r="BL17" s="210"/>
      <c r="BM17" s="210"/>
      <c r="BN17" s="210"/>
      <c r="BO17" s="210"/>
      <c r="BP17" s="210"/>
      <c r="BQ17" s="210"/>
      <c r="BS17" s="210" t="str">
        <f t="shared" ref="BS17:BX28" si="17">+A17</f>
        <v>KPIs 000s</v>
      </c>
      <c r="BT17" s="210"/>
      <c r="BU17" s="210"/>
      <c r="BV17" s="210"/>
      <c r="BW17" s="210"/>
      <c r="BX17" s="210"/>
      <c r="BY17" s="210"/>
      <c r="BZ17" s="210"/>
      <c r="CB17" s="4" t="s">
        <v>719</v>
      </c>
      <c r="CC17" s="5">
        <f>+BN13</f>
        <v>-21.767022308438392</v>
      </c>
      <c r="CD17" s="5">
        <f>+BO13</f>
        <v>12.759987179601463</v>
      </c>
      <c r="CE17" s="5">
        <f>+BP13</f>
        <v>18.242132642634072</v>
      </c>
      <c r="CF17" s="5">
        <f>+BQ13</f>
        <v>28.70835206669603</v>
      </c>
      <c r="CH17" s="4" t="s">
        <v>719</v>
      </c>
      <c r="CI17" s="5">
        <f>+BN27</f>
        <v>22</v>
      </c>
      <c r="CJ17" s="5">
        <f>+BO27</f>
        <v>22.22</v>
      </c>
      <c r="CK17" s="5">
        <f>+BP27</f>
        <v>22.4422</v>
      </c>
      <c r="CL17" s="5">
        <f>+BQ27</f>
        <v>22.666622</v>
      </c>
    </row>
    <row r="18" spans="1:90" s="81" customFormat="1">
      <c r="A18" s="4" t="s">
        <v>171</v>
      </c>
      <c r="B18" s="11">
        <f t="shared" ref="B18:V18" si="18">+B245</f>
        <v>1963</v>
      </c>
      <c r="C18" s="11">
        <f t="shared" si="18"/>
        <v>1856</v>
      </c>
      <c r="D18" s="11">
        <f t="shared" si="18"/>
        <v>1749</v>
      </c>
      <c r="E18" s="11">
        <f t="shared" si="18"/>
        <v>1697</v>
      </c>
      <c r="F18" s="11">
        <f t="shared" si="18"/>
        <v>1687</v>
      </c>
      <c r="G18" s="11"/>
      <c r="H18" s="11"/>
      <c r="I18" s="11"/>
      <c r="J18" s="11"/>
      <c r="K18" s="11"/>
      <c r="L18" s="11"/>
      <c r="M18" s="11"/>
      <c r="N18" s="11">
        <f t="shared" si="18"/>
        <v>3616</v>
      </c>
      <c r="O18" s="11">
        <f t="shared" si="18"/>
        <v>3606</v>
      </c>
      <c r="P18" s="11">
        <f t="shared" si="18"/>
        <v>3596</v>
      </c>
      <c r="Q18" s="11">
        <f t="shared" si="18"/>
        <v>3586</v>
      </c>
      <c r="R18" s="11">
        <f t="shared" si="18"/>
        <v>3576</v>
      </c>
      <c r="S18" s="11">
        <f t="shared" si="18"/>
        <v>3566</v>
      </c>
      <c r="T18" s="11">
        <f t="shared" si="18"/>
        <v>3556</v>
      </c>
      <c r="U18" s="11">
        <f t="shared" si="18"/>
        <v>3546</v>
      </c>
      <c r="V18" s="11">
        <f t="shared" si="18"/>
        <v>3536</v>
      </c>
      <c r="W18" s="4"/>
      <c r="X18" s="4"/>
      <c r="Y18" s="4"/>
      <c r="AG18" s="91"/>
      <c r="AH18" s="91"/>
      <c r="AI18" s="199"/>
      <c r="AJ18" s="199"/>
      <c r="AK18" s="91"/>
      <c r="AL18" s="91"/>
      <c r="AM18" s="91"/>
      <c r="AN18" s="91"/>
      <c r="AO18" s="91"/>
      <c r="AP18" s="4"/>
      <c r="AQ18" s="4"/>
      <c r="AR18" s="4"/>
      <c r="AS18" s="4"/>
      <c r="AT18" s="4"/>
      <c r="AU18" s="4"/>
      <c r="AV18" s="4"/>
      <c r="AW18" s="4"/>
      <c r="AX18" s="4"/>
      <c r="AY18" s="4"/>
      <c r="AZ18" s="4"/>
      <c r="BA18" s="4"/>
      <c r="BB18" s="4"/>
      <c r="BC18" s="4"/>
      <c r="BD18" s="4"/>
      <c r="BE18" s="4"/>
      <c r="BF18" s="4"/>
      <c r="BG18" s="4"/>
      <c r="BH18" s="4"/>
      <c r="BI18" s="4"/>
      <c r="BJ18" s="212" t="s">
        <v>171</v>
      </c>
      <c r="BK18" s="218">
        <v>1963</v>
      </c>
      <c r="BL18" s="218">
        <v>1856</v>
      </c>
      <c r="BM18" s="218">
        <v>1749</v>
      </c>
      <c r="BN18" s="218">
        <v>1697</v>
      </c>
      <c r="BO18" s="218">
        <v>1687</v>
      </c>
      <c r="BP18" s="218">
        <v>1677</v>
      </c>
      <c r="BQ18" s="218">
        <v>1667</v>
      </c>
      <c r="BS18" s="212" t="str">
        <f t="shared" si="17"/>
        <v>Homes connected</v>
      </c>
      <c r="BT18" s="218">
        <f t="shared" si="17"/>
        <v>1963</v>
      </c>
      <c r="BU18" s="218">
        <f t="shared" si="17"/>
        <v>1856</v>
      </c>
      <c r="BV18" s="218">
        <f t="shared" si="17"/>
        <v>1749</v>
      </c>
      <c r="BW18" s="218">
        <f t="shared" si="17"/>
        <v>1697</v>
      </c>
      <c r="BX18" s="218">
        <f t="shared" si="17"/>
        <v>1687</v>
      </c>
      <c r="BY18" s="218">
        <f>+N18</f>
        <v>3616</v>
      </c>
      <c r="BZ18" s="218">
        <f>+O18</f>
        <v>3606</v>
      </c>
      <c r="CC18" s="162"/>
      <c r="CD18" s="162">
        <f>+CD16/CD17-1</f>
        <v>0</v>
      </c>
      <c r="CE18" s="162">
        <f>+CE16/CE17-1</f>
        <v>5.4904354953094403</v>
      </c>
      <c r="CF18" s="162">
        <f>+CF16/CF17-1</f>
        <v>3.3259981373231469</v>
      </c>
      <c r="CI18" s="162">
        <f>+CI16/CI17-1</f>
        <v>0</v>
      </c>
      <c r="CJ18" s="162">
        <f>+CJ16/CJ17-1</f>
        <v>0</v>
      </c>
      <c r="CK18" s="162">
        <f>+CK16/CK17-1</f>
        <v>0</v>
      </c>
      <c r="CL18" s="162">
        <f>+CL16/CL17-1</f>
        <v>0</v>
      </c>
    </row>
    <row r="19" spans="1:90">
      <c r="A19" s="81" t="s">
        <v>570</v>
      </c>
      <c r="B19" s="163">
        <f t="shared" ref="B19:V19" si="19">+B261</f>
        <v>1447</v>
      </c>
      <c r="C19" s="163">
        <f t="shared" si="19"/>
        <v>1353</v>
      </c>
      <c r="D19" s="163">
        <f t="shared" si="19"/>
        <v>1302</v>
      </c>
      <c r="E19" s="163">
        <f t="shared" si="19"/>
        <v>1282</v>
      </c>
      <c r="F19" s="163">
        <f t="shared" si="19"/>
        <v>1282.8804920447849</v>
      </c>
      <c r="G19" s="163"/>
      <c r="H19" s="163"/>
      <c r="I19" s="163"/>
      <c r="J19" s="163"/>
      <c r="K19" s="163"/>
      <c r="L19" s="163"/>
      <c r="M19" s="163"/>
      <c r="N19" s="163">
        <f t="shared" si="19"/>
        <v>2518.0468668598846</v>
      </c>
      <c r="O19" s="163">
        <f t="shared" si="19"/>
        <v>2529.1132416749842</v>
      </c>
      <c r="P19" s="163">
        <f t="shared" si="19"/>
        <v>2540.0796164900844</v>
      </c>
      <c r="Q19" s="163">
        <f t="shared" si="19"/>
        <v>2550.9459913051842</v>
      </c>
      <c r="R19" s="163">
        <f t="shared" si="19"/>
        <v>2561.7123661202841</v>
      </c>
      <c r="S19" s="163">
        <f t="shared" si="19"/>
        <v>2572.378740935384</v>
      </c>
      <c r="T19" s="163">
        <f t="shared" si="19"/>
        <v>2582.9451157504836</v>
      </c>
      <c r="U19" s="163">
        <f t="shared" si="19"/>
        <v>2593.4114905655838</v>
      </c>
      <c r="V19" s="163">
        <f t="shared" si="19"/>
        <v>2603.7778653806836</v>
      </c>
      <c r="W19" s="81"/>
      <c r="X19" s="81"/>
      <c r="Y19" s="81"/>
      <c r="AI19" s="199"/>
      <c r="AJ19" s="199"/>
      <c r="BJ19" s="210" t="s">
        <v>570</v>
      </c>
      <c r="BK19" s="217">
        <v>1447</v>
      </c>
      <c r="BL19" s="217">
        <v>1353</v>
      </c>
      <c r="BM19" s="217">
        <v>1302</v>
      </c>
      <c r="BN19" s="217">
        <v>1282</v>
      </c>
      <c r="BO19" s="217">
        <v>1282.8804920447849</v>
      </c>
      <c r="BP19" s="217">
        <v>1283.6609840895699</v>
      </c>
      <c r="BQ19" s="217">
        <v>1284.3414761343547</v>
      </c>
      <c r="BS19" s="210" t="str">
        <f t="shared" si="17"/>
        <v>Customers</v>
      </c>
      <c r="BT19" s="217">
        <f t="shared" si="17"/>
        <v>1447</v>
      </c>
      <c r="BU19" s="217">
        <f t="shared" si="17"/>
        <v>1353</v>
      </c>
      <c r="BV19" s="217">
        <f t="shared" si="17"/>
        <v>1302</v>
      </c>
      <c r="BW19" s="217">
        <f t="shared" si="17"/>
        <v>1282</v>
      </c>
      <c r="BX19" s="217">
        <f t="shared" si="17"/>
        <v>1282.8804920447849</v>
      </c>
      <c r="BY19" s="217">
        <f>+N19</f>
        <v>2518.0468668598846</v>
      </c>
      <c r="BZ19" s="217">
        <f>+O19</f>
        <v>2529.1132416749842</v>
      </c>
      <c r="CB19" s="4" t="s">
        <v>160</v>
      </c>
      <c r="CC19" s="11">
        <f>+BW14</f>
        <v>320.39999999999998</v>
      </c>
      <c r="CD19" s="11">
        <f>+BX14</f>
        <v>361.54944132771675</v>
      </c>
      <c r="CE19" s="11">
        <f>+BY14</f>
        <v>265.61055756171675</v>
      </c>
      <c r="CF19" s="11">
        <f>+BZ14</f>
        <v>306.70862524972802</v>
      </c>
      <c r="CH19" s="4" t="s">
        <v>724</v>
      </c>
      <c r="CI19" s="5">
        <f>+BW28</f>
        <v>13.9</v>
      </c>
      <c r="CJ19" s="5">
        <f>+BX28</f>
        <v>13.930204717160576</v>
      </c>
      <c r="CK19" s="5">
        <f>+BY28</f>
        <v>15.764549165430338</v>
      </c>
      <c r="CL19" s="5">
        <f>+BZ28</f>
        <v>16.512267174514374</v>
      </c>
    </row>
    <row r="20" spans="1:90" s="81" customFormat="1">
      <c r="A20" s="4" t="s">
        <v>33</v>
      </c>
      <c r="B20" s="4"/>
      <c r="C20" s="4"/>
      <c r="D20" s="4"/>
      <c r="E20" s="4"/>
      <c r="F20" s="4"/>
      <c r="G20" s="4"/>
      <c r="H20" s="4"/>
      <c r="I20" s="4"/>
      <c r="J20" s="4"/>
      <c r="K20" s="4"/>
      <c r="L20" s="4"/>
      <c r="M20" s="4"/>
      <c r="N20" s="4"/>
      <c r="O20" s="4"/>
      <c r="P20" s="4"/>
      <c r="Q20" s="4"/>
      <c r="R20" s="4"/>
      <c r="S20" s="4"/>
      <c r="T20" s="4"/>
      <c r="U20" s="4"/>
      <c r="V20" s="4"/>
      <c r="W20" s="4"/>
      <c r="X20" s="4"/>
      <c r="Y20" s="4"/>
      <c r="AG20" s="91"/>
      <c r="AH20" s="91"/>
      <c r="AI20" s="199"/>
      <c r="AJ20" s="199"/>
      <c r="AK20" s="91"/>
      <c r="AL20" s="91"/>
      <c r="AM20" s="91"/>
      <c r="AN20" s="91"/>
      <c r="AO20" s="91"/>
      <c r="AP20" s="4"/>
      <c r="AQ20" s="4"/>
      <c r="AR20" s="4"/>
      <c r="AS20" s="4"/>
      <c r="AT20" s="4"/>
      <c r="AU20" s="4"/>
      <c r="AV20" s="4"/>
      <c r="AW20" s="4"/>
      <c r="AX20" s="4"/>
      <c r="AY20" s="4"/>
      <c r="AZ20" s="4"/>
      <c r="BA20" s="4"/>
      <c r="BB20" s="4"/>
      <c r="BC20" s="4"/>
      <c r="BD20" s="4"/>
      <c r="BE20" s="4"/>
      <c r="BF20" s="4"/>
      <c r="BG20" s="4"/>
      <c r="BH20" s="4"/>
      <c r="BI20" s="4"/>
      <c r="BJ20" s="212" t="s">
        <v>33</v>
      </c>
      <c r="BK20" s="212"/>
      <c r="BL20" s="212"/>
      <c r="BM20" s="212"/>
      <c r="BN20" s="212"/>
      <c r="BO20" s="212"/>
      <c r="BP20" s="212"/>
      <c r="BQ20" s="212"/>
      <c r="BS20" s="212" t="str">
        <f t="shared" si="17"/>
        <v>RGUs</v>
      </c>
      <c r="BT20" s="212"/>
      <c r="BU20" s="212"/>
      <c r="BV20" s="212"/>
      <c r="BW20" s="212"/>
      <c r="BX20" s="212"/>
      <c r="BY20" s="212"/>
      <c r="BZ20" s="212"/>
      <c r="CB20" s="81" t="s">
        <v>719</v>
      </c>
      <c r="CC20" s="163">
        <f>+BN14</f>
        <v>320.39999999999998</v>
      </c>
      <c r="CD20" s="163">
        <f>+BO14</f>
        <v>361.54944132771675</v>
      </c>
      <c r="CE20" s="163">
        <f>+BP14</f>
        <v>347.1721616705463</v>
      </c>
      <c r="CF20" s="163">
        <f>+BQ14</f>
        <v>327.18519791827555</v>
      </c>
      <c r="CH20" s="81" t="s">
        <v>719</v>
      </c>
      <c r="CI20" s="161">
        <f>+BN28</f>
        <v>13.9</v>
      </c>
      <c r="CJ20" s="161">
        <f>+BO28</f>
        <v>13.930204717160576</v>
      </c>
      <c r="CK20" s="161">
        <f>+BP28</f>
        <v>15.126121548908044</v>
      </c>
      <c r="CL20" s="161">
        <f>+BQ28</f>
        <v>16.563461337032951</v>
      </c>
    </row>
    <row r="21" spans="1:90">
      <c r="A21" s="81" t="s">
        <v>619</v>
      </c>
      <c r="B21" s="163">
        <f t="shared" ref="B21:V21" si="20">+B265</f>
        <v>1538</v>
      </c>
      <c r="C21" s="163">
        <f t="shared" si="20"/>
        <v>1416</v>
      </c>
      <c r="D21" s="163">
        <f t="shared" si="20"/>
        <v>1338</v>
      </c>
      <c r="E21" s="163">
        <f t="shared" si="20"/>
        <v>1311</v>
      </c>
      <c r="F21" s="163">
        <f t="shared" si="20"/>
        <v>1281</v>
      </c>
      <c r="G21" s="163"/>
      <c r="H21" s="163"/>
      <c r="I21" s="163"/>
      <c r="J21" s="163"/>
      <c r="K21" s="163"/>
      <c r="L21" s="163"/>
      <c r="M21" s="163"/>
      <c r="N21" s="163">
        <f t="shared" si="20"/>
        <v>2485</v>
      </c>
      <c r="O21" s="163">
        <f t="shared" si="20"/>
        <v>2465</v>
      </c>
      <c r="P21" s="163">
        <f t="shared" si="20"/>
        <v>2445</v>
      </c>
      <c r="Q21" s="163">
        <f t="shared" si="20"/>
        <v>2425</v>
      </c>
      <c r="R21" s="163">
        <f t="shared" si="20"/>
        <v>2405</v>
      </c>
      <c r="S21" s="163">
        <f t="shared" si="20"/>
        <v>2385</v>
      </c>
      <c r="T21" s="163">
        <f t="shared" si="20"/>
        <v>2365</v>
      </c>
      <c r="U21" s="163">
        <f t="shared" si="20"/>
        <v>2345</v>
      </c>
      <c r="V21" s="163">
        <f t="shared" si="20"/>
        <v>2325</v>
      </c>
      <c r="W21" s="81"/>
      <c r="X21" s="81"/>
      <c r="Y21" s="81"/>
      <c r="BJ21" s="210" t="s">
        <v>619</v>
      </c>
      <c r="BK21" s="217">
        <v>1538</v>
      </c>
      <c r="BL21" s="217">
        <v>1416</v>
      </c>
      <c r="BM21" s="217">
        <v>1338</v>
      </c>
      <c r="BN21" s="217">
        <v>1311</v>
      </c>
      <c r="BO21" s="217">
        <v>1281</v>
      </c>
      <c r="BP21" s="217">
        <v>1271</v>
      </c>
      <c r="BQ21" s="217">
        <v>1261</v>
      </c>
      <c r="BS21" s="210" t="str">
        <f t="shared" si="17"/>
        <v>Basic video</v>
      </c>
      <c r="BT21" s="217">
        <f t="shared" si="17"/>
        <v>1538</v>
      </c>
      <c r="BU21" s="217">
        <f t="shared" si="17"/>
        <v>1416</v>
      </c>
      <c r="BV21" s="217">
        <f t="shared" si="17"/>
        <v>1338</v>
      </c>
      <c r="BW21" s="217">
        <f t="shared" si="17"/>
        <v>1311</v>
      </c>
      <c r="BX21" s="217">
        <f t="shared" si="17"/>
        <v>1281</v>
      </c>
      <c r="BY21" s="217">
        <f t="shared" ref="BY21:BZ24" si="21">+N21</f>
        <v>2485</v>
      </c>
      <c r="BZ21" s="217">
        <f t="shared" si="21"/>
        <v>2465</v>
      </c>
      <c r="CC21" s="40">
        <f>+CC19/CC20-1</f>
        <v>0</v>
      </c>
      <c r="CD21" s="40">
        <f>+CD19/CD20-1</f>
        <v>0</v>
      </c>
      <c r="CE21" s="40">
        <f>+CE19/CE20-1</f>
        <v>-0.23493129090871212</v>
      </c>
      <c r="CF21" s="40">
        <f>+CF19/CF20-1</f>
        <v>-6.2584043528956301E-2</v>
      </c>
      <c r="CI21" s="40">
        <f>+CI19/CI20-1</f>
        <v>0</v>
      </c>
      <c r="CJ21" s="40">
        <f>+CJ19/CJ20-1</f>
        <v>0</v>
      </c>
      <c r="CK21" s="40">
        <f>+CK19/CK20-1</f>
        <v>4.2206960618294209E-2</v>
      </c>
      <c r="CL21" s="40">
        <f>+CL19/CL20-1</f>
        <v>-3.0907889043768622E-3</v>
      </c>
    </row>
    <row r="22" spans="1:90" s="81" customFormat="1">
      <c r="A22" s="4" t="s">
        <v>614</v>
      </c>
      <c r="B22" s="11">
        <f t="shared" ref="B22:V24" si="22">+B267</f>
        <v>142</v>
      </c>
      <c r="C22" s="11">
        <f t="shared" si="22"/>
        <v>153</v>
      </c>
      <c r="D22" s="11">
        <f t="shared" si="22"/>
        <v>164</v>
      </c>
      <c r="E22" s="11">
        <f t="shared" si="22"/>
        <v>161</v>
      </c>
      <c r="F22" s="11">
        <f t="shared" si="22"/>
        <v>181</v>
      </c>
      <c r="G22" s="11"/>
      <c r="H22" s="11"/>
      <c r="I22" s="11"/>
      <c r="J22" s="11"/>
      <c r="K22" s="11"/>
      <c r="L22" s="11"/>
      <c r="M22" s="11"/>
      <c r="N22" s="11">
        <f t="shared" si="22"/>
        <v>495</v>
      </c>
      <c r="O22" s="11">
        <f t="shared" si="22"/>
        <v>555</v>
      </c>
      <c r="P22" s="11">
        <f t="shared" si="22"/>
        <v>615</v>
      </c>
      <c r="Q22" s="11">
        <f t="shared" si="22"/>
        <v>675</v>
      </c>
      <c r="R22" s="11">
        <f t="shared" si="22"/>
        <v>735</v>
      </c>
      <c r="S22" s="11">
        <f t="shared" si="22"/>
        <v>795</v>
      </c>
      <c r="T22" s="11">
        <f t="shared" si="22"/>
        <v>855</v>
      </c>
      <c r="U22" s="11">
        <f t="shared" si="22"/>
        <v>915</v>
      </c>
      <c r="V22" s="11">
        <f t="shared" si="22"/>
        <v>975</v>
      </c>
      <c r="W22" s="4"/>
      <c r="X22" s="4"/>
      <c r="Y22" s="4"/>
      <c r="AG22" s="91"/>
      <c r="AH22" s="91"/>
      <c r="AI22" s="91"/>
      <c r="AJ22" s="91"/>
      <c r="AK22" s="91"/>
      <c r="AL22" s="91"/>
      <c r="AM22" s="91"/>
      <c r="AN22" s="91"/>
      <c r="AO22" s="91"/>
      <c r="AP22" s="4"/>
      <c r="AQ22" s="4"/>
      <c r="AR22" s="4"/>
      <c r="AS22" s="4"/>
      <c r="AT22" s="4"/>
      <c r="AU22" s="4"/>
      <c r="AV22" s="4"/>
      <c r="AW22" s="4"/>
      <c r="AX22" s="4"/>
      <c r="AY22" s="4"/>
      <c r="AZ22" s="4"/>
      <c r="BA22" s="4"/>
      <c r="BB22" s="4"/>
      <c r="BC22" s="4"/>
      <c r="BD22" s="4"/>
      <c r="BE22" s="4"/>
      <c r="BF22" s="4"/>
      <c r="BG22" s="4"/>
      <c r="BH22" s="4"/>
      <c r="BI22" s="4"/>
      <c r="BJ22" s="212" t="s">
        <v>614</v>
      </c>
      <c r="BK22" s="218">
        <v>142</v>
      </c>
      <c r="BL22" s="218">
        <v>153</v>
      </c>
      <c r="BM22" s="218">
        <v>164</v>
      </c>
      <c r="BN22" s="218">
        <v>161</v>
      </c>
      <c r="BO22" s="218">
        <v>181</v>
      </c>
      <c r="BP22" s="218">
        <v>221</v>
      </c>
      <c r="BQ22" s="218">
        <v>261</v>
      </c>
      <c r="BS22" s="212" t="str">
        <f t="shared" si="17"/>
        <v>Premium video</v>
      </c>
      <c r="BT22" s="218">
        <f t="shared" si="17"/>
        <v>142</v>
      </c>
      <c r="BU22" s="218">
        <f t="shared" si="17"/>
        <v>153</v>
      </c>
      <c r="BV22" s="218">
        <f t="shared" si="17"/>
        <v>164</v>
      </c>
      <c r="BW22" s="218">
        <f t="shared" si="17"/>
        <v>161</v>
      </c>
      <c r="BX22" s="218">
        <f t="shared" si="17"/>
        <v>181</v>
      </c>
      <c r="BY22" s="218">
        <f t="shared" si="21"/>
        <v>495</v>
      </c>
      <c r="BZ22" s="218">
        <f t="shared" si="21"/>
        <v>555</v>
      </c>
      <c r="CB22" s="81" t="s">
        <v>596</v>
      </c>
      <c r="CC22" s="162">
        <f t="shared" ref="CC22:CF23" si="23">+CC7/CC4</f>
        <v>0.4649435572373784</v>
      </c>
      <c r="CD22" s="162">
        <f t="shared" si="23"/>
        <v>0.47449106544596875</v>
      </c>
      <c r="CE22" s="162">
        <f t="shared" si="23"/>
        <v>0.53524940705217028</v>
      </c>
      <c r="CF22" s="162">
        <f t="shared" si="23"/>
        <v>0.55017616582597917</v>
      </c>
      <c r="CI22" s="163"/>
      <c r="CJ22" s="163"/>
      <c r="CK22" s="163"/>
      <c r="CL22" s="163"/>
    </row>
    <row r="23" spans="1:90">
      <c r="A23" s="81" t="s">
        <v>613</v>
      </c>
      <c r="B23" s="163">
        <f t="shared" si="22"/>
        <v>115</v>
      </c>
      <c r="C23" s="163">
        <f t="shared" si="22"/>
        <v>135</v>
      </c>
      <c r="D23" s="163">
        <f t="shared" si="22"/>
        <v>174</v>
      </c>
      <c r="E23" s="163">
        <f t="shared" si="22"/>
        <v>202</v>
      </c>
      <c r="F23" s="163">
        <f t="shared" si="22"/>
        <v>242</v>
      </c>
      <c r="G23" s="163"/>
      <c r="H23" s="163"/>
      <c r="I23" s="163"/>
      <c r="J23" s="163"/>
      <c r="K23" s="163"/>
      <c r="L23" s="163"/>
      <c r="M23" s="163"/>
      <c r="N23" s="163">
        <f t="shared" si="22"/>
        <v>525</v>
      </c>
      <c r="O23" s="163">
        <f t="shared" si="22"/>
        <v>585</v>
      </c>
      <c r="P23" s="163">
        <f t="shared" si="22"/>
        <v>645</v>
      </c>
      <c r="Q23" s="163">
        <f t="shared" si="22"/>
        <v>705</v>
      </c>
      <c r="R23" s="163">
        <f t="shared" si="22"/>
        <v>765</v>
      </c>
      <c r="S23" s="163">
        <f t="shared" si="22"/>
        <v>825</v>
      </c>
      <c r="T23" s="163">
        <f t="shared" si="22"/>
        <v>885</v>
      </c>
      <c r="U23" s="163">
        <f t="shared" si="22"/>
        <v>945</v>
      </c>
      <c r="V23" s="163">
        <f t="shared" si="22"/>
        <v>1005</v>
      </c>
      <c r="W23" s="81"/>
      <c r="X23" s="81"/>
      <c r="Y23" s="81"/>
      <c r="BJ23" s="210" t="s">
        <v>613</v>
      </c>
      <c r="BK23" s="217">
        <v>115</v>
      </c>
      <c r="BL23" s="217">
        <v>135</v>
      </c>
      <c r="BM23" s="217">
        <v>174</v>
      </c>
      <c r="BN23" s="217">
        <v>202</v>
      </c>
      <c r="BO23" s="217">
        <v>242</v>
      </c>
      <c r="BP23" s="217">
        <v>282</v>
      </c>
      <c r="BQ23" s="217">
        <v>322</v>
      </c>
      <c r="BS23" s="210" t="str">
        <f t="shared" si="17"/>
        <v>Broadband</v>
      </c>
      <c r="BT23" s="217">
        <f t="shared" si="17"/>
        <v>115</v>
      </c>
      <c r="BU23" s="217">
        <f t="shared" si="17"/>
        <v>135</v>
      </c>
      <c r="BV23" s="217">
        <f t="shared" si="17"/>
        <v>174</v>
      </c>
      <c r="BW23" s="217">
        <f t="shared" si="17"/>
        <v>202</v>
      </c>
      <c r="BX23" s="217">
        <f t="shared" si="17"/>
        <v>242</v>
      </c>
      <c r="BY23" s="217">
        <f t="shared" si="21"/>
        <v>525</v>
      </c>
      <c r="BZ23" s="217">
        <f t="shared" si="21"/>
        <v>585</v>
      </c>
      <c r="CB23" s="4" t="s">
        <v>719</v>
      </c>
      <c r="CC23" s="40">
        <f t="shared" si="23"/>
        <v>0.4649435572373784</v>
      </c>
      <c r="CD23" s="40">
        <f t="shared" si="23"/>
        <v>0.47449106544596875</v>
      </c>
      <c r="CE23" s="40">
        <f t="shared" si="23"/>
        <v>0.49666968477614482</v>
      </c>
      <c r="CF23" s="40">
        <f t="shared" si="23"/>
        <v>0.51686884054819582</v>
      </c>
      <c r="CI23" s="11"/>
      <c r="CJ23" s="11"/>
      <c r="CK23" s="11"/>
      <c r="CL23" s="11"/>
    </row>
    <row r="24" spans="1:90" s="81" customFormat="1">
      <c r="A24" s="4" t="s">
        <v>620</v>
      </c>
      <c r="B24" s="11">
        <f t="shared" si="22"/>
        <v>87</v>
      </c>
      <c r="C24" s="11">
        <f t="shared" si="22"/>
        <v>112</v>
      </c>
      <c r="D24" s="11">
        <f t="shared" si="22"/>
        <v>146</v>
      </c>
      <c r="E24" s="11">
        <f t="shared" si="22"/>
        <v>170</v>
      </c>
      <c r="F24" s="11">
        <f t="shared" si="22"/>
        <v>205</v>
      </c>
      <c r="G24" s="11"/>
      <c r="H24" s="11"/>
      <c r="I24" s="11"/>
      <c r="J24" s="11"/>
      <c r="K24" s="11"/>
      <c r="L24" s="11"/>
      <c r="M24" s="11"/>
      <c r="N24" s="11">
        <f t="shared" si="22"/>
        <v>446</v>
      </c>
      <c r="O24" s="11">
        <f t="shared" si="22"/>
        <v>491</v>
      </c>
      <c r="P24" s="11">
        <f t="shared" si="22"/>
        <v>536</v>
      </c>
      <c r="Q24" s="11">
        <f t="shared" si="22"/>
        <v>581</v>
      </c>
      <c r="R24" s="11">
        <f t="shared" si="22"/>
        <v>626</v>
      </c>
      <c r="S24" s="11">
        <f t="shared" si="22"/>
        <v>671</v>
      </c>
      <c r="T24" s="11">
        <f t="shared" si="22"/>
        <v>716</v>
      </c>
      <c r="U24" s="11">
        <f t="shared" si="22"/>
        <v>761</v>
      </c>
      <c r="V24" s="11">
        <f t="shared" si="22"/>
        <v>806</v>
      </c>
      <c r="W24" s="4"/>
      <c r="X24" s="4"/>
      <c r="Y24" s="4"/>
      <c r="AG24" s="91"/>
      <c r="AH24" s="91"/>
      <c r="AI24" s="91"/>
      <c r="AJ24" s="91"/>
      <c r="AK24" s="91"/>
      <c r="AL24" s="91"/>
      <c r="AM24" s="91"/>
      <c r="AN24" s="91"/>
      <c r="AO24" s="91"/>
      <c r="AP24" s="4"/>
      <c r="AQ24" s="4"/>
      <c r="AR24" s="4"/>
      <c r="AS24" s="4"/>
      <c r="AT24" s="4"/>
      <c r="AU24" s="4"/>
      <c r="AV24" s="11">
        <f>+F18</f>
        <v>1687</v>
      </c>
      <c r="AW24" s="4"/>
      <c r="AX24" s="4"/>
      <c r="AY24" s="4"/>
      <c r="AZ24" s="4"/>
      <c r="BA24" s="4"/>
      <c r="BB24" s="4"/>
      <c r="BC24" s="4"/>
      <c r="BD24" s="4"/>
      <c r="BE24" s="4"/>
      <c r="BF24" s="4"/>
      <c r="BG24" s="4"/>
      <c r="BH24" s="4"/>
      <c r="BI24" s="4"/>
      <c r="BJ24" s="212" t="s">
        <v>620</v>
      </c>
      <c r="BK24" s="218">
        <v>87</v>
      </c>
      <c r="BL24" s="218">
        <v>112</v>
      </c>
      <c r="BM24" s="218">
        <v>146</v>
      </c>
      <c r="BN24" s="218">
        <v>170</v>
      </c>
      <c r="BO24" s="218">
        <v>205</v>
      </c>
      <c r="BP24" s="218">
        <v>240</v>
      </c>
      <c r="BQ24" s="218">
        <v>275</v>
      </c>
      <c r="BS24" s="212" t="str">
        <f t="shared" si="17"/>
        <v>Telephony</v>
      </c>
      <c r="BT24" s="218">
        <f t="shared" si="17"/>
        <v>87</v>
      </c>
      <c r="BU24" s="218">
        <f t="shared" si="17"/>
        <v>112</v>
      </c>
      <c r="BV24" s="218">
        <f t="shared" si="17"/>
        <v>146</v>
      </c>
      <c r="BW24" s="218">
        <f t="shared" si="17"/>
        <v>170</v>
      </c>
      <c r="BX24" s="218">
        <f t="shared" si="17"/>
        <v>205</v>
      </c>
      <c r="BY24" s="218">
        <f t="shared" si="21"/>
        <v>446</v>
      </c>
      <c r="BZ24" s="218">
        <f t="shared" si="21"/>
        <v>491</v>
      </c>
      <c r="CC24" s="162"/>
      <c r="CD24" s="162"/>
      <c r="CE24" s="162"/>
      <c r="CF24" s="162"/>
      <c r="CI24" s="162"/>
      <c r="CJ24" s="162"/>
      <c r="CK24" s="162"/>
      <c r="CL24" s="162"/>
    </row>
    <row r="25" spans="1:90">
      <c r="A25" s="81" t="s">
        <v>622</v>
      </c>
      <c r="B25" s="81"/>
      <c r="C25" s="81"/>
      <c r="D25" s="81"/>
      <c r="E25" s="81"/>
      <c r="F25" s="81"/>
      <c r="G25" s="81"/>
      <c r="H25" s="81"/>
      <c r="I25" s="81"/>
      <c r="J25" s="81"/>
      <c r="K25" s="81"/>
      <c r="L25" s="81"/>
      <c r="M25" s="81"/>
      <c r="N25" s="81"/>
      <c r="O25" s="81"/>
      <c r="P25" s="81"/>
      <c r="Q25" s="81"/>
      <c r="R25" s="81"/>
      <c r="S25" s="81"/>
      <c r="T25" s="81"/>
      <c r="U25" s="81"/>
      <c r="V25" s="81"/>
      <c r="W25" s="81"/>
      <c r="X25" s="81"/>
      <c r="Y25" s="81"/>
      <c r="BJ25" s="210" t="s">
        <v>622</v>
      </c>
      <c r="BK25" s="210"/>
      <c r="BL25" s="210"/>
      <c r="BM25" s="210"/>
      <c r="BN25" s="210"/>
      <c r="BO25" s="210"/>
      <c r="BP25" s="210"/>
      <c r="BQ25" s="210"/>
      <c r="BS25" s="210" t="str">
        <f t="shared" si="17"/>
        <v>ARPU € per month</v>
      </c>
      <c r="BT25" s="210"/>
      <c r="BU25" s="210"/>
      <c r="BV25" s="210"/>
      <c r="BW25" s="210"/>
      <c r="BX25" s="210"/>
      <c r="BY25" s="210"/>
      <c r="BZ25" s="210"/>
      <c r="CB25" s="4" t="s">
        <v>859</v>
      </c>
      <c r="CC25" s="40">
        <f t="shared" ref="CC25:CF26" si="24">+CC10/CC4</f>
        <v>0.3948356807511737</v>
      </c>
      <c r="CD25" s="40">
        <f t="shared" si="24"/>
        <v>0.51757220201872645</v>
      </c>
      <c r="CE25" s="40">
        <f t="shared" si="24"/>
        <v>0.3</v>
      </c>
      <c r="CF25" s="40">
        <f t="shared" si="24"/>
        <v>0.25</v>
      </c>
      <c r="CI25" s="11"/>
      <c r="CJ25" s="11"/>
      <c r="CK25" s="11"/>
      <c r="CL25" s="11"/>
    </row>
    <row r="26" spans="1:90">
      <c r="A26" s="4" t="s">
        <v>615</v>
      </c>
      <c r="B26" s="36">
        <f t="shared" ref="B26:V28" si="25">+B305</f>
        <v>9.1999999999999993</v>
      </c>
      <c r="C26" s="36">
        <f t="shared" si="25"/>
        <v>9.4</v>
      </c>
      <c r="D26" s="36">
        <f t="shared" si="25"/>
        <v>9.5</v>
      </c>
      <c r="E26" s="36">
        <f t="shared" si="25"/>
        <v>9.6</v>
      </c>
      <c r="F26" s="36">
        <f t="shared" si="25"/>
        <v>9.9106001725133019</v>
      </c>
      <c r="G26" s="36"/>
      <c r="H26" s="36"/>
      <c r="I26" s="36"/>
      <c r="J26" s="36"/>
      <c r="K26" s="36"/>
      <c r="L26" s="36"/>
      <c r="M26" s="36"/>
      <c r="N26" s="36">
        <f t="shared" si="25"/>
        <v>11.055807304290873</v>
      </c>
      <c r="O26" s="36">
        <f t="shared" si="25"/>
        <v>11.664476920942862</v>
      </c>
      <c r="P26" s="36">
        <f t="shared" si="25"/>
        <v>12.289900173397944</v>
      </c>
      <c r="Q26" s="36">
        <f t="shared" si="25"/>
        <v>12.933434344629026</v>
      </c>
      <c r="R26" s="36">
        <f t="shared" si="25"/>
        <v>13.596447188953331</v>
      </c>
      <c r="S26" s="36">
        <f t="shared" si="25"/>
        <v>14.28032357052416</v>
      </c>
      <c r="T26" s="36">
        <f t="shared" si="25"/>
        <v>14.986471650232406</v>
      </c>
      <c r="U26" s="36">
        <f t="shared" si="25"/>
        <v>15.716328721612477</v>
      </c>
      <c r="V26" s="36">
        <f t="shared" si="25"/>
        <v>16.47136678074342</v>
      </c>
      <c r="AV26" s="159">
        <f>+F5</f>
        <v>4.3151276634540769E-2</v>
      </c>
      <c r="BJ26" s="212" t="s">
        <v>615</v>
      </c>
      <c r="BK26" s="216">
        <v>9.1999999999999993</v>
      </c>
      <c r="BL26" s="216">
        <v>9.4</v>
      </c>
      <c r="BM26" s="216">
        <v>9.5</v>
      </c>
      <c r="BN26" s="216">
        <v>9.6</v>
      </c>
      <c r="BO26" s="216">
        <v>9.9106001725133019</v>
      </c>
      <c r="BP26" s="216">
        <v>10.510566530160467</v>
      </c>
      <c r="BQ26" s="216">
        <v>11.271795736549358</v>
      </c>
      <c r="BS26" s="212" t="str">
        <f t="shared" si="17"/>
        <v>Blended video</v>
      </c>
      <c r="BT26" s="216">
        <f t="shared" si="17"/>
        <v>9.1999999999999993</v>
      </c>
      <c r="BU26" s="216">
        <f t="shared" si="17"/>
        <v>9.4</v>
      </c>
      <c r="BV26" s="216">
        <f t="shared" si="17"/>
        <v>9.5</v>
      </c>
      <c r="BW26" s="216">
        <f t="shared" si="17"/>
        <v>9.6</v>
      </c>
      <c r="BX26" s="216">
        <f t="shared" si="17"/>
        <v>9.9106001725133019</v>
      </c>
      <c r="BY26" s="216">
        <f t="shared" ref="BY26:BZ28" si="26">+N26</f>
        <v>11.055807304290873</v>
      </c>
      <c r="BZ26" s="216">
        <f t="shared" si="26"/>
        <v>11.664476920942862</v>
      </c>
      <c r="CB26" s="81" t="s">
        <v>719</v>
      </c>
      <c r="CC26" s="162">
        <f t="shared" si="24"/>
        <v>0.3948356807511737</v>
      </c>
      <c r="CD26" s="162">
        <f t="shared" si="24"/>
        <v>0.51757220201872645</v>
      </c>
      <c r="CE26" s="162">
        <f t="shared" si="24"/>
        <v>0.3</v>
      </c>
      <c r="CF26" s="162">
        <f t="shared" si="24"/>
        <v>0.25</v>
      </c>
      <c r="CG26" s="81"/>
      <c r="CH26" s="81"/>
      <c r="CI26" s="163"/>
      <c r="CJ26" s="163"/>
      <c r="CK26" s="163"/>
      <c r="CL26" s="163"/>
    </row>
    <row r="27" spans="1:90">
      <c r="A27" s="81" t="s">
        <v>616</v>
      </c>
      <c r="B27" s="164">
        <f t="shared" si="25"/>
        <v>21.9</v>
      </c>
      <c r="C27" s="164">
        <f t="shared" si="25"/>
        <v>21.9</v>
      </c>
      <c r="D27" s="164">
        <f t="shared" si="25"/>
        <v>22.4</v>
      </c>
      <c r="E27" s="164">
        <f t="shared" si="25"/>
        <v>22</v>
      </c>
      <c r="F27" s="164">
        <f t="shared" si="25"/>
        <v>22.22</v>
      </c>
      <c r="G27" s="164"/>
      <c r="H27" s="164"/>
      <c r="I27" s="164"/>
      <c r="J27" s="164"/>
      <c r="K27" s="164"/>
      <c r="L27" s="164"/>
      <c r="M27" s="164"/>
      <c r="N27" s="164">
        <f t="shared" si="25"/>
        <v>22.4422</v>
      </c>
      <c r="O27" s="164">
        <f t="shared" si="25"/>
        <v>22.666622</v>
      </c>
      <c r="P27" s="164">
        <f t="shared" si="25"/>
        <v>22.893288219999999</v>
      </c>
      <c r="Q27" s="164">
        <f t="shared" si="25"/>
        <v>23.007754661099995</v>
      </c>
      <c r="R27" s="164">
        <f t="shared" si="25"/>
        <v>23.007754661099995</v>
      </c>
      <c r="S27" s="164">
        <f t="shared" si="25"/>
        <v>23.007754661099995</v>
      </c>
      <c r="T27" s="164">
        <f t="shared" si="25"/>
        <v>23.007754661099995</v>
      </c>
      <c r="U27" s="164">
        <f t="shared" si="25"/>
        <v>23.007754661099995</v>
      </c>
      <c r="V27" s="164">
        <f t="shared" si="25"/>
        <v>23.007754661099995</v>
      </c>
      <c r="W27" s="81"/>
      <c r="X27" s="81"/>
      <c r="Y27" s="81"/>
      <c r="BJ27" s="210" t="s">
        <v>616</v>
      </c>
      <c r="BK27" s="219">
        <v>21.9</v>
      </c>
      <c r="BL27" s="219">
        <v>21.9</v>
      </c>
      <c r="BM27" s="219">
        <v>22.4</v>
      </c>
      <c r="BN27" s="219">
        <v>22</v>
      </c>
      <c r="BO27" s="219">
        <v>22.22</v>
      </c>
      <c r="BP27" s="219">
        <v>22.4422</v>
      </c>
      <c r="BQ27" s="219">
        <v>22.666622</v>
      </c>
      <c r="BS27" s="210" t="str">
        <f t="shared" si="17"/>
        <v>Blended bb/tel</v>
      </c>
      <c r="BT27" s="219">
        <f t="shared" si="17"/>
        <v>21.9</v>
      </c>
      <c r="BU27" s="219">
        <f t="shared" si="17"/>
        <v>21.9</v>
      </c>
      <c r="BV27" s="219">
        <f t="shared" si="17"/>
        <v>22.4</v>
      </c>
      <c r="BW27" s="219">
        <f t="shared" si="17"/>
        <v>22</v>
      </c>
      <c r="BX27" s="219">
        <f t="shared" si="17"/>
        <v>22.22</v>
      </c>
      <c r="BY27" s="219">
        <f t="shared" si="26"/>
        <v>22.4422</v>
      </c>
      <c r="BZ27" s="219">
        <f t="shared" si="26"/>
        <v>22.666622</v>
      </c>
      <c r="CC27" s="40"/>
      <c r="CD27" s="40"/>
      <c r="CE27" s="40"/>
      <c r="CF27" s="40"/>
      <c r="CI27" s="40"/>
      <c r="CJ27" s="40"/>
      <c r="CK27" s="40"/>
      <c r="CL27" s="40"/>
    </row>
    <row r="28" spans="1:90">
      <c r="A28" s="4" t="s">
        <v>617</v>
      </c>
      <c r="B28" s="36">
        <f t="shared" si="25"/>
        <v>11.6</v>
      </c>
      <c r="C28" s="36">
        <f t="shared" si="25"/>
        <v>12.4</v>
      </c>
      <c r="D28" s="36">
        <f t="shared" si="25"/>
        <v>13.2</v>
      </c>
      <c r="E28" s="36">
        <f t="shared" si="25"/>
        <v>13.9</v>
      </c>
      <c r="F28" s="36">
        <f t="shared" si="25"/>
        <v>13.930204717160576</v>
      </c>
      <c r="G28" s="36"/>
      <c r="H28" s="36"/>
      <c r="I28" s="36"/>
      <c r="J28" s="36"/>
      <c r="K28" s="36"/>
      <c r="L28" s="36"/>
      <c r="M28" s="36"/>
      <c r="N28" s="36">
        <f t="shared" si="25"/>
        <v>15.764549165430338</v>
      </c>
      <c r="O28" s="36">
        <f t="shared" si="25"/>
        <v>16.512267174514374</v>
      </c>
      <c r="P28" s="36">
        <f t="shared" si="25"/>
        <v>17.528027574690885</v>
      </c>
      <c r="Q28" s="36">
        <f t="shared" si="25"/>
        <v>18.523539997750749</v>
      </c>
      <c r="R28" s="36">
        <f t="shared" si="25"/>
        <v>19.491764426750915</v>
      </c>
      <c r="S28" s="36">
        <f t="shared" si="25"/>
        <v>20.4617606591978</v>
      </c>
      <c r="T28" s="36">
        <f t="shared" si="25"/>
        <v>21.434431298646874</v>
      </c>
      <c r="U28" s="36">
        <f t="shared" si="25"/>
        <v>22.4106476714874</v>
      </c>
      <c r="V28" s="36">
        <f t="shared" si="25"/>
        <v>23.391254684965102</v>
      </c>
      <c r="AV28" s="159">
        <f>+F8</f>
        <v>0.47449106544596875</v>
      </c>
      <c r="BJ28" s="212" t="s">
        <v>617</v>
      </c>
      <c r="BK28" s="216">
        <v>11.6</v>
      </c>
      <c r="BL28" s="216">
        <v>12.4</v>
      </c>
      <c r="BM28" s="216">
        <v>13.2</v>
      </c>
      <c r="BN28" s="216">
        <v>13.9</v>
      </c>
      <c r="BO28" s="216">
        <v>13.930204717160576</v>
      </c>
      <c r="BP28" s="216">
        <v>15.126121548908044</v>
      </c>
      <c r="BQ28" s="216">
        <v>16.563461337032951</v>
      </c>
      <c r="BS28" s="212" t="str">
        <f t="shared" si="17"/>
        <v>Blended customer</v>
      </c>
      <c r="BT28" s="216">
        <f t="shared" si="17"/>
        <v>11.6</v>
      </c>
      <c r="BU28" s="216">
        <f t="shared" si="17"/>
        <v>12.4</v>
      </c>
      <c r="BV28" s="216">
        <f t="shared" si="17"/>
        <v>13.2</v>
      </c>
      <c r="BW28" s="216">
        <f t="shared" si="17"/>
        <v>13.9</v>
      </c>
      <c r="BX28" s="216">
        <f t="shared" si="17"/>
        <v>13.930204717160576</v>
      </c>
      <c r="BY28" s="216">
        <f t="shared" si="26"/>
        <v>15.764549165430338</v>
      </c>
      <c r="BZ28" s="216">
        <f t="shared" si="26"/>
        <v>16.512267174514374</v>
      </c>
      <c r="CB28" s="4" t="s">
        <v>980</v>
      </c>
      <c r="CC28" s="32">
        <f>+BW2</f>
        <v>0</v>
      </c>
      <c r="CD28" s="40">
        <f>+CC28/CC29-1</f>
        <v>-1</v>
      </c>
    </row>
    <row r="29" spans="1:90">
      <c r="A29" s="7"/>
      <c r="CB29" s="4" t="s">
        <v>981</v>
      </c>
      <c r="CC29" s="32">
        <f>+BN2</f>
        <v>11.86416893055366</v>
      </c>
    </row>
    <row r="30" spans="1:90">
      <c r="A30" s="7"/>
      <c r="E30" s="4">
        <f>711/11.9</f>
        <v>59.747899159663866</v>
      </c>
      <c r="AV30" s="5">
        <f>+F9</f>
        <v>115</v>
      </c>
    </row>
    <row r="31" spans="1:90">
      <c r="A31" s="7"/>
    </row>
    <row r="32" spans="1:90">
      <c r="A32" s="7"/>
      <c r="AV32" s="35">
        <f>+F254</f>
        <v>0.5907154722139828</v>
      </c>
    </row>
    <row r="33" spans="1:48">
      <c r="Z33" s="92"/>
      <c r="AA33" s="92"/>
    </row>
    <row r="34" spans="1:48">
      <c r="A34" s="18" t="s">
        <v>271</v>
      </c>
      <c r="B34" s="43" t="s">
        <v>197</v>
      </c>
      <c r="C34" s="43" t="s">
        <v>198</v>
      </c>
      <c r="D34" s="43" t="s">
        <v>199</v>
      </c>
      <c r="E34" s="43" t="s">
        <v>855</v>
      </c>
      <c r="F34" s="43" t="s">
        <v>201</v>
      </c>
      <c r="G34" s="209"/>
      <c r="H34" s="209"/>
      <c r="I34" s="209"/>
      <c r="J34" s="209"/>
      <c r="K34" s="209"/>
      <c r="L34" s="209"/>
      <c r="M34" s="209"/>
      <c r="N34" s="43" t="s">
        <v>202</v>
      </c>
      <c r="O34" s="43" t="s">
        <v>203</v>
      </c>
      <c r="P34" s="43" t="s">
        <v>204</v>
      </c>
      <c r="Q34" s="43" t="s">
        <v>205</v>
      </c>
      <c r="R34" s="43" t="s">
        <v>206</v>
      </c>
      <c r="S34" s="43" t="s">
        <v>207</v>
      </c>
      <c r="T34" s="43" t="s">
        <v>208</v>
      </c>
      <c r="U34" s="43" t="s">
        <v>209</v>
      </c>
      <c r="V34" s="43" t="s">
        <v>210</v>
      </c>
      <c r="W34" s="44"/>
      <c r="Z34" s="92"/>
      <c r="AA34" s="92"/>
    </row>
    <row r="35" spans="1:48">
      <c r="A35" s="7" t="s">
        <v>0</v>
      </c>
      <c r="Z35" s="92"/>
      <c r="AA35" s="92"/>
    </row>
    <row r="36" spans="1:48">
      <c r="A36" s="4" t="s">
        <v>93</v>
      </c>
      <c r="B36" s="5">
        <v>159.80000000000001</v>
      </c>
      <c r="C36" s="5">
        <v>151.9</v>
      </c>
      <c r="D36" s="5">
        <v>145</v>
      </c>
      <c r="E36" s="5">
        <v>142.5</v>
      </c>
      <c r="F36" s="5">
        <f t="shared" ref="F36:V36" si="27">+F323</f>
        <v>143.94501383067166</v>
      </c>
      <c r="G36" s="5"/>
      <c r="H36" s="5"/>
      <c r="I36" s="5"/>
      <c r="J36" s="5"/>
      <c r="K36" s="5"/>
      <c r="L36" s="5"/>
      <c r="M36" s="5"/>
      <c r="N36" s="5">
        <f>+N323</f>
        <v>321.01087069046878</v>
      </c>
      <c r="O36" s="5">
        <f t="shared" si="27"/>
        <v>336.43496455200301</v>
      </c>
      <c r="P36" s="5">
        <f t="shared" si="27"/>
        <v>352.06045910830341</v>
      </c>
      <c r="Q36" s="5">
        <f t="shared" si="27"/>
        <v>367.91495155006015</v>
      </c>
      <c r="R36" s="5">
        <f t="shared" si="27"/>
        <v>384.02503953586751</v>
      </c>
      <c r="S36" s="5">
        <f t="shared" si="27"/>
        <v>400.41649941686438</v>
      </c>
      <c r="T36" s="5">
        <f t="shared" si="27"/>
        <v>417.11444203162364</v>
      </c>
      <c r="U36" s="5">
        <f t="shared" si="27"/>
        <v>434.14344967276861</v>
      </c>
      <c r="V36" s="5">
        <f t="shared" si="27"/>
        <v>451.52769719643061</v>
      </c>
      <c r="W36" s="5"/>
      <c r="X36" s="5"/>
      <c r="Y36" s="5"/>
      <c r="Z36" s="93"/>
      <c r="AA36" s="93"/>
      <c r="AV36" s="5">
        <f>+F15</f>
        <v>3.4293574758104661</v>
      </c>
    </row>
    <row r="37" spans="1:48" s="6" customFormat="1">
      <c r="A37" s="4" t="s">
        <v>91</v>
      </c>
      <c r="B37" s="5">
        <v>27</v>
      </c>
      <c r="C37" s="5">
        <v>32.299999999999997</v>
      </c>
      <c r="D37" s="5">
        <v>41.6</v>
      </c>
      <c r="E37" s="5">
        <v>50.4</v>
      </c>
      <c r="F37" s="5">
        <f t="shared" ref="F37:V37" si="28">+F330</f>
        <v>60.246208092485546</v>
      </c>
      <c r="G37" s="5"/>
      <c r="H37" s="5"/>
      <c r="I37" s="5"/>
      <c r="J37" s="5"/>
      <c r="K37" s="5"/>
      <c r="L37" s="5"/>
      <c r="M37" s="5"/>
      <c r="N37" s="5">
        <f t="shared" si="28"/>
        <v>144.28341572254334</v>
      </c>
      <c r="O37" s="5">
        <f t="shared" si="28"/>
        <v>153.60537255606934</v>
      </c>
      <c r="P37" s="5">
        <f t="shared" si="28"/>
        <v>171.0572540877572</v>
      </c>
      <c r="Q37" s="5">
        <f t="shared" si="28"/>
        <v>187.90794730335378</v>
      </c>
      <c r="R37" s="5">
        <f t="shared" si="28"/>
        <v>203.90335424851153</v>
      </c>
      <c r="S37" s="5">
        <f t="shared" si="28"/>
        <v>219.89876119366934</v>
      </c>
      <c r="T37" s="5">
        <f t="shared" si="28"/>
        <v>235.89416813882715</v>
      </c>
      <c r="U37" s="5">
        <f t="shared" si="28"/>
        <v>251.88957508398497</v>
      </c>
      <c r="V37" s="5">
        <f t="shared" si="28"/>
        <v>267.88498202914275</v>
      </c>
      <c r="W37" s="5"/>
      <c r="X37" s="5"/>
      <c r="Y37" s="5"/>
      <c r="Z37" s="94"/>
      <c r="AA37" s="94"/>
      <c r="AB37" s="95"/>
      <c r="AC37" s="95"/>
      <c r="AD37" s="95"/>
      <c r="AE37" s="95"/>
      <c r="AF37" s="95"/>
      <c r="AG37" s="95"/>
      <c r="AH37" s="95"/>
      <c r="AI37" s="95"/>
      <c r="AJ37" s="95"/>
      <c r="AK37" s="95"/>
      <c r="AL37" s="95"/>
      <c r="AM37" s="95"/>
      <c r="AN37" s="95"/>
      <c r="AO37" s="95"/>
    </row>
    <row r="38" spans="1:48">
      <c r="A38" s="4" t="s">
        <v>80</v>
      </c>
      <c r="B38" s="5">
        <v>17.899999999999999</v>
      </c>
      <c r="C38" s="5">
        <v>21.2</v>
      </c>
      <c r="D38" s="5">
        <v>19.7</v>
      </c>
      <c r="E38" s="5">
        <v>20.100000000000001</v>
      </c>
      <c r="F38" s="51">
        <v>18</v>
      </c>
      <c r="G38" s="51"/>
      <c r="H38" s="51"/>
      <c r="I38" s="51"/>
      <c r="J38" s="51"/>
      <c r="K38" s="51"/>
      <c r="L38" s="51"/>
      <c r="M38" s="51"/>
      <c r="N38" s="51">
        <v>25</v>
      </c>
      <c r="O38" s="51">
        <v>25</v>
      </c>
      <c r="P38" s="51">
        <v>25</v>
      </c>
      <c r="Q38" s="51">
        <v>25</v>
      </c>
      <c r="R38" s="51">
        <v>25</v>
      </c>
      <c r="S38" s="51">
        <v>25</v>
      </c>
      <c r="T38" s="51">
        <v>25</v>
      </c>
      <c r="U38" s="51">
        <v>25</v>
      </c>
      <c r="V38" s="51">
        <v>25</v>
      </c>
      <c r="W38" s="5"/>
      <c r="X38" s="5"/>
      <c r="Y38" s="5"/>
      <c r="Z38" s="93"/>
      <c r="AA38" s="93"/>
    </row>
    <row r="39" spans="1:48">
      <c r="A39" s="7" t="s">
        <v>7</v>
      </c>
      <c r="B39" s="9">
        <v>204.7</v>
      </c>
      <c r="C39" s="9">
        <v>205.3</v>
      </c>
      <c r="D39" s="9">
        <v>206.2</v>
      </c>
      <c r="E39" s="9">
        <f t="shared" ref="E39:V39" si="29">SUM(E36:E38)</f>
        <v>213</v>
      </c>
      <c r="F39" s="9">
        <f t="shared" si="29"/>
        <v>222.1912219231572</v>
      </c>
      <c r="G39" s="9"/>
      <c r="H39" s="9"/>
      <c r="I39" s="9"/>
      <c r="J39" s="9"/>
      <c r="K39" s="9"/>
      <c r="L39" s="9">
        <f>+L4</f>
        <v>450.39122192315722</v>
      </c>
      <c r="M39" s="9"/>
      <c r="N39" s="9">
        <f t="shared" si="29"/>
        <v>490.29428641301212</v>
      </c>
      <c r="O39" s="9">
        <f t="shared" si="29"/>
        <v>515.04033710807232</v>
      </c>
      <c r="P39" s="9">
        <f t="shared" si="29"/>
        <v>548.11771319606055</v>
      </c>
      <c r="Q39" s="9">
        <f t="shared" si="29"/>
        <v>580.8228988534139</v>
      </c>
      <c r="R39" s="9">
        <f t="shared" si="29"/>
        <v>612.92839378437907</v>
      </c>
      <c r="S39" s="9">
        <f t="shared" si="29"/>
        <v>645.31526061053376</v>
      </c>
      <c r="T39" s="9">
        <f t="shared" si="29"/>
        <v>678.00861017045077</v>
      </c>
      <c r="U39" s="9">
        <f t="shared" si="29"/>
        <v>711.03302475675355</v>
      </c>
      <c r="V39" s="9">
        <f t="shared" si="29"/>
        <v>744.41267922557336</v>
      </c>
      <c r="W39" s="9"/>
      <c r="X39" s="9"/>
      <c r="Y39" s="9"/>
      <c r="Z39" s="92"/>
      <c r="AA39" s="92"/>
    </row>
    <row r="40" spans="1:48">
      <c r="A40" s="6" t="s">
        <v>365</v>
      </c>
      <c r="B40" s="63"/>
      <c r="C40" s="78">
        <f t="shared" ref="C40:V40" si="30">+C39/B39-1</f>
        <v>2.9311187103078229E-3</v>
      </c>
      <c r="D40" s="78">
        <f t="shared" si="30"/>
        <v>4.3838285435946478E-3</v>
      </c>
      <c r="E40" s="78">
        <f t="shared" si="30"/>
        <v>3.2977691561590694E-2</v>
      </c>
      <c r="F40" s="78">
        <f t="shared" si="30"/>
        <v>4.3151276634540769E-2</v>
      </c>
      <c r="G40" s="78"/>
      <c r="H40" s="78"/>
      <c r="I40" s="78"/>
      <c r="J40" s="78"/>
      <c r="K40" s="78"/>
      <c r="L40" s="78"/>
      <c r="M40" s="78"/>
      <c r="N40" s="78">
        <f>+N39/L39-1</f>
        <v>8.8596452478514109E-2</v>
      </c>
      <c r="O40" s="78">
        <f t="shared" si="30"/>
        <v>5.0471831675017231E-2</v>
      </c>
      <c r="P40" s="78">
        <f t="shared" si="30"/>
        <v>6.4222884509815614E-2</v>
      </c>
      <c r="Q40" s="78">
        <f t="shared" si="30"/>
        <v>5.9668178695868601E-2</v>
      </c>
      <c r="R40" s="78">
        <f t="shared" si="30"/>
        <v>5.5275876681762481E-2</v>
      </c>
      <c r="S40" s="78">
        <f t="shared" si="30"/>
        <v>5.2839560305225408E-2</v>
      </c>
      <c r="T40" s="78">
        <f t="shared" si="30"/>
        <v>5.066260098821429E-2</v>
      </c>
      <c r="U40" s="78">
        <f t="shared" si="30"/>
        <v>4.8707957525790713E-2</v>
      </c>
      <c r="V40" s="78">
        <f t="shared" si="30"/>
        <v>4.6945294109565605E-2</v>
      </c>
      <c r="W40" s="63"/>
      <c r="X40" s="63"/>
      <c r="Y40" s="63"/>
      <c r="Z40" s="92"/>
      <c r="AA40" s="92"/>
      <c r="AP40" s="4" t="s">
        <v>1055</v>
      </c>
    </row>
    <row r="41" spans="1:48">
      <c r="A41" s="7"/>
      <c r="B41" s="9"/>
      <c r="C41" s="9"/>
      <c r="D41" s="9"/>
      <c r="E41" s="9"/>
      <c r="F41" s="9"/>
      <c r="G41" s="9"/>
      <c r="H41" s="9"/>
      <c r="I41" s="9"/>
      <c r="J41" s="9"/>
      <c r="K41" s="9"/>
      <c r="L41" s="9"/>
      <c r="M41" s="9"/>
      <c r="N41" s="9"/>
      <c r="O41" s="9"/>
      <c r="P41" s="9"/>
      <c r="Q41" s="9"/>
      <c r="R41" s="9"/>
      <c r="S41" s="9"/>
      <c r="T41" s="9"/>
      <c r="U41" s="9"/>
      <c r="V41" s="9"/>
      <c r="W41" s="9"/>
      <c r="X41" s="9"/>
      <c r="Y41" s="9"/>
      <c r="Z41" s="93"/>
      <c r="AA41" s="93"/>
      <c r="AP41" s="4" t="s">
        <v>1056</v>
      </c>
    </row>
    <row r="42" spans="1:48" ht="13.5" customHeight="1">
      <c r="A42" s="4" t="s">
        <v>122</v>
      </c>
      <c r="B42" s="5">
        <v>6.7</v>
      </c>
      <c r="C42" s="5">
        <v>7</v>
      </c>
      <c r="D42" s="5">
        <v>6.9</v>
      </c>
      <c r="E42" s="5">
        <v>6.6</v>
      </c>
      <c r="F42" s="51">
        <v>7</v>
      </c>
      <c r="G42" s="51"/>
      <c r="H42" s="51"/>
      <c r="I42" s="51"/>
      <c r="J42" s="51"/>
      <c r="K42" s="51"/>
      <c r="L42" s="51"/>
      <c r="M42" s="51"/>
      <c r="N42" s="51">
        <v>15</v>
      </c>
      <c r="O42" s="51">
        <v>15</v>
      </c>
      <c r="P42" s="51">
        <v>15</v>
      </c>
      <c r="Q42" s="51">
        <v>15</v>
      </c>
      <c r="R42" s="51">
        <v>15</v>
      </c>
      <c r="S42" s="51">
        <v>15</v>
      </c>
      <c r="T42" s="51">
        <v>15</v>
      </c>
      <c r="U42" s="51">
        <v>15</v>
      </c>
      <c r="V42" s="51">
        <v>15</v>
      </c>
      <c r="W42" s="5"/>
      <c r="X42" s="5"/>
      <c r="Y42" s="5"/>
    </row>
    <row r="43" spans="1:48" ht="12.75" customHeight="1">
      <c r="A43" s="4" t="s">
        <v>79</v>
      </c>
      <c r="B43" s="5">
        <v>11.3</v>
      </c>
      <c r="C43" s="5">
        <v>10.7</v>
      </c>
      <c r="D43" s="5">
        <v>10.4</v>
      </c>
      <c r="E43" s="5">
        <v>10.199999999999999</v>
      </c>
      <c r="F43" s="51">
        <v>8</v>
      </c>
      <c r="G43" s="51"/>
      <c r="H43" s="51"/>
      <c r="I43" s="51"/>
      <c r="J43" s="51"/>
      <c r="K43" s="51"/>
      <c r="L43" s="51"/>
      <c r="M43" s="51"/>
      <c r="N43" s="51">
        <v>16</v>
      </c>
      <c r="O43" s="51">
        <v>16</v>
      </c>
      <c r="P43" s="51">
        <v>16</v>
      </c>
      <c r="Q43" s="51">
        <v>16</v>
      </c>
      <c r="R43" s="51">
        <v>16</v>
      </c>
      <c r="S43" s="51">
        <v>16</v>
      </c>
      <c r="T43" s="51">
        <v>16</v>
      </c>
      <c r="U43" s="51">
        <v>16</v>
      </c>
      <c r="V43" s="51">
        <v>16</v>
      </c>
      <c r="W43" s="5"/>
      <c r="X43" s="5"/>
      <c r="Y43" s="5"/>
      <c r="Z43" s="92"/>
      <c r="AA43" s="92"/>
      <c r="AP43" s="4" t="s">
        <v>1057</v>
      </c>
      <c r="AQ43" s="4" t="s">
        <v>997</v>
      </c>
      <c r="AR43" s="4" t="s">
        <v>1035</v>
      </c>
      <c r="AS43" s="4" t="s">
        <v>1058</v>
      </c>
    </row>
    <row r="44" spans="1:48" ht="12.75" customHeight="1">
      <c r="A44" s="7" t="s">
        <v>123</v>
      </c>
      <c r="B44" s="9">
        <v>222.6</v>
      </c>
      <c r="C44" s="9">
        <v>223</v>
      </c>
      <c r="D44" s="9">
        <v>223.5</v>
      </c>
      <c r="E44" s="9">
        <f t="shared" ref="E44:V44" si="31">SUM(E39:E43)</f>
        <v>229.83297769156158</v>
      </c>
      <c r="F44" s="9">
        <f t="shared" si="31"/>
        <v>237.23437319979175</v>
      </c>
      <c r="G44" s="9"/>
      <c r="H44" s="9"/>
      <c r="I44" s="9"/>
      <c r="J44" s="9"/>
      <c r="K44" s="9"/>
      <c r="L44" s="9"/>
      <c r="M44" s="9"/>
      <c r="N44" s="9">
        <f t="shared" si="31"/>
        <v>521.38288286549061</v>
      </c>
      <c r="O44" s="9">
        <f t="shared" si="31"/>
        <v>546.09080893974738</v>
      </c>
      <c r="P44" s="9">
        <f t="shared" si="31"/>
        <v>579.18193608057038</v>
      </c>
      <c r="Q44" s="9">
        <f t="shared" si="31"/>
        <v>611.88256703210982</v>
      </c>
      <c r="R44" s="9">
        <f t="shared" si="31"/>
        <v>643.98366966106084</v>
      </c>
      <c r="S44" s="9">
        <f t="shared" si="31"/>
        <v>676.36810017083894</v>
      </c>
      <c r="T44" s="9">
        <f t="shared" si="31"/>
        <v>709.05927277143894</v>
      </c>
      <c r="U44" s="9">
        <f t="shared" si="31"/>
        <v>742.08173271427938</v>
      </c>
      <c r="V44" s="9">
        <f t="shared" si="31"/>
        <v>775.45962451968296</v>
      </c>
      <c r="W44" s="9"/>
      <c r="X44" s="9"/>
      <c r="Y44" s="9"/>
      <c r="Z44" s="92"/>
      <c r="AA44" s="92"/>
      <c r="AP44" s="4" t="s">
        <v>1059</v>
      </c>
      <c r="AQ44" s="4">
        <v>17.5</v>
      </c>
      <c r="AR44" s="4">
        <v>13</v>
      </c>
    </row>
    <row r="45" spans="1:48">
      <c r="Z45" s="93"/>
      <c r="AA45" s="93"/>
      <c r="AP45" s="4" t="s">
        <v>161</v>
      </c>
      <c r="AQ45" s="4">
        <v>2.5</v>
      </c>
      <c r="AR45" s="4">
        <v>2</v>
      </c>
    </row>
    <row r="46" spans="1:48" s="6" customFormat="1">
      <c r="A46" s="4" t="s">
        <v>81</v>
      </c>
      <c r="B46" s="5">
        <v>-37.4</v>
      </c>
      <c r="C46" s="5">
        <v>-34.700000000000003</v>
      </c>
      <c r="D46" s="5">
        <v>-31</v>
      </c>
      <c r="E46" s="5">
        <v>-32.5</v>
      </c>
      <c r="F46" s="5">
        <f t="shared" ref="F46:V47" si="32">-F341</f>
        <v>-29.573428301886779</v>
      </c>
      <c r="G46" s="5"/>
      <c r="H46" s="5"/>
      <c r="I46" s="5"/>
      <c r="J46" s="5"/>
      <c r="K46" s="5"/>
      <c r="L46" s="5"/>
      <c r="M46" s="5"/>
      <c r="N46" s="5">
        <f t="shared" si="32"/>
        <v>-56.791777086792436</v>
      </c>
      <c r="O46" s="5">
        <f t="shared" si="32"/>
        <v>-49.917675794943356</v>
      </c>
      <c r="P46" s="5">
        <f t="shared" si="32"/>
        <v>-42.941213219148651</v>
      </c>
      <c r="Q46" s="5">
        <f t="shared" si="32"/>
        <v>-38.324297489762117</v>
      </c>
      <c r="R46" s="5">
        <f t="shared" si="32"/>
        <v>-33.638495989788623</v>
      </c>
      <c r="S46" s="5">
        <f t="shared" si="32"/>
        <v>-28.883170162042518</v>
      </c>
      <c r="T46" s="5">
        <f t="shared" si="32"/>
        <v>-24.057678341438148</v>
      </c>
      <c r="U46" s="5">
        <f t="shared" si="32"/>
        <v>-19.161375784434078</v>
      </c>
      <c r="V46" s="5">
        <f t="shared" si="32"/>
        <v>-14.193614699654619</v>
      </c>
      <c r="W46" s="5"/>
      <c r="X46" s="5"/>
      <c r="Y46" s="5"/>
      <c r="Z46" s="96"/>
      <c r="AA46" s="96"/>
      <c r="AB46" s="95"/>
      <c r="AC46" s="95"/>
      <c r="AD46" s="95"/>
      <c r="AE46" s="95"/>
      <c r="AF46" s="95"/>
      <c r="AG46" s="95"/>
      <c r="AH46" s="95"/>
      <c r="AI46" s="95"/>
      <c r="AJ46" s="95"/>
      <c r="AK46" s="95"/>
      <c r="AL46" s="95"/>
      <c r="AM46" s="95"/>
      <c r="AN46" s="95"/>
      <c r="AO46" s="95"/>
    </row>
    <row r="47" spans="1:48" ht="15" customHeight="1">
      <c r="A47" s="4" t="s">
        <v>82</v>
      </c>
      <c r="B47" s="5">
        <v>-49.8</v>
      </c>
      <c r="C47" s="5">
        <v>-46.1</v>
      </c>
      <c r="D47" s="5">
        <v>-51</v>
      </c>
      <c r="E47" s="5">
        <v>-38.6</v>
      </c>
      <c r="F47" s="5">
        <f t="shared" si="32"/>
        <v>-41.376595387709067</v>
      </c>
      <c r="G47" s="5"/>
      <c r="H47" s="5"/>
      <c r="I47" s="5"/>
      <c r="J47" s="5"/>
      <c r="K47" s="5"/>
      <c r="L47" s="5"/>
      <c r="M47" s="5"/>
      <c r="N47" s="5">
        <f t="shared" si="32"/>
        <v>-93.754395707051572</v>
      </c>
      <c r="O47" s="5">
        <f t="shared" si="32"/>
        <v>-101.0615534715112</v>
      </c>
      <c r="P47" s="5">
        <f t="shared" si="32"/>
        <v>-110.29260651447493</v>
      </c>
      <c r="Q47" s="5">
        <f t="shared" si="32"/>
        <v>-119.7776799630808</v>
      </c>
      <c r="R47" s="5">
        <f t="shared" si="32"/>
        <v>-129.46313819886959</v>
      </c>
      <c r="S47" s="5">
        <f t="shared" si="32"/>
        <v>-139.53048980008515</v>
      </c>
      <c r="T47" s="5">
        <f t="shared" si="32"/>
        <v>-149.98951038136923</v>
      </c>
      <c r="U47" s="5">
        <f t="shared" si="32"/>
        <v>-160.85035820612291</v>
      </c>
      <c r="V47" s="5">
        <f t="shared" si="32"/>
        <v>-172.1235889758662</v>
      </c>
      <c r="W47" s="5"/>
      <c r="X47" s="5"/>
      <c r="Y47" s="5"/>
      <c r="AP47" s="4" t="s">
        <v>1060</v>
      </c>
    </row>
    <row r="48" spans="1:48">
      <c r="A48" s="7" t="s">
        <v>181</v>
      </c>
      <c r="B48" s="9">
        <v>135.4</v>
      </c>
      <c r="C48" s="9">
        <v>142.19999999999999</v>
      </c>
      <c r="D48" s="9">
        <v>141.4</v>
      </c>
      <c r="E48" s="9">
        <f t="shared" ref="E48:V48" si="33">+E44+E46+E47</f>
        <v>158.73297769156159</v>
      </c>
      <c r="F48" s="9">
        <f t="shared" si="33"/>
        <v>166.28434951019591</v>
      </c>
      <c r="G48" s="9"/>
      <c r="H48" s="9"/>
      <c r="I48" s="9"/>
      <c r="J48" s="9"/>
      <c r="K48" s="9"/>
      <c r="L48" s="9"/>
      <c r="M48" s="9"/>
      <c r="N48" s="9">
        <f t="shared" si="33"/>
        <v>370.83671007164662</v>
      </c>
      <c r="O48" s="9">
        <f t="shared" si="33"/>
        <v>395.11157967329279</v>
      </c>
      <c r="P48" s="9">
        <f t="shared" si="33"/>
        <v>425.94811634694685</v>
      </c>
      <c r="Q48" s="9">
        <f t="shared" si="33"/>
        <v>453.78058957926692</v>
      </c>
      <c r="R48" s="9">
        <f t="shared" si="33"/>
        <v>480.88203547240266</v>
      </c>
      <c r="S48" s="9">
        <f t="shared" si="33"/>
        <v>507.95444020871133</v>
      </c>
      <c r="T48" s="9">
        <f t="shared" si="33"/>
        <v>535.01208404863155</v>
      </c>
      <c r="U48" s="9">
        <f t="shared" si="33"/>
        <v>562.06999872372239</v>
      </c>
      <c r="V48" s="9">
        <f t="shared" si="33"/>
        <v>589.14242084416219</v>
      </c>
      <c r="W48" s="9"/>
      <c r="X48" s="9"/>
      <c r="Y48" s="9"/>
      <c r="Z48" s="92"/>
      <c r="AA48" s="92"/>
    </row>
    <row r="49" spans="1:41">
      <c r="A49" s="14" t="s">
        <v>26</v>
      </c>
      <c r="B49" s="15">
        <v>0.66200000000000003</v>
      </c>
      <c r="C49" s="15">
        <v>0.69299999999999995</v>
      </c>
      <c r="D49" s="15">
        <v>0.68600000000000005</v>
      </c>
      <c r="E49" s="15">
        <f t="shared" ref="E49:V49" si="34">+E48/E39</f>
        <v>0.74522524737822338</v>
      </c>
      <c r="F49" s="15">
        <f t="shared" si="34"/>
        <v>0.74838397336733598</v>
      </c>
      <c r="G49" s="15"/>
      <c r="H49" s="15"/>
      <c r="I49" s="15"/>
      <c r="J49" s="15"/>
      <c r="K49" s="15"/>
      <c r="L49" s="15"/>
      <c r="M49" s="15"/>
      <c r="N49" s="15">
        <f t="shared" si="34"/>
        <v>0.75635535707479706</v>
      </c>
      <c r="O49" s="15">
        <f t="shared" si="34"/>
        <v>0.76714686444138735</v>
      </c>
      <c r="P49" s="15">
        <f t="shared" si="34"/>
        <v>0.77711065724049333</v>
      </c>
      <c r="Q49" s="15">
        <f t="shared" si="34"/>
        <v>0.78127186527091541</v>
      </c>
      <c r="R49" s="15">
        <f t="shared" si="34"/>
        <v>0.78456478823458009</v>
      </c>
      <c r="S49" s="15">
        <f t="shared" si="34"/>
        <v>0.78714152789155312</v>
      </c>
      <c r="T49" s="15">
        <f t="shared" si="34"/>
        <v>0.7890933478177069</v>
      </c>
      <c r="U49" s="15">
        <f t="shared" si="34"/>
        <v>0.79049773942076484</v>
      </c>
      <c r="V49" s="15">
        <f t="shared" si="34"/>
        <v>0.79141911104611795</v>
      </c>
      <c r="W49" s="15"/>
      <c r="X49" s="15"/>
      <c r="Y49" s="15"/>
      <c r="Z49" s="92"/>
      <c r="AA49" s="92"/>
    </row>
    <row r="50" spans="1:41">
      <c r="Z50" s="92"/>
      <c r="AA50" s="92"/>
    </row>
    <row r="51" spans="1:41" ht="15" customHeight="1">
      <c r="A51" s="4" t="s">
        <v>83</v>
      </c>
      <c r="B51" s="5">
        <v>-30.6</v>
      </c>
      <c r="C51" s="5">
        <v>-29.5</v>
      </c>
      <c r="D51" s="5">
        <v>-28.5</v>
      </c>
      <c r="E51" s="5">
        <v>-30.6</v>
      </c>
      <c r="F51" s="5">
        <f t="shared" ref="F51:V53" si="35">-F343</f>
        <v>-31.364951010209058</v>
      </c>
      <c r="G51" s="5"/>
      <c r="H51" s="5"/>
      <c r="I51" s="5"/>
      <c r="J51" s="5"/>
      <c r="K51" s="5"/>
      <c r="L51" s="5"/>
      <c r="M51" s="5"/>
      <c r="N51" s="5">
        <f t="shared" si="35"/>
        <v>-67.985172531494428</v>
      </c>
      <c r="O51" s="5">
        <f t="shared" si="35"/>
        <v>-70.128907873130828</v>
      </c>
      <c r="P51" s="5">
        <f t="shared" si="35"/>
        <v>-73.262494341276252</v>
      </c>
      <c r="Q51" s="5">
        <f t="shared" si="35"/>
        <v>-76.181876698203055</v>
      </c>
      <c r="R51" s="5">
        <f t="shared" si="35"/>
        <v>-78.860575735497221</v>
      </c>
      <c r="S51" s="5">
        <f t="shared" si="35"/>
        <v>-81.414245731251484</v>
      </c>
      <c r="T51" s="5">
        <f t="shared" si="35"/>
        <v>-83.843881652064184</v>
      </c>
      <c r="U51" s="5">
        <f t="shared" si="35"/>
        <v>-86.150163316478469</v>
      </c>
      <c r="V51" s="5">
        <f t="shared" si="35"/>
        <v>-88.333476372893728</v>
      </c>
      <c r="W51" s="5"/>
      <c r="X51" s="5"/>
      <c r="Y51" s="5"/>
    </row>
    <row r="52" spans="1:41">
      <c r="A52" s="4" t="s">
        <v>84</v>
      </c>
      <c r="B52" s="5">
        <v>-7.8</v>
      </c>
      <c r="C52" s="5">
        <v>-7</v>
      </c>
      <c r="D52" s="5">
        <v>-6.8</v>
      </c>
      <c r="E52" s="5">
        <v>-8.6999999999999993</v>
      </c>
      <c r="F52" s="5">
        <f t="shared" si="35"/>
        <v>-8.8876488769262885</v>
      </c>
      <c r="G52" s="5"/>
      <c r="H52" s="5"/>
      <c r="I52" s="5"/>
      <c r="J52" s="5"/>
      <c r="K52" s="5"/>
      <c r="L52" s="5"/>
      <c r="M52" s="5"/>
      <c r="N52" s="5">
        <f t="shared" si="35"/>
        <v>-19.611771456520486</v>
      </c>
      <c r="O52" s="5">
        <f t="shared" si="35"/>
        <v>-20.601613484322893</v>
      </c>
      <c r="P52" s="5">
        <f t="shared" si="35"/>
        <v>-21.924708527842423</v>
      </c>
      <c r="Q52" s="5">
        <f t="shared" si="35"/>
        <v>-23.232915954136555</v>
      </c>
      <c r="R52" s="5">
        <f t="shared" si="35"/>
        <v>-24.517135751375164</v>
      </c>
      <c r="S52" s="5">
        <f t="shared" si="35"/>
        <v>-25.812610424421351</v>
      </c>
      <c r="T52" s="5">
        <f t="shared" si="35"/>
        <v>-27.120344406818031</v>
      </c>
      <c r="U52" s="5">
        <f t="shared" si="35"/>
        <v>-28.441320990270142</v>
      </c>
      <c r="V52" s="5">
        <f t="shared" si="35"/>
        <v>-29.776507169022935</v>
      </c>
      <c r="W52" s="5"/>
      <c r="X52" s="5"/>
      <c r="Y52" s="5"/>
      <c r="Z52" s="93"/>
      <c r="AA52" s="93"/>
    </row>
    <row r="53" spans="1:41" s="6" customFormat="1">
      <c r="A53" s="4" t="s">
        <v>75</v>
      </c>
      <c r="B53" s="5">
        <v>-18.600000000000001</v>
      </c>
      <c r="C53" s="5">
        <v>-18.600000000000001</v>
      </c>
      <c r="D53" s="5">
        <v>-18</v>
      </c>
      <c r="E53" s="5">
        <v>-20.399999999999999</v>
      </c>
      <c r="F53" s="5">
        <f t="shared" si="35"/>
        <v>-20.603999999999999</v>
      </c>
      <c r="G53" s="5"/>
      <c r="H53" s="5"/>
      <c r="I53" s="5"/>
      <c r="J53" s="5"/>
      <c r="K53" s="5"/>
      <c r="L53" s="5"/>
      <c r="M53" s="5"/>
      <c r="N53" s="5">
        <f t="shared" si="35"/>
        <v>-20.810040000000001</v>
      </c>
      <c r="O53" s="5">
        <f t="shared" si="35"/>
        <v>-21.0181404</v>
      </c>
      <c r="P53" s="5">
        <f t="shared" si="35"/>
        <v>-21.228321804</v>
      </c>
      <c r="Q53" s="5">
        <f t="shared" si="35"/>
        <v>-21.44060502204</v>
      </c>
      <c r="R53" s="5">
        <f t="shared" si="35"/>
        <v>-21.6550110722604</v>
      </c>
      <c r="S53" s="5">
        <f t="shared" si="35"/>
        <v>-21.871561182983005</v>
      </c>
      <c r="T53" s="5">
        <f t="shared" si="35"/>
        <v>-22.090276794812834</v>
      </c>
      <c r="U53" s="5">
        <f t="shared" si="35"/>
        <v>-22.311179562760962</v>
      </c>
      <c r="V53" s="5">
        <f t="shared" si="35"/>
        <v>-22.534291358388572</v>
      </c>
      <c r="W53" s="5"/>
      <c r="X53" s="5"/>
      <c r="Y53" s="5"/>
      <c r="Z53" s="96"/>
      <c r="AA53" s="96"/>
      <c r="AB53" s="95"/>
      <c r="AC53" s="95"/>
      <c r="AD53" s="95"/>
      <c r="AE53" s="95"/>
      <c r="AF53" s="95"/>
      <c r="AG53" s="95"/>
      <c r="AH53" s="95"/>
      <c r="AI53" s="95"/>
      <c r="AJ53" s="95"/>
      <c r="AK53" s="95"/>
      <c r="AL53" s="95"/>
      <c r="AM53" s="95"/>
      <c r="AN53" s="95"/>
      <c r="AO53" s="95"/>
    </row>
    <row r="54" spans="1:41" ht="12.75" customHeight="1">
      <c r="B54" s="11"/>
      <c r="C54" s="11"/>
      <c r="X54" s="194" t="s">
        <v>672</v>
      </c>
    </row>
    <row r="55" spans="1:41">
      <c r="A55" s="7" t="s">
        <v>28</v>
      </c>
      <c r="B55" s="9">
        <v>78.400000000000006</v>
      </c>
      <c r="C55" s="9">
        <v>87.1</v>
      </c>
      <c r="D55" s="9">
        <v>88.1</v>
      </c>
      <c r="E55" s="9">
        <f>+E48+E51+E52+E53</f>
        <v>99.032977691561598</v>
      </c>
      <c r="F55" s="9">
        <f>+F48+F51+F52+F53+(F39*$X$56)</f>
        <v>105.42774962306055</v>
      </c>
      <c r="G55" s="9"/>
      <c r="H55" s="9"/>
      <c r="I55" s="9"/>
      <c r="J55" s="9"/>
      <c r="K55" s="9"/>
      <c r="L55" s="9"/>
      <c r="M55" s="9"/>
      <c r="N55" s="9">
        <f t="shared" ref="N55:V55" si="36">+N48+N51+N52+N53+(N39*$X$56)</f>
        <v>262.42972608363169</v>
      </c>
      <c r="O55" s="9">
        <f t="shared" si="36"/>
        <v>283.36291791583903</v>
      </c>
      <c r="P55" s="9">
        <f t="shared" si="36"/>
        <v>309.53259167382816</v>
      </c>
      <c r="Q55" s="9">
        <f t="shared" si="36"/>
        <v>332.9251919048873</v>
      </c>
      <c r="R55" s="9">
        <f t="shared" si="36"/>
        <v>355.8493129132699</v>
      </c>
      <c r="S55" s="9">
        <f t="shared" si="36"/>
        <v>378.85602287005554</v>
      </c>
      <c r="T55" s="9">
        <f t="shared" si="36"/>
        <v>401.95758119493649</v>
      </c>
      <c r="U55" s="9">
        <f t="shared" si="36"/>
        <v>425.16733485421281</v>
      </c>
      <c r="V55" s="9">
        <f t="shared" si="36"/>
        <v>448.49814594385691</v>
      </c>
      <c r="W55" s="9"/>
      <c r="X55" s="196"/>
      <c r="Y55" s="9"/>
      <c r="Z55" s="92"/>
      <c r="AA55" s="92"/>
    </row>
    <row r="56" spans="1:41">
      <c r="A56" s="14" t="s">
        <v>26</v>
      </c>
      <c r="B56" s="15">
        <v>0.38300000000000001</v>
      </c>
      <c r="C56" s="15">
        <v>0.42399999999999999</v>
      </c>
      <c r="D56" s="15">
        <v>0.42699999999999999</v>
      </c>
      <c r="E56" s="15">
        <f t="shared" ref="E56:V56" si="37">+E55/E39</f>
        <v>0.4649435572373784</v>
      </c>
      <c r="F56" s="15">
        <f t="shared" si="37"/>
        <v>0.47449106544596875</v>
      </c>
      <c r="G56" s="15"/>
      <c r="H56" s="15"/>
      <c r="I56" s="15"/>
      <c r="J56" s="15"/>
      <c r="K56" s="15"/>
      <c r="L56" s="15"/>
      <c r="M56" s="15"/>
      <c r="N56" s="15">
        <f t="shared" si="37"/>
        <v>0.53524940705217028</v>
      </c>
      <c r="O56" s="15">
        <f t="shared" si="37"/>
        <v>0.55017616582597917</v>
      </c>
      <c r="P56" s="15">
        <f t="shared" si="37"/>
        <v>0.56471919119152603</v>
      </c>
      <c r="Q56" s="15">
        <f t="shared" si="37"/>
        <v>0.57319570657786656</v>
      </c>
      <c r="R56" s="15">
        <f t="shared" si="37"/>
        <v>0.58057240702484647</v>
      </c>
      <c r="S56" s="15">
        <f t="shared" si="37"/>
        <v>0.58708672488485592</v>
      </c>
      <c r="T56" s="15">
        <f t="shared" si="37"/>
        <v>0.59285026055035606</v>
      </c>
      <c r="U56" s="15">
        <f t="shared" si="37"/>
        <v>0.59795722568535237</v>
      </c>
      <c r="V56" s="15">
        <f t="shared" si="37"/>
        <v>0.60248590393494916</v>
      </c>
      <c r="W56" s="15"/>
      <c r="X56" s="198">
        <f>+AL6</f>
        <v>0</v>
      </c>
      <c r="Y56" s="15"/>
      <c r="Z56" s="93"/>
      <c r="AA56" s="93"/>
    </row>
    <row r="57" spans="1:41" s="6" customFormat="1">
      <c r="A57" s="4"/>
      <c r="B57" s="4"/>
      <c r="C57" s="4"/>
      <c r="D57" s="4"/>
      <c r="E57" s="4"/>
      <c r="F57" s="4"/>
      <c r="G57" s="4"/>
      <c r="H57" s="4"/>
      <c r="I57" s="4"/>
      <c r="J57" s="4"/>
      <c r="K57" s="4"/>
      <c r="L57" s="4"/>
      <c r="M57" s="4"/>
      <c r="N57" s="4"/>
      <c r="O57" s="4"/>
      <c r="P57" s="4"/>
      <c r="Q57" s="4"/>
      <c r="R57" s="4"/>
      <c r="S57" s="4"/>
      <c r="T57" s="4"/>
      <c r="U57" s="4"/>
      <c r="V57" s="4"/>
      <c r="W57" s="4"/>
      <c r="X57" s="4"/>
      <c r="Y57" s="4"/>
      <c r="Z57" s="96"/>
      <c r="AA57" s="96"/>
      <c r="AB57" s="95"/>
      <c r="AC57" s="95"/>
      <c r="AD57" s="95"/>
      <c r="AE57" s="95"/>
      <c r="AF57" s="95"/>
      <c r="AG57" s="95"/>
      <c r="AH57" s="95"/>
      <c r="AI57" s="95"/>
      <c r="AJ57" s="95"/>
      <c r="AK57" s="95"/>
      <c r="AL57" s="95"/>
      <c r="AM57" s="95"/>
      <c r="AN57" s="95"/>
      <c r="AO57" s="95"/>
    </row>
    <row r="58" spans="1:41" ht="12.75" customHeight="1">
      <c r="A58" s="4" t="s">
        <v>85</v>
      </c>
      <c r="B58" s="5">
        <v>-4.5</v>
      </c>
      <c r="C58" s="5">
        <v>30.7</v>
      </c>
      <c r="D58" s="5">
        <v>3.1</v>
      </c>
      <c r="E58" s="5">
        <v>-14.8</v>
      </c>
      <c r="F58" s="51">
        <v>-10</v>
      </c>
      <c r="G58" s="51"/>
      <c r="H58" s="51"/>
      <c r="I58" s="51"/>
      <c r="J58" s="51"/>
      <c r="K58" s="51"/>
      <c r="L58" s="51"/>
      <c r="M58" s="51"/>
      <c r="N58" s="5"/>
      <c r="O58" s="5"/>
      <c r="P58" s="5"/>
      <c r="Q58" s="5"/>
      <c r="R58" s="5"/>
      <c r="S58" s="5"/>
      <c r="T58" s="5"/>
      <c r="U58" s="5"/>
      <c r="V58" s="5"/>
      <c r="W58" s="5"/>
      <c r="X58" s="5"/>
      <c r="Y58" s="5"/>
    </row>
    <row r="59" spans="1:41">
      <c r="A59" s="7" t="s">
        <v>27</v>
      </c>
      <c r="B59" s="9">
        <v>73.900000000000006</v>
      </c>
      <c r="C59" s="9">
        <v>117.8</v>
      </c>
      <c r="D59" s="9">
        <v>91.2</v>
      </c>
      <c r="E59" s="9">
        <f t="shared" ref="E59:V59" si="38">+E55+E58</f>
        <v>84.232977691561601</v>
      </c>
      <c r="F59" s="9">
        <f t="shared" si="38"/>
        <v>95.427749623060549</v>
      </c>
      <c r="G59" s="9"/>
      <c r="H59" s="9"/>
      <c r="I59" s="9"/>
      <c r="J59" s="9"/>
      <c r="K59" s="9"/>
      <c r="L59" s="9"/>
      <c r="M59" s="9"/>
      <c r="N59" s="9">
        <f t="shared" si="38"/>
        <v>262.42972608363169</v>
      </c>
      <c r="O59" s="9">
        <f t="shared" si="38"/>
        <v>283.36291791583903</v>
      </c>
      <c r="P59" s="9">
        <f t="shared" si="38"/>
        <v>309.53259167382816</v>
      </c>
      <c r="Q59" s="9">
        <f t="shared" si="38"/>
        <v>332.9251919048873</v>
      </c>
      <c r="R59" s="9">
        <f t="shared" si="38"/>
        <v>355.8493129132699</v>
      </c>
      <c r="S59" s="9">
        <f t="shared" si="38"/>
        <v>378.85602287005554</v>
      </c>
      <c r="T59" s="9">
        <f t="shared" si="38"/>
        <v>401.95758119493649</v>
      </c>
      <c r="U59" s="9">
        <f t="shared" si="38"/>
        <v>425.16733485421281</v>
      </c>
      <c r="V59" s="9">
        <f t="shared" si="38"/>
        <v>448.49814594385691</v>
      </c>
      <c r="W59" s="9"/>
      <c r="X59" s="9"/>
      <c r="Y59" s="9"/>
      <c r="Z59" s="92"/>
      <c r="AA59" s="92"/>
    </row>
    <row r="60" spans="1:41">
      <c r="A60" s="14" t="s">
        <v>26</v>
      </c>
      <c r="B60" s="15">
        <v>0.36099999999999999</v>
      </c>
      <c r="C60" s="15">
        <v>0.57399999999999995</v>
      </c>
      <c r="D60" s="15">
        <v>0.442</v>
      </c>
      <c r="E60" s="15">
        <f t="shared" ref="E60:V60" si="39">+E59/E39</f>
        <v>0.39545998916226105</v>
      </c>
      <c r="F60" s="15">
        <f t="shared" si="39"/>
        <v>0.42948478700955778</v>
      </c>
      <c r="G60" s="15"/>
      <c r="H60" s="15"/>
      <c r="I60" s="15"/>
      <c r="J60" s="15"/>
      <c r="K60" s="15"/>
      <c r="L60" s="15"/>
      <c r="M60" s="15"/>
      <c r="N60" s="15">
        <f t="shared" si="39"/>
        <v>0.53524940705217028</v>
      </c>
      <c r="O60" s="15">
        <f t="shared" si="39"/>
        <v>0.55017616582597917</v>
      </c>
      <c r="P60" s="15">
        <f t="shared" si="39"/>
        <v>0.56471919119152603</v>
      </c>
      <c r="Q60" s="15">
        <f t="shared" si="39"/>
        <v>0.57319570657786656</v>
      </c>
      <c r="R60" s="15">
        <f t="shared" si="39"/>
        <v>0.58057240702484647</v>
      </c>
      <c r="S60" s="15">
        <f t="shared" si="39"/>
        <v>0.58708672488485592</v>
      </c>
      <c r="T60" s="15">
        <f t="shared" si="39"/>
        <v>0.59285026055035606</v>
      </c>
      <c r="U60" s="15">
        <f t="shared" si="39"/>
        <v>0.59795722568535237</v>
      </c>
      <c r="V60" s="15">
        <f t="shared" si="39"/>
        <v>0.60248590393494916</v>
      </c>
      <c r="W60" s="15"/>
      <c r="X60" s="15"/>
      <c r="Y60" s="15"/>
      <c r="Z60" s="93"/>
      <c r="AA60" s="93"/>
    </row>
    <row r="61" spans="1:41" s="6" customFormat="1">
      <c r="A61" s="4"/>
      <c r="B61" s="4"/>
      <c r="C61" s="4"/>
      <c r="D61" s="4"/>
      <c r="E61" s="4"/>
      <c r="F61" s="4"/>
      <c r="G61" s="4"/>
      <c r="H61" s="4"/>
      <c r="I61" s="4"/>
      <c r="J61" s="4"/>
      <c r="K61" s="4"/>
      <c r="L61" s="4"/>
      <c r="M61" s="4"/>
      <c r="N61" s="4"/>
      <c r="O61" s="4"/>
      <c r="P61" s="4"/>
      <c r="Q61" s="4"/>
      <c r="R61" s="4"/>
      <c r="S61" s="4"/>
      <c r="T61" s="4"/>
      <c r="U61" s="4"/>
      <c r="V61" s="4"/>
      <c r="W61" s="4"/>
      <c r="X61" s="4"/>
      <c r="Y61" s="4"/>
      <c r="Z61" s="96"/>
      <c r="AA61" s="96"/>
      <c r="AB61" s="95"/>
      <c r="AC61" s="95"/>
      <c r="AD61" s="95"/>
      <c r="AE61" s="95"/>
      <c r="AF61" s="95"/>
      <c r="AG61" s="95"/>
      <c r="AH61" s="95"/>
      <c r="AI61" s="95"/>
      <c r="AJ61" s="95"/>
      <c r="AK61" s="95"/>
      <c r="AL61" s="95"/>
      <c r="AM61" s="95"/>
      <c r="AN61" s="95"/>
      <c r="AO61" s="95"/>
    </row>
    <row r="62" spans="1:41">
      <c r="A62" s="4" t="s">
        <v>29</v>
      </c>
      <c r="B62" s="5">
        <v>-57.4</v>
      </c>
      <c r="C62" s="5">
        <v>-62.9</v>
      </c>
      <c r="D62" s="5">
        <v>-62.8</v>
      </c>
      <c r="E62" s="5">
        <v>-50.8</v>
      </c>
      <c r="F62" s="5">
        <f t="shared" ref="F62:V62" si="40">+F359</f>
        <v>-61.980000000000004</v>
      </c>
      <c r="G62" s="5"/>
      <c r="H62" s="5"/>
      <c r="I62" s="5"/>
      <c r="J62" s="5"/>
      <c r="K62" s="5"/>
      <c r="L62" s="5"/>
      <c r="M62" s="5"/>
      <c r="N62" s="5">
        <f t="shared" si="40"/>
        <v>-71.984000000000009</v>
      </c>
      <c r="O62" s="5">
        <f t="shared" si="40"/>
        <v>-85.121325747824585</v>
      </c>
      <c r="P62" s="5">
        <f t="shared" si="40"/>
        <v>-87.698674082582556</v>
      </c>
      <c r="Q62" s="5">
        <f t="shared" si="40"/>
        <v>-90.083647793908469</v>
      </c>
      <c r="R62" s="5">
        <f t="shared" si="40"/>
        <v>-97.299834189263336</v>
      </c>
      <c r="S62" s="5">
        <f t="shared" si="40"/>
        <v>-104.35700310278584</v>
      </c>
      <c r="T62" s="5">
        <f t="shared" si="40"/>
        <v>-111.29821290665002</v>
      </c>
      <c r="U62" s="5">
        <f t="shared" si="40"/>
        <v>-118.15891473213806</v>
      </c>
      <c r="V62" s="5">
        <f t="shared" si="40"/>
        <v>-124.96845277598058</v>
      </c>
      <c r="W62" s="5"/>
      <c r="X62" s="5"/>
      <c r="Y62" s="5"/>
    </row>
    <row r="63" spans="1:41">
      <c r="A63" s="7" t="s">
        <v>182</v>
      </c>
      <c r="B63" s="9">
        <v>16.5</v>
      </c>
      <c r="C63" s="9">
        <v>54.9</v>
      </c>
      <c r="D63" s="9">
        <v>28.3</v>
      </c>
      <c r="E63" s="9">
        <f t="shared" ref="E63:V63" si="41">+E59+E62</f>
        <v>33.432977691561604</v>
      </c>
      <c r="F63" s="9">
        <f t="shared" si="41"/>
        <v>33.447749623060545</v>
      </c>
      <c r="G63" s="9"/>
      <c r="H63" s="9"/>
      <c r="I63" s="9"/>
      <c r="J63" s="9"/>
      <c r="K63" s="9"/>
      <c r="L63" s="9"/>
      <c r="M63" s="9"/>
      <c r="N63" s="9">
        <f t="shared" si="41"/>
        <v>190.44572608363168</v>
      </c>
      <c r="O63" s="9">
        <f t="shared" si="41"/>
        <v>198.24159216801445</v>
      </c>
      <c r="P63" s="9">
        <f t="shared" si="41"/>
        <v>221.83391759124561</v>
      </c>
      <c r="Q63" s="9">
        <f t="shared" si="41"/>
        <v>242.84154411097882</v>
      </c>
      <c r="R63" s="9">
        <f t="shared" si="41"/>
        <v>258.54947872400658</v>
      </c>
      <c r="S63" s="9">
        <f t="shared" si="41"/>
        <v>274.49901976726971</v>
      </c>
      <c r="T63" s="9">
        <f t="shared" si="41"/>
        <v>290.65936828828649</v>
      </c>
      <c r="U63" s="9">
        <f t="shared" si="41"/>
        <v>307.00842012207477</v>
      </c>
      <c r="V63" s="9">
        <f t="shared" si="41"/>
        <v>323.5296931678763</v>
      </c>
      <c r="W63" s="9"/>
      <c r="X63" s="9"/>
      <c r="Y63" s="9"/>
      <c r="Z63" s="92"/>
      <c r="AA63" s="92"/>
    </row>
    <row r="64" spans="1:41">
      <c r="A64" s="14" t="s">
        <v>26</v>
      </c>
      <c r="B64" s="15">
        <v>8.1000000000000003E-2</v>
      </c>
      <c r="C64" s="15">
        <v>0.26700000000000002</v>
      </c>
      <c r="D64" s="15">
        <v>0.13700000000000001</v>
      </c>
      <c r="E64" s="15">
        <f t="shared" ref="E64:V64" si="42">+E63/E39</f>
        <v>0.15696233658010142</v>
      </c>
      <c r="F64" s="15">
        <f t="shared" si="42"/>
        <v>0.15053587326068238</v>
      </c>
      <c r="G64" s="15"/>
      <c r="H64" s="15"/>
      <c r="I64" s="15"/>
      <c r="J64" s="15"/>
      <c r="K64" s="15"/>
      <c r="L64" s="15"/>
      <c r="M64" s="15"/>
      <c r="N64" s="15">
        <f t="shared" si="42"/>
        <v>0.3884314611881991</v>
      </c>
      <c r="O64" s="15">
        <f t="shared" si="42"/>
        <v>0.38490498294003889</v>
      </c>
      <c r="P64" s="15">
        <f t="shared" si="42"/>
        <v>0.40471948315214562</v>
      </c>
      <c r="Q64" s="15">
        <f t="shared" si="42"/>
        <v>0.41809912210824585</v>
      </c>
      <c r="R64" s="15">
        <f t="shared" si="42"/>
        <v>0.4218265646459205</v>
      </c>
      <c r="S64" s="15">
        <f t="shared" si="42"/>
        <v>0.42537196394141641</v>
      </c>
      <c r="T64" s="15">
        <f t="shared" si="42"/>
        <v>0.42869568900491539</v>
      </c>
      <c r="U64" s="15">
        <f t="shared" si="42"/>
        <v>0.43177800387978216</v>
      </c>
      <c r="V64" s="15">
        <f t="shared" si="42"/>
        <v>0.43461066985647046</v>
      </c>
      <c r="W64" s="15"/>
      <c r="X64" s="15"/>
      <c r="Y64" s="15"/>
      <c r="Z64" s="92"/>
      <c r="AA64" s="92"/>
    </row>
    <row r="65" spans="1:41">
      <c r="B65" s="11"/>
      <c r="C65" s="11"/>
      <c r="Z65" s="92"/>
      <c r="AA65" s="92"/>
    </row>
    <row r="66" spans="1:41">
      <c r="A66" s="4" t="s">
        <v>151</v>
      </c>
      <c r="B66" s="5">
        <v>0.1</v>
      </c>
      <c r="C66" s="5">
        <v>0</v>
      </c>
      <c r="D66" s="5">
        <v>0</v>
      </c>
      <c r="E66" s="5">
        <v>0</v>
      </c>
      <c r="F66" s="51">
        <v>0</v>
      </c>
      <c r="G66" s="51"/>
      <c r="H66" s="51"/>
      <c r="I66" s="51"/>
      <c r="J66" s="51"/>
      <c r="K66" s="51"/>
      <c r="L66" s="51"/>
      <c r="M66" s="51"/>
      <c r="N66" s="51">
        <v>0</v>
      </c>
      <c r="O66" s="51">
        <v>0</v>
      </c>
      <c r="P66" s="51">
        <v>0</v>
      </c>
      <c r="Q66" s="51">
        <v>0</v>
      </c>
      <c r="R66" s="51">
        <v>0</v>
      </c>
      <c r="S66" s="51">
        <v>0</v>
      </c>
      <c r="T66" s="51">
        <v>0</v>
      </c>
      <c r="U66" s="51">
        <v>0</v>
      </c>
      <c r="V66" s="51">
        <v>0</v>
      </c>
      <c r="W66" s="5"/>
      <c r="X66" s="5"/>
      <c r="Y66" s="5"/>
      <c r="Z66" s="92"/>
      <c r="AA66" s="92"/>
    </row>
    <row r="67" spans="1:41">
      <c r="A67" s="4" t="s">
        <v>87</v>
      </c>
      <c r="B67" s="5">
        <v>0.5</v>
      </c>
      <c r="C67" s="5">
        <v>0.6</v>
      </c>
      <c r="D67" s="5">
        <v>0.4</v>
      </c>
      <c r="E67" s="5">
        <v>0.1</v>
      </c>
      <c r="F67" s="51">
        <f t="shared" ref="F67:V67" si="43">+E120*0.005</f>
        <v>0.122</v>
      </c>
      <c r="G67" s="51"/>
      <c r="H67" s="51"/>
      <c r="I67" s="51"/>
      <c r="J67" s="51"/>
      <c r="K67" s="51"/>
      <c r="L67" s="51"/>
      <c r="M67" s="51"/>
      <c r="N67" s="51">
        <f>+F120*0.005</f>
        <v>0.62925279336141615</v>
      </c>
      <c r="O67" s="51">
        <f t="shared" si="43"/>
        <v>1.1089472121914163</v>
      </c>
      <c r="P67" s="51">
        <f t="shared" si="43"/>
        <v>0.90345687375135963</v>
      </c>
      <c r="Q67" s="51">
        <f t="shared" si="43"/>
        <v>0.76868312403899963</v>
      </c>
      <c r="R67" s="51">
        <f t="shared" si="43"/>
        <v>0.59523444514117008</v>
      </c>
      <c r="S67" s="51">
        <f t="shared" si="43"/>
        <v>0.39097077639985756</v>
      </c>
      <c r="T67" s="51">
        <f t="shared" si="43"/>
        <v>0.18256033331268426</v>
      </c>
      <c r="U67" s="51">
        <f t="shared" si="43"/>
        <v>-3.0978399464646176E-2</v>
      </c>
      <c r="V67" s="51">
        <f t="shared" si="43"/>
        <v>-0.25057514575223239</v>
      </c>
      <c r="W67" s="5"/>
      <c r="X67" s="5"/>
      <c r="Y67" s="5"/>
      <c r="Z67" s="93"/>
      <c r="AA67" s="93"/>
    </row>
    <row r="68" spans="1:41" s="6" customFormat="1">
      <c r="A68" s="4" t="s">
        <v>88</v>
      </c>
      <c r="B68" s="5">
        <v>-34.9</v>
      </c>
      <c r="C68" s="5">
        <v>-32.299999999999997</v>
      </c>
      <c r="D68" s="5">
        <v>-28.3</v>
      </c>
      <c r="E68" s="5">
        <v>-45.8</v>
      </c>
      <c r="F68" s="5">
        <f t="shared" ref="F68:V68" si="44">-F470</f>
        <v>-18.558</v>
      </c>
      <c r="G68" s="5"/>
      <c r="H68" s="5"/>
      <c r="I68" s="5"/>
      <c r="J68" s="5"/>
      <c r="K68" s="5"/>
      <c r="L68" s="5"/>
      <c r="M68" s="5"/>
      <c r="N68" s="5">
        <f t="shared" si="44"/>
        <v>-21.933</v>
      </c>
      <c r="O68" s="5">
        <f t="shared" si="44"/>
        <v>-21.933</v>
      </c>
      <c r="P68" s="5">
        <f t="shared" si="44"/>
        <v>-21.933</v>
      </c>
      <c r="Q68" s="5">
        <f t="shared" si="44"/>
        <v>-21.933</v>
      </c>
      <c r="R68" s="5">
        <f t="shared" si="44"/>
        <v>-21.933</v>
      </c>
      <c r="S68" s="5">
        <f t="shared" si="44"/>
        <v>-21.933</v>
      </c>
      <c r="T68" s="5">
        <f t="shared" si="44"/>
        <v>-21.933</v>
      </c>
      <c r="U68" s="5">
        <f t="shared" si="44"/>
        <v>-21.933</v>
      </c>
      <c r="V68" s="5">
        <f t="shared" si="44"/>
        <v>-21.933</v>
      </c>
      <c r="W68" s="5"/>
      <c r="X68" s="5"/>
      <c r="Y68" s="5"/>
      <c r="Z68" s="96"/>
      <c r="AA68" s="96"/>
      <c r="AB68" s="95"/>
      <c r="AC68" s="95"/>
      <c r="AD68" s="95"/>
      <c r="AE68" s="95"/>
      <c r="AF68" s="95"/>
      <c r="AG68" s="95"/>
      <c r="AH68" s="95"/>
      <c r="AI68" s="95"/>
      <c r="AJ68" s="95"/>
      <c r="AK68" s="95"/>
      <c r="AL68" s="95"/>
      <c r="AM68" s="95"/>
      <c r="AN68" s="95"/>
      <c r="AO68" s="95"/>
    </row>
    <row r="69" spans="1:41" ht="12.75" customHeight="1">
      <c r="A69" s="4" t="s">
        <v>152</v>
      </c>
      <c r="B69" s="5">
        <v>-2.6</v>
      </c>
      <c r="C69" s="5">
        <v>-0.1</v>
      </c>
      <c r="D69" s="5">
        <v>-0.5</v>
      </c>
      <c r="E69" s="5">
        <v>-1.5</v>
      </c>
      <c r="F69" s="5"/>
      <c r="G69" s="5"/>
      <c r="H69" s="5"/>
      <c r="I69" s="5"/>
      <c r="J69" s="5"/>
      <c r="K69" s="5"/>
      <c r="L69" s="5"/>
      <c r="M69" s="5"/>
      <c r="N69" s="5"/>
      <c r="O69" s="5"/>
      <c r="P69" s="5"/>
      <c r="Q69" s="5"/>
      <c r="R69" s="5"/>
      <c r="S69" s="5"/>
      <c r="T69" s="5"/>
      <c r="U69" s="5"/>
      <c r="V69" s="5"/>
      <c r="W69" s="5"/>
      <c r="X69" s="5"/>
      <c r="Y69" s="5"/>
    </row>
    <row r="70" spans="1:41">
      <c r="A70" s="7" t="s">
        <v>183</v>
      </c>
      <c r="B70" s="59">
        <f>+B69+B68+B67+B66+B63</f>
        <v>-20.399999999999999</v>
      </c>
      <c r="C70" s="59">
        <f>+C69+C68+C67+C66+C63</f>
        <v>23.1</v>
      </c>
      <c r="D70" s="59">
        <v>0</v>
      </c>
      <c r="E70" s="59">
        <f t="shared" ref="E70:V70" si="45">+E69+E68+E67+E66+E63</f>
        <v>-13.767022308438392</v>
      </c>
      <c r="F70" s="59">
        <f t="shared" si="45"/>
        <v>15.011749623060545</v>
      </c>
      <c r="G70" s="59"/>
      <c r="H70" s="59"/>
      <c r="I70" s="59"/>
      <c r="J70" s="59"/>
      <c r="K70" s="59"/>
      <c r="L70" s="59"/>
      <c r="M70" s="59"/>
      <c r="N70" s="59">
        <f t="shared" si="45"/>
        <v>169.14197887699311</v>
      </c>
      <c r="O70" s="59">
        <f t="shared" si="45"/>
        <v>177.41753938020588</v>
      </c>
      <c r="P70" s="59">
        <f t="shared" si="45"/>
        <v>200.80437446499695</v>
      </c>
      <c r="Q70" s="59">
        <f t="shared" si="45"/>
        <v>221.67722723501782</v>
      </c>
      <c r="R70" s="59">
        <f t="shared" si="45"/>
        <v>237.21171316914774</v>
      </c>
      <c r="S70" s="59">
        <f t="shared" si="45"/>
        <v>252.95699054366958</v>
      </c>
      <c r="T70" s="59">
        <f t="shared" si="45"/>
        <v>268.90892862159916</v>
      </c>
      <c r="U70" s="59">
        <f t="shared" si="45"/>
        <v>285.04444172261015</v>
      </c>
      <c r="V70" s="59">
        <f t="shared" si="45"/>
        <v>301.34611802212407</v>
      </c>
      <c r="W70" s="9"/>
      <c r="X70" s="9"/>
      <c r="Y70" s="9"/>
      <c r="Z70" s="92"/>
      <c r="AA70" s="92"/>
    </row>
    <row r="71" spans="1:41">
      <c r="A71" s="14" t="s">
        <v>26</v>
      </c>
      <c r="B71" s="15">
        <f>+B70/B39</f>
        <v>-9.9658036150464091E-2</v>
      </c>
      <c r="C71" s="15">
        <f>+C70/C39</f>
        <v>0.11251826595226498</v>
      </c>
      <c r="D71" s="15">
        <v>0</v>
      </c>
      <c r="E71" s="15">
        <f t="shared" ref="E71:V71" si="46">+E70/E39</f>
        <v>-6.4633907551353953E-2</v>
      </c>
      <c r="F71" s="15">
        <f t="shared" si="46"/>
        <v>6.7562298335315074E-2</v>
      </c>
      <c r="G71" s="15"/>
      <c r="H71" s="15"/>
      <c r="I71" s="15"/>
      <c r="J71" s="15"/>
      <c r="K71" s="15"/>
      <c r="L71" s="15"/>
      <c r="M71" s="15"/>
      <c r="N71" s="15">
        <f t="shared" si="46"/>
        <v>0.34498052203388718</v>
      </c>
      <c r="O71" s="15">
        <f t="shared" si="46"/>
        <v>0.34447309578973401</v>
      </c>
      <c r="P71" s="15">
        <f t="shared" si="46"/>
        <v>0.36635264584702382</v>
      </c>
      <c r="Q71" s="15">
        <f t="shared" si="46"/>
        <v>0.3816606192225282</v>
      </c>
      <c r="R71" s="15">
        <f t="shared" si="46"/>
        <v>0.38701374512043901</v>
      </c>
      <c r="S71" s="15">
        <f t="shared" si="46"/>
        <v>0.39198978543347412</v>
      </c>
      <c r="T71" s="15">
        <f t="shared" si="46"/>
        <v>0.39661580190551809</v>
      </c>
      <c r="U71" s="15">
        <f t="shared" si="46"/>
        <v>0.40088776723152159</v>
      </c>
      <c r="V71" s="15">
        <f t="shared" si="46"/>
        <v>0.4048105660097302</v>
      </c>
      <c r="W71" s="15"/>
      <c r="X71" s="15"/>
      <c r="Y71" s="15"/>
      <c r="Z71" s="93"/>
      <c r="AA71" s="93"/>
    </row>
    <row r="72" spans="1:41" s="6" customFormat="1">
      <c r="A72" s="4"/>
      <c r="B72" s="4"/>
      <c r="C72" s="4"/>
      <c r="D72" s="4"/>
      <c r="E72" s="4"/>
      <c r="F72" s="4"/>
      <c r="G72" s="4"/>
      <c r="H72" s="4"/>
      <c r="I72" s="4"/>
      <c r="J72" s="4"/>
      <c r="K72" s="4"/>
      <c r="L72" s="4"/>
      <c r="M72" s="4"/>
      <c r="N72" s="4"/>
      <c r="O72" s="4"/>
      <c r="P72" s="4"/>
      <c r="Q72" s="4"/>
      <c r="R72" s="4"/>
      <c r="S72" s="4"/>
      <c r="T72" s="4"/>
      <c r="U72" s="4"/>
      <c r="V72" s="4"/>
      <c r="W72" s="4"/>
      <c r="X72" s="4"/>
      <c r="Y72" s="4"/>
      <c r="Z72" s="96"/>
      <c r="AA72" s="96"/>
      <c r="AB72" s="95"/>
      <c r="AC72" s="95"/>
      <c r="AD72" s="95"/>
      <c r="AE72" s="95"/>
      <c r="AF72" s="95"/>
      <c r="AG72" s="95"/>
      <c r="AH72" s="95"/>
      <c r="AI72" s="95"/>
      <c r="AJ72" s="95"/>
      <c r="AK72" s="95"/>
      <c r="AL72" s="95"/>
      <c r="AM72" s="95"/>
      <c r="AN72" s="95"/>
      <c r="AO72" s="95"/>
    </row>
    <row r="73" spans="1:41">
      <c r="A73" s="4" t="s">
        <v>86</v>
      </c>
      <c r="B73" s="5">
        <v>-1.1000000000000001</v>
      </c>
      <c r="C73" s="5">
        <v>-2.7</v>
      </c>
      <c r="D73" s="5">
        <v>-8.6</v>
      </c>
      <c r="E73" s="5">
        <v>-8</v>
      </c>
      <c r="F73" s="5">
        <f t="shared" ref="F73:V73" si="47">+F474</f>
        <v>-2.2517624434590817</v>
      </c>
      <c r="G73" s="5"/>
      <c r="H73" s="5"/>
      <c r="I73" s="5"/>
      <c r="J73" s="5"/>
      <c r="K73" s="5"/>
      <c r="L73" s="5"/>
      <c r="M73" s="5"/>
      <c r="N73" s="5">
        <f t="shared" si="47"/>
        <v>-50.742593663097928</v>
      </c>
      <c r="O73" s="5">
        <f t="shared" si="47"/>
        <v>-53.22526181406176</v>
      </c>
      <c r="P73" s="5">
        <f t="shared" si="47"/>
        <v>-60.241312339499082</v>
      </c>
      <c r="Q73" s="5">
        <f t="shared" si="47"/>
        <v>-66.503168170505347</v>
      </c>
      <c r="R73" s="5">
        <f t="shared" si="47"/>
        <v>-71.163513950744317</v>
      </c>
      <c r="S73" s="5">
        <f t="shared" si="47"/>
        <v>-75.887097163100876</v>
      </c>
      <c r="T73" s="5">
        <f t="shared" si="47"/>
        <v>-80.672678586479748</v>
      </c>
      <c r="U73" s="5">
        <f t="shared" si="47"/>
        <v>-85.513332516783038</v>
      </c>
      <c r="V73" s="5">
        <f t="shared" si="47"/>
        <v>-90.403835406637214</v>
      </c>
      <c r="W73" s="5"/>
      <c r="X73" s="5"/>
      <c r="Y73" s="5"/>
      <c r="Z73" s="92"/>
      <c r="AA73" s="92"/>
    </row>
    <row r="74" spans="1:41">
      <c r="A74" s="7" t="s">
        <v>184</v>
      </c>
      <c r="B74" s="59">
        <v>-21.6</v>
      </c>
      <c r="C74" s="59">
        <v>20.5</v>
      </c>
      <c r="D74" s="59">
        <v>-8.6</v>
      </c>
      <c r="E74" s="59">
        <f t="shared" ref="E74:V74" si="48">+E73+E70</f>
        <v>-21.767022308438392</v>
      </c>
      <c r="F74" s="59">
        <f t="shared" si="48"/>
        <v>12.759987179601463</v>
      </c>
      <c r="G74" s="59"/>
      <c r="H74" s="59"/>
      <c r="I74" s="59"/>
      <c r="J74" s="59"/>
      <c r="K74" s="59"/>
      <c r="L74" s="59"/>
      <c r="M74" s="59"/>
      <c r="N74" s="59">
        <f t="shared" si="48"/>
        <v>118.39938521389519</v>
      </c>
      <c r="O74" s="59">
        <f t="shared" si="48"/>
        <v>124.19227756614413</v>
      </c>
      <c r="P74" s="59">
        <f t="shared" si="48"/>
        <v>140.56306212549788</v>
      </c>
      <c r="Q74" s="59">
        <f t="shared" si="48"/>
        <v>155.17405906451248</v>
      </c>
      <c r="R74" s="59">
        <f t="shared" si="48"/>
        <v>166.04819921840343</v>
      </c>
      <c r="S74" s="59">
        <f t="shared" si="48"/>
        <v>177.06989338056871</v>
      </c>
      <c r="T74" s="59">
        <f t="shared" si="48"/>
        <v>188.23625003511941</v>
      </c>
      <c r="U74" s="59">
        <f t="shared" si="48"/>
        <v>199.53110920582711</v>
      </c>
      <c r="V74" s="59">
        <f t="shared" si="48"/>
        <v>210.94228261548687</v>
      </c>
      <c r="W74" s="9"/>
      <c r="X74" s="9"/>
      <c r="Y74" s="9"/>
      <c r="Z74" s="92"/>
      <c r="AA74" s="92"/>
    </row>
    <row r="75" spans="1:41">
      <c r="A75" s="14" t="s">
        <v>26</v>
      </c>
      <c r="B75" s="15">
        <f t="shared" ref="B75:V75" si="49">+B74/B39</f>
        <v>-0.10552027357107964</v>
      </c>
      <c r="C75" s="15">
        <f t="shared" si="49"/>
        <v>9.9853872381880177E-2</v>
      </c>
      <c r="D75" s="15">
        <f t="shared" si="49"/>
        <v>-4.1707080504364696E-2</v>
      </c>
      <c r="E75" s="15">
        <f t="shared" si="49"/>
        <v>-0.10219259299736334</v>
      </c>
      <c r="F75" s="15">
        <f t="shared" si="49"/>
        <v>5.7427953585017809E-2</v>
      </c>
      <c r="G75" s="15"/>
      <c r="H75" s="15"/>
      <c r="I75" s="15"/>
      <c r="J75" s="15"/>
      <c r="K75" s="15"/>
      <c r="L75" s="15"/>
      <c r="M75" s="15"/>
      <c r="N75" s="15">
        <f t="shared" si="49"/>
        <v>0.24148636542372104</v>
      </c>
      <c r="O75" s="15">
        <f t="shared" si="49"/>
        <v>0.24113116705281382</v>
      </c>
      <c r="P75" s="15">
        <f t="shared" si="49"/>
        <v>0.25644685209291673</v>
      </c>
      <c r="Q75" s="15">
        <f t="shared" si="49"/>
        <v>0.26716243345576973</v>
      </c>
      <c r="R75" s="15">
        <f t="shared" si="49"/>
        <v>0.27090962158430731</v>
      </c>
      <c r="S75" s="15">
        <f t="shared" si="49"/>
        <v>0.27439284980343193</v>
      </c>
      <c r="T75" s="15">
        <f t="shared" si="49"/>
        <v>0.27763106133386267</v>
      </c>
      <c r="U75" s="15">
        <f t="shared" si="49"/>
        <v>0.2806214370620651</v>
      </c>
      <c r="V75" s="15">
        <f t="shared" si="49"/>
        <v>0.28336739620681117</v>
      </c>
      <c r="W75" s="15"/>
      <c r="X75" s="15"/>
      <c r="Y75" s="15"/>
      <c r="Z75" s="97"/>
      <c r="AA75" s="97"/>
    </row>
    <row r="76" spans="1:41" ht="34.5" customHeight="1">
      <c r="A76" s="4" t="s">
        <v>89</v>
      </c>
      <c r="B76" s="5">
        <v>-23.9</v>
      </c>
      <c r="C76" s="5">
        <v>17.600000000000001</v>
      </c>
      <c r="D76" s="5">
        <v>-12</v>
      </c>
      <c r="E76" s="5">
        <f t="shared" ref="E76:V76" si="50">+E74-E77</f>
        <v>-23.967022308438391</v>
      </c>
      <c r="F76" s="5">
        <f t="shared" si="50"/>
        <v>9.7599871796014632</v>
      </c>
      <c r="G76" s="5"/>
      <c r="H76" s="5"/>
      <c r="I76" s="5"/>
      <c r="J76" s="5"/>
      <c r="K76" s="5"/>
      <c r="L76" s="5"/>
      <c r="M76" s="5"/>
      <c r="N76" s="5">
        <f t="shared" si="50"/>
        <v>115.39938521389519</v>
      </c>
      <c r="O76" s="5">
        <f t="shared" si="50"/>
        <v>121.19227756614413</v>
      </c>
      <c r="P76" s="5">
        <f t="shared" si="50"/>
        <v>137.56306212549788</v>
      </c>
      <c r="Q76" s="5">
        <f t="shared" si="50"/>
        <v>152.17405906451248</v>
      </c>
      <c r="R76" s="5">
        <f t="shared" si="50"/>
        <v>163.04819921840343</v>
      </c>
      <c r="S76" s="5">
        <f t="shared" si="50"/>
        <v>174.06989338056871</v>
      </c>
      <c r="T76" s="5">
        <f t="shared" si="50"/>
        <v>185.23625003511941</v>
      </c>
      <c r="U76" s="5">
        <f t="shared" si="50"/>
        <v>196.53110920582711</v>
      </c>
      <c r="V76" s="5">
        <f t="shared" si="50"/>
        <v>207.94228261548687</v>
      </c>
      <c r="W76" s="5"/>
      <c r="X76" s="5"/>
      <c r="Y76" s="5"/>
    </row>
    <row r="77" spans="1:41">
      <c r="A77" s="4" t="s">
        <v>90</v>
      </c>
      <c r="B77" s="5">
        <v>2.2999999999999998</v>
      </c>
      <c r="C77" s="5">
        <v>2.9</v>
      </c>
      <c r="D77" s="5">
        <v>3.3</v>
      </c>
      <c r="E77" s="5">
        <v>2.2000000000000002</v>
      </c>
      <c r="F77" s="51">
        <v>3</v>
      </c>
      <c r="G77" s="51"/>
      <c r="H77" s="51"/>
      <c r="I77" s="51"/>
      <c r="J77" s="51"/>
      <c r="K77" s="51"/>
      <c r="L77" s="51"/>
      <c r="M77" s="51"/>
      <c r="N77" s="51">
        <v>3</v>
      </c>
      <c r="O77" s="51">
        <v>3</v>
      </c>
      <c r="P77" s="51">
        <v>3</v>
      </c>
      <c r="Q77" s="51">
        <v>3</v>
      </c>
      <c r="R77" s="51">
        <v>3</v>
      </c>
      <c r="S77" s="51">
        <v>3</v>
      </c>
      <c r="T77" s="51">
        <v>3</v>
      </c>
      <c r="U77" s="51">
        <v>3</v>
      </c>
      <c r="V77" s="51">
        <v>3</v>
      </c>
      <c r="W77" s="5"/>
      <c r="X77" s="5"/>
      <c r="Y77" s="5"/>
    </row>
    <row r="78" spans="1:41">
      <c r="B78" s="11"/>
      <c r="C78" s="11"/>
      <c r="D78" s="11"/>
      <c r="E78" s="11"/>
      <c r="F78" s="11"/>
      <c r="G78" s="11"/>
      <c r="H78" s="11"/>
      <c r="I78" s="11"/>
      <c r="J78" s="11"/>
      <c r="K78" s="11"/>
      <c r="L78" s="11"/>
      <c r="M78" s="11"/>
      <c r="N78" s="11"/>
      <c r="O78" s="11"/>
      <c r="P78" s="11"/>
      <c r="Q78" s="11"/>
      <c r="R78" s="11"/>
      <c r="S78" s="11"/>
      <c r="T78" s="11"/>
      <c r="U78" s="11"/>
      <c r="V78" s="11"/>
      <c r="W78" s="11"/>
      <c r="X78" s="11"/>
      <c r="Y78" s="11"/>
    </row>
    <row r="79" spans="1:41" ht="48">
      <c r="A79" s="16" t="s">
        <v>191</v>
      </c>
    </row>
    <row r="80" spans="1:41">
      <c r="A80" s="17" t="s">
        <v>853</v>
      </c>
      <c r="B80" s="277">
        <f t="shared" ref="B80:V80" si="51">+B74/B499</f>
        <v>-0.38095238095238093</v>
      </c>
      <c r="C80" s="277">
        <f t="shared" si="51"/>
        <v>0.36155202821869487</v>
      </c>
      <c r="D80" s="277">
        <f t="shared" si="51"/>
        <v>-0.15167548500881833</v>
      </c>
      <c r="E80" s="277">
        <f t="shared" si="51"/>
        <v>-0.38389810067792579</v>
      </c>
      <c r="F80" s="277">
        <f t="shared" si="51"/>
        <v>0.22504386560143674</v>
      </c>
      <c r="G80" s="277"/>
      <c r="H80" s="277"/>
      <c r="I80" s="277"/>
      <c r="J80" s="277"/>
      <c r="K80" s="277"/>
      <c r="L80" s="277"/>
      <c r="M80" s="277"/>
      <c r="N80" s="277">
        <f t="shared" si="51"/>
        <v>2.0881725787283099</v>
      </c>
      <c r="O80" s="277">
        <f t="shared" si="51"/>
        <v>2.1903399923482207</v>
      </c>
      <c r="P80" s="277">
        <f t="shared" si="51"/>
        <v>2.4790663514197155</v>
      </c>
      <c r="Q80" s="277">
        <f t="shared" si="51"/>
        <v>2.7367558917903434</v>
      </c>
      <c r="R80" s="277">
        <f t="shared" si="51"/>
        <v>2.9285396687549103</v>
      </c>
      <c r="S80" s="277">
        <f t="shared" si="51"/>
        <v>3.1229258091811061</v>
      </c>
      <c r="T80" s="277">
        <f t="shared" si="51"/>
        <v>3.3198633163160389</v>
      </c>
      <c r="U80" s="277">
        <f t="shared" si="51"/>
        <v>3.5190671817606192</v>
      </c>
      <c r="V80" s="277">
        <f t="shared" si="51"/>
        <v>3.7203224447175813</v>
      </c>
      <c r="Z80" s="98"/>
      <c r="AA80" s="98"/>
    </row>
    <row r="83" spans="1:27">
      <c r="A83" s="13" t="s">
        <v>187</v>
      </c>
      <c r="D83" s="7"/>
      <c r="E83" s="7"/>
      <c r="F83" s="7"/>
      <c r="G83" s="7"/>
      <c r="H83" s="7"/>
      <c r="I83" s="7"/>
      <c r="J83" s="7"/>
      <c r="K83" s="7"/>
      <c r="L83" s="7"/>
      <c r="M83" s="7"/>
      <c r="N83" s="7"/>
      <c r="O83" s="7"/>
      <c r="P83" s="7"/>
      <c r="Q83" s="7"/>
      <c r="R83" s="7"/>
      <c r="S83" s="7"/>
      <c r="T83" s="7"/>
      <c r="U83" s="7"/>
      <c r="V83" s="7"/>
      <c r="W83" s="7"/>
      <c r="X83" s="7"/>
      <c r="Y83" s="7"/>
    </row>
    <row r="84" spans="1:27">
      <c r="A84" s="7" t="s">
        <v>192</v>
      </c>
    </row>
    <row r="85" spans="1:27">
      <c r="A85" s="7" t="s">
        <v>93</v>
      </c>
    </row>
    <row r="86" spans="1:27">
      <c r="A86" s="4" t="s">
        <v>0</v>
      </c>
      <c r="B86" s="5">
        <f t="shared" ref="B86:V86" si="52">+B36</f>
        <v>159.80000000000001</v>
      </c>
      <c r="C86" s="5">
        <f t="shared" si="52"/>
        <v>151.9</v>
      </c>
      <c r="D86" s="5">
        <f t="shared" si="52"/>
        <v>145</v>
      </c>
      <c r="E86" s="5">
        <f t="shared" si="52"/>
        <v>142.5</v>
      </c>
      <c r="F86" s="5">
        <f t="shared" si="52"/>
        <v>143.94501383067166</v>
      </c>
      <c r="G86" s="5"/>
      <c r="H86" s="5"/>
      <c r="I86" s="5"/>
      <c r="J86" s="5"/>
      <c r="K86" s="5"/>
      <c r="L86" s="5"/>
      <c r="M86" s="5"/>
      <c r="N86" s="5">
        <f>+N36</f>
        <v>321.01087069046878</v>
      </c>
      <c r="O86" s="5">
        <f t="shared" si="52"/>
        <v>336.43496455200301</v>
      </c>
      <c r="P86" s="5">
        <f t="shared" si="52"/>
        <v>352.06045910830341</v>
      </c>
      <c r="Q86" s="5">
        <f t="shared" si="52"/>
        <v>367.91495155006015</v>
      </c>
      <c r="R86" s="5">
        <f t="shared" si="52"/>
        <v>384.02503953586751</v>
      </c>
      <c r="S86" s="5">
        <f t="shared" si="52"/>
        <v>400.41649941686438</v>
      </c>
      <c r="T86" s="5">
        <f t="shared" si="52"/>
        <v>417.11444203162364</v>
      </c>
      <c r="U86" s="5">
        <f t="shared" si="52"/>
        <v>434.14344967276861</v>
      </c>
      <c r="V86" s="5">
        <f t="shared" si="52"/>
        <v>451.52769719643061</v>
      </c>
    </row>
    <row r="87" spans="1:27">
      <c r="A87" s="4" t="s">
        <v>79</v>
      </c>
    </row>
    <row r="88" spans="1:27">
      <c r="A88" s="4" t="s">
        <v>122</v>
      </c>
      <c r="Z88" s="95"/>
      <c r="AA88" s="95"/>
    </row>
    <row r="89" spans="1:27">
      <c r="A89" s="18" t="s">
        <v>123</v>
      </c>
    </row>
    <row r="90" spans="1:27">
      <c r="A90" s="4" t="s">
        <v>77</v>
      </c>
    </row>
    <row r="91" spans="1:27">
      <c r="A91" s="14" t="s">
        <v>121</v>
      </c>
      <c r="D91" s="6"/>
      <c r="E91" s="6"/>
      <c r="F91" s="6"/>
      <c r="G91" s="6"/>
      <c r="H91" s="6"/>
      <c r="I91" s="6"/>
      <c r="J91" s="6"/>
      <c r="K91" s="6"/>
      <c r="L91" s="6"/>
      <c r="M91" s="6"/>
      <c r="N91" s="6"/>
      <c r="O91" s="6"/>
      <c r="P91" s="6"/>
      <c r="Q91" s="6"/>
      <c r="R91" s="6"/>
      <c r="S91" s="6"/>
      <c r="T91" s="6"/>
      <c r="U91" s="6"/>
      <c r="V91" s="6"/>
      <c r="W91" s="6"/>
      <c r="X91" s="6"/>
      <c r="Y91" s="6"/>
    </row>
    <row r="93" spans="1:27">
      <c r="A93" s="7" t="s">
        <v>91</v>
      </c>
    </row>
    <row r="94" spans="1:27">
      <c r="A94" s="4" t="s">
        <v>0</v>
      </c>
      <c r="B94" s="5">
        <f t="shared" ref="B94:V94" si="53">+B37</f>
        <v>27</v>
      </c>
      <c r="C94" s="5">
        <f t="shared" si="53"/>
        <v>32.299999999999997</v>
      </c>
      <c r="D94" s="5">
        <f t="shared" si="53"/>
        <v>41.6</v>
      </c>
      <c r="E94" s="5">
        <f t="shared" si="53"/>
        <v>50.4</v>
      </c>
      <c r="F94" s="5">
        <f t="shared" si="53"/>
        <v>60.246208092485546</v>
      </c>
      <c r="G94" s="5"/>
      <c r="H94" s="5"/>
      <c r="I94" s="5"/>
      <c r="J94" s="5"/>
      <c r="K94" s="5"/>
      <c r="L94" s="5"/>
      <c r="M94" s="5"/>
      <c r="N94" s="5">
        <f>+N37</f>
        <v>144.28341572254334</v>
      </c>
      <c r="O94" s="5">
        <f t="shared" si="53"/>
        <v>153.60537255606934</v>
      </c>
      <c r="P94" s="5">
        <f t="shared" si="53"/>
        <v>171.0572540877572</v>
      </c>
      <c r="Q94" s="5">
        <f t="shared" si="53"/>
        <v>187.90794730335378</v>
      </c>
      <c r="R94" s="5">
        <f t="shared" si="53"/>
        <v>203.90335424851153</v>
      </c>
      <c r="S94" s="5">
        <f t="shared" si="53"/>
        <v>219.89876119366934</v>
      </c>
      <c r="T94" s="5">
        <f t="shared" si="53"/>
        <v>235.89416813882715</v>
      </c>
      <c r="U94" s="5">
        <f t="shared" si="53"/>
        <v>251.88957508398497</v>
      </c>
      <c r="V94" s="5">
        <f t="shared" si="53"/>
        <v>267.88498202914275</v>
      </c>
    </row>
    <row r="95" spans="1:27">
      <c r="A95" s="4" t="s">
        <v>79</v>
      </c>
    </row>
    <row r="96" spans="1:27">
      <c r="A96" s="4" t="s">
        <v>122</v>
      </c>
      <c r="Z96" s="95"/>
      <c r="AA96" s="95"/>
    </row>
    <row r="97" spans="1:27">
      <c r="A97" s="18" t="s">
        <v>123</v>
      </c>
    </row>
    <row r="98" spans="1:27">
      <c r="A98" s="4" t="s">
        <v>77</v>
      </c>
      <c r="Z98" s="99"/>
      <c r="AA98" s="99"/>
    </row>
    <row r="99" spans="1:27">
      <c r="A99" s="14" t="s">
        <v>121</v>
      </c>
      <c r="D99" s="6"/>
      <c r="E99" s="6"/>
      <c r="F99" s="6"/>
      <c r="G99" s="6"/>
      <c r="H99" s="6"/>
      <c r="I99" s="6"/>
      <c r="J99" s="6"/>
      <c r="K99" s="6"/>
      <c r="L99" s="6"/>
      <c r="M99" s="6"/>
      <c r="N99" s="6"/>
      <c r="O99" s="6"/>
      <c r="P99" s="6"/>
      <c r="Q99" s="6"/>
      <c r="R99" s="6"/>
      <c r="S99" s="6"/>
      <c r="T99" s="6"/>
      <c r="U99" s="6"/>
      <c r="V99" s="6"/>
      <c r="W99" s="6"/>
      <c r="X99" s="6"/>
      <c r="Y99" s="6"/>
    </row>
    <row r="101" spans="1:27">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92"/>
      <c r="AA101" s="92"/>
    </row>
    <row r="102" spans="1:27">
      <c r="A102" s="18" t="s">
        <v>667</v>
      </c>
      <c r="B102" s="43" t="str">
        <f t="shared" ref="B102:V102" si="54">+B$34</f>
        <v>2011A</v>
      </c>
      <c r="C102" s="43" t="str">
        <f t="shared" si="54"/>
        <v>2012A</v>
      </c>
      <c r="D102" s="43" t="str">
        <f t="shared" si="54"/>
        <v>2013A</v>
      </c>
      <c r="E102" s="43" t="str">
        <f t="shared" si="54"/>
        <v>2014A</v>
      </c>
      <c r="F102" s="43" t="str">
        <f t="shared" si="54"/>
        <v>2015E</v>
      </c>
      <c r="G102" s="209"/>
      <c r="H102" s="209"/>
      <c r="I102" s="209"/>
      <c r="J102" s="209"/>
      <c r="K102" s="209"/>
      <c r="L102" s="209"/>
      <c r="M102" s="209"/>
      <c r="N102" s="43" t="str">
        <f t="shared" si="54"/>
        <v>2016E</v>
      </c>
      <c r="O102" s="43" t="str">
        <f t="shared" si="54"/>
        <v>2017E</v>
      </c>
      <c r="P102" s="43" t="str">
        <f t="shared" si="54"/>
        <v>2018E</v>
      </c>
      <c r="Q102" s="43" t="str">
        <f t="shared" si="54"/>
        <v>2019E</v>
      </c>
      <c r="R102" s="43" t="str">
        <f t="shared" si="54"/>
        <v>2020E</v>
      </c>
      <c r="S102" s="43" t="str">
        <f t="shared" si="54"/>
        <v>2021E</v>
      </c>
      <c r="T102" s="43" t="str">
        <f t="shared" si="54"/>
        <v>2022E</v>
      </c>
      <c r="U102" s="43" t="str">
        <f t="shared" si="54"/>
        <v>2023E</v>
      </c>
      <c r="V102" s="43" t="str">
        <f t="shared" si="54"/>
        <v>2024E</v>
      </c>
      <c r="W102" s="44"/>
      <c r="Z102" s="92"/>
      <c r="AA102" s="92"/>
    </row>
    <row r="103" spans="1:27">
      <c r="A103" s="19" t="s">
        <v>8</v>
      </c>
      <c r="Z103" s="92"/>
      <c r="AA103" s="92"/>
    </row>
    <row r="104" spans="1:27">
      <c r="A104" s="4" t="s">
        <v>38</v>
      </c>
      <c r="B104" s="5">
        <v>204.5</v>
      </c>
      <c r="C104" s="5">
        <v>206.9</v>
      </c>
      <c r="D104" s="5">
        <v>207.8</v>
      </c>
      <c r="E104" s="5">
        <v>209.9</v>
      </c>
      <c r="F104" s="5">
        <f t="shared" ref="F104:V105" si="55">+F355</f>
        <v>259.92</v>
      </c>
      <c r="G104" s="5"/>
      <c r="H104" s="5"/>
      <c r="I104" s="5">
        <v>252.07499999999999</v>
      </c>
      <c r="J104" s="5"/>
      <c r="K104" s="5"/>
      <c r="L104" s="5"/>
      <c r="M104" s="5"/>
      <c r="N104" s="5">
        <f t="shared" si="55"/>
        <v>325.60662873912293</v>
      </c>
      <c r="O104" s="5">
        <f t="shared" si="55"/>
        <v>363.49337041291278</v>
      </c>
      <c r="P104" s="5">
        <f t="shared" si="55"/>
        <v>400.41823896954236</v>
      </c>
      <c r="Q104" s="5">
        <f t="shared" si="55"/>
        <v>436.49917094631667</v>
      </c>
      <c r="R104" s="5">
        <f t="shared" si="55"/>
        <v>471.78501551392918</v>
      </c>
      <c r="S104" s="5">
        <f t="shared" si="55"/>
        <v>506.4910645332501</v>
      </c>
      <c r="T104" s="5">
        <f t="shared" si="55"/>
        <v>540.79457366069028</v>
      </c>
      <c r="U104" s="5">
        <f t="shared" si="55"/>
        <v>574.84226387990293</v>
      </c>
      <c r="V104" s="5">
        <f t="shared" si="55"/>
        <v>608.75634694903704</v>
      </c>
      <c r="W104" s="5"/>
      <c r="X104" s="5"/>
      <c r="Y104" s="5"/>
      <c r="Z104" s="92"/>
      <c r="AA104" s="92"/>
    </row>
    <row r="105" spans="1:27">
      <c r="A105" s="4" t="s">
        <v>39</v>
      </c>
      <c r="B105" s="5">
        <v>386.1</v>
      </c>
      <c r="C105" s="5">
        <v>380.7</v>
      </c>
      <c r="D105" s="5">
        <v>372.2</v>
      </c>
      <c r="E105" s="5">
        <v>381.8</v>
      </c>
      <c r="F105" s="5">
        <f t="shared" si="55"/>
        <v>384.8</v>
      </c>
      <c r="G105" s="5"/>
      <c r="H105" s="5"/>
      <c r="I105" s="5">
        <f>133.98+0.375</f>
        <v>134.35499999999999</v>
      </c>
      <c r="J105" s="5"/>
      <c r="K105" s="5"/>
      <c r="L105" s="5"/>
      <c r="M105" s="5"/>
      <c r="N105" s="5">
        <f t="shared" si="55"/>
        <v>394.21765718478071</v>
      </c>
      <c r="O105" s="5">
        <f t="shared" si="55"/>
        <v>399.96967404018432</v>
      </c>
      <c r="P105" s="5">
        <f t="shared" si="55"/>
        <v>412.37555969998732</v>
      </c>
      <c r="Q105" s="5">
        <f t="shared" si="55"/>
        <v>431.41670464265803</v>
      </c>
      <c r="R105" s="5">
        <f t="shared" si="55"/>
        <v>452.06312433187696</v>
      </c>
      <c r="S105" s="5">
        <f t="shared" si="55"/>
        <v>474.32888736240363</v>
      </c>
      <c r="T105" s="5">
        <f t="shared" si="55"/>
        <v>498.22931787092614</v>
      </c>
      <c r="U105" s="5">
        <f t="shared" si="55"/>
        <v>523.78096910876377</v>
      </c>
      <c r="V105" s="5">
        <f t="shared" si="55"/>
        <v>551.00160307004239</v>
      </c>
      <c r="W105" s="5"/>
      <c r="X105" s="5"/>
      <c r="Y105" s="5"/>
      <c r="Z105" s="92"/>
      <c r="AA105" s="92"/>
    </row>
    <row r="106" spans="1:27">
      <c r="A106" s="4" t="s">
        <v>40</v>
      </c>
      <c r="B106" s="5">
        <v>0.5</v>
      </c>
      <c r="C106" s="5">
        <v>0.5</v>
      </c>
      <c r="D106" s="5">
        <v>0.5</v>
      </c>
      <c r="E106" s="5">
        <v>0</v>
      </c>
      <c r="F106" s="51">
        <f t="shared" ref="F106:V110" si="56">+E106</f>
        <v>0</v>
      </c>
      <c r="G106" s="51"/>
      <c r="H106" s="51"/>
      <c r="I106" s="51">
        <v>0</v>
      </c>
      <c r="J106" s="51"/>
      <c r="K106" s="51"/>
      <c r="L106" s="51"/>
      <c r="M106" s="51"/>
      <c r="N106" s="51">
        <f>+F106</f>
        <v>0</v>
      </c>
      <c r="O106" s="51">
        <f t="shared" si="56"/>
        <v>0</v>
      </c>
      <c r="P106" s="51">
        <f t="shared" si="56"/>
        <v>0</v>
      </c>
      <c r="Q106" s="51">
        <f t="shared" si="56"/>
        <v>0</v>
      </c>
      <c r="R106" s="51">
        <f t="shared" si="56"/>
        <v>0</v>
      </c>
      <c r="S106" s="51">
        <f t="shared" si="56"/>
        <v>0</v>
      </c>
      <c r="T106" s="51">
        <f t="shared" si="56"/>
        <v>0</v>
      </c>
      <c r="U106" s="51">
        <f t="shared" si="56"/>
        <v>0</v>
      </c>
      <c r="V106" s="51">
        <f t="shared" si="56"/>
        <v>0</v>
      </c>
      <c r="W106" s="5"/>
      <c r="X106" s="5"/>
      <c r="Y106" s="5"/>
      <c r="Z106" s="92"/>
      <c r="AA106" s="92"/>
    </row>
    <row r="107" spans="1:27">
      <c r="A107" s="4" t="s">
        <v>41</v>
      </c>
      <c r="B107" s="5">
        <v>0.3</v>
      </c>
      <c r="C107" s="5">
        <v>0.3</v>
      </c>
      <c r="D107" s="5">
        <v>0.3</v>
      </c>
      <c r="E107" s="5">
        <v>0.3</v>
      </c>
      <c r="F107" s="51">
        <f t="shared" si="56"/>
        <v>0.3</v>
      </c>
      <c r="G107" s="51"/>
      <c r="H107" s="51"/>
      <c r="I107" s="51"/>
      <c r="J107" s="51"/>
      <c r="K107" s="51"/>
      <c r="L107" s="51"/>
      <c r="M107" s="51"/>
      <c r="N107" s="51">
        <f>+F107</f>
        <v>0.3</v>
      </c>
      <c r="O107" s="51">
        <f t="shared" si="56"/>
        <v>0.3</v>
      </c>
      <c r="P107" s="51">
        <f t="shared" si="56"/>
        <v>0.3</v>
      </c>
      <c r="Q107" s="51">
        <f t="shared" si="56"/>
        <v>0.3</v>
      </c>
      <c r="R107" s="51">
        <f t="shared" si="56"/>
        <v>0.3</v>
      </c>
      <c r="S107" s="51">
        <f t="shared" si="56"/>
        <v>0.3</v>
      </c>
      <c r="T107" s="51">
        <f t="shared" si="56"/>
        <v>0.3</v>
      </c>
      <c r="U107" s="51">
        <f t="shared" si="56"/>
        <v>0.3</v>
      </c>
      <c r="V107" s="51">
        <f t="shared" si="56"/>
        <v>0.3</v>
      </c>
      <c r="W107" s="5"/>
      <c r="X107" s="5"/>
      <c r="Y107" s="5"/>
      <c r="Z107" s="92"/>
      <c r="AA107" s="92"/>
    </row>
    <row r="108" spans="1:27">
      <c r="A108" s="4" t="s">
        <v>44</v>
      </c>
      <c r="B108" s="5">
        <v>9.1999999999999993</v>
      </c>
      <c r="C108" s="5">
        <v>9.3000000000000007</v>
      </c>
      <c r="D108" s="5">
        <v>9.4</v>
      </c>
      <c r="E108" s="5">
        <v>0</v>
      </c>
      <c r="F108" s="51">
        <f t="shared" si="56"/>
        <v>0</v>
      </c>
      <c r="G108" s="51"/>
      <c r="H108" s="51"/>
      <c r="I108" s="51"/>
      <c r="J108" s="51"/>
      <c r="K108" s="51"/>
      <c r="L108" s="51"/>
      <c r="M108" s="51"/>
      <c r="N108" s="51">
        <f>+F108</f>
        <v>0</v>
      </c>
      <c r="O108" s="51">
        <f t="shared" si="56"/>
        <v>0</v>
      </c>
      <c r="P108" s="51">
        <f t="shared" si="56"/>
        <v>0</v>
      </c>
      <c r="Q108" s="51">
        <f t="shared" si="56"/>
        <v>0</v>
      </c>
      <c r="R108" s="51">
        <f t="shared" si="56"/>
        <v>0</v>
      </c>
      <c r="S108" s="51">
        <f t="shared" si="56"/>
        <v>0</v>
      </c>
      <c r="T108" s="51">
        <f t="shared" si="56"/>
        <v>0</v>
      </c>
      <c r="U108" s="51">
        <f t="shared" si="56"/>
        <v>0</v>
      </c>
      <c r="V108" s="51">
        <f t="shared" si="56"/>
        <v>0</v>
      </c>
      <c r="W108" s="5"/>
      <c r="X108" s="5"/>
      <c r="Y108" s="5"/>
      <c r="Z108" s="100"/>
      <c r="AA108" s="100"/>
    </row>
    <row r="109" spans="1:27">
      <c r="A109" s="4" t="s">
        <v>45</v>
      </c>
      <c r="B109" s="5">
        <v>0.8</v>
      </c>
      <c r="C109" s="5">
        <v>0.9</v>
      </c>
      <c r="D109" s="5">
        <v>1.5</v>
      </c>
      <c r="E109" s="5">
        <v>1.1000000000000001</v>
      </c>
      <c r="F109" s="51">
        <f t="shared" si="56"/>
        <v>1.1000000000000001</v>
      </c>
      <c r="G109" s="51"/>
      <c r="H109" s="51"/>
      <c r="I109" s="51">
        <v>1.5</v>
      </c>
      <c r="J109" s="51"/>
      <c r="K109" s="51"/>
      <c r="L109" s="51"/>
      <c r="M109" s="51"/>
      <c r="N109" s="51">
        <f>+F109</f>
        <v>1.1000000000000001</v>
      </c>
      <c r="O109" s="51">
        <f t="shared" si="56"/>
        <v>1.1000000000000001</v>
      </c>
      <c r="P109" s="51">
        <f t="shared" si="56"/>
        <v>1.1000000000000001</v>
      </c>
      <c r="Q109" s="51">
        <f t="shared" si="56"/>
        <v>1.1000000000000001</v>
      </c>
      <c r="R109" s="51">
        <f t="shared" si="56"/>
        <v>1.1000000000000001</v>
      </c>
      <c r="S109" s="51">
        <f t="shared" si="56"/>
        <v>1.1000000000000001</v>
      </c>
      <c r="T109" s="51">
        <f t="shared" si="56"/>
        <v>1.1000000000000001</v>
      </c>
      <c r="U109" s="51">
        <f t="shared" si="56"/>
        <v>1.1000000000000001</v>
      </c>
      <c r="V109" s="51">
        <f t="shared" si="56"/>
        <v>1.1000000000000001</v>
      </c>
      <c r="W109" s="5"/>
      <c r="X109" s="5"/>
      <c r="Y109" s="5"/>
      <c r="Z109" s="92"/>
      <c r="AA109" s="92"/>
    </row>
    <row r="110" spans="1:27">
      <c r="A110" s="4" t="s">
        <v>92</v>
      </c>
      <c r="B110" s="5">
        <v>0.2</v>
      </c>
      <c r="C110" s="5">
        <v>0.1</v>
      </c>
      <c r="D110" s="5">
        <v>0</v>
      </c>
      <c r="E110" s="5">
        <v>0.1</v>
      </c>
      <c r="F110" s="51">
        <f t="shared" si="56"/>
        <v>0.1</v>
      </c>
      <c r="G110" s="51"/>
      <c r="H110" s="51"/>
      <c r="I110" s="51"/>
      <c r="J110" s="51"/>
      <c r="K110" s="51"/>
      <c r="L110" s="51"/>
      <c r="M110" s="51"/>
      <c r="N110" s="51">
        <f>+F110</f>
        <v>0.1</v>
      </c>
      <c r="O110" s="51">
        <f t="shared" si="56"/>
        <v>0.1</v>
      </c>
      <c r="P110" s="51">
        <f t="shared" si="56"/>
        <v>0.1</v>
      </c>
      <c r="Q110" s="51">
        <f t="shared" si="56"/>
        <v>0.1</v>
      </c>
      <c r="R110" s="51">
        <f t="shared" si="56"/>
        <v>0.1</v>
      </c>
      <c r="S110" s="51">
        <f t="shared" si="56"/>
        <v>0.1</v>
      </c>
      <c r="T110" s="51">
        <f t="shared" si="56"/>
        <v>0.1</v>
      </c>
      <c r="U110" s="51">
        <f t="shared" si="56"/>
        <v>0.1</v>
      </c>
      <c r="V110" s="51">
        <f t="shared" si="56"/>
        <v>0.1</v>
      </c>
      <c r="W110" s="5"/>
      <c r="X110" s="5"/>
      <c r="Y110" s="5"/>
      <c r="Z110" s="92"/>
      <c r="AA110" s="92"/>
    </row>
    <row r="111" spans="1:27">
      <c r="A111" s="20" t="s">
        <v>9</v>
      </c>
      <c r="B111" s="21">
        <f t="shared" ref="B111:V111" si="57">SUM(B104:B110)</f>
        <v>601.6</v>
      </c>
      <c r="C111" s="21">
        <f t="shared" si="57"/>
        <v>598.69999999999993</v>
      </c>
      <c r="D111" s="21">
        <f t="shared" si="57"/>
        <v>591.69999999999993</v>
      </c>
      <c r="E111" s="21">
        <f t="shared" si="57"/>
        <v>593.20000000000005</v>
      </c>
      <c r="F111" s="21">
        <f t="shared" si="57"/>
        <v>646.22</v>
      </c>
      <c r="G111" s="351"/>
      <c r="H111" s="351"/>
      <c r="I111" s="351">
        <v>387.94299999999998</v>
      </c>
      <c r="J111" s="351"/>
      <c r="K111" s="351"/>
      <c r="L111" s="351"/>
      <c r="M111" s="351"/>
      <c r="N111" s="21">
        <f t="shared" si="57"/>
        <v>721.32428592390363</v>
      </c>
      <c r="O111" s="21">
        <f t="shared" si="57"/>
        <v>764.96304445309715</v>
      </c>
      <c r="P111" s="21">
        <f t="shared" si="57"/>
        <v>814.29379866952968</v>
      </c>
      <c r="Q111" s="21">
        <f t="shared" si="57"/>
        <v>869.4158755889747</v>
      </c>
      <c r="R111" s="21">
        <f t="shared" si="57"/>
        <v>925.34813984580614</v>
      </c>
      <c r="S111" s="21">
        <f t="shared" si="57"/>
        <v>982.31995189565373</v>
      </c>
      <c r="T111" s="21">
        <f t="shared" si="57"/>
        <v>1040.5238915316161</v>
      </c>
      <c r="U111" s="21">
        <f t="shared" si="57"/>
        <v>1100.1232329886664</v>
      </c>
      <c r="V111" s="21">
        <f t="shared" si="57"/>
        <v>1161.2579500190793</v>
      </c>
      <c r="W111" s="22"/>
      <c r="X111" s="22"/>
      <c r="Y111" s="22"/>
      <c r="Z111" s="92"/>
      <c r="AA111" s="92"/>
    </row>
    <row r="112" spans="1:27">
      <c r="B112" s="5"/>
      <c r="C112" s="5"/>
      <c r="D112" s="5"/>
      <c r="E112" s="5"/>
      <c r="F112" s="5"/>
      <c r="G112" s="5"/>
      <c r="H112" s="5"/>
      <c r="I112" s="5"/>
      <c r="J112" s="5"/>
      <c r="K112" s="5"/>
      <c r="L112" s="5"/>
      <c r="M112" s="5"/>
      <c r="N112" s="5"/>
      <c r="O112" s="5"/>
      <c r="P112" s="5"/>
      <c r="Q112" s="5"/>
      <c r="R112" s="5"/>
      <c r="S112" s="5"/>
      <c r="T112" s="5"/>
      <c r="U112" s="5"/>
      <c r="V112" s="5"/>
      <c r="W112" s="5"/>
      <c r="X112" s="5"/>
      <c r="Y112" s="5"/>
      <c r="Z112" s="92"/>
      <c r="AA112" s="92"/>
    </row>
    <row r="113" spans="1:27">
      <c r="A113" s="19" t="s">
        <v>10</v>
      </c>
      <c r="B113" s="5"/>
      <c r="C113" s="5"/>
      <c r="D113" s="5"/>
      <c r="E113" s="5"/>
      <c r="F113" s="5"/>
      <c r="G113" s="5"/>
      <c r="H113" s="5"/>
      <c r="I113" s="5"/>
      <c r="J113" s="5"/>
      <c r="K113" s="5"/>
      <c r="L113" s="5"/>
      <c r="M113" s="5"/>
      <c r="N113" s="5"/>
      <c r="O113" s="5"/>
      <c r="P113" s="5"/>
      <c r="Q113" s="5"/>
      <c r="R113" s="5"/>
      <c r="S113" s="5"/>
      <c r="T113" s="5"/>
      <c r="U113" s="5"/>
      <c r="V113" s="5"/>
      <c r="W113" s="5"/>
      <c r="X113" s="5"/>
      <c r="Y113" s="5"/>
      <c r="Z113" s="92"/>
      <c r="AA113" s="92"/>
    </row>
    <row r="114" spans="1:27">
      <c r="A114" s="4" t="s">
        <v>42</v>
      </c>
      <c r="B114" s="5">
        <v>1.5</v>
      </c>
      <c r="C114" s="5">
        <v>2.5</v>
      </c>
      <c r="D114" s="5">
        <v>1.7</v>
      </c>
      <c r="E114" s="5">
        <v>3.3</v>
      </c>
      <c r="F114" s="5">
        <f t="shared" ref="F114:V116" si="58">+F375</f>
        <v>3.5373773258922259</v>
      </c>
      <c r="G114" s="5"/>
      <c r="H114" s="5"/>
      <c r="I114" s="5">
        <v>5.23</v>
      </c>
      <c r="J114" s="5"/>
      <c r="K114" s="5"/>
      <c r="L114" s="5"/>
      <c r="M114" s="5"/>
      <c r="N114" s="5">
        <f t="shared" si="58"/>
        <v>8.0152721718463766</v>
      </c>
      <c r="O114" s="5">
        <f t="shared" si="58"/>
        <v>8.639977369326088</v>
      </c>
      <c r="P114" s="5">
        <f t="shared" si="58"/>
        <v>9.4291606605639178</v>
      </c>
      <c r="Q114" s="5">
        <f t="shared" si="58"/>
        <v>10.240060722232295</v>
      </c>
      <c r="R114" s="5">
        <f t="shared" si="58"/>
        <v>11.068092125810095</v>
      </c>
      <c r="S114" s="5">
        <f t="shared" si="58"/>
        <v>11.928772444048729</v>
      </c>
      <c r="T114" s="5">
        <f t="shared" si="58"/>
        <v>12.822937416023793</v>
      </c>
      <c r="U114" s="5">
        <f t="shared" si="58"/>
        <v>13.751455494305844</v>
      </c>
      <c r="V114" s="5">
        <f t="shared" si="58"/>
        <v>14.715229109335709</v>
      </c>
      <c r="W114" s="5"/>
      <c r="X114" s="5"/>
      <c r="Y114" s="5"/>
      <c r="Z114" s="92"/>
      <c r="AA114" s="92"/>
    </row>
    <row r="115" spans="1:27">
      <c r="A115" s="4" t="s">
        <v>43</v>
      </c>
      <c r="B115" s="5">
        <v>16.3</v>
      </c>
      <c r="C115" s="5">
        <v>18.5</v>
      </c>
      <c r="D115" s="5">
        <v>18.899999999999999</v>
      </c>
      <c r="E115" s="5">
        <v>19.100000000000001</v>
      </c>
      <c r="F115" s="5">
        <f t="shared" si="58"/>
        <v>19.924189383719735</v>
      </c>
      <c r="G115" s="5"/>
      <c r="H115" s="5"/>
      <c r="I115" s="5">
        <v>10.994</v>
      </c>
      <c r="J115" s="5"/>
      <c r="K115" s="5"/>
      <c r="L115" s="5"/>
      <c r="M115" s="5"/>
      <c r="N115" s="5">
        <f t="shared" si="58"/>
        <v>43.965356199476687</v>
      </c>
      <c r="O115" s="5">
        <f t="shared" si="58"/>
        <v>46.184368257108844</v>
      </c>
      <c r="P115" s="5">
        <f t="shared" si="58"/>
        <v>49.150461605843937</v>
      </c>
      <c r="Q115" s="5">
        <f t="shared" si="58"/>
        <v>52.083180131925864</v>
      </c>
      <c r="R115" s="5">
        <f t="shared" si="58"/>
        <v>54.962123574092224</v>
      </c>
      <c r="S115" s="5">
        <f t="shared" si="58"/>
        <v>57.866298017188718</v>
      </c>
      <c r="T115" s="5">
        <f t="shared" si="58"/>
        <v>60.797955184298651</v>
      </c>
      <c r="U115" s="5">
        <f t="shared" si="58"/>
        <v>63.759299403070408</v>
      </c>
      <c r="V115" s="5">
        <f t="shared" si="58"/>
        <v>66.752498465767388</v>
      </c>
      <c r="W115" s="5"/>
      <c r="X115" s="5"/>
      <c r="Y115" s="5"/>
      <c r="Z115" s="92"/>
      <c r="AA115" s="92"/>
    </row>
    <row r="116" spans="1:27">
      <c r="A116" s="4" t="s">
        <v>44</v>
      </c>
      <c r="B116" s="5">
        <v>2.9</v>
      </c>
      <c r="C116" s="5">
        <v>6</v>
      </c>
      <c r="D116" s="5">
        <v>2.2000000000000002</v>
      </c>
      <c r="E116" s="5">
        <v>3.1</v>
      </c>
      <c r="F116" s="5">
        <f t="shared" si="58"/>
        <v>3.1</v>
      </c>
      <c r="G116" s="5"/>
      <c r="H116" s="5"/>
      <c r="I116" s="5"/>
      <c r="J116" s="5"/>
      <c r="K116" s="5"/>
      <c r="L116" s="5"/>
      <c r="M116" s="5"/>
      <c r="N116" s="5">
        <f t="shared" si="58"/>
        <v>3.1</v>
      </c>
      <c r="O116" s="5">
        <f t="shared" si="58"/>
        <v>3.1</v>
      </c>
      <c r="P116" s="5">
        <f t="shared" si="58"/>
        <v>3.1</v>
      </c>
      <c r="Q116" s="5">
        <f t="shared" si="58"/>
        <v>3.1</v>
      </c>
      <c r="R116" s="5">
        <f t="shared" si="58"/>
        <v>3.1</v>
      </c>
      <c r="S116" s="5">
        <f t="shared" si="58"/>
        <v>3.1</v>
      </c>
      <c r="T116" s="5">
        <f t="shared" si="58"/>
        <v>3.1</v>
      </c>
      <c r="U116" s="5">
        <f t="shared" si="58"/>
        <v>3.1</v>
      </c>
      <c r="V116" s="5">
        <f t="shared" si="58"/>
        <v>3.1</v>
      </c>
      <c r="W116" s="5"/>
      <c r="X116" s="5"/>
      <c r="Y116" s="5"/>
      <c r="Z116" s="92"/>
      <c r="AA116" s="92"/>
    </row>
    <row r="117" spans="1:27">
      <c r="A117" s="4" t="s">
        <v>45</v>
      </c>
      <c r="B117" s="5">
        <v>3.8</v>
      </c>
      <c r="C117" s="5">
        <v>18.600000000000001</v>
      </c>
      <c r="D117" s="5">
        <v>7.1</v>
      </c>
      <c r="E117" s="5">
        <v>4.7</v>
      </c>
      <c r="F117" s="51">
        <f t="shared" ref="F117:V117" si="59">+E117</f>
        <v>4.7</v>
      </c>
      <c r="G117" s="51"/>
      <c r="H117" s="51"/>
      <c r="I117" s="51">
        <v>1.6319999999999999</v>
      </c>
      <c r="J117" s="51"/>
      <c r="K117" s="51"/>
      <c r="L117" s="51"/>
      <c r="M117" s="51"/>
      <c r="N117" s="51">
        <f>+F117</f>
        <v>4.7</v>
      </c>
      <c r="O117" s="51">
        <f t="shared" si="59"/>
        <v>4.7</v>
      </c>
      <c r="P117" s="51">
        <f t="shared" si="59"/>
        <v>4.7</v>
      </c>
      <c r="Q117" s="51">
        <f t="shared" si="59"/>
        <v>4.7</v>
      </c>
      <c r="R117" s="51">
        <f t="shared" si="59"/>
        <v>4.7</v>
      </c>
      <c r="S117" s="51">
        <f t="shared" si="59"/>
        <v>4.7</v>
      </c>
      <c r="T117" s="51">
        <f t="shared" si="59"/>
        <v>4.7</v>
      </c>
      <c r="U117" s="51">
        <f t="shared" si="59"/>
        <v>4.7</v>
      </c>
      <c r="V117" s="51">
        <f t="shared" si="59"/>
        <v>4.7</v>
      </c>
      <c r="Y117" s="5"/>
      <c r="Z117" s="92"/>
      <c r="AA117" s="92"/>
    </row>
    <row r="118" spans="1:27">
      <c r="A118" s="4" t="s">
        <v>46</v>
      </c>
      <c r="B118" s="5">
        <v>3.7</v>
      </c>
      <c r="C118" s="5">
        <v>1.1000000000000001</v>
      </c>
      <c r="D118" s="5">
        <v>0.9</v>
      </c>
      <c r="E118" s="5">
        <v>13.1</v>
      </c>
      <c r="F118" s="5">
        <f t="shared" ref="F118:V119" si="60">+F378</f>
        <v>13.665281723912484</v>
      </c>
      <c r="G118" s="5"/>
      <c r="H118" s="5"/>
      <c r="I118" s="5">
        <f>+I122-I120-I117-I115-I114</f>
        <v>0.84099999999999397</v>
      </c>
      <c r="J118" s="5"/>
      <c r="K118" s="5"/>
      <c r="L118" s="5"/>
      <c r="M118" s="5"/>
      <c r="N118" s="5">
        <f t="shared" si="60"/>
        <v>30.154249539955206</v>
      </c>
      <c r="O118" s="5">
        <f t="shared" si="60"/>
        <v>31.676189747022288</v>
      </c>
      <c r="P118" s="5">
        <f t="shared" si="60"/>
        <v>33.710526022856307</v>
      </c>
      <c r="Q118" s="5">
        <f t="shared" si="60"/>
        <v>35.721971713519821</v>
      </c>
      <c r="R118" s="5">
        <f t="shared" si="60"/>
        <v>37.696535016785752</v>
      </c>
      <c r="S118" s="5">
        <f t="shared" si="60"/>
        <v>39.688403352103244</v>
      </c>
      <c r="T118" s="5">
        <f t="shared" si="60"/>
        <v>41.699121094990161</v>
      </c>
      <c r="U118" s="5">
        <f t="shared" si="60"/>
        <v>43.730200114147756</v>
      </c>
      <c r="V118" s="5">
        <f t="shared" si="60"/>
        <v>45.783127219976578</v>
      </c>
      <c r="W118" s="5"/>
      <c r="X118" s="5"/>
      <c r="Y118" s="5"/>
      <c r="Z118" s="92"/>
      <c r="AA118" s="92"/>
    </row>
    <row r="119" spans="1:27">
      <c r="A119" s="4" t="s">
        <v>47</v>
      </c>
      <c r="B119" s="5">
        <v>1.8</v>
      </c>
      <c r="C119" s="5">
        <v>1.3</v>
      </c>
      <c r="D119" s="5">
        <v>1.2</v>
      </c>
      <c r="E119" s="5">
        <v>0.5</v>
      </c>
      <c r="F119" s="5">
        <f t="shared" si="60"/>
        <v>0.5</v>
      </c>
      <c r="G119" s="5"/>
      <c r="H119" s="5"/>
      <c r="I119" s="5"/>
      <c r="J119" s="5"/>
      <c r="K119" s="5"/>
      <c r="L119" s="5"/>
      <c r="M119" s="5"/>
      <c r="N119" s="5">
        <f t="shared" si="60"/>
        <v>0.5</v>
      </c>
      <c r="O119" s="5">
        <f t="shared" si="60"/>
        <v>0.5</v>
      </c>
      <c r="P119" s="5">
        <f t="shared" si="60"/>
        <v>0.5</v>
      </c>
      <c r="Q119" s="5">
        <f t="shared" si="60"/>
        <v>0.5</v>
      </c>
      <c r="R119" s="5">
        <f t="shared" si="60"/>
        <v>0.5</v>
      </c>
      <c r="S119" s="5">
        <f t="shared" si="60"/>
        <v>0.5</v>
      </c>
      <c r="T119" s="5">
        <f t="shared" si="60"/>
        <v>0.5</v>
      </c>
      <c r="U119" s="5">
        <f t="shared" si="60"/>
        <v>0.5</v>
      </c>
      <c r="V119" s="5">
        <f t="shared" si="60"/>
        <v>0.5</v>
      </c>
      <c r="W119" s="5"/>
      <c r="X119" s="5"/>
      <c r="Y119" s="5"/>
      <c r="Z119" s="100"/>
      <c r="AA119" s="100"/>
    </row>
    <row r="120" spans="1:27">
      <c r="A120" s="4" t="s">
        <v>48</v>
      </c>
      <c r="B120" s="5">
        <v>45.6</v>
      </c>
      <c r="C120" s="5">
        <v>22</v>
      </c>
      <c r="D120" s="5">
        <v>70.5</v>
      </c>
      <c r="E120" s="5">
        <v>24.4</v>
      </c>
      <c r="F120" s="5">
        <f>+E413+F186</f>
        <v>125.85055867228323</v>
      </c>
      <c r="G120" s="5"/>
      <c r="H120" s="5"/>
      <c r="I120" s="5">
        <v>38.200000000000003</v>
      </c>
      <c r="J120" s="5"/>
      <c r="K120" s="5"/>
      <c r="L120" s="5"/>
      <c r="M120" s="5"/>
      <c r="N120" s="36">
        <f>+F120+N186</f>
        <v>221.78944243828326</v>
      </c>
      <c r="O120" s="36">
        <f t="shared" ref="O120:V120" si="61">+N120+O186</f>
        <v>180.69137475027193</v>
      </c>
      <c r="P120" s="36">
        <f t="shared" si="61"/>
        <v>153.73662480779993</v>
      </c>
      <c r="Q120" s="36">
        <f t="shared" si="61"/>
        <v>119.04688902823401</v>
      </c>
      <c r="R120" s="36">
        <f t="shared" si="61"/>
        <v>78.194155279971511</v>
      </c>
      <c r="S120" s="36">
        <f t="shared" si="61"/>
        <v>36.512066662536853</v>
      </c>
      <c r="T120" s="36">
        <f t="shared" si="61"/>
        <v>-6.1956798929292347</v>
      </c>
      <c r="U120" s="36">
        <f t="shared" si="61"/>
        <v>-50.115029150446475</v>
      </c>
      <c r="V120" s="36">
        <f t="shared" si="61"/>
        <v>-95.40294226088858</v>
      </c>
      <c r="Y120" s="5"/>
      <c r="Z120" s="93"/>
      <c r="AA120" s="93"/>
    </row>
    <row r="121" spans="1:27">
      <c r="A121" s="4" t="s">
        <v>92</v>
      </c>
      <c r="B121" s="5">
        <v>1.1000000000000001</v>
      </c>
      <c r="C121" s="5">
        <v>1.1000000000000001</v>
      </c>
      <c r="D121" s="5">
        <v>2.2000000000000002</v>
      </c>
      <c r="E121" s="5">
        <v>5.7</v>
      </c>
      <c r="F121" s="5">
        <f t="shared" ref="F121:V121" si="62">+F380</f>
        <v>5.7438666237566345</v>
      </c>
      <c r="G121" s="5"/>
      <c r="H121" s="5"/>
      <c r="I121" s="5"/>
      <c r="J121" s="5"/>
      <c r="K121" s="5"/>
      <c r="L121" s="5"/>
      <c r="M121" s="5"/>
      <c r="N121" s="5">
        <f t="shared" si="62"/>
        <v>11.28465591480578</v>
      </c>
      <c r="O121" s="5">
        <f t="shared" si="62"/>
        <v>11.44915121434463</v>
      </c>
      <c r="P121" s="5">
        <f t="shared" si="62"/>
        <v>11.750774182862623</v>
      </c>
      <c r="Q121" s="5">
        <f t="shared" si="62"/>
        <v>12.156399374810158</v>
      </c>
      <c r="R121" s="5">
        <f t="shared" si="62"/>
        <v>12.556313711486306</v>
      </c>
      <c r="S121" s="5">
        <f t="shared" si="62"/>
        <v>12.964975845676346</v>
      </c>
      <c r="T121" s="5">
        <f t="shared" si="62"/>
        <v>13.382871880627402</v>
      </c>
      <c r="U121" s="5">
        <f t="shared" si="62"/>
        <v>13.810489815002905</v>
      </c>
      <c r="V121" s="5">
        <f t="shared" si="62"/>
        <v>14.248321314084166</v>
      </c>
      <c r="W121" s="5"/>
      <c r="X121" s="5"/>
      <c r="Y121" s="5"/>
      <c r="Z121" s="92"/>
      <c r="AA121" s="92"/>
    </row>
    <row r="122" spans="1:27">
      <c r="A122" s="20" t="s">
        <v>11</v>
      </c>
      <c r="B122" s="21">
        <f>SUM(B114:B121)</f>
        <v>76.699999999999989</v>
      </c>
      <c r="C122" s="21">
        <v>71</v>
      </c>
      <c r="D122" s="21">
        <f t="shared" ref="D122:V122" si="63">SUM(D114:D121)</f>
        <v>104.7</v>
      </c>
      <c r="E122" s="21">
        <f t="shared" si="63"/>
        <v>73.900000000000006</v>
      </c>
      <c r="F122" s="21">
        <f t="shared" si="63"/>
        <v>177.02127372956431</v>
      </c>
      <c r="G122" s="351"/>
      <c r="H122" s="351"/>
      <c r="I122" s="351">
        <v>56.896999999999998</v>
      </c>
      <c r="J122" s="351"/>
      <c r="K122" s="351"/>
      <c r="L122" s="351"/>
      <c r="M122" s="351"/>
      <c r="N122" s="21">
        <f t="shared" si="63"/>
        <v>323.50897626436733</v>
      </c>
      <c r="O122" s="21">
        <f t="shared" si="63"/>
        <v>286.94106133807378</v>
      </c>
      <c r="P122" s="21">
        <f t="shared" si="63"/>
        <v>266.0775472799267</v>
      </c>
      <c r="Q122" s="21">
        <f t="shared" si="63"/>
        <v>237.54850097072213</v>
      </c>
      <c r="R122" s="21">
        <f t="shared" si="63"/>
        <v>202.77721970814588</v>
      </c>
      <c r="S122" s="21">
        <f t="shared" si="63"/>
        <v>167.26051632155389</v>
      </c>
      <c r="T122" s="21">
        <f t="shared" si="63"/>
        <v>130.80720568301078</v>
      </c>
      <c r="U122" s="21">
        <f t="shared" si="63"/>
        <v>93.236415676080441</v>
      </c>
      <c r="V122" s="21">
        <f t="shared" si="63"/>
        <v>54.396233848275244</v>
      </c>
      <c r="W122" s="22"/>
      <c r="X122" s="22"/>
      <c r="Y122" s="22"/>
      <c r="Z122" s="92"/>
      <c r="AA122" s="92"/>
    </row>
    <row r="123" spans="1:27">
      <c r="A123" s="7" t="s">
        <v>12</v>
      </c>
      <c r="B123" s="9">
        <f t="shared" ref="B123:V123" si="64">+B122+B111</f>
        <v>678.3</v>
      </c>
      <c r="C123" s="9">
        <f t="shared" si="64"/>
        <v>669.69999999999993</v>
      </c>
      <c r="D123" s="9">
        <f t="shared" si="64"/>
        <v>696.4</v>
      </c>
      <c r="E123" s="9">
        <f t="shared" si="64"/>
        <v>667.1</v>
      </c>
      <c r="F123" s="9">
        <f t="shared" si="64"/>
        <v>823.24127372956434</v>
      </c>
      <c r="G123" s="9"/>
      <c r="H123" s="9"/>
      <c r="I123" s="9">
        <f t="shared" si="64"/>
        <v>444.84</v>
      </c>
      <c r="J123" s="9"/>
      <c r="K123" s="9"/>
      <c r="L123" s="9"/>
      <c r="M123" s="9"/>
      <c r="N123" s="9">
        <f t="shared" si="64"/>
        <v>1044.833262188271</v>
      </c>
      <c r="O123" s="9">
        <f t="shared" si="64"/>
        <v>1051.9041057911709</v>
      </c>
      <c r="P123" s="9">
        <f t="shared" si="64"/>
        <v>1080.3713459494563</v>
      </c>
      <c r="Q123" s="9">
        <f t="shared" si="64"/>
        <v>1106.9643765596968</v>
      </c>
      <c r="R123" s="9">
        <f t="shared" si="64"/>
        <v>1128.125359553952</v>
      </c>
      <c r="S123" s="9">
        <f t="shared" si="64"/>
        <v>1149.5804682172077</v>
      </c>
      <c r="T123" s="9">
        <f t="shared" si="64"/>
        <v>1171.3310972146269</v>
      </c>
      <c r="U123" s="9">
        <f t="shared" si="64"/>
        <v>1193.3596486647468</v>
      </c>
      <c r="V123" s="9">
        <f t="shared" si="64"/>
        <v>1215.6541838673545</v>
      </c>
      <c r="W123" s="9"/>
      <c r="X123" s="9"/>
      <c r="Y123" s="9"/>
      <c r="Z123" s="92"/>
      <c r="AA123" s="92"/>
    </row>
    <row r="124" spans="1:27">
      <c r="B124" s="5"/>
      <c r="C124" s="5"/>
      <c r="D124" s="5"/>
      <c r="E124" s="5"/>
      <c r="F124" s="5"/>
      <c r="G124" s="5"/>
      <c r="H124" s="5"/>
      <c r="I124" s="5"/>
      <c r="J124" s="5"/>
      <c r="K124" s="5"/>
      <c r="L124" s="5"/>
      <c r="M124" s="5"/>
      <c r="N124" s="5"/>
      <c r="O124" s="5"/>
      <c r="P124" s="5"/>
      <c r="Q124" s="5"/>
      <c r="R124" s="5"/>
      <c r="S124" s="5"/>
      <c r="T124" s="5"/>
      <c r="U124" s="5"/>
      <c r="V124" s="5"/>
      <c r="W124" s="5"/>
      <c r="X124" s="5"/>
      <c r="Y124" s="5"/>
      <c r="Z124" s="92"/>
      <c r="AA124" s="92"/>
    </row>
    <row r="125" spans="1:27">
      <c r="A125" s="19" t="s">
        <v>49</v>
      </c>
      <c r="B125" s="5"/>
      <c r="C125" s="5"/>
      <c r="D125" s="5"/>
      <c r="E125" s="5"/>
      <c r="F125" s="5"/>
      <c r="G125" s="5"/>
      <c r="H125" s="5"/>
      <c r="I125" s="5"/>
      <c r="J125" s="5"/>
      <c r="K125" s="5"/>
      <c r="L125" s="5"/>
      <c r="M125" s="5"/>
      <c r="N125" s="5"/>
      <c r="O125" s="5"/>
      <c r="P125" s="5"/>
      <c r="Q125" s="5"/>
      <c r="R125" s="5"/>
      <c r="S125" s="5"/>
      <c r="T125" s="5"/>
      <c r="U125" s="5"/>
      <c r="V125" s="5"/>
      <c r="W125" s="5"/>
      <c r="X125" s="5"/>
      <c r="Y125" s="5"/>
      <c r="Z125" s="100"/>
      <c r="AA125" s="100"/>
    </row>
    <row r="126" spans="1:27">
      <c r="A126" s="4" t="s">
        <v>50</v>
      </c>
      <c r="B126" s="5">
        <v>-107.5</v>
      </c>
      <c r="C126" s="5">
        <v>-88.7</v>
      </c>
      <c r="D126" s="5">
        <v>-68.2</v>
      </c>
      <c r="E126" s="5">
        <v>-112.6</v>
      </c>
      <c r="F126" s="280">
        <f>+E126+F76+F176+F179-61.7</f>
        <v>195.45998717960146</v>
      </c>
      <c r="G126" s="280"/>
      <c r="H126" s="280"/>
      <c r="I126" s="280">
        <v>80.8</v>
      </c>
      <c r="J126" s="280"/>
      <c r="K126" s="280"/>
      <c r="L126" s="280"/>
      <c r="M126" s="280"/>
      <c r="N126" s="5">
        <f>+F126+N76+N176+N179</f>
        <v>310.85937239349664</v>
      </c>
      <c r="O126" s="5">
        <f t="shared" ref="O126:V126" si="65">+N126+O76+O176+O179</f>
        <v>313.65226474574558</v>
      </c>
      <c r="P126" s="5">
        <f t="shared" si="65"/>
        <v>327.02304930509933</v>
      </c>
      <c r="Q126" s="5">
        <f t="shared" si="65"/>
        <v>338.6340462441139</v>
      </c>
      <c r="R126" s="5">
        <f t="shared" si="65"/>
        <v>346.50818639800491</v>
      </c>
      <c r="S126" s="5">
        <f t="shared" si="65"/>
        <v>354.52988056017023</v>
      </c>
      <c r="T126" s="5">
        <f t="shared" si="65"/>
        <v>362.6962372147209</v>
      </c>
      <c r="U126" s="5">
        <f t="shared" si="65"/>
        <v>370.99109638542859</v>
      </c>
      <c r="V126" s="5">
        <f t="shared" si="65"/>
        <v>379.40226979508839</v>
      </c>
      <c r="W126" s="5"/>
      <c r="X126" s="5"/>
      <c r="Y126" s="5"/>
      <c r="Z126" s="92"/>
      <c r="AA126" s="92"/>
    </row>
    <row r="127" spans="1:27">
      <c r="A127" s="4" t="s">
        <v>51</v>
      </c>
      <c r="B127" s="5">
        <v>5.8</v>
      </c>
      <c r="C127" s="5">
        <v>6.1</v>
      </c>
      <c r="D127" s="5">
        <v>6.7</v>
      </c>
      <c r="E127" s="5">
        <v>5.3</v>
      </c>
      <c r="F127" s="5">
        <f t="shared" ref="F127:V127" si="66">+E127+F77</f>
        <v>8.3000000000000007</v>
      </c>
      <c r="G127" s="5"/>
      <c r="H127" s="5"/>
      <c r="I127" s="5">
        <v>52.790999999999997</v>
      </c>
      <c r="J127" s="5"/>
      <c r="K127" s="5"/>
      <c r="L127" s="5"/>
      <c r="M127" s="5"/>
      <c r="N127" s="5">
        <f>+F127+N77</f>
        <v>11.3</v>
      </c>
      <c r="O127" s="5">
        <f t="shared" si="66"/>
        <v>14.3</v>
      </c>
      <c r="P127" s="5">
        <f t="shared" si="66"/>
        <v>17.3</v>
      </c>
      <c r="Q127" s="5">
        <f t="shared" si="66"/>
        <v>20.3</v>
      </c>
      <c r="R127" s="5">
        <f t="shared" si="66"/>
        <v>23.3</v>
      </c>
      <c r="S127" s="5">
        <f t="shared" si="66"/>
        <v>26.3</v>
      </c>
      <c r="T127" s="5">
        <f t="shared" si="66"/>
        <v>29.3</v>
      </c>
      <c r="U127" s="5">
        <f t="shared" si="66"/>
        <v>32.299999999999997</v>
      </c>
      <c r="V127" s="5">
        <f t="shared" si="66"/>
        <v>35.299999999999997</v>
      </c>
      <c r="W127" s="5"/>
      <c r="X127" s="5"/>
      <c r="Y127" s="5"/>
      <c r="Z127" s="92"/>
      <c r="AA127" s="92"/>
    </row>
    <row r="128" spans="1:27">
      <c r="A128" s="20" t="s">
        <v>17</v>
      </c>
      <c r="B128" s="21">
        <v>-101.8</v>
      </c>
      <c r="C128" s="21">
        <v>-82.6</v>
      </c>
      <c r="D128" s="21">
        <v>-61.5</v>
      </c>
      <c r="E128" s="21">
        <f t="shared" ref="E128:V128" si="67">+E127+E126</f>
        <v>-107.3</v>
      </c>
      <c r="F128" s="21">
        <f t="shared" si="67"/>
        <v>203.75998717960147</v>
      </c>
      <c r="G128" s="351"/>
      <c r="H128" s="351"/>
      <c r="I128" s="351">
        <f>+I127+I126</f>
        <v>133.59100000000001</v>
      </c>
      <c r="J128" s="351"/>
      <c r="K128" s="351"/>
      <c r="L128" s="351"/>
      <c r="M128" s="351"/>
      <c r="N128" s="21">
        <f t="shared" si="67"/>
        <v>322.15937239349665</v>
      </c>
      <c r="O128" s="21">
        <f t="shared" si="67"/>
        <v>327.95226474574559</v>
      </c>
      <c r="P128" s="21">
        <f t="shared" si="67"/>
        <v>344.32304930509935</v>
      </c>
      <c r="Q128" s="21">
        <f t="shared" si="67"/>
        <v>358.93404624411392</v>
      </c>
      <c r="R128" s="21">
        <f t="shared" si="67"/>
        <v>369.80818639800492</v>
      </c>
      <c r="S128" s="21">
        <f t="shared" si="67"/>
        <v>380.82988056017024</v>
      </c>
      <c r="T128" s="21">
        <f t="shared" si="67"/>
        <v>391.99623721472091</v>
      </c>
      <c r="U128" s="21">
        <f t="shared" si="67"/>
        <v>403.2910963854286</v>
      </c>
      <c r="V128" s="21">
        <f t="shared" si="67"/>
        <v>414.7022697950884</v>
      </c>
      <c r="W128" s="22"/>
      <c r="X128" s="22"/>
      <c r="Y128" s="22"/>
      <c r="Z128" s="92"/>
      <c r="AA128" s="92"/>
    </row>
    <row r="129" spans="1:27">
      <c r="B129" s="5"/>
      <c r="C129" s="5"/>
      <c r="D129" s="5"/>
      <c r="E129" s="5"/>
      <c r="F129" s="5"/>
      <c r="G129" s="5"/>
      <c r="H129" s="5"/>
      <c r="I129" s="5"/>
      <c r="J129" s="5"/>
      <c r="K129" s="5"/>
      <c r="L129" s="5"/>
      <c r="M129" s="5"/>
      <c r="N129" s="5"/>
      <c r="O129" s="5"/>
      <c r="P129" s="5"/>
      <c r="Q129" s="5"/>
      <c r="R129" s="5"/>
      <c r="S129" s="5"/>
      <c r="T129" s="5"/>
      <c r="U129" s="5"/>
      <c r="V129" s="5"/>
      <c r="W129" s="5"/>
      <c r="X129" s="5"/>
      <c r="Y129" s="5"/>
      <c r="Z129" s="92"/>
      <c r="AA129" s="92"/>
    </row>
    <row r="130" spans="1:27">
      <c r="A130" s="19" t="s">
        <v>13</v>
      </c>
      <c r="B130" s="5"/>
      <c r="C130" s="5"/>
      <c r="D130" s="5"/>
      <c r="E130" s="5"/>
      <c r="F130" s="5"/>
      <c r="G130" s="5"/>
      <c r="H130" s="5"/>
      <c r="I130" s="5"/>
      <c r="J130" s="5"/>
      <c r="K130" s="5"/>
      <c r="L130" s="5"/>
      <c r="M130" s="5"/>
      <c r="N130" s="5"/>
      <c r="O130" s="5"/>
      <c r="P130" s="5"/>
      <c r="Q130" s="5"/>
      <c r="R130" s="5"/>
      <c r="S130" s="5"/>
      <c r="T130" s="5"/>
      <c r="U130" s="5"/>
      <c r="V130" s="5"/>
      <c r="W130" s="5"/>
      <c r="X130" s="5"/>
      <c r="Y130" s="5"/>
      <c r="Z130" s="92"/>
      <c r="AA130" s="92"/>
    </row>
    <row r="131" spans="1:27">
      <c r="A131" s="4" t="s">
        <v>52</v>
      </c>
      <c r="B131" s="5">
        <v>7.7</v>
      </c>
      <c r="C131" s="5">
        <v>9.9</v>
      </c>
      <c r="D131" s="5">
        <v>9.8000000000000007</v>
      </c>
      <c r="E131" s="5">
        <v>10.8</v>
      </c>
      <c r="F131" s="51">
        <f t="shared" ref="F131:V132" si="68">+E131</f>
        <v>10.8</v>
      </c>
      <c r="G131" s="51"/>
      <c r="H131" s="51"/>
      <c r="I131" s="51"/>
      <c r="J131" s="51"/>
      <c r="K131" s="51"/>
      <c r="L131" s="51"/>
      <c r="M131" s="51"/>
      <c r="N131" s="51">
        <f>+F131</f>
        <v>10.8</v>
      </c>
      <c r="O131" s="51">
        <f t="shared" si="68"/>
        <v>10.8</v>
      </c>
      <c r="P131" s="51">
        <f t="shared" si="68"/>
        <v>10.8</v>
      </c>
      <c r="Q131" s="51">
        <f t="shared" si="68"/>
        <v>10.8</v>
      </c>
      <c r="R131" s="51">
        <f t="shared" si="68"/>
        <v>10.8</v>
      </c>
      <c r="S131" s="51">
        <f t="shared" si="68"/>
        <v>10.8</v>
      </c>
      <c r="T131" s="51">
        <f t="shared" si="68"/>
        <v>10.8</v>
      </c>
      <c r="U131" s="51">
        <f t="shared" si="68"/>
        <v>10.8</v>
      </c>
      <c r="V131" s="51">
        <f t="shared" si="68"/>
        <v>10.8</v>
      </c>
      <c r="W131" s="5"/>
      <c r="X131" s="5"/>
      <c r="Y131" s="5"/>
      <c r="Z131" s="92"/>
      <c r="AA131" s="92"/>
    </row>
    <row r="132" spans="1:27">
      <c r="A132" s="4" t="s">
        <v>53</v>
      </c>
      <c r="B132" s="5">
        <v>20.8</v>
      </c>
      <c r="C132" s="5">
        <v>27</v>
      </c>
      <c r="D132" s="5">
        <v>11.4</v>
      </c>
      <c r="E132" s="5">
        <v>11.8</v>
      </c>
      <c r="F132" s="51">
        <f t="shared" si="68"/>
        <v>11.8</v>
      </c>
      <c r="G132" s="51"/>
      <c r="H132" s="51"/>
      <c r="I132" s="51">
        <v>0.54700000000000004</v>
      </c>
      <c r="J132" s="51"/>
      <c r="K132" s="51"/>
      <c r="L132" s="51"/>
      <c r="M132" s="51"/>
      <c r="N132" s="51">
        <f>+F132</f>
        <v>11.8</v>
      </c>
      <c r="O132" s="51">
        <f t="shared" si="68"/>
        <v>11.8</v>
      </c>
      <c r="P132" s="51">
        <f t="shared" si="68"/>
        <v>11.8</v>
      </c>
      <c r="Q132" s="51">
        <f t="shared" si="68"/>
        <v>11.8</v>
      </c>
      <c r="R132" s="51">
        <f t="shared" si="68"/>
        <v>11.8</v>
      </c>
      <c r="S132" s="51">
        <f t="shared" si="68"/>
        <v>11.8</v>
      </c>
      <c r="T132" s="51">
        <f t="shared" si="68"/>
        <v>11.8</v>
      </c>
      <c r="U132" s="51">
        <f t="shared" si="68"/>
        <v>11.8</v>
      </c>
      <c r="V132" s="51">
        <f t="shared" si="68"/>
        <v>11.8</v>
      </c>
      <c r="W132" s="5"/>
      <c r="X132" s="5"/>
      <c r="Y132" s="5"/>
      <c r="Z132" s="92"/>
      <c r="AA132" s="92"/>
    </row>
    <row r="133" spans="1:27">
      <c r="A133" s="4" t="s">
        <v>54</v>
      </c>
      <c r="B133" s="5">
        <v>597</v>
      </c>
      <c r="C133" s="5">
        <v>601.9</v>
      </c>
      <c r="D133" s="5">
        <v>43.5</v>
      </c>
      <c r="E133" s="5">
        <v>640.5</v>
      </c>
      <c r="F133" s="5">
        <f t="shared" ref="F133:V133" si="69">+F412</f>
        <v>487.4</v>
      </c>
      <c r="G133" s="5"/>
      <c r="H133" s="5"/>
      <c r="I133" s="5">
        <f>15.027+179.752</f>
        <v>194.779</v>
      </c>
      <c r="J133" s="5"/>
      <c r="K133" s="5"/>
      <c r="L133" s="5"/>
      <c r="M133" s="5"/>
      <c r="N133" s="5">
        <f t="shared" si="69"/>
        <v>487.4</v>
      </c>
      <c r="O133" s="5">
        <f t="shared" si="69"/>
        <v>487.4</v>
      </c>
      <c r="P133" s="5">
        <f t="shared" si="69"/>
        <v>487.4</v>
      </c>
      <c r="Q133" s="5">
        <f t="shared" si="69"/>
        <v>487.4</v>
      </c>
      <c r="R133" s="5">
        <f t="shared" si="69"/>
        <v>487.4</v>
      </c>
      <c r="S133" s="5">
        <f t="shared" si="69"/>
        <v>487.4</v>
      </c>
      <c r="T133" s="5">
        <f t="shared" si="69"/>
        <v>487.4</v>
      </c>
      <c r="U133" s="5">
        <f t="shared" si="69"/>
        <v>487.4</v>
      </c>
      <c r="V133" s="5">
        <f t="shared" si="69"/>
        <v>487.4</v>
      </c>
      <c r="W133" s="5"/>
      <c r="X133" s="5"/>
      <c r="Y133" s="5"/>
      <c r="Z133" s="92"/>
      <c r="AA133" s="92"/>
    </row>
    <row r="134" spans="1:27">
      <c r="A134" s="4" t="s">
        <v>55</v>
      </c>
      <c r="B134" s="5">
        <v>19.100000000000001</v>
      </c>
      <c r="C134" s="5">
        <v>19.399999999999999</v>
      </c>
      <c r="D134" s="5">
        <v>13.2</v>
      </c>
      <c r="E134" s="5">
        <v>0</v>
      </c>
      <c r="F134" s="51">
        <f t="shared" ref="F134:V136" si="70">+E134</f>
        <v>0</v>
      </c>
      <c r="G134" s="51"/>
      <c r="H134" s="51"/>
      <c r="I134" s="51"/>
      <c r="J134" s="51"/>
      <c r="K134" s="51"/>
      <c r="L134" s="51"/>
      <c r="M134" s="51"/>
      <c r="N134" s="51">
        <f>+F134</f>
        <v>0</v>
      </c>
      <c r="O134" s="51">
        <f t="shared" si="70"/>
        <v>0</v>
      </c>
      <c r="P134" s="51">
        <f t="shared" si="70"/>
        <v>0</v>
      </c>
      <c r="Q134" s="51">
        <f t="shared" si="70"/>
        <v>0</v>
      </c>
      <c r="R134" s="51">
        <f t="shared" si="70"/>
        <v>0</v>
      </c>
      <c r="S134" s="51">
        <f t="shared" si="70"/>
        <v>0</v>
      </c>
      <c r="T134" s="51">
        <f t="shared" si="70"/>
        <v>0</v>
      </c>
      <c r="U134" s="51">
        <f t="shared" si="70"/>
        <v>0</v>
      </c>
      <c r="V134" s="51">
        <f t="shared" si="70"/>
        <v>0</v>
      </c>
      <c r="W134" s="5"/>
      <c r="X134" s="5"/>
      <c r="Y134" s="5"/>
      <c r="Z134" s="100"/>
      <c r="AA134" s="100"/>
    </row>
    <row r="135" spans="1:27">
      <c r="A135" s="4" t="s">
        <v>56</v>
      </c>
      <c r="B135" s="5">
        <v>25.6</v>
      </c>
      <c r="C135" s="5">
        <v>27</v>
      </c>
      <c r="D135" s="5">
        <v>32.700000000000003</v>
      </c>
      <c r="E135" s="5">
        <v>33.9</v>
      </c>
      <c r="F135" s="51">
        <f t="shared" si="70"/>
        <v>33.9</v>
      </c>
      <c r="G135" s="51"/>
      <c r="H135" s="51"/>
      <c r="I135" s="51">
        <f>+I137-I133-I132</f>
        <v>-4.264999999999989</v>
      </c>
      <c r="J135" s="51"/>
      <c r="K135" s="51"/>
      <c r="L135" s="51"/>
      <c r="M135" s="51"/>
      <c r="N135" s="51">
        <f>+F135</f>
        <v>33.9</v>
      </c>
      <c r="O135" s="51">
        <f t="shared" si="70"/>
        <v>33.9</v>
      </c>
      <c r="P135" s="51">
        <f t="shared" si="70"/>
        <v>33.9</v>
      </c>
      <c r="Q135" s="51">
        <f t="shared" si="70"/>
        <v>33.9</v>
      </c>
      <c r="R135" s="51">
        <f t="shared" si="70"/>
        <v>33.9</v>
      </c>
      <c r="S135" s="51">
        <f t="shared" si="70"/>
        <v>33.9</v>
      </c>
      <c r="T135" s="51">
        <f t="shared" si="70"/>
        <v>33.9</v>
      </c>
      <c r="U135" s="51">
        <f t="shared" si="70"/>
        <v>33.9</v>
      </c>
      <c r="V135" s="51">
        <f t="shared" si="70"/>
        <v>33.9</v>
      </c>
      <c r="W135" s="5"/>
      <c r="X135" s="5"/>
      <c r="Y135" s="5"/>
      <c r="Z135" s="92"/>
      <c r="AA135" s="92"/>
    </row>
    <row r="136" spans="1:27">
      <c r="A136" s="4" t="s">
        <v>57</v>
      </c>
      <c r="B136" s="5">
        <v>0.1</v>
      </c>
      <c r="C136" s="5">
        <v>0.1</v>
      </c>
      <c r="D136" s="5">
        <v>1.2</v>
      </c>
      <c r="E136" s="5">
        <v>0.9</v>
      </c>
      <c r="F136" s="51">
        <f t="shared" si="70"/>
        <v>0.9</v>
      </c>
      <c r="G136" s="51"/>
      <c r="H136" s="51"/>
      <c r="I136" s="51"/>
      <c r="J136" s="51"/>
      <c r="K136" s="51"/>
      <c r="L136" s="51"/>
      <c r="M136" s="51"/>
      <c r="N136" s="51">
        <f>+F136</f>
        <v>0.9</v>
      </c>
      <c r="O136" s="51">
        <f t="shared" si="70"/>
        <v>0.9</v>
      </c>
      <c r="P136" s="51">
        <f t="shared" si="70"/>
        <v>0.9</v>
      </c>
      <c r="Q136" s="51">
        <f t="shared" si="70"/>
        <v>0.9</v>
      </c>
      <c r="R136" s="51">
        <f t="shared" si="70"/>
        <v>0.9</v>
      </c>
      <c r="S136" s="51">
        <f t="shared" si="70"/>
        <v>0.9</v>
      </c>
      <c r="T136" s="51">
        <f t="shared" si="70"/>
        <v>0.9</v>
      </c>
      <c r="U136" s="51">
        <f t="shared" si="70"/>
        <v>0.9</v>
      </c>
      <c r="V136" s="51">
        <f t="shared" si="70"/>
        <v>0.9</v>
      </c>
      <c r="W136" s="5"/>
      <c r="X136" s="5"/>
      <c r="Y136" s="5"/>
      <c r="Z136" s="92"/>
      <c r="AA136" s="92"/>
    </row>
    <row r="137" spans="1:27">
      <c r="A137" s="20" t="s">
        <v>14</v>
      </c>
      <c r="B137" s="21">
        <f>SUM(B131:B136)</f>
        <v>670.30000000000007</v>
      </c>
      <c r="C137" s="21">
        <f>SUM(C131:C136)</f>
        <v>685.3</v>
      </c>
      <c r="D137" s="21">
        <v>111.7</v>
      </c>
      <c r="E137" s="21">
        <f t="shared" ref="E137:V137" si="71">SUM(E131:E136)</f>
        <v>697.9</v>
      </c>
      <c r="F137" s="21">
        <f t="shared" si="71"/>
        <v>544.79999999999995</v>
      </c>
      <c r="G137" s="351"/>
      <c r="H137" s="351"/>
      <c r="I137" s="351">
        <f>305.151-I127-I146</f>
        <v>191.06100000000001</v>
      </c>
      <c r="J137" s="351"/>
      <c r="K137" s="351"/>
      <c r="L137" s="351"/>
      <c r="M137" s="351"/>
      <c r="N137" s="21">
        <f t="shared" si="71"/>
        <v>544.79999999999995</v>
      </c>
      <c r="O137" s="21">
        <f t="shared" si="71"/>
        <v>544.79999999999995</v>
      </c>
      <c r="P137" s="21">
        <f t="shared" si="71"/>
        <v>544.79999999999995</v>
      </c>
      <c r="Q137" s="21">
        <f t="shared" si="71"/>
        <v>544.79999999999995</v>
      </c>
      <c r="R137" s="21">
        <f t="shared" si="71"/>
        <v>544.79999999999995</v>
      </c>
      <c r="S137" s="21">
        <f t="shared" si="71"/>
        <v>544.79999999999995</v>
      </c>
      <c r="T137" s="21">
        <f t="shared" si="71"/>
        <v>544.79999999999995</v>
      </c>
      <c r="U137" s="21">
        <f t="shared" si="71"/>
        <v>544.79999999999995</v>
      </c>
      <c r="V137" s="21">
        <f t="shared" si="71"/>
        <v>544.79999999999995</v>
      </c>
      <c r="W137" s="22"/>
      <c r="X137" s="22"/>
      <c r="Y137" s="22"/>
      <c r="Z137" s="92"/>
      <c r="AA137" s="92"/>
    </row>
    <row r="138" spans="1:27">
      <c r="B138" s="5"/>
      <c r="C138" s="5"/>
      <c r="D138" s="5"/>
      <c r="E138" s="5"/>
      <c r="F138" s="5"/>
      <c r="G138" s="5"/>
      <c r="H138" s="5"/>
      <c r="I138" s="5"/>
      <c r="J138" s="5"/>
      <c r="K138" s="5"/>
      <c r="L138" s="5"/>
      <c r="M138" s="5"/>
      <c r="N138" s="5"/>
      <c r="O138" s="5"/>
      <c r="P138" s="5"/>
      <c r="Q138" s="5"/>
      <c r="R138" s="5"/>
      <c r="S138" s="5"/>
      <c r="T138" s="5"/>
      <c r="U138" s="5"/>
      <c r="V138" s="5"/>
      <c r="W138" s="5"/>
      <c r="X138" s="5"/>
      <c r="Y138" s="5"/>
      <c r="Z138" s="92"/>
      <c r="AA138" s="92"/>
    </row>
    <row r="139" spans="1:27">
      <c r="A139" s="19" t="s">
        <v>16</v>
      </c>
      <c r="B139" s="5"/>
      <c r="C139" s="5"/>
      <c r="D139" s="5"/>
      <c r="E139" s="5"/>
      <c r="F139" s="5"/>
      <c r="G139" s="5"/>
      <c r="H139" s="5"/>
      <c r="I139" s="5"/>
      <c r="J139" s="5"/>
      <c r="K139" s="5"/>
      <c r="L139" s="5"/>
      <c r="M139" s="5"/>
      <c r="N139" s="5"/>
      <c r="O139" s="5"/>
      <c r="P139" s="5"/>
      <c r="Q139" s="5"/>
      <c r="R139" s="5"/>
      <c r="S139" s="5"/>
      <c r="T139" s="5"/>
      <c r="U139" s="5"/>
      <c r="V139" s="5"/>
      <c r="W139" s="5"/>
      <c r="X139" s="5"/>
      <c r="Y139" s="5"/>
      <c r="Z139" s="92"/>
      <c r="AA139" s="92"/>
    </row>
    <row r="140" spans="1:27">
      <c r="A140" s="4" t="s">
        <v>53</v>
      </c>
      <c r="B140" s="5">
        <v>3.2</v>
      </c>
      <c r="C140" s="5">
        <v>2.8</v>
      </c>
      <c r="D140" s="5">
        <v>4.8</v>
      </c>
      <c r="E140" s="5">
        <v>7.5</v>
      </c>
      <c r="F140" s="51">
        <f t="shared" ref="F140:V140" si="72">+E140</f>
        <v>7.5</v>
      </c>
      <c r="G140" s="51"/>
      <c r="H140" s="51"/>
      <c r="I140" s="51">
        <v>4.2910000000000004</v>
      </c>
      <c r="J140" s="51"/>
      <c r="K140" s="51"/>
      <c r="L140" s="51"/>
      <c r="M140" s="51"/>
      <c r="N140" s="51">
        <f>+F140</f>
        <v>7.5</v>
      </c>
      <c r="O140" s="51">
        <f t="shared" si="72"/>
        <v>7.5</v>
      </c>
      <c r="P140" s="51">
        <f t="shared" si="72"/>
        <v>7.5</v>
      </c>
      <c r="Q140" s="51">
        <f t="shared" si="72"/>
        <v>7.5</v>
      </c>
      <c r="R140" s="51">
        <f t="shared" si="72"/>
        <v>7.5</v>
      </c>
      <c r="S140" s="51">
        <f t="shared" si="72"/>
        <v>7.5</v>
      </c>
      <c r="T140" s="51">
        <f t="shared" si="72"/>
        <v>7.5</v>
      </c>
      <c r="U140" s="51">
        <f t="shared" si="72"/>
        <v>7.5</v>
      </c>
      <c r="V140" s="51">
        <f t="shared" si="72"/>
        <v>7.5</v>
      </c>
      <c r="W140" s="5"/>
      <c r="X140" s="5"/>
      <c r="Y140" s="5"/>
      <c r="Z140" s="92"/>
      <c r="AA140" s="92"/>
    </row>
    <row r="141" spans="1:27">
      <c r="A141" s="4" t="s">
        <v>54</v>
      </c>
      <c r="B141" s="5">
        <v>13.7</v>
      </c>
      <c r="C141" s="5">
        <v>11.2</v>
      </c>
      <c r="D141" s="5">
        <v>578.1</v>
      </c>
      <c r="E141" s="5">
        <v>2.6</v>
      </c>
      <c r="F141" s="5">
        <f t="shared" ref="F141:V141" si="73">+F411</f>
        <v>0</v>
      </c>
      <c r="G141" s="5"/>
      <c r="H141" s="5"/>
      <c r="I141" s="5">
        <v>36.439</v>
      </c>
      <c r="J141" s="5"/>
      <c r="K141" s="5"/>
      <c r="L141" s="5"/>
      <c r="M141" s="5"/>
      <c r="N141" s="5">
        <f t="shared" si="73"/>
        <v>0</v>
      </c>
      <c r="O141" s="5">
        <f t="shared" si="73"/>
        <v>0</v>
      </c>
      <c r="P141" s="5">
        <f t="shared" si="73"/>
        <v>0</v>
      </c>
      <c r="Q141" s="5">
        <f t="shared" si="73"/>
        <v>0</v>
      </c>
      <c r="R141" s="5">
        <f t="shared" si="73"/>
        <v>0</v>
      </c>
      <c r="S141" s="5">
        <f t="shared" si="73"/>
        <v>0</v>
      </c>
      <c r="T141" s="5">
        <f t="shared" si="73"/>
        <v>0</v>
      </c>
      <c r="U141" s="5">
        <f t="shared" si="73"/>
        <v>0</v>
      </c>
      <c r="V141" s="5">
        <f t="shared" si="73"/>
        <v>0</v>
      </c>
      <c r="W141" s="5"/>
      <c r="X141" s="5"/>
      <c r="Y141" s="5"/>
      <c r="Z141" s="92"/>
      <c r="AA141" s="92"/>
    </row>
    <row r="142" spans="1:27">
      <c r="A142" s="4" t="s">
        <v>56</v>
      </c>
      <c r="B142" s="5">
        <v>30.6</v>
      </c>
      <c r="C142" s="5">
        <v>27.9</v>
      </c>
      <c r="D142" s="5">
        <v>43.2</v>
      </c>
      <c r="E142" s="5">
        <v>40.4</v>
      </c>
      <c r="F142" s="5">
        <f t="shared" ref="F142:V143" si="74">+F384</f>
        <v>46.398267066076968</v>
      </c>
      <c r="G142" s="5"/>
      <c r="H142" s="5"/>
      <c r="I142" s="5">
        <v>6.399</v>
      </c>
      <c r="J142" s="5"/>
      <c r="K142" s="5"/>
      <c r="L142" s="5"/>
      <c r="M142" s="5"/>
      <c r="N142" s="5">
        <f t="shared" si="74"/>
        <v>76.333523896290401</v>
      </c>
      <c r="O142" s="5">
        <f t="shared" si="74"/>
        <v>73.597553290634835</v>
      </c>
      <c r="P142" s="5">
        <f t="shared" si="74"/>
        <v>76.453338377443472</v>
      </c>
      <c r="Q142" s="5">
        <f t="shared" si="74"/>
        <v>79.740294246436818</v>
      </c>
      <c r="R142" s="5">
        <f t="shared" si="74"/>
        <v>82.974428989450843</v>
      </c>
      <c r="S142" s="5">
        <f t="shared" si="74"/>
        <v>86.259525617115145</v>
      </c>
      <c r="T142" s="5">
        <f t="shared" si="74"/>
        <v>89.59886134207656</v>
      </c>
      <c r="U142" s="5">
        <f t="shared" si="74"/>
        <v>92.995696712842715</v>
      </c>
      <c r="V142" s="5">
        <f t="shared" si="74"/>
        <v>96.453288946680615</v>
      </c>
      <c r="W142" s="5"/>
      <c r="X142" s="5"/>
      <c r="Y142" s="5"/>
      <c r="Z142" s="92"/>
      <c r="AA142" s="92"/>
    </row>
    <row r="143" spans="1:27">
      <c r="A143" s="4" t="s">
        <v>55</v>
      </c>
      <c r="B143" s="5">
        <v>2.2999999999999998</v>
      </c>
      <c r="C143" s="5">
        <v>8.6999999999999993</v>
      </c>
      <c r="D143" s="5">
        <v>2.6</v>
      </c>
      <c r="E143" s="5">
        <v>2.6</v>
      </c>
      <c r="F143" s="5">
        <f t="shared" si="74"/>
        <v>2.6</v>
      </c>
      <c r="G143" s="5"/>
      <c r="H143" s="5"/>
      <c r="I143" s="5"/>
      <c r="J143" s="5"/>
      <c r="K143" s="5"/>
      <c r="L143" s="5"/>
      <c r="M143" s="5"/>
      <c r="N143" s="5">
        <f t="shared" si="74"/>
        <v>2.6</v>
      </c>
      <c r="O143" s="5">
        <f t="shared" si="74"/>
        <v>2.6</v>
      </c>
      <c r="P143" s="5">
        <f t="shared" si="74"/>
        <v>2.6</v>
      </c>
      <c r="Q143" s="5">
        <f t="shared" si="74"/>
        <v>2.6</v>
      </c>
      <c r="R143" s="5">
        <f t="shared" si="74"/>
        <v>2.6</v>
      </c>
      <c r="S143" s="5">
        <f t="shared" si="74"/>
        <v>2.6</v>
      </c>
      <c r="T143" s="5">
        <f t="shared" si="74"/>
        <v>2.6</v>
      </c>
      <c r="U143" s="5">
        <f t="shared" si="74"/>
        <v>2.6</v>
      </c>
      <c r="V143" s="5">
        <f t="shared" si="74"/>
        <v>2.6</v>
      </c>
      <c r="W143" s="5"/>
      <c r="X143" s="5"/>
      <c r="Y143" s="5"/>
      <c r="Z143" s="92"/>
      <c r="AA143" s="92"/>
    </row>
    <row r="144" spans="1:27">
      <c r="A144" s="4" t="s">
        <v>58</v>
      </c>
      <c r="B144" s="5">
        <v>38.1</v>
      </c>
      <c r="C144" s="5">
        <v>4.3</v>
      </c>
      <c r="D144" s="5">
        <v>4.5999999999999996</v>
      </c>
      <c r="E144" s="5">
        <v>0.9</v>
      </c>
      <c r="F144" s="51">
        <f t="shared" ref="F144:V144" si="75">+E144-F474+F475</f>
        <v>-4.8482375565409184</v>
      </c>
      <c r="G144" s="51"/>
      <c r="H144" s="51"/>
      <c r="I144" s="51">
        <f>+I148-I146-I142-I140-I141</f>
        <v>11.807999999999986</v>
      </c>
      <c r="J144" s="51"/>
      <c r="K144" s="51"/>
      <c r="L144" s="51"/>
      <c r="M144" s="51"/>
      <c r="N144" s="51">
        <f>+F144-N474+N475</f>
        <v>43.642593663097934</v>
      </c>
      <c r="O144" s="51">
        <f t="shared" si="75"/>
        <v>46.125261814061766</v>
      </c>
      <c r="P144" s="51">
        <f t="shared" si="75"/>
        <v>53.141312339499088</v>
      </c>
      <c r="Q144" s="51">
        <f t="shared" si="75"/>
        <v>59.403168170505346</v>
      </c>
      <c r="R144" s="51">
        <f t="shared" si="75"/>
        <v>64.063513950744323</v>
      </c>
      <c r="S144" s="51">
        <f t="shared" si="75"/>
        <v>68.787097163100867</v>
      </c>
      <c r="T144" s="51">
        <f t="shared" si="75"/>
        <v>73.572678586479739</v>
      </c>
      <c r="U144" s="51">
        <f t="shared" si="75"/>
        <v>78.413332516783015</v>
      </c>
      <c r="V144" s="51">
        <f t="shared" si="75"/>
        <v>83.303835406637205</v>
      </c>
      <c r="W144" s="5"/>
      <c r="X144" s="5"/>
      <c r="Y144" s="5"/>
      <c r="Z144" s="92"/>
      <c r="AA144" s="92"/>
    </row>
    <row r="145" spans="1:41">
      <c r="A145" s="4" t="s">
        <v>94</v>
      </c>
      <c r="B145" s="5">
        <v>15.6</v>
      </c>
      <c r="C145" s="5">
        <v>7.2</v>
      </c>
      <c r="D145" s="5">
        <v>8</v>
      </c>
      <c r="E145" s="5">
        <v>12.4</v>
      </c>
      <c r="F145" s="5">
        <f t="shared" ref="F145:V147" si="76">+F386</f>
        <v>12.495429146417939</v>
      </c>
      <c r="G145" s="5"/>
      <c r="H145" s="5"/>
      <c r="I145" s="5"/>
      <c r="J145" s="5"/>
      <c r="K145" s="5"/>
      <c r="L145" s="5"/>
      <c r="M145" s="5"/>
      <c r="N145" s="5">
        <f t="shared" si="76"/>
        <v>24.549076025191518</v>
      </c>
      <c r="O145" s="5">
        <f t="shared" si="76"/>
        <v>24.906925448749718</v>
      </c>
      <c r="P145" s="5">
        <f t="shared" si="76"/>
        <v>25.563087696052019</v>
      </c>
      <c r="Q145" s="5">
        <f t="shared" si="76"/>
        <v>26.445500394323847</v>
      </c>
      <c r="R145" s="5">
        <f t="shared" si="76"/>
        <v>27.31548947761933</v>
      </c>
      <c r="S145" s="5">
        <f t="shared" si="76"/>
        <v>28.204508857260819</v>
      </c>
      <c r="T145" s="5">
        <f t="shared" si="76"/>
        <v>29.113616021013996</v>
      </c>
      <c r="U145" s="5">
        <f t="shared" si="76"/>
        <v>30.043872580006312</v>
      </c>
      <c r="V145" s="5">
        <f t="shared" si="76"/>
        <v>30.996348121867303</v>
      </c>
      <c r="W145" s="5"/>
      <c r="X145" s="5"/>
      <c r="Y145" s="5"/>
      <c r="Z145" s="100"/>
      <c r="AA145" s="100"/>
    </row>
    <row r="146" spans="1:41">
      <c r="A146" s="4" t="s">
        <v>95</v>
      </c>
      <c r="B146" s="5">
        <v>1.8</v>
      </c>
      <c r="C146" s="5">
        <v>0.4</v>
      </c>
      <c r="D146" s="5">
        <v>0.7</v>
      </c>
      <c r="E146" s="5">
        <v>5.8</v>
      </c>
      <c r="F146" s="5">
        <f t="shared" si="76"/>
        <v>6.0502774044803367</v>
      </c>
      <c r="G146" s="5"/>
      <c r="H146" s="5"/>
      <c r="I146" s="5">
        <f>5.699+55.6</f>
        <v>61.298999999999999</v>
      </c>
      <c r="J146" s="5"/>
      <c r="K146" s="5"/>
      <c r="L146" s="5"/>
      <c r="M146" s="5"/>
      <c r="N146" s="5">
        <f t="shared" si="76"/>
        <v>13.350736437537419</v>
      </c>
      <c r="O146" s="5">
        <f t="shared" si="76"/>
        <v>14.024572559750327</v>
      </c>
      <c r="P146" s="5">
        <f t="shared" si="76"/>
        <v>14.925271063554698</v>
      </c>
      <c r="Q146" s="5">
        <f t="shared" si="76"/>
        <v>15.815834804459158</v>
      </c>
      <c r="R146" s="5">
        <f t="shared" si="76"/>
        <v>16.690068938729571</v>
      </c>
      <c r="S146" s="5">
        <f t="shared" si="76"/>
        <v>17.571964842915943</v>
      </c>
      <c r="T146" s="5">
        <f t="shared" si="76"/>
        <v>18.462206286331522</v>
      </c>
      <c r="U146" s="5">
        <f t="shared" si="76"/>
        <v>19.361462645958547</v>
      </c>
      <c r="V146" s="5">
        <f t="shared" si="76"/>
        <v>20.270392204264436</v>
      </c>
      <c r="W146" s="5"/>
      <c r="X146" s="5"/>
      <c r="Y146" s="5"/>
      <c r="Z146" s="92"/>
      <c r="AA146" s="92"/>
    </row>
    <row r="147" spans="1:41">
      <c r="A147" s="4" t="s">
        <v>57</v>
      </c>
      <c r="B147" s="5">
        <v>4.5999999999999996</v>
      </c>
      <c r="C147" s="5">
        <v>4.7</v>
      </c>
      <c r="D147" s="5">
        <v>2.7</v>
      </c>
      <c r="E147" s="5">
        <v>4.3</v>
      </c>
      <c r="F147" s="5">
        <f t="shared" si="76"/>
        <v>4.4855504895285252</v>
      </c>
      <c r="G147" s="5"/>
      <c r="H147" s="5"/>
      <c r="I147" s="5"/>
      <c r="J147" s="5"/>
      <c r="K147" s="5"/>
      <c r="L147" s="5"/>
      <c r="M147" s="5"/>
      <c r="N147" s="5">
        <f t="shared" si="76"/>
        <v>9.8979597726570514</v>
      </c>
      <c r="O147" s="5">
        <f t="shared" si="76"/>
        <v>10.397527932228691</v>
      </c>
      <c r="P147" s="5">
        <f t="shared" si="76"/>
        <v>11.065287167807794</v>
      </c>
      <c r="Q147" s="5">
        <f t="shared" si="76"/>
        <v>11.725532699857652</v>
      </c>
      <c r="R147" s="5">
        <f t="shared" si="76"/>
        <v>12.373671799402956</v>
      </c>
      <c r="S147" s="5">
        <f t="shared" si="76"/>
        <v>13.027491176644578</v>
      </c>
      <c r="T147" s="5">
        <f t="shared" si="76"/>
        <v>13.687497764004405</v>
      </c>
      <c r="U147" s="5">
        <f t="shared" si="76"/>
        <v>14.354187823727889</v>
      </c>
      <c r="V147" s="5">
        <f t="shared" si="76"/>
        <v>15.028049392816738</v>
      </c>
      <c r="W147" s="5"/>
      <c r="X147" s="5"/>
      <c r="Y147" s="5"/>
      <c r="Z147" s="93"/>
      <c r="AA147" s="93"/>
    </row>
    <row r="148" spans="1:41" s="64" customFormat="1">
      <c r="A148" s="20" t="s">
        <v>15</v>
      </c>
      <c r="B148" s="21">
        <v>109.8</v>
      </c>
      <c r="C148" s="21">
        <v>67.099999999999994</v>
      </c>
      <c r="D148" s="21">
        <v>646.20000000000005</v>
      </c>
      <c r="E148" s="21">
        <f t="shared" ref="E148:V148" si="77">SUM(E140:E147)</f>
        <v>76.5</v>
      </c>
      <c r="F148" s="21">
        <f t="shared" si="77"/>
        <v>74.681286549962849</v>
      </c>
      <c r="G148" s="351"/>
      <c r="H148" s="351"/>
      <c r="I148" s="351">
        <f>+I146+58.937</f>
        <v>120.23599999999999</v>
      </c>
      <c r="J148" s="351"/>
      <c r="K148" s="351"/>
      <c r="L148" s="351"/>
      <c r="M148" s="351"/>
      <c r="N148" s="21">
        <f t="shared" si="77"/>
        <v>177.87388979477433</v>
      </c>
      <c r="O148" s="21">
        <f t="shared" si="77"/>
        <v>179.15184104542533</v>
      </c>
      <c r="P148" s="21">
        <f t="shared" si="77"/>
        <v>191.24829664435705</v>
      </c>
      <c r="Q148" s="21">
        <f t="shared" si="77"/>
        <v>203.23033031558282</v>
      </c>
      <c r="R148" s="21">
        <f t="shared" si="77"/>
        <v>213.51717315594703</v>
      </c>
      <c r="S148" s="21">
        <f t="shared" si="77"/>
        <v>223.95058765703737</v>
      </c>
      <c r="T148" s="21">
        <f t="shared" si="77"/>
        <v>234.53485999990622</v>
      </c>
      <c r="U148" s="21">
        <f t="shared" si="77"/>
        <v>245.26855227931847</v>
      </c>
      <c r="V148" s="21">
        <f t="shared" si="77"/>
        <v>256.15191407226627</v>
      </c>
      <c r="W148" s="22"/>
      <c r="X148" s="22"/>
      <c r="Y148" s="22"/>
      <c r="Z148" s="101"/>
      <c r="AA148" s="101"/>
      <c r="AB148" s="102"/>
      <c r="AC148" s="102"/>
      <c r="AD148" s="102"/>
      <c r="AE148" s="102"/>
      <c r="AF148" s="102"/>
      <c r="AG148" s="102"/>
      <c r="AH148" s="102"/>
      <c r="AI148" s="102"/>
      <c r="AJ148" s="102"/>
      <c r="AK148" s="102"/>
      <c r="AL148" s="102"/>
      <c r="AM148" s="102"/>
      <c r="AN148" s="102"/>
      <c r="AO148" s="102"/>
    </row>
    <row r="149" spans="1:41">
      <c r="B149" s="5"/>
      <c r="C149" s="5"/>
      <c r="D149" s="5"/>
      <c r="E149" s="5"/>
      <c r="F149" s="5"/>
      <c r="G149" s="5"/>
      <c r="H149" s="5"/>
      <c r="I149" s="5"/>
      <c r="J149" s="5"/>
      <c r="K149" s="5"/>
      <c r="L149" s="5"/>
      <c r="M149" s="5"/>
      <c r="N149" s="22"/>
      <c r="O149" s="5"/>
      <c r="P149" s="5"/>
      <c r="Q149" s="5"/>
      <c r="R149" s="5"/>
      <c r="S149" s="5"/>
      <c r="T149" s="5"/>
      <c r="U149" s="5"/>
      <c r="V149" s="5"/>
      <c r="W149" s="5"/>
      <c r="X149" s="5"/>
      <c r="Y149" s="5"/>
      <c r="Z149" s="93"/>
      <c r="AA149" s="93"/>
    </row>
    <row r="150" spans="1:41">
      <c r="A150" s="7" t="s">
        <v>18</v>
      </c>
      <c r="B150" s="9">
        <f>+B148+B137+B128</f>
        <v>678.30000000000007</v>
      </c>
      <c r="C150" s="9">
        <f>+C148+C137+C128</f>
        <v>669.8</v>
      </c>
      <c r="D150" s="9">
        <v>696.4</v>
      </c>
      <c r="E150" s="9">
        <f t="shared" ref="E150:V150" si="78">+E148+E137+E128</f>
        <v>667.1</v>
      </c>
      <c r="F150" s="9">
        <f t="shared" si="78"/>
        <v>823.24127372956423</v>
      </c>
      <c r="G150" s="9"/>
      <c r="H150" s="9"/>
      <c r="I150" s="9">
        <f>+I148+I137+I128</f>
        <v>444.88800000000003</v>
      </c>
      <c r="J150" s="9"/>
      <c r="K150" s="9"/>
      <c r="L150" s="9"/>
      <c r="M150" s="9"/>
      <c r="N150" s="9">
        <f t="shared" si="78"/>
        <v>1044.833262188271</v>
      </c>
      <c r="O150" s="9">
        <f t="shared" si="78"/>
        <v>1051.9041057911709</v>
      </c>
      <c r="P150" s="9">
        <f t="shared" si="78"/>
        <v>1080.3713459494563</v>
      </c>
      <c r="Q150" s="9">
        <f t="shared" si="78"/>
        <v>1106.9643765596966</v>
      </c>
      <c r="R150" s="9">
        <f t="shared" si="78"/>
        <v>1128.125359553952</v>
      </c>
      <c r="S150" s="9">
        <f t="shared" si="78"/>
        <v>1149.5804682172077</v>
      </c>
      <c r="T150" s="9">
        <f t="shared" si="78"/>
        <v>1171.3310972146271</v>
      </c>
      <c r="U150" s="9">
        <f t="shared" si="78"/>
        <v>1193.3596486647471</v>
      </c>
      <c r="V150" s="9">
        <f t="shared" si="78"/>
        <v>1215.6541838673545</v>
      </c>
      <c r="W150" s="9"/>
      <c r="X150" s="9"/>
      <c r="Y150" s="9"/>
      <c r="Z150" s="93"/>
      <c r="AA150" s="93"/>
    </row>
    <row r="151" spans="1:41">
      <c r="A151" s="64" t="s">
        <v>295</v>
      </c>
      <c r="B151" s="65">
        <f t="shared" ref="B151:V151" si="79">+B123-B150</f>
        <v>0</v>
      </c>
      <c r="C151" s="65">
        <f t="shared" si="79"/>
        <v>-0.10000000000002274</v>
      </c>
      <c r="D151" s="65">
        <f t="shared" si="79"/>
        <v>0</v>
      </c>
      <c r="E151" s="65">
        <f t="shared" si="79"/>
        <v>0</v>
      </c>
      <c r="F151" s="65">
        <f t="shared" si="79"/>
        <v>0</v>
      </c>
      <c r="G151" s="65"/>
      <c r="H151" s="65"/>
      <c r="I151" s="65"/>
      <c r="J151" s="65"/>
      <c r="K151" s="65"/>
      <c r="L151" s="65"/>
      <c r="M151" s="65"/>
      <c r="N151" s="65">
        <f t="shared" si="79"/>
        <v>0</v>
      </c>
      <c r="O151" s="65">
        <f t="shared" si="79"/>
        <v>0</v>
      </c>
      <c r="P151" s="65">
        <f t="shared" si="79"/>
        <v>0</v>
      </c>
      <c r="Q151" s="65">
        <f t="shared" si="79"/>
        <v>0</v>
      </c>
      <c r="R151" s="65">
        <f t="shared" si="79"/>
        <v>0</v>
      </c>
      <c r="S151" s="65">
        <f t="shared" si="79"/>
        <v>0</v>
      </c>
      <c r="T151" s="65">
        <f t="shared" si="79"/>
        <v>0</v>
      </c>
      <c r="U151" s="65">
        <f t="shared" si="79"/>
        <v>0</v>
      </c>
      <c r="V151" s="65">
        <f t="shared" si="79"/>
        <v>0</v>
      </c>
      <c r="W151" s="65"/>
      <c r="X151" s="65"/>
      <c r="Y151" s="65"/>
      <c r="Z151" s="92"/>
      <c r="AA151" s="92"/>
    </row>
    <row r="152" spans="1:41">
      <c r="A152" s="7"/>
      <c r="B152" s="9"/>
      <c r="C152" s="9"/>
      <c r="D152" s="9"/>
      <c r="E152" s="9"/>
      <c r="F152" s="65">
        <f t="shared" ref="F152:V152" si="80">+F151-E151</f>
        <v>0</v>
      </c>
      <c r="G152" s="65"/>
      <c r="H152" s="65"/>
      <c r="I152" s="65"/>
      <c r="J152" s="65"/>
      <c r="K152" s="65"/>
      <c r="L152" s="65"/>
      <c r="M152" s="65"/>
      <c r="N152" s="65">
        <f>+N151-F151</f>
        <v>0</v>
      </c>
      <c r="O152" s="65">
        <f t="shared" si="80"/>
        <v>0</v>
      </c>
      <c r="P152" s="65">
        <f t="shared" si="80"/>
        <v>0</v>
      </c>
      <c r="Q152" s="65">
        <f t="shared" si="80"/>
        <v>0</v>
      </c>
      <c r="R152" s="65">
        <f t="shared" si="80"/>
        <v>0</v>
      </c>
      <c r="S152" s="65">
        <f t="shared" si="80"/>
        <v>0</v>
      </c>
      <c r="T152" s="65">
        <f t="shared" si="80"/>
        <v>0</v>
      </c>
      <c r="U152" s="65">
        <f t="shared" si="80"/>
        <v>0</v>
      </c>
      <c r="V152" s="65">
        <f t="shared" si="80"/>
        <v>0</v>
      </c>
      <c r="W152" s="9"/>
      <c r="X152" s="9"/>
      <c r="Y152" s="9"/>
    </row>
    <row r="153" spans="1:41">
      <c r="A153" s="7"/>
      <c r="B153" s="9"/>
      <c r="C153" s="9"/>
      <c r="D153" s="9"/>
      <c r="E153" s="9"/>
      <c r="F153" s="9"/>
      <c r="G153" s="9"/>
      <c r="H153" s="9"/>
      <c r="I153" s="9"/>
      <c r="J153" s="9"/>
      <c r="K153" s="9"/>
      <c r="L153" s="9"/>
      <c r="M153" s="9"/>
      <c r="N153" s="9"/>
      <c r="O153" s="9"/>
      <c r="P153" s="9"/>
      <c r="Q153" s="9"/>
      <c r="R153" s="9"/>
      <c r="S153" s="9"/>
      <c r="T153" s="9"/>
      <c r="U153" s="9"/>
      <c r="V153" s="9"/>
      <c r="W153" s="9"/>
      <c r="X153" s="9"/>
      <c r="Y153" s="9"/>
    </row>
    <row r="154" spans="1:41">
      <c r="B154" s="5"/>
      <c r="C154" s="5"/>
      <c r="D154" s="23"/>
      <c r="E154" s="5"/>
      <c r="F154" s="5"/>
      <c r="G154" s="5"/>
      <c r="H154" s="5"/>
      <c r="I154" s="5"/>
      <c r="J154" s="5"/>
      <c r="K154" s="5"/>
      <c r="L154" s="5"/>
      <c r="M154" s="5"/>
      <c r="N154" s="5"/>
      <c r="O154" s="5"/>
      <c r="P154" s="5"/>
      <c r="Q154" s="5"/>
      <c r="R154" s="5"/>
      <c r="S154" s="5"/>
      <c r="T154" s="5"/>
      <c r="U154" s="5"/>
      <c r="V154" s="5"/>
      <c r="W154" s="5"/>
      <c r="X154" s="5"/>
      <c r="Y154" s="5"/>
      <c r="Z154" s="92"/>
      <c r="AA154" s="92"/>
    </row>
    <row r="155" spans="1:41">
      <c r="A155" s="18" t="s">
        <v>293</v>
      </c>
      <c r="B155" s="43" t="str">
        <f t="shared" ref="B155:V155" si="81">+B$34</f>
        <v>2011A</v>
      </c>
      <c r="C155" s="43" t="str">
        <f t="shared" si="81"/>
        <v>2012A</v>
      </c>
      <c r="D155" s="43" t="str">
        <f t="shared" si="81"/>
        <v>2013A</v>
      </c>
      <c r="E155" s="43" t="str">
        <f t="shared" si="81"/>
        <v>2014A</v>
      </c>
      <c r="F155" s="43" t="str">
        <f t="shared" si="81"/>
        <v>2015E</v>
      </c>
      <c r="G155" s="209"/>
      <c r="H155" s="209"/>
      <c r="I155" s="209"/>
      <c r="J155" s="209"/>
      <c r="K155" s="209"/>
      <c r="L155" s="209"/>
      <c r="M155" s="209"/>
      <c r="N155" s="43" t="str">
        <f t="shared" si="81"/>
        <v>2016E</v>
      </c>
      <c r="O155" s="43" t="str">
        <f t="shared" si="81"/>
        <v>2017E</v>
      </c>
      <c r="P155" s="43" t="str">
        <f t="shared" si="81"/>
        <v>2018E</v>
      </c>
      <c r="Q155" s="43" t="str">
        <f t="shared" si="81"/>
        <v>2019E</v>
      </c>
      <c r="R155" s="43" t="str">
        <f t="shared" si="81"/>
        <v>2020E</v>
      </c>
      <c r="S155" s="43" t="str">
        <f t="shared" si="81"/>
        <v>2021E</v>
      </c>
      <c r="T155" s="43" t="str">
        <f t="shared" si="81"/>
        <v>2022E</v>
      </c>
      <c r="U155" s="43" t="str">
        <f t="shared" si="81"/>
        <v>2023E</v>
      </c>
      <c r="V155" s="43" t="str">
        <f t="shared" si="81"/>
        <v>2024E</v>
      </c>
      <c r="W155" s="44"/>
      <c r="Z155" s="92"/>
      <c r="AA155" s="92"/>
    </row>
    <row r="156" spans="1:41">
      <c r="A156" s="7" t="s">
        <v>19</v>
      </c>
      <c r="Z156" s="92"/>
      <c r="AA156" s="92"/>
    </row>
    <row r="157" spans="1:41">
      <c r="A157" s="4" t="s">
        <v>30</v>
      </c>
      <c r="B157" s="5">
        <v>16.5</v>
      </c>
      <c r="C157" s="5">
        <v>54.9</v>
      </c>
      <c r="D157" s="5">
        <v>28.3</v>
      </c>
      <c r="E157" s="5">
        <f t="shared" ref="E157:V157" si="82">+E63</f>
        <v>33.432977691561604</v>
      </c>
      <c r="F157" s="5">
        <f t="shared" si="82"/>
        <v>33.447749623060545</v>
      </c>
      <c r="G157" s="5"/>
      <c r="H157" s="5"/>
      <c r="I157" s="5"/>
      <c r="J157" s="5"/>
      <c r="K157" s="5"/>
      <c r="L157" s="5"/>
      <c r="M157" s="5"/>
      <c r="N157" s="5">
        <f t="shared" si="82"/>
        <v>190.44572608363168</v>
      </c>
      <c r="O157" s="5">
        <f t="shared" si="82"/>
        <v>198.24159216801445</v>
      </c>
      <c r="P157" s="5">
        <f t="shared" si="82"/>
        <v>221.83391759124561</v>
      </c>
      <c r="Q157" s="5">
        <f t="shared" si="82"/>
        <v>242.84154411097882</v>
      </c>
      <c r="R157" s="5">
        <f t="shared" si="82"/>
        <v>258.54947872400658</v>
      </c>
      <c r="S157" s="5">
        <f t="shared" si="82"/>
        <v>274.49901976726971</v>
      </c>
      <c r="T157" s="5">
        <f t="shared" si="82"/>
        <v>290.65936828828649</v>
      </c>
      <c r="U157" s="5">
        <f t="shared" si="82"/>
        <v>307.00842012207477</v>
      </c>
      <c r="V157" s="5">
        <f t="shared" si="82"/>
        <v>323.5296931678763</v>
      </c>
      <c r="W157" s="5"/>
      <c r="X157" s="5"/>
      <c r="Y157" s="5"/>
      <c r="Z157" s="92"/>
      <c r="AA157" s="92"/>
    </row>
    <row r="158" spans="1:41">
      <c r="A158" s="4" t="s">
        <v>29</v>
      </c>
      <c r="B158" s="5">
        <v>57.4</v>
      </c>
      <c r="C158" s="5">
        <v>62.9</v>
      </c>
      <c r="D158" s="5">
        <v>62.8</v>
      </c>
      <c r="E158" s="5">
        <f t="shared" ref="E158:V158" si="83">-E62</f>
        <v>50.8</v>
      </c>
      <c r="F158" s="5">
        <f t="shared" si="83"/>
        <v>61.980000000000004</v>
      </c>
      <c r="G158" s="5"/>
      <c r="H158" s="5"/>
      <c r="I158" s="5"/>
      <c r="J158" s="5"/>
      <c r="K158" s="5"/>
      <c r="L158" s="5"/>
      <c r="M158" s="5"/>
      <c r="N158" s="5">
        <f t="shared" si="83"/>
        <v>71.984000000000009</v>
      </c>
      <c r="O158" s="5">
        <f t="shared" si="83"/>
        <v>85.121325747824585</v>
      </c>
      <c r="P158" s="5">
        <f t="shared" si="83"/>
        <v>87.698674082582556</v>
      </c>
      <c r="Q158" s="5">
        <f t="shared" si="83"/>
        <v>90.083647793908469</v>
      </c>
      <c r="R158" s="5">
        <f t="shared" si="83"/>
        <v>97.299834189263336</v>
      </c>
      <c r="S158" s="5">
        <f t="shared" si="83"/>
        <v>104.35700310278584</v>
      </c>
      <c r="T158" s="5">
        <f t="shared" si="83"/>
        <v>111.29821290665002</v>
      </c>
      <c r="U158" s="5">
        <f t="shared" si="83"/>
        <v>118.15891473213806</v>
      </c>
      <c r="V158" s="5">
        <f t="shared" si="83"/>
        <v>124.96845277598058</v>
      </c>
      <c r="W158" s="5"/>
      <c r="X158" s="5"/>
      <c r="Y158" s="5"/>
      <c r="Z158" s="92"/>
      <c r="AA158" s="92"/>
    </row>
    <row r="159" spans="1:41">
      <c r="A159" s="4" t="s">
        <v>96</v>
      </c>
      <c r="B159" s="5">
        <v>-1.4</v>
      </c>
      <c r="C159" s="5">
        <v>-0.8</v>
      </c>
      <c r="D159" s="5">
        <v>-1.3</v>
      </c>
      <c r="E159" s="5">
        <v>-1.5</v>
      </c>
      <c r="F159" s="51">
        <v>0</v>
      </c>
      <c r="G159" s="51"/>
      <c r="H159" s="51"/>
      <c r="I159" s="51"/>
      <c r="J159" s="51"/>
      <c r="K159" s="51"/>
      <c r="L159" s="51"/>
      <c r="M159" s="51"/>
      <c r="N159" s="51">
        <v>0</v>
      </c>
      <c r="O159" s="51">
        <v>0</v>
      </c>
      <c r="P159" s="51">
        <v>0</v>
      </c>
      <c r="Q159" s="51">
        <v>0</v>
      </c>
      <c r="R159" s="51">
        <v>0</v>
      </c>
      <c r="S159" s="51">
        <v>0</v>
      </c>
      <c r="T159" s="51">
        <v>0</v>
      </c>
      <c r="U159" s="51">
        <v>0</v>
      </c>
      <c r="V159" s="51">
        <v>0</v>
      </c>
      <c r="W159" s="5"/>
      <c r="X159" s="5"/>
      <c r="Y159" s="5"/>
      <c r="Z159" s="92"/>
      <c r="AA159" s="92"/>
    </row>
    <row r="160" spans="1:41" ht="41.65">
      <c r="A160" s="26" t="s">
        <v>97</v>
      </c>
      <c r="B160" s="5">
        <v>30.8</v>
      </c>
      <c r="C160" s="5">
        <v>-3.2</v>
      </c>
      <c r="D160" s="5">
        <v>-5.5</v>
      </c>
      <c r="E160" s="5">
        <v>-15.1</v>
      </c>
      <c r="F160" s="5">
        <f t="shared" ref="F160:V160" si="84">+F382</f>
        <v>-1.6707150572810789</v>
      </c>
      <c r="G160" s="5"/>
      <c r="H160" s="5"/>
      <c r="I160" s="5"/>
      <c r="J160" s="5"/>
      <c r="K160" s="5"/>
      <c r="L160" s="5"/>
      <c r="M160" s="5"/>
      <c r="N160" s="5">
        <f t="shared" si="84"/>
        <v>-50.548818768802974</v>
      </c>
      <c r="O160" s="5">
        <f t="shared" si="84"/>
        <v>-4.5301527617177868</v>
      </c>
      <c r="P160" s="5">
        <f t="shared" si="84"/>
        <v>-6.091235884324945</v>
      </c>
      <c r="Q160" s="5">
        <f t="shared" si="84"/>
        <v>-6.1606894703613477</v>
      </c>
      <c r="R160" s="5">
        <f t="shared" si="84"/>
        <v>-6.0814524856862278</v>
      </c>
      <c r="S160" s="5">
        <f t="shared" si="84"/>
        <v>-6.1653852308426593</v>
      </c>
      <c r="T160" s="5">
        <f t="shared" si="84"/>
        <v>-6.2544359169229722</v>
      </c>
      <c r="U160" s="5">
        <f t="shared" si="84"/>
        <v>-6.3485592505869022</v>
      </c>
      <c r="V160" s="5">
        <f t="shared" si="84"/>
        <v>-6.4477312826369371</v>
      </c>
      <c r="W160" s="5"/>
      <c r="X160" s="5"/>
      <c r="Y160" s="5"/>
      <c r="Z160" s="92"/>
      <c r="AA160" s="92"/>
    </row>
    <row r="161" spans="1:27" ht="41.65">
      <c r="A161" s="26" t="s">
        <v>257</v>
      </c>
      <c r="B161" s="5">
        <v>-23.9</v>
      </c>
      <c r="C161" s="5">
        <v>-34.299999999999997</v>
      </c>
      <c r="D161" s="5">
        <v>-4.5</v>
      </c>
      <c r="E161" s="5">
        <v>-5.3</v>
      </c>
      <c r="F161" s="5">
        <f t="shared" ref="F161:V161" si="85">+F390</f>
        <v>6.5295241065037715</v>
      </c>
      <c r="G161" s="5"/>
      <c r="H161" s="5"/>
      <c r="I161" s="5"/>
      <c r="J161" s="5"/>
      <c r="K161" s="5"/>
      <c r="L161" s="5"/>
      <c r="M161" s="5"/>
      <c r="N161" s="5">
        <f t="shared" si="85"/>
        <v>54.701772025172616</v>
      </c>
      <c r="O161" s="5">
        <f t="shared" si="85"/>
        <v>-1.2047169003128175</v>
      </c>
      <c r="P161" s="5">
        <f t="shared" si="85"/>
        <v>5.0804050734944042</v>
      </c>
      <c r="Q161" s="5">
        <f t="shared" si="85"/>
        <v>5.7201778402194918</v>
      </c>
      <c r="R161" s="5">
        <f t="shared" si="85"/>
        <v>5.6264970601252458</v>
      </c>
      <c r="S161" s="5">
        <f t="shared" si="85"/>
        <v>5.709831288733767</v>
      </c>
      <c r="T161" s="5">
        <f t="shared" si="85"/>
        <v>5.7986909194899852</v>
      </c>
      <c r="U161" s="5">
        <f t="shared" si="85"/>
        <v>5.8930383491089913</v>
      </c>
      <c r="V161" s="5">
        <f t="shared" si="85"/>
        <v>5.9928589030936337</v>
      </c>
      <c r="W161" s="5"/>
      <c r="X161" s="5"/>
      <c r="Y161" s="5"/>
      <c r="Z161" s="93"/>
      <c r="AA161" s="93"/>
    </row>
    <row r="162" spans="1:27">
      <c r="A162" s="26" t="s">
        <v>98</v>
      </c>
      <c r="B162" s="5">
        <v>2.5</v>
      </c>
      <c r="C162" s="5">
        <v>-2.4</v>
      </c>
      <c r="D162" s="5">
        <v>-7.5</v>
      </c>
      <c r="E162" s="5">
        <v>-2.7</v>
      </c>
      <c r="F162" s="5">
        <f t="shared" ref="F162:V162" si="86">+F475</f>
        <v>-8</v>
      </c>
      <c r="G162" s="5"/>
      <c r="H162" s="5"/>
      <c r="I162" s="5"/>
      <c r="J162" s="5"/>
      <c r="K162" s="5"/>
      <c r="L162" s="5"/>
      <c r="M162" s="5"/>
      <c r="N162" s="5">
        <f t="shared" si="86"/>
        <v>-2.2517624434590817</v>
      </c>
      <c r="O162" s="5">
        <f t="shared" si="86"/>
        <v>-50.742593663097928</v>
      </c>
      <c r="P162" s="5">
        <f t="shared" si="86"/>
        <v>-53.22526181406176</v>
      </c>
      <c r="Q162" s="5">
        <f t="shared" si="86"/>
        <v>-60.241312339499082</v>
      </c>
      <c r="R162" s="5">
        <f t="shared" si="86"/>
        <v>-66.503168170505347</v>
      </c>
      <c r="S162" s="5">
        <f t="shared" si="86"/>
        <v>-71.163513950744317</v>
      </c>
      <c r="T162" s="5">
        <f t="shared" si="86"/>
        <v>-75.887097163100876</v>
      </c>
      <c r="U162" s="5">
        <f t="shared" si="86"/>
        <v>-80.672678586479748</v>
      </c>
      <c r="V162" s="5">
        <f t="shared" si="86"/>
        <v>-85.513332516783038</v>
      </c>
      <c r="W162" s="5"/>
      <c r="X162" s="5"/>
      <c r="Y162" s="5"/>
      <c r="Z162" s="92"/>
      <c r="AA162" s="92"/>
    </row>
    <row r="163" spans="1:27">
      <c r="A163" s="26"/>
      <c r="B163" s="5"/>
      <c r="C163" s="5"/>
      <c r="D163" s="5"/>
      <c r="E163" s="5"/>
      <c r="F163" s="5"/>
      <c r="G163" s="5"/>
      <c r="H163" s="5"/>
      <c r="I163" s="5"/>
      <c r="J163" s="5"/>
      <c r="K163" s="5"/>
      <c r="L163" s="5"/>
      <c r="M163" s="5"/>
      <c r="N163" s="5"/>
      <c r="O163" s="5"/>
      <c r="P163" s="5"/>
      <c r="Q163" s="5"/>
      <c r="R163" s="5"/>
      <c r="S163" s="5"/>
      <c r="T163" s="5"/>
      <c r="U163" s="5"/>
      <c r="V163" s="5"/>
      <c r="W163" s="5"/>
      <c r="X163" s="5"/>
      <c r="Y163" s="5"/>
      <c r="Z163" s="92"/>
      <c r="AA163" s="92"/>
    </row>
    <row r="164" spans="1:27">
      <c r="A164" s="7" t="s">
        <v>20</v>
      </c>
      <c r="B164" s="9">
        <f t="shared" ref="B164:V164" si="87">SUM(B157:B162)</f>
        <v>81.900000000000006</v>
      </c>
      <c r="C164" s="9">
        <f t="shared" si="87"/>
        <v>77.099999999999994</v>
      </c>
      <c r="D164" s="9">
        <f t="shared" si="87"/>
        <v>72.3</v>
      </c>
      <c r="E164" s="9">
        <f t="shared" si="87"/>
        <v>59.632977691561607</v>
      </c>
      <c r="F164" s="9">
        <f t="shared" si="87"/>
        <v>92.286558672283235</v>
      </c>
      <c r="G164" s="9"/>
      <c r="H164" s="9"/>
      <c r="I164" s="9"/>
      <c r="J164" s="9"/>
      <c r="K164" s="9"/>
      <c r="L164" s="9"/>
      <c r="M164" s="9"/>
      <c r="N164" s="9">
        <f t="shared" si="87"/>
        <v>264.33091689654225</v>
      </c>
      <c r="O164" s="9">
        <f t="shared" si="87"/>
        <v>226.88545459071054</v>
      </c>
      <c r="P164" s="9">
        <f t="shared" si="87"/>
        <v>255.29649904893591</v>
      </c>
      <c r="Q164" s="9">
        <f t="shared" si="87"/>
        <v>272.2433679352464</v>
      </c>
      <c r="R164" s="9">
        <f t="shared" si="87"/>
        <v>288.89118931720361</v>
      </c>
      <c r="S164" s="9">
        <f t="shared" si="87"/>
        <v>307.23695497720234</v>
      </c>
      <c r="T164" s="9">
        <f t="shared" si="87"/>
        <v>325.61473903440265</v>
      </c>
      <c r="U164" s="9">
        <f t="shared" si="87"/>
        <v>344.03913536625521</v>
      </c>
      <c r="V164" s="9">
        <f t="shared" si="87"/>
        <v>362.52994104753054</v>
      </c>
      <c r="W164" s="9"/>
      <c r="X164" s="9"/>
      <c r="Y164" s="9"/>
      <c r="Z164" s="92"/>
      <c r="AA164" s="92"/>
    </row>
    <row r="165" spans="1:27">
      <c r="B165" s="5"/>
      <c r="C165" s="5"/>
      <c r="D165" s="5"/>
      <c r="E165" s="5"/>
      <c r="F165" s="5"/>
      <c r="G165" s="5"/>
      <c r="H165" s="5"/>
      <c r="I165" s="5"/>
      <c r="J165" s="5"/>
      <c r="K165" s="5"/>
      <c r="L165" s="5"/>
      <c r="M165" s="5"/>
      <c r="N165" s="5"/>
      <c r="O165" s="5"/>
      <c r="P165" s="5"/>
      <c r="Q165" s="5"/>
      <c r="R165" s="5"/>
      <c r="S165" s="5"/>
      <c r="T165" s="5"/>
      <c r="U165" s="5"/>
      <c r="V165" s="5"/>
      <c r="W165" s="5"/>
      <c r="X165" s="5"/>
      <c r="Y165" s="5"/>
      <c r="Z165" s="92"/>
      <c r="AA165" s="92"/>
    </row>
    <row r="166" spans="1:27">
      <c r="A166" s="7" t="s">
        <v>21</v>
      </c>
      <c r="B166" s="5"/>
      <c r="C166" s="5"/>
      <c r="D166" s="5"/>
      <c r="E166" s="5"/>
      <c r="F166" s="5"/>
      <c r="G166" s="5"/>
      <c r="H166" s="5"/>
      <c r="I166" s="5"/>
      <c r="J166" s="5"/>
      <c r="K166" s="5"/>
      <c r="L166" s="5"/>
      <c r="M166" s="5"/>
      <c r="N166" s="5"/>
      <c r="O166" s="5"/>
      <c r="P166" s="5"/>
      <c r="Q166" s="5"/>
      <c r="R166" s="5"/>
      <c r="S166" s="5"/>
      <c r="T166" s="5"/>
      <c r="U166" s="5"/>
      <c r="V166" s="5"/>
      <c r="W166" s="5"/>
      <c r="X166" s="5"/>
      <c r="Y166" s="5"/>
      <c r="Z166" s="92"/>
      <c r="AA166" s="92"/>
    </row>
    <row r="167" spans="1:27">
      <c r="A167" s="4" t="s">
        <v>99</v>
      </c>
      <c r="B167" s="5">
        <v>2.5</v>
      </c>
      <c r="C167" s="5">
        <v>1.9</v>
      </c>
      <c r="D167" s="5">
        <v>4.5999999999999996</v>
      </c>
      <c r="E167" s="5">
        <v>3.2</v>
      </c>
      <c r="F167" s="51">
        <v>0</v>
      </c>
      <c r="G167" s="51"/>
      <c r="H167" s="51"/>
      <c r="I167" s="51"/>
      <c r="J167" s="51"/>
      <c r="K167" s="51"/>
      <c r="L167" s="51"/>
      <c r="M167" s="51"/>
      <c r="N167" s="51">
        <v>0</v>
      </c>
      <c r="O167" s="51">
        <v>0</v>
      </c>
      <c r="P167" s="51">
        <v>0</v>
      </c>
      <c r="Q167" s="51">
        <v>0</v>
      </c>
      <c r="R167" s="51">
        <v>0</v>
      </c>
      <c r="S167" s="51">
        <v>0</v>
      </c>
      <c r="T167" s="51">
        <v>0</v>
      </c>
      <c r="U167" s="51">
        <v>0</v>
      </c>
      <c r="V167" s="51">
        <v>0</v>
      </c>
      <c r="W167" s="5"/>
      <c r="X167" s="5"/>
      <c r="Y167" s="5"/>
      <c r="Z167" s="92"/>
      <c r="AA167" s="92"/>
    </row>
    <row r="168" spans="1:27">
      <c r="A168" s="4" t="s">
        <v>100</v>
      </c>
      <c r="B168" s="5">
        <v>-61.5</v>
      </c>
      <c r="C168" s="5">
        <v>-48.8</v>
      </c>
      <c r="D168" s="5">
        <v>-41.4</v>
      </c>
      <c r="E168" s="5">
        <v>-41.5</v>
      </c>
      <c r="F168" s="5">
        <f t="shared" ref="F168:V169" si="88">+F362</f>
        <v>-92</v>
      </c>
      <c r="G168" s="5"/>
      <c r="H168" s="5"/>
      <c r="I168" s="5"/>
      <c r="J168" s="5"/>
      <c r="K168" s="5"/>
      <c r="L168" s="5"/>
      <c r="M168" s="5"/>
      <c r="N168" s="5">
        <f t="shared" si="88"/>
        <v>-117.67062873912292</v>
      </c>
      <c r="O168" s="5">
        <f t="shared" si="88"/>
        <v>-103.00806742161447</v>
      </c>
      <c r="P168" s="5">
        <f t="shared" si="88"/>
        <v>-109.62354263921212</v>
      </c>
      <c r="Q168" s="5">
        <f t="shared" si="88"/>
        <v>-116.16457977068279</v>
      </c>
      <c r="R168" s="5">
        <f t="shared" si="88"/>
        <v>-122.58567875687582</v>
      </c>
      <c r="S168" s="5">
        <f t="shared" si="88"/>
        <v>-129.06305212210677</v>
      </c>
      <c r="T168" s="5">
        <f t="shared" si="88"/>
        <v>-135.60172203409016</v>
      </c>
      <c r="U168" s="5">
        <f t="shared" si="88"/>
        <v>-142.20660495135073</v>
      </c>
      <c r="V168" s="5">
        <f t="shared" si="88"/>
        <v>-148.88253584511469</v>
      </c>
      <c r="W168" s="5"/>
      <c r="X168" s="5"/>
      <c r="Y168" s="5"/>
      <c r="Z168" s="92"/>
      <c r="AA168" s="92"/>
    </row>
    <row r="169" spans="1:27">
      <c r="A169" s="4" t="s">
        <v>22</v>
      </c>
      <c r="B169" s="5">
        <v>-5.9</v>
      </c>
      <c r="C169" s="5">
        <v>-7.6</v>
      </c>
      <c r="D169" s="5">
        <v>-6.7</v>
      </c>
      <c r="E169" s="5">
        <v>-7.1</v>
      </c>
      <c r="F169" s="5">
        <f t="shared" si="88"/>
        <v>-23</v>
      </c>
      <c r="G169" s="5"/>
      <c r="H169" s="5"/>
      <c r="I169" s="5"/>
      <c r="J169" s="5"/>
      <c r="K169" s="5"/>
      <c r="L169" s="5"/>
      <c r="M169" s="5"/>
      <c r="N169" s="5">
        <f t="shared" si="88"/>
        <v>-29.417657184780722</v>
      </c>
      <c r="O169" s="5">
        <f t="shared" si="88"/>
        <v>-25.75201685540361</v>
      </c>
      <c r="P169" s="5">
        <f t="shared" si="88"/>
        <v>-27.405885659803019</v>
      </c>
      <c r="Q169" s="5">
        <f t="shared" si="88"/>
        <v>-29.041144942670684</v>
      </c>
      <c r="R169" s="5">
        <f t="shared" si="88"/>
        <v>-30.646419689218945</v>
      </c>
      <c r="S169" s="5">
        <f t="shared" si="88"/>
        <v>-32.265763030526671</v>
      </c>
      <c r="T169" s="5">
        <f t="shared" si="88"/>
        <v>-33.900430508522533</v>
      </c>
      <c r="U169" s="5">
        <f t="shared" si="88"/>
        <v>-35.55165123783766</v>
      </c>
      <c r="V169" s="5">
        <f t="shared" si="88"/>
        <v>-37.220633961278651</v>
      </c>
      <c r="W169" s="5"/>
      <c r="X169" s="5"/>
      <c r="Y169" s="5"/>
      <c r="Z169" s="92"/>
      <c r="AA169" s="92"/>
    </row>
    <row r="170" spans="1:27">
      <c r="A170" s="4" t="s">
        <v>108</v>
      </c>
      <c r="B170" s="5">
        <v>-0.2</v>
      </c>
      <c r="C170" s="5">
        <v>0</v>
      </c>
      <c r="D170" s="5">
        <v>-0.8</v>
      </c>
      <c r="E170" s="5">
        <v>-10.6</v>
      </c>
      <c r="F170" s="51">
        <v>0</v>
      </c>
      <c r="G170" s="51"/>
      <c r="H170" s="51"/>
      <c r="I170" s="51"/>
      <c r="J170" s="51"/>
      <c r="K170" s="51"/>
      <c r="L170" s="51"/>
      <c r="M170" s="51"/>
      <c r="N170" s="51">
        <v>0</v>
      </c>
      <c r="O170" s="51">
        <v>0</v>
      </c>
      <c r="P170" s="51">
        <v>0</v>
      </c>
      <c r="Q170" s="51">
        <v>0</v>
      </c>
      <c r="R170" s="51">
        <v>0</v>
      </c>
      <c r="S170" s="51">
        <v>0</v>
      </c>
      <c r="T170" s="51">
        <v>0</v>
      </c>
      <c r="U170" s="51">
        <v>0</v>
      </c>
      <c r="V170" s="51">
        <v>0</v>
      </c>
      <c r="W170" s="5"/>
      <c r="X170" s="5"/>
      <c r="Y170" s="5"/>
      <c r="Z170" s="93"/>
      <c r="AA170" s="93"/>
    </row>
    <row r="171" spans="1:27">
      <c r="A171" s="4" t="s">
        <v>101</v>
      </c>
      <c r="B171" s="5">
        <v>0.4</v>
      </c>
      <c r="C171" s="5">
        <v>0.5</v>
      </c>
      <c r="D171" s="5">
        <v>0.4</v>
      </c>
      <c r="E171" s="5">
        <v>0.1</v>
      </c>
      <c r="F171" s="5">
        <f t="shared" ref="F171:V171" si="89">+F67</f>
        <v>0.122</v>
      </c>
      <c r="G171" s="5"/>
      <c r="H171" s="5"/>
      <c r="I171" s="5"/>
      <c r="J171" s="5"/>
      <c r="K171" s="5"/>
      <c r="L171" s="5"/>
      <c r="M171" s="5"/>
      <c r="N171" s="5">
        <f t="shared" si="89"/>
        <v>0.62925279336141615</v>
      </c>
      <c r="O171" s="5">
        <f t="shared" si="89"/>
        <v>1.1089472121914163</v>
      </c>
      <c r="P171" s="5">
        <f t="shared" si="89"/>
        <v>0.90345687375135963</v>
      </c>
      <c r="Q171" s="5">
        <f t="shared" si="89"/>
        <v>0.76868312403899963</v>
      </c>
      <c r="R171" s="5">
        <f t="shared" si="89"/>
        <v>0.59523444514117008</v>
      </c>
      <c r="S171" s="5">
        <f t="shared" si="89"/>
        <v>0.39097077639985756</v>
      </c>
      <c r="T171" s="5">
        <f t="shared" si="89"/>
        <v>0.18256033331268426</v>
      </c>
      <c r="U171" s="5">
        <f t="shared" si="89"/>
        <v>-3.0978399464646176E-2</v>
      </c>
      <c r="V171" s="5">
        <f t="shared" si="89"/>
        <v>-0.25057514575223239</v>
      </c>
      <c r="W171" s="5"/>
      <c r="X171" s="5"/>
      <c r="Y171" s="5"/>
      <c r="Z171" s="92"/>
      <c r="AA171" s="92"/>
    </row>
    <row r="172" spans="1:27">
      <c r="B172" s="5"/>
      <c r="C172" s="5"/>
      <c r="D172" s="5"/>
      <c r="E172" s="5"/>
      <c r="F172" s="5"/>
      <c r="G172" s="5"/>
      <c r="H172" s="5"/>
      <c r="I172" s="5"/>
      <c r="J172" s="5"/>
      <c r="K172" s="5"/>
      <c r="L172" s="5"/>
      <c r="M172" s="5"/>
      <c r="N172" s="5"/>
      <c r="O172" s="5"/>
      <c r="P172" s="5"/>
      <c r="Q172" s="5"/>
      <c r="R172" s="5"/>
      <c r="S172" s="5"/>
      <c r="T172" s="5"/>
      <c r="U172" s="5"/>
      <c r="V172" s="5"/>
      <c r="W172" s="5"/>
      <c r="X172" s="5"/>
      <c r="Y172" s="5"/>
      <c r="Z172" s="92"/>
      <c r="AA172" s="92"/>
    </row>
    <row r="173" spans="1:27">
      <c r="A173" s="7" t="s">
        <v>23</v>
      </c>
      <c r="B173" s="9">
        <f>SUM(B167:B171)</f>
        <v>-64.7</v>
      </c>
      <c r="C173" s="9">
        <f>SUM(C167:C171)</f>
        <v>-54</v>
      </c>
      <c r="D173" s="9">
        <v>-44</v>
      </c>
      <c r="E173" s="9">
        <f t="shared" ref="E173:V173" si="90">SUM(E167:E171)</f>
        <v>-55.9</v>
      </c>
      <c r="F173" s="9">
        <f t="shared" si="90"/>
        <v>-114.878</v>
      </c>
      <c r="G173" s="9"/>
      <c r="H173" s="9"/>
      <c r="I173" s="9"/>
      <c r="J173" s="9"/>
      <c r="K173" s="9"/>
      <c r="L173" s="9"/>
      <c r="M173" s="9"/>
      <c r="N173" s="9">
        <f t="shared" si="90"/>
        <v>-146.45903313054222</v>
      </c>
      <c r="O173" s="9">
        <f t="shared" si="90"/>
        <v>-127.65113706482667</v>
      </c>
      <c r="P173" s="9">
        <f t="shared" si="90"/>
        <v>-136.12597142526377</v>
      </c>
      <c r="Q173" s="9">
        <f t="shared" si="90"/>
        <v>-144.43704158931448</v>
      </c>
      <c r="R173" s="9">
        <f t="shared" si="90"/>
        <v>-152.63686400095361</v>
      </c>
      <c r="S173" s="9">
        <f t="shared" si="90"/>
        <v>-160.93784437623358</v>
      </c>
      <c r="T173" s="9">
        <f t="shared" si="90"/>
        <v>-169.3195922093</v>
      </c>
      <c r="U173" s="9">
        <f t="shared" si="90"/>
        <v>-177.78923458865304</v>
      </c>
      <c r="V173" s="9">
        <f t="shared" si="90"/>
        <v>-186.35374495214558</v>
      </c>
      <c r="W173" s="9"/>
      <c r="X173" s="9"/>
      <c r="Y173" s="9"/>
      <c r="Z173" s="92"/>
      <c r="AA173" s="92"/>
    </row>
    <row r="174" spans="1:27">
      <c r="B174" s="5"/>
      <c r="C174" s="5"/>
      <c r="D174" s="5"/>
      <c r="E174" s="5"/>
      <c r="F174" s="5"/>
      <c r="G174" s="5"/>
      <c r="H174" s="5"/>
      <c r="I174" s="5"/>
      <c r="J174" s="5"/>
      <c r="K174" s="5"/>
      <c r="L174" s="5"/>
      <c r="M174" s="5"/>
      <c r="N174" s="5"/>
      <c r="O174" s="5"/>
      <c r="P174" s="5"/>
      <c r="Q174" s="5"/>
      <c r="R174" s="5"/>
      <c r="S174" s="5"/>
      <c r="T174" s="5"/>
      <c r="U174" s="5"/>
      <c r="V174" s="5"/>
      <c r="W174" s="5"/>
      <c r="X174" s="5"/>
      <c r="Y174" s="5"/>
      <c r="Z174" s="92"/>
      <c r="AA174" s="92"/>
    </row>
    <row r="175" spans="1:27">
      <c r="A175" s="7" t="s">
        <v>24</v>
      </c>
      <c r="B175" s="5"/>
      <c r="C175" s="5"/>
      <c r="D175" s="5"/>
      <c r="E175" s="5"/>
      <c r="F175" s="5"/>
      <c r="G175" s="5"/>
      <c r="H175" s="5"/>
      <c r="I175" s="5"/>
      <c r="J175" s="5"/>
      <c r="K175" s="5"/>
      <c r="L175" s="5"/>
      <c r="M175" s="5"/>
      <c r="N175" s="5"/>
      <c r="O175" s="5"/>
      <c r="P175" s="5"/>
      <c r="Q175" s="5"/>
      <c r="R175" s="5"/>
      <c r="S175" s="5"/>
      <c r="T175" s="5"/>
      <c r="U175" s="5"/>
      <c r="V175" s="5"/>
      <c r="W175" s="5"/>
      <c r="X175" s="5"/>
      <c r="Y175" s="5"/>
      <c r="Z175" s="92"/>
      <c r="AA175" s="92"/>
    </row>
    <row r="176" spans="1:27">
      <c r="A176" s="7" t="s">
        <v>294</v>
      </c>
      <c r="B176" s="5"/>
      <c r="C176" s="5"/>
      <c r="D176" s="5"/>
      <c r="E176" s="5">
        <v>0</v>
      </c>
      <c r="F176" s="51">
        <v>360</v>
      </c>
      <c r="G176" s="51"/>
      <c r="H176" s="51"/>
      <c r="I176" s="51"/>
      <c r="J176" s="51"/>
      <c r="K176" s="51"/>
      <c r="L176" s="51"/>
      <c r="M176" s="51"/>
      <c r="N176" s="5"/>
      <c r="O176" s="5"/>
      <c r="P176" s="5"/>
      <c r="Q176" s="5"/>
      <c r="R176" s="5"/>
      <c r="S176" s="5"/>
      <c r="T176" s="5"/>
      <c r="U176" s="5"/>
      <c r="V176" s="5"/>
      <c r="W176" s="5"/>
      <c r="X176" s="5"/>
      <c r="Y176" s="5"/>
      <c r="Z176" s="92"/>
      <c r="AA176" s="92"/>
    </row>
    <row r="177" spans="1:27">
      <c r="A177" s="4" t="s">
        <v>102</v>
      </c>
      <c r="B177" s="5">
        <v>1.8</v>
      </c>
      <c r="C177" s="5">
        <v>2.8</v>
      </c>
      <c r="D177" s="5">
        <v>32.700000000000003</v>
      </c>
      <c r="E177" s="5">
        <v>-1.3</v>
      </c>
      <c r="F177" s="5"/>
      <c r="G177" s="5"/>
      <c r="H177" s="5"/>
      <c r="I177" s="5"/>
      <c r="J177" s="5"/>
      <c r="K177" s="5"/>
      <c r="L177" s="5"/>
      <c r="M177" s="5"/>
      <c r="N177" s="5"/>
      <c r="O177" s="5"/>
      <c r="P177" s="5"/>
      <c r="Q177" s="5"/>
      <c r="R177" s="5"/>
      <c r="S177" s="5"/>
      <c r="T177" s="5"/>
      <c r="U177" s="5"/>
      <c r="V177" s="5"/>
      <c r="W177" s="5"/>
      <c r="X177" s="5"/>
      <c r="Y177" s="5"/>
      <c r="Z177" s="92"/>
      <c r="AA177" s="92"/>
    </row>
    <row r="178" spans="1:27">
      <c r="A178" s="4" t="s">
        <v>103</v>
      </c>
      <c r="B178" s="5">
        <v>0</v>
      </c>
      <c r="C178" s="5">
        <v>-3</v>
      </c>
      <c r="D178" s="5">
        <v>-4.9000000000000004</v>
      </c>
      <c r="E178" s="5">
        <v>-5.9</v>
      </c>
      <c r="F178" s="5"/>
      <c r="G178" s="5"/>
      <c r="H178" s="5"/>
      <c r="I178" s="5"/>
      <c r="J178" s="5"/>
      <c r="K178" s="5"/>
      <c r="L178" s="5"/>
      <c r="M178" s="5"/>
      <c r="N178" s="5"/>
      <c r="O178" s="5"/>
      <c r="P178" s="5"/>
      <c r="Q178" s="5"/>
      <c r="R178" s="5"/>
      <c r="S178" s="5"/>
      <c r="T178" s="5"/>
      <c r="U178" s="5"/>
      <c r="V178" s="5"/>
      <c r="W178" s="5"/>
      <c r="X178" s="5"/>
      <c r="Y178" s="5"/>
      <c r="Z178" s="92"/>
      <c r="AA178" s="92"/>
    </row>
    <row r="179" spans="1:27">
      <c r="A179" s="4" t="s">
        <v>104</v>
      </c>
      <c r="B179" s="5">
        <v>-2.1</v>
      </c>
      <c r="C179" s="5">
        <v>-2.5</v>
      </c>
      <c r="D179" s="5">
        <v>-2.8</v>
      </c>
      <c r="E179" s="5">
        <v>-3.1</v>
      </c>
      <c r="F179" s="5">
        <f t="shared" ref="F179:V179" si="91">-F501</f>
        <v>0</v>
      </c>
      <c r="G179" s="5"/>
      <c r="H179" s="5"/>
      <c r="I179" s="5"/>
      <c r="J179" s="5"/>
      <c r="K179" s="5"/>
      <c r="L179" s="5"/>
      <c r="M179" s="5"/>
      <c r="N179" s="5">
        <f t="shared" si="91"/>
        <v>0</v>
      </c>
      <c r="O179" s="5">
        <f t="shared" si="91"/>
        <v>-118.39938521389519</v>
      </c>
      <c r="P179" s="5">
        <f t="shared" si="91"/>
        <v>-124.19227756614413</v>
      </c>
      <c r="Q179" s="5">
        <f t="shared" si="91"/>
        <v>-140.56306212549788</v>
      </c>
      <c r="R179" s="5">
        <f t="shared" si="91"/>
        <v>-155.17405906451248</v>
      </c>
      <c r="S179" s="5">
        <f t="shared" si="91"/>
        <v>-166.04819921840343</v>
      </c>
      <c r="T179" s="5">
        <f t="shared" si="91"/>
        <v>-177.06989338056871</v>
      </c>
      <c r="U179" s="5">
        <f t="shared" si="91"/>
        <v>-188.23625003511941</v>
      </c>
      <c r="V179" s="5">
        <f t="shared" si="91"/>
        <v>-199.53110920582711</v>
      </c>
      <c r="W179" s="5"/>
      <c r="X179" s="5"/>
      <c r="Y179" s="5"/>
      <c r="Z179" s="92"/>
      <c r="AA179" s="92"/>
    </row>
    <row r="180" spans="1:27">
      <c r="A180" s="4" t="s">
        <v>105</v>
      </c>
      <c r="B180" s="5">
        <v>47.8</v>
      </c>
      <c r="C180" s="5">
        <v>2.9</v>
      </c>
      <c r="D180" s="5">
        <v>8.1999999999999993</v>
      </c>
      <c r="E180" s="5">
        <v>0.1</v>
      </c>
      <c r="F180" s="5">
        <f t="shared" ref="F180:V180" si="92">+F440</f>
        <v>75</v>
      </c>
      <c r="G180" s="5"/>
      <c r="H180" s="5"/>
      <c r="I180" s="5"/>
      <c r="J180" s="5"/>
      <c r="K180" s="5"/>
      <c r="L180" s="5"/>
      <c r="M180" s="5"/>
      <c r="N180" s="5">
        <f t="shared" si="92"/>
        <v>0</v>
      </c>
      <c r="O180" s="5">
        <f t="shared" si="92"/>
        <v>0</v>
      </c>
      <c r="P180" s="5">
        <f t="shared" si="92"/>
        <v>0</v>
      </c>
      <c r="Q180" s="5">
        <f t="shared" si="92"/>
        <v>0</v>
      </c>
      <c r="R180" s="5">
        <f t="shared" si="92"/>
        <v>0</v>
      </c>
      <c r="S180" s="5">
        <f t="shared" si="92"/>
        <v>0</v>
      </c>
      <c r="T180" s="5">
        <f t="shared" si="92"/>
        <v>0</v>
      </c>
      <c r="U180" s="5">
        <f t="shared" si="92"/>
        <v>0</v>
      </c>
      <c r="V180" s="5">
        <f t="shared" si="92"/>
        <v>0</v>
      </c>
      <c r="W180" s="5"/>
      <c r="X180" s="5"/>
      <c r="Y180" s="5"/>
      <c r="Z180" s="92"/>
      <c r="AA180" s="92"/>
    </row>
    <row r="181" spans="1:27">
      <c r="A181" s="4" t="s">
        <v>106</v>
      </c>
      <c r="B181" s="5">
        <v>-49.4</v>
      </c>
      <c r="C181" s="5">
        <v>-1.8</v>
      </c>
      <c r="D181" s="5">
        <v>-3.5</v>
      </c>
      <c r="E181" s="5">
        <v>-2.9</v>
      </c>
      <c r="F181" s="51">
        <v>-360</v>
      </c>
      <c r="G181" s="51"/>
      <c r="H181" s="51"/>
      <c r="I181" s="51"/>
      <c r="J181" s="51"/>
      <c r="K181" s="51"/>
      <c r="L181" s="51"/>
      <c r="M181" s="51"/>
      <c r="N181" s="5">
        <f t="shared" ref="N181:V181" si="93">-N450</f>
        <v>0</v>
      </c>
      <c r="O181" s="5">
        <f t="shared" si="93"/>
        <v>0</v>
      </c>
      <c r="P181" s="5">
        <f t="shared" si="93"/>
        <v>0</v>
      </c>
      <c r="Q181" s="5">
        <f t="shared" si="93"/>
        <v>0</v>
      </c>
      <c r="R181" s="5">
        <f t="shared" si="93"/>
        <v>0</v>
      </c>
      <c r="S181" s="5">
        <f t="shared" si="93"/>
        <v>0</v>
      </c>
      <c r="T181" s="5">
        <f t="shared" si="93"/>
        <v>0</v>
      </c>
      <c r="U181" s="5">
        <f t="shared" si="93"/>
        <v>0</v>
      </c>
      <c r="V181" s="5">
        <f t="shared" si="93"/>
        <v>0</v>
      </c>
      <c r="W181" s="5"/>
      <c r="X181" s="5"/>
      <c r="Y181" s="5"/>
      <c r="Z181" s="93"/>
      <c r="AA181" s="93"/>
    </row>
    <row r="182" spans="1:27">
      <c r="A182" s="4" t="s">
        <v>107</v>
      </c>
      <c r="B182" s="5">
        <v>-14.5</v>
      </c>
      <c r="C182" s="5">
        <v>-29.8</v>
      </c>
      <c r="D182" s="5">
        <v>-24</v>
      </c>
      <c r="E182" s="5">
        <v>-17.100000000000001</v>
      </c>
      <c r="F182" s="5">
        <f t="shared" ref="F182:V182" si="94">+F68</f>
        <v>-18.558</v>
      </c>
      <c r="G182" s="5"/>
      <c r="H182" s="5"/>
      <c r="I182" s="5"/>
      <c r="J182" s="5"/>
      <c r="K182" s="5"/>
      <c r="L182" s="5"/>
      <c r="M182" s="5"/>
      <c r="N182" s="5">
        <f t="shared" si="94"/>
        <v>-21.933</v>
      </c>
      <c r="O182" s="5">
        <f t="shared" si="94"/>
        <v>-21.933</v>
      </c>
      <c r="P182" s="5">
        <f t="shared" si="94"/>
        <v>-21.933</v>
      </c>
      <c r="Q182" s="5">
        <f t="shared" si="94"/>
        <v>-21.933</v>
      </c>
      <c r="R182" s="5">
        <f t="shared" si="94"/>
        <v>-21.933</v>
      </c>
      <c r="S182" s="5">
        <f t="shared" si="94"/>
        <v>-21.933</v>
      </c>
      <c r="T182" s="5">
        <f t="shared" si="94"/>
        <v>-21.933</v>
      </c>
      <c r="U182" s="5">
        <f t="shared" si="94"/>
        <v>-21.933</v>
      </c>
      <c r="V182" s="5">
        <f t="shared" si="94"/>
        <v>-21.933</v>
      </c>
      <c r="W182" s="5"/>
      <c r="X182" s="5"/>
      <c r="Y182" s="5"/>
      <c r="Z182" s="92"/>
      <c r="AA182" s="92"/>
    </row>
    <row r="183" spans="1:27">
      <c r="A183" s="4" t="s">
        <v>856</v>
      </c>
      <c r="B183" s="5"/>
      <c r="C183" s="5"/>
      <c r="D183" s="5"/>
      <c r="E183" s="5">
        <v>-19.899999999999999</v>
      </c>
      <c r="F183" s="5"/>
      <c r="G183" s="5"/>
      <c r="H183" s="5"/>
      <c r="I183" s="5"/>
      <c r="J183" s="5"/>
      <c r="K183" s="5"/>
      <c r="L183" s="5"/>
      <c r="M183" s="5"/>
      <c r="N183" s="5"/>
      <c r="O183" s="5"/>
      <c r="P183" s="5"/>
      <c r="Q183" s="5"/>
      <c r="R183" s="5"/>
      <c r="S183" s="5"/>
      <c r="T183" s="5"/>
      <c r="U183" s="5"/>
      <c r="V183" s="5"/>
      <c r="W183" s="5"/>
      <c r="X183" s="5"/>
      <c r="Y183" s="5"/>
      <c r="Z183" s="93"/>
      <c r="AA183" s="93"/>
    </row>
    <row r="184" spans="1:27">
      <c r="A184" s="7" t="s">
        <v>25</v>
      </c>
      <c r="B184" s="9">
        <v>-16.5</v>
      </c>
      <c r="C184" s="9">
        <v>-31.5</v>
      </c>
      <c r="D184" s="9">
        <v>5.8</v>
      </c>
      <c r="E184" s="9">
        <f t="shared" ref="E184:V184" si="95">SUM(E176:E183)</f>
        <v>-50.1</v>
      </c>
      <c r="F184" s="9">
        <f t="shared" si="95"/>
        <v>56.442</v>
      </c>
      <c r="G184" s="9"/>
      <c r="H184" s="9"/>
      <c r="I184" s="9"/>
      <c r="J184" s="9"/>
      <c r="K184" s="9"/>
      <c r="L184" s="9"/>
      <c r="M184" s="9"/>
      <c r="N184" s="9">
        <f t="shared" si="95"/>
        <v>-21.933</v>
      </c>
      <c r="O184" s="9">
        <f t="shared" si="95"/>
        <v>-140.33238521389518</v>
      </c>
      <c r="P184" s="9">
        <f t="shared" si="95"/>
        <v>-146.12527756614412</v>
      </c>
      <c r="Q184" s="9">
        <f t="shared" si="95"/>
        <v>-162.49606212549787</v>
      </c>
      <c r="R184" s="9">
        <f t="shared" si="95"/>
        <v>-177.10705906451247</v>
      </c>
      <c r="S184" s="9">
        <f t="shared" si="95"/>
        <v>-187.98119921840342</v>
      </c>
      <c r="T184" s="9">
        <f t="shared" si="95"/>
        <v>-199.00289338056871</v>
      </c>
      <c r="U184" s="9">
        <f t="shared" si="95"/>
        <v>-210.1692500351194</v>
      </c>
      <c r="V184" s="9">
        <f t="shared" si="95"/>
        <v>-221.4641092058271</v>
      </c>
      <c r="W184" s="9"/>
      <c r="X184" s="9"/>
      <c r="Y184" s="9"/>
      <c r="Z184" s="92"/>
      <c r="AA184" s="92"/>
    </row>
    <row r="185" spans="1:27">
      <c r="B185" s="5"/>
      <c r="C185" s="5"/>
      <c r="D185" s="5"/>
      <c r="E185" s="5"/>
      <c r="F185" s="5"/>
      <c r="G185" s="5"/>
      <c r="H185" s="5"/>
      <c r="I185" s="5"/>
      <c r="J185" s="5"/>
      <c r="K185" s="5"/>
      <c r="L185" s="5"/>
      <c r="M185" s="5"/>
      <c r="N185" s="5"/>
      <c r="O185" s="5"/>
      <c r="P185" s="5"/>
      <c r="Q185" s="5"/>
      <c r="R185" s="5"/>
      <c r="S185" s="5"/>
      <c r="T185" s="5"/>
      <c r="U185" s="5"/>
      <c r="V185" s="5"/>
      <c r="W185" s="5"/>
      <c r="X185" s="5"/>
      <c r="Y185" s="5"/>
      <c r="Z185" s="97"/>
      <c r="AA185" s="97"/>
    </row>
    <row r="186" spans="1:27">
      <c r="A186" s="7" t="s">
        <v>186</v>
      </c>
      <c r="B186" s="9">
        <f>+B184+B173+B164</f>
        <v>0.70000000000000284</v>
      </c>
      <c r="C186" s="9">
        <v>-8.4</v>
      </c>
      <c r="D186" s="9">
        <f t="shared" ref="D186:V186" si="96">+D184+D173+D164</f>
        <v>34.099999999999994</v>
      </c>
      <c r="E186" s="9">
        <f t="shared" si="96"/>
        <v>-46.367022308438393</v>
      </c>
      <c r="F186" s="9">
        <f t="shared" si="96"/>
        <v>33.850558672283235</v>
      </c>
      <c r="G186" s="9"/>
      <c r="H186" s="9"/>
      <c r="I186" s="9"/>
      <c r="J186" s="9"/>
      <c r="K186" s="9"/>
      <c r="L186" s="9"/>
      <c r="M186" s="9"/>
      <c r="N186" s="9">
        <f t="shared" si="96"/>
        <v>95.938883766000032</v>
      </c>
      <c r="O186" s="9">
        <f t="shared" si="96"/>
        <v>-41.098067688011326</v>
      </c>
      <c r="P186" s="9">
        <f t="shared" si="96"/>
        <v>-26.954749942472006</v>
      </c>
      <c r="Q186" s="9">
        <f t="shared" si="96"/>
        <v>-34.689735779565922</v>
      </c>
      <c r="R186" s="9">
        <f t="shared" si="96"/>
        <v>-40.852733748262494</v>
      </c>
      <c r="S186" s="9">
        <f t="shared" si="96"/>
        <v>-41.682088617434658</v>
      </c>
      <c r="T186" s="9">
        <f t="shared" si="96"/>
        <v>-42.707746555466088</v>
      </c>
      <c r="U186" s="9">
        <f t="shared" si="96"/>
        <v>-43.91934925751724</v>
      </c>
      <c r="V186" s="9">
        <f t="shared" si="96"/>
        <v>-45.287913110442105</v>
      </c>
      <c r="W186" s="9"/>
      <c r="X186" s="9"/>
      <c r="Y186" s="9"/>
    </row>
    <row r="187" spans="1:27">
      <c r="A187" s="11" t="s">
        <v>189</v>
      </c>
      <c r="B187" s="5">
        <v>0.3</v>
      </c>
      <c r="C187" s="5">
        <v>-15.1</v>
      </c>
      <c r="D187" s="5">
        <v>14.4</v>
      </c>
      <c r="E187" s="5"/>
      <c r="F187" s="5"/>
      <c r="G187" s="5"/>
      <c r="H187" s="5"/>
      <c r="I187" s="5"/>
      <c r="J187" s="5"/>
      <c r="K187" s="5"/>
      <c r="L187" s="5"/>
      <c r="M187" s="5"/>
      <c r="N187" s="5"/>
      <c r="O187" s="5"/>
      <c r="P187" s="5"/>
      <c r="Q187" s="5"/>
      <c r="R187" s="5"/>
      <c r="S187" s="5"/>
      <c r="T187" s="5"/>
      <c r="U187" s="5"/>
      <c r="V187" s="5"/>
      <c r="W187" s="5"/>
      <c r="X187" s="5"/>
      <c r="Y187" s="5"/>
    </row>
    <row r="188" spans="1:27">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spans="1:27">
      <c r="A189" s="18" t="s">
        <v>212</v>
      </c>
      <c r="B189" s="43" t="str">
        <f t="shared" ref="B189:V189" si="97">+B$34</f>
        <v>2011A</v>
      </c>
      <c r="C189" s="43" t="str">
        <f t="shared" si="97"/>
        <v>2012A</v>
      </c>
      <c r="D189" s="43" t="str">
        <f t="shared" si="97"/>
        <v>2013A</v>
      </c>
      <c r="E189" s="43" t="str">
        <f t="shared" si="97"/>
        <v>2014A</v>
      </c>
      <c r="F189" s="43" t="str">
        <f t="shared" si="97"/>
        <v>2015E</v>
      </c>
      <c r="G189" s="209"/>
      <c r="H189" s="209"/>
      <c r="I189" s="209"/>
      <c r="J189" s="209"/>
      <c r="K189" s="209"/>
      <c r="L189" s="209"/>
      <c r="M189" s="209"/>
      <c r="N189" s="43" t="str">
        <f t="shared" si="97"/>
        <v>2016E</v>
      </c>
      <c r="O189" s="43" t="str">
        <f t="shared" si="97"/>
        <v>2017E</v>
      </c>
      <c r="P189" s="43" t="str">
        <f t="shared" si="97"/>
        <v>2018E</v>
      </c>
      <c r="Q189" s="43" t="str">
        <f t="shared" si="97"/>
        <v>2019E</v>
      </c>
      <c r="R189" s="43" t="str">
        <f t="shared" si="97"/>
        <v>2020E</v>
      </c>
      <c r="S189" s="43" t="str">
        <f t="shared" si="97"/>
        <v>2021E</v>
      </c>
      <c r="T189" s="43" t="str">
        <f t="shared" si="97"/>
        <v>2022E</v>
      </c>
      <c r="U189" s="43" t="str">
        <f t="shared" si="97"/>
        <v>2023E</v>
      </c>
      <c r="V189" s="43" t="str">
        <f t="shared" si="97"/>
        <v>2024E</v>
      </c>
      <c r="W189" s="44"/>
      <c r="Z189" s="92"/>
      <c r="AA189" s="92"/>
    </row>
    <row r="190" spans="1:27">
      <c r="A190" s="7"/>
      <c r="Z190" s="92"/>
      <c r="AA190" s="92"/>
    </row>
    <row r="191" spans="1:27">
      <c r="A191" s="7" t="s">
        <v>31</v>
      </c>
      <c r="Z191" s="92"/>
      <c r="AA191" s="92"/>
    </row>
    <row r="192" spans="1:27">
      <c r="A192" s="4" t="s">
        <v>68</v>
      </c>
      <c r="B192" s="5">
        <v>27</v>
      </c>
      <c r="C192" s="5">
        <v>28.3</v>
      </c>
      <c r="D192" s="5">
        <v>24.9</v>
      </c>
      <c r="E192" s="5">
        <v>50.4</v>
      </c>
      <c r="F192" s="5"/>
      <c r="G192" s="5"/>
      <c r="H192" s="5"/>
      <c r="I192" s="5"/>
      <c r="J192" s="5"/>
      <c r="K192" s="5"/>
      <c r="L192" s="5"/>
      <c r="M192" s="5"/>
      <c r="N192" s="5"/>
      <c r="O192" s="5"/>
      <c r="P192" s="5"/>
      <c r="Q192" s="5"/>
      <c r="R192" s="5"/>
      <c r="S192" s="5"/>
      <c r="T192" s="5"/>
      <c r="U192" s="5"/>
      <c r="V192" s="5"/>
      <c r="W192" s="5"/>
      <c r="X192" s="5"/>
      <c r="Y192" s="5"/>
      <c r="Z192" s="92"/>
      <c r="AA192" s="92"/>
    </row>
    <row r="193" spans="1:27">
      <c r="A193" s="4" t="s">
        <v>69</v>
      </c>
      <c r="B193" s="5">
        <v>29.2</v>
      </c>
      <c r="C193" s="5">
        <v>22.4</v>
      </c>
      <c r="D193" s="5">
        <v>13.9</v>
      </c>
      <c r="E193" s="5">
        <v>23</v>
      </c>
      <c r="F193" s="5"/>
      <c r="G193" s="5"/>
      <c r="H193" s="5"/>
      <c r="I193" s="5"/>
      <c r="J193" s="5"/>
      <c r="K193" s="5"/>
      <c r="L193" s="5"/>
      <c r="M193" s="5"/>
      <c r="N193" s="5"/>
      <c r="O193" s="5"/>
      <c r="P193" s="5"/>
      <c r="Q193" s="5"/>
      <c r="R193" s="5"/>
      <c r="S193" s="5"/>
      <c r="T193" s="5"/>
      <c r="U193" s="5"/>
      <c r="V193" s="5"/>
      <c r="W193" s="5"/>
      <c r="X193" s="5"/>
      <c r="Y193" s="5"/>
      <c r="Z193" s="92"/>
      <c r="AA193" s="92"/>
    </row>
    <row r="194" spans="1:27">
      <c r="A194" s="4" t="s">
        <v>70</v>
      </c>
      <c r="B194" s="5">
        <v>2.9</v>
      </c>
      <c r="C194" s="5">
        <v>0.6</v>
      </c>
      <c r="D194" s="5">
        <v>1.3</v>
      </c>
      <c r="E194" s="5">
        <v>1.4</v>
      </c>
      <c r="F194" s="5"/>
      <c r="G194" s="5"/>
      <c r="H194" s="5"/>
      <c r="I194" s="5"/>
      <c r="J194" s="5"/>
      <c r="K194" s="5"/>
      <c r="L194" s="5"/>
      <c r="M194" s="5"/>
      <c r="N194" s="5"/>
      <c r="O194" s="5"/>
      <c r="P194" s="5"/>
      <c r="Q194" s="5"/>
      <c r="R194" s="5"/>
      <c r="S194" s="5"/>
      <c r="T194" s="5"/>
      <c r="U194" s="5"/>
      <c r="V194" s="5"/>
      <c r="W194" s="5"/>
      <c r="X194" s="5"/>
      <c r="Y194" s="5"/>
      <c r="Z194" s="93"/>
      <c r="AA194" s="93"/>
    </row>
    <row r="195" spans="1:27">
      <c r="A195" s="4" t="s">
        <v>71</v>
      </c>
      <c r="B195" s="5">
        <v>2.2999999999999998</v>
      </c>
      <c r="C195" s="5">
        <v>1.3</v>
      </c>
      <c r="D195" s="5">
        <v>4.5</v>
      </c>
      <c r="E195" s="5">
        <v>2.8</v>
      </c>
      <c r="F195" s="5"/>
      <c r="G195" s="5"/>
      <c r="H195" s="5"/>
      <c r="I195" s="5"/>
      <c r="J195" s="5"/>
      <c r="K195" s="5"/>
      <c r="L195" s="5"/>
      <c r="M195" s="5"/>
      <c r="N195" s="5"/>
      <c r="O195" s="5"/>
      <c r="P195" s="5"/>
      <c r="Q195" s="5"/>
      <c r="R195" s="5"/>
      <c r="S195" s="5"/>
      <c r="T195" s="5"/>
      <c r="U195" s="5"/>
      <c r="V195" s="5"/>
      <c r="W195" s="5"/>
      <c r="X195" s="5"/>
      <c r="Y195" s="5"/>
      <c r="Z195" s="93"/>
      <c r="AA195" s="93"/>
    </row>
    <row r="196" spans="1:27">
      <c r="A196" s="4" t="s">
        <v>122</v>
      </c>
      <c r="B196" s="5">
        <v>6.7</v>
      </c>
      <c r="C196" s="5">
        <v>7</v>
      </c>
      <c r="D196" s="5">
        <v>6.9</v>
      </c>
      <c r="E196" s="5">
        <v>6.4</v>
      </c>
      <c r="F196" s="5"/>
      <c r="G196" s="5"/>
      <c r="H196" s="5"/>
      <c r="I196" s="5"/>
      <c r="J196" s="5"/>
      <c r="K196" s="5"/>
      <c r="L196" s="5"/>
      <c r="M196" s="5"/>
      <c r="N196" s="5"/>
      <c r="O196" s="5"/>
      <c r="P196" s="5"/>
      <c r="Q196" s="5"/>
      <c r="R196" s="5"/>
      <c r="S196" s="5"/>
      <c r="T196" s="5"/>
      <c r="U196" s="5"/>
      <c r="V196" s="5"/>
      <c r="W196" s="5"/>
      <c r="X196" s="5"/>
      <c r="Y196" s="5"/>
      <c r="Z196" s="92"/>
      <c r="AA196" s="92"/>
    </row>
    <row r="197" spans="1:27">
      <c r="A197" s="7" t="s">
        <v>32</v>
      </c>
      <c r="B197" s="9">
        <v>68.099999999999994</v>
      </c>
      <c r="C197" s="9">
        <v>59.6</v>
      </c>
      <c r="D197" s="9">
        <v>51.5</v>
      </c>
      <c r="E197" s="54">
        <v>84.1</v>
      </c>
      <c r="F197" s="54">
        <v>115</v>
      </c>
      <c r="G197" s="54"/>
      <c r="H197" s="54"/>
      <c r="I197" s="54"/>
      <c r="J197" s="54"/>
      <c r="K197" s="54"/>
      <c r="L197" s="54"/>
      <c r="M197" s="54"/>
      <c r="N197" s="9">
        <f>+N199*N39</f>
        <v>147.08828592390364</v>
      </c>
      <c r="O197" s="9">
        <f t="shared" ref="O197:V197" si="98">+(O199+$X$199)*O39</f>
        <v>128.76008427701808</v>
      </c>
      <c r="P197" s="9">
        <f t="shared" si="98"/>
        <v>137.02942829901514</v>
      </c>
      <c r="Q197" s="9">
        <f t="shared" si="98"/>
        <v>145.20572471335348</v>
      </c>
      <c r="R197" s="9">
        <f t="shared" si="98"/>
        <v>153.23209844609477</v>
      </c>
      <c r="S197" s="9">
        <f t="shared" si="98"/>
        <v>161.32881515263344</v>
      </c>
      <c r="T197" s="9">
        <f t="shared" si="98"/>
        <v>169.50215254261269</v>
      </c>
      <c r="U197" s="9">
        <f t="shared" si="98"/>
        <v>177.75825618918839</v>
      </c>
      <c r="V197" s="9">
        <f t="shared" si="98"/>
        <v>186.10316980639334</v>
      </c>
      <c r="W197" s="9"/>
      <c r="X197" s="9"/>
      <c r="Y197" s="9"/>
      <c r="Z197" s="92"/>
      <c r="AA197" s="92"/>
    </row>
    <row r="198" spans="1:27">
      <c r="A198" s="7" t="s">
        <v>243</v>
      </c>
      <c r="B198" s="9"/>
      <c r="C198" s="9"/>
      <c r="D198" s="9"/>
      <c r="E198" s="55" t="s">
        <v>244</v>
      </c>
      <c r="F198" s="55" t="s">
        <v>245</v>
      </c>
      <c r="G198" s="55"/>
      <c r="H198" s="55"/>
      <c r="I198" s="55"/>
      <c r="J198" s="55"/>
      <c r="K198" s="55"/>
      <c r="L198" s="55"/>
      <c r="M198" s="55"/>
      <c r="N198" s="9" t="s">
        <v>246</v>
      </c>
      <c r="O198" s="9"/>
      <c r="P198" s="9"/>
      <c r="Q198" s="9"/>
      <c r="R198" s="9"/>
      <c r="S198" s="9"/>
      <c r="T198" s="9"/>
      <c r="U198" s="9"/>
      <c r="V198" s="9"/>
      <c r="W198" s="9"/>
      <c r="X198" s="196" t="s">
        <v>672</v>
      </c>
      <c r="Y198" s="9"/>
    </row>
    <row r="199" spans="1:27">
      <c r="A199" s="4" t="s">
        <v>247</v>
      </c>
      <c r="B199" s="40">
        <f>+B197/B39</f>
        <v>0.33268197361993157</v>
      </c>
      <c r="C199" s="40">
        <f>+C197/C39</f>
        <v>0.29030686799805161</v>
      </c>
      <c r="D199" s="40">
        <f>+D197/D39</f>
        <v>0.24975751697381185</v>
      </c>
      <c r="E199" s="40">
        <f>+E197/E39</f>
        <v>0.3948356807511737</v>
      </c>
      <c r="F199" s="40">
        <f>+F197/F39</f>
        <v>0.51757220201872645</v>
      </c>
      <c r="G199" s="40"/>
      <c r="H199" s="40"/>
      <c r="I199" s="40"/>
      <c r="J199" s="40"/>
      <c r="K199" s="40"/>
      <c r="L199" s="40"/>
      <c r="M199" s="40"/>
      <c r="N199" s="49">
        <v>0.3</v>
      </c>
      <c r="O199" s="49">
        <v>0.25</v>
      </c>
      <c r="P199" s="49">
        <v>0.25</v>
      </c>
      <c r="Q199" s="49">
        <v>0.25</v>
      </c>
      <c r="R199" s="49">
        <v>0.25</v>
      </c>
      <c r="S199" s="49">
        <v>0.25</v>
      </c>
      <c r="T199" s="49">
        <v>0.25</v>
      </c>
      <c r="U199" s="49">
        <v>0.25</v>
      </c>
      <c r="V199" s="49">
        <v>0.25</v>
      </c>
      <c r="W199" s="5"/>
      <c r="X199" s="197">
        <f>+AL7</f>
        <v>0</v>
      </c>
      <c r="Y199" s="5"/>
    </row>
    <row r="200" spans="1:27">
      <c r="B200" s="40"/>
      <c r="C200" s="40"/>
      <c r="D200" s="40"/>
      <c r="E200" s="40"/>
      <c r="F200" s="40"/>
      <c r="G200" s="40"/>
      <c r="H200" s="40"/>
      <c r="I200" s="40"/>
      <c r="J200" s="40"/>
      <c r="K200" s="40"/>
      <c r="L200" s="40"/>
      <c r="M200" s="40"/>
      <c r="N200" s="49"/>
      <c r="O200" s="49"/>
      <c r="P200" s="49"/>
      <c r="Q200" s="49"/>
      <c r="R200" s="49"/>
      <c r="S200" s="49"/>
      <c r="T200" s="49"/>
      <c r="U200" s="49"/>
      <c r="V200" s="49"/>
      <c r="W200" s="5"/>
      <c r="X200" s="197"/>
      <c r="Y200" s="5"/>
      <c r="Z200" s="93"/>
      <c r="AA200" s="93"/>
    </row>
    <row r="201" spans="1:27">
      <c r="A201" s="4" t="s">
        <v>702</v>
      </c>
      <c r="B201" s="5" t="s">
        <v>703</v>
      </c>
      <c r="C201" s="5"/>
      <c r="D201" s="5"/>
      <c r="E201" s="54">
        <v>85</v>
      </c>
      <c r="F201" s="54">
        <v>85</v>
      </c>
      <c r="G201" s="54"/>
      <c r="H201" s="54"/>
      <c r="I201" s="54"/>
      <c r="J201" s="54"/>
      <c r="K201" s="54"/>
      <c r="L201" s="54"/>
      <c r="M201" s="54"/>
      <c r="N201" s="54">
        <v>85</v>
      </c>
      <c r="O201" s="54">
        <v>85</v>
      </c>
      <c r="P201" s="54">
        <v>85</v>
      </c>
      <c r="Q201" s="54">
        <v>85</v>
      </c>
      <c r="R201" s="54">
        <v>85</v>
      </c>
      <c r="S201" s="54">
        <v>85</v>
      </c>
      <c r="T201" s="54">
        <v>85</v>
      </c>
      <c r="U201" s="54">
        <v>85</v>
      </c>
      <c r="V201" s="54">
        <v>85</v>
      </c>
      <c r="W201" s="5"/>
      <c r="X201" s="5"/>
      <c r="Y201" s="5"/>
      <c r="Z201" s="92"/>
      <c r="AA201" s="92"/>
    </row>
    <row r="202" spans="1:27">
      <c r="A202" s="4" t="s">
        <v>704</v>
      </c>
      <c r="B202" s="5"/>
      <c r="C202" s="5"/>
      <c r="D202" s="5"/>
      <c r="E202" s="5">
        <f t="shared" ref="E202:V202" si="99">+E281</f>
        <v>42</v>
      </c>
      <c r="F202" s="5">
        <f t="shared" si="99"/>
        <v>63.537001624988989</v>
      </c>
      <c r="G202" s="5"/>
      <c r="H202" s="5"/>
      <c r="I202" s="5"/>
      <c r="J202" s="5"/>
      <c r="K202" s="5"/>
      <c r="L202" s="5"/>
      <c r="M202" s="5"/>
      <c r="N202" s="5">
        <f t="shared" si="99"/>
        <v>1309.6683610028504</v>
      </c>
      <c r="O202" s="5">
        <f t="shared" si="99"/>
        <v>169.82060919021433</v>
      </c>
      <c r="P202" s="5">
        <f t="shared" si="99"/>
        <v>86.380848223474459</v>
      </c>
      <c r="Q202" s="5">
        <f t="shared" si="99"/>
        <v>54.86624972723439</v>
      </c>
      <c r="R202" s="5">
        <f t="shared" si="99"/>
        <v>54.52050536633169</v>
      </c>
      <c r="S202" s="5">
        <f t="shared" si="99"/>
        <v>54.174761005429446</v>
      </c>
      <c r="T202" s="5">
        <f t="shared" si="99"/>
        <v>53.829016644527655</v>
      </c>
      <c r="U202" s="5">
        <f t="shared" si="99"/>
        <v>53.483272283624956</v>
      </c>
      <c r="V202" s="5">
        <f t="shared" si="99"/>
        <v>53.137527922722711</v>
      </c>
      <c r="W202" s="5"/>
      <c r="X202" s="5"/>
      <c r="Y202" s="5"/>
      <c r="Z202" s="93"/>
      <c r="AA202" s="93"/>
    </row>
    <row r="203" spans="1:27">
      <c r="A203" s="4" t="s">
        <v>702</v>
      </c>
      <c r="B203" s="5"/>
      <c r="C203" s="5"/>
      <c r="D203" s="5"/>
      <c r="E203" s="5">
        <f t="shared" ref="E203:V203" si="100">+(E202*E201)/1000</f>
        <v>3.57</v>
      </c>
      <c r="F203" s="5">
        <f t="shared" si="100"/>
        <v>5.4006451381240641</v>
      </c>
      <c r="G203" s="5"/>
      <c r="H203" s="5"/>
      <c r="I203" s="5"/>
      <c r="J203" s="5"/>
      <c r="K203" s="5"/>
      <c r="L203" s="5"/>
      <c r="M203" s="5"/>
      <c r="N203" s="5">
        <f t="shared" si="100"/>
        <v>111.32181068524228</v>
      </c>
      <c r="O203" s="5">
        <f t="shared" si="100"/>
        <v>14.434751781168217</v>
      </c>
      <c r="P203" s="5">
        <f t="shared" si="100"/>
        <v>7.3423720989953294</v>
      </c>
      <c r="Q203" s="5">
        <f t="shared" si="100"/>
        <v>4.6636312268149229</v>
      </c>
      <c r="R203" s="5">
        <f t="shared" si="100"/>
        <v>4.6342429561381939</v>
      </c>
      <c r="S203" s="5">
        <f t="shared" si="100"/>
        <v>4.6048546854615031</v>
      </c>
      <c r="T203" s="5">
        <f t="shared" si="100"/>
        <v>4.5754664147848505</v>
      </c>
      <c r="U203" s="5">
        <f t="shared" si="100"/>
        <v>4.5460781441081215</v>
      </c>
      <c r="V203" s="5">
        <f t="shared" si="100"/>
        <v>4.5166898734314307</v>
      </c>
      <c r="W203" s="5"/>
      <c r="X203" s="5"/>
      <c r="Y203" s="5"/>
    </row>
    <row r="204" spans="1:27">
      <c r="A204" s="6" t="s">
        <v>857</v>
      </c>
      <c r="B204" s="63"/>
      <c r="C204" s="63"/>
      <c r="D204" s="63"/>
      <c r="E204" s="63">
        <v>31</v>
      </c>
      <c r="F204" s="63"/>
      <c r="G204" s="63"/>
      <c r="H204" s="63"/>
      <c r="I204" s="63"/>
      <c r="J204" s="63"/>
      <c r="K204" s="63"/>
      <c r="L204" s="63"/>
      <c r="M204" s="63"/>
      <c r="N204" s="63"/>
      <c r="O204" s="63"/>
      <c r="P204" s="63"/>
      <c r="Q204" s="63"/>
      <c r="R204" s="63"/>
      <c r="S204" s="63"/>
      <c r="T204" s="63"/>
      <c r="U204" s="5"/>
      <c r="V204" s="5"/>
      <c r="W204" s="5"/>
      <c r="X204" s="5"/>
      <c r="Y204" s="5"/>
    </row>
    <row r="205" spans="1:27">
      <c r="B205" s="5"/>
      <c r="C205" s="5"/>
      <c r="D205" s="5"/>
      <c r="E205" s="5"/>
      <c r="F205" s="5"/>
      <c r="G205" s="5"/>
      <c r="H205" s="5"/>
      <c r="I205" s="5"/>
      <c r="J205" s="5"/>
      <c r="K205" s="5"/>
      <c r="L205" s="5"/>
      <c r="M205" s="5"/>
      <c r="N205" s="5"/>
      <c r="O205" s="5"/>
      <c r="P205" s="5"/>
      <c r="Q205" s="5"/>
      <c r="R205" s="5"/>
      <c r="S205" s="5"/>
      <c r="T205" s="5"/>
      <c r="U205" s="5"/>
      <c r="V205" s="5"/>
      <c r="W205" s="5"/>
      <c r="X205" s="5"/>
      <c r="Y205" s="5"/>
    </row>
    <row r="206" spans="1:27">
      <c r="B206" s="5"/>
      <c r="C206" s="5"/>
      <c r="D206" s="5"/>
      <c r="E206" s="5"/>
      <c r="F206" s="5"/>
      <c r="G206" s="5"/>
      <c r="H206" s="5"/>
      <c r="I206" s="5"/>
      <c r="J206" s="5"/>
      <c r="K206" s="5"/>
      <c r="L206" s="5"/>
      <c r="M206" s="5"/>
      <c r="N206" s="5"/>
      <c r="O206" s="5"/>
      <c r="P206" s="5"/>
      <c r="Q206" s="5"/>
      <c r="R206" s="5"/>
      <c r="S206" s="5"/>
      <c r="T206" s="5"/>
      <c r="U206" s="5"/>
      <c r="V206" s="5"/>
      <c r="W206" s="5"/>
      <c r="X206" s="5"/>
      <c r="Y206" s="5"/>
    </row>
    <row r="207" spans="1:27">
      <c r="C207" s="11"/>
      <c r="Z207" s="93"/>
      <c r="AA207" s="93"/>
    </row>
    <row r="208" spans="1:27">
      <c r="A208" s="18" t="s">
        <v>213</v>
      </c>
      <c r="B208" s="43" t="str">
        <f t="shared" ref="B208:V208" si="101">+B$34</f>
        <v>2011A</v>
      </c>
      <c r="C208" s="43" t="str">
        <f t="shared" si="101"/>
        <v>2012A</v>
      </c>
      <c r="D208" s="43" t="str">
        <f t="shared" si="101"/>
        <v>2013A</v>
      </c>
      <c r="E208" s="43" t="str">
        <f t="shared" si="101"/>
        <v>2014A</v>
      </c>
      <c r="F208" s="43" t="str">
        <f t="shared" si="101"/>
        <v>2015E</v>
      </c>
      <c r="G208" s="209"/>
      <c r="H208" s="209"/>
      <c r="I208" s="209"/>
      <c r="J208" s="209"/>
      <c r="K208" s="209"/>
      <c r="L208" s="209"/>
      <c r="M208" s="209"/>
      <c r="N208" s="43" t="str">
        <f t="shared" si="101"/>
        <v>2016E</v>
      </c>
      <c r="O208" s="43" t="str">
        <f t="shared" si="101"/>
        <v>2017E</v>
      </c>
      <c r="P208" s="43" t="str">
        <f t="shared" si="101"/>
        <v>2018E</v>
      </c>
      <c r="Q208" s="43" t="str">
        <f t="shared" si="101"/>
        <v>2019E</v>
      </c>
      <c r="R208" s="43" t="str">
        <f t="shared" si="101"/>
        <v>2020E</v>
      </c>
      <c r="S208" s="43" t="str">
        <f t="shared" si="101"/>
        <v>2021E</v>
      </c>
      <c r="T208" s="43" t="str">
        <f t="shared" si="101"/>
        <v>2022E</v>
      </c>
      <c r="U208" s="43" t="str">
        <f t="shared" si="101"/>
        <v>2023E</v>
      </c>
      <c r="V208" s="43" t="str">
        <f t="shared" si="101"/>
        <v>2024E</v>
      </c>
      <c r="W208" s="44"/>
      <c r="Z208" s="98"/>
      <c r="AA208" s="98"/>
    </row>
    <row r="209" spans="1:27">
      <c r="A209" s="27" t="s">
        <v>124</v>
      </c>
      <c r="B209" s="9">
        <v>222.6</v>
      </c>
      <c r="C209" s="9">
        <v>223</v>
      </c>
      <c r="D209" s="9">
        <v>223.5</v>
      </c>
      <c r="E209" s="9"/>
      <c r="F209" s="9"/>
      <c r="G209" s="9"/>
      <c r="H209" s="9"/>
      <c r="I209" s="9"/>
      <c r="J209" s="9"/>
      <c r="K209" s="9"/>
      <c r="L209" s="9"/>
      <c r="M209" s="9"/>
      <c r="N209" s="9"/>
      <c r="O209" s="9"/>
      <c r="P209" s="9"/>
      <c r="Q209" s="9"/>
      <c r="R209" s="9"/>
      <c r="S209" s="9"/>
      <c r="T209" s="9"/>
      <c r="U209" s="9"/>
      <c r="V209" s="9"/>
      <c r="W209" s="9"/>
      <c r="X209" s="9"/>
      <c r="Y209" s="9"/>
      <c r="Z209" s="92"/>
      <c r="AA209" s="92"/>
    </row>
    <row r="210" spans="1:27">
      <c r="A210" s="4" t="s">
        <v>125</v>
      </c>
      <c r="B210" s="5">
        <v>9.3000000000000007</v>
      </c>
      <c r="C210" s="5">
        <v>49.3</v>
      </c>
      <c r="D210" s="5">
        <v>15.7</v>
      </c>
      <c r="E210" s="5"/>
      <c r="F210" s="5"/>
      <c r="G210" s="5"/>
      <c r="H210" s="5"/>
      <c r="I210" s="5"/>
      <c r="J210" s="5"/>
      <c r="K210" s="5"/>
      <c r="L210" s="5"/>
      <c r="M210" s="5"/>
      <c r="N210" s="5"/>
      <c r="O210" s="5"/>
      <c r="P210" s="5"/>
      <c r="Q210" s="5"/>
      <c r="R210" s="5"/>
      <c r="S210" s="5"/>
      <c r="T210" s="5"/>
      <c r="U210" s="5"/>
      <c r="V210" s="5"/>
      <c r="W210" s="5"/>
      <c r="X210" s="5"/>
      <c r="Y210" s="5"/>
      <c r="Z210" s="92"/>
      <c r="AA210" s="92"/>
    </row>
    <row r="211" spans="1:27">
      <c r="A211" s="27" t="s">
        <v>126</v>
      </c>
      <c r="B211" s="9">
        <v>231.9</v>
      </c>
      <c r="C211" s="9">
        <v>272.3</v>
      </c>
      <c r="D211" s="9">
        <v>239.2</v>
      </c>
      <c r="E211" s="9"/>
      <c r="F211" s="9"/>
      <c r="G211" s="9"/>
      <c r="H211" s="9"/>
      <c r="I211" s="9"/>
      <c r="J211" s="9"/>
      <c r="K211" s="9"/>
      <c r="L211" s="9"/>
      <c r="M211" s="9"/>
      <c r="N211" s="9"/>
      <c r="O211" s="9"/>
      <c r="P211" s="9"/>
      <c r="Q211" s="9"/>
      <c r="R211" s="9"/>
      <c r="S211" s="9"/>
      <c r="T211" s="9"/>
      <c r="U211" s="9"/>
      <c r="V211" s="9"/>
      <c r="W211" s="9"/>
      <c r="X211" s="9"/>
      <c r="Y211" s="9"/>
      <c r="Z211" s="92"/>
      <c r="AA211" s="92"/>
    </row>
    <row r="212" spans="1:27">
      <c r="Z212" s="92"/>
      <c r="AA212" s="92"/>
    </row>
    <row r="213" spans="1:27">
      <c r="A213" s="27" t="s">
        <v>28</v>
      </c>
      <c r="B213" s="9">
        <v>78.400000000000006</v>
      </c>
      <c r="C213" s="9">
        <v>87.1</v>
      </c>
      <c r="D213" s="9">
        <v>88.1</v>
      </c>
      <c r="E213" s="9"/>
      <c r="F213" s="9"/>
      <c r="G213" s="9"/>
      <c r="H213" s="9"/>
      <c r="I213" s="9"/>
      <c r="J213" s="9"/>
      <c r="K213" s="9"/>
      <c r="L213" s="9"/>
      <c r="M213" s="9"/>
      <c r="N213" s="9"/>
      <c r="O213" s="9"/>
      <c r="P213" s="9"/>
      <c r="Q213" s="9"/>
      <c r="R213" s="9"/>
      <c r="S213" s="9"/>
      <c r="T213" s="9"/>
      <c r="U213" s="9"/>
      <c r="V213" s="9"/>
      <c r="W213" s="9"/>
      <c r="X213" s="9"/>
      <c r="Y213" s="9"/>
      <c r="Z213" s="92"/>
      <c r="AA213" s="92"/>
    </row>
    <row r="214" spans="1:27">
      <c r="A214" s="6" t="s">
        <v>127</v>
      </c>
      <c r="B214" s="7"/>
      <c r="C214" s="7"/>
      <c r="D214" s="7"/>
      <c r="E214" s="7"/>
      <c r="F214" s="7"/>
      <c r="G214" s="7"/>
      <c r="H214" s="7"/>
      <c r="I214" s="7"/>
      <c r="J214" s="7"/>
      <c r="K214" s="7"/>
      <c r="L214" s="7"/>
      <c r="M214" s="7"/>
      <c r="N214" s="7"/>
      <c r="O214" s="7"/>
      <c r="P214" s="7"/>
      <c r="Q214" s="7"/>
      <c r="R214" s="7"/>
      <c r="S214" s="7"/>
      <c r="T214" s="7"/>
      <c r="U214" s="7"/>
      <c r="V214" s="7"/>
      <c r="W214" s="7"/>
      <c r="X214" s="7"/>
      <c r="Y214" s="7"/>
      <c r="Z214" s="93"/>
      <c r="AA214" s="93"/>
    </row>
    <row r="215" spans="1:27">
      <c r="A215" s="4" t="s">
        <v>0</v>
      </c>
      <c r="B215" s="5">
        <v>0</v>
      </c>
      <c r="C215" s="5">
        <v>0</v>
      </c>
      <c r="D215" s="5">
        <v>0</v>
      </c>
      <c r="E215" s="5"/>
      <c r="F215" s="5"/>
      <c r="G215" s="5"/>
      <c r="H215" s="5"/>
      <c r="I215" s="5"/>
      <c r="J215" s="5"/>
      <c r="K215" s="5"/>
      <c r="L215" s="5"/>
      <c r="M215" s="5"/>
      <c r="N215" s="5"/>
      <c r="O215" s="5"/>
      <c r="P215" s="5"/>
      <c r="Q215" s="5"/>
      <c r="R215" s="5"/>
      <c r="S215" s="5"/>
      <c r="T215" s="5"/>
      <c r="U215" s="5"/>
      <c r="V215" s="5"/>
      <c r="W215" s="5"/>
      <c r="X215" s="5"/>
      <c r="Y215" s="5"/>
    </row>
    <row r="216" spans="1:27">
      <c r="A216" s="4" t="s">
        <v>128</v>
      </c>
      <c r="B216" s="5">
        <v>9.3000000000000007</v>
      </c>
      <c r="C216" s="5">
        <v>49.3</v>
      </c>
      <c r="D216" s="5">
        <v>15.7</v>
      </c>
      <c r="E216" s="5"/>
      <c r="F216" s="5"/>
      <c r="G216" s="5"/>
      <c r="H216" s="5"/>
      <c r="I216" s="5"/>
      <c r="J216" s="5"/>
      <c r="K216" s="5"/>
      <c r="L216" s="5"/>
      <c r="M216" s="5"/>
      <c r="N216" s="5"/>
      <c r="O216" s="5"/>
      <c r="P216" s="5"/>
      <c r="Q216" s="5"/>
      <c r="R216" s="5"/>
      <c r="S216" s="5"/>
      <c r="T216" s="5"/>
      <c r="U216" s="5"/>
      <c r="V216" s="5"/>
      <c r="W216" s="5"/>
      <c r="X216" s="5"/>
      <c r="Y216" s="5"/>
    </row>
    <row r="217" spans="1:27">
      <c r="A217" s="4" t="s">
        <v>129</v>
      </c>
      <c r="B217" s="5">
        <v>-6.3</v>
      </c>
      <c r="C217" s="5">
        <v>-10.6</v>
      </c>
      <c r="D217" s="5">
        <v>-1.7</v>
      </c>
      <c r="E217" s="5"/>
      <c r="F217" s="5"/>
      <c r="G217" s="5"/>
      <c r="H217" s="5"/>
      <c r="I217" s="5"/>
      <c r="J217" s="5"/>
      <c r="K217" s="5"/>
      <c r="L217" s="5"/>
      <c r="M217" s="5"/>
      <c r="N217" s="5"/>
      <c r="O217" s="5"/>
      <c r="P217" s="5"/>
      <c r="Q217" s="5"/>
      <c r="R217" s="5"/>
      <c r="S217" s="5"/>
      <c r="T217" s="5"/>
      <c r="U217" s="5"/>
      <c r="V217" s="5"/>
      <c r="W217" s="5"/>
      <c r="X217" s="5"/>
      <c r="Y217" s="5"/>
    </row>
    <row r="218" spans="1:27">
      <c r="A218" s="4" t="s">
        <v>130</v>
      </c>
      <c r="B218" s="5">
        <v>-0.4</v>
      </c>
      <c r="C218" s="5">
        <v>-1.5</v>
      </c>
      <c r="D218" s="5">
        <v>-3.2</v>
      </c>
      <c r="E218" s="5"/>
      <c r="F218" s="5"/>
      <c r="G218" s="5"/>
      <c r="H218" s="5"/>
      <c r="I218" s="5"/>
      <c r="J218" s="5"/>
      <c r="K218" s="5"/>
      <c r="L218" s="5"/>
      <c r="M218" s="5"/>
      <c r="N218" s="5"/>
      <c r="O218" s="5"/>
      <c r="P218" s="5"/>
      <c r="Q218" s="5"/>
      <c r="R218" s="5"/>
      <c r="S218" s="5"/>
      <c r="T218" s="5"/>
      <c r="U218" s="5"/>
      <c r="V218" s="5"/>
      <c r="W218" s="5"/>
      <c r="X218" s="5"/>
      <c r="Y218" s="5"/>
    </row>
    <row r="219" spans="1:27" ht="15">
      <c r="A219" s="4" t="s">
        <v>196</v>
      </c>
      <c r="B219" s="5">
        <v>-7.1</v>
      </c>
      <c r="C219" s="5">
        <v>-6.5</v>
      </c>
      <c r="D219" s="5">
        <v>-7.7</v>
      </c>
      <c r="E219" s="5"/>
      <c r="F219" s="5"/>
      <c r="G219" s="5"/>
      <c r="H219" s="5"/>
      <c r="I219" s="5"/>
      <c r="J219" s="5"/>
      <c r="K219" s="5"/>
      <c r="L219" s="5"/>
      <c r="M219" s="5"/>
      <c r="N219" s="5"/>
      <c r="O219" s="5"/>
      <c r="P219" s="5"/>
      <c r="Q219" s="5"/>
      <c r="R219" s="5"/>
      <c r="S219" s="5"/>
      <c r="T219" s="5"/>
      <c r="U219" s="5"/>
      <c r="V219" s="5"/>
      <c r="W219" s="5"/>
      <c r="X219" s="5"/>
      <c r="Y219" s="5"/>
    </row>
    <row r="220" spans="1:27">
      <c r="A220" s="27" t="s">
        <v>27</v>
      </c>
      <c r="B220" s="9">
        <v>73.900000000000006</v>
      </c>
      <c r="C220" s="9">
        <v>117.8</v>
      </c>
      <c r="D220" s="9">
        <v>91.2</v>
      </c>
      <c r="E220" s="9"/>
      <c r="F220" s="9"/>
      <c r="G220" s="9"/>
      <c r="H220" s="9"/>
      <c r="I220" s="9"/>
      <c r="J220" s="9"/>
      <c r="K220" s="9"/>
      <c r="L220" s="9"/>
      <c r="M220" s="9"/>
      <c r="N220" s="9"/>
      <c r="O220" s="9"/>
      <c r="P220" s="9"/>
      <c r="Q220" s="9"/>
      <c r="R220" s="9"/>
      <c r="S220" s="9"/>
      <c r="T220" s="9"/>
      <c r="U220" s="9"/>
      <c r="V220" s="9"/>
      <c r="W220" s="9"/>
      <c r="X220" s="9"/>
      <c r="Y220" s="9"/>
    </row>
    <row r="221" spans="1:27">
      <c r="Z221" s="98"/>
      <c r="AA221" s="98"/>
    </row>
    <row r="222" spans="1:27">
      <c r="A222" s="17" t="s">
        <v>131</v>
      </c>
    </row>
    <row r="223" spans="1:27">
      <c r="A223" s="17" t="s">
        <v>132</v>
      </c>
      <c r="Z223" s="93"/>
      <c r="AA223" s="93"/>
    </row>
    <row r="224" spans="1:27">
      <c r="A224" s="17" t="s">
        <v>133</v>
      </c>
      <c r="Z224" s="92"/>
      <c r="AA224" s="92"/>
    </row>
    <row r="225" spans="1:27">
      <c r="A225" s="17" t="s">
        <v>134</v>
      </c>
      <c r="Z225" s="92"/>
      <c r="AA225" s="92"/>
    </row>
    <row r="226" spans="1:27">
      <c r="A226" s="17"/>
      <c r="Z226" s="92"/>
      <c r="AA226" s="92"/>
    </row>
    <row r="227" spans="1:27">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92"/>
      <c r="AA227" s="92"/>
    </row>
    <row r="228" spans="1:27">
      <c r="A228" s="18" t="s">
        <v>192</v>
      </c>
      <c r="B228" s="43" t="str">
        <f t="shared" ref="B228:V228" si="102">+B$34</f>
        <v>2011A</v>
      </c>
      <c r="C228" s="43" t="str">
        <f t="shared" si="102"/>
        <v>2012A</v>
      </c>
      <c r="D228" s="43" t="str">
        <f t="shared" si="102"/>
        <v>2013A</v>
      </c>
      <c r="E228" s="43" t="str">
        <f t="shared" si="102"/>
        <v>2014A</v>
      </c>
      <c r="F228" s="43" t="str">
        <f t="shared" si="102"/>
        <v>2015E</v>
      </c>
      <c r="G228" s="209"/>
      <c r="H228" s="209"/>
      <c r="I228" s="209"/>
      <c r="J228" s="209"/>
      <c r="K228" s="209"/>
      <c r="L228" s="209"/>
      <c r="M228" s="209"/>
      <c r="N228" s="43" t="str">
        <f t="shared" si="102"/>
        <v>2016E</v>
      </c>
      <c r="O228" s="43" t="str">
        <f t="shared" si="102"/>
        <v>2017E</v>
      </c>
      <c r="P228" s="43" t="str">
        <f t="shared" si="102"/>
        <v>2018E</v>
      </c>
      <c r="Q228" s="43" t="str">
        <f t="shared" si="102"/>
        <v>2019E</v>
      </c>
      <c r="R228" s="43" t="str">
        <f t="shared" si="102"/>
        <v>2020E</v>
      </c>
      <c r="S228" s="43" t="str">
        <f t="shared" si="102"/>
        <v>2021E</v>
      </c>
      <c r="T228" s="43" t="str">
        <f t="shared" si="102"/>
        <v>2022E</v>
      </c>
      <c r="U228" s="43" t="str">
        <f t="shared" si="102"/>
        <v>2023E</v>
      </c>
      <c r="V228" s="43" t="str">
        <f t="shared" si="102"/>
        <v>2024E</v>
      </c>
      <c r="W228" s="44"/>
      <c r="Z228" s="92"/>
      <c r="AA228" s="92"/>
    </row>
    <row r="229" spans="1:27">
      <c r="A229" s="27" t="s">
        <v>28</v>
      </c>
      <c r="B229" s="9">
        <v>78.400000000000006</v>
      </c>
      <c r="C229" s="9">
        <v>87.1</v>
      </c>
      <c r="D229" s="9">
        <v>88.1</v>
      </c>
      <c r="E229" s="9"/>
      <c r="F229" s="9"/>
      <c r="G229" s="9"/>
      <c r="H229" s="9"/>
      <c r="I229" s="9"/>
      <c r="J229" s="9"/>
      <c r="K229" s="9"/>
      <c r="L229" s="9"/>
      <c r="M229" s="9"/>
      <c r="N229" s="9"/>
      <c r="O229" s="9"/>
      <c r="P229" s="9"/>
      <c r="Q229" s="9"/>
      <c r="R229" s="9"/>
      <c r="S229" s="9"/>
      <c r="T229" s="9"/>
      <c r="U229" s="9"/>
      <c r="V229" s="9"/>
      <c r="W229" s="9"/>
      <c r="X229" s="9"/>
      <c r="Y229" s="9"/>
      <c r="Z229" s="92"/>
      <c r="AA229" s="92"/>
    </row>
    <row r="230" spans="1:27">
      <c r="A230" s="31" t="s">
        <v>135</v>
      </c>
      <c r="B230" s="5">
        <v>-0.5</v>
      </c>
      <c r="C230" s="5">
        <v>38</v>
      </c>
      <c r="D230" s="5">
        <v>0</v>
      </c>
      <c r="E230" s="5"/>
      <c r="F230" s="5"/>
      <c r="G230" s="5"/>
      <c r="H230" s="5"/>
      <c r="I230" s="5"/>
      <c r="J230" s="5"/>
      <c r="K230" s="5"/>
      <c r="L230" s="5"/>
      <c r="M230" s="5"/>
      <c r="N230" s="5"/>
      <c r="O230" s="5"/>
      <c r="P230" s="5"/>
      <c r="Q230" s="5"/>
      <c r="R230" s="5"/>
      <c r="S230" s="5"/>
      <c r="T230" s="5"/>
      <c r="U230" s="5"/>
      <c r="V230" s="5"/>
      <c r="W230" s="5"/>
      <c r="X230" s="5"/>
      <c r="Y230" s="5"/>
      <c r="Z230" s="92"/>
      <c r="AA230" s="92"/>
    </row>
    <row r="231" spans="1:27">
      <c r="A231" s="31" t="s">
        <v>136</v>
      </c>
      <c r="B231" s="5">
        <v>0.7</v>
      </c>
      <c r="C231" s="5">
        <v>0.4</v>
      </c>
      <c r="D231" s="5">
        <v>0.7</v>
      </c>
      <c r="E231" s="5"/>
      <c r="F231" s="5"/>
      <c r="G231" s="5"/>
      <c r="H231" s="5"/>
      <c r="I231" s="5"/>
      <c r="J231" s="5"/>
      <c r="K231" s="5"/>
      <c r="L231" s="5"/>
      <c r="M231" s="5"/>
      <c r="N231" s="5"/>
      <c r="O231" s="5"/>
      <c r="P231" s="5"/>
      <c r="Q231" s="5"/>
      <c r="R231" s="5"/>
      <c r="S231" s="5"/>
      <c r="T231" s="5"/>
      <c r="U231" s="5"/>
      <c r="V231" s="5"/>
      <c r="W231" s="5"/>
      <c r="X231" s="5"/>
      <c r="Y231" s="5"/>
      <c r="Z231" s="92"/>
      <c r="AA231" s="92"/>
    </row>
    <row r="232" spans="1:27">
      <c r="A232" s="31" t="s">
        <v>137</v>
      </c>
      <c r="B232" s="5">
        <v>-3.5</v>
      </c>
      <c r="C232" s="5">
        <v>-8.1</v>
      </c>
      <c r="D232" s="5">
        <v>10.3</v>
      </c>
      <c r="E232" s="5"/>
      <c r="F232" s="5"/>
      <c r="G232" s="5"/>
      <c r="H232" s="5"/>
      <c r="I232" s="5"/>
      <c r="J232" s="5"/>
      <c r="K232" s="5"/>
      <c r="L232" s="5"/>
      <c r="M232" s="5"/>
      <c r="N232" s="5"/>
      <c r="O232" s="5"/>
      <c r="P232" s="5"/>
      <c r="Q232" s="5"/>
      <c r="R232" s="5"/>
      <c r="S232" s="5"/>
      <c r="T232" s="5"/>
      <c r="U232" s="5"/>
      <c r="V232" s="5"/>
      <c r="W232" s="5"/>
      <c r="X232" s="5"/>
      <c r="Y232" s="5"/>
      <c r="Z232" s="92"/>
      <c r="AA232" s="92"/>
    </row>
    <row r="233" spans="1:27">
      <c r="A233" s="31" t="s">
        <v>53</v>
      </c>
      <c r="B233" s="5">
        <v>0.5</v>
      </c>
      <c r="C233" s="5">
        <v>0.8</v>
      </c>
      <c r="D233" s="5">
        <v>0.2</v>
      </c>
      <c r="E233" s="5"/>
      <c r="F233" s="5"/>
      <c r="G233" s="5"/>
      <c r="H233" s="5"/>
      <c r="I233" s="5"/>
      <c r="J233" s="5"/>
      <c r="K233" s="5"/>
      <c r="L233" s="5"/>
      <c r="M233" s="5"/>
      <c r="N233" s="5"/>
      <c r="O233" s="5"/>
      <c r="P233" s="5"/>
      <c r="Q233" s="5"/>
      <c r="R233" s="5"/>
      <c r="S233" s="5"/>
      <c r="T233" s="5"/>
      <c r="U233" s="5"/>
      <c r="V233" s="5"/>
      <c r="W233" s="5"/>
      <c r="X233" s="5"/>
      <c r="Y233" s="5"/>
      <c r="Z233" s="92"/>
      <c r="AA233" s="92"/>
    </row>
    <row r="234" spans="1:27">
      <c r="A234" s="31" t="s">
        <v>138</v>
      </c>
      <c r="B234" s="5">
        <v>-0.9</v>
      </c>
      <c r="C234" s="5">
        <v>-0.1</v>
      </c>
      <c r="D234" s="5">
        <v>0</v>
      </c>
      <c r="E234" s="5"/>
      <c r="F234" s="5"/>
      <c r="G234" s="5"/>
      <c r="H234" s="5"/>
      <c r="I234" s="5"/>
      <c r="J234" s="5"/>
      <c r="K234" s="5"/>
      <c r="L234" s="5"/>
      <c r="M234" s="5"/>
      <c r="N234" s="5"/>
      <c r="O234" s="5"/>
      <c r="P234" s="5"/>
      <c r="Q234" s="5"/>
      <c r="R234" s="5"/>
      <c r="S234" s="5"/>
      <c r="T234" s="5"/>
      <c r="U234" s="5"/>
      <c r="V234" s="5"/>
      <c r="W234" s="5"/>
      <c r="X234" s="5"/>
      <c r="Y234" s="5"/>
      <c r="Z234" s="93"/>
      <c r="AA234" s="93"/>
    </row>
    <row r="235" spans="1:27">
      <c r="A235" s="31" t="s">
        <v>139</v>
      </c>
      <c r="B235" s="5">
        <v>-0.2</v>
      </c>
      <c r="C235" s="5">
        <v>-0.4</v>
      </c>
      <c r="D235" s="5">
        <v>-1.7</v>
      </c>
      <c r="E235" s="5"/>
      <c r="F235" s="5"/>
      <c r="G235" s="5"/>
      <c r="H235" s="5"/>
      <c r="I235" s="5"/>
      <c r="J235" s="5"/>
      <c r="K235" s="5"/>
      <c r="L235" s="5"/>
      <c r="M235" s="5"/>
      <c r="N235" s="5"/>
      <c r="O235" s="5"/>
      <c r="P235" s="5"/>
      <c r="Q235" s="5"/>
      <c r="R235" s="5"/>
      <c r="S235" s="5"/>
      <c r="T235" s="5"/>
      <c r="U235" s="5"/>
      <c r="V235" s="5"/>
      <c r="W235" s="5"/>
      <c r="X235" s="5"/>
      <c r="Y235" s="5"/>
      <c r="Z235" s="103"/>
      <c r="AA235" s="103"/>
    </row>
    <row r="236" spans="1:27">
      <c r="A236" s="31" t="s">
        <v>140</v>
      </c>
      <c r="B236" s="5">
        <v>-2.6</v>
      </c>
      <c r="C236" s="5">
        <v>-5.4</v>
      </c>
      <c r="D236" s="5">
        <v>-3.8</v>
      </c>
      <c r="E236" s="5"/>
      <c r="F236" s="5"/>
      <c r="G236" s="5"/>
      <c r="H236" s="5"/>
      <c r="I236" s="5"/>
      <c r="J236" s="5"/>
      <c r="K236" s="5"/>
      <c r="L236" s="5"/>
      <c r="M236" s="5"/>
      <c r="N236" s="5"/>
      <c r="O236" s="5"/>
      <c r="P236" s="5"/>
      <c r="Q236" s="5"/>
      <c r="R236" s="5"/>
      <c r="S236" s="5"/>
      <c r="T236" s="5"/>
      <c r="U236" s="5"/>
      <c r="V236" s="5"/>
      <c r="W236" s="5"/>
      <c r="X236" s="5"/>
      <c r="Y236" s="5"/>
    </row>
    <row r="237" spans="1:27" ht="27.75">
      <c r="A237" s="31" t="s">
        <v>141</v>
      </c>
      <c r="B237" s="5">
        <v>6.3</v>
      </c>
      <c r="C237" s="5">
        <v>9.3000000000000007</v>
      </c>
      <c r="D237" s="5">
        <v>1.5</v>
      </c>
      <c r="E237" s="5"/>
      <c r="F237" s="5"/>
      <c r="G237" s="5"/>
      <c r="H237" s="5"/>
      <c r="I237" s="5"/>
      <c r="J237" s="5"/>
      <c r="K237" s="5"/>
      <c r="L237" s="5"/>
      <c r="M237" s="5"/>
      <c r="N237" s="5"/>
      <c r="O237" s="5"/>
      <c r="P237" s="5"/>
      <c r="Q237" s="5"/>
      <c r="R237" s="5"/>
      <c r="S237" s="5"/>
      <c r="T237" s="5"/>
      <c r="U237" s="5"/>
      <c r="V237" s="5"/>
      <c r="W237" s="5"/>
      <c r="X237" s="5"/>
      <c r="Y237" s="5"/>
    </row>
    <row r="238" spans="1:27">
      <c r="A238" s="31" t="s">
        <v>142</v>
      </c>
      <c r="B238" s="5">
        <v>-0.5</v>
      </c>
      <c r="C238" s="5">
        <v>-0.1</v>
      </c>
      <c r="D238" s="5">
        <v>-0.6</v>
      </c>
      <c r="E238" s="5"/>
      <c r="F238" s="5"/>
      <c r="G238" s="5"/>
      <c r="H238" s="5"/>
      <c r="I238" s="5"/>
      <c r="J238" s="5"/>
      <c r="K238" s="5"/>
      <c r="L238" s="5"/>
      <c r="M238" s="5"/>
      <c r="N238" s="5"/>
      <c r="O238" s="5"/>
      <c r="P238" s="5"/>
      <c r="Q238" s="5"/>
      <c r="R238" s="5"/>
      <c r="S238" s="5"/>
      <c r="T238" s="5"/>
      <c r="U238" s="5"/>
      <c r="V238" s="5"/>
      <c r="W238" s="5"/>
      <c r="X238" s="5"/>
      <c r="Y238" s="5"/>
    </row>
    <row r="239" spans="1:27" ht="15">
      <c r="A239" s="31" t="s">
        <v>211</v>
      </c>
      <c r="B239" s="5">
        <v>-3.8</v>
      </c>
      <c r="C239" s="5">
        <v>-3.7</v>
      </c>
      <c r="D239" s="5">
        <v>-3.5</v>
      </c>
      <c r="E239" s="5"/>
      <c r="F239" s="5"/>
      <c r="G239" s="5"/>
      <c r="H239" s="5"/>
      <c r="I239" s="5"/>
      <c r="J239" s="5"/>
      <c r="K239" s="5"/>
      <c r="L239" s="5"/>
      <c r="M239" s="5"/>
      <c r="N239" s="5"/>
      <c r="O239" s="5"/>
      <c r="P239" s="5"/>
      <c r="Q239" s="5"/>
      <c r="R239" s="5"/>
      <c r="S239" s="5"/>
      <c r="T239" s="5"/>
      <c r="U239" s="5"/>
      <c r="V239" s="5"/>
      <c r="W239" s="5"/>
      <c r="X239" s="5"/>
      <c r="Y239" s="5"/>
      <c r="Z239" s="97"/>
      <c r="AA239" s="97"/>
    </row>
    <row r="240" spans="1:27">
      <c r="A240" s="27" t="s">
        <v>27</v>
      </c>
      <c r="B240" s="9">
        <v>73.900000000000006</v>
      </c>
      <c r="C240" s="9">
        <v>117.8</v>
      </c>
      <c r="D240" s="9">
        <v>91.2</v>
      </c>
      <c r="E240" s="9"/>
      <c r="F240" s="9"/>
      <c r="G240" s="9"/>
      <c r="H240" s="9"/>
      <c r="I240" s="9"/>
      <c r="J240" s="9"/>
      <c r="K240" s="9"/>
      <c r="L240" s="9"/>
      <c r="M240" s="9"/>
      <c r="N240" s="9"/>
      <c r="O240" s="9"/>
      <c r="P240" s="9"/>
      <c r="Q240" s="9"/>
      <c r="R240" s="9"/>
      <c r="S240" s="9"/>
      <c r="T240" s="9"/>
      <c r="U240" s="9"/>
      <c r="V240" s="9"/>
      <c r="W240" s="9"/>
      <c r="X240" s="9"/>
      <c r="Y240" s="9"/>
      <c r="Z240" s="97"/>
      <c r="AA240" s="97"/>
    </row>
    <row r="241" spans="1:27">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97"/>
      <c r="AA241" s="97"/>
    </row>
    <row r="242" spans="1:27">
      <c r="A242" s="17" t="s">
        <v>185</v>
      </c>
      <c r="Z242" s="97"/>
      <c r="AA242" s="97"/>
    </row>
    <row r="243" spans="1:27">
      <c r="Z243" s="97"/>
      <c r="AA243" s="97"/>
    </row>
    <row r="244" spans="1:27">
      <c r="A244" s="18" t="s">
        <v>36</v>
      </c>
      <c r="B244" s="43" t="str">
        <f t="shared" ref="B244:V244" si="103">+B$34</f>
        <v>2011A</v>
      </c>
      <c r="C244" s="43" t="str">
        <f t="shared" si="103"/>
        <v>2012A</v>
      </c>
      <c r="D244" s="43" t="str">
        <f t="shared" si="103"/>
        <v>2013A</v>
      </c>
      <c r="E244" s="43" t="str">
        <f t="shared" si="103"/>
        <v>2014A</v>
      </c>
      <c r="F244" s="43" t="str">
        <f t="shared" si="103"/>
        <v>2015E</v>
      </c>
      <c r="G244" s="209"/>
      <c r="H244" s="209"/>
      <c r="I244" s="209"/>
      <c r="J244" s="209"/>
      <c r="K244" s="209"/>
      <c r="L244" s="209"/>
      <c r="M244" s="209"/>
      <c r="N244" s="43" t="str">
        <f t="shared" si="103"/>
        <v>2016E</v>
      </c>
      <c r="O244" s="43" t="str">
        <f t="shared" si="103"/>
        <v>2017E</v>
      </c>
      <c r="P244" s="43" t="str">
        <f t="shared" si="103"/>
        <v>2018E</v>
      </c>
      <c r="Q244" s="43" t="str">
        <f t="shared" si="103"/>
        <v>2019E</v>
      </c>
      <c r="R244" s="43" t="str">
        <f t="shared" si="103"/>
        <v>2020E</v>
      </c>
      <c r="S244" s="43" t="str">
        <f t="shared" si="103"/>
        <v>2021E</v>
      </c>
      <c r="T244" s="43" t="str">
        <f t="shared" si="103"/>
        <v>2022E</v>
      </c>
      <c r="U244" s="43" t="str">
        <f t="shared" si="103"/>
        <v>2023E</v>
      </c>
      <c r="V244" s="43" t="str">
        <f t="shared" si="103"/>
        <v>2024E</v>
      </c>
      <c r="W244" s="44"/>
      <c r="Z244" s="97"/>
      <c r="AA244" s="97"/>
    </row>
    <row r="245" spans="1:27">
      <c r="A245" s="4" t="s">
        <v>109</v>
      </c>
      <c r="B245" s="11">
        <v>1963</v>
      </c>
      <c r="C245" s="11">
        <v>1856</v>
      </c>
      <c r="D245" s="11">
        <v>1749</v>
      </c>
      <c r="E245" s="11">
        <v>1697</v>
      </c>
      <c r="F245" s="11">
        <f t="shared" ref="F245:V245" si="104">+E245+F277</f>
        <v>1687</v>
      </c>
      <c r="G245" s="11"/>
      <c r="H245" s="11">
        <v>1152</v>
      </c>
      <c r="I245" s="11"/>
      <c r="J245" s="11">
        <v>787</v>
      </c>
      <c r="K245" s="11"/>
      <c r="L245" s="11">
        <f>+J245+H245+F245</f>
        <v>3626</v>
      </c>
      <c r="M245" s="11"/>
      <c r="N245" s="11">
        <f>+L245+N277</f>
        <v>3616</v>
      </c>
      <c r="O245" s="11">
        <f t="shared" si="104"/>
        <v>3606</v>
      </c>
      <c r="P245" s="11">
        <f t="shared" si="104"/>
        <v>3596</v>
      </c>
      <c r="Q245" s="11">
        <f t="shared" si="104"/>
        <v>3586</v>
      </c>
      <c r="R245" s="11">
        <f t="shared" si="104"/>
        <v>3576</v>
      </c>
      <c r="S245" s="11">
        <f t="shared" si="104"/>
        <v>3566</v>
      </c>
      <c r="T245" s="11">
        <f t="shared" si="104"/>
        <v>3556</v>
      </c>
      <c r="U245" s="11">
        <f t="shared" si="104"/>
        <v>3546</v>
      </c>
      <c r="V245" s="11">
        <f t="shared" si="104"/>
        <v>3536</v>
      </c>
      <c r="W245" s="11"/>
      <c r="X245" s="11"/>
      <c r="Y245" s="11"/>
      <c r="Z245" s="97"/>
      <c r="AA245" s="97"/>
    </row>
    <row r="246" spans="1:27">
      <c r="A246" s="4" t="s">
        <v>110</v>
      </c>
      <c r="B246" s="11">
        <v>1273</v>
      </c>
      <c r="C246" s="11">
        <v>1250</v>
      </c>
      <c r="D246" s="11">
        <v>1197</v>
      </c>
      <c r="E246" s="11">
        <f t="shared" ref="E246:V246" si="105">+E245*E252</f>
        <v>1195.3516638078904</v>
      </c>
      <c r="F246" s="11">
        <f t="shared" si="105"/>
        <v>1238.9177530017155</v>
      </c>
      <c r="G246" s="11"/>
      <c r="H246" s="11"/>
      <c r="I246" s="11"/>
      <c r="J246" s="11"/>
      <c r="K246" s="11"/>
      <c r="L246" s="11"/>
      <c r="M246" s="11"/>
      <c r="N246" s="11">
        <f>+N245*N252</f>
        <v>2764.0381475128647</v>
      </c>
      <c r="O246" s="11">
        <f t="shared" si="105"/>
        <v>2864.57423670669</v>
      </c>
      <c r="P246" s="11">
        <f t="shared" si="105"/>
        <v>2964.510325900515</v>
      </c>
      <c r="Q246" s="11">
        <f t="shared" si="105"/>
        <v>3027.9864150943404</v>
      </c>
      <c r="R246" s="11">
        <f t="shared" si="105"/>
        <v>3091.0625042881652</v>
      </c>
      <c r="S246" s="11">
        <f t="shared" si="105"/>
        <v>3153.7385934819904</v>
      </c>
      <c r="T246" s="11">
        <f t="shared" si="105"/>
        <v>3216.0146826758155</v>
      </c>
      <c r="U246" s="11">
        <f t="shared" si="105"/>
        <v>3277.8907718696405</v>
      </c>
      <c r="V246" s="11">
        <f t="shared" si="105"/>
        <v>3339.3668610634659</v>
      </c>
      <c r="W246" s="11"/>
      <c r="X246" s="11"/>
      <c r="Y246" s="11"/>
      <c r="Z246" s="97"/>
      <c r="AA246" s="97"/>
    </row>
    <row r="247" spans="1:27">
      <c r="A247" s="4" t="s">
        <v>111</v>
      </c>
      <c r="B247" s="11">
        <v>690</v>
      </c>
      <c r="C247" s="11">
        <v>605</v>
      </c>
      <c r="D247" s="11">
        <v>552</v>
      </c>
      <c r="E247" s="11">
        <f t="shared" ref="E247:V247" si="106">+E245-E246</f>
        <v>501.64833619210958</v>
      </c>
      <c r="F247" s="11">
        <f t="shared" si="106"/>
        <v>448.08224699828452</v>
      </c>
      <c r="G247" s="11"/>
      <c r="H247" s="11"/>
      <c r="I247" s="11"/>
      <c r="J247" s="11"/>
      <c r="K247" s="11"/>
      <c r="L247" s="11"/>
      <c r="M247" s="11"/>
      <c r="N247" s="11">
        <f>+N245-N246</f>
        <v>851.96185248713527</v>
      </c>
      <c r="O247" s="11">
        <f t="shared" si="106"/>
        <v>741.42576329330996</v>
      </c>
      <c r="P247" s="11">
        <f t="shared" si="106"/>
        <v>631.489674099485</v>
      </c>
      <c r="Q247" s="11">
        <f t="shared" si="106"/>
        <v>558.01358490565963</v>
      </c>
      <c r="R247" s="11">
        <f t="shared" si="106"/>
        <v>484.9374957118348</v>
      </c>
      <c r="S247" s="11">
        <f t="shared" si="106"/>
        <v>412.26140651800961</v>
      </c>
      <c r="T247" s="11">
        <f t="shared" si="106"/>
        <v>339.98531732418451</v>
      </c>
      <c r="U247" s="11">
        <f t="shared" si="106"/>
        <v>268.1092281303595</v>
      </c>
      <c r="V247" s="11">
        <f t="shared" si="106"/>
        <v>196.63313893653412</v>
      </c>
      <c r="W247" s="11"/>
      <c r="X247" s="11"/>
      <c r="Y247" s="11"/>
      <c r="Z247" s="97"/>
      <c r="AA247" s="97"/>
    </row>
    <row r="248" spans="1:27">
      <c r="A248" s="4" t="s">
        <v>112</v>
      </c>
      <c r="B248" s="11">
        <v>928</v>
      </c>
      <c r="C248" s="11">
        <v>1016</v>
      </c>
      <c r="D248" s="11">
        <v>1040</v>
      </c>
      <c r="E248" s="11">
        <f t="shared" ref="E248:V248" si="107">+E249+E250</f>
        <v>1077.5328829492628</v>
      </c>
      <c r="F248" s="11">
        <f t="shared" si="107"/>
        <v>1139.0791077353128</v>
      </c>
      <c r="G248" s="11"/>
      <c r="H248" s="11">
        <v>634</v>
      </c>
      <c r="I248" s="11"/>
      <c r="J248" s="11">
        <v>555</v>
      </c>
      <c r="K248" s="11"/>
      <c r="L248" s="11">
        <f>+J248+H248+F248</f>
        <v>2328.0791077353128</v>
      </c>
      <c r="M248" s="11"/>
      <c r="N248" s="11">
        <f>+N249+N250</f>
        <v>2602.7868654791582</v>
      </c>
      <c r="O248" s="11">
        <f t="shared" si="107"/>
        <v>2756.3708727502631</v>
      </c>
      <c r="P248" s="11">
        <f t="shared" si="107"/>
        <v>2801.1831330452319</v>
      </c>
      <c r="Q248" s="11">
        <f t="shared" si="107"/>
        <v>2828.2669020903372</v>
      </c>
      <c r="R248" s="11">
        <f t="shared" si="107"/>
        <v>2855.1561731513516</v>
      </c>
      <c r="S248" s="11">
        <f t="shared" si="107"/>
        <v>2881.8509462282755</v>
      </c>
      <c r="T248" s="11">
        <f t="shared" si="107"/>
        <v>2908.3512213211088</v>
      </c>
      <c r="U248" s="11">
        <f t="shared" si="107"/>
        <v>2934.6569984298512</v>
      </c>
      <c r="V248" s="11">
        <f t="shared" si="107"/>
        <v>2960.7682775545031</v>
      </c>
      <c r="W248" s="11"/>
      <c r="X248" s="11"/>
      <c r="Y248" s="11"/>
      <c r="Z248" s="104"/>
      <c r="AA248" s="104"/>
    </row>
    <row r="249" spans="1:27">
      <c r="A249" s="4" t="s">
        <v>113</v>
      </c>
      <c r="B249" s="11">
        <v>789</v>
      </c>
      <c r="C249" s="11">
        <v>881</v>
      </c>
      <c r="D249" s="11">
        <v>891</v>
      </c>
      <c r="E249" s="11">
        <v>933</v>
      </c>
      <c r="F249" s="11">
        <f t="shared" ref="F249:V250" si="108">+F258*F246</f>
        <v>996.53700162498899</v>
      </c>
      <c r="G249" s="11"/>
      <c r="H249" s="11">
        <f>+H248</f>
        <v>634</v>
      </c>
      <c r="I249" s="11"/>
      <c r="J249" s="11">
        <f>+J248</f>
        <v>555</v>
      </c>
      <c r="K249" s="11"/>
      <c r="L249" s="11">
        <f>+J249+H249+F249</f>
        <v>2185.537001624989</v>
      </c>
      <c r="M249" s="11"/>
      <c r="N249" s="11">
        <f>+N258*N246</f>
        <v>2306.2053626278393</v>
      </c>
      <c r="O249" s="11">
        <f t="shared" si="108"/>
        <v>2476.0259718180537</v>
      </c>
      <c r="P249" s="11">
        <f t="shared" si="108"/>
        <v>2562.4068200415281</v>
      </c>
      <c r="Q249" s="11">
        <f t="shared" si="108"/>
        <v>2617.2730697687625</v>
      </c>
      <c r="R249" s="11">
        <f t="shared" si="108"/>
        <v>2671.7935751350942</v>
      </c>
      <c r="S249" s="11">
        <f t="shared" si="108"/>
        <v>2725.9683361405237</v>
      </c>
      <c r="T249" s="11">
        <f t="shared" si="108"/>
        <v>2779.7973527850513</v>
      </c>
      <c r="U249" s="11">
        <f t="shared" si="108"/>
        <v>2833.2806250686763</v>
      </c>
      <c r="V249" s="11">
        <f t="shared" si="108"/>
        <v>2886.418152991399</v>
      </c>
      <c r="W249" s="11"/>
      <c r="X249" s="11"/>
      <c r="Y249" s="11"/>
      <c r="Z249" s="104"/>
      <c r="AA249" s="104"/>
    </row>
    <row r="250" spans="1:27">
      <c r="A250" s="4" t="s">
        <v>114</v>
      </c>
      <c r="B250" s="11">
        <v>139</v>
      </c>
      <c r="C250" s="11">
        <v>135</v>
      </c>
      <c r="D250" s="11">
        <v>148</v>
      </c>
      <c r="E250" s="11">
        <f>+E259*E247</f>
        <v>144.5328829492629</v>
      </c>
      <c r="F250" s="11">
        <f t="shared" si="108"/>
        <v>142.54210611032386</v>
      </c>
      <c r="G250" s="11"/>
      <c r="H250" s="11"/>
      <c r="I250" s="11"/>
      <c r="J250" s="11"/>
      <c r="K250" s="11"/>
      <c r="L250" s="11"/>
      <c r="M250" s="11"/>
      <c r="N250" s="11">
        <f>+N259*N247</f>
        <v>296.5815028513187</v>
      </c>
      <c r="O250" s="11">
        <f t="shared" si="108"/>
        <v>280.34490093220955</v>
      </c>
      <c r="P250" s="11">
        <f t="shared" si="108"/>
        <v>238.77631300370388</v>
      </c>
      <c r="Q250" s="11">
        <f t="shared" si="108"/>
        <v>210.99383232157481</v>
      </c>
      <c r="R250" s="11">
        <f t="shared" si="108"/>
        <v>183.36259801625758</v>
      </c>
      <c r="S250" s="11">
        <f t="shared" si="108"/>
        <v>155.88261008775177</v>
      </c>
      <c r="T250" s="11">
        <f t="shared" si="108"/>
        <v>128.55386853605762</v>
      </c>
      <c r="U250" s="11">
        <f t="shared" si="108"/>
        <v>101.37637336117508</v>
      </c>
      <c r="V250" s="11">
        <f t="shared" si="108"/>
        <v>74.350124563104004</v>
      </c>
      <c r="W250" s="11"/>
      <c r="X250" s="11"/>
      <c r="Y250" s="11"/>
      <c r="Z250" s="104"/>
      <c r="AA250" s="104"/>
    </row>
    <row r="251" spans="1:27">
      <c r="B251" s="38"/>
      <c r="C251" s="38"/>
      <c r="D251" s="38"/>
      <c r="E251" s="11"/>
      <c r="F251" s="11"/>
      <c r="G251" s="11"/>
      <c r="H251" s="11"/>
      <c r="I251" s="11"/>
      <c r="J251" s="11"/>
      <c r="K251" s="11"/>
      <c r="L251" s="11"/>
      <c r="M251" s="11"/>
      <c r="N251" s="11"/>
      <c r="O251" s="11"/>
      <c r="P251" s="11"/>
      <c r="Q251" s="11"/>
      <c r="R251" s="11"/>
      <c r="S251" s="11"/>
      <c r="T251" s="11"/>
      <c r="U251" s="11"/>
      <c r="V251" s="11"/>
      <c r="W251" s="11"/>
      <c r="X251" s="11"/>
      <c r="Y251" s="11"/>
      <c r="Z251" s="104"/>
      <c r="AA251" s="104"/>
    </row>
    <row r="252" spans="1:27">
      <c r="A252" s="4" t="s">
        <v>224</v>
      </c>
      <c r="B252" s="38">
        <f>+B246/B245</f>
        <v>0.64849719816607232</v>
      </c>
      <c r="C252" s="38">
        <f>+C246/C245</f>
        <v>0.67349137931034486</v>
      </c>
      <c r="D252" s="38">
        <f>+D246/D245</f>
        <v>0.68439108061749576</v>
      </c>
      <c r="E252" s="46">
        <f>+D252+2%</f>
        <v>0.70439108061749578</v>
      </c>
      <c r="F252" s="46">
        <f>+E252+3%</f>
        <v>0.73439108061749581</v>
      </c>
      <c r="G252" s="46"/>
      <c r="H252" s="46"/>
      <c r="I252" s="46"/>
      <c r="J252" s="46"/>
      <c r="K252" s="46"/>
      <c r="L252" s="46"/>
      <c r="M252" s="46"/>
      <c r="N252" s="46">
        <f>+F252+3%</f>
        <v>0.76439108061749583</v>
      </c>
      <c r="O252" s="46">
        <f>+N252+3%</f>
        <v>0.79439108061749586</v>
      </c>
      <c r="P252" s="46">
        <f>+O252+3%</f>
        <v>0.82439108061749589</v>
      </c>
      <c r="Q252" s="46">
        <f t="shared" ref="Q252:V252" si="109">+P252+2%</f>
        <v>0.8443910806174959</v>
      </c>
      <c r="R252" s="46">
        <f t="shared" si="109"/>
        <v>0.86439108061749592</v>
      </c>
      <c r="S252" s="46">
        <f t="shared" si="109"/>
        <v>0.88439108061749594</v>
      </c>
      <c r="T252" s="46">
        <f t="shared" si="109"/>
        <v>0.90439108061749596</v>
      </c>
      <c r="U252" s="46">
        <f t="shared" si="109"/>
        <v>0.92439108061749597</v>
      </c>
      <c r="V252" s="46">
        <f t="shared" si="109"/>
        <v>0.94439108061749599</v>
      </c>
      <c r="W252" s="11"/>
      <c r="X252" s="11"/>
      <c r="Y252" s="11"/>
      <c r="Z252" s="104"/>
      <c r="AA252" s="104"/>
    </row>
    <row r="253" spans="1:27">
      <c r="A253" s="4" t="s">
        <v>225</v>
      </c>
      <c r="B253" s="38">
        <f>+B247/B245</f>
        <v>0.35150280183392768</v>
      </c>
      <c r="C253" s="38">
        <f>+C247/C245</f>
        <v>0.32596982758620691</v>
      </c>
      <c r="D253" s="38">
        <f>+D247/D245</f>
        <v>0.31560891938250429</v>
      </c>
      <c r="E253" s="40">
        <f t="shared" ref="E253:V253" si="110">1-E252</f>
        <v>0.29560891938250422</v>
      </c>
      <c r="F253" s="40">
        <f>1-F252</f>
        <v>0.26560891938250419</v>
      </c>
      <c r="G253" s="40"/>
      <c r="H253" s="40"/>
      <c r="I253" s="40"/>
      <c r="J253" s="40"/>
      <c r="K253" s="40"/>
      <c r="L253" s="40"/>
      <c r="M253" s="40"/>
      <c r="N253" s="40">
        <f>1-N252</f>
        <v>0.23560891938250417</v>
      </c>
      <c r="O253" s="40">
        <f t="shared" si="110"/>
        <v>0.20560891938250414</v>
      </c>
      <c r="P253" s="40">
        <f t="shared" si="110"/>
        <v>0.17560891938250411</v>
      </c>
      <c r="Q253" s="40">
        <f t="shared" si="110"/>
        <v>0.1556089193825041</v>
      </c>
      <c r="R253" s="40">
        <f t="shared" si="110"/>
        <v>0.13560891938250408</v>
      </c>
      <c r="S253" s="40">
        <f t="shared" si="110"/>
        <v>0.11560891938250406</v>
      </c>
      <c r="T253" s="40">
        <f t="shared" si="110"/>
        <v>9.5608919382504043E-2</v>
      </c>
      <c r="U253" s="40">
        <f t="shared" si="110"/>
        <v>7.5608919382504025E-2</v>
      </c>
      <c r="V253" s="40">
        <f t="shared" si="110"/>
        <v>5.5608919382504007E-2</v>
      </c>
      <c r="W253" s="11"/>
      <c r="X253" s="11"/>
      <c r="Y253" s="11"/>
      <c r="Z253" s="104"/>
      <c r="AA253" s="104"/>
    </row>
    <row r="254" spans="1:27">
      <c r="A254" s="4" t="s">
        <v>59</v>
      </c>
      <c r="B254" s="35">
        <f t="shared" ref="B254:V254" si="111">+B249/B245</f>
        <v>0.40193581253183902</v>
      </c>
      <c r="C254" s="35">
        <f t="shared" si="111"/>
        <v>0.47467672413793105</v>
      </c>
      <c r="D254" s="35">
        <f t="shared" si="111"/>
        <v>0.50943396226415094</v>
      </c>
      <c r="E254" s="35">
        <f t="shared" si="111"/>
        <v>0.5497937536829699</v>
      </c>
      <c r="F254" s="35">
        <f>+F249/F245</f>
        <v>0.5907154722139828</v>
      </c>
      <c r="G254" s="35"/>
      <c r="H254" s="35">
        <f>+H249/H245</f>
        <v>0.55034722222222221</v>
      </c>
      <c r="I254" s="35"/>
      <c r="J254" s="35">
        <f>+J249/J245</f>
        <v>0.70520965692503179</v>
      </c>
      <c r="K254" s="35"/>
      <c r="L254" s="35">
        <f>+L249/L245</f>
        <v>0.60274048583149176</v>
      </c>
      <c r="M254" s="35"/>
      <c r="N254" s="35">
        <f>+N249/N245</f>
        <v>0.63777803170017677</v>
      </c>
      <c r="O254" s="35">
        <f t="shared" si="111"/>
        <v>0.686640591186371</v>
      </c>
      <c r="P254" s="35">
        <f t="shared" si="111"/>
        <v>0.71257141825404013</v>
      </c>
      <c r="Q254" s="35">
        <f t="shared" si="111"/>
        <v>0.72985863629915293</v>
      </c>
      <c r="R254" s="35">
        <f t="shared" si="111"/>
        <v>0.74714585434426573</v>
      </c>
      <c r="S254" s="35">
        <f t="shared" si="111"/>
        <v>0.76443307238937852</v>
      </c>
      <c r="T254" s="35">
        <f t="shared" si="111"/>
        <v>0.78172029043449132</v>
      </c>
      <c r="U254" s="35">
        <f t="shared" si="111"/>
        <v>0.79900750847960411</v>
      </c>
      <c r="V254" s="35">
        <f t="shared" si="111"/>
        <v>0.81629472652471691</v>
      </c>
      <c r="W254" s="33"/>
      <c r="X254" s="33"/>
      <c r="Y254" s="33"/>
      <c r="Z254" s="104"/>
      <c r="AA254" s="104"/>
    </row>
    <row r="255" spans="1:27">
      <c r="A255" s="4" t="s">
        <v>60</v>
      </c>
      <c r="B255" s="35">
        <f t="shared" ref="B255:V255" si="112">+B250/B245</f>
        <v>7.0809984717269486E-2</v>
      </c>
      <c r="C255" s="35">
        <f t="shared" si="112"/>
        <v>7.2737068965517238E-2</v>
      </c>
      <c r="D255" s="35">
        <f t="shared" si="112"/>
        <v>8.4619782732990284E-2</v>
      </c>
      <c r="E255" s="35">
        <f t="shared" si="112"/>
        <v>8.5169642280060631E-2</v>
      </c>
      <c r="F255" s="35">
        <f>+F250/F245</f>
        <v>8.4494431600666192E-2</v>
      </c>
      <c r="G255" s="35"/>
      <c r="H255" s="35"/>
      <c r="I255" s="35"/>
      <c r="J255" s="35"/>
      <c r="K255" s="35"/>
      <c r="L255" s="35"/>
      <c r="M255" s="35"/>
      <c r="N255" s="35">
        <f>+N250/N245</f>
        <v>8.2019220921271771E-2</v>
      </c>
      <c r="O255" s="35">
        <f t="shared" si="112"/>
        <v>7.7744010241877298E-2</v>
      </c>
      <c r="P255" s="35">
        <f t="shared" si="112"/>
        <v>6.6400531981007746E-2</v>
      </c>
      <c r="Q255" s="35">
        <f t="shared" si="112"/>
        <v>5.8838213140428003E-2</v>
      </c>
      <c r="R255" s="35">
        <f t="shared" si="112"/>
        <v>5.1275894299848315E-2</v>
      </c>
      <c r="S255" s="35">
        <f t="shared" si="112"/>
        <v>4.3713575459268586E-2</v>
      </c>
      <c r="T255" s="35">
        <f t="shared" si="112"/>
        <v>3.6151256618688871E-2</v>
      </c>
      <c r="U255" s="35">
        <f t="shared" si="112"/>
        <v>2.8588937778109162E-2</v>
      </c>
      <c r="V255" s="35">
        <f t="shared" si="112"/>
        <v>2.1026618937529412E-2</v>
      </c>
      <c r="W255" s="33"/>
      <c r="X255" s="33"/>
      <c r="Y255" s="33"/>
      <c r="Z255" s="105"/>
      <c r="AA255" s="105"/>
    </row>
    <row r="256" spans="1:27">
      <c r="A256" s="4" t="s">
        <v>61</v>
      </c>
      <c r="B256" s="35">
        <f t="shared" ref="B256:V256" si="113">+(B246-B249)/B245</f>
        <v>0.24656138563423333</v>
      </c>
      <c r="C256" s="35">
        <f t="shared" si="113"/>
        <v>0.19881465517241378</v>
      </c>
      <c r="D256" s="35">
        <f t="shared" si="113"/>
        <v>0.17495711835334476</v>
      </c>
      <c r="E256" s="35">
        <f t="shared" si="113"/>
        <v>0.15459732693452588</v>
      </c>
      <c r="F256" s="35">
        <f>+(F246-F249)/F245</f>
        <v>0.14367560840351304</v>
      </c>
      <c r="G256" s="35"/>
      <c r="H256" s="35"/>
      <c r="I256" s="35"/>
      <c r="J256" s="35"/>
      <c r="K256" s="35"/>
      <c r="L256" s="35"/>
      <c r="M256" s="35"/>
      <c r="N256" s="35">
        <f>+(N246-N249)/N245</f>
        <v>0.12661304891731898</v>
      </c>
      <c r="O256" s="35">
        <f t="shared" si="113"/>
        <v>0.10775048943112489</v>
      </c>
      <c r="P256" s="35">
        <f t="shared" si="113"/>
        <v>0.11181966236345575</v>
      </c>
      <c r="Q256" s="35">
        <f t="shared" si="113"/>
        <v>0.11453244431834296</v>
      </c>
      <c r="R256" s="35">
        <f t="shared" si="113"/>
        <v>0.11724522627323014</v>
      </c>
      <c r="S256" s="35">
        <f t="shared" si="113"/>
        <v>0.11995800822811742</v>
      </c>
      <c r="T256" s="35">
        <f t="shared" si="113"/>
        <v>0.12267079018300454</v>
      </c>
      <c r="U256" s="35">
        <f t="shared" si="113"/>
        <v>0.12538357213789178</v>
      </c>
      <c r="V256" s="35">
        <f t="shared" si="113"/>
        <v>0.12809635409277909</v>
      </c>
      <c r="W256" s="33"/>
      <c r="X256" s="33"/>
      <c r="Y256" s="33"/>
    </row>
    <row r="257" spans="1:27">
      <c r="A257" s="4" t="s">
        <v>62</v>
      </c>
      <c r="B257" s="35">
        <f t="shared" ref="B257:V257" si="114">+(B247-B250)/B245</f>
        <v>0.28069281711665817</v>
      </c>
      <c r="C257" s="35">
        <f t="shared" si="114"/>
        <v>0.25323275862068967</v>
      </c>
      <c r="D257" s="35">
        <f t="shared" si="114"/>
        <v>0.23098913664951401</v>
      </c>
      <c r="E257" s="35">
        <f t="shared" si="114"/>
        <v>0.21043927710244353</v>
      </c>
      <c r="F257" s="35">
        <f>+(F247-F250)/F245</f>
        <v>0.18111448778183797</v>
      </c>
      <c r="G257" s="35"/>
      <c r="H257" s="35"/>
      <c r="I257" s="35"/>
      <c r="J257" s="35"/>
      <c r="K257" s="35"/>
      <c r="L257" s="35"/>
      <c r="M257" s="35"/>
      <c r="N257" s="35">
        <f>+(N247-N250)/N245</f>
        <v>0.15358969846123247</v>
      </c>
      <c r="O257" s="35">
        <f t="shared" si="114"/>
        <v>0.12786490914062684</v>
      </c>
      <c r="P257" s="35">
        <f t="shared" si="114"/>
        <v>0.10920838740149642</v>
      </c>
      <c r="Q257" s="35">
        <f t="shared" si="114"/>
        <v>9.6770706242076079E-2</v>
      </c>
      <c r="R257" s="35">
        <f t="shared" si="114"/>
        <v>8.4333025082655819E-2</v>
      </c>
      <c r="S257" s="35">
        <f t="shared" si="114"/>
        <v>7.1895343923235502E-2</v>
      </c>
      <c r="T257" s="35">
        <f t="shared" si="114"/>
        <v>5.9457662763815207E-2</v>
      </c>
      <c r="U257" s="35">
        <f t="shared" si="114"/>
        <v>4.7019981604394932E-2</v>
      </c>
      <c r="V257" s="35">
        <f t="shared" si="114"/>
        <v>3.4582300444974581E-2</v>
      </c>
      <c r="W257" s="33"/>
      <c r="X257" s="33"/>
      <c r="Y257" s="33"/>
      <c r="Z257" s="98"/>
      <c r="AA257" s="98"/>
    </row>
    <row r="258" spans="1:27">
      <c r="A258" s="4" t="s">
        <v>226</v>
      </c>
      <c r="B258" s="35">
        <f t="shared" ref="B258:D259" si="115">+B249/B246</f>
        <v>0.61979575805184606</v>
      </c>
      <c r="C258" s="35">
        <f t="shared" si="115"/>
        <v>0.70479999999999998</v>
      </c>
      <c r="D258" s="35">
        <f t="shared" si="115"/>
        <v>0.74436090225563911</v>
      </c>
      <c r="E258" s="46">
        <f>+D258+3%</f>
        <v>0.77436090225563914</v>
      </c>
      <c r="F258" s="46">
        <f>+E258+3%</f>
        <v>0.80436090225563917</v>
      </c>
      <c r="G258" s="46"/>
      <c r="H258" s="46"/>
      <c r="I258" s="46"/>
      <c r="J258" s="46"/>
      <c r="K258" s="46"/>
      <c r="L258" s="46"/>
      <c r="M258" s="46"/>
      <c r="N258" s="46">
        <f>+F258+3%</f>
        <v>0.83436090225563919</v>
      </c>
      <c r="O258" s="46">
        <f>+N258+3%</f>
        <v>0.86436090225563922</v>
      </c>
      <c r="P258" s="46">
        <f t="shared" ref="P258:V259" si="116">+O258</f>
        <v>0.86436090225563922</v>
      </c>
      <c r="Q258" s="46">
        <f t="shared" si="116"/>
        <v>0.86436090225563922</v>
      </c>
      <c r="R258" s="46">
        <f t="shared" si="116"/>
        <v>0.86436090225563922</v>
      </c>
      <c r="S258" s="46">
        <f t="shared" si="116"/>
        <v>0.86436090225563922</v>
      </c>
      <c r="T258" s="46">
        <f t="shared" si="116"/>
        <v>0.86436090225563922</v>
      </c>
      <c r="U258" s="46">
        <f t="shared" si="116"/>
        <v>0.86436090225563922</v>
      </c>
      <c r="V258" s="46">
        <f t="shared" si="116"/>
        <v>0.86436090225563922</v>
      </c>
      <c r="W258" s="33"/>
      <c r="X258" s="33"/>
      <c r="Y258" s="33"/>
      <c r="Z258" s="98"/>
      <c r="AA258" s="98"/>
    </row>
    <row r="259" spans="1:27">
      <c r="A259" s="4" t="s">
        <v>227</v>
      </c>
      <c r="B259" s="35">
        <f t="shared" si="115"/>
        <v>0.20144927536231885</v>
      </c>
      <c r="C259" s="35">
        <f t="shared" si="115"/>
        <v>0.2231404958677686</v>
      </c>
      <c r="D259" s="35">
        <f t="shared" si="115"/>
        <v>0.26811594202898553</v>
      </c>
      <c r="E259" s="46">
        <f>+D259+2%</f>
        <v>0.28811594202898555</v>
      </c>
      <c r="F259" s="46">
        <f>+E259+3%</f>
        <v>0.31811594202898552</v>
      </c>
      <c r="G259" s="46"/>
      <c r="H259" s="46"/>
      <c r="I259" s="46"/>
      <c r="J259" s="46"/>
      <c r="K259" s="46"/>
      <c r="L259" s="46"/>
      <c r="M259" s="46"/>
      <c r="N259" s="46">
        <f>+F259+3%</f>
        <v>0.34811594202898555</v>
      </c>
      <c r="O259" s="46">
        <f>+N259+3%</f>
        <v>0.37811594202898557</v>
      </c>
      <c r="P259" s="46">
        <f t="shared" si="116"/>
        <v>0.37811594202898557</v>
      </c>
      <c r="Q259" s="46">
        <f t="shared" si="116"/>
        <v>0.37811594202898557</v>
      </c>
      <c r="R259" s="46">
        <f t="shared" si="116"/>
        <v>0.37811594202898557</v>
      </c>
      <c r="S259" s="46">
        <f t="shared" si="116"/>
        <v>0.37811594202898557</v>
      </c>
      <c r="T259" s="46">
        <f t="shared" si="116"/>
        <v>0.37811594202898557</v>
      </c>
      <c r="U259" s="46">
        <f t="shared" si="116"/>
        <v>0.37811594202898557</v>
      </c>
      <c r="V259" s="46">
        <f t="shared" si="116"/>
        <v>0.37811594202898557</v>
      </c>
      <c r="W259" s="33"/>
      <c r="X259" s="33"/>
      <c r="Y259" s="33"/>
      <c r="Z259" s="97"/>
      <c r="AA259" s="97"/>
    </row>
    <row r="260" spans="1:27">
      <c r="B260" s="35"/>
      <c r="C260" s="35"/>
      <c r="D260" s="35"/>
      <c r="E260" s="33"/>
      <c r="F260" s="33"/>
      <c r="G260" s="33"/>
      <c r="H260" s="33"/>
      <c r="I260" s="33"/>
      <c r="J260" s="33"/>
      <c r="K260" s="33"/>
      <c r="L260" s="33"/>
      <c r="M260" s="33"/>
      <c r="N260" s="33"/>
      <c r="O260" s="33"/>
      <c r="P260" s="33"/>
      <c r="Q260" s="33"/>
      <c r="R260" s="33"/>
      <c r="S260" s="33"/>
      <c r="T260" s="33"/>
      <c r="U260" s="33"/>
      <c r="V260" s="33"/>
      <c r="W260" s="33"/>
      <c r="X260" s="33"/>
      <c r="Y260" s="33"/>
      <c r="Z260" s="106"/>
      <c r="AA260" s="106"/>
    </row>
    <row r="261" spans="1:27">
      <c r="A261" s="27" t="s">
        <v>34</v>
      </c>
      <c r="B261" s="27">
        <v>1447</v>
      </c>
      <c r="C261" s="27">
        <v>1353</v>
      </c>
      <c r="D261" s="27">
        <v>1302</v>
      </c>
      <c r="E261" s="27">
        <v>1282</v>
      </c>
      <c r="F261" s="27">
        <f t="shared" ref="F261:V261" si="117">+F245*F262</f>
        <v>1282.8804920447849</v>
      </c>
      <c r="G261" s="27"/>
      <c r="H261" s="27">
        <f>+H265</f>
        <v>642</v>
      </c>
      <c r="I261" s="27"/>
      <c r="J261" s="27">
        <f>+J265</f>
        <v>582</v>
      </c>
      <c r="K261" s="27"/>
      <c r="L261" s="27">
        <f>+J261+H261+F261</f>
        <v>2506.8804920447847</v>
      </c>
      <c r="M261" s="27"/>
      <c r="N261" s="27">
        <f>+N245*N262</f>
        <v>2518.0468668598846</v>
      </c>
      <c r="O261" s="27">
        <f t="shared" si="117"/>
        <v>2529.1132416749842</v>
      </c>
      <c r="P261" s="27">
        <f t="shared" si="117"/>
        <v>2540.0796164900844</v>
      </c>
      <c r="Q261" s="27">
        <f t="shared" si="117"/>
        <v>2550.9459913051842</v>
      </c>
      <c r="R261" s="27">
        <f t="shared" si="117"/>
        <v>2561.7123661202841</v>
      </c>
      <c r="S261" s="27">
        <f t="shared" si="117"/>
        <v>2572.378740935384</v>
      </c>
      <c r="T261" s="27">
        <f t="shared" si="117"/>
        <v>2582.9451157504836</v>
      </c>
      <c r="U261" s="27">
        <f t="shared" si="117"/>
        <v>2593.4114905655838</v>
      </c>
      <c r="V261" s="27">
        <f t="shared" si="117"/>
        <v>2603.7778653806836</v>
      </c>
      <c r="W261" s="27"/>
      <c r="X261" s="27"/>
      <c r="Y261" s="27"/>
      <c r="Z261" s="97"/>
      <c r="AA261" s="97"/>
    </row>
    <row r="262" spans="1:27">
      <c r="A262" s="4" t="s">
        <v>228</v>
      </c>
      <c r="B262" s="38">
        <f>+B261/B245</f>
        <v>0.73713703515028017</v>
      </c>
      <c r="C262" s="38">
        <f>+C261/C245</f>
        <v>0.72898706896551724</v>
      </c>
      <c r="D262" s="38">
        <f>+D261/D245</f>
        <v>0.74442538593481988</v>
      </c>
      <c r="E262" s="38">
        <f>+E261/E245</f>
        <v>0.75545079552150851</v>
      </c>
      <c r="F262" s="47">
        <f t="shared" ref="F262:V262" si="118">+E262+0.5%</f>
        <v>0.76045079552150852</v>
      </c>
      <c r="G262" s="47"/>
      <c r="H262" s="38">
        <f>+H261/H245</f>
        <v>0.55729166666666663</v>
      </c>
      <c r="I262" s="47"/>
      <c r="J262" s="38">
        <f>+J261/J245</f>
        <v>0.73951715374841165</v>
      </c>
      <c r="K262" s="47"/>
      <c r="L262" s="38">
        <f>+L261/L245</f>
        <v>0.69136251849001229</v>
      </c>
      <c r="M262" s="47"/>
      <c r="N262" s="47">
        <f>+L262+0.5%</f>
        <v>0.69636251849001229</v>
      </c>
      <c r="O262" s="47">
        <f t="shared" si="118"/>
        <v>0.7013625184900123</v>
      </c>
      <c r="P262" s="47">
        <f t="shared" si="118"/>
        <v>0.7063625184900123</v>
      </c>
      <c r="Q262" s="47">
        <f t="shared" si="118"/>
        <v>0.71136251849001231</v>
      </c>
      <c r="R262" s="47">
        <f t="shared" si="118"/>
        <v>0.71636251849001231</v>
      </c>
      <c r="S262" s="47">
        <f t="shared" si="118"/>
        <v>0.72136251849001232</v>
      </c>
      <c r="T262" s="47">
        <f t="shared" si="118"/>
        <v>0.72636251849001232</v>
      </c>
      <c r="U262" s="47">
        <f t="shared" si="118"/>
        <v>0.73136251849001233</v>
      </c>
      <c r="V262" s="47">
        <f t="shared" si="118"/>
        <v>0.73636251849001233</v>
      </c>
      <c r="Z262" s="97"/>
      <c r="AA262" s="97"/>
    </row>
    <row r="263" spans="1:27">
      <c r="A263" s="4" t="s">
        <v>560</v>
      </c>
      <c r="B263" s="7"/>
      <c r="C263" s="157">
        <f t="shared" ref="C263:V263" si="119">+C261/B261-1</f>
        <v>-6.4961990324809982E-2</v>
      </c>
      <c r="D263" s="157">
        <f t="shared" si="119"/>
        <v>-3.7694013303769425E-2</v>
      </c>
      <c r="E263" s="157">
        <f t="shared" si="119"/>
        <v>-1.5360983102918557E-2</v>
      </c>
      <c r="F263" s="157">
        <f t="shared" si="119"/>
        <v>6.8681126738301401E-4</v>
      </c>
      <c r="G263" s="157"/>
      <c r="H263" s="157"/>
      <c r="I263" s="157"/>
      <c r="J263" s="157"/>
      <c r="K263" s="157"/>
      <c r="L263" s="157"/>
      <c r="M263" s="157"/>
      <c r="N263" s="157">
        <f>+N261/L261-1</f>
        <v>4.4542908409614945E-3</v>
      </c>
      <c r="O263" s="157">
        <f>+O261/N261-1</f>
        <v>4.3948247988330191E-3</v>
      </c>
      <c r="P263" s="157">
        <f t="shared" si="119"/>
        <v>4.3360552759739157E-3</v>
      </c>
      <c r="Q263" s="157">
        <f t="shared" si="119"/>
        <v>4.2779662277339092E-3</v>
      </c>
      <c r="R263" s="157">
        <f t="shared" si="119"/>
        <v>4.220542046674769E-3</v>
      </c>
      <c r="S263" s="157">
        <f t="shared" si="119"/>
        <v>4.1637675471171143E-3</v>
      </c>
      <c r="T263" s="157">
        <f t="shared" si="119"/>
        <v>4.1076279503295954E-3</v>
      </c>
      <c r="U263" s="157">
        <f t="shared" si="119"/>
        <v>4.0521088703269204E-3</v>
      </c>
      <c r="V263" s="157">
        <f t="shared" si="119"/>
        <v>3.9971963002443101E-3</v>
      </c>
      <c r="W263" s="7"/>
      <c r="X263" s="7"/>
      <c r="Y263" s="7"/>
      <c r="Z263" s="97"/>
      <c r="AA263" s="97"/>
    </row>
    <row r="264" spans="1:27">
      <c r="A264" s="7" t="s">
        <v>33</v>
      </c>
      <c r="B264" s="7"/>
      <c r="C264" s="7"/>
      <c r="D264" s="7"/>
      <c r="E264" s="7"/>
      <c r="F264" s="7"/>
      <c r="G264" s="7"/>
      <c r="H264" s="7"/>
      <c r="I264" s="7"/>
      <c r="J264" s="7"/>
      <c r="K264" s="7"/>
      <c r="L264" s="7"/>
      <c r="M264" s="7"/>
      <c r="N264" s="7"/>
      <c r="O264" s="7"/>
      <c r="P264" s="7"/>
      <c r="Q264" s="7"/>
      <c r="R264" s="7"/>
      <c r="S264" s="7"/>
      <c r="T264" s="7"/>
      <c r="U264" s="7"/>
      <c r="V264" s="7"/>
      <c r="W264" s="7"/>
      <c r="X264" s="7"/>
      <c r="Y264" s="7"/>
      <c r="Z264" s="105"/>
      <c r="AA264" s="105"/>
    </row>
    <row r="265" spans="1:27">
      <c r="A265" s="4" t="s">
        <v>115</v>
      </c>
      <c r="B265" s="11">
        <v>1538</v>
      </c>
      <c r="C265" s="11">
        <v>1416</v>
      </c>
      <c r="D265" s="11">
        <v>1338</v>
      </c>
      <c r="E265" s="11">
        <v>1311</v>
      </c>
      <c r="F265" s="11">
        <f>+E265+F285+$X$285</f>
        <v>1281</v>
      </c>
      <c r="G265" s="11"/>
      <c r="H265" s="11">
        <v>642</v>
      </c>
      <c r="I265" s="11"/>
      <c r="J265" s="11">
        <v>582</v>
      </c>
      <c r="K265" s="11"/>
      <c r="L265" s="11">
        <f>+J265+H265+F265</f>
        <v>2505</v>
      </c>
      <c r="M265" s="11"/>
      <c r="N265" s="11">
        <f>+L265+N285+$X$285</f>
        <v>2485</v>
      </c>
      <c r="O265" s="11">
        <f t="shared" ref="O265:V265" si="120">+N265+O285+$X$285</f>
        <v>2465</v>
      </c>
      <c r="P265" s="11">
        <f t="shared" si="120"/>
        <v>2445</v>
      </c>
      <c r="Q265" s="11">
        <f t="shared" si="120"/>
        <v>2425</v>
      </c>
      <c r="R265" s="11">
        <f t="shared" si="120"/>
        <v>2405</v>
      </c>
      <c r="S265" s="11">
        <f t="shared" si="120"/>
        <v>2385</v>
      </c>
      <c r="T265" s="11">
        <f t="shared" si="120"/>
        <v>2365</v>
      </c>
      <c r="U265" s="11">
        <f t="shared" si="120"/>
        <v>2345</v>
      </c>
      <c r="V265" s="11">
        <f t="shared" si="120"/>
        <v>2325</v>
      </c>
      <c r="W265" s="11"/>
      <c r="X265" s="11"/>
      <c r="Y265" s="11"/>
      <c r="Z265" s="107"/>
      <c r="AA265" s="107"/>
    </row>
    <row r="266" spans="1:27">
      <c r="A266" s="14" t="s">
        <v>116</v>
      </c>
      <c r="B266" s="34">
        <v>972</v>
      </c>
      <c r="C266" s="34">
        <v>950</v>
      </c>
      <c r="D266" s="34">
        <v>917</v>
      </c>
      <c r="E266" s="34">
        <f t="shared" ref="E266:V266" si="121">+E265*E274</f>
        <v>931.27051569506739</v>
      </c>
      <c r="F266" s="34">
        <f>+F265*F274</f>
        <v>935.57997757847545</v>
      </c>
      <c r="G266" s="34"/>
      <c r="H266" s="34"/>
      <c r="I266" s="34"/>
      <c r="J266" s="34"/>
      <c r="K266" s="34"/>
      <c r="L266" s="34"/>
      <c r="M266" s="34"/>
      <c r="N266" s="34">
        <f>+N265*N274</f>
        <v>1864.6229073243651</v>
      </c>
      <c r="O266" s="34">
        <f t="shared" si="121"/>
        <v>1898.9158819133038</v>
      </c>
      <c r="P266" s="34">
        <f t="shared" si="121"/>
        <v>1932.4088565022425</v>
      </c>
      <c r="Q266" s="34">
        <f t="shared" si="121"/>
        <v>1965.1018310911813</v>
      </c>
      <c r="R266" s="34">
        <f t="shared" si="121"/>
        <v>1996.99480568012</v>
      </c>
      <c r="S266" s="34">
        <f t="shared" si="121"/>
        <v>2028.0877802690588</v>
      </c>
      <c r="T266" s="34">
        <f t="shared" si="121"/>
        <v>2058.3807548579975</v>
      </c>
      <c r="U266" s="34">
        <f t="shared" si="121"/>
        <v>2087.8737294469361</v>
      </c>
      <c r="V266" s="34">
        <f t="shared" si="121"/>
        <v>2116.5667040358749</v>
      </c>
      <c r="W266" s="34"/>
      <c r="X266" s="34"/>
      <c r="Y266" s="34"/>
      <c r="Z266" s="107"/>
      <c r="AA266" s="107"/>
    </row>
    <row r="267" spans="1:27">
      <c r="A267" s="4" t="s">
        <v>118</v>
      </c>
      <c r="B267" s="11">
        <v>142</v>
      </c>
      <c r="C267" s="11">
        <v>153</v>
      </c>
      <c r="D267" s="11">
        <v>164</v>
      </c>
      <c r="E267" s="11">
        <v>161</v>
      </c>
      <c r="F267" s="11">
        <f>+E267+F287+$X$287</f>
        <v>181</v>
      </c>
      <c r="G267" s="11"/>
      <c r="H267" s="11">
        <v>233</v>
      </c>
      <c r="I267" s="11"/>
      <c r="J267" s="11">
        <v>21</v>
      </c>
      <c r="K267" s="11"/>
      <c r="L267" s="11">
        <f>+J267+H267+F267</f>
        <v>435</v>
      </c>
      <c r="M267" s="11"/>
      <c r="N267" s="11">
        <f>+L267+N287+$X$287</f>
        <v>495</v>
      </c>
      <c r="O267" s="11">
        <f t="shared" ref="O267:V267" si="122">+N267+O287+$X$287</f>
        <v>555</v>
      </c>
      <c r="P267" s="11">
        <f t="shared" si="122"/>
        <v>615</v>
      </c>
      <c r="Q267" s="11">
        <f t="shared" si="122"/>
        <v>675</v>
      </c>
      <c r="R267" s="11">
        <f t="shared" si="122"/>
        <v>735</v>
      </c>
      <c r="S267" s="11">
        <f t="shared" si="122"/>
        <v>795</v>
      </c>
      <c r="T267" s="11">
        <f t="shared" si="122"/>
        <v>855</v>
      </c>
      <c r="U267" s="11">
        <f t="shared" si="122"/>
        <v>915</v>
      </c>
      <c r="V267" s="11">
        <f t="shared" si="122"/>
        <v>975</v>
      </c>
      <c r="W267" s="11"/>
      <c r="X267" s="11"/>
      <c r="Y267" s="11"/>
      <c r="Z267" s="107"/>
      <c r="AA267" s="107"/>
    </row>
    <row r="268" spans="1:27">
      <c r="A268" s="4" t="s">
        <v>117</v>
      </c>
      <c r="B268" s="11">
        <v>115</v>
      </c>
      <c r="C268" s="11">
        <v>135</v>
      </c>
      <c r="D268" s="11">
        <v>174</v>
      </c>
      <c r="E268" s="11">
        <v>202</v>
      </c>
      <c r="F268" s="11">
        <f>+E268+F288+$X$288</f>
        <v>242</v>
      </c>
      <c r="G268" s="11"/>
      <c r="H268" s="11">
        <v>140</v>
      </c>
      <c r="I268" s="11"/>
      <c r="J268" s="11">
        <v>83</v>
      </c>
      <c r="K268" s="11"/>
      <c r="L268" s="11">
        <f>+J268+H268+F268</f>
        <v>465</v>
      </c>
      <c r="M268" s="11"/>
      <c r="N268" s="11">
        <f>+L268+N288+$X$288</f>
        <v>525</v>
      </c>
      <c r="O268" s="11">
        <f t="shared" ref="O268:V268" si="123">+N268+O288+$X$288</f>
        <v>585</v>
      </c>
      <c r="P268" s="11">
        <f t="shared" si="123"/>
        <v>645</v>
      </c>
      <c r="Q268" s="11">
        <f t="shared" si="123"/>
        <v>705</v>
      </c>
      <c r="R268" s="11">
        <f t="shared" si="123"/>
        <v>765</v>
      </c>
      <c r="S268" s="11">
        <f t="shared" si="123"/>
        <v>825</v>
      </c>
      <c r="T268" s="11">
        <f t="shared" si="123"/>
        <v>885</v>
      </c>
      <c r="U268" s="11">
        <f t="shared" si="123"/>
        <v>945</v>
      </c>
      <c r="V268" s="11">
        <f t="shared" si="123"/>
        <v>1005</v>
      </c>
      <c r="W268" s="11"/>
      <c r="X268" s="11"/>
      <c r="Y268" s="11"/>
      <c r="Z268" s="107"/>
      <c r="AA268" s="107"/>
    </row>
    <row r="269" spans="1:27">
      <c r="A269" s="4" t="s">
        <v>153</v>
      </c>
      <c r="B269" s="11">
        <v>87</v>
      </c>
      <c r="C269" s="11">
        <v>112</v>
      </c>
      <c r="D269" s="11">
        <v>146</v>
      </c>
      <c r="E269" s="11">
        <v>170</v>
      </c>
      <c r="F269" s="11">
        <f>+E269+F289+$X$289</f>
        <v>205</v>
      </c>
      <c r="G269" s="11"/>
      <c r="H269" s="11">
        <v>133</v>
      </c>
      <c r="I269" s="11"/>
      <c r="J269" s="11">
        <v>63</v>
      </c>
      <c r="K269" s="11"/>
      <c r="L269" s="11">
        <f>+J269+H269+F269</f>
        <v>401</v>
      </c>
      <c r="M269" s="11"/>
      <c r="N269" s="11">
        <f>+L269+N289+$X$289</f>
        <v>446</v>
      </c>
      <c r="O269" s="11">
        <f t="shared" ref="O269:V269" si="124">+N269+O289+$X$289</f>
        <v>491</v>
      </c>
      <c r="P269" s="11">
        <f t="shared" si="124"/>
        <v>536</v>
      </c>
      <c r="Q269" s="11">
        <f t="shared" si="124"/>
        <v>581</v>
      </c>
      <c r="R269" s="11">
        <f t="shared" si="124"/>
        <v>626</v>
      </c>
      <c r="S269" s="11">
        <f t="shared" si="124"/>
        <v>671</v>
      </c>
      <c r="T269" s="11">
        <f t="shared" si="124"/>
        <v>716</v>
      </c>
      <c r="U269" s="11">
        <f t="shared" si="124"/>
        <v>761</v>
      </c>
      <c r="V269" s="11">
        <f t="shared" si="124"/>
        <v>806</v>
      </c>
      <c r="W269" s="11"/>
      <c r="X269" s="11"/>
      <c r="Y269" s="11"/>
      <c r="Z269" s="107"/>
      <c r="AA269" s="107"/>
    </row>
    <row r="270" spans="1:27">
      <c r="A270" s="7" t="s">
        <v>119</v>
      </c>
      <c r="B270" s="27">
        <v>1881</v>
      </c>
      <c r="C270" s="27">
        <v>1816</v>
      </c>
      <c r="D270" s="27">
        <v>1822</v>
      </c>
      <c r="E270" s="27">
        <f t="shared" ref="E270:V270" si="125">+E265+E268+E269+E267</f>
        <v>1844</v>
      </c>
      <c r="F270" s="27">
        <f>+F265+F268+F269+F267</f>
        <v>1909</v>
      </c>
      <c r="G270" s="27"/>
      <c r="H270" s="27">
        <f>+H265+H268+H269+H267</f>
        <v>1148</v>
      </c>
      <c r="I270" s="27"/>
      <c r="J270" s="27">
        <f>+J265+J268+J269+J267</f>
        <v>749</v>
      </c>
      <c r="K270" s="27"/>
      <c r="L270" s="27">
        <f>+L265+L268+L269+L267</f>
        <v>3806</v>
      </c>
      <c r="M270" s="27"/>
      <c r="N270" s="27">
        <f t="shared" si="125"/>
        <v>3951</v>
      </c>
      <c r="O270" s="27">
        <f t="shared" si="125"/>
        <v>4096</v>
      </c>
      <c r="P270" s="27">
        <f t="shared" si="125"/>
        <v>4241</v>
      </c>
      <c r="Q270" s="27">
        <f t="shared" si="125"/>
        <v>4386</v>
      </c>
      <c r="R270" s="27">
        <f t="shared" si="125"/>
        <v>4531</v>
      </c>
      <c r="S270" s="27">
        <f t="shared" si="125"/>
        <v>4676</v>
      </c>
      <c r="T270" s="27">
        <f t="shared" si="125"/>
        <v>4821</v>
      </c>
      <c r="U270" s="27">
        <f t="shared" si="125"/>
        <v>4966</v>
      </c>
      <c r="V270" s="27">
        <f t="shared" si="125"/>
        <v>5111</v>
      </c>
      <c r="W270" s="27"/>
      <c r="X270" s="27"/>
      <c r="Y270" s="27"/>
    </row>
    <row r="271" spans="1:27">
      <c r="A271" s="4" t="s">
        <v>35</v>
      </c>
      <c r="B271" s="12">
        <v>1.3</v>
      </c>
      <c r="C271" s="12">
        <v>1.34</v>
      </c>
      <c r="D271" s="12">
        <f t="shared" ref="D271:V271" si="126">+D270/D261</f>
        <v>1.3993855606758832</v>
      </c>
      <c r="E271" s="12">
        <f t="shared" si="126"/>
        <v>1.4383775351014041</v>
      </c>
      <c r="F271" s="12">
        <f>+F270/F261</f>
        <v>1.4880575484917089</v>
      </c>
      <c r="G271" s="12"/>
      <c r="H271" s="12">
        <f>+H270/H261</f>
        <v>1.7881619937694704</v>
      </c>
      <c r="I271" s="12"/>
      <c r="J271" s="12">
        <f>+J270/J261</f>
        <v>1.2869415807560138</v>
      </c>
      <c r="K271" s="12"/>
      <c r="L271" s="12">
        <f>+L270/L261</f>
        <v>1.5182215554661578</v>
      </c>
      <c r="M271" s="12"/>
      <c r="N271" s="12">
        <f t="shared" si="126"/>
        <v>1.5690732575311719</v>
      </c>
      <c r="O271" s="12">
        <f t="shared" si="126"/>
        <v>1.6195399765046883</v>
      </c>
      <c r="P271" s="12">
        <f t="shared" si="126"/>
        <v>1.6696327046080035</v>
      </c>
      <c r="Q271" s="12">
        <f t="shared" si="126"/>
        <v>1.7193621562155912</v>
      </c>
      <c r="R271" s="12">
        <f t="shared" si="126"/>
        <v>1.7687387779847445</v>
      </c>
      <c r="S271" s="12">
        <f t="shared" si="126"/>
        <v>1.8177727585711909</v>
      </c>
      <c r="T271" s="12">
        <f t="shared" si="126"/>
        <v>1.8664740379507607</v>
      </c>
      <c r="U271" s="12">
        <f t="shared" si="126"/>
        <v>1.9148523163661122</v>
      </c>
      <c r="V271" s="12">
        <f t="shared" si="126"/>
        <v>1.9629170629164825</v>
      </c>
      <c r="W271" s="12"/>
      <c r="X271" s="12"/>
      <c r="Y271" s="12"/>
      <c r="Z271" s="107"/>
      <c r="AA271" s="107"/>
    </row>
    <row r="272" spans="1:27">
      <c r="A272" s="4" t="s">
        <v>229</v>
      </c>
      <c r="B272" s="11">
        <f t="shared" ref="B272:V272" si="127">+B265+B268+B269</f>
        <v>1740</v>
      </c>
      <c r="C272" s="11">
        <f t="shared" si="127"/>
        <v>1663</v>
      </c>
      <c r="D272" s="11">
        <f t="shared" si="127"/>
        <v>1658</v>
      </c>
      <c r="E272" s="11">
        <f t="shared" si="127"/>
        <v>1683</v>
      </c>
      <c r="F272" s="11">
        <f t="shared" si="127"/>
        <v>1728</v>
      </c>
      <c r="G272" s="11"/>
      <c r="H272" s="11">
        <f t="shared" si="127"/>
        <v>915</v>
      </c>
      <c r="I272" s="11"/>
      <c r="J272" s="11">
        <f t="shared" si="127"/>
        <v>728</v>
      </c>
      <c r="K272" s="11"/>
      <c r="L272" s="11">
        <f t="shared" si="127"/>
        <v>3371</v>
      </c>
      <c r="M272" s="11"/>
      <c r="N272" s="11">
        <f t="shared" si="127"/>
        <v>3456</v>
      </c>
      <c r="O272" s="11">
        <f t="shared" si="127"/>
        <v>3541</v>
      </c>
      <c r="P272" s="11">
        <f t="shared" si="127"/>
        <v>3626</v>
      </c>
      <c r="Q272" s="11">
        <f t="shared" si="127"/>
        <v>3711</v>
      </c>
      <c r="R272" s="11">
        <f t="shared" si="127"/>
        <v>3796</v>
      </c>
      <c r="S272" s="11">
        <f t="shared" si="127"/>
        <v>3881</v>
      </c>
      <c r="T272" s="11">
        <f t="shared" si="127"/>
        <v>3966</v>
      </c>
      <c r="U272" s="11">
        <f t="shared" si="127"/>
        <v>4051</v>
      </c>
      <c r="V272" s="11">
        <f t="shared" si="127"/>
        <v>4136</v>
      </c>
      <c r="W272" s="12"/>
      <c r="X272" s="12"/>
      <c r="Y272" s="12"/>
      <c r="Z272" s="107"/>
      <c r="AA272" s="107"/>
    </row>
    <row r="273" spans="1:27">
      <c r="A273" s="4" t="s">
        <v>230</v>
      </c>
      <c r="B273" s="48">
        <f t="shared" ref="B273:V273" si="128">+B272/B261</f>
        <v>1.2024879060124396</v>
      </c>
      <c r="C273" s="48">
        <f t="shared" si="128"/>
        <v>1.2291204730229119</v>
      </c>
      <c r="D273" s="48">
        <f t="shared" si="128"/>
        <v>1.2734254992319509</v>
      </c>
      <c r="E273" s="48">
        <f t="shared" si="128"/>
        <v>1.312792511700468</v>
      </c>
      <c r="F273" s="48">
        <f t="shared" si="128"/>
        <v>1.3469688024063244</v>
      </c>
      <c r="G273" s="48"/>
      <c r="H273" s="48">
        <f t="shared" si="128"/>
        <v>1.4252336448598131</v>
      </c>
      <c r="I273" s="48"/>
      <c r="J273" s="48">
        <f t="shared" si="128"/>
        <v>1.2508591065292096</v>
      </c>
      <c r="K273" s="48"/>
      <c r="L273" s="48">
        <f t="shared" si="128"/>
        <v>1.3446991233516601</v>
      </c>
      <c r="M273" s="48"/>
      <c r="N273" s="48">
        <f t="shared" si="128"/>
        <v>1.3724923254942367</v>
      </c>
      <c r="O273" s="48">
        <f t="shared" si="128"/>
        <v>1.4000954728523196</v>
      </c>
      <c r="P273" s="48">
        <f t="shared" si="128"/>
        <v>1.4275143095752465</v>
      </c>
      <c r="Q273" s="48">
        <f t="shared" si="128"/>
        <v>1.4547544372357635</v>
      </c>
      <c r="R273" s="48">
        <f t="shared" si="128"/>
        <v>1.4818213200684376</v>
      </c>
      <c r="S273" s="48">
        <f t="shared" si="128"/>
        <v>1.5087202899946091</v>
      </c>
      <c r="T273" s="48">
        <f t="shared" si="128"/>
        <v>1.5354565514442473</v>
      </c>
      <c r="U273" s="48">
        <f t="shared" si="128"/>
        <v>1.562035185984519</v>
      </c>
      <c r="V273" s="48">
        <f t="shared" si="128"/>
        <v>1.5884611567643458</v>
      </c>
      <c r="W273" s="12"/>
      <c r="X273" s="12"/>
      <c r="Y273" s="12"/>
      <c r="Z273" s="107"/>
      <c r="AA273" s="107"/>
    </row>
    <row r="274" spans="1:27">
      <c r="A274" s="4" t="s">
        <v>232</v>
      </c>
      <c r="B274" s="40">
        <f>+B266/B265</f>
        <v>0.63198959687906375</v>
      </c>
      <c r="C274" s="40">
        <f>+C266/C265</f>
        <v>0.67090395480225984</v>
      </c>
      <c r="D274" s="40">
        <f>+D266/D265</f>
        <v>0.68535127055306433</v>
      </c>
      <c r="E274" s="49">
        <f>+D274+2.5%</f>
        <v>0.71035127055306435</v>
      </c>
      <c r="F274" s="49">
        <f t="shared" ref="F274:V274" si="129">+E274+2%</f>
        <v>0.73035127055306437</v>
      </c>
      <c r="G274" s="49"/>
      <c r="H274" s="49"/>
      <c r="I274" s="49"/>
      <c r="J274" s="49"/>
      <c r="K274" s="49"/>
      <c r="L274" s="49"/>
      <c r="M274" s="49"/>
      <c r="N274" s="49">
        <f>+F274+2%</f>
        <v>0.75035127055306439</v>
      </c>
      <c r="O274" s="49">
        <f t="shared" si="129"/>
        <v>0.7703512705530644</v>
      </c>
      <c r="P274" s="49">
        <f t="shared" si="129"/>
        <v>0.79035127055306442</v>
      </c>
      <c r="Q274" s="49">
        <f t="shared" si="129"/>
        <v>0.81035127055306444</v>
      </c>
      <c r="R274" s="49">
        <f t="shared" si="129"/>
        <v>0.83035127055306446</v>
      </c>
      <c r="S274" s="49">
        <f t="shared" si="129"/>
        <v>0.85035127055306448</v>
      </c>
      <c r="T274" s="49">
        <f t="shared" si="129"/>
        <v>0.87035127055306449</v>
      </c>
      <c r="U274" s="49">
        <f t="shared" si="129"/>
        <v>0.89035127055306451</v>
      </c>
      <c r="V274" s="49">
        <f t="shared" si="129"/>
        <v>0.91035127055306453</v>
      </c>
      <c r="W274" s="12"/>
      <c r="X274" s="12"/>
      <c r="Y274" s="12"/>
      <c r="Z274" s="107"/>
      <c r="AA274" s="107"/>
    </row>
    <row r="275" spans="1:27">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07"/>
      <c r="AA275" s="107"/>
    </row>
    <row r="276" spans="1:27">
      <c r="A276" s="18" t="s">
        <v>223</v>
      </c>
      <c r="B276" s="43" t="str">
        <f t="shared" ref="B276:V276" si="130">+B$34</f>
        <v>2011A</v>
      </c>
      <c r="C276" s="43" t="str">
        <f t="shared" si="130"/>
        <v>2012A</v>
      </c>
      <c r="D276" s="43" t="str">
        <f t="shared" si="130"/>
        <v>2013A</v>
      </c>
      <c r="E276" s="43" t="str">
        <f t="shared" si="130"/>
        <v>2014A</v>
      </c>
      <c r="F276" s="43" t="str">
        <f t="shared" si="130"/>
        <v>2015E</v>
      </c>
      <c r="G276" s="209"/>
      <c r="H276" s="209"/>
      <c r="I276" s="209"/>
      <c r="J276" s="209"/>
      <c r="K276" s="209"/>
      <c r="L276" s="209"/>
      <c r="M276" s="209"/>
      <c r="N276" s="43" t="str">
        <f t="shared" si="130"/>
        <v>2016E</v>
      </c>
      <c r="O276" s="43" t="str">
        <f t="shared" si="130"/>
        <v>2017E</v>
      </c>
      <c r="P276" s="43" t="str">
        <f t="shared" si="130"/>
        <v>2018E</v>
      </c>
      <c r="Q276" s="43" t="str">
        <f t="shared" si="130"/>
        <v>2019E</v>
      </c>
      <c r="R276" s="43" t="str">
        <f t="shared" si="130"/>
        <v>2020E</v>
      </c>
      <c r="S276" s="43" t="str">
        <f t="shared" si="130"/>
        <v>2021E</v>
      </c>
      <c r="T276" s="43" t="str">
        <f t="shared" si="130"/>
        <v>2022E</v>
      </c>
      <c r="U276" s="43" t="str">
        <f t="shared" si="130"/>
        <v>2023E</v>
      </c>
      <c r="V276" s="43" t="str">
        <f t="shared" si="130"/>
        <v>2024E</v>
      </c>
      <c r="W276" s="44"/>
      <c r="Z276" s="107"/>
      <c r="AA276" s="107"/>
    </row>
    <row r="277" spans="1:27">
      <c r="A277" s="4" t="s">
        <v>109</v>
      </c>
      <c r="B277" s="11"/>
      <c r="C277" s="11">
        <f t="shared" ref="C277:E282" si="131">+C245-B245</f>
        <v>-107</v>
      </c>
      <c r="D277" s="11">
        <f t="shared" si="131"/>
        <v>-107</v>
      </c>
      <c r="E277" s="11">
        <f t="shared" si="131"/>
        <v>-52</v>
      </c>
      <c r="F277" s="45">
        <v>-10</v>
      </c>
      <c r="G277" s="45"/>
      <c r="H277" s="45"/>
      <c r="I277" s="45"/>
      <c r="J277" s="45"/>
      <c r="K277" s="45"/>
      <c r="L277" s="45"/>
      <c r="M277" s="45"/>
      <c r="N277" s="45">
        <v>-10</v>
      </c>
      <c r="O277" s="45">
        <v>-10</v>
      </c>
      <c r="P277" s="45">
        <v>-10</v>
      </c>
      <c r="Q277" s="45">
        <v>-10</v>
      </c>
      <c r="R277" s="45">
        <v>-10</v>
      </c>
      <c r="S277" s="45">
        <v>-10</v>
      </c>
      <c r="T277" s="45">
        <v>-10</v>
      </c>
      <c r="U277" s="45">
        <v>-10</v>
      </c>
      <c r="V277" s="45">
        <v>-10</v>
      </c>
      <c r="W277" s="12"/>
      <c r="X277" s="12"/>
      <c r="Y277" s="12"/>
      <c r="Z277" s="107"/>
      <c r="AA277" s="107"/>
    </row>
    <row r="278" spans="1:27">
      <c r="A278" s="4" t="s">
        <v>110</v>
      </c>
      <c r="B278" s="11"/>
      <c r="C278" s="11">
        <f t="shared" si="131"/>
        <v>-23</v>
      </c>
      <c r="D278" s="11">
        <f t="shared" si="131"/>
        <v>-53</v>
      </c>
      <c r="E278" s="11">
        <f t="shared" si="131"/>
        <v>-1.648336192109582</v>
      </c>
      <c r="F278" s="11">
        <f>+F246-E246</f>
        <v>43.566089193825064</v>
      </c>
      <c r="G278" s="11"/>
      <c r="H278" s="11"/>
      <c r="I278" s="11"/>
      <c r="J278" s="11"/>
      <c r="K278" s="11"/>
      <c r="L278" s="11"/>
      <c r="M278" s="11"/>
      <c r="N278" s="11">
        <f>+N246-F246</f>
        <v>1525.1203945111492</v>
      </c>
      <c r="O278" s="11">
        <f t="shared" ref="O278:R282" si="132">+O246-N246</f>
        <v>100.53608919382532</v>
      </c>
      <c r="P278" s="11">
        <f t="shared" si="132"/>
        <v>99.936089193824955</v>
      </c>
      <c r="Q278" s="11">
        <f t="shared" si="132"/>
        <v>63.476089193825374</v>
      </c>
      <c r="R278" s="11">
        <f t="shared" si="132"/>
        <v>63.076089193824828</v>
      </c>
      <c r="S278" s="11">
        <f t="shared" ref="S278:V282" si="133">+S246-R246</f>
        <v>62.676089193825192</v>
      </c>
      <c r="T278" s="11">
        <f t="shared" si="133"/>
        <v>62.276089193825101</v>
      </c>
      <c r="U278" s="11">
        <f t="shared" si="133"/>
        <v>61.87608919382501</v>
      </c>
      <c r="V278" s="11">
        <f t="shared" si="133"/>
        <v>61.476089193825374</v>
      </c>
      <c r="W278" s="12"/>
      <c r="X278" s="12"/>
      <c r="Y278" s="12"/>
      <c r="Z278" s="107"/>
      <c r="AA278" s="107"/>
    </row>
    <row r="279" spans="1:27">
      <c r="A279" s="4" t="s">
        <v>111</v>
      </c>
      <c r="B279" s="11"/>
      <c r="C279" s="11">
        <f t="shared" si="131"/>
        <v>-85</v>
      </c>
      <c r="D279" s="11">
        <f t="shared" si="131"/>
        <v>-53</v>
      </c>
      <c r="E279" s="11">
        <f t="shared" si="131"/>
        <v>-50.351663807890418</v>
      </c>
      <c r="F279" s="11">
        <f>+F247-E247</f>
        <v>-53.566089193825064</v>
      </c>
      <c r="G279" s="11"/>
      <c r="H279" s="11"/>
      <c r="I279" s="11"/>
      <c r="J279" s="11"/>
      <c r="K279" s="11"/>
      <c r="L279" s="11"/>
      <c r="M279" s="11"/>
      <c r="N279" s="11">
        <f>+N247-F247</f>
        <v>403.87960548885076</v>
      </c>
      <c r="O279" s="11">
        <f t="shared" si="132"/>
        <v>-110.53608919382532</v>
      </c>
      <c r="P279" s="11">
        <f t="shared" si="132"/>
        <v>-109.93608919382496</v>
      </c>
      <c r="Q279" s="11">
        <f t="shared" si="132"/>
        <v>-73.476089193825374</v>
      </c>
      <c r="R279" s="11">
        <f t="shared" si="132"/>
        <v>-73.076089193824828</v>
      </c>
      <c r="S279" s="11">
        <f t="shared" si="133"/>
        <v>-72.676089193825192</v>
      </c>
      <c r="T279" s="11">
        <f t="shared" si="133"/>
        <v>-72.276089193825101</v>
      </c>
      <c r="U279" s="11">
        <f t="shared" si="133"/>
        <v>-71.87608919382501</v>
      </c>
      <c r="V279" s="11">
        <f t="shared" si="133"/>
        <v>-71.476089193825374</v>
      </c>
      <c r="W279" s="12"/>
      <c r="X279" s="12"/>
      <c r="Y279" s="12"/>
      <c r="Z279" s="107"/>
      <c r="AA279" s="107"/>
    </row>
    <row r="280" spans="1:27">
      <c r="A280" s="4" t="s">
        <v>112</v>
      </c>
      <c r="B280" s="11"/>
      <c r="C280" s="11">
        <f t="shared" si="131"/>
        <v>88</v>
      </c>
      <c r="D280" s="11">
        <f t="shared" si="131"/>
        <v>24</v>
      </c>
      <c r="E280" s="11">
        <f t="shared" si="131"/>
        <v>37.532882949262785</v>
      </c>
      <c r="F280" s="11">
        <f>+F248-E248</f>
        <v>61.546224786050061</v>
      </c>
      <c r="G280" s="11"/>
      <c r="H280" s="11"/>
      <c r="I280" s="11"/>
      <c r="J280" s="11"/>
      <c r="K280" s="11"/>
      <c r="L280" s="11"/>
      <c r="M280" s="11"/>
      <c r="N280" s="11">
        <f>+N248-F248</f>
        <v>1463.7077577438454</v>
      </c>
      <c r="O280" s="11">
        <f t="shared" si="132"/>
        <v>153.58400727110484</v>
      </c>
      <c r="P280" s="11">
        <f t="shared" si="132"/>
        <v>44.812260294968837</v>
      </c>
      <c r="Q280" s="11">
        <f t="shared" si="132"/>
        <v>27.083769045105328</v>
      </c>
      <c r="R280" s="11">
        <f t="shared" si="132"/>
        <v>26.889271061014369</v>
      </c>
      <c r="S280" s="11">
        <f t="shared" si="133"/>
        <v>26.694773076923866</v>
      </c>
      <c r="T280" s="11">
        <f t="shared" si="133"/>
        <v>26.500275092833363</v>
      </c>
      <c r="U280" s="11">
        <f t="shared" si="133"/>
        <v>26.305777108742404</v>
      </c>
      <c r="V280" s="11">
        <f t="shared" si="133"/>
        <v>26.111279124651901</v>
      </c>
      <c r="W280" s="12"/>
      <c r="X280" s="12"/>
      <c r="Y280" s="12"/>
      <c r="Z280" s="107"/>
      <c r="AA280" s="107"/>
    </row>
    <row r="281" spans="1:27">
      <c r="A281" s="4" t="s">
        <v>113</v>
      </c>
      <c r="B281" s="11"/>
      <c r="C281" s="11">
        <f t="shared" si="131"/>
        <v>92</v>
      </c>
      <c r="D281" s="11">
        <f t="shared" si="131"/>
        <v>10</v>
      </c>
      <c r="E281" s="11">
        <f t="shared" si="131"/>
        <v>42</v>
      </c>
      <c r="F281" s="11">
        <f>+F249-E249</f>
        <v>63.537001624988989</v>
      </c>
      <c r="G281" s="11"/>
      <c r="H281" s="11"/>
      <c r="I281" s="11"/>
      <c r="J281" s="11"/>
      <c r="K281" s="11"/>
      <c r="L281" s="11"/>
      <c r="M281" s="11"/>
      <c r="N281" s="11">
        <f>+N249-F249</f>
        <v>1309.6683610028504</v>
      </c>
      <c r="O281" s="11">
        <f t="shared" si="132"/>
        <v>169.82060919021433</v>
      </c>
      <c r="P281" s="11">
        <f t="shared" si="132"/>
        <v>86.380848223474459</v>
      </c>
      <c r="Q281" s="11">
        <f t="shared" si="132"/>
        <v>54.86624972723439</v>
      </c>
      <c r="R281" s="11">
        <f t="shared" si="132"/>
        <v>54.52050536633169</v>
      </c>
      <c r="S281" s="11">
        <f t="shared" si="133"/>
        <v>54.174761005429446</v>
      </c>
      <c r="T281" s="11">
        <f t="shared" si="133"/>
        <v>53.829016644527655</v>
      </c>
      <c r="U281" s="11">
        <f t="shared" si="133"/>
        <v>53.483272283624956</v>
      </c>
      <c r="V281" s="11">
        <f t="shared" si="133"/>
        <v>53.137527922722711</v>
      </c>
      <c r="W281" s="12"/>
      <c r="X281" s="12"/>
      <c r="Y281" s="12"/>
      <c r="Z281" s="107"/>
      <c r="AA281" s="107"/>
    </row>
    <row r="282" spans="1:27">
      <c r="A282" s="4" t="s">
        <v>114</v>
      </c>
      <c r="B282" s="11"/>
      <c r="C282" s="11">
        <f t="shared" si="131"/>
        <v>-4</v>
      </c>
      <c r="D282" s="11">
        <f t="shared" si="131"/>
        <v>13</v>
      </c>
      <c r="E282" s="11">
        <f t="shared" si="131"/>
        <v>-3.4671170507371016</v>
      </c>
      <c r="F282" s="11">
        <f>+F250-E250</f>
        <v>-1.9907768389390412</v>
      </c>
      <c r="G282" s="11"/>
      <c r="H282" s="11"/>
      <c r="I282" s="11"/>
      <c r="J282" s="11"/>
      <c r="K282" s="11"/>
      <c r="L282" s="11"/>
      <c r="M282" s="11"/>
      <c r="N282" s="11">
        <f>+N250-F250</f>
        <v>154.03939674099485</v>
      </c>
      <c r="O282" s="11">
        <f t="shared" si="132"/>
        <v>-16.236601919109148</v>
      </c>
      <c r="P282" s="11">
        <f t="shared" si="132"/>
        <v>-41.568587928505679</v>
      </c>
      <c r="Q282" s="11">
        <f t="shared" si="132"/>
        <v>-27.782480682129062</v>
      </c>
      <c r="R282" s="11">
        <f t="shared" si="132"/>
        <v>-27.631234305317236</v>
      </c>
      <c r="S282" s="11">
        <f t="shared" si="133"/>
        <v>-27.479987928505807</v>
      </c>
      <c r="T282" s="11">
        <f t="shared" si="133"/>
        <v>-27.328741551694151</v>
      </c>
      <c r="U282" s="11">
        <f t="shared" si="133"/>
        <v>-27.177495174882537</v>
      </c>
      <c r="V282" s="11">
        <f t="shared" si="133"/>
        <v>-27.02624879807108</v>
      </c>
      <c r="W282" s="12"/>
      <c r="X282" s="12"/>
      <c r="Y282" s="12"/>
      <c r="Z282" s="107"/>
      <c r="AA282" s="107"/>
    </row>
    <row r="283" spans="1:27">
      <c r="B283" s="11"/>
      <c r="C283" s="11"/>
      <c r="D283" s="11"/>
      <c r="E283" s="11"/>
      <c r="F283" s="11"/>
      <c r="G283" s="11"/>
      <c r="H283" s="11"/>
      <c r="I283" s="11"/>
      <c r="J283" s="11"/>
      <c r="K283" s="11"/>
      <c r="L283" s="11"/>
      <c r="M283" s="11"/>
      <c r="N283" s="11"/>
      <c r="O283" s="11"/>
      <c r="P283" s="11"/>
      <c r="Q283" s="11"/>
      <c r="R283" s="11"/>
      <c r="S283" s="11"/>
      <c r="T283" s="11"/>
      <c r="U283" s="11"/>
      <c r="V283" s="11"/>
      <c r="W283" s="12"/>
      <c r="X283" s="12"/>
      <c r="Y283" s="12"/>
      <c r="Z283" s="107"/>
      <c r="AA283" s="107"/>
    </row>
    <row r="284" spans="1:27">
      <c r="A284" s="7" t="s">
        <v>33</v>
      </c>
      <c r="B284" s="11"/>
      <c r="C284" s="11"/>
      <c r="D284" s="11"/>
      <c r="E284" s="11"/>
      <c r="F284" s="11"/>
      <c r="G284" s="11"/>
      <c r="H284" s="11"/>
      <c r="I284" s="11"/>
      <c r="J284" s="11"/>
      <c r="K284" s="11"/>
      <c r="L284" s="11"/>
      <c r="M284" s="11"/>
      <c r="N284" s="11"/>
      <c r="O284" s="11"/>
      <c r="P284" s="11"/>
      <c r="Q284" s="11"/>
      <c r="R284" s="11"/>
      <c r="S284" s="11"/>
      <c r="T284" s="11"/>
      <c r="U284" s="11"/>
      <c r="V284" s="11"/>
      <c r="W284" s="12"/>
      <c r="X284" s="192" t="s">
        <v>672</v>
      </c>
      <c r="Y284" s="12"/>
      <c r="Z284" s="107"/>
      <c r="AA284" s="107"/>
    </row>
    <row r="285" spans="1:27">
      <c r="A285" s="4" t="s">
        <v>115</v>
      </c>
      <c r="B285" s="11"/>
      <c r="C285" s="11">
        <f t="shared" ref="C285:E290" si="134">+C265-B265</f>
        <v>-122</v>
      </c>
      <c r="D285" s="11">
        <f t="shared" si="134"/>
        <v>-78</v>
      </c>
      <c r="E285" s="11">
        <f t="shared" si="134"/>
        <v>-27</v>
      </c>
      <c r="F285" s="45">
        <v>-30</v>
      </c>
      <c r="G285" s="45"/>
      <c r="H285" s="45"/>
      <c r="I285" s="45"/>
      <c r="J285" s="45"/>
      <c r="K285" s="45"/>
      <c r="L285" s="45"/>
      <c r="M285" s="45"/>
      <c r="N285" s="45">
        <v>-20</v>
      </c>
      <c r="O285" s="45">
        <v>-20</v>
      </c>
      <c r="P285" s="45">
        <v>-20</v>
      </c>
      <c r="Q285" s="45">
        <v>-20</v>
      </c>
      <c r="R285" s="45">
        <v>-20</v>
      </c>
      <c r="S285" s="45">
        <v>-20</v>
      </c>
      <c r="T285" s="45">
        <v>-20</v>
      </c>
      <c r="U285" s="45">
        <v>-20</v>
      </c>
      <c r="V285" s="45">
        <v>-20</v>
      </c>
      <c r="W285" s="12"/>
      <c r="X285" s="193">
        <f>+AL9</f>
        <v>0</v>
      </c>
      <c r="Y285" s="12"/>
      <c r="Z285" s="107"/>
      <c r="AA285" s="107"/>
    </row>
    <row r="286" spans="1:27">
      <c r="A286" s="14" t="s">
        <v>116</v>
      </c>
      <c r="B286" s="11"/>
      <c r="C286" s="11">
        <f t="shared" si="134"/>
        <v>-22</v>
      </c>
      <c r="D286" s="11">
        <f t="shared" si="134"/>
        <v>-33</v>
      </c>
      <c r="E286" s="11">
        <f t="shared" si="134"/>
        <v>14.270515695067388</v>
      </c>
      <c r="F286" s="11"/>
      <c r="G286" s="11"/>
      <c r="H286" s="11"/>
      <c r="I286" s="11"/>
      <c r="J286" s="11"/>
      <c r="K286" s="11"/>
      <c r="L286" s="11"/>
      <c r="M286" s="11"/>
      <c r="N286" s="11"/>
      <c r="O286" s="11"/>
      <c r="P286" s="11"/>
      <c r="Q286" s="11"/>
      <c r="R286" s="11"/>
      <c r="S286" s="11"/>
      <c r="T286" s="11"/>
      <c r="U286" s="11"/>
      <c r="V286" s="11"/>
      <c r="W286" s="12"/>
      <c r="X286" s="192"/>
      <c r="Y286" s="12"/>
      <c r="Z286" s="107"/>
      <c r="AA286" s="107"/>
    </row>
    <row r="287" spans="1:27">
      <c r="A287" s="4" t="s">
        <v>118</v>
      </c>
      <c r="B287" s="11"/>
      <c r="C287" s="11">
        <f t="shared" si="134"/>
        <v>11</v>
      </c>
      <c r="D287" s="11">
        <f t="shared" si="134"/>
        <v>11</v>
      </c>
      <c r="E287" s="11">
        <f t="shared" si="134"/>
        <v>-3</v>
      </c>
      <c r="F287" s="45">
        <v>20</v>
      </c>
      <c r="G287" s="45"/>
      <c r="H287" s="45"/>
      <c r="I287" s="45"/>
      <c r="J287" s="45"/>
      <c r="K287" s="45"/>
      <c r="L287" s="45"/>
      <c r="M287" s="45"/>
      <c r="N287" s="45">
        <v>60</v>
      </c>
      <c r="O287" s="45">
        <v>60</v>
      </c>
      <c r="P287" s="45">
        <v>60</v>
      </c>
      <c r="Q287" s="45">
        <v>60</v>
      </c>
      <c r="R287" s="45">
        <v>60</v>
      </c>
      <c r="S287" s="45">
        <v>60</v>
      </c>
      <c r="T287" s="45">
        <v>60</v>
      </c>
      <c r="U287" s="45">
        <v>60</v>
      </c>
      <c r="V287" s="45">
        <v>60</v>
      </c>
      <c r="W287" s="12"/>
      <c r="X287" s="193">
        <f>+AL10</f>
        <v>0</v>
      </c>
      <c r="Y287" s="12"/>
      <c r="Z287" s="107"/>
      <c r="AA287" s="107"/>
    </row>
    <row r="288" spans="1:27">
      <c r="A288" s="4" t="s">
        <v>117</v>
      </c>
      <c r="B288" s="11"/>
      <c r="C288" s="11">
        <f t="shared" si="134"/>
        <v>20</v>
      </c>
      <c r="D288" s="11">
        <f t="shared" si="134"/>
        <v>39</v>
      </c>
      <c r="E288" s="11">
        <f t="shared" si="134"/>
        <v>28</v>
      </c>
      <c r="F288" s="45">
        <v>40</v>
      </c>
      <c r="G288" s="45"/>
      <c r="H288" s="45"/>
      <c r="I288" s="45"/>
      <c r="J288" s="45"/>
      <c r="K288" s="45"/>
      <c r="L288" s="45"/>
      <c r="M288" s="45"/>
      <c r="N288" s="45">
        <v>60</v>
      </c>
      <c r="O288" s="45">
        <v>60</v>
      </c>
      <c r="P288" s="45">
        <v>60</v>
      </c>
      <c r="Q288" s="45">
        <v>60</v>
      </c>
      <c r="R288" s="45">
        <v>60</v>
      </c>
      <c r="S288" s="45">
        <v>60</v>
      </c>
      <c r="T288" s="45">
        <v>60</v>
      </c>
      <c r="U288" s="45">
        <v>60</v>
      </c>
      <c r="V288" s="45">
        <v>60</v>
      </c>
      <c r="W288" s="12"/>
      <c r="X288" s="193">
        <f>+AL11</f>
        <v>0</v>
      </c>
      <c r="Y288" s="12"/>
      <c r="Z288" s="98"/>
      <c r="AA288" s="98"/>
    </row>
    <row r="289" spans="1:27">
      <c r="A289" s="4" t="s">
        <v>153</v>
      </c>
      <c r="B289" s="11"/>
      <c r="C289" s="11">
        <f t="shared" si="134"/>
        <v>25</v>
      </c>
      <c r="D289" s="11">
        <f t="shared" si="134"/>
        <v>34</v>
      </c>
      <c r="E289" s="11">
        <f t="shared" si="134"/>
        <v>24</v>
      </c>
      <c r="F289" s="45">
        <v>35</v>
      </c>
      <c r="G289" s="45"/>
      <c r="H289" s="45"/>
      <c r="I289" s="45"/>
      <c r="J289" s="45"/>
      <c r="K289" s="45"/>
      <c r="L289" s="45"/>
      <c r="M289" s="45"/>
      <c r="N289" s="45">
        <v>45</v>
      </c>
      <c r="O289" s="45">
        <v>45</v>
      </c>
      <c r="P289" s="45">
        <v>45</v>
      </c>
      <c r="Q289" s="45">
        <v>45</v>
      </c>
      <c r="R289" s="45">
        <v>45</v>
      </c>
      <c r="S289" s="45">
        <v>45</v>
      </c>
      <c r="T289" s="45">
        <v>45</v>
      </c>
      <c r="U289" s="45">
        <v>45</v>
      </c>
      <c r="V289" s="45">
        <v>45</v>
      </c>
      <c r="W289" s="12"/>
      <c r="X289" s="193">
        <f>+AL11</f>
        <v>0</v>
      </c>
      <c r="Y289" s="12"/>
      <c r="Z289" s="108"/>
      <c r="AA289" s="108"/>
    </row>
    <row r="290" spans="1:27">
      <c r="A290" s="7" t="s">
        <v>119</v>
      </c>
      <c r="B290" s="11"/>
      <c r="C290" s="11">
        <f t="shared" si="134"/>
        <v>-65</v>
      </c>
      <c r="D290" s="11">
        <f t="shared" si="134"/>
        <v>6</v>
      </c>
      <c r="E290" s="11">
        <f t="shared" si="134"/>
        <v>22</v>
      </c>
      <c r="F290" s="11">
        <f>+F270-E270</f>
        <v>65</v>
      </c>
      <c r="G290" s="11"/>
      <c r="H290" s="11"/>
      <c r="I290" s="11"/>
      <c r="J290" s="11"/>
      <c r="K290" s="11"/>
      <c r="L290" s="11"/>
      <c r="M290" s="11"/>
      <c r="N290" s="11">
        <f>+N270-F270</f>
        <v>2042</v>
      </c>
      <c r="O290" s="11">
        <f t="shared" ref="O290:V290" si="135">+O270-N270</f>
        <v>145</v>
      </c>
      <c r="P290" s="11">
        <f t="shared" si="135"/>
        <v>145</v>
      </c>
      <c r="Q290" s="11">
        <f t="shared" si="135"/>
        <v>145</v>
      </c>
      <c r="R290" s="11">
        <f t="shared" si="135"/>
        <v>145</v>
      </c>
      <c r="S290" s="11">
        <f t="shared" si="135"/>
        <v>145</v>
      </c>
      <c r="T290" s="11">
        <f t="shared" si="135"/>
        <v>145</v>
      </c>
      <c r="U290" s="11">
        <f t="shared" si="135"/>
        <v>145</v>
      </c>
      <c r="V290" s="11">
        <f t="shared" si="135"/>
        <v>145</v>
      </c>
      <c r="W290" s="12"/>
      <c r="X290" s="12"/>
      <c r="Y290" s="12"/>
      <c r="Z290" s="108"/>
      <c r="AA290" s="108"/>
    </row>
    <row r="291" spans="1:27">
      <c r="A291" s="7" t="s">
        <v>231</v>
      </c>
      <c r="B291" s="11"/>
      <c r="C291" s="11">
        <f t="shared" ref="C291:V291" si="136">+C272-B272</f>
        <v>-77</v>
      </c>
      <c r="D291" s="11">
        <f t="shared" si="136"/>
        <v>-5</v>
      </c>
      <c r="E291" s="11">
        <f t="shared" si="136"/>
        <v>25</v>
      </c>
      <c r="F291" s="11">
        <f t="shared" si="136"/>
        <v>45</v>
      </c>
      <c r="G291" s="11"/>
      <c r="H291" s="11"/>
      <c r="I291" s="11"/>
      <c r="J291" s="11"/>
      <c r="K291" s="11"/>
      <c r="L291" s="11"/>
      <c r="M291" s="11"/>
      <c r="N291" s="11">
        <f>+N272-F272</f>
        <v>1728</v>
      </c>
      <c r="O291" s="11">
        <f t="shared" si="136"/>
        <v>85</v>
      </c>
      <c r="P291" s="11">
        <f t="shared" si="136"/>
        <v>85</v>
      </c>
      <c r="Q291" s="11">
        <f t="shared" si="136"/>
        <v>85</v>
      </c>
      <c r="R291" s="11">
        <f t="shared" si="136"/>
        <v>85</v>
      </c>
      <c r="S291" s="11">
        <f t="shared" si="136"/>
        <v>85</v>
      </c>
      <c r="T291" s="11">
        <f t="shared" si="136"/>
        <v>85</v>
      </c>
      <c r="U291" s="11">
        <f t="shared" si="136"/>
        <v>85</v>
      </c>
      <c r="V291" s="11">
        <f t="shared" si="136"/>
        <v>85</v>
      </c>
      <c r="W291" s="12"/>
      <c r="X291" s="12"/>
      <c r="Y291" s="12"/>
      <c r="Z291" s="108"/>
      <c r="AA291" s="108"/>
    </row>
    <row r="292" spans="1:27">
      <c r="A292" s="7" t="s">
        <v>397</v>
      </c>
      <c r="B292" s="11"/>
      <c r="C292" s="11">
        <f t="shared" ref="C292:V292" si="137">+C288+C289</f>
        <v>45</v>
      </c>
      <c r="D292" s="11">
        <f t="shared" si="137"/>
        <v>73</v>
      </c>
      <c r="E292" s="11">
        <f t="shared" si="137"/>
        <v>52</v>
      </c>
      <c r="F292" s="11">
        <f t="shared" si="137"/>
        <v>75</v>
      </c>
      <c r="G292" s="11"/>
      <c r="H292" s="11"/>
      <c r="I292" s="11"/>
      <c r="J292" s="11"/>
      <c r="K292" s="11"/>
      <c r="L292" s="11"/>
      <c r="M292" s="11"/>
      <c r="N292" s="11">
        <f t="shared" si="137"/>
        <v>105</v>
      </c>
      <c r="O292" s="11">
        <f t="shared" si="137"/>
        <v>105</v>
      </c>
      <c r="P292" s="11">
        <f t="shared" si="137"/>
        <v>105</v>
      </c>
      <c r="Q292" s="11">
        <f t="shared" si="137"/>
        <v>105</v>
      </c>
      <c r="R292" s="11">
        <f t="shared" si="137"/>
        <v>105</v>
      </c>
      <c r="S292" s="11">
        <f t="shared" si="137"/>
        <v>105</v>
      </c>
      <c r="T292" s="11">
        <f t="shared" si="137"/>
        <v>105</v>
      </c>
      <c r="U292" s="11">
        <f t="shared" si="137"/>
        <v>105</v>
      </c>
      <c r="V292" s="11">
        <f t="shared" si="137"/>
        <v>105</v>
      </c>
      <c r="W292" s="12"/>
      <c r="X292" s="12"/>
      <c r="Y292" s="12"/>
      <c r="Z292" s="108"/>
      <c r="AA292" s="108"/>
    </row>
    <row r="293" spans="1:27">
      <c r="B293" s="11"/>
      <c r="C293" s="11"/>
      <c r="D293" s="11"/>
      <c r="E293" s="11"/>
      <c r="F293" s="11"/>
      <c r="G293" s="11"/>
      <c r="H293" s="11"/>
      <c r="I293" s="11"/>
      <c r="J293" s="11"/>
      <c r="K293" s="11"/>
      <c r="L293" s="11"/>
      <c r="M293" s="11"/>
      <c r="N293" s="11"/>
      <c r="O293" s="11"/>
      <c r="P293" s="11"/>
      <c r="Q293" s="11"/>
      <c r="R293" s="11"/>
      <c r="S293" s="11"/>
      <c r="T293" s="11"/>
      <c r="U293" s="11"/>
      <c r="V293" s="11"/>
      <c r="W293" s="12"/>
      <c r="X293" s="12"/>
      <c r="Y293" s="12"/>
      <c r="Z293" s="108"/>
      <c r="AA293" s="108"/>
    </row>
    <row r="294" spans="1:27">
      <c r="A294" s="7" t="s">
        <v>67</v>
      </c>
      <c r="B294" s="7"/>
      <c r="C294" s="7"/>
      <c r="D294" s="7"/>
      <c r="E294" s="7"/>
      <c r="F294" s="7"/>
      <c r="G294" s="7"/>
      <c r="H294" s="7"/>
      <c r="I294" s="7"/>
      <c r="J294" s="7"/>
      <c r="K294" s="7"/>
      <c r="L294" s="7"/>
      <c r="M294" s="7"/>
      <c r="N294" s="7"/>
      <c r="O294" s="7"/>
      <c r="P294" s="7"/>
      <c r="Q294" s="7"/>
      <c r="R294" s="7"/>
      <c r="S294" s="7"/>
      <c r="T294" s="7"/>
      <c r="U294" s="7"/>
      <c r="V294" s="7"/>
      <c r="W294" s="7"/>
      <c r="X294" s="7"/>
      <c r="Y294" s="7"/>
      <c r="Z294" s="108"/>
      <c r="AA294" s="108"/>
    </row>
    <row r="295" spans="1:27">
      <c r="A295" s="4" t="s">
        <v>63</v>
      </c>
      <c r="B295" s="35">
        <v>0.47299999999999998</v>
      </c>
      <c r="C295" s="35">
        <v>0.54800000000000004</v>
      </c>
      <c r="D295" s="35">
        <v>0.59499999999999997</v>
      </c>
      <c r="E295" s="35">
        <f t="shared" ref="E295:V296" si="138">+E248/E245</f>
        <v>0.63496339596303053</v>
      </c>
      <c r="F295" s="35">
        <f t="shared" si="138"/>
        <v>0.67520990381464896</v>
      </c>
      <c r="G295" s="35"/>
      <c r="H295" s="35"/>
      <c r="I295" s="35"/>
      <c r="J295" s="35"/>
      <c r="K295" s="35"/>
      <c r="L295" s="35"/>
      <c r="M295" s="35"/>
      <c r="N295" s="35">
        <f>+N248/N245</f>
        <v>0.71979725262144867</v>
      </c>
      <c r="O295" s="35">
        <f t="shared" si="138"/>
        <v>0.76438460142824827</v>
      </c>
      <c r="P295" s="35">
        <f t="shared" si="138"/>
        <v>0.77897195023504784</v>
      </c>
      <c r="Q295" s="35">
        <f t="shared" si="138"/>
        <v>0.78869684943958096</v>
      </c>
      <c r="R295" s="35">
        <f t="shared" si="138"/>
        <v>0.79842174864411397</v>
      </c>
      <c r="S295" s="35">
        <f t="shared" si="138"/>
        <v>0.80814664784864709</v>
      </c>
      <c r="T295" s="35">
        <f t="shared" si="138"/>
        <v>0.81787154705318021</v>
      </c>
      <c r="U295" s="35">
        <f t="shared" si="138"/>
        <v>0.82759644625771323</v>
      </c>
      <c r="V295" s="35">
        <f t="shared" si="138"/>
        <v>0.83732134546224635</v>
      </c>
      <c r="W295" s="35"/>
      <c r="X295" s="35"/>
      <c r="Y295" s="35"/>
      <c r="Z295" s="108"/>
      <c r="AA295" s="108"/>
    </row>
    <row r="296" spans="1:27">
      <c r="A296" s="4" t="s">
        <v>64</v>
      </c>
      <c r="B296" s="35">
        <v>0.62</v>
      </c>
      <c r="C296" s="35">
        <v>0.70499999999999996</v>
      </c>
      <c r="D296" s="35">
        <v>0.745</v>
      </c>
      <c r="E296" s="35">
        <f t="shared" si="138"/>
        <v>0.78052344615295244</v>
      </c>
      <c r="F296" s="35">
        <f t="shared" si="138"/>
        <v>0.80436090225563917</v>
      </c>
      <c r="G296" s="35"/>
      <c r="H296" s="35"/>
      <c r="I296" s="35"/>
      <c r="J296" s="35"/>
      <c r="K296" s="35"/>
      <c r="L296" s="35"/>
      <c r="M296" s="35"/>
      <c r="N296" s="35">
        <f t="shared" si="138"/>
        <v>0.83436090225563919</v>
      </c>
      <c r="O296" s="35">
        <f t="shared" si="138"/>
        <v>0.86436090225563922</v>
      </c>
      <c r="P296" s="35">
        <f t="shared" si="138"/>
        <v>0.86436090225563922</v>
      </c>
      <c r="Q296" s="35">
        <f t="shared" si="138"/>
        <v>0.86436090225563922</v>
      </c>
      <c r="R296" s="35">
        <f t="shared" si="138"/>
        <v>0.86436090225563922</v>
      </c>
      <c r="S296" s="35">
        <f t="shared" si="138"/>
        <v>0.86436090225563922</v>
      </c>
      <c r="T296" s="35">
        <f t="shared" si="138"/>
        <v>0.86436090225563933</v>
      </c>
      <c r="U296" s="35">
        <f t="shared" si="138"/>
        <v>0.86436090225563922</v>
      </c>
      <c r="V296" s="35">
        <f t="shared" si="138"/>
        <v>0.86436090225563911</v>
      </c>
      <c r="W296" s="35"/>
      <c r="X296" s="35"/>
      <c r="Y296" s="35"/>
      <c r="Z296" s="108"/>
      <c r="AA296" s="108"/>
    </row>
    <row r="297" spans="1:27">
      <c r="A297" s="4" t="s">
        <v>65</v>
      </c>
      <c r="B297" s="35">
        <v>0.124</v>
      </c>
      <c r="C297" s="35">
        <v>0.13300000000000001</v>
      </c>
      <c r="D297" s="35">
        <v>0.16700000000000001</v>
      </c>
      <c r="E297" s="35">
        <f t="shared" ref="E297:V297" si="139">+E268/E248</f>
        <v>0.18746527664855631</v>
      </c>
      <c r="F297" s="35">
        <f t="shared" si="139"/>
        <v>0.21245232078844642</v>
      </c>
      <c r="G297" s="35"/>
      <c r="H297" s="35"/>
      <c r="I297" s="35"/>
      <c r="J297" s="35"/>
      <c r="K297" s="35"/>
      <c r="L297" s="35"/>
      <c r="M297" s="35"/>
      <c r="N297" s="35">
        <f t="shared" si="139"/>
        <v>0.20170687310708804</v>
      </c>
      <c r="O297" s="35">
        <f t="shared" si="139"/>
        <v>0.21223559056706193</v>
      </c>
      <c r="P297" s="35">
        <f t="shared" si="139"/>
        <v>0.23025984713066774</v>
      </c>
      <c r="Q297" s="35">
        <f t="shared" si="139"/>
        <v>0.24926926078968828</v>
      </c>
      <c r="R297" s="35">
        <f t="shared" si="139"/>
        <v>0.26793630666992146</v>
      </c>
      <c r="S297" s="35">
        <f t="shared" si="139"/>
        <v>0.28627434776935567</v>
      </c>
      <c r="T297" s="35">
        <f t="shared" si="139"/>
        <v>0.3042961226663648</v>
      </c>
      <c r="U297" s="35">
        <f t="shared" si="139"/>
        <v>0.32201378236216688</v>
      </c>
      <c r="V297" s="35">
        <f t="shared" si="139"/>
        <v>0.33943892455849223</v>
      </c>
      <c r="W297" s="35"/>
      <c r="X297" s="35"/>
      <c r="Y297" s="35"/>
      <c r="Z297" s="98"/>
      <c r="AA297" s="98"/>
    </row>
    <row r="298" spans="1:27">
      <c r="A298" s="4" t="s">
        <v>66</v>
      </c>
      <c r="B298" s="35">
        <v>0.13700000000000001</v>
      </c>
      <c r="C298" s="35">
        <v>0.14499999999999999</v>
      </c>
      <c r="D298" s="35">
        <v>0.185</v>
      </c>
      <c r="E298" s="35"/>
      <c r="F298" s="35"/>
      <c r="G298" s="35"/>
      <c r="H298" s="35"/>
      <c r="I298" s="35"/>
      <c r="J298" s="35"/>
      <c r="K298" s="35"/>
      <c r="L298" s="35"/>
      <c r="M298" s="35"/>
      <c r="N298" s="35"/>
      <c r="O298" s="35"/>
      <c r="P298" s="35"/>
      <c r="Q298" s="35"/>
      <c r="R298" s="35"/>
      <c r="S298" s="35"/>
      <c r="T298" s="35"/>
      <c r="U298" s="35"/>
      <c r="V298" s="35"/>
      <c r="W298" s="35"/>
      <c r="X298" s="35"/>
      <c r="Y298" s="35"/>
      <c r="Z298" s="98"/>
      <c r="AA298" s="98"/>
    </row>
    <row r="299" spans="1:27">
      <c r="A299" s="4" t="s">
        <v>155</v>
      </c>
      <c r="B299" s="35">
        <v>0.14599999999999999</v>
      </c>
      <c r="C299" s="35">
        <v>0.161</v>
      </c>
      <c r="D299" s="35">
        <v>0.17899999999999999</v>
      </c>
      <c r="E299" s="35">
        <f t="shared" ref="E299:V299" si="140">+E267/E266</f>
        <v>0.17288209739984658</v>
      </c>
      <c r="F299" s="35">
        <f t="shared" si="140"/>
        <v>0.19346288327853609</v>
      </c>
      <c r="G299" s="35"/>
      <c r="H299" s="35"/>
      <c r="I299" s="35"/>
      <c r="J299" s="35"/>
      <c r="K299" s="35"/>
      <c r="L299" s="35"/>
      <c r="M299" s="35"/>
      <c r="N299" s="35">
        <f>+N267/N266</f>
        <v>0.26546922600575507</v>
      </c>
      <c r="O299" s="35">
        <f t="shared" si="140"/>
        <v>0.29227203020746489</v>
      </c>
      <c r="P299" s="35">
        <f t="shared" si="140"/>
        <v>0.31825563101236298</v>
      </c>
      <c r="Q299" s="35">
        <f t="shared" si="140"/>
        <v>0.34349364970322488</v>
      </c>
      <c r="R299" s="35">
        <f t="shared" si="140"/>
        <v>0.36805303544576812</v>
      </c>
      <c r="S299" s="35">
        <f t="shared" si="140"/>
        <v>0.39199486715241205</v>
      </c>
      <c r="T299" s="35">
        <f t="shared" si="140"/>
        <v>0.41537504564309058</v>
      </c>
      <c r="U299" s="35">
        <f t="shared" si="140"/>
        <v>0.43824489340281009</v>
      </c>
      <c r="V299" s="35">
        <f t="shared" si="140"/>
        <v>0.46065167619847153</v>
      </c>
      <c r="W299" s="35"/>
      <c r="X299" s="35"/>
      <c r="Y299" s="35"/>
      <c r="Z299" s="109"/>
      <c r="AA299" s="109"/>
    </row>
    <row r="300" spans="1:27">
      <c r="A300" s="4" t="s">
        <v>194</v>
      </c>
      <c r="B300" s="35">
        <v>0.63900000000000001</v>
      </c>
      <c r="C300" s="35">
        <v>0.68200000000000005</v>
      </c>
      <c r="D300" s="35">
        <v>0.71899999999999997</v>
      </c>
      <c r="E300" s="35"/>
      <c r="F300" s="35"/>
      <c r="G300" s="35"/>
      <c r="H300" s="35"/>
      <c r="I300" s="35"/>
      <c r="J300" s="35"/>
      <c r="K300" s="35"/>
      <c r="L300" s="35"/>
      <c r="M300" s="35"/>
      <c r="N300" s="35"/>
      <c r="O300" s="35"/>
      <c r="P300" s="35"/>
      <c r="Q300" s="35"/>
      <c r="R300" s="35"/>
      <c r="S300" s="35"/>
      <c r="T300" s="35"/>
      <c r="U300" s="35"/>
      <c r="V300" s="35"/>
      <c r="W300" s="35"/>
      <c r="X300" s="35"/>
      <c r="Y300" s="35"/>
      <c r="Z300" s="109"/>
      <c r="AA300" s="109"/>
    </row>
    <row r="301" spans="1:27">
      <c r="A301" s="4" t="s">
        <v>607</v>
      </c>
      <c r="B301" s="35">
        <f t="shared" ref="B301:V301" si="141">+B268/B261</f>
        <v>7.9474775397373881E-2</v>
      </c>
      <c r="C301" s="35">
        <f t="shared" si="141"/>
        <v>9.9778270509977826E-2</v>
      </c>
      <c r="D301" s="35">
        <f t="shared" si="141"/>
        <v>0.13364055299539171</v>
      </c>
      <c r="E301" s="35">
        <f t="shared" si="141"/>
        <v>0.15756630265210608</v>
      </c>
      <c r="F301" s="35">
        <f t="shared" si="141"/>
        <v>0.18863799200366349</v>
      </c>
      <c r="G301" s="35"/>
      <c r="H301" s="35"/>
      <c r="I301" s="35"/>
      <c r="J301" s="35"/>
      <c r="K301" s="35"/>
      <c r="L301" s="35"/>
      <c r="M301" s="35"/>
      <c r="N301" s="35">
        <f t="shared" si="141"/>
        <v>0.20849492791796131</v>
      </c>
      <c r="O301" s="35">
        <f t="shared" si="141"/>
        <v>0.23130636871465884</v>
      </c>
      <c r="P301" s="35">
        <f t="shared" si="141"/>
        <v>0.253929048448989</v>
      </c>
      <c r="Q301" s="35">
        <f t="shared" si="141"/>
        <v>0.27636806204559777</v>
      </c>
      <c r="R301" s="35">
        <f t="shared" si="141"/>
        <v>0.29862837456595226</v>
      </c>
      <c r="S301" s="35">
        <f t="shared" si="141"/>
        <v>0.32071482588135852</v>
      </c>
      <c r="T301" s="35">
        <f t="shared" si="141"/>
        <v>0.3426321351558646</v>
      </c>
      <c r="U301" s="35">
        <f t="shared" si="141"/>
        <v>0.36438490514820299</v>
      </c>
      <c r="V301" s="35">
        <f t="shared" si="141"/>
        <v>0.38597762634143318</v>
      </c>
      <c r="W301" s="35"/>
      <c r="X301" s="35"/>
      <c r="Y301" s="35"/>
      <c r="Z301" s="110"/>
      <c r="AA301" s="110"/>
    </row>
    <row r="302" spans="1:27">
      <c r="A302" s="4" t="s">
        <v>608</v>
      </c>
      <c r="B302" s="35">
        <f t="shared" ref="B302:V302" si="142">+B269/B261</f>
        <v>6.0124395300621976E-2</v>
      </c>
      <c r="C302" s="35">
        <f t="shared" si="142"/>
        <v>8.2779009608277901E-2</v>
      </c>
      <c r="D302" s="35">
        <f t="shared" si="142"/>
        <v>0.11213517665130568</v>
      </c>
      <c r="E302" s="35">
        <f t="shared" si="142"/>
        <v>0.13260530421216848</v>
      </c>
      <c r="F302" s="35">
        <f t="shared" si="142"/>
        <v>0.15979664611880584</v>
      </c>
      <c r="G302" s="35"/>
      <c r="H302" s="35"/>
      <c r="I302" s="35"/>
      <c r="J302" s="35"/>
      <c r="K302" s="35"/>
      <c r="L302" s="35"/>
      <c r="M302" s="35"/>
      <c r="N302" s="35">
        <f t="shared" si="142"/>
        <v>0.17712140543125857</v>
      </c>
      <c r="O302" s="35">
        <f t="shared" si="142"/>
        <v>0.19413919151948289</v>
      </c>
      <c r="P302" s="35">
        <f t="shared" si="142"/>
        <v>0.21101700770334589</v>
      </c>
      <c r="Q302" s="35">
        <f t="shared" si="142"/>
        <v>0.2277586440404146</v>
      </c>
      <c r="R302" s="35">
        <f t="shared" si="142"/>
        <v>0.2443677940892629</v>
      </c>
      <c r="S302" s="35">
        <f t="shared" si="142"/>
        <v>0.26084805838350494</v>
      </c>
      <c r="T302" s="35">
        <f t="shared" si="142"/>
        <v>0.2772029477645187</v>
      </c>
      <c r="U302" s="35">
        <f t="shared" si="142"/>
        <v>0.29343588657966402</v>
      </c>
      <c r="V302" s="35">
        <f t="shared" si="142"/>
        <v>0.30955021575243297</v>
      </c>
      <c r="W302" s="35"/>
      <c r="X302" s="35"/>
      <c r="Y302" s="35"/>
    </row>
    <row r="303" spans="1:27">
      <c r="B303" s="7"/>
      <c r="C303" s="7"/>
      <c r="D303" s="7"/>
      <c r="E303" s="7"/>
      <c r="F303" s="7"/>
      <c r="G303" s="7"/>
      <c r="H303" s="7"/>
      <c r="I303" s="7"/>
      <c r="J303" s="7"/>
      <c r="K303" s="7"/>
      <c r="L303" s="7"/>
      <c r="M303" s="7"/>
      <c r="N303" s="7"/>
      <c r="O303" s="7"/>
      <c r="P303" s="7"/>
      <c r="Q303" s="7"/>
      <c r="R303" s="7"/>
      <c r="S303" s="7"/>
      <c r="T303" s="7"/>
      <c r="U303" s="7"/>
      <c r="V303" s="7"/>
      <c r="W303" s="7"/>
      <c r="X303" s="7"/>
      <c r="Y303" s="7"/>
      <c r="Z303" s="98"/>
      <c r="AA303" s="98"/>
    </row>
    <row r="304" spans="1:27">
      <c r="A304" s="7" t="s">
        <v>120</v>
      </c>
      <c r="B304" s="7"/>
      <c r="C304" s="7"/>
      <c r="D304" s="7"/>
      <c r="E304" s="7"/>
      <c r="F304" s="7"/>
      <c r="G304" s="7"/>
      <c r="H304" s="7"/>
      <c r="I304" s="7"/>
      <c r="J304" s="7"/>
      <c r="K304" s="7"/>
      <c r="L304" s="7"/>
      <c r="M304" s="7"/>
      <c r="N304" s="7"/>
      <c r="O304" s="7"/>
      <c r="P304" s="7"/>
      <c r="Q304" s="7"/>
      <c r="R304" s="7"/>
      <c r="S304" s="7"/>
      <c r="T304" s="7"/>
      <c r="U304" s="7"/>
      <c r="V304" s="7"/>
      <c r="W304" s="7"/>
      <c r="X304" s="7"/>
      <c r="Y304" s="7"/>
      <c r="Z304" s="98"/>
      <c r="AA304" s="98"/>
    </row>
    <row r="305" spans="1:25">
      <c r="A305" s="4" t="s">
        <v>74</v>
      </c>
      <c r="B305" s="36">
        <v>9.1999999999999993</v>
      </c>
      <c r="C305" s="36">
        <v>9.4</v>
      </c>
      <c r="D305" s="36">
        <v>9.5</v>
      </c>
      <c r="E305" s="36">
        <v>9.6</v>
      </c>
      <c r="F305" s="36">
        <f t="shared" ref="F305:V305" si="143">+F319</f>
        <v>9.9106001725133019</v>
      </c>
      <c r="G305" s="36"/>
      <c r="H305" s="36"/>
      <c r="I305" s="36"/>
      <c r="J305" s="36"/>
      <c r="K305" s="36"/>
      <c r="L305" s="36"/>
      <c r="M305" s="36"/>
      <c r="N305" s="36">
        <f>+N319</f>
        <v>11.055807304290873</v>
      </c>
      <c r="O305" s="36">
        <f t="shared" si="143"/>
        <v>11.664476920942862</v>
      </c>
      <c r="P305" s="36">
        <f t="shared" si="143"/>
        <v>12.289900173397944</v>
      </c>
      <c r="Q305" s="36">
        <f t="shared" si="143"/>
        <v>12.933434344629026</v>
      </c>
      <c r="R305" s="36">
        <f t="shared" si="143"/>
        <v>13.596447188953331</v>
      </c>
      <c r="S305" s="36">
        <f t="shared" si="143"/>
        <v>14.28032357052416</v>
      </c>
      <c r="T305" s="36">
        <f t="shared" si="143"/>
        <v>14.986471650232406</v>
      </c>
      <c r="U305" s="36">
        <f t="shared" si="143"/>
        <v>15.716328721612477</v>
      </c>
      <c r="V305" s="36">
        <f t="shared" si="143"/>
        <v>16.47136678074342</v>
      </c>
      <c r="W305" s="36"/>
      <c r="X305" s="36"/>
      <c r="Y305" s="36"/>
    </row>
    <row r="306" spans="1:25">
      <c r="A306" s="4" t="s">
        <v>73</v>
      </c>
      <c r="B306" s="36">
        <v>21.9</v>
      </c>
      <c r="C306" s="36">
        <v>21.9</v>
      </c>
      <c r="D306" s="36">
        <v>22.4</v>
      </c>
      <c r="E306" s="36">
        <v>22</v>
      </c>
      <c r="F306" s="36">
        <f t="shared" ref="F306:V306" si="144">+F326</f>
        <v>22.22</v>
      </c>
      <c r="G306" s="36"/>
      <c r="H306" s="36"/>
      <c r="I306" s="36"/>
      <c r="J306" s="36"/>
      <c r="K306" s="36"/>
      <c r="L306" s="36"/>
      <c r="M306" s="36"/>
      <c r="N306" s="36">
        <f>+N326</f>
        <v>22.4422</v>
      </c>
      <c r="O306" s="36">
        <f t="shared" si="144"/>
        <v>22.666622</v>
      </c>
      <c r="P306" s="36">
        <f t="shared" si="144"/>
        <v>22.893288219999999</v>
      </c>
      <c r="Q306" s="36">
        <f t="shared" si="144"/>
        <v>23.007754661099995</v>
      </c>
      <c r="R306" s="36">
        <f t="shared" si="144"/>
        <v>23.007754661099995</v>
      </c>
      <c r="S306" s="36">
        <f t="shared" si="144"/>
        <v>23.007754661099995</v>
      </c>
      <c r="T306" s="36">
        <f t="shared" si="144"/>
        <v>23.007754661099995</v>
      </c>
      <c r="U306" s="36">
        <f t="shared" si="144"/>
        <v>23.007754661099995</v>
      </c>
      <c r="V306" s="36">
        <f t="shared" si="144"/>
        <v>23.007754661099995</v>
      </c>
      <c r="W306" s="36"/>
      <c r="X306" s="36"/>
      <c r="Y306" s="36"/>
    </row>
    <row r="307" spans="1:25">
      <c r="A307" s="7" t="s">
        <v>154</v>
      </c>
      <c r="B307" s="37">
        <v>11.6</v>
      </c>
      <c r="C307" s="37">
        <v>12.4</v>
      </c>
      <c r="D307" s="37">
        <v>13.2</v>
      </c>
      <c r="E307" s="37">
        <v>13.9</v>
      </c>
      <c r="F307" s="37">
        <f t="shared" ref="F307:V307" si="145">+F337</f>
        <v>13.930204717160576</v>
      </c>
      <c r="G307" s="37"/>
      <c r="H307" s="32">
        <v>16.399999999999999</v>
      </c>
      <c r="I307" s="32"/>
      <c r="J307" s="32">
        <v>15.8</v>
      </c>
      <c r="K307" s="37"/>
      <c r="L307" s="37">
        <f>+(F307*AC336)+(H307*AC337)+(J307*AC338)</f>
        <v>15.040471548342857</v>
      </c>
      <c r="M307" s="37"/>
      <c r="N307" s="37">
        <f>+N337</f>
        <v>15.764549165430338</v>
      </c>
      <c r="O307" s="37">
        <f t="shared" si="145"/>
        <v>16.512267174514374</v>
      </c>
      <c r="P307" s="37">
        <f t="shared" si="145"/>
        <v>17.528027574690885</v>
      </c>
      <c r="Q307" s="37">
        <f t="shared" si="145"/>
        <v>18.523539997750749</v>
      </c>
      <c r="R307" s="37">
        <f t="shared" si="145"/>
        <v>19.491764426750915</v>
      </c>
      <c r="S307" s="37">
        <f t="shared" si="145"/>
        <v>20.4617606591978</v>
      </c>
      <c r="T307" s="37">
        <f t="shared" si="145"/>
        <v>21.434431298646874</v>
      </c>
      <c r="U307" s="37">
        <f t="shared" si="145"/>
        <v>22.4106476714874</v>
      </c>
      <c r="V307" s="37">
        <f t="shared" si="145"/>
        <v>23.391254684965102</v>
      </c>
      <c r="W307" s="37"/>
      <c r="X307" s="37"/>
      <c r="Y307" s="37"/>
    </row>
    <row r="308" spans="1:25">
      <c r="B308" s="7"/>
      <c r="C308" s="7"/>
    </row>
    <row r="309" spans="1:25">
      <c r="A309" s="17" t="s">
        <v>193</v>
      </c>
      <c r="B309" s="7"/>
      <c r="C309" s="7"/>
      <c r="D309" s="7"/>
      <c r="E309" s="7"/>
      <c r="F309" s="7"/>
      <c r="G309" s="7"/>
      <c r="H309" s="7"/>
      <c r="I309" s="7"/>
      <c r="J309" s="7"/>
      <c r="K309" s="7"/>
      <c r="L309" s="7"/>
      <c r="M309" s="7"/>
      <c r="N309" s="7"/>
      <c r="O309" s="7"/>
      <c r="P309" s="7"/>
      <c r="Q309" s="7"/>
      <c r="R309" s="7"/>
      <c r="S309" s="7"/>
      <c r="T309" s="7"/>
      <c r="U309" s="7"/>
      <c r="V309" s="7"/>
      <c r="W309" s="7"/>
      <c r="X309" s="7"/>
      <c r="Y309" s="7"/>
    </row>
    <row r="310" spans="1:25">
      <c r="A310" s="7"/>
      <c r="B310" s="7"/>
      <c r="C310" s="7"/>
      <c r="D310" s="7"/>
      <c r="E310" s="7"/>
      <c r="F310" s="7"/>
      <c r="G310" s="7"/>
      <c r="H310" s="7"/>
      <c r="I310" s="7"/>
      <c r="J310" s="7"/>
      <c r="K310" s="7"/>
      <c r="L310" s="7"/>
      <c r="M310" s="7"/>
      <c r="N310" s="7"/>
      <c r="O310" s="7"/>
      <c r="P310" s="7"/>
      <c r="Q310" s="7"/>
      <c r="R310" s="7"/>
      <c r="S310" s="7"/>
      <c r="T310" s="7"/>
      <c r="U310" s="7"/>
      <c r="V310" s="7"/>
      <c r="W310" s="7"/>
      <c r="X310" s="7"/>
      <c r="Y310" s="7"/>
    </row>
    <row r="311" spans="1:25">
      <c r="A311" s="18" t="s">
        <v>237</v>
      </c>
      <c r="B311" s="43" t="str">
        <f t="shared" ref="B311:V311" si="146">+B$34</f>
        <v>2011A</v>
      </c>
      <c r="C311" s="43" t="str">
        <f t="shared" si="146"/>
        <v>2012A</v>
      </c>
      <c r="D311" s="43" t="str">
        <f t="shared" si="146"/>
        <v>2013A</v>
      </c>
      <c r="E311" s="43" t="str">
        <f t="shared" si="146"/>
        <v>2014A</v>
      </c>
      <c r="F311" s="43" t="str">
        <f t="shared" si="146"/>
        <v>2015E</v>
      </c>
      <c r="G311" s="209"/>
      <c r="H311" s="209"/>
      <c r="I311" s="209"/>
      <c r="J311" s="209"/>
      <c r="K311" s="209"/>
      <c r="L311" s="209"/>
      <c r="M311" s="209"/>
      <c r="N311" s="43" t="str">
        <f t="shared" si="146"/>
        <v>2016E</v>
      </c>
      <c r="O311" s="43" t="str">
        <f t="shared" si="146"/>
        <v>2017E</v>
      </c>
      <c r="P311" s="43" t="str">
        <f t="shared" si="146"/>
        <v>2018E</v>
      </c>
      <c r="Q311" s="43" t="str">
        <f t="shared" si="146"/>
        <v>2019E</v>
      </c>
      <c r="R311" s="43" t="str">
        <f t="shared" si="146"/>
        <v>2020E</v>
      </c>
      <c r="S311" s="43" t="str">
        <f t="shared" si="146"/>
        <v>2021E</v>
      </c>
      <c r="T311" s="43" t="str">
        <f t="shared" si="146"/>
        <v>2022E</v>
      </c>
      <c r="U311" s="43" t="str">
        <f t="shared" si="146"/>
        <v>2023E</v>
      </c>
      <c r="V311" s="43" t="str">
        <f t="shared" si="146"/>
        <v>2024E</v>
      </c>
      <c r="W311" s="44"/>
    </row>
    <row r="312" spans="1:25">
      <c r="C312" s="32"/>
    </row>
    <row r="313" spans="1:25">
      <c r="A313" s="4" t="s">
        <v>394</v>
      </c>
      <c r="B313" s="35">
        <f t="shared" ref="B313:V313" si="147">+B299</f>
        <v>0.14599999999999999</v>
      </c>
      <c r="C313" s="35">
        <f t="shared" si="147"/>
        <v>0.161</v>
      </c>
      <c r="D313" s="35">
        <f t="shared" si="147"/>
        <v>0.17899999999999999</v>
      </c>
      <c r="E313" s="35">
        <f t="shared" si="147"/>
        <v>0.17288209739984658</v>
      </c>
      <c r="F313" s="35">
        <f t="shared" si="147"/>
        <v>0.19346288327853609</v>
      </c>
      <c r="G313" s="35"/>
      <c r="H313" s="35"/>
      <c r="I313" s="35"/>
      <c r="J313" s="35"/>
      <c r="K313" s="35"/>
      <c r="L313" s="35"/>
      <c r="M313" s="35"/>
      <c r="N313" s="35">
        <f>+N299</f>
        <v>0.26546922600575507</v>
      </c>
      <c r="O313" s="35">
        <f t="shared" si="147"/>
        <v>0.29227203020746489</v>
      </c>
      <c r="P313" s="35">
        <f t="shared" si="147"/>
        <v>0.31825563101236298</v>
      </c>
      <c r="Q313" s="35">
        <f t="shared" si="147"/>
        <v>0.34349364970322488</v>
      </c>
      <c r="R313" s="35">
        <f t="shared" si="147"/>
        <v>0.36805303544576812</v>
      </c>
      <c r="S313" s="35">
        <f t="shared" si="147"/>
        <v>0.39199486715241205</v>
      </c>
      <c r="T313" s="35">
        <f t="shared" si="147"/>
        <v>0.41537504564309058</v>
      </c>
      <c r="U313" s="35">
        <f t="shared" si="147"/>
        <v>0.43824489340281009</v>
      </c>
      <c r="V313" s="35">
        <f t="shared" si="147"/>
        <v>0.46065167619847153</v>
      </c>
    </row>
    <row r="314" spans="1:25">
      <c r="A314" s="4" t="s">
        <v>395</v>
      </c>
      <c r="B314" s="86">
        <v>15</v>
      </c>
      <c r="C314" s="86">
        <v>15</v>
      </c>
      <c r="D314" s="86">
        <v>15</v>
      </c>
      <c r="E314" s="87">
        <v>16</v>
      </c>
      <c r="F314" s="89">
        <f>E314*(1+F315+$X$315)</f>
        <v>16.079999999999998</v>
      </c>
      <c r="G314" s="89"/>
      <c r="H314" s="89"/>
      <c r="I314" s="89"/>
      <c r="J314" s="89"/>
      <c r="K314" s="89"/>
      <c r="L314" s="89"/>
      <c r="M314" s="89"/>
      <c r="N314" s="89">
        <f>F314*(1+N315+$X$315)</f>
        <v>16.160399999999996</v>
      </c>
      <c r="O314" s="89">
        <f t="shared" ref="O314:V314" si="148">N314*(1+O315+$X$315)</f>
        <v>16.645211999999997</v>
      </c>
      <c r="P314" s="89">
        <f t="shared" si="148"/>
        <v>17.144568359999997</v>
      </c>
      <c r="Q314" s="89">
        <f t="shared" si="148"/>
        <v>17.658905410799999</v>
      </c>
      <c r="R314" s="89">
        <f t="shared" si="148"/>
        <v>18.188672573123998</v>
      </c>
      <c r="S314" s="89">
        <f t="shared" si="148"/>
        <v>18.734332750317719</v>
      </c>
      <c r="T314" s="89">
        <f t="shared" si="148"/>
        <v>19.296362732827252</v>
      </c>
      <c r="U314" s="89">
        <f t="shared" si="148"/>
        <v>19.87525361481207</v>
      </c>
      <c r="V314" s="89">
        <f t="shared" si="148"/>
        <v>20.471511223256432</v>
      </c>
      <c r="X314" s="194" t="s">
        <v>672</v>
      </c>
    </row>
    <row r="315" spans="1:25">
      <c r="A315" s="4" t="s">
        <v>610</v>
      </c>
      <c r="B315" s="86"/>
      <c r="C315" s="86"/>
      <c r="D315" s="86"/>
      <c r="E315" s="87"/>
      <c r="F315" s="88">
        <v>5.0000000000000001E-3</v>
      </c>
      <c r="G315" s="88"/>
      <c r="H315" s="88"/>
      <c r="I315" s="88"/>
      <c r="J315" s="88"/>
      <c r="K315" s="88"/>
      <c r="L315" s="88"/>
      <c r="M315" s="88"/>
      <c r="N315" s="88">
        <v>5.0000000000000001E-3</v>
      </c>
      <c r="O315" s="88">
        <v>0.03</v>
      </c>
      <c r="P315" s="88">
        <v>0.03</v>
      </c>
      <c r="Q315" s="88">
        <v>0.03</v>
      </c>
      <c r="R315" s="88">
        <v>0.03</v>
      </c>
      <c r="S315" s="88">
        <v>0.03</v>
      </c>
      <c r="T315" s="88">
        <v>0.03</v>
      </c>
      <c r="U315" s="88">
        <v>0.03</v>
      </c>
      <c r="V315" s="88">
        <v>0.03</v>
      </c>
      <c r="X315" s="195">
        <f>+AL13</f>
        <v>0</v>
      </c>
    </row>
    <row r="316" spans="1:25">
      <c r="A316" s="4" t="s">
        <v>396</v>
      </c>
      <c r="B316" s="89">
        <f>+B319-(B313*B314)</f>
        <v>7.01</v>
      </c>
      <c r="C316" s="89">
        <f>+C319-(C313*C314)</f>
        <v>6.9850000000000003</v>
      </c>
      <c r="D316" s="89">
        <f>+D319-(D313*D314)</f>
        <v>6.8149999999999995</v>
      </c>
      <c r="E316" s="89">
        <f>+E319-(E313*E314)</f>
        <v>6.8338864416024538</v>
      </c>
      <c r="F316" s="86">
        <f>+E316*(1+F317+$X$317)</f>
        <v>6.7997170093944419</v>
      </c>
      <c r="G316" s="86"/>
      <c r="H316" s="86"/>
      <c r="I316" s="86"/>
      <c r="J316" s="86"/>
      <c r="K316" s="86"/>
      <c r="L316" s="86"/>
      <c r="M316" s="86"/>
      <c r="N316" s="86">
        <f>+F316*(1+N317+$X$317)</f>
        <v>6.7657184243474697</v>
      </c>
      <c r="O316" s="86">
        <f t="shared" ref="O316:V316" si="149">+N316*(1+O317+$X$317)</f>
        <v>6.799547016469206</v>
      </c>
      <c r="P316" s="86">
        <f t="shared" si="149"/>
        <v>6.8335447515515515</v>
      </c>
      <c r="Q316" s="86">
        <f t="shared" si="149"/>
        <v>6.8677124753093084</v>
      </c>
      <c r="R316" s="86">
        <f t="shared" si="149"/>
        <v>6.9020510376858546</v>
      </c>
      <c r="S316" s="86">
        <f t="shared" si="149"/>
        <v>6.9365612928742832</v>
      </c>
      <c r="T316" s="86">
        <f t="shared" si="149"/>
        <v>6.9712440993386542</v>
      </c>
      <c r="U316" s="86">
        <f t="shared" si="149"/>
        <v>7.0061003198353466</v>
      </c>
      <c r="V316" s="86">
        <f t="shared" si="149"/>
        <v>7.041130821434523</v>
      </c>
      <c r="X316" s="194"/>
    </row>
    <row r="317" spans="1:25">
      <c r="C317" s="38">
        <f>+C316/B316-1</f>
        <v>-3.566333808844413E-3</v>
      </c>
      <c r="D317" s="38">
        <f>+D316/C316-1</f>
        <v>-2.4337866857552015E-2</v>
      </c>
      <c r="E317" s="38">
        <f>+E316/D316-1</f>
        <v>2.7713047105581978E-3</v>
      </c>
      <c r="F317" s="88">
        <v>-5.0000000000000001E-3</v>
      </c>
      <c r="G317" s="88"/>
      <c r="H317" s="88"/>
      <c r="I317" s="88"/>
      <c r="J317" s="88"/>
      <c r="K317" s="88"/>
      <c r="L317" s="88"/>
      <c r="M317" s="88"/>
      <c r="N317" s="88">
        <v>-5.0000000000000001E-3</v>
      </c>
      <c r="O317" s="88">
        <v>5.0000000000000001E-3</v>
      </c>
      <c r="P317" s="88">
        <v>5.0000000000000001E-3</v>
      </c>
      <c r="Q317" s="88">
        <v>5.0000000000000001E-3</v>
      </c>
      <c r="R317" s="88">
        <v>5.0000000000000001E-3</v>
      </c>
      <c r="S317" s="88">
        <v>5.0000000000000001E-3</v>
      </c>
      <c r="T317" s="88">
        <v>5.0000000000000001E-3</v>
      </c>
      <c r="U317" s="88">
        <v>5.0000000000000001E-3</v>
      </c>
      <c r="V317" s="88">
        <v>5.0000000000000001E-3</v>
      </c>
      <c r="X317" s="195">
        <f>+AL14</f>
        <v>0</v>
      </c>
    </row>
    <row r="318" spans="1:25">
      <c r="C318" s="32"/>
      <c r="X318" s="194"/>
    </row>
    <row r="319" spans="1:25">
      <c r="A319" s="4" t="s">
        <v>214</v>
      </c>
      <c r="B319" s="86">
        <f>+B305</f>
        <v>9.1999999999999993</v>
      </c>
      <c r="C319" s="86">
        <f>+C305</f>
        <v>9.4</v>
      </c>
      <c r="D319" s="86">
        <f>+D305</f>
        <v>9.5</v>
      </c>
      <c r="E319" s="86">
        <f>+E305</f>
        <v>9.6</v>
      </c>
      <c r="F319" s="89">
        <f t="shared" ref="F319:V319" si="150">+F316+(F314*F313)</f>
        <v>9.9106001725133019</v>
      </c>
      <c r="G319" s="89"/>
      <c r="H319" s="89"/>
      <c r="I319" s="89"/>
      <c r="J319" s="89"/>
      <c r="K319" s="89"/>
      <c r="L319" s="89"/>
      <c r="M319" s="89"/>
      <c r="N319" s="89">
        <f>+N316+(N314*N313)</f>
        <v>11.055807304290873</v>
      </c>
      <c r="O319" s="89">
        <f t="shared" si="150"/>
        <v>11.664476920942862</v>
      </c>
      <c r="P319" s="89">
        <f t="shared" si="150"/>
        <v>12.289900173397944</v>
      </c>
      <c r="Q319" s="89">
        <f t="shared" si="150"/>
        <v>12.933434344629026</v>
      </c>
      <c r="R319" s="89">
        <f t="shared" si="150"/>
        <v>13.596447188953331</v>
      </c>
      <c r="S319" s="89">
        <f t="shared" si="150"/>
        <v>14.28032357052416</v>
      </c>
      <c r="T319" s="89">
        <f t="shared" si="150"/>
        <v>14.986471650232406</v>
      </c>
      <c r="U319" s="89">
        <f t="shared" si="150"/>
        <v>15.716328721612477</v>
      </c>
      <c r="V319" s="89">
        <f t="shared" si="150"/>
        <v>16.47136678074342</v>
      </c>
      <c r="X319" s="194"/>
    </row>
    <row r="320" spans="1:25">
      <c r="A320" s="4" t="s">
        <v>222</v>
      </c>
      <c r="B320" s="36"/>
      <c r="C320" s="38">
        <f t="shared" ref="C320:V320" si="151">+C319/B319-1</f>
        <v>2.1739130434782705E-2</v>
      </c>
      <c r="D320" s="38">
        <f t="shared" si="151"/>
        <v>1.0638297872340496E-2</v>
      </c>
      <c r="E320" s="38">
        <f t="shared" si="151"/>
        <v>1.0526315789473717E-2</v>
      </c>
      <c r="F320" s="38">
        <f t="shared" si="151"/>
        <v>3.2354184636802286E-2</v>
      </c>
      <c r="G320" s="38"/>
      <c r="H320" s="38"/>
      <c r="I320" s="38"/>
      <c r="J320" s="38"/>
      <c r="K320" s="38"/>
      <c r="L320" s="38"/>
      <c r="M320" s="38"/>
      <c r="N320" s="38">
        <f>+N319/F319-1</f>
        <v>0.11555376181492649</v>
      </c>
      <c r="O320" s="38">
        <f t="shared" si="151"/>
        <v>5.5054289560180658E-2</v>
      </c>
      <c r="P320" s="38">
        <f t="shared" si="151"/>
        <v>5.3617771006273962E-2</v>
      </c>
      <c r="Q320" s="38">
        <f t="shared" si="151"/>
        <v>5.2362847716537209E-2</v>
      </c>
      <c r="R320" s="38">
        <f t="shared" si="151"/>
        <v>5.1263479340244889E-2</v>
      </c>
      <c r="S320" s="38">
        <f t="shared" si="151"/>
        <v>5.0298167754180501E-2</v>
      </c>
      <c r="T320" s="38">
        <f t="shared" si="151"/>
        <v>4.9449025172356498E-2</v>
      </c>
      <c r="U320" s="38">
        <f t="shared" si="151"/>
        <v>4.870106109123773E-2</v>
      </c>
      <c r="V320" s="38">
        <f t="shared" si="151"/>
        <v>4.8041630619028997E-2</v>
      </c>
      <c r="X320" s="194"/>
    </row>
    <row r="321" spans="1:29">
      <c r="A321" s="4" t="s">
        <v>215</v>
      </c>
      <c r="B321" s="11">
        <f>+B265</f>
        <v>1538</v>
      </c>
      <c r="C321" s="11">
        <f t="shared" ref="C321:V321" si="152">AVERAGE(B265:C265)</f>
        <v>1477</v>
      </c>
      <c r="D321" s="11">
        <f t="shared" si="152"/>
        <v>1377</v>
      </c>
      <c r="E321" s="11">
        <f t="shared" si="152"/>
        <v>1324.5</v>
      </c>
      <c r="F321" s="11">
        <f t="shared" si="152"/>
        <v>1296</v>
      </c>
      <c r="G321" s="11"/>
      <c r="H321" s="11"/>
      <c r="I321" s="11"/>
      <c r="J321" s="11"/>
      <c r="K321" s="11"/>
      <c r="L321" s="11"/>
      <c r="M321" s="11"/>
      <c r="N321" s="11">
        <f>AVERAGE(L265,N265)</f>
        <v>2495</v>
      </c>
      <c r="O321" s="11">
        <f t="shared" si="152"/>
        <v>2475</v>
      </c>
      <c r="P321" s="11">
        <f t="shared" si="152"/>
        <v>2455</v>
      </c>
      <c r="Q321" s="11">
        <f t="shared" si="152"/>
        <v>2435</v>
      </c>
      <c r="R321" s="11">
        <f t="shared" si="152"/>
        <v>2415</v>
      </c>
      <c r="S321" s="11">
        <f t="shared" si="152"/>
        <v>2395</v>
      </c>
      <c r="T321" s="11">
        <f t="shared" si="152"/>
        <v>2375</v>
      </c>
      <c r="U321" s="11">
        <f t="shared" si="152"/>
        <v>2355</v>
      </c>
      <c r="V321" s="11">
        <f t="shared" si="152"/>
        <v>2335</v>
      </c>
      <c r="X321" s="194"/>
    </row>
    <row r="322" spans="1:29">
      <c r="A322" s="4" t="s">
        <v>216</v>
      </c>
      <c r="B322" s="11">
        <f t="shared" ref="B322:V322" si="153">+B321*B319*12/1000</f>
        <v>169.79519999999999</v>
      </c>
      <c r="C322" s="11">
        <f t="shared" si="153"/>
        <v>166.60560000000001</v>
      </c>
      <c r="D322" s="11">
        <f t="shared" si="153"/>
        <v>156.97800000000001</v>
      </c>
      <c r="E322" s="11">
        <f t="shared" si="153"/>
        <v>152.58240000000001</v>
      </c>
      <c r="F322" s="11">
        <f t="shared" si="153"/>
        <v>154.12965388292685</v>
      </c>
      <c r="G322" s="11"/>
      <c r="H322" s="11"/>
      <c r="I322" s="11"/>
      <c r="J322" s="11"/>
      <c r="K322" s="11"/>
      <c r="L322" s="11"/>
      <c r="M322" s="11"/>
      <c r="N322" s="11">
        <f>+N321*N319*12/1000</f>
        <v>331.01087069046878</v>
      </c>
      <c r="O322" s="11">
        <f t="shared" si="153"/>
        <v>346.43496455200301</v>
      </c>
      <c r="P322" s="11">
        <f t="shared" si="153"/>
        <v>362.06045910830341</v>
      </c>
      <c r="Q322" s="11">
        <f t="shared" si="153"/>
        <v>377.91495155006015</v>
      </c>
      <c r="R322" s="11">
        <f t="shared" si="153"/>
        <v>394.02503953586751</v>
      </c>
      <c r="S322" s="11">
        <f t="shared" si="153"/>
        <v>410.41649941686438</v>
      </c>
      <c r="T322" s="11">
        <f t="shared" si="153"/>
        <v>427.11444203162364</v>
      </c>
      <c r="U322" s="11">
        <f t="shared" si="153"/>
        <v>444.14344967276861</v>
      </c>
      <c r="V322" s="11">
        <f t="shared" si="153"/>
        <v>461.52769719643061</v>
      </c>
      <c r="X322" s="194"/>
    </row>
    <row r="323" spans="1:29">
      <c r="A323" s="4" t="s">
        <v>217</v>
      </c>
      <c r="B323" s="5">
        <f>+B36</f>
        <v>159.80000000000001</v>
      </c>
      <c r="C323" s="5">
        <f>+C36</f>
        <v>151.9</v>
      </c>
      <c r="D323" s="5">
        <f>+D36</f>
        <v>145</v>
      </c>
      <c r="E323" s="5">
        <f>+E36</f>
        <v>142.5</v>
      </c>
      <c r="F323" s="32">
        <f>+F322*(E323/E322)</f>
        <v>143.94501383067166</v>
      </c>
      <c r="G323" s="32"/>
      <c r="H323" s="32"/>
      <c r="I323" s="32"/>
      <c r="J323" s="32"/>
      <c r="K323" s="32"/>
      <c r="L323" s="32"/>
      <c r="M323" s="32"/>
      <c r="N323" s="32">
        <f>+N322+N324</f>
        <v>321.01087069046878</v>
      </c>
      <c r="O323" s="32">
        <f t="shared" ref="O323:V323" si="154">+O322+O324</f>
        <v>336.43496455200301</v>
      </c>
      <c r="P323" s="32">
        <f t="shared" si="154"/>
        <v>352.06045910830341</v>
      </c>
      <c r="Q323" s="32">
        <f t="shared" si="154"/>
        <v>367.91495155006015</v>
      </c>
      <c r="R323" s="32">
        <f t="shared" si="154"/>
        <v>384.02503953586751</v>
      </c>
      <c r="S323" s="32">
        <f t="shared" si="154"/>
        <v>400.41649941686438</v>
      </c>
      <c r="T323" s="32">
        <f t="shared" si="154"/>
        <v>417.11444203162364</v>
      </c>
      <c r="U323" s="32">
        <f t="shared" si="154"/>
        <v>434.14344967276861</v>
      </c>
      <c r="V323" s="32">
        <f t="shared" si="154"/>
        <v>451.52769719643061</v>
      </c>
      <c r="X323" s="194"/>
    </row>
    <row r="324" spans="1:29">
      <c r="A324" s="4" t="s">
        <v>234</v>
      </c>
      <c r="B324" s="5">
        <f>+B323-B322</f>
        <v>-9.9951999999999828</v>
      </c>
      <c r="C324" s="5">
        <f>+C323-C322</f>
        <v>-14.705600000000004</v>
      </c>
      <c r="D324" s="5">
        <f>+D323-D322</f>
        <v>-11.978000000000009</v>
      </c>
      <c r="E324" s="5">
        <f>+E323-E322</f>
        <v>-10.082400000000007</v>
      </c>
      <c r="F324" s="5">
        <f>+F323-F322</f>
        <v>-10.18464005225519</v>
      </c>
      <c r="G324" s="5"/>
      <c r="H324" s="5"/>
      <c r="I324" s="5"/>
      <c r="J324" s="5"/>
      <c r="K324" s="5"/>
      <c r="L324" s="5"/>
      <c r="M324" s="5"/>
      <c r="N324" s="45">
        <v>-10</v>
      </c>
      <c r="O324" s="45">
        <v>-10</v>
      </c>
      <c r="P324" s="45">
        <v>-10</v>
      </c>
      <c r="Q324" s="45">
        <v>-10</v>
      </c>
      <c r="R324" s="45">
        <v>-10</v>
      </c>
      <c r="S324" s="45">
        <v>-10</v>
      </c>
      <c r="T324" s="45">
        <v>-10</v>
      </c>
      <c r="U324" s="45">
        <v>-10</v>
      </c>
      <c r="V324" s="45">
        <v>-10</v>
      </c>
      <c r="X324" s="194"/>
    </row>
    <row r="325" spans="1:29">
      <c r="X325" s="194"/>
    </row>
    <row r="326" spans="1:29">
      <c r="A326" s="4" t="s">
        <v>218</v>
      </c>
      <c r="B326" s="36">
        <f>+B306</f>
        <v>21.9</v>
      </c>
      <c r="C326" s="36">
        <f>+C306</f>
        <v>21.9</v>
      </c>
      <c r="D326" s="36">
        <f>+D306</f>
        <v>22.4</v>
      </c>
      <c r="E326" s="36">
        <f>+E306</f>
        <v>22</v>
      </c>
      <c r="F326" s="32">
        <f>+E326*(1+F327+$X$327)</f>
        <v>22.22</v>
      </c>
      <c r="G326" s="32"/>
      <c r="H326" s="32"/>
      <c r="I326" s="32"/>
      <c r="J326" s="32"/>
      <c r="K326" s="32"/>
      <c r="L326" s="32"/>
      <c r="M326" s="32"/>
      <c r="N326" s="32">
        <f>+F326*(1+N327+$X$327)</f>
        <v>22.4422</v>
      </c>
      <c r="O326" s="32">
        <f t="shared" ref="O326:V326" si="155">+N326*(1+O327+$X$327)</f>
        <v>22.666622</v>
      </c>
      <c r="P326" s="32">
        <f t="shared" si="155"/>
        <v>22.893288219999999</v>
      </c>
      <c r="Q326" s="32">
        <f t="shared" si="155"/>
        <v>23.007754661099995</v>
      </c>
      <c r="R326" s="32">
        <f t="shared" si="155"/>
        <v>23.007754661099995</v>
      </c>
      <c r="S326" s="32">
        <f t="shared" si="155"/>
        <v>23.007754661099995</v>
      </c>
      <c r="T326" s="32">
        <f t="shared" si="155"/>
        <v>23.007754661099995</v>
      </c>
      <c r="U326" s="32">
        <f t="shared" si="155"/>
        <v>23.007754661099995</v>
      </c>
      <c r="V326" s="32">
        <f t="shared" si="155"/>
        <v>23.007754661099995</v>
      </c>
      <c r="X326" s="194"/>
    </row>
    <row r="327" spans="1:29">
      <c r="A327" s="4" t="s">
        <v>222</v>
      </c>
      <c r="B327" s="36"/>
      <c r="C327" s="38">
        <f>+C326/B326-1</f>
        <v>0</v>
      </c>
      <c r="D327" s="38">
        <f>+D326/C326-1</f>
        <v>2.2831050228310446E-2</v>
      </c>
      <c r="E327" s="38">
        <f>+E326/D326-1</f>
        <v>-1.7857142857142794E-2</v>
      </c>
      <c r="F327" s="47">
        <v>0.01</v>
      </c>
      <c r="G327" s="47"/>
      <c r="H327" s="47"/>
      <c r="I327" s="47"/>
      <c r="J327" s="47"/>
      <c r="K327" s="47"/>
      <c r="L327" s="47"/>
      <c r="M327" s="47"/>
      <c r="N327" s="47">
        <v>0.01</v>
      </c>
      <c r="O327" s="47">
        <v>0.01</v>
      </c>
      <c r="P327" s="47">
        <v>0.01</v>
      </c>
      <c r="Q327" s="47">
        <v>5.0000000000000001E-3</v>
      </c>
      <c r="R327" s="47">
        <v>0</v>
      </c>
      <c r="S327" s="47">
        <v>0</v>
      </c>
      <c r="T327" s="47">
        <v>0</v>
      </c>
      <c r="U327" s="47">
        <v>0</v>
      </c>
      <c r="V327" s="47">
        <v>0</v>
      </c>
      <c r="X327" s="195">
        <f>+AL15</f>
        <v>0</v>
      </c>
    </row>
    <row r="328" spans="1:29">
      <c r="A328" s="4" t="s">
        <v>219</v>
      </c>
      <c r="B328" s="11">
        <f>+B330*1000/B326/12</f>
        <v>102.73972602739725</v>
      </c>
      <c r="C328" s="11">
        <f>+C330*1000/C326/12</f>
        <v>122.90715372907152</v>
      </c>
      <c r="D328" s="11">
        <f>+D330*1000/D326/12</f>
        <v>154.76190476190479</v>
      </c>
      <c r="E328" s="11">
        <f>+E330*1000/E326/12</f>
        <v>190.90909090909091</v>
      </c>
      <c r="F328" s="11">
        <f t="shared" ref="F328:V328" si="156">+F332/F333</f>
        <v>225.94587493431425</v>
      </c>
      <c r="G328" s="11"/>
      <c r="H328" s="11"/>
      <c r="I328" s="11"/>
      <c r="J328" s="11"/>
      <c r="K328" s="11"/>
      <c r="L328" s="11"/>
      <c r="M328" s="11"/>
      <c r="N328" s="11">
        <f>+N332/N333</f>
        <v>535.75932737782443</v>
      </c>
      <c r="O328" s="11">
        <f t="shared" si="156"/>
        <v>564.72674724119804</v>
      </c>
      <c r="P328" s="11">
        <f t="shared" si="156"/>
        <v>622.66158696794537</v>
      </c>
      <c r="Q328" s="11">
        <f t="shared" si="156"/>
        <v>680.59642669469258</v>
      </c>
      <c r="R328" s="11">
        <f t="shared" si="156"/>
        <v>738.5312664214398</v>
      </c>
      <c r="S328" s="11">
        <f t="shared" si="156"/>
        <v>796.46610614818701</v>
      </c>
      <c r="T328" s="11">
        <f t="shared" si="156"/>
        <v>854.40094587493434</v>
      </c>
      <c r="U328" s="11">
        <f t="shared" si="156"/>
        <v>912.33578560168155</v>
      </c>
      <c r="V328" s="11">
        <f t="shared" si="156"/>
        <v>970.27062532842876</v>
      </c>
    </row>
    <row r="330" spans="1:29">
      <c r="A330" s="4" t="s">
        <v>217</v>
      </c>
      <c r="B330" s="5">
        <f>+B37</f>
        <v>27</v>
      </c>
      <c r="C330" s="5">
        <f>+C37</f>
        <v>32.299999999999997</v>
      </c>
      <c r="D330" s="5">
        <f>+D37</f>
        <v>41.6</v>
      </c>
      <c r="E330" s="5">
        <f>+E37</f>
        <v>50.4</v>
      </c>
      <c r="F330" s="32">
        <f t="shared" ref="F330:V330" si="157">+F326*12*F328/1000</f>
        <v>60.246208092485546</v>
      </c>
      <c r="G330" s="32"/>
      <c r="H330" s="32"/>
      <c r="I330" s="32"/>
      <c r="J330" s="32"/>
      <c r="K330" s="32"/>
      <c r="L330" s="32"/>
      <c r="M330" s="32"/>
      <c r="N330" s="32">
        <f t="shared" si="157"/>
        <v>144.28341572254334</v>
      </c>
      <c r="O330" s="32">
        <f t="shared" si="157"/>
        <v>153.60537255606934</v>
      </c>
      <c r="P330" s="32">
        <f t="shared" si="157"/>
        <v>171.0572540877572</v>
      </c>
      <c r="Q330" s="32">
        <f t="shared" si="157"/>
        <v>187.90794730335378</v>
      </c>
      <c r="R330" s="32">
        <f t="shared" si="157"/>
        <v>203.90335424851153</v>
      </c>
      <c r="S330" s="32">
        <f t="shared" si="157"/>
        <v>219.89876119366934</v>
      </c>
      <c r="T330" s="32">
        <f t="shared" si="157"/>
        <v>235.89416813882715</v>
      </c>
      <c r="U330" s="32">
        <f t="shared" si="157"/>
        <v>251.88957508398497</v>
      </c>
      <c r="V330" s="32">
        <f t="shared" si="157"/>
        <v>267.88498202914275</v>
      </c>
    </row>
    <row r="331" spans="1:29">
      <c r="A331" s="4" t="s">
        <v>33</v>
      </c>
      <c r="B331" s="11">
        <f t="shared" ref="B331:V331" si="158">+B268+B269</f>
        <v>202</v>
      </c>
      <c r="C331" s="11">
        <f t="shared" si="158"/>
        <v>247</v>
      </c>
      <c r="D331" s="11">
        <f t="shared" si="158"/>
        <v>320</v>
      </c>
      <c r="E331" s="11">
        <f t="shared" si="158"/>
        <v>372</v>
      </c>
      <c r="F331" s="11">
        <f t="shared" si="158"/>
        <v>447</v>
      </c>
      <c r="G331" s="11"/>
      <c r="H331" s="11"/>
      <c r="I331" s="11"/>
      <c r="J331" s="11"/>
      <c r="K331" s="11"/>
      <c r="L331" s="11"/>
      <c r="M331" s="11"/>
      <c r="N331" s="11">
        <f t="shared" si="158"/>
        <v>971</v>
      </c>
      <c r="O331" s="11">
        <f t="shared" si="158"/>
        <v>1076</v>
      </c>
      <c r="P331" s="11">
        <f t="shared" si="158"/>
        <v>1181</v>
      </c>
      <c r="Q331" s="11">
        <f t="shared" si="158"/>
        <v>1286</v>
      </c>
      <c r="R331" s="11">
        <f t="shared" si="158"/>
        <v>1391</v>
      </c>
      <c r="S331" s="11">
        <f t="shared" si="158"/>
        <v>1496</v>
      </c>
      <c r="T331" s="11">
        <f t="shared" si="158"/>
        <v>1601</v>
      </c>
      <c r="U331" s="11">
        <f t="shared" si="158"/>
        <v>1706</v>
      </c>
      <c r="V331" s="11">
        <f t="shared" si="158"/>
        <v>1811</v>
      </c>
    </row>
    <row r="332" spans="1:29">
      <c r="A332" s="4" t="s">
        <v>221</v>
      </c>
      <c r="C332" s="11">
        <f t="shared" ref="C332:V332" si="159">AVERAGE(B331:C331)</f>
        <v>224.5</v>
      </c>
      <c r="D332" s="11">
        <f t="shared" si="159"/>
        <v>283.5</v>
      </c>
      <c r="E332" s="11">
        <f t="shared" si="159"/>
        <v>346</v>
      </c>
      <c r="F332" s="11">
        <f t="shared" si="159"/>
        <v>409.5</v>
      </c>
      <c r="G332" s="11"/>
      <c r="H332" s="11"/>
      <c r="I332" s="11"/>
      <c r="J332" s="11"/>
      <c r="K332" s="11"/>
      <c r="L332" s="11"/>
      <c r="M332" s="11"/>
      <c r="N332" s="11">
        <f>AVERAGE(L331,N331)</f>
        <v>971</v>
      </c>
      <c r="O332" s="11">
        <f t="shared" si="159"/>
        <v>1023.5</v>
      </c>
      <c r="P332" s="11">
        <f t="shared" si="159"/>
        <v>1128.5</v>
      </c>
      <c r="Q332" s="11">
        <f t="shared" si="159"/>
        <v>1233.5</v>
      </c>
      <c r="R332" s="11">
        <f t="shared" si="159"/>
        <v>1338.5</v>
      </c>
      <c r="S332" s="11">
        <f t="shared" si="159"/>
        <v>1443.5</v>
      </c>
      <c r="T332" s="11">
        <f t="shared" si="159"/>
        <v>1548.5</v>
      </c>
      <c r="U332" s="11">
        <f t="shared" si="159"/>
        <v>1653.5</v>
      </c>
      <c r="V332" s="11">
        <f t="shared" si="159"/>
        <v>1758.5</v>
      </c>
    </row>
    <row r="333" spans="1:29">
      <c r="A333" s="4" t="s">
        <v>220</v>
      </c>
      <c r="B333" s="32"/>
      <c r="C333" s="39">
        <f>+C332/C328</f>
        <v>1.8265820433436535</v>
      </c>
      <c r="D333" s="39">
        <f>+D332/D328</f>
        <v>1.8318461538461535</v>
      </c>
      <c r="E333" s="39">
        <f>+E332/E328</f>
        <v>1.8123809523809524</v>
      </c>
      <c r="F333" s="39">
        <f t="shared" ref="F333:V333" si="160">+E333</f>
        <v>1.8123809523809524</v>
      </c>
      <c r="G333" s="39"/>
      <c r="H333" s="39"/>
      <c r="I333" s="39"/>
      <c r="J333" s="39"/>
      <c r="K333" s="39"/>
      <c r="L333" s="39"/>
      <c r="M333" s="39"/>
      <c r="N333" s="39">
        <f>+F333</f>
        <v>1.8123809523809524</v>
      </c>
      <c r="O333" s="39">
        <f t="shared" si="160"/>
        <v>1.8123809523809524</v>
      </c>
      <c r="P333" s="39">
        <f t="shared" si="160"/>
        <v>1.8123809523809524</v>
      </c>
      <c r="Q333" s="39">
        <f t="shared" si="160"/>
        <v>1.8123809523809524</v>
      </c>
      <c r="R333" s="39">
        <f t="shared" si="160"/>
        <v>1.8123809523809524</v>
      </c>
      <c r="S333" s="39">
        <f t="shared" si="160"/>
        <v>1.8123809523809524</v>
      </c>
      <c r="T333" s="39">
        <f t="shared" si="160"/>
        <v>1.8123809523809524</v>
      </c>
      <c r="U333" s="39">
        <f t="shared" si="160"/>
        <v>1.8123809523809524</v>
      </c>
      <c r="V333" s="39">
        <f t="shared" si="160"/>
        <v>1.8123809523809524</v>
      </c>
    </row>
    <row r="335" spans="1:29">
      <c r="A335" s="4" t="s">
        <v>233</v>
      </c>
      <c r="B335" s="50">
        <f t="shared" ref="B335:V335" si="161">+B330+B322</f>
        <v>196.79519999999999</v>
      </c>
      <c r="C335" s="50">
        <f t="shared" si="161"/>
        <v>198.90559999999999</v>
      </c>
      <c r="D335" s="50">
        <f t="shared" si="161"/>
        <v>198.578</v>
      </c>
      <c r="E335" s="50">
        <f t="shared" si="161"/>
        <v>202.98240000000001</v>
      </c>
      <c r="F335" s="50">
        <f t="shared" si="161"/>
        <v>214.37586197541239</v>
      </c>
      <c r="G335" s="50"/>
      <c r="H335" s="50"/>
      <c r="I335" s="50"/>
      <c r="J335" s="50"/>
      <c r="K335" s="50"/>
      <c r="L335" s="50"/>
      <c r="M335" s="50"/>
      <c r="N335" s="50">
        <f>+N330+N322</f>
        <v>475.29428641301212</v>
      </c>
      <c r="O335" s="50">
        <f t="shared" si="161"/>
        <v>500.04033710807232</v>
      </c>
      <c r="P335" s="50">
        <f t="shared" si="161"/>
        <v>533.11771319606055</v>
      </c>
      <c r="Q335" s="50">
        <f t="shared" si="161"/>
        <v>565.8228988534139</v>
      </c>
      <c r="R335" s="50">
        <f t="shared" si="161"/>
        <v>597.92839378437907</v>
      </c>
      <c r="S335" s="50">
        <f t="shared" si="161"/>
        <v>630.31526061053376</v>
      </c>
      <c r="T335" s="50">
        <f t="shared" si="161"/>
        <v>663.00861017045077</v>
      </c>
      <c r="U335" s="50">
        <f t="shared" si="161"/>
        <v>696.03302475675355</v>
      </c>
      <c r="V335" s="50">
        <f t="shared" si="161"/>
        <v>729.41267922557336</v>
      </c>
      <c r="AA335" s="91" t="s">
        <v>1061</v>
      </c>
    </row>
    <row r="336" spans="1:29">
      <c r="A336" s="4" t="s">
        <v>235</v>
      </c>
      <c r="C336" s="11">
        <f t="shared" ref="C336:V336" si="162">AVERAGE(B261:C261)</f>
        <v>1400</v>
      </c>
      <c r="D336" s="11">
        <f t="shared" si="162"/>
        <v>1327.5</v>
      </c>
      <c r="E336" s="11">
        <f t="shared" si="162"/>
        <v>1292</v>
      </c>
      <c r="F336" s="11">
        <f t="shared" si="162"/>
        <v>1282.4402460223923</v>
      </c>
      <c r="G336" s="11"/>
      <c r="H336" s="11"/>
      <c r="I336" s="11"/>
      <c r="J336" s="11"/>
      <c r="K336" s="11"/>
      <c r="L336" s="11"/>
      <c r="M336" s="11"/>
      <c r="N336" s="11">
        <f>AVERAGE(L261,N261)</f>
        <v>2512.4636794523349</v>
      </c>
      <c r="O336" s="11">
        <f>AVERAGE(N261:O261)</f>
        <v>2523.5800542674342</v>
      </c>
      <c r="P336" s="11">
        <f t="shared" si="162"/>
        <v>2534.5964290825341</v>
      </c>
      <c r="Q336" s="11">
        <f t="shared" si="162"/>
        <v>2545.5128038976345</v>
      </c>
      <c r="R336" s="11">
        <f t="shared" si="162"/>
        <v>2556.3291787127341</v>
      </c>
      <c r="S336" s="11">
        <f t="shared" si="162"/>
        <v>2567.0455535278343</v>
      </c>
      <c r="T336" s="11">
        <f t="shared" si="162"/>
        <v>2577.6619283429336</v>
      </c>
      <c r="U336" s="11">
        <f t="shared" si="162"/>
        <v>2588.1783031580335</v>
      </c>
      <c r="V336" s="11">
        <f t="shared" si="162"/>
        <v>2598.5946779731339</v>
      </c>
      <c r="AA336" s="91" t="s">
        <v>554</v>
      </c>
      <c r="AB336" s="92">
        <f>+F4</f>
        <v>222.1912219231572</v>
      </c>
      <c r="AC336" s="235">
        <f>+AB336/$AB$339</f>
        <v>0.49136562399018691</v>
      </c>
    </row>
    <row r="337" spans="1:29">
      <c r="A337" s="4" t="s">
        <v>236</v>
      </c>
      <c r="C337" s="32">
        <f t="shared" ref="C337:V337" si="163">+C335*1000/C336/12</f>
        <v>11.839619047619047</v>
      </c>
      <c r="D337" s="32">
        <f t="shared" si="163"/>
        <v>12.465662272441934</v>
      </c>
      <c r="E337" s="32">
        <f t="shared" si="163"/>
        <v>13.092260061919506</v>
      </c>
      <c r="F337" s="32">
        <f t="shared" si="163"/>
        <v>13.930204717160576</v>
      </c>
      <c r="G337" s="32"/>
      <c r="H337" s="32">
        <v>16.399999999999999</v>
      </c>
      <c r="I337" s="32"/>
      <c r="J337" s="32">
        <v>15.8</v>
      </c>
      <c r="K337" s="32"/>
      <c r="L337" s="32">
        <f>+L307</f>
        <v>15.040471548342857</v>
      </c>
      <c r="M337" s="32"/>
      <c r="N337" s="32">
        <f>+N335*1000/N336/12</f>
        <v>15.764549165430338</v>
      </c>
      <c r="O337" s="32">
        <f t="shared" si="163"/>
        <v>16.512267174514374</v>
      </c>
      <c r="P337" s="32">
        <f t="shared" si="163"/>
        <v>17.528027574690885</v>
      </c>
      <c r="Q337" s="32">
        <f t="shared" si="163"/>
        <v>18.523539997750749</v>
      </c>
      <c r="R337" s="32">
        <f t="shared" si="163"/>
        <v>19.491764426750915</v>
      </c>
      <c r="S337" s="32">
        <f t="shared" si="163"/>
        <v>20.4617606591978</v>
      </c>
      <c r="T337" s="32">
        <f t="shared" si="163"/>
        <v>21.434431298646874</v>
      </c>
      <c r="U337" s="32">
        <f t="shared" si="163"/>
        <v>22.4106476714874</v>
      </c>
      <c r="V337" s="32">
        <f t="shared" si="163"/>
        <v>23.391254684965102</v>
      </c>
      <c r="AA337" s="91" t="s">
        <v>1062</v>
      </c>
      <c r="AB337" s="92">
        <f>+H4</f>
        <v>120</v>
      </c>
      <c r="AC337" s="235">
        <f>+AB337/$AB$339</f>
        <v>0.26537445704859819</v>
      </c>
    </row>
    <row r="338" spans="1:29">
      <c r="AA338" s="91" t="s">
        <v>1063</v>
      </c>
      <c r="AB338" s="92">
        <f>+J4</f>
        <v>110</v>
      </c>
      <c r="AC338" s="235">
        <f>+AB338/$AB$339</f>
        <v>0.24325991896121499</v>
      </c>
    </row>
    <row r="339" spans="1:29">
      <c r="A339" s="18" t="s">
        <v>238</v>
      </c>
      <c r="B339" s="43" t="str">
        <f t="shared" ref="B339:V339" si="164">+B$34</f>
        <v>2011A</v>
      </c>
      <c r="C339" s="43" t="str">
        <f t="shared" si="164"/>
        <v>2012A</v>
      </c>
      <c r="D339" s="43" t="str">
        <f t="shared" si="164"/>
        <v>2013A</v>
      </c>
      <c r="E339" s="43" t="str">
        <f t="shared" si="164"/>
        <v>2014A</v>
      </c>
      <c r="F339" s="43" t="str">
        <f t="shared" si="164"/>
        <v>2015E</v>
      </c>
      <c r="G339" s="209"/>
      <c r="H339" s="209"/>
      <c r="I339" s="209"/>
      <c r="J339" s="209"/>
      <c r="K339" s="209"/>
      <c r="L339" s="209"/>
      <c r="M339" s="209"/>
      <c r="N339" s="43" t="str">
        <f t="shared" si="164"/>
        <v>2016E</v>
      </c>
      <c r="O339" s="43" t="str">
        <f t="shared" si="164"/>
        <v>2017E</v>
      </c>
      <c r="P339" s="43" t="str">
        <f t="shared" si="164"/>
        <v>2018E</v>
      </c>
      <c r="Q339" s="43" t="str">
        <f t="shared" si="164"/>
        <v>2019E</v>
      </c>
      <c r="R339" s="43" t="str">
        <f t="shared" si="164"/>
        <v>2020E</v>
      </c>
      <c r="S339" s="43" t="str">
        <f t="shared" si="164"/>
        <v>2021E</v>
      </c>
      <c r="T339" s="43" t="str">
        <f t="shared" si="164"/>
        <v>2022E</v>
      </c>
      <c r="U339" s="43" t="str">
        <f t="shared" si="164"/>
        <v>2023E</v>
      </c>
      <c r="V339" s="43" t="str">
        <f t="shared" si="164"/>
        <v>2024E</v>
      </c>
      <c r="W339" s="44"/>
      <c r="AA339" s="91" t="s">
        <v>279</v>
      </c>
      <c r="AB339" s="92">
        <f>+AB338+AB337+AB336</f>
        <v>452.19122192315717</v>
      </c>
      <c r="AC339" s="235">
        <f>+AB339/$AB$339</f>
        <v>1</v>
      </c>
    </row>
    <row r="341" spans="1:29">
      <c r="A341" s="4" t="str">
        <f>+A46</f>
        <v>Basic CaTV signal fee</v>
      </c>
      <c r="B341" s="5">
        <f t="shared" ref="B341:E342" si="165">-B46</f>
        <v>37.4</v>
      </c>
      <c r="C341" s="5">
        <f t="shared" si="165"/>
        <v>34.700000000000003</v>
      </c>
      <c r="D341" s="5">
        <f t="shared" si="165"/>
        <v>31</v>
      </c>
      <c r="E341" s="5">
        <f t="shared" si="165"/>
        <v>32.5</v>
      </c>
      <c r="F341" s="5">
        <f t="shared" ref="F341:V341" si="166">+F347*12*F247/1000</f>
        <v>29.573428301886779</v>
      </c>
      <c r="G341" s="5"/>
      <c r="H341" s="5"/>
      <c r="I341" s="5"/>
      <c r="J341" s="5"/>
      <c r="K341" s="5"/>
      <c r="L341" s="5"/>
      <c r="M341" s="5"/>
      <c r="N341" s="5">
        <f>+N347*12*N247/1000</f>
        <v>56.791777086792436</v>
      </c>
      <c r="O341" s="5">
        <f t="shared" si="166"/>
        <v>49.917675794943356</v>
      </c>
      <c r="P341" s="5">
        <f t="shared" si="166"/>
        <v>42.941213219148651</v>
      </c>
      <c r="Q341" s="5">
        <f t="shared" si="166"/>
        <v>38.324297489762117</v>
      </c>
      <c r="R341" s="5">
        <f t="shared" si="166"/>
        <v>33.638495989788623</v>
      </c>
      <c r="S341" s="5">
        <f t="shared" si="166"/>
        <v>28.883170162042518</v>
      </c>
      <c r="T341" s="5">
        <f t="shared" si="166"/>
        <v>24.057678341438148</v>
      </c>
      <c r="U341" s="5">
        <f t="shared" si="166"/>
        <v>19.161375784434078</v>
      </c>
      <c r="V341" s="5">
        <f t="shared" si="166"/>
        <v>14.193614699654619</v>
      </c>
    </row>
    <row r="342" spans="1:29">
      <c r="A342" s="4" t="str">
        <f>+A47</f>
        <v>Other direct costs</v>
      </c>
      <c r="B342" s="5">
        <f t="shared" si="165"/>
        <v>49.8</v>
      </c>
      <c r="C342" s="5">
        <f t="shared" si="165"/>
        <v>46.1</v>
      </c>
      <c r="D342" s="5">
        <f t="shared" si="165"/>
        <v>51</v>
      </c>
      <c r="E342" s="5">
        <f t="shared" si="165"/>
        <v>38.6</v>
      </c>
      <c r="F342" s="5">
        <f t="shared" ref="F342:V342" si="167">+F39*F349</f>
        <v>41.376595387709067</v>
      </c>
      <c r="G342" s="5"/>
      <c r="H342" s="5"/>
      <c r="I342" s="5"/>
      <c r="J342" s="5"/>
      <c r="K342" s="5"/>
      <c r="L342" s="5"/>
      <c r="M342" s="5"/>
      <c r="N342" s="5">
        <f t="shared" si="167"/>
        <v>93.754395707051572</v>
      </c>
      <c r="O342" s="5">
        <f t="shared" si="167"/>
        <v>101.0615534715112</v>
      </c>
      <c r="P342" s="5">
        <f t="shared" si="167"/>
        <v>110.29260651447493</v>
      </c>
      <c r="Q342" s="5">
        <f t="shared" si="167"/>
        <v>119.7776799630808</v>
      </c>
      <c r="R342" s="5">
        <f t="shared" si="167"/>
        <v>129.46313819886959</v>
      </c>
      <c r="S342" s="5">
        <f t="shared" si="167"/>
        <v>139.53048980008515</v>
      </c>
      <c r="T342" s="5">
        <f t="shared" si="167"/>
        <v>149.98951038136923</v>
      </c>
      <c r="U342" s="5">
        <f t="shared" si="167"/>
        <v>160.85035820612291</v>
      </c>
      <c r="V342" s="5">
        <f t="shared" si="167"/>
        <v>172.1235889758662</v>
      </c>
    </row>
    <row r="343" spans="1:29">
      <c r="A343" s="4" t="str">
        <f>+A51</f>
        <v>Employee benefits</v>
      </c>
      <c r="B343" s="5">
        <f t="shared" ref="B343:E345" si="168">-B51</f>
        <v>30.6</v>
      </c>
      <c r="C343" s="5">
        <f t="shared" si="168"/>
        <v>29.5</v>
      </c>
      <c r="D343" s="5">
        <f t="shared" si="168"/>
        <v>28.5</v>
      </c>
      <c r="E343" s="5">
        <f t="shared" si="168"/>
        <v>30.6</v>
      </c>
      <c r="F343" s="5">
        <f t="shared" ref="F343:V343" si="169">+F39*F350</f>
        <v>31.364951010209058</v>
      </c>
      <c r="G343" s="5"/>
      <c r="H343" s="5"/>
      <c r="I343" s="5"/>
      <c r="J343" s="5"/>
      <c r="K343" s="5"/>
      <c r="L343" s="5"/>
      <c r="M343" s="5"/>
      <c r="N343" s="5">
        <f t="shared" si="169"/>
        <v>67.985172531494428</v>
      </c>
      <c r="O343" s="5">
        <f t="shared" si="169"/>
        <v>70.128907873130828</v>
      </c>
      <c r="P343" s="5">
        <f t="shared" si="169"/>
        <v>73.262494341276252</v>
      </c>
      <c r="Q343" s="5">
        <f t="shared" si="169"/>
        <v>76.181876698203055</v>
      </c>
      <c r="R343" s="5">
        <f t="shared" si="169"/>
        <v>78.860575735497221</v>
      </c>
      <c r="S343" s="5">
        <f t="shared" si="169"/>
        <v>81.414245731251484</v>
      </c>
      <c r="T343" s="5">
        <f t="shared" si="169"/>
        <v>83.843881652064184</v>
      </c>
      <c r="U343" s="5">
        <f t="shared" si="169"/>
        <v>86.150163316478469</v>
      </c>
      <c r="V343" s="5">
        <f t="shared" si="169"/>
        <v>88.333476372893728</v>
      </c>
    </row>
    <row r="344" spans="1:29">
      <c r="A344" s="4" t="str">
        <f>+A52</f>
        <v>Advertising</v>
      </c>
      <c r="B344" s="5">
        <f t="shared" si="168"/>
        <v>7.8</v>
      </c>
      <c r="C344" s="5">
        <f t="shared" si="168"/>
        <v>7</v>
      </c>
      <c r="D344" s="5">
        <f t="shared" si="168"/>
        <v>6.8</v>
      </c>
      <c r="E344" s="5">
        <f t="shared" si="168"/>
        <v>8.6999999999999993</v>
      </c>
      <c r="F344" s="5">
        <f t="shared" ref="F344:V344" si="170">+F39*F351</f>
        <v>8.8876488769262885</v>
      </c>
      <c r="G344" s="5"/>
      <c r="H344" s="5"/>
      <c r="I344" s="5"/>
      <c r="J344" s="5"/>
      <c r="K344" s="5"/>
      <c r="L344" s="5"/>
      <c r="M344" s="5"/>
      <c r="N344" s="5">
        <f t="shared" si="170"/>
        <v>19.611771456520486</v>
      </c>
      <c r="O344" s="5">
        <f t="shared" si="170"/>
        <v>20.601613484322893</v>
      </c>
      <c r="P344" s="5">
        <f t="shared" si="170"/>
        <v>21.924708527842423</v>
      </c>
      <c r="Q344" s="5">
        <f t="shared" si="170"/>
        <v>23.232915954136555</v>
      </c>
      <c r="R344" s="5">
        <f t="shared" si="170"/>
        <v>24.517135751375164</v>
      </c>
      <c r="S344" s="5">
        <f t="shared" si="170"/>
        <v>25.812610424421351</v>
      </c>
      <c r="T344" s="5">
        <f t="shared" si="170"/>
        <v>27.120344406818031</v>
      </c>
      <c r="U344" s="5">
        <f t="shared" si="170"/>
        <v>28.441320990270142</v>
      </c>
      <c r="V344" s="5">
        <f t="shared" si="170"/>
        <v>29.776507169022935</v>
      </c>
    </row>
    <row r="345" spans="1:29">
      <c r="A345" s="4" t="str">
        <f>+A53</f>
        <v>Other operating income and expenses</v>
      </c>
      <c r="B345" s="5">
        <f t="shared" si="168"/>
        <v>18.600000000000001</v>
      </c>
      <c r="C345" s="5">
        <f t="shared" si="168"/>
        <v>18.600000000000001</v>
      </c>
      <c r="D345" s="5">
        <f t="shared" si="168"/>
        <v>18</v>
      </c>
      <c r="E345" s="5">
        <f t="shared" si="168"/>
        <v>20.399999999999999</v>
      </c>
      <c r="F345" s="51">
        <f t="shared" ref="F345:V345" si="171">+E345*1.01</f>
        <v>20.603999999999999</v>
      </c>
      <c r="G345" s="51"/>
      <c r="H345" s="51"/>
      <c r="I345" s="51"/>
      <c r="J345" s="51"/>
      <c r="K345" s="51"/>
      <c r="L345" s="51"/>
      <c r="M345" s="51"/>
      <c r="N345" s="51">
        <f>+F345*1.01</f>
        <v>20.810040000000001</v>
      </c>
      <c r="O345" s="51">
        <f t="shared" si="171"/>
        <v>21.0181404</v>
      </c>
      <c r="P345" s="51">
        <f t="shared" si="171"/>
        <v>21.228321804</v>
      </c>
      <c r="Q345" s="51">
        <f t="shared" si="171"/>
        <v>21.44060502204</v>
      </c>
      <c r="R345" s="51">
        <f t="shared" si="171"/>
        <v>21.6550110722604</v>
      </c>
      <c r="S345" s="51">
        <f t="shared" si="171"/>
        <v>21.871561182983005</v>
      </c>
      <c r="T345" s="51">
        <f t="shared" si="171"/>
        <v>22.090276794812834</v>
      </c>
      <c r="U345" s="51">
        <f t="shared" si="171"/>
        <v>22.311179562760962</v>
      </c>
      <c r="V345" s="51">
        <f t="shared" si="171"/>
        <v>22.534291358388572</v>
      </c>
    </row>
    <row r="347" spans="1:29">
      <c r="A347" s="4" t="s">
        <v>239</v>
      </c>
      <c r="B347" s="32">
        <f>+B341*1000/B247/12</f>
        <v>4.516908212560387</v>
      </c>
      <c r="C347" s="32">
        <f>+C341*1000/C247/12</f>
        <v>4.779614325068871</v>
      </c>
      <c r="D347" s="32">
        <f>+D341*1000/D247/12</f>
        <v>4.6799516908212562</v>
      </c>
      <c r="E347" s="32">
        <f>+E341*1000/E247/12</f>
        <v>5.3988683664170649</v>
      </c>
      <c r="F347" s="52">
        <v>5.5</v>
      </c>
      <c r="G347" s="52"/>
      <c r="H347" s="52"/>
      <c r="I347" s="52"/>
      <c r="J347" s="52"/>
      <c r="K347" s="52"/>
      <c r="L347" s="52"/>
      <c r="M347" s="52"/>
      <c r="N347" s="52">
        <f>+F347*1.01</f>
        <v>5.5549999999999997</v>
      </c>
      <c r="O347" s="52">
        <f t="shared" ref="O347:V347" si="172">+N347*1.01</f>
        <v>5.6105499999999999</v>
      </c>
      <c r="P347" s="52">
        <f t="shared" si="172"/>
        <v>5.6666555000000001</v>
      </c>
      <c r="Q347" s="52">
        <f t="shared" si="172"/>
        <v>5.7233220549999997</v>
      </c>
      <c r="R347" s="52">
        <f t="shared" si="172"/>
        <v>5.7805552755499994</v>
      </c>
      <c r="S347" s="52">
        <f t="shared" si="172"/>
        <v>5.8383608283054995</v>
      </c>
      <c r="T347" s="52">
        <f t="shared" si="172"/>
        <v>5.8967444365885546</v>
      </c>
      <c r="U347" s="52">
        <f t="shared" si="172"/>
        <v>5.95571188095444</v>
      </c>
      <c r="V347" s="52">
        <f t="shared" si="172"/>
        <v>6.0152689997639843</v>
      </c>
    </row>
    <row r="349" spans="1:29">
      <c r="A349" s="4" t="s">
        <v>240</v>
      </c>
      <c r="B349" s="40">
        <f>+B342/B39</f>
        <v>0.24328285295554469</v>
      </c>
      <c r="C349" s="40">
        <f>+C342/C39</f>
        <v>0.22454943984413053</v>
      </c>
      <c r="D349" s="40">
        <f>+D342/D39</f>
        <v>0.24733268671193018</v>
      </c>
      <c r="E349" s="38">
        <f>+E342/E39</f>
        <v>0.18122065727699532</v>
      </c>
      <c r="F349" s="49">
        <f t="shared" ref="F349:V349" si="173">+E349+0.5%</f>
        <v>0.18622065727699533</v>
      </c>
      <c r="G349" s="49"/>
      <c r="H349" s="49"/>
      <c r="I349" s="49"/>
      <c r="J349" s="49"/>
      <c r="K349" s="49"/>
      <c r="L349" s="49"/>
      <c r="M349" s="49"/>
      <c r="N349" s="49">
        <f>+F349+0.5%</f>
        <v>0.19122065727699533</v>
      </c>
      <c r="O349" s="49">
        <f t="shared" si="173"/>
        <v>0.19622065727699534</v>
      </c>
      <c r="P349" s="49">
        <f t="shared" si="173"/>
        <v>0.20122065727699534</v>
      </c>
      <c r="Q349" s="49">
        <f t="shared" si="173"/>
        <v>0.20622065727699534</v>
      </c>
      <c r="R349" s="49">
        <f t="shared" si="173"/>
        <v>0.21122065727699535</v>
      </c>
      <c r="S349" s="49">
        <f t="shared" si="173"/>
        <v>0.21622065727699535</v>
      </c>
      <c r="T349" s="49">
        <f t="shared" si="173"/>
        <v>0.22122065727699536</v>
      </c>
      <c r="U349" s="49">
        <f t="shared" si="173"/>
        <v>0.22622065727699536</v>
      </c>
      <c r="V349" s="49">
        <f t="shared" si="173"/>
        <v>0.23122065727699537</v>
      </c>
    </row>
    <row r="350" spans="1:29">
      <c r="A350" s="4" t="s">
        <v>241</v>
      </c>
      <c r="B350" s="38">
        <f>+B343/B39</f>
        <v>0.14948705422569616</v>
      </c>
      <c r="C350" s="38">
        <f>+C343/C39</f>
        <v>0.14369215781782757</v>
      </c>
      <c r="D350" s="38">
        <f>+D343/D39</f>
        <v>0.13821532492725511</v>
      </c>
      <c r="E350" s="38">
        <f>+E343/E39</f>
        <v>0.14366197183098592</v>
      </c>
      <c r="F350" s="53">
        <f t="shared" ref="F350:V350" si="174">+E350-0.25%</f>
        <v>0.14116197183098592</v>
      </c>
      <c r="G350" s="53"/>
      <c r="H350" s="53"/>
      <c r="I350" s="53"/>
      <c r="J350" s="53"/>
      <c r="K350" s="53"/>
      <c r="L350" s="53"/>
      <c r="M350" s="53"/>
      <c r="N350" s="53">
        <f>+F350-0.25%</f>
        <v>0.13866197183098591</v>
      </c>
      <c r="O350" s="53">
        <f t="shared" si="174"/>
        <v>0.13616197183098591</v>
      </c>
      <c r="P350" s="53">
        <f t="shared" si="174"/>
        <v>0.13366197183098591</v>
      </c>
      <c r="Q350" s="53">
        <f t="shared" si="174"/>
        <v>0.13116197183098591</v>
      </c>
      <c r="R350" s="53">
        <f t="shared" si="174"/>
        <v>0.12866197183098591</v>
      </c>
      <c r="S350" s="53">
        <f t="shared" si="174"/>
        <v>0.1261619718309859</v>
      </c>
      <c r="T350" s="53">
        <f t="shared" si="174"/>
        <v>0.1236619718309859</v>
      </c>
      <c r="U350" s="53">
        <f t="shared" si="174"/>
        <v>0.1211619718309859</v>
      </c>
      <c r="V350" s="53">
        <f t="shared" si="174"/>
        <v>0.1186619718309859</v>
      </c>
    </row>
    <row r="351" spans="1:29">
      <c r="A351" s="4" t="s">
        <v>242</v>
      </c>
      <c r="B351" s="38">
        <f>+B344/B39</f>
        <v>3.8104543234000976E-2</v>
      </c>
      <c r="C351" s="38">
        <f>+C344/C39</f>
        <v>3.4096444227959086E-2</v>
      </c>
      <c r="D351" s="38">
        <f>+D344/D39</f>
        <v>3.2977691561590687E-2</v>
      </c>
      <c r="E351" s="38">
        <f>+E344/E39</f>
        <v>4.0845070422535205E-2</v>
      </c>
      <c r="F351" s="53">
        <v>0.04</v>
      </c>
      <c r="G351" s="53"/>
      <c r="H351" s="53"/>
      <c r="I351" s="53"/>
      <c r="J351" s="53"/>
      <c r="K351" s="53"/>
      <c r="L351" s="53"/>
      <c r="M351" s="53"/>
      <c r="N351" s="53">
        <v>0.04</v>
      </c>
      <c r="O351" s="53">
        <v>0.04</v>
      </c>
      <c r="P351" s="53">
        <v>0.04</v>
      </c>
      <c r="Q351" s="53">
        <v>0.04</v>
      </c>
      <c r="R351" s="53">
        <v>0.04</v>
      </c>
      <c r="S351" s="53">
        <v>0.04</v>
      </c>
      <c r="T351" s="53">
        <v>0.04</v>
      </c>
      <c r="U351" s="53">
        <v>0.04</v>
      </c>
      <c r="V351" s="53">
        <v>0.04</v>
      </c>
    </row>
    <row r="353" spans="1:23">
      <c r="A353" s="18" t="s">
        <v>248</v>
      </c>
      <c r="B353" s="43" t="str">
        <f t="shared" ref="B353:V353" si="175">+B$34</f>
        <v>2011A</v>
      </c>
      <c r="C353" s="43" t="str">
        <f t="shared" si="175"/>
        <v>2012A</v>
      </c>
      <c r="D353" s="43" t="str">
        <f t="shared" si="175"/>
        <v>2013A</v>
      </c>
      <c r="E353" s="43" t="str">
        <f t="shared" si="175"/>
        <v>2014A</v>
      </c>
      <c r="F353" s="43" t="str">
        <f t="shared" si="175"/>
        <v>2015E</v>
      </c>
      <c r="G353" s="209"/>
      <c r="H353" s="209"/>
      <c r="I353" s="209"/>
      <c r="J353" s="209"/>
      <c r="K353" s="209"/>
      <c r="L353" s="209"/>
      <c r="M353" s="209"/>
      <c r="N353" s="43" t="str">
        <f t="shared" si="175"/>
        <v>2016E</v>
      </c>
      <c r="O353" s="43" t="str">
        <f t="shared" si="175"/>
        <v>2017E</v>
      </c>
      <c r="P353" s="43" t="str">
        <f t="shared" si="175"/>
        <v>2018E</v>
      </c>
      <c r="Q353" s="43" t="str">
        <f t="shared" si="175"/>
        <v>2019E</v>
      </c>
      <c r="R353" s="43" t="str">
        <f t="shared" si="175"/>
        <v>2020E</v>
      </c>
      <c r="S353" s="43" t="str">
        <f t="shared" si="175"/>
        <v>2021E</v>
      </c>
      <c r="T353" s="43" t="str">
        <f t="shared" si="175"/>
        <v>2022E</v>
      </c>
      <c r="U353" s="43" t="str">
        <f t="shared" si="175"/>
        <v>2023E</v>
      </c>
      <c r="V353" s="43" t="str">
        <f t="shared" si="175"/>
        <v>2024E</v>
      </c>
      <c r="W353" s="44"/>
    </row>
    <row r="354" spans="1:23">
      <c r="A354" s="4" t="s">
        <v>249</v>
      </c>
    </row>
    <row r="355" spans="1:23">
      <c r="A355" s="4" t="str">
        <f t="shared" ref="A355:E356" si="176">+A104</f>
        <v>Property, plant and equipment</v>
      </c>
      <c r="B355" s="5">
        <f t="shared" si="176"/>
        <v>204.5</v>
      </c>
      <c r="C355" s="5">
        <f t="shared" si="176"/>
        <v>206.9</v>
      </c>
      <c r="D355" s="5">
        <f t="shared" si="176"/>
        <v>207.8</v>
      </c>
      <c r="E355" s="5">
        <f t="shared" si="176"/>
        <v>209.9</v>
      </c>
      <c r="F355" s="5">
        <f t="shared" ref="F355:V355" si="177">+E355+F368-F362</f>
        <v>259.92</v>
      </c>
      <c r="G355" s="5"/>
      <c r="H355" s="5"/>
      <c r="I355" s="5"/>
      <c r="J355" s="5"/>
      <c r="K355" s="5"/>
      <c r="L355" s="5"/>
      <c r="M355" s="5"/>
      <c r="N355" s="5">
        <f>+F355+N368-N362</f>
        <v>325.60662873912293</v>
      </c>
      <c r="O355" s="5">
        <f t="shared" si="177"/>
        <v>363.49337041291278</v>
      </c>
      <c r="P355" s="5">
        <f t="shared" si="177"/>
        <v>400.41823896954236</v>
      </c>
      <c r="Q355" s="5">
        <f t="shared" si="177"/>
        <v>436.49917094631667</v>
      </c>
      <c r="R355" s="5">
        <f t="shared" si="177"/>
        <v>471.78501551392918</v>
      </c>
      <c r="S355" s="5">
        <f t="shared" si="177"/>
        <v>506.4910645332501</v>
      </c>
      <c r="T355" s="5">
        <f t="shared" si="177"/>
        <v>540.79457366069028</v>
      </c>
      <c r="U355" s="5">
        <f t="shared" si="177"/>
        <v>574.84226387990293</v>
      </c>
      <c r="V355" s="5">
        <f t="shared" si="177"/>
        <v>608.75634694903704</v>
      </c>
    </row>
    <row r="356" spans="1:23">
      <c r="A356" s="4" t="str">
        <f t="shared" si="176"/>
        <v>Intangible assets and goodwill</v>
      </c>
      <c r="B356" s="5">
        <f t="shared" si="176"/>
        <v>386.1</v>
      </c>
      <c r="C356" s="5">
        <f t="shared" si="176"/>
        <v>380.7</v>
      </c>
      <c r="D356" s="5">
        <f t="shared" si="176"/>
        <v>372.2</v>
      </c>
      <c r="E356" s="5">
        <f t="shared" si="176"/>
        <v>381.8</v>
      </c>
      <c r="F356" s="5">
        <f t="shared" ref="F356:V356" si="178">+E356+F371-F363</f>
        <v>384.8</v>
      </c>
      <c r="G356" s="5"/>
      <c r="H356" s="5"/>
      <c r="I356" s="5"/>
      <c r="J356" s="5"/>
      <c r="K356" s="5"/>
      <c r="L356" s="5"/>
      <c r="M356" s="5"/>
      <c r="N356" s="5">
        <f>+F356+N371-N363</f>
        <v>394.21765718478071</v>
      </c>
      <c r="O356" s="5">
        <f t="shared" si="178"/>
        <v>399.96967404018432</v>
      </c>
      <c r="P356" s="5">
        <f t="shared" si="178"/>
        <v>412.37555969998732</v>
      </c>
      <c r="Q356" s="5">
        <f t="shared" si="178"/>
        <v>431.41670464265803</v>
      </c>
      <c r="R356" s="5">
        <f t="shared" si="178"/>
        <v>452.06312433187696</v>
      </c>
      <c r="S356" s="5">
        <f t="shared" si="178"/>
        <v>474.32888736240363</v>
      </c>
      <c r="T356" s="5">
        <f t="shared" si="178"/>
        <v>498.22931787092614</v>
      </c>
      <c r="U356" s="5">
        <f t="shared" si="178"/>
        <v>523.78096910876377</v>
      </c>
      <c r="V356" s="5">
        <f t="shared" si="178"/>
        <v>551.00160307004239</v>
      </c>
    </row>
    <row r="357" spans="1:23">
      <c r="B357" s="56">
        <f t="shared" ref="B357:V357" si="179">+B356+B355</f>
        <v>590.6</v>
      </c>
      <c r="C357" s="56">
        <f t="shared" si="179"/>
        <v>587.6</v>
      </c>
      <c r="D357" s="56">
        <f t="shared" si="179"/>
        <v>580</v>
      </c>
      <c r="E357" s="56">
        <f t="shared" si="179"/>
        <v>591.70000000000005</v>
      </c>
      <c r="F357" s="56">
        <f t="shared" si="179"/>
        <v>644.72</v>
      </c>
      <c r="G357" s="56"/>
      <c r="H357" s="56"/>
      <c r="I357" s="56"/>
      <c r="J357" s="56"/>
      <c r="K357" s="56"/>
      <c r="L357" s="56"/>
      <c r="M357" s="56"/>
      <c r="N357" s="56">
        <f t="shared" si="179"/>
        <v>719.82428592390363</v>
      </c>
      <c r="O357" s="56">
        <f t="shared" si="179"/>
        <v>763.46304445309715</v>
      </c>
      <c r="P357" s="56">
        <f t="shared" si="179"/>
        <v>812.79379866952968</v>
      </c>
      <c r="Q357" s="56">
        <f t="shared" si="179"/>
        <v>867.9158755889747</v>
      </c>
      <c r="R357" s="56">
        <f t="shared" si="179"/>
        <v>923.84813984580614</v>
      </c>
      <c r="S357" s="56">
        <f t="shared" si="179"/>
        <v>980.81995189565373</v>
      </c>
      <c r="T357" s="56">
        <f t="shared" si="179"/>
        <v>1039.0238915316163</v>
      </c>
      <c r="U357" s="56">
        <f t="shared" si="179"/>
        <v>1098.6232329886666</v>
      </c>
      <c r="V357" s="56">
        <f t="shared" si="179"/>
        <v>1159.7579500190795</v>
      </c>
    </row>
    <row r="358" spans="1:23">
      <c r="A358" s="4" t="s">
        <v>250</v>
      </c>
      <c r="B358" s="5"/>
      <c r="C358" s="5"/>
      <c r="D358" s="5"/>
      <c r="E358" s="5"/>
      <c r="F358" s="5"/>
      <c r="G358" s="5"/>
      <c r="H358" s="5"/>
      <c r="I358" s="5"/>
      <c r="J358" s="5"/>
      <c r="K358" s="5"/>
      <c r="L358" s="5"/>
      <c r="M358" s="5"/>
      <c r="N358" s="5"/>
      <c r="O358" s="5"/>
      <c r="P358" s="5"/>
      <c r="Q358" s="5"/>
      <c r="R358" s="5"/>
      <c r="S358" s="5"/>
      <c r="T358" s="5"/>
      <c r="U358" s="5"/>
      <c r="V358" s="5"/>
    </row>
    <row r="359" spans="1:23">
      <c r="A359" s="4" t="str">
        <f>+A62</f>
        <v>Depreciation and Amortization</v>
      </c>
      <c r="B359" s="5">
        <f>+B62</f>
        <v>-57.4</v>
      </c>
      <c r="C359" s="5">
        <f>+C62</f>
        <v>-62.9</v>
      </c>
      <c r="D359" s="5">
        <f>+D62</f>
        <v>-62.8</v>
      </c>
      <c r="E359" s="5">
        <f>+E62</f>
        <v>-50.8</v>
      </c>
      <c r="F359" s="5">
        <f t="shared" ref="F359:V359" si="180">+F368+F371</f>
        <v>-61.980000000000004</v>
      </c>
      <c r="G359" s="5"/>
      <c r="H359" s="5"/>
      <c r="I359" s="5"/>
      <c r="J359" s="5"/>
      <c r="K359" s="5"/>
      <c r="L359" s="5"/>
      <c r="M359" s="5"/>
      <c r="N359" s="5">
        <f t="shared" si="180"/>
        <v>-71.984000000000009</v>
      </c>
      <c r="O359" s="5">
        <f t="shared" si="180"/>
        <v>-85.121325747824585</v>
      </c>
      <c r="P359" s="5">
        <f t="shared" si="180"/>
        <v>-87.698674082582556</v>
      </c>
      <c r="Q359" s="5">
        <f t="shared" si="180"/>
        <v>-90.083647793908469</v>
      </c>
      <c r="R359" s="5">
        <f t="shared" si="180"/>
        <v>-97.299834189263336</v>
      </c>
      <c r="S359" s="5">
        <f t="shared" si="180"/>
        <v>-104.35700310278584</v>
      </c>
      <c r="T359" s="5">
        <f t="shared" si="180"/>
        <v>-111.29821290665002</v>
      </c>
      <c r="U359" s="5">
        <f t="shared" si="180"/>
        <v>-118.15891473213806</v>
      </c>
      <c r="V359" s="5">
        <f t="shared" si="180"/>
        <v>-124.96845277598058</v>
      </c>
    </row>
    <row r="360" spans="1:23">
      <c r="A360" s="4" t="s">
        <v>251</v>
      </c>
      <c r="B360" s="5"/>
      <c r="C360" s="5"/>
      <c r="D360" s="5"/>
      <c r="E360" s="5"/>
      <c r="F360" s="5"/>
      <c r="G360" s="5"/>
      <c r="H360" s="5"/>
      <c r="I360" s="5"/>
      <c r="J360" s="5"/>
      <c r="K360" s="5"/>
      <c r="L360" s="5"/>
      <c r="M360" s="5"/>
      <c r="N360" s="5"/>
      <c r="O360" s="5"/>
      <c r="P360" s="5"/>
      <c r="Q360" s="5"/>
      <c r="R360" s="5"/>
      <c r="S360" s="5"/>
      <c r="T360" s="5"/>
      <c r="U360" s="5"/>
      <c r="V360" s="5"/>
    </row>
    <row r="361" spans="1:23">
      <c r="A361" s="4" t="str">
        <f t="shared" ref="A361:F361" si="181">+A167</f>
        <v>Proceeds from sale of property, plant and equipment</v>
      </c>
      <c r="B361" s="5">
        <f t="shared" si="181"/>
        <v>2.5</v>
      </c>
      <c r="C361" s="5">
        <f t="shared" si="181"/>
        <v>1.9</v>
      </c>
      <c r="D361" s="5">
        <f t="shared" si="181"/>
        <v>4.5999999999999996</v>
      </c>
      <c r="E361" s="5">
        <f t="shared" si="181"/>
        <v>3.2</v>
      </c>
      <c r="F361" s="5">
        <f t="shared" si="181"/>
        <v>0</v>
      </c>
      <c r="G361" s="5"/>
      <c r="H361" s="5"/>
      <c r="I361" s="5"/>
      <c r="J361" s="5"/>
      <c r="K361" s="5"/>
      <c r="L361" s="5"/>
      <c r="M361" s="5"/>
      <c r="N361" s="5">
        <f t="shared" ref="N361:V361" si="182">+N167</f>
        <v>0</v>
      </c>
      <c r="O361" s="5">
        <f t="shared" si="182"/>
        <v>0</v>
      </c>
      <c r="P361" s="5">
        <f t="shared" si="182"/>
        <v>0</v>
      </c>
      <c r="Q361" s="5">
        <f t="shared" si="182"/>
        <v>0</v>
      </c>
      <c r="R361" s="5">
        <f t="shared" si="182"/>
        <v>0</v>
      </c>
      <c r="S361" s="5">
        <f t="shared" si="182"/>
        <v>0</v>
      </c>
      <c r="T361" s="5">
        <f t="shared" si="182"/>
        <v>0</v>
      </c>
      <c r="U361" s="5">
        <f t="shared" si="182"/>
        <v>0</v>
      </c>
      <c r="V361" s="5">
        <f t="shared" si="182"/>
        <v>0</v>
      </c>
    </row>
    <row r="362" spans="1:23">
      <c r="A362" s="4" t="str">
        <f t="shared" ref="A362:E363" si="183">+A168</f>
        <v>Acquisition of property, plant and equipment</v>
      </c>
      <c r="B362" s="5">
        <f t="shared" si="183"/>
        <v>-61.5</v>
      </c>
      <c r="C362" s="5">
        <f t="shared" si="183"/>
        <v>-48.8</v>
      </c>
      <c r="D362" s="5">
        <f t="shared" si="183"/>
        <v>-41.4</v>
      </c>
      <c r="E362" s="5">
        <f t="shared" si="183"/>
        <v>-41.5</v>
      </c>
      <c r="F362" s="5">
        <f t="shared" ref="F362:V362" si="184">-F365*F366</f>
        <v>-92</v>
      </c>
      <c r="G362" s="5"/>
      <c r="H362" s="5"/>
      <c r="I362" s="5"/>
      <c r="J362" s="5"/>
      <c r="K362" s="5"/>
      <c r="L362" s="5"/>
      <c r="M362" s="5"/>
      <c r="N362" s="5">
        <f t="shared" si="184"/>
        <v>-117.67062873912292</v>
      </c>
      <c r="O362" s="5">
        <f t="shared" si="184"/>
        <v>-103.00806742161447</v>
      </c>
      <c r="P362" s="5">
        <f t="shared" si="184"/>
        <v>-109.62354263921212</v>
      </c>
      <c r="Q362" s="5">
        <f t="shared" si="184"/>
        <v>-116.16457977068279</v>
      </c>
      <c r="R362" s="5">
        <f t="shared" si="184"/>
        <v>-122.58567875687582</v>
      </c>
      <c r="S362" s="5">
        <f t="shared" si="184"/>
        <v>-129.06305212210677</v>
      </c>
      <c r="T362" s="5">
        <f t="shared" si="184"/>
        <v>-135.60172203409016</v>
      </c>
      <c r="U362" s="5">
        <f t="shared" si="184"/>
        <v>-142.20660495135073</v>
      </c>
      <c r="V362" s="5">
        <f t="shared" si="184"/>
        <v>-148.88253584511469</v>
      </c>
    </row>
    <row r="363" spans="1:23">
      <c r="A363" s="4" t="str">
        <f t="shared" si="183"/>
        <v>Acquisition of intangible assets</v>
      </c>
      <c r="B363" s="5">
        <f t="shared" si="183"/>
        <v>-5.9</v>
      </c>
      <c r="C363" s="5">
        <f t="shared" si="183"/>
        <v>-7.6</v>
      </c>
      <c r="D363" s="5">
        <f t="shared" si="183"/>
        <v>-6.7</v>
      </c>
      <c r="E363" s="5">
        <f t="shared" si="183"/>
        <v>-7.1</v>
      </c>
      <c r="F363" s="5">
        <f t="shared" ref="F363:V363" si="185">-F365-F362</f>
        <v>-23</v>
      </c>
      <c r="G363" s="5"/>
      <c r="H363" s="5"/>
      <c r="I363" s="5"/>
      <c r="J363" s="5"/>
      <c r="K363" s="5"/>
      <c r="L363" s="5"/>
      <c r="M363" s="5"/>
      <c r="N363" s="5">
        <f t="shared" si="185"/>
        <v>-29.417657184780722</v>
      </c>
      <c r="O363" s="5">
        <f t="shared" si="185"/>
        <v>-25.75201685540361</v>
      </c>
      <c r="P363" s="5">
        <f t="shared" si="185"/>
        <v>-27.405885659803019</v>
      </c>
      <c r="Q363" s="5">
        <f t="shared" si="185"/>
        <v>-29.041144942670684</v>
      </c>
      <c r="R363" s="5">
        <f t="shared" si="185"/>
        <v>-30.646419689218945</v>
      </c>
      <c r="S363" s="5">
        <f t="shared" si="185"/>
        <v>-32.265763030526671</v>
      </c>
      <c r="T363" s="5">
        <f t="shared" si="185"/>
        <v>-33.900430508522533</v>
      </c>
      <c r="U363" s="5">
        <f t="shared" si="185"/>
        <v>-35.55165123783766</v>
      </c>
      <c r="V363" s="5">
        <f t="shared" si="185"/>
        <v>-37.220633961278651</v>
      </c>
    </row>
    <row r="364" spans="1:23">
      <c r="B364" s="5"/>
      <c r="C364" s="5"/>
      <c r="D364" s="5"/>
      <c r="E364" s="5"/>
      <c r="F364" s="5"/>
      <c r="G364" s="5"/>
      <c r="H364" s="5"/>
      <c r="I364" s="5"/>
      <c r="J364" s="5"/>
      <c r="K364" s="5"/>
      <c r="L364" s="5"/>
      <c r="M364" s="5"/>
      <c r="N364" s="5"/>
      <c r="O364" s="5"/>
      <c r="P364" s="5"/>
      <c r="Q364" s="5"/>
      <c r="R364" s="5"/>
      <c r="S364" s="5"/>
      <c r="T364" s="5"/>
      <c r="U364" s="5"/>
      <c r="V364" s="5"/>
    </row>
    <row r="365" spans="1:23">
      <c r="A365" s="4" t="s">
        <v>252</v>
      </c>
      <c r="B365" s="5">
        <f t="shared" ref="B365:V365" si="186">+B197</f>
        <v>68.099999999999994</v>
      </c>
      <c r="C365" s="5">
        <f t="shared" si="186"/>
        <v>59.6</v>
      </c>
      <c r="D365" s="5">
        <f t="shared" si="186"/>
        <v>51.5</v>
      </c>
      <c r="E365" s="5">
        <f t="shared" si="186"/>
        <v>84.1</v>
      </c>
      <c r="F365" s="5">
        <f t="shared" si="186"/>
        <v>115</v>
      </c>
      <c r="G365" s="5"/>
      <c r="H365" s="5"/>
      <c r="I365" s="5"/>
      <c r="J365" s="5"/>
      <c r="K365" s="5"/>
      <c r="L365" s="5"/>
      <c r="M365" s="5"/>
      <c r="N365" s="5">
        <f t="shared" si="186"/>
        <v>147.08828592390364</v>
      </c>
      <c r="O365" s="5">
        <f t="shared" si="186"/>
        <v>128.76008427701808</v>
      </c>
      <c r="P365" s="5">
        <f t="shared" si="186"/>
        <v>137.02942829901514</v>
      </c>
      <c r="Q365" s="5">
        <f t="shared" si="186"/>
        <v>145.20572471335348</v>
      </c>
      <c r="R365" s="5">
        <f t="shared" si="186"/>
        <v>153.23209844609477</v>
      </c>
      <c r="S365" s="5">
        <f t="shared" si="186"/>
        <v>161.32881515263344</v>
      </c>
      <c r="T365" s="5">
        <f t="shared" si="186"/>
        <v>169.50215254261269</v>
      </c>
      <c r="U365" s="5">
        <f t="shared" si="186"/>
        <v>177.75825618918839</v>
      </c>
      <c r="V365" s="5">
        <f t="shared" si="186"/>
        <v>186.10316980639334</v>
      </c>
    </row>
    <row r="366" spans="1:23">
      <c r="A366" s="4" t="s">
        <v>253</v>
      </c>
      <c r="B366" s="40">
        <f>-B362/B365</f>
        <v>0.90308370044052866</v>
      </c>
      <c r="C366" s="40">
        <f>-C362/C365</f>
        <v>0.81879194630872476</v>
      </c>
      <c r="D366" s="40">
        <f>-D362/D365</f>
        <v>0.80388349514563107</v>
      </c>
      <c r="E366" s="40">
        <f>-E362/E365</f>
        <v>0.49346016646848995</v>
      </c>
      <c r="F366" s="41">
        <v>0.8</v>
      </c>
      <c r="G366" s="41"/>
      <c r="H366" s="41"/>
      <c r="I366" s="41"/>
      <c r="J366" s="41"/>
      <c r="K366" s="41"/>
      <c r="L366" s="41"/>
      <c r="M366" s="41"/>
      <c r="N366" s="41">
        <v>0.8</v>
      </c>
      <c r="O366" s="41">
        <v>0.8</v>
      </c>
      <c r="P366" s="41">
        <v>0.8</v>
      </c>
      <c r="Q366" s="41">
        <v>0.8</v>
      </c>
      <c r="R366" s="41">
        <v>0.8</v>
      </c>
      <c r="S366" s="41">
        <v>0.8</v>
      </c>
      <c r="T366" s="41">
        <v>0.8</v>
      </c>
      <c r="U366" s="41">
        <v>0.8</v>
      </c>
      <c r="V366" s="41">
        <v>0.8</v>
      </c>
    </row>
    <row r="367" spans="1:23">
      <c r="C367" s="36"/>
      <c r="D367" s="36"/>
    </row>
    <row r="368" spans="1:23">
      <c r="A368" s="4" t="s">
        <v>254</v>
      </c>
      <c r="B368" s="5">
        <f>+B359-B371</f>
        <v>-44.4</v>
      </c>
      <c r="C368" s="5">
        <f>+(C355-B355)+C362</f>
        <v>-46.399999999999991</v>
      </c>
      <c r="D368" s="5">
        <f>+(D355-C355)+D362</f>
        <v>-40.499999999999993</v>
      </c>
      <c r="E368" s="5">
        <f>+(E355-D355)+E362</f>
        <v>-39.400000000000006</v>
      </c>
      <c r="F368" s="5">
        <f t="shared" ref="F368:V368" si="187">-E355/F369</f>
        <v>-41.980000000000004</v>
      </c>
      <c r="G368" s="5"/>
      <c r="H368" s="5"/>
      <c r="I368" s="5"/>
      <c r="J368" s="5"/>
      <c r="K368" s="5"/>
      <c r="L368" s="5"/>
      <c r="M368" s="5"/>
      <c r="N368" s="5">
        <f>-F355/N369</f>
        <v>-51.984000000000002</v>
      </c>
      <c r="O368" s="5">
        <f t="shared" si="187"/>
        <v>-65.121325747824585</v>
      </c>
      <c r="P368" s="5">
        <f t="shared" si="187"/>
        <v>-72.698674082582556</v>
      </c>
      <c r="Q368" s="5">
        <f t="shared" si="187"/>
        <v>-80.083647793908469</v>
      </c>
      <c r="R368" s="5">
        <f t="shared" si="187"/>
        <v>-87.299834189263336</v>
      </c>
      <c r="S368" s="5">
        <f t="shared" si="187"/>
        <v>-94.357003102785839</v>
      </c>
      <c r="T368" s="5">
        <f t="shared" si="187"/>
        <v>-101.29821290665002</v>
      </c>
      <c r="U368" s="5">
        <f t="shared" si="187"/>
        <v>-108.15891473213806</v>
      </c>
      <c r="V368" s="5">
        <f t="shared" si="187"/>
        <v>-114.96845277598058</v>
      </c>
    </row>
    <row r="369" spans="1:23">
      <c r="A369" s="4" t="s">
        <v>255</v>
      </c>
      <c r="C369" s="32">
        <f>+B355/-C368</f>
        <v>4.4073275862068977</v>
      </c>
      <c r="D369" s="32">
        <f>+C355/-D368</f>
        <v>5.1086419753086432</v>
      </c>
      <c r="E369" s="32">
        <f>+D355/-E368</f>
        <v>5.2741116751269033</v>
      </c>
      <c r="F369" s="51">
        <v>5</v>
      </c>
      <c r="G369" s="51"/>
      <c r="H369" s="51"/>
      <c r="I369" s="51"/>
      <c r="J369" s="51"/>
      <c r="K369" s="51"/>
      <c r="L369" s="51"/>
      <c r="M369" s="51"/>
      <c r="N369" s="51">
        <v>5</v>
      </c>
      <c r="O369" s="51">
        <v>5</v>
      </c>
      <c r="P369" s="51">
        <v>5</v>
      </c>
      <c r="Q369" s="51">
        <v>5</v>
      </c>
      <c r="R369" s="51">
        <v>5</v>
      </c>
      <c r="S369" s="51">
        <v>5</v>
      </c>
      <c r="T369" s="51">
        <v>5</v>
      </c>
      <c r="U369" s="51">
        <v>5</v>
      </c>
      <c r="V369" s="51">
        <v>5</v>
      </c>
    </row>
    <row r="371" spans="1:23">
      <c r="A371" s="4" t="s">
        <v>256</v>
      </c>
      <c r="B371" s="51">
        <v>-13</v>
      </c>
      <c r="C371" s="5">
        <f>+(C356-B356)+C363</f>
        <v>-13.000000000000034</v>
      </c>
      <c r="D371" s="5">
        <f>+(D356-C356)+D363</f>
        <v>-15.2</v>
      </c>
      <c r="E371" s="5">
        <f>+(E356-D356)+E363</f>
        <v>2.5000000000000231</v>
      </c>
      <c r="F371" s="51">
        <v>-20</v>
      </c>
      <c r="G371" s="51"/>
      <c r="H371" s="51"/>
      <c r="I371" s="51"/>
      <c r="J371" s="51"/>
      <c r="K371" s="51"/>
      <c r="L371" s="51"/>
      <c r="M371" s="51"/>
      <c r="N371" s="51">
        <v>-20</v>
      </c>
      <c r="O371" s="51">
        <v>-20</v>
      </c>
      <c r="P371" s="51">
        <v>-15</v>
      </c>
      <c r="Q371" s="51">
        <v>-10</v>
      </c>
      <c r="R371" s="51">
        <v>-10</v>
      </c>
      <c r="S371" s="51">
        <v>-10</v>
      </c>
      <c r="T371" s="51">
        <v>-10</v>
      </c>
      <c r="U371" s="51">
        <v>-10</v>
      </c>
      <c r="V371" s="51">
        <v>-10</v>
      </c>
    </row>
    <row r="372" spans="1:23">
      <c r="C372" s="5"/>
      <c r="D372" s="5"/>
    </row>
    <row r="373" spans="1:23">
      <c r="A373" s="18" t="s">
        <v>259</v>
      </c>
      <c r="B373" s="43" t="str">
        <f t="shared" ref="B373:V373" si="188">+B$34</f>
        <v>2011A</v>
      </c>
      <c r="C373" s="43" t="str">
        <f t="shared" si="188"/>
        <v>2012A</v>
      </c>
      <c r="D373" s="43" t="str">
        <f t="shared" si="188"/>
        <v>2013A</v>
      </c>
      <c r="E373" s="43" t="str">
        <f t="shared" si="188"/>
        <v>2014A</v>
      </c>
      <c r="F373" s="43" t="str">
        <f t="shared" si="188"/>
        <v>2015E</v>
      </c>
      <c r="G373" s="209"/>
      <c r="H373" s="209"/>
      <c r="I373" s="209"/>
      <c r="J373" s="209"/>
      <c r="K373" s="209"/>
      <c r="L373" s="209"/>
      <c r="M373" s="209"/>
      <c r="N373" s="43" t="str">
        <f t="shared" si="188"/>
        <v>2016E</v>
      </c>
      <c r="O373" s="43" t="str">
        <f t="shared" si="188"/>
        <v>2017E</v>
      </c>
      <c r="P373" s="43" t="str">
        <f t="shared" si="188"/>
        <v>2018E</v>
      </c>
      <c r="Q373" s="43" t="str">
        <f t="shared" si="188"/>
        <v>2019E</v>
      </c>
      <c r="R373" s="43" t="str">
        <f t="shared" si="188"/>
        <v>2020E</v>
      </c>
      <c r="S373" s="43" t="str">
        <f t="shared" si="188"/>
        <v>2021E</v>
      </c>
      <c r="T373" s="43" t="str">
        <f t="shared" si="188"/>
        <v>2022E</v>
      </c>
      <c r="U373" s="43" t="str">
        <f t="shared" si="188"/>
        <v>2023E</v>
      </c>
      <c r="V373" s="43" t="str">
        <f t="shared" si="188"/>
        <v>2024E</v>
      </c>
      <c r="W373" s="44"/>
    </row>
    <row r="375" spans="1:23">
      <c r="A375" s="4" t="str">
        <f t="shared" ref="A375:E377" si="189">+A114</f>
        <v>Inventories</v>
      </c>
      <c r="B375" s="5">
        <f t="shared" si="189"/>
        <v>1.5</v>
      </c>
      <c r="C375" s="5">
        <f t="shared" si="189"/>
        <v>2.5</v>
      </c>
      <c r="D375" s="5">
        <f t="shared" si="189"/>
        <v>1.7</v>
      </c>
      <c r="E375" s="5">
        <f t="shared" si="189"/>
        <v>3.3</v>
      </c>
      <c r="F375" s="5">
        <f t="shared" ref="F375:V375" si="190">+F393*F398/365</f>
        <v>3.5373773258922259</v>
      </c>
      <c r="G375" s="5"/>
      <c r="H375" s="5"/>
      <c r="I375" s="5"/>
      <c r="J375" s="5"/>
      <c r="K375" s="5"/>
      <c r="L375" s="5"/>
      <c r="M375" s="5"/>
      <c r="N375" s="5">
        <f t="shared" si="190"/>
        <v>8.0152721718463766</v>
      </c>
      <c r="O375" s="5">
        <f t="shared" si="190"/>
        <v>8.639977369326088</v>
      </c>
      <c r="P375" s="5">
        <f t="shared" si="190"/>
        <v>9.4291606605639178</v>
      </c>
      <c r="Q375" s="5">
        <f t="shared" si="190"/>
        <v>10.240060722232295</v>
      </c>
      <c r="R375" s="5">
        <f t="shared" si="190"/>
        <v>11.068092125810095</v>
      </c>
      <c r="S375" s="5">
        <f t="shared" si="190"/>
        <v>11.928772444048729</v>
      </c>
      <c r="T375" s="5">
        <f t="shared" si="190"/>
        <v>12.822937416023793</v>
      </c>
      <c r="U375" s="5">
        <f t="shared" si="190"/>
        <v>13.751455494305844</v>
      </c>
      <c r="V375" s="5">
        <f t="shared" si="190"/>
        <v>14.715229109335709</v>
      </c>
    </row>
    <row r="376" spans="1:23">
      <c r="A376" s="4" t="str">
        <f t="shared" si="189"/>
        <v>Trade receivables</v>
      </c>
      <c r="B376" s="5">
        <f t="shared" si="189"/>
        <v>16.3</v>
      </c>
      <c r="C376" s="5">
        <f t="shared" si="189"/>
        <v>18.5</v>
      </c>
      <c r="D376" s="5">
        <f t="shared" si="189"/>
        <v>18.899999999999999</v>
      </c>
      <c r="E376" s="5">
        <f t="shared" si="189"/>
        <v>19.100000000000001</v>
      </c>
      <c r="F376" s="5">
        <f t="shared" ref="F376:V376" si="191">+F392*F399/365</f>
        <v>19.924189383719735</v>
      </c>
      <c r="G376" s="5"/>
      <c r="H376" s="5"/>
      <c r="I376" s="5"/>
      <c r="J376" s="5"/>
      <c r="K376" s="5"/>
      <c r="L376" s="5"/>
      <c r="M376" s="5"/>
      <c r="N376" s="5">
        <f t="shared" si="191"/>
        <v>43.965356199476687</v>
      </c>
      <c r="O376" s="5">
        <f t="shared" si="191"/>
        <v>46.184368257108844</v>
      </c>
      <c r="P376" s="5">
        <f t="shared" si="191"/>
        <v>49.150461605843937</v>
      </c>
      <c r="Q376" s="5">
        <f t="shared" si="191"/>
        <v>52.083180131925864</v>
      </c>
      <c r="R376" s="5">
        <f t="shared" si="191"/>
        <v>54.962123574092224</v>
      </c>
      <c r="S376" s="5">
        <f t="shared" si="191"/>
        <v>57.866298017188718</v>
      </c>
      <c r="T376" s="5">
        <f t="shared" si="191"/>
        <v>60.797955184298651</v>
      </c>
      <c r="U376" s="5">
        <f t="shared" si="191"/>
        <v>63.759299403070408</v>
      </c>
      <c r="V376" s="5">
        <f t="shared" si="191"/>
        <v>66.752498465767388</v>
      </c>
    </row>
    <row r="377" spans="1:23">
      <c r="A377" s="4" t="str">
        <f t="shared" si="189"/>
        <v>Receivables from related parties</v>
      </c>
      <c r="B377" s="5">
        <f t="shared" si="189"/>
        <v>2.9</v>
      </c>
      <c r="C377" s="5">
        <f t="shared" si="189"/>
        <v>6</v>
      </c>
      <c r="D377" s="5">
        <f t="shared" si="189"/>
        <v>2.2000000000000002</v>
      </c>
      <c r="E377" s="5">
        <f t="shared" si="189"/>
        <v>3.1</v>
      </c>
      <c r="F377" s="51">
        <f t="shared" ref="F377:V377" si="192">+E377</f>
        <v>3.1</v>
      </c>
      <c r="G377" s="51"/>
      <c r="H377" s="51"/>
      <c r="I377" s="51"/>
      <c r="J377" s="51"/>
      <c r="K377" s="51"/>
      <c r="L377" s="51"/>
      <c r="M377" s="51"/>
      <c r="N377" s="51">
        <f>+F377</f>
        <v>3.1</v>
      </c>
      <c r="O377" s="51">
        <f t="shared" si="192"/>
        <v>3.1</v>
      </c>
      <c r="P377" s="51">
        <f t="shared" si="192"/>
        <v>3.1</v>
      </c>
      <c r="Q377" s="51">
        <f t="shared" si="192"/>
        <v>3.1</v>
      </c>
      <c r="R377" s="51">
        <f t="shared" si="192"/>
        <v>3.1</v>
      </c>
      <c r="S377" s="51">
        <f t="shared" si="192"/>
        <v>3.1</v>
      </c>
      <c r="T377" s="51">
        <f t="shared" si="192"/>
        <v>3.1</v>
      </c>
      <c r="U377" s="51">
        <f t="shared" si="192"/>
        <v>3.1</v>
      </c>
      <c r="V377" s="51">
        <f t="shared" si="192"/>
        <v>3.1</v>
      </c>
    </row>
    <row r="378" spans="1:23">
      <c r="A378" s="4" t="str">
        <f t="shared" ref="A378:E379" si="193">+A118</f>
        <v>Other receivables</v>
      </c>
      <c r="B378" s="5">
        <f t="shared" si="193"/>
        <v>3.7</v>
      </c>
      <c r="C378" s="5">
        <f t="shared" si="193"/>
        <v>1.1000000000000001</v>
      </c>
      <c r="D378" s="5">
        <f t="shared" si="193"/>
        <v>0.9</v>
      </c>
      <c r="E378" s="5">
        <f t="shared" si="193"/>
        <v>13.1</v>
      </c>
      <c r="F378" s="5">
        <f t="shared" ref="F378:V378" si="194">+F392*F400/365</f>
        <v>13.665281723912484</v>
      </c>
      <c r="G378" s="5"/>
      <c r="H378" s="5"/>
      <c r="I378" s="5"/>
      <c r="J378" s="5"/>
      <c r="K378" s="5"/>
      <c r="L378" s="5"/>
      <c r="M378" s="5"/>
      <c r="N378" s="5">
        <f t="shared" si="194"/>
        <v>30.154249539955206</v>
      </c>
      <c r="O378" s="5">
        <f t="shared" si="194"/>
        <v>31.676189747022288</v>
      </c>
      <c r="P378" s="5">
        <f t="shared" si="194"/>
        <v>33.710526022856307</v>
      </c>
      <c r="Q378" s="5">
        <f t="shared" si="194"/>
        <v>35.721971713519821</v>
      </c>
      <c r="R378" s="5">
        <f t="shared" si="194"/>
        <v>37.696535016785752</v>
      </c>
      <c r="S378" s="5">
        <f t="shared" si="194"/>
        <v>39.688403352103244</v>
      </c>
      <c r="T378" s="5">
        <f t="shared" si="194"/>
        <v>41.699121094990161</v>
      </c>
      <c r="U378" s="5">
        <f t="shared" si="194"/>
        <v>43.730200114147756</v>
      </c>
      <c r="V378" s="5">
        <f t="shared" si="194"/>
        <v>45.783127219976578</v>
      </c>
    </row>
    <row r="379" spans="1:23">
      <c r="A379" s="4" t="str">
        <f t="shared" si="193"/>
        <v>Income tax rebate claims</v>
      </c>
      <c r="B379" s="5">
        <f t="shared" si="193"/>
        <v>1.8</v>
      </c>
      <c r="C379" s="5">
        <f t="shared" si="193"/>
        <v>1.3</v>
      </c>
      <c r="D379" s="5">
        <f t="shared" si="193"/>
        <v>1.2</v>
      </c>
      <c r="E379" s="5">
        <f t="shared" si="193"/>
        <v>0.5</v>
      </c>
      <c r="F379" s="51">
        <f t="shared" ref="F379:V379" si="195">+E379</f>
        <v>0.5</v>
      </c>
      <c r="G379" s="51"/>
      <c r="H379" s="51"/>
      <c r="I379" s="51"/>
      <c r="J379" s="51"/>
      <c r="K379" s="51"/>
      <c r="L379" s="51"/>
      <c r="M379" s="51"/>
      <c r="N379" s="51">
        <f>+F379</f>
        <v>0.5</v>
      </c>
      <c r="O379" s="51">
        <f t="shared" si="195"/>
        <v>0.5</v>
      </c>
      <c r="P379" s="51">
        <f t="shared" si="195"/>
        <v>0.5</v>
      </c>
      <c r="Q379" s="51">
        <f t="shared" si="195"/>
        <v>0.5</v>
      </c>
      <c r="R379" s="51">
        <f t="shared" si="195"/>
        <v>0.5</v>
      </c>
      <c r="S379" s="51">
        <f t="shared" si="195"/>
        <v>0.5</v>
      </c>
      <c r="T379" s="51">
        <f t="shared" si="195"/>
        <v>0.5</v>
      </c>
      <c r="U379" s="51">
        <f t="shared" si="195"/>
        <v>0.5</v>
      </c>
      <c r="V379" s="51">
        <f t="shared" si="195"/>
        <v>0.5</v>
      </c>
    </row>
    <row r="380" spans="1:23">
      <c r="A380" s="4" t="str">
        <f>+A121</f>
        <v>Deferred expenses</v>
      </c>
      <c r="B380" s="5">
        <f>+B121</f>
        <v>1.1000000000000001</v>
      </c>
      <c r="C380" s="5">
        <f>+C121</f>
        <v>1.1000000000000001</v>
      </c>
      <c r="D380" s="5">
        <f>+D121</f>
        <v>2.2000000000000002</v>
      </c>
      <c r="E380" s="5">
        <f>+E121</f>
        <v>5.7</v>
      </c>
      <c r="F380" s="5">
        <f t="shared" ref="F380:V380" si="196">+F394*F401/365</f>
        <v>5.7438666237566345</v>
      </c>
      <c r="G380" s="5"/>
      <c r="H380" s="5"/>
      <c r="I380" s="5"/>
      <c r="J380" s="5"/>
      <c r="K380" s="5"/>
      <c r="L380" s="5"/>
      <c r="M380" s="5"/>
      <c r="N380" s="5">
        <f t="shared" si="196"/>
        <v>11.28465591480578</v>
      </c>
      <c r="O380" s="5">
        <f t="shared" si="196"/>
        <v>11.44915121434463</v>
      </c>
      <c r="P380" s="5">
        <f t="shared" si="196"/>
        <v>11.750774182862623</v>
      </c>
      <c r="Q380" s="5">
        <f t="shared" si="196"/>
        <v>12.156399374810158</v>
      </c>
      <c r="R380" s="5">
        <f t="shared" si="196"/>
        <v>12.556313711486306</v>
      </c>
      <c r="S380" s="5">
        <f t="shared" si="196"/>
        <v>12.964975845676346</v>
      </c>
      <c r="T380" s="5">
        <f t="shared" si="196"/>
        <v>13.382871880627402</v>
      </c>
      <c r="U380" s="5">
        <f t="shared" si="196"/>
        <v>13.810489815002905</v>
      </c>
      <c r="V380" s="5">
        <f t="shared" si="196"/>
        <v>14.248321314084166</v>
      </c>
    </row>
    <row r="381" spans="1:23">
      <c r="A381" s="4" t="s">
        <v>10</v>
      </c>
      <c r="B381" s="56">
        <f t="shared" ref="B381:V381" si="197">SUM(B375:B380)</f>
        <v>27.3</v>
      </c>
      <c r="C381" s="56">
        <f t="shared" si="197"/>
        <v>30.500000000000004</v>
      </c>
      <c r="D381" s="56">
        <f t="shared" si="197"/>
        <v>27.099999999999994</v>
      </c>
      <c r="E381" s="56">
        <f t="shared" si="197"/>
        <v>44.800000000000004</v>
      </c>
      <c r="F381" s="56">
        <f t="shared" si="197"/>
        <v>46.470715057281083</v>
      </c>
      <c r="G381" s="56"/>
      <c r="H381" s="56"/>
      <c r="I381" s="56"/>
      <c r="J381" s="56"/>
      <c r="K381" s="56"/>
      <c r="L381" s="56"/>
      <c r="M381" s="56"/>
      <c r="N381" s="56">
        <f t="shared" si="197"/>
        <v>97.019533826084057</v>
      </c>
      <c r="O381" s="56">
        <f t="shared" si="197"/>
        <v>101.54968658780184</v>
      </c>
      <c r="P381" s="56">
        <f t="shared" si="197"/>
        <v>107.64092247212679</v>
      </c>
      <c r="Q381" s="56">
        <f t="shared" si="197"/>
        <v>113.80161194248814</v>
      </c>
      <c r="R381" s="56">
        <f t="shared" si="197"/>
        <v>119.88306442817436</v>
      </c>
      <c r="S381" s="56">
        <f t="shared" si="197"/>
        <v>126.04844965901702</v>
      </c>
      <c r="T381" s="56">
        <f t="shared" si="197"/>
        <v>132.30288557594</v>
      </c>
      <c r="U381" s="56">
        <f t="shared" si="197"/>
        <v>138.6514448265269</v>
      </c>
      <c r="V381" s="56">
        <f t="shared" si="197"/>
        <v>145.09917610916384</v>
      </c>
    </row>
    <row r="382" spans="1:23">
      <c r="A382" s="4" t="s">
        <v>222</v>
      </c>
      <c r="B382" s="5"/>
      <c r="C382" s="5"/>
      <c r="D382" s="5"/>
      <c r="E382" s="5">
        <f t="shared" ref="E382:V382" si="198">-E381+D381</f>
        <v>-17.70000000000001</v>
      </c>
      <c r="F382" s="5">
        <f t="shared" si="198"/>
        <v>-1.6707150572810789</v>
      </c>
      <c r="G382" s="5"/>
      <c r="H382" s="5"/>
      <c r="I382" s="5"/>
      <c r="J382" s="5"/>
      <c r="K382" s="5"/>
      <c r="L382" s="5"/>
      <c r="M382" s="5"/>
      <c r="N382" s="5">
        <f>-N381+F381</f>
        <v>-50.548818768802974</v>
      </c>
      <c r="O382" s="5">
        <f t="shared" si="198"/>
        <v>-4.5301527617177868</v>
      </c>
      <c r="P382" s="5">
        <f t="shared" si="198"/>
        <v>-6.091235884324945</v>
      </c>
      <c r="Q382" s="5">
        <f t="shared" si="198"/>
        <v>-6.1606894703613477</v>
      </c>
      <c r="R382" s="5">
        <f t="shared" si="198"/>
        <v>-6.0814524856862278</v>
      </c>
      <c r="S382" s="5">
        <f t="shared" si="198"/>
        <v>-6.1653852308426593</v>
      </c>
      <c r="T382" s="5">
        <f t="shared" si="198"/>
        <v>-6.2544359169229722</v>
      </c>
      <c r="U382" s="5">
        <f t="shared" si="198"/>
        <v>-6.3485592505869022</v>
      </c>
      <c r="V382" s="5">
        <f t="shared" si="198"/>
        <v>-6.4477312826369371</v>
      </c>
    </row>
    <row r="383" spans="1:23">
      <c r="B383" s="5"/>
      <c r="C383" s="5"/>
      <c r="D383" s="5"/>
      <c r="E383" s="5"/>
      <c r="F383" s="5"/>
      <c r="G383" s="5"/>
      <c r="H383" s="5"/>
      <c r="I383" s="5"/>
      <c r="J383" s="5"/>
      <c r="K383" s="5"/>
      <c r="L383" s="5"/>
      <c r="M383" s="5"/>
      <c r="N383" s="5"/>
      <c r="O383" s="5"/>
      <c r="P383" s="5"/>
      <c r="Q383" s="5"/>
      <c r="R383" s="5"/>
      <c r="S383" s="5"/>
      <c r="T383" s="5"/>
      <c r="U383" s="5"/>
      <c r="V383" s="5"/>
    </row>
    <row r="384" spans="1:23">
      <c r="A384" s="4" t="str">
        <f t="shared" ref="A384:E385" si="199">+A142</f>
        <v>Trade payables</v>
      </c>
      <c r="B384" s="5">
        <f t="shared" si="199"/>
        <v>30.6</v>
      </c>
      <c r="C384" s="5">
        <f t="shared" si="199"/>
        <v>27.9</v>
      </c>
      <c r="D384" s="5">
        <f t="shared" si="199"/>
        <v>43.2</v>
      </c>
      <c r="E384" s="5">
        <f t="shared" si="199"/>
        <v>40.4</v>
      </c>
      <c r="F384" s="5">
        <f t="shared" ref="F384:V384" si="200">+F396*F403/365</f>
        <v>46.398267066076968</v>
      </c>
      <c r="G384" s="5"/>
      <c r="H384" s="5"/>
      <c r="I384" s="5"/>
      <c r="J384" s="5"/>
      <c r="K384" s="5"/>
      <c r="L384" s="5"/>
      <c r="M384" s="5"/>
      <c r="N384" s="5">
        <f t="shared" si="200"/>
        <v>76.333523896290401</v>
      </c>
      <c r="O384" s="5">
        <f t="shared" si="200"/>
        <v>73.597553290634835</v>
      </c>
      <c r="P384" s="5">
        <f t="shared" si="200"/>
        <v>76.453338377443472</v>
      </c>
      <c r="Q384" s="5">
        <f t="shared" si="200"/>
        <v>79.740294246436818</v>
      </c>
      <c r="R384" s="5">
        <f t="shared" si="200"/>
        <v>82.974428989450843</v>
      </c>
      <c r="S384" s="5">
        <f t="shared" si="200"/>
        <v>86.259525617115145</v>
      </c>
      <c r="T384" s="5">
        <f t="shared" si="200"/>
        <v>89.59886134207656</v>
      </c>
      <c r="U384" s="5">
        <f t="shared" si="200"/>
        <v>92.995696712842715</v>
      </c>
      <c r="V384" s="5">
        <f t="shared" si="200"/>
        <v>96.453288946680615</v>
      </c>
    </row>
    <row r="385" spans="1:22">
      <c r="A385" s="4" t="str">
        <f t="shared" si="199"/>
        <v>Liabilities to related parties</v>
      </c>
      <c r="B385" s="5">
        <f t="shared" si="199"/>
        <v>2.2999999999999998</v>
      </c>
      <c r="C385" s="5">
        <f t="shared" si="199"/>
        <v>8.6999999999999993</v>
      </c>
      <c r="D385" s="5">
        <f t="shared" si="199"/>
        <v>2.6</v>
      </c>
      <c r="E385" s="5">
        <f t="shared" si="199"/>
        <v>2.6</v>
      </c>
      <c r="F385" s="51">
        <f t="shared" ref="F385:V385" si="201">+E385</f>
        <v>2.6</v>
      </c>
      <c r="G385" s="51"/>
      <c r="H385" s="51"/>
      <c r="I385" s="51"/>
      <c r="J385" s="51"/>
      <c r="K385" s="51"/>
      <c r="L385" s="51"/>
      <c r="M385" s="51"/>
      <c r="N385" s="51">
        <f>+F385</f>
        <v>2.6</v>
      </c>
      <c r="O385" s="51">
        <f t="shared" si="201"/>
        <v>2.6</v>
      </c>
      <c r="P385" s="51">
        <f t="shared" si="201"/>
        <v>2.6</v>
      </c>
      <c r="Q385" s="51">
        <f t="shared" si="201"/>
        <v>2.6</v>
      </c>
      <c r="R385" s="51">
        <f t="shared" si="201"/>
        <v>2.6</v>
      </c>
      <c r="S385" s="51">
        <f t="shared" si="201"/>
        <v>2.6</v>
      </c>
      <c r="T385" s="51">
        <f t="shared" si="201"/>
        <v>2.6</v>
      </c>
      <c r="U385" s="51">
        <f t="shared" si="201"/>
        <v>2.6</v>
      </c>
      <c r="V385" s="51">
        <f t="shared" si="201"/>
        <v>2.6</v>
      </c>
    </row>
    <row r="386" spans="1:22">
      <c r="A386" s="4" t="str">
        <f t="shared" ref="A386:E388" si="202">+A145</f>
        <v>Other payables</v>
      </c>
      <c r="B386" s="5">
        <f t="shared" si="202"/>
        <v>15.6</v>
      </c>
      <c r="C386" s="5">
        <f t="shared" si="202"/>
        <v>7.2</v>
      </c>
      <c r="D386" s="5">
        <f t="shared" si="202"/>
        <v>8</v>
      </c>
      <c r="E386" s="5">
        <f t="shared" si="202"/>
        <v>12.4</v>
      </c>
      <c r="F386" s="5">
        <f t="shared" ref="F386:V386" si="203">+F394*F404/365</f>
        <v>12.495429146417939</v>
      </c>
      <c r="G386" s="5"/>
      <c r="H386" s="5"/>
      <c r="I386" s="5"/>
      <c r="J386" s="5"/>
      <c r="K386" s="5"/>
      <c r="L386" s="5"/>
      <c r="M386" s="5"/>
      <c r="N386" s="5">
        <f t="shared" si="203"/>
        <v>24.549076025191518</v>
      </c>
      <c r="O386" s="5">
        <f t="shared" si="203"/>
        <v>24.906925448749718</v>
      </c>
      <c r="P386" s="5">
        <f t="shared" si="203"/>
        <v>25.563087696052019</v>
      </c>
      <c r="Q386" s="5">
        <f t="shared" si="203"/>
        <v>26.445500394323847</v>
      </c>
      <c r="R386" s="5">
        <f t="shared" si="203"/>
        <v>27.31548947761933</v>
      </c>
      <c r="S386" s="5">
        <f t="shared" si="203"/>
        <v>28.204508857260819</v>
      </c>
      <c r="T386" s="5">
        <f t="shared" si="203"/>
        <v>29.113616021013996</v>
      </c>
      <c r="U386" s="5">
        <f t="shared" si="203"/>
        <v>30.043872580006312</v>
      </c>
      <c r="V386" s="5">
        <f t="shared" si="203"/>
        <v>30.996348121867303</v>
      </c>
    </row>
    <row r="387" spans="1:22">
      <c r="A387" s="4" t="str">
        <f t="shared" si="202"/>
        <v>Income tax liabilities</v>
      </c>
      <c r="B387" s="5">
        <f t="shared" si="202"/>
        <v>1.8</v>
      </c>
      <c r="C387" s="5">
        <f t="shared" si="202"/>
        <v>0.4</v>
      </c>
      <c r="D387" s="5">
        <f t="shared" si="202"/>
        <v>0.7</v>
      </c>
      <c r="E387" s="5">
        <f t="shared" si="202"/>
        <v>5.8</v>
      </c>
      <c r="F387" s="5">
        <f t="shared" ref="F387:V387" si="204">+F392*F405/365</f>
        <v>6.0502774044803367</v>
      </c>
      <c r="G387" s="5"/>
      <c r="H387" s="5"/>
      <c r="I387" s="5"/>
      <c r="J387" s="5"/>
      <c r="K387" s="5"/>
      <c r="L387" s="5"/>
      <c r="M387" s="5"/>
      <c r="N387" s="5">
        <f t="shared" si="204"/>
        <v>13.350736437537419</v>
      </c>
      <c r="O387" s="5">
        <f t="shared" si="204"/>
        <v>14.024572559750327</v>
      </c>
      <c r="P387" s="5">
        <f t="shared" si="204"/>
        <v>14.925271063554698</v>
      </c>
      <c r="Q387" s="5">
        <f t="shared" si="204"/>
        <v>15.815834804459158</v>
      </c>
      <c r="R387" s="5">
        <f t="shared" si="204"/>
        <v>16.690068938729571</v>
      </c>
      <c r="S387" s="5">
        <f t="shared" si="204"/>
        <v>17.571964842915943</v>
      </c>
      <c r="T387" s="5">
        <f t="shared" si="204"/>
        <v>18.462206286331522</v>
      </c>
      <c r="U387" s="5">
        <f t="shared" si="204"/>
        <v>19.361462645958547</v>
      </c>
      <c r="V387" s="5">
        <f t="shared" si="204"/>
        <v>20.270392204264436</v>
      </c>
    </row>
    <row r="388" spans="1:22">
      <c r="A388" s="4" t="str">
        <f t="shared" si="202"/>
        <v>Deferred income</v>
      </c>
      <c r="B388" s="5">
        <f t="shared" si="202"/>
        <v>4.5999999999999996</v>
      </c>
      <c r="C388" s="5">
        <f t="shared" si="202"/>
        <v>4.7</v>
      </c>
      <c r="D388" s="5">
        <f t="shared" si="202"/>
        <v>2.7</v>
      </c>
      <c r="E388" s="5">
        <f t="shared" si="202"/>
        <v>4.3</v>
      </c>
      <c r="F388" s="5">
        <f t="shared" ref="F388:V388" si="205">+F392*F406/365</f>
        <v>4.4855504895285252</v>
      </c>
      <c r="G388" s="5"/>
      <c r="H388" s="5"/>
      <c r="I388" s="5"/>
      <c r="J388" s="5"/>
      <c r="K388" s="5"/>
      <c r="L388" s="5"/>
      <c r="M388" s="5"/>
      <c r="N388" s="5">
        <f t="shared" si="205"/>
        <v>9.8979597726570514</v>
      </c>
      <c r="O388" s="5">
        <f t="shared" si="205"/>
        <v>10.397527932228691</v>
      </c>
      <c r="P388" s="5">
        <f t="shared" si="205"/>
        <v>11.065287167807794</v>
      </c>
      <c r="Q388" s="5">
        <f t="shared" si="205"/>
        <v>11.725532699857652</v>
      </c>
      <c r="R388" s="5">
        <f t="shared" si="205"/>
        <v>12.373671799402956</v>
      </c>
      <c r="S388" s="5">
        <f t="shared" si="205"/>
        <v>13.027491176644578</v>
      </c>
      <c r="T388" s="5">
        <f t="shared" si="205"/>
        <v>13.687497764004405</v>
      </c>
      <c r="U388" s="5">
        <f t="shared" si="205"/>
        <v>14.354187823727889</v>
      </c>
      <c r="V388" s="5">
        <f t="shared" si="205"/>
        <v>15.028049392816738</v>
      </c>
    </row>
    <row r="389" spans="1:22">
      <c r="A389" s="4" t="s">
        <v>16</v>
      </c>
      <c r="B389" s="56">
        <f t="shared" ref="B389:V389" si="206">SUM(B384:B388)</f>
        <v>54.9</v>
      </c>
      <c r="C389" s="56">
        <f t="shared" si="206"/>
        <v>48.9</v>
      </c>
      <c r="D389" s="56">
        <f t="shared" si="206"/>
        <v>57.20000000000001</v>
      </c>
      <c r="E389" s="56">
        <f t="shared" si="206"/>
        <v>65.5</v>
      </c>
      <c r="F389" s="56">
        <f t="shared" si="206"/>
        <v>72.029524106503771</v>
      </c>
      <c r="G389" s="56"/>
      <c r="H389" s="56"/>
      <c r="I389" s="56"/>
      <c r="J389" s="56"/>
      <c r="K389" s="56"/>
      <c r="L389" s="56"/>
      <c r="M389" s="56"/>
      <c r="N389" s="56">
        <f t="shared" si="206"/>
        <v>126.73129613167639</v>
      </c>
      <c r="O389" s="56">
        <f t="shared" si="206"/>
        <v>125.52657923136357</v>
      </c>
      <c r="P389" s="56">
        <f t="shared" si="206"/>
        <v>130.60698430485797</v>
      </c>
      <c r="Q389" s="56">
        <f t="shared" si="206"/>
        <v>136.32716214507747</v>
      </c>
      <c r="R389" s="56">
        <f t="shared" si="206"/>
        <v>141.95365920520271</v>
      </c>
      <c r="S389" s="56">
        <f t="shared" si="206"/>
        <v>147.66349049393648</v>
      </c>
      <c r="T389" s="56">
        <f t="shared" si="206"/>
        <v>153.46218141342646</v>
      </c>
      <c r="U389" s="56">
        <f t="shared" si="206"/>
        <v>159.35521976253546</v>
      </c>
      <c r="V389" s="56">
        <f t="shared" si="206"/>
        <v>165.34807866562909</v>
      </c>
    </row>
    <row r="390" spans="1:22">
      <c r="A390" s="4" t="s">
        <v>222</v>
      </c>
      <c r="B390" s="5"/>
      <c r="C390" s="5"/>
      <c r="D390" s="5"/>
      <c r="E390" s="5">
        <f t="shared" ref="E390:V390" si="207">+E389-D389</f>
        <v>8.2999999999999901</v>
      </c>
      <c r="F390" s="5">
        <f t="shared" si="207"/>
        <v>6.5295241065037715</v>
      </c>
      <c r="G390" s="5"/>
      <c r="H390" s="5"/>
      <c r="I390" s="5"/>
      <c r="J390" s="5"/>
      <c r="K390" s="5"/>
      <c r="L390" s="5"/>
      <c r="M390" s="5"/>
      <c r="N390" s="5">
        <f>+N389-F389</f>
        <v>54.701772025172616</v>
      </c>
      <c r="O390" s="5">
        <f t="shared" si="207"/>
        <v>-1.2047169003128175</v>
      </c>
      <c r="P390" s="5">
        <f t="shared" si="207"/>
        <v>5.0804050734944042</v>
      </c>
      <c r="Q390" s="5">
        <f t="shared" si="207"/>
        <v>5.7201778402194918</v>
      </c>
      <c r="R390" s="5">
        <f t="shared" si="207"/>
        <v>5.6264970601252458</v>
      </c>
      <c r="S390" s="5">
        <f t="shared" si="207"/>
        <v>5.709831288733767</v>
      </c>
      <c r="T390" s="5">
        <f t="shared" si="207"/>
        <v>5.7986909194899852</v>
      </c>
      <c r="U390" s="5">
        <f t="shared" si="207"/>
        <v>5.8930383491089913</v>
      </c>
      <c r="V390" s="5">
        <f t="shared" si="207"/>
        <v>5.9928589030936337</v>
      </c>
    </row>
    <row r="392" spans="1:22">
      <c r="A392" s="4" t="s">
        <v>143</v>
      </c>
      <c r="B392" s="5">
        <f t="shared" ref="B392:V392" si="208">+B39</f>
        <v>204.7</v>
      </c>
      <c r="C392" s="5">
        <f t="shared" si="208"/>
        <v>205.3</v>
      </c>
      <c r="D392" s="5">
        <f t="shared" si="208"/>
        <v>206.2</v>
      </c>
      <c r="E392" s="5">
        <f t="shared" si="208"/>
        <v>213</v>
      </c>
      <c r="F392" s="5">
        <f t="shared" si="208"/>
        <v>222.1912219231572</v>
      </c>
      <c r="G392" s="5"/>
      <c r="H392" s="5"/>
      <c r="I392" s="5"/>
      <c r="J392" s="5"/>
      <c r="K392" s="5"/>
      <c r="L392" s="5"/>
      <c r="M392" s="5"/>
      <c r="N392" s="5">
        <f t="shared" si="208"/>
        <v>490.29428641301212</v>
      </c>
      <c r="O392" s="5">
        <f t="shared" si="208"/>
        <v>515.04033710807232</v>
      </c>
      <c r="P392" s="5">
        <f t="shared" si="208"/>
        <v>548.11771319606055</v>
      </c>
      <c r="Q392" s="5">
        <f t="shared" si="208"/>
        <v>580.8228988534139</v>
      </c>
      <c r="R392" s="5">
        <f t="shared" si="208"/>
        <v>612.92839378437907</v>
      </c>
      <c r="S392" s="5">
        <f t="shared" si="208"/>
        <v>645.31526061053376</v>
      </c>
      <c r="T392" s="5">
        <f t="shared" si="208"/>
        <v>678.00861017045077</v>
      </c>
      <c r="U392" s="5">
        <f t="shared" si="208"/>
        <v>711.03302475675355</v>
      </c>
      <c r="V392" s="5">
        <f t="shared" si="208"/>
        <v>744.41267922557336</v>
      </c>
    </row>
    <row r="393" spans="1:22">
      <c r="A393" s="4" t="s">
        <v>263</v>
      </c>
      <c r="B393" s="5">
        <f t="shared" ref="B393:V393" si="209">-B47</f>
        <v>49.8</v>
      </c>
      <c r="C393" s="5">
        <f t="shared" si="209"/>
        <v>46.1</v>
      </c>
      <c r="D393" s="5">
        <f t="shared" si="209"/>
        <v>51</v>
      </c>
      <c r="E393" s="5">
        <f t="shared" si="209"/>
        <v>38.6</v>
      </c>
      <c r="F393" s="5">
        <f t="shared" si="209"/>
        <v>41.376595387709067</v>
      </c>
      <c r="G393" s="5"/>
      <c r="H393" s="5"/>
      <c r="I393" s="5"/>
      <c r="J393" s="5"/>
      <c r="K393" s="5"/>
      <c r="L393" s="5"/>
      <c r="M393" s="5"/>
      <c r="N393" s="5">
        <f t="shared" si="209"/>
        <v>93.754395707051572</v>
      </c>
      <c r="O393" s="5">
        <f t="shared" si="209"/>
        <v>101.0615534715112</v>
      </c>
      <c r="P393" s="5">
        <f t="shared" si="209"/>
        <v>110.29260651447493</v>
      </c>
      <c r="Q393" s="5">
        <f t="shared" si="209"/>
        <v>119.7776799630808</v>
      </c>
      <c r="R393" s="5">
        <f t="shared" si="209"/>
        <v>129.46313819886959</v>
      </c>
      <c r="S393" s="5">
        <f t="shared" si="209"/>
        <v>139.53048980008515</v>
      </c>
      <c r="T393" s="5">
        <f t="shared" si="209"/>
        <v>149.98951038136923</v>
      </c>
      <c r="U393" s="5">
        <f t="shared" si="209"/>
        <v>160.85035820612291</v>
      </c>
      <c r="V393" s="5">
        <f t="shared" si="209"/>
        <v>172.1235889758662</v>
      </c>
    </row>
    <row r="394" spans="1:22">
      <c r="A394" s="4" t="s">
        <v>260</v>
      </c>
      <c r="B394" s="5">
        <f t="shared" ref="B394:V394" si="210">-(+B46+B47+B51+B52+B53)</f>
        <v>144.19999999999999</v>
      </c>
      <c r="C394" s="5">
        <f t="shared" si="210"/>
        <v>135.9</v>
      </c>
      <c r="D394" s="5">
        <f t="shared" si="210"/>
        <v>135.30000000000001</v>
      </c>
      <c r="E394" s="5">
        <f t="shared" si="210"/>
        <v>130.79999999999998</v>
      </c>
      <c r="F394" s="5">
        <f t="shared" si="210"/>
        <v>131.80662357673117</v>
      </c>
      <c r="G394" s="5"/>
      <c r="H394" s="5"/>
      <c r="I394" s="5"/>
      <c r="J394" s="5"/>
      <c r="K394" s="5"/>
      <c r="L394" s="5"/>
      <c r="M394" s="5"/>
      <c r="N394" s="5">
        <f t="shared" si="210"/>
        <v>258.95315678185892</v>
      </c>
      <c r="O394" s="5">
        <f t="shared" si="210"/>
        <v>262.72789102390828</v>
      </c>
      <c r="P394" s="5">
        <f t="shared" si="210"/>
        <v>269.64934440674227</v>
      </c>
      <c r="Q394" s="5">
        <f t="shared" si="210"/>
        <v>278.95737512722252</v>
      </c>
      <c r="R394" s="5">
        <f t="shared" si="210"/>
        <v>288.134356747791</v>
      </c>
      <c r="S394" s="5">
        <f t="shared" si="210"/>
        <v>297.51207730078346</v>
      </c>
      <c r="T394" s="5">
        <f t="shared" si="210"/>
        <v>307.10169157650245</v>
      </c>
      <c r="U394" s="5">
        <f t="shared" si="210"/>
        <v>316.91439786006657</v>
      </c>
      <c r="V394" s="5">
        <f t="shared" si="210"/>
        <v>326.96147857582605</v>
      </c>
    </row>
    <row r="395" spans="1:22">
      <c r="A395" s="4" t="s">
        <v>161</v>
      </c>
      <c r="B395" s="5">
        <f t="shared" ref="B395:V395" si="211">+B365</f>
        <v>68.099999999999994</v>
      </c>
      <c r="C395" s="5">
        <f t="shared" si="211"/>
        <v>59.6</v>
      </c>
      <c r="D395" s="5">
        <f t="shared" si="211"/>
        <v>51.5</v>
      </c>
      <c r="E395" s="5">
        <f t="shared" si="211"/>
        <v>84.1</v>
      </c>
      <c r="F395" s="5">
        <f t="shared" si="211"/>
        <v>115</v>
      </c>
      <c r="G395" s="5"/>
      <c r="H395" s="5"/>
      <c r="I395" s="5"/>
      <c r="J395" s="5"/>
      <c r="K395" s="5"/>
      <c r="L395" s="5"/>
      <c r="M395" s="5"/>
      <c r="N395" s="5">
        <f t="shared" si="211"/>
        <v>147.08828592390364</v>
      </c>
      <c r="O395" s="5">
        <f t="shared" si="211"/>
        <v>128.76008427701808</v>
      </c>
      <c r="P395" s="5">
        <f t="shared" si="211"/>
        <v>137.02942829901514</v>
      </c>
      <c r="Q395" s="5">
        <f t="shared" si="211"/>
        <v>145.20572471335348</v>
      </c>
      <c r="R395" s="5">
        <f t="shared" si="211"/>
        <v>153.23209844609477</v>
      </c>
      <c r="S395" s="5">
        <f t="shared" si="211"/>
        <v>161.32881515263344</v>
      </c>
      <c r="T395" s="5">
        <f t="shared" si="211"/>
        <v>169.50215254261269</v>
      </c>
      <c r="U395" s="5">
        <f t="shared" si="211"/>
        <v>177.75825618918839</v>
      </c>
      <c r="V395" s="5">
        <f t="shared" si="211"/>
        <v>186.10316980639334</v>
      </c>
    </row>
    <row r="396" spans="1:22">
      <c r="A396" s="4" t="s">
        <v>261</v>
      </c>
      <c r="B396" s="5">
        <f t="shared" ref="B396:V396" si="212">+B394+B395</f>
        <v>212.29999999999998</v>
      </c>
      <c r="C396" s="5">
        <f t="shared" si="212"/>
        <v>195.5</v>
      </c>
      <c r="D396" s="5">
        <f t="shared" si="212"/>
        <v>186.8</v>
      </c>
      <c r="E396" s="5">
        <f t="shared" si="212"/>
        <v>214.89999999999998</v>
      </c>
      <c r="F396" s="5">
        <f t="shared" si="212"/>
        <v>246.80662357673117</v>
      </c>
      <c r="G396" s="5"/>
      <c r="H396" s="5"/>
      <c r="I396" s="5"/>
      <c r="J396" s="5"/>
      <c r="K396" s="5"/>
      <c r="L396" s="5"/>
      <c r="M396" s="5"/>
      <c r="N396" s="5">
        <f t="shared" si="212"/>
        <v>406.04144270576256</v>
      </c>
      <c r="O396" s="5">
        <f t="shared" si="212"/>
        <v>391.48797530092634</v>
      </c>
      <c r="P396" s="5">
        <f t="shared" si="212"/>
        <v>406.67877270575741</v>
      </c>
      <c r="Q396" s="5">
        <f t="shared" si="212"/>
        <v>424.16309984057602</v>
      </c>
      <c r="R396" s="5">
        <f t="shared" si="212"/>
        <v>441.36645519388577</v>
      </c>
      <c r="S396" s="5">
        <f t="shared" si="212"/>
        <v>458.84089245341693</v>
      </c>
      <c r="T396" s="5">
        <f t="shared" si="212"/>
        <v>476.60384411911514</v>
      </c>
      <c r="U396" s="5">
        <f t="shared" si="212"/>
        <v>494.67265404925496</v>
      </c>
      <c r="V396" s="5">
        <f t="shared" si="212"/>
        <v>513.06464838221939</v>
      </c>
    </row>
    <row r="398" spans="1:22">
      <c r="A398" s="4" t="s">
        <v>262</v>
      </c>
      <c r="B398" s="32">
        <f>365*B375/B393</f>
        <v>10.993975903614459</v>
      </c>
      <c r="C398" s="32">
        <f>365*C375/C393</f>
        <v>19.793926247288503</v>
      </c>
      <c r="D398" s="32">
        <f>365*D375/D393</f>
        <v>12.166666666666666</v>
      </c>
      <c r="E398" s="32">
        <f>365*E375/E393</f>
        <v>31.204663212435232</v>
      </c>
      <c r="F398" s="52">
        <f t="shared" ref="F398:V401" si="213">+E398</f>
        <v>31.204663212435232</v>
      </c>
      <c r="G398" s="52"/>
      <c r="H398" s="52"/>
      <c r="I398" s="52"/>
      <c r="J398" s="52"/>
      <c r="K398" s="52"/>
      <c r="L398" s="52"/>
      <c r="M398" s="52"/>
      <c r="N398" s="52">
        <f>+F398</f>
        <v>31.204663212435232</v>
      </c>
      <c r="O398" s="52">
        <f t="shared" si="213"/>
        <v>31.204663212435232</v>
      </c>
      <c r="P398" s="52">
        <f t="shared" si="213"/>
        <v>31.204663212435232</v>
      </c>
      <c r="Q398" s="52">
        <f t="shared" si="213"/>
        <v>31.204663212435232</v>
      </c>
      <c r="R398" s="52">
        <f t="shared" si="213"/>
        <v>31.204663212435232</v>
      </c>
      <c r="S398" s="52">
        <f t="shared" si="213"/>
        <v>31.204663212435232</v>
      </c>
      <c r="T398" s="52">
        <f t="shared" si="213"/>
        <v>31.204663212435232</v>
      </c>
      <c r="U398" s="52">
        <f t="shared" si="213"/>
        <v>31.204663212435232</v>
      </c>
      <c r="V398" s="52">
        <f t="shared" si="213"/>
        <v>31.204663212435232</v>
      </c>
    </row>
    <row r="399" spans="1:22">
      <c r="A399" s="4" t="s">
        <v>264</v>
      </c>
      <c r="B399" s="32">
        <f>365*B376/B392</f>
        <v>29.064484611626771</v>
      </c>
      <c r="C399" s="32">
        <f>365*C376/C392</f>
        <v>32.890891378470528</v>
      </c>
      <c r="D399" s="32">
        <f>365*D376/D392</f>
        <v>33.455383123181377</v>
      </c>
      <c r="E399" s="32">
        <f>365*E376/E392</f>
        <v>32.730046948356815</v>
      </c>
      <c r="F399" s="52">
        <f t="shared" si="213"/>
        <v>32.730046948356815</v>
      </c>
      <c r="G399" s="52"/>
      <c r="H399" s="52"/>
      <c r="I399" s="52"/>
      <c r="J399" s="52"/>
      <c r="K399" s="52"/>
      <c r="L399" s="52"/>
      <c r="M399" s="52"/>
      <c r="N399" s="52">
        <f>+F399</f>
        <v>32.730046948356815</v>
      </c>
      <c r="O399" s="52">
        <f t="shared" si="213"/>
        <v>32.730046948356815</v>
      </c>
      <c r="P399" s="52">
        <f t="shared" si="213"/>
        <v>32.730046948356815</v>
      </c>
      <c r="Q399" s="52">
        <f t="shared" si="213"/>
        <v>32.730046948356815</v>
      </c>
      <c r="R399" s="52">
        <f t="shared" si="213"/>
        <v>32.730046948356815</v>
      </c>
      <c r="S399" s="52">
        <f t="shared" si="213"/>
        <v>32.730046948356815</v>
      </c>
      <c r="T399" s="52">
        <f t="shared" si="213"/>
        <v>32.730046948356815</v>
      </c>
      <c r="U399" s="52">
        <f t="shared" si="213"/>
        <v>32.730046948356815</v>
      </c>
      <c r="V399" s="52">
        <f t="shared" si="213"/>
        <v>32.730046948356815</v>
      </c>
    </row>
    <row r="400" spans="1:22">
      <c r="A400" s="4" t="s">
        <v>265</v>
      </c>
      <c r="B400" s="32">
        <f>365*B378/B392</f>
        <v>6.5974596971177339</v>
      </c>
      <c r="C400" s="32">
        <f>365*C378/C392</f>
        <v>1.9556746225036534</v>
      </c>
      <c r="D400" s="32">
        <f>365*D378/D392</f>
        <v>1.5931134820562562</v>
      </c>
      <c r="E400" s="32">
        <f>365*E378/E392</f>
        <v>22.448356807511736</v>
      </c>
      <c r="F400" s="52">
        <f t="shared" si="213"/>
        <v>22.448356807511736</v>
      </c>
      <c r="G400" s="52"/>
      <c r="H400" s="52"/>
      <c r="I400" s="52"/>
      <c r="J400" s="52"/>
      <c r="K400" s="52"/>
      <c r="L400" s="52"/>
      <c r="M400" s="52"/>
      <c r="N400" s="52">
        <f>+F400</f>
        <v>22.448356807511736</v>
      </c>
      <c r="O400" s="52">
        <f t="shared" si="213"/>
        <v>22.448356807511736</v>
      </c>
      <c r="P400" s="52">
        <f t="shared" si="213"/>
        <v>22.448356807511736</v>
      </c>
      <c r="Q400" s="52">
        <f t="shared" si="213"/>
        <v>22.448356807511736</v>
      </c>
      <c r="R400" s="52">
        <f t="shared" si="213"/>
        <v>22.448356807511736</v>
      </c>
      <c r="S400" s="52">
        <f t="shared" si="213"/>
        <v>22.448356807511736</v>
      </c>
      <c r="T400" s="52">
        <f t="shared" si="213"/>
        <v>22.448356807511736</v>
      </c>
      <c r="U400" s="52">
        <f t="shared" si="213"/>
        <v>22.448356807511736</v>
      </c>
      <c r="V400" s="52">
        <f t="shared" si="213"/>
        <v>22.448356807511736</v>
      </c>
    </row>
    <row r="401" spans="1:27">
      <c r="A401" s="4" t="s">
        <v>266</v>
      </c>
      <c r="B401" s="32">
        <f>365*B380/B394</f>
        <v>2.7843273231622754</v>
      </c>
      <c r="C401" s="32">
        <f>365*C380/C394</f>
        <v>2.9543782192788819</v>
      </c>
      <c r="D401" s="32">
        <f>365*D380/D394</f>
        <v>5.9349593495934965</v>
      </c>
      <c r="E401" s="32">
        <f>365*E380/E394</f>
        <v>15.905963302752296</v>
      </c>
      <c r="F401" s="52">
        <f t="shared" si="213"/>
        <v>15.905963302752296</v>
      </c>
      <c r="G401" s="52"/>
      <c r="H401" s="52"/>
      <c r="I401" s="52"/>
      <c r="J401" s="52"/>
      <c r="K401" s="52"/>
      <c r="L401" s="52"/>
      <c r="M401" s="52"/>
      <c r="N401" s="52">
        <f>+F401</f>
        <v>15.905963302752296</v>
      </c>
      <c r="O401" s="52">
        <f t="shared" si="213"/>
        <v>15.905963302752296</v>
      </c>
      <c r="P401" s="52">
        <f t="shared" si="213"/>
        <v>15.905963302752296</v>
      </c>
      <c r="Q401" s="52">
        <f t="shared" si="213"/>
        <v>15.905963302752296</v>
      </c>
      <c r="R401" s="52">
        <f t="shared" si="213"/>
        <v>15.905963302752296</v>
      </c>
      <c r="S401" s="52">
        <f t="shared" si="213"/>
        <v>15.905963302752296</v>
      </c>
      <c r="T401" s="52">
        <f t="shared" si="213"/>
        <v>15.905963302752296</v>
      </c>
      <c r="U401" s="52">
        <f t="shared" si="213"/>
        <v>15.905963302752296</v>
      </c>
      <c r="V401" s="52">
        <f t="shared" si="213"/>
        <v>15.905963302752296</v>
      </c>
    </row>
    <row r="402" spans="1:27">
      <c r="F402" s="52"/>
      <c r="G402" s="52"/>
      <c r="H402" s="52"/>
      <c r="I402" s="52"/>
      <c r="J402" s="52"/>
      <c r="K402" s="52"/>
      <c r="L402" s="52"/>
      <c r="M402" s="52"/>
      <c r="N402" s="52"/>
      <c r="O402" s="52"/>
      <c r="P402" s="52"/>
      <c r="Q402" s="52"/>
      <c r="R402" s="52"/>
      <c r="S402" s="52"/>
      <c r="T402" s="52"/>
      <c r="U402" s="52"/>
      <c r="V402" s="52"/>
    </row>
    <row r="403" spans="1:27">
      <c r="A403" s="4" t="s">
        <v>267</v>
      </c>
      <c r="B403" s="32">
        <f>365*B384/B396</f>
        <v>52.609514837494118</v>
      </c>
      <c r="C403" s="32">
        <f>365*C384/C396</f>
        <v>52.089514066496164</v>
      </c>
      <c r="D403" s="32">
        <f>365*D384/D396</f>
        <v>84.41113490364026</v>
      </c>
      <c r="E403" s="32">
        <f>365*E384/E396</f>
        <v>68.617961842717548</v>
      </c>
      <c r="F403" s="52">
        <f t="shared" ref="F403:V406" si="214">+E403</f>
        <v>68.617961842717548</v>
      </c>
      <c r="G403" s="52"/>
      <c r="H403" s="52"/>
      <c r="I403" s="52"/>
      <c r="J403" s="52"/>
      <c r="K403" s="52"/>
      <c r="L403" s="52"/>
      <c r="M403" s="52"/>
      <c r="N403" s="52">
        <f>+F403</f>
        <v>68.617961842717548</v>
      </c>
      <c r="O403" s="52">
        <f t="shared" si="214"/>
        <v>68.617961842717548</v>
      </c>
      <c r="P403" s="52">
        <f t="shared" si="214"/>
        <v>68.617961842717548</v>
      </c>
      <c r="Q403" s="52">
        <f t="shared" si="214"/>
        <v>68.617961842717548</v>
      </c>
      <c r="R403" s="52">
        <f t="shared" si="214"/>
        <v>68.617961842717548</v>
      </c>
      <c r="S403" s="52">
        <f t="shared" si="214"/>
        <v>68.617961842717548</v>
      </c>
      <c r="T403" s="52">
        <f t="shared" si="214"/>
        <v>68.617961842717548</v>
      </c>
      <c r="U403" s="52">
        <f t="shared" si="214"/>
        <v>68.617961842717548</v>
      </c>
      <c r="V403" s="52">
        <f t="shared" si="214"/>
        <v>68.617961842717548</v>
      </c>
      <c r="Z403" s="93"/>
      <c r="AA403" s="93"/>
    </row>
    <row r="404" spans="1:27">
      <c r="A404" s="4" t="s">
        <v>268</v>
      </c>
      <c r="B404" s="32">
        <f>365*B386/B394</f>
        <v>39.486823855755901</v>
      </c>
      <c r="C404" s="32">
        <f>365*C386/C394</f>
        <v>19.337748344370858</v>
      </c>
      <c r="D404" s="32">
        <f>365*D386/D394</f>
        <v>21.581670362158164</v>
      </c>
      <c r="E404" s="32">
        <f>365*E386/E394</f>
        <v>34.602446483180429</v>
      </c>
      <c r="F404" s="52">
        <f t="shared" si="214"/>
        <v>34.602446483180429</v>
      </c>
      <c r="G404" s="52"/>
      <c r="H404" s="52"/>
      <c r="I404" s="52"/>
      <c r="J404" s="52"/>
      <c r="K404" s="52"/>
      <c r="L404" s="52"/>
      <c r="M404" s="52"/>
      <c r="N404" s="52">
        <f>+F404</f>
        <v>34.602446483180429</v>
      </c>
      <c r="O404" s="52">
        <f t="shared" si="214"/>
        <v>34.602446483180429</v>
      </c>
      <c r="P404" s="52">
        <f t="shared" si="214"/>
        <v>34.602446483180429</v>
      </c>
      <c r="Q404" s="52">
        <f t="shared" si="214"/>
        <v>34.602446483180429</v>
      </c>
      <c r="R404" s="52">
        <f t="shared" si="214"/>
        <v>34.602446483180429</v>
      </c>
      <c r="S404" s="52">
        <f t="shared" si="214"/>
        <v>34.602446483180429</v>
      </c>
      <c r="T404" s="52">
        <f t="shared" si="214"/>
        <v>34.602446483180429</v>
      </c>
      <c r="U404" s="52">
        <f t="shared" si="214"/>
        <v>34.602446483180429</v>
      </c>
      <c r="V404" s="52">
        <f t="shared" si="214"/>
        <v>34.602446483180429</v>
      </c>
      <c r="Z404" s="92"/>
      <c r="AA404" s="92"/>
    </row>
    <row r="405" spans="1:27">
      <c r="A405" s="4" t="s">
        <v>269</v>
      </c>
      <c r="B405" s="32">
        <f>365*B387/B392</f>
        <v>3.2095749877870055</v>
      </c>
      <c r="C405" s="32">
        <f>365*C387/C392</f>
        <v>0.71115440818314657</v>
      </c>
      <c r="D405" s="32">
        <f>365*D387/D392</f>
        <v>1.2390882638215324</v>
      </c>
      <c r="E405" s="32">
        <f>365*E387/E392</f>
        <v>9.9389671361502341</v>
      </c>
      <c r="F405" s="52">
        <f t="shared" si="214"/>
        <v>9.9389671361502341</v>
      </c>
      <c r="G405" s="52"/>
      <c r="H405" s="52"/>
      <c r="I405" s="52"/>
      <c r="J405" s="52"/>
      <c r="K405" s="52"/>
      <c r="L405" s="52"/>
      <c r="M405" s="52"/>
      <c r="N405" s="52">
        <f>+F405</f>
        <v>9.9389671361502341</v>
      </c>
      <c r="O405" s="52">
        <f t="shared" si="214"/>
        <v>9.9389671361502341</v>
      </c>
      <c r="P405" s="52">
        <f t="shared" si="214"/>
        <v>9.9389671361502341</v>
      </c>
      <c r="Q405" s="52">
        <f t="shared" si="214"/>
        <v>9.9389671361502341</v>
      </c>
      <c r="R405" s="52">
        <f t="shared" si="214"/>
        <v>9.9389671361502341</v>
      </c>
      <c r="S405" s="52">
        <f t="shared" si="214"/>
        <v>9.9389671361502341</v>
      </c>
      <c r="T405" s="52">
        <f t="shared" si="214"/>
        <v>9.9389671361502341</v>
      </c>
      <c r="U405" s="52">
        <f t="shared" si="214"/>
        <v>9.9389671361502341</v>
      </c>
      <c r="V405" s="52">
        <f t="shared" si="214"/>
        <v>9.9389671361502341</v>
      </c>
      <c r="Z405" s="92"/>
      <c r="AA405" s="92"/>
    </row>
    <row r="406" spans="1:27">
      <c r="A406" s="4" t="s">
        <v>270</v>
      </c>
      <c r="B406" s="32">
        <f>365*B388/B392</f>
        <v>8.2022471910112351</v>
      </c>
      <c r="C406" s="32">
        <f>365*C388/C392</f>
        <v>8.3560642961519722</v>
      </c>
      <c r="D406" s="32">
        <f>365*D388/D392</f>
        <v>4.779340446168769</v>
      </c>
      <c r="E406" s="32">
        <f>365*E388/E392</f>
        <v>7.368544600938967</v>
      </c>
      <c r="F406" s="52">
        <f t="shared" si="214"/>
        <v>7.368544600938967</v>
      </c>
      <c r="G406" s="52"/>
      <c r="H406" s="52"/>
      <c r="I406" s="52"/>
      <c r="J406" s="52"/>
      <c r="K406" s="52"/>
      <c r="L406" s="52"/>
      <c r="M406" s="52"/>
      <c r="N406" s="52">
        <f>+F406</f>
        <v>7.368544600938967</v>
      </c>
      <c r="O406" s="52">
        <f t="shared" si="214"/>
        <v>7.368544600938967</v>
      </c>
      <c r="P406" s="52">
        <f t="shared" si="214"/>
        <v>7.368544600938967</v>
      </c>
      <c r="Q406" s="52">
        <f t="shared" si="214"/>
        <v>7.368544600938967</v>
      </c>
      <c r="R406" s="52">
        <f t="shared" si="214"/>
        <v>7.368544600938967</v>
      </c>
      <c r="S406" s="52">
        <f t="shared" si="214"/>
        <v>7.368544600938967</v>
      </c>
      <c r="T406" s="52">
        <f t="shared" si="214"/>
        <v>7.368544600938967</v>
      </c>
      <c r="U406" s="52">
        <f t="shared" si="214"/>
        <v>7.368544600938967</v>
      </c>
      <c r="V406" s="52">
        <f t="shared" si="214"/>
        <v>7.368544600938967</v>
      </c>
      <c r="Z406" s="92"/>
      <c r="AA406" s="92"/>
    </row>
    <row r="407" spans="1:27">
      <c r="Z407" s="100"/>
      <c r="AA407" s="100"/>
    </row>
    <row r="408" spans="1:27">
      <c r="A408" s="18" t="s">
        <v>272</v>
      </c>
      <c r="B408" s="43" t="str">
        <f t="shared" ref="B408:V408" si="215">+B$34</f>
        <v>2011A</v>
      </c>
      <c r="C408" s="43" t="str">
        <f t="shared" si="215"/>
        <v>2012A</v>
      </c>
      <c r="D408" s="43" t="str">
        <f t="shared" si="215"/>
        <v>2013A</v>
      </c>
      <c r="E408" s="43" t="str">
        <f t="shared" si="215"/>
        <v>2014A</v>
      </c>
      <c r="F408" s="43" t="str">
        <f t="shared" si="215"/>
        <v>2015E</v>
      </c>
      <c r="G408" s="209"/>
      <c r="H408" s="209"/>
      <c r="I408" s="209"/>
      <c r="J408" s="209"/>
      <c r="K408" s="209"/>
      <c r="L408" s="209"/>
      <c r="M408" s="209"/>
      <c r="N408" s="43" t="str">
        <f t="shared" si="215"/>
        <v>2016E</v>
      </c>
      <c r="O408" s="43" t="str">
        <f t="shared" si="215"/>
        <v>2017E</v>
      </c>
      <c r="P408" s="43" t="str">
        <f t="shared" si="215"/>
        <v>2018E</v>
      </c>
      <c r="Q408" s="43" t="str">
        <f t="shared" si="215"/>
        <v>2019E</v>
      </c>
      <c r="R408" s="43" t="str">
        <f t="shared" si="215"/>
        <v>2020E</v>
      </c>
      <c r="S408" s="43" t="str">
        <f t="shared" si="215"/>
        <v>2021E</v>
      </c>
      <c r="T408" s="43" t="str">
        <f t="shared" si="215"/>
        <v>2022E</v>
      </c>
      <c r="U408" s="43" t="str">
        <f t="shared" si="215"/>
        <v>2023E</v>
      </c>
      <c r="V408" s="43" t="str">
        <f t="shared" si="215"/>
        <v>2024E</v>
      </c>
      <c r="W408" s="44"/>
      <c r="Z408" s="92"/>
      <c r="AA408" s="92"/>
    </row>
    <row r="409" spans="1:27">
      <c r="A409" s="4" t="s">
        <v>712</v>
      </c>
      <c r="Z409" s="92"/>
      <c r="AA409" s="92"/>
    </row>
    <row r="410" spans="1:27">
      <c r="A410" s="13" t="s">
        <v>156</v>
      </c>
      <c r="B410" s="24"/>
      <c r="C410" s="24"/>
      <c r="D410" s="25"/>
      <c r="E410" s="9" t="s">
        <v>858</v>
      </c>
      <c r="F410" s="9"/>
      <c r="G410" s="9"/>
      <c r="H410" s="9"/>
      <c r="I410" s="9"/>
      <c r="J410" s="9"/>
      <c r="K410" s="9"/>
      <c r="L410" s="9"/>
      <c r="M410" s="9"/>
      <c r="N410" s="9"/>
      <c r="O410" s="9"/>
      <c r="P410" s="9"/>
      <c r="Q410" s="9"/>
      <c r="R410" s="9"/>
      <c r="S410" s="9"/>
      <c r="T410" s="9"/>
      <c r="U410" s="9"/>
      <c r="V410" s="9"/>
      <c r="W410" s="9"/>
      <c r="X410" s="9"/>
      <c r="Y410" s="9"/>
      <c r="Z410" s="92"/>
      <c r="AA410" s="92"/>
    </row>
    <row r="411" spans="1:27">
      <c r="A411" s="4" t="s">
        <v>157</v>
      </c>
      <c r="B411" s="5">
        <f>2.8+13.7</f>
        <v>16.5</v>
      </c>
      <c r="C411" s="5">
        <f>3.5+11.2</f>
        <v>14.7</v>
      </c>
      <c r="D411" s="23">
        <f>5.5+578.1</f>
        <v>583.6</v>
      </c>
      <c r="E411" s="5">
        <f t="shared" ref="E411:V411" si="216">+F450</f>
        <v>0</v>
      </c>
      <c r="F411" s="5">
        <f>+N450</f>
        <v>0</v>
      </c>
      <c r="G411" s="5"/>
      <c r="H411" s="5"/>
      <c r="I411" s="5"/>
      <c r="J411" s="5"/>
      <c r="K411" s="5"/>
      <c r="L411" s="5"/>
      <c r="M411" s="5"/>
      <c r="N411" s="5">
        <f t="shared" si="216"/>
        <v>0</v>
      </c>
      <c r="O411" s="5">
        <f t="shared" si="216"/>
        <v>0</v>
      </c>
      <c r="P411" s="5">
        <f t="shared" si="216"/>
        <v>0</v>
      </c>
      <c r="Q411" s="5">
        <f t="shared" si="216"/>
        <v>0</v>
      </c>
      <c r="R411" s="5">
        <f t="shared" si="216"/>
        <v>0</v>
      </c>
      <c r="S411" s="5">
        <f t="shared" si="216"/>
        <v>0</v>
      </c>
      <c r="T411" s="5">
        <f t="shared" si="216"/>
        <v>0</v>
      </c>
      <c r="U411" s="5">
        <f t="shared" si="216"/>
        <v>0</v>
      </c>
      <c r="V411" s="5">
        <f t="shared" si="216"/>
        <v>0</v>
      </c>
      <c r="W411" s="5"/>
      <c r="X411" s="5"/>
      <c r="Y411" s="5"/>
      <c r="Z411" s="92"/>
      <c r="AA411" s="92"/>
    </row>
    <row r="412" spans="1:27">
      <c r="A412" s="4" t="s">
        <v>158</v>
      </c>
      <c r="B412" s="5">
        <f>25.5+16+597</f>
        <v>638.5</v>
      </c>
      <c r="C412" s="5">
        <f>25.3+16.1+601.9</f>
        <v>643.29999999999995</v>
      </c>
      <c r="D412" s="23">
        <f>29.4+9.4+43.5</f>
        <v>82.3</v>
      </c>
      <c r="E412" s="5">
        <f t="shared" ref="E412:V412" si="217">+E430-E411</f>
        <v>412.4</v>
      </c>
      <c r="F412" s="5">
        <f t="shared" si="217"/>
        <v>487.4</v>
      </c>
      <c r="G412" s="5"/>
      <c r="H412" s="5"/>
      <c r="I412" s="5"/>
      <c r="J412" s="5"/>
      <c r="K412" s="5"/>
      <c r="L412" s="5"/>
      <c r="M412" s="5"/>
      <c r="N412" s="5">
        <f t="shared" si="217"/>
        <v>487.4</v>
      </c>
      <c r="O412" s="5">
        <f t="shared" si="217"/>
        <v>487.4</v>
      </c>
      <c r="P412" s="5">
        <f t="shared" si="217"/>
        <v>487.4</v>
      </c>
      <c r="Q412" s="5">
        <f t="shared" si="217"/>
        <v>487.4</v>
      </c>
      <c r="R412" s="5">
        <f t="shared" si="217"/>
        <v>487.4</v>
      </c>
      <c r="S412" s="5">
        <f t="shared" si="217"/>
        <v>487.4</v>
      </c>
      <c r="T412" s="5">
        <f t="shared" si="217"/>
        <v>487.4</v>
      </c>
      <c r="U412" s="5">
        <f t="shared" si="217"/>
        <v>487.4</v>
      </c>
      <c r="V412" s="5">
        <f t="shared" si="217"/>
        <v>487.4</v>
      </c>
      <c r="W412" s="5"/>
      <c r="X412" s="5"/>
      <c r="Y412" s="5"/>
      <c r="Z412" s="92"/>
      <c r="AA412" s="92"/>
    </row>
    <row r="413" spans="1:27">
      <c r="A413" s="4" t="s">
        <v>159</v>
      </c>
      <c r="B413" s="5">
        <v>45.6</v>
      </c>
      <c r="C413" s="5">
        <v>22</v>
      </c>
      <c r="D413" s="23">
        <v>70.5</v>
      </c>
      <c r="E413" s="5">
        <v>92</v>
      </c>
      <c r="F413" s="5">
        <f t="shared" ref="F413:V413" si="218">+F120</f>
        <v>125.85055867228323</v>
      </c>
      <c r="G413" s="5"/>
      <c r="H413" s="5"/>
      <c r="I413" s="5"/>
      <c r="J413" s="5"/>
      <c r="K413" s="5"/>
      <c r="L413" s="5"/>
      <c r="M413" s="5"/>
      <c r="N413" s="5">
        <f t="shared" si="218"/>
        <v>221.78944243828326</v>
      </c>
      <c r="O413" s="5">
        <f t="shared" si="218"/>
        <v>180.69137475027193</v>
      </c>
      <c r="P413" s="5">
        <f t="shared" si="218"/>
        <v>153.73662480779993</v>
      </c>
      <c r="Q413" s="5">
        <f t="shared" si="218"/>
        <v>119.04688902823401</v>
      </c>
      <c r="R413" s="5">
        <f t="shared" si="218"/>
        <v>78.194155279971511</v>
      </c>
      <c r="S413" s="5">
        <f t="shared" si="218"/>
        <v>36.512066662536853</v>
      </c>
      <c r="T413" s="5">
        <f t="shared" si="218"/>
        <v>-6.1956798929292347</v>
      </c>
      <c r="U413" s="5">
        <f t="shared" si="218"/>
        <v>-50.115029150446475</v>
      </c>
      <c r="V413" s="5">
        <f t="shared" si="218"/>
        <v>-95.40294226088858</v>
      </c>
      <c r="W413" s="5"/>
      <c r="X413" s="5"/>
      <c r="Y413" s="5"/>
      <c r="Z413" s="92"/>
      <c r="AA413" s="92"/>
    </row>
    <row r="414" spans="1:27">
      <c r="A414" s="20" t="s">
        <v>160</v>
      </c>
      <c r="B414" s="21">
        <v>594</v>
      </c>
      <c r="C414" s="21">
        <v>620</v>
      </c>
      <c r="D414" s="21">
        <v>586</v>
      </c>
      <c r="E414" s="22">
        <f t="shared" ref="E414:V414" si="219">+E411+E412-E413</f>
        <v>320.39999999999998</v>
      </c>
      <c r="F414" s="22">
        <f t="shared" si="219"/>
        <v>361.54944132771675</v>
      </c>
      <c r="G414" s="22"/>
      <c r="H414" s="22"/>
      <c r="I414" s="22"/>
      <c r="J414" s="22"/>
      <c r="K414" s="22"/>
      <c r="L414" s="22"/>
      <c r="M414" s="22"/>
      <c r="N414" s="22">
        <f t="shared" si="219"/>
        <v>265.61055756171675</v>
      </c>
      <c r="O414" s="22">
        <f t="shared" si="219"/>
        <v>306.70862524972802</v>
      </c>
      <c r="P414" s="22">
        <f t="shared" si="219"/>
        <v>333.66337519220008</v>
      </c>
      <c r="Q414" s="22">
        <f t="shared" si="219"/>
        <v>368.353110971766</v>
      </c>
      <c r="R414" s="22">
        <f t="shared" si="219"/>
        <v>409.20584472002849</v>
      </c>
      <c r="S414" s="22">
        <f t="shared" si="219"/>
        <v>450.8879333374631</v>
      </c>
      <c r="T414" s="22">
        <f t="shared" si="219"/>
        <v>493.59567989292918</v>
      </c>
      <c r="U414" s="22">
        <f t="shared" si="219"/>
        <v>537.51502915044648</v>
      </c>
      <c r="V414" s="22">
        <f t="shared" si="219"/>
        <v>582.80294226088859</v>
      </c>
      <c r="W414" s="22"/>
      <c r="X414" s="22"/>
      <c r="Y414" s="22"/>
    </row>
    <row r="415" spans="1:27">
      <c r="A415" s="4" t="s">
        <v>281</v>
      </c>
      <c r="B415" s="5">
        <f t="shared" ref="B415:V415" si="220">+B55</f>
        <v>78.400000000000006</v>
      </c>
      <c r="C415" s="5">
        <f t="shared" si="220"/>
        <v>87.1</v>
      </c>
      <c r="D415" s="5">
        <f t="shared" si="220"/>
        <v>88.1</v>
      </c>
      <c r="E415" s="5">
        <f t="shared" si="220"/>
        <v>99.032977691561598</v>
      </c>
      <c r="F415" s="5">
        <f t="shared" si="220"/>
        <v>105.42774962306055</v>
      </c>
      <c r="G415" s="5"/>
      <c r="H415" s="5"/>
      <c r="I415" s="5"/>
      <c r="J415" s="5"/>
      <c r="K415" s="5"/>
      <c r="L415" s="5"/>
      <c r="M415" s="5"/>
      <c r="N415" s="5">
        <f t="shared" si="220"/>
        <v>262.42972608363169</v>
      </c>
      <c r="O415" s="5">
        <f t="shared" si="220"/>
        <v>283.36291791583903</v>
      </c>
      <c r="P415" s="5">
        <f t="shared" si="220"/>
        <v>309.53259167382816</v>
      </c>
      <c r="Q415" s="5">
        <f t="shared" si="220"/>
        <v>332.9251919048873</v>
      </c>
      <c r="R415" s="5">
        <f t="shared" si="220"/>
        <v>355.8493129132699</v>
      </c>
      <c r="S415" s="5">
        <f t="shared" si="220"/>
        <v>378.85602287005554</v>
      </c>
      <c r="T415" s="5">
        <f t="shared" si="220"/>
        <v>401.95758119493649</v>
      </c>
      <c r="U415" s="5">
        <f t="shared" si="220"/>
        <v>425.16733485421281</v>
      </c>
      <c r="V415" s="5">
        <f t="shared" si="220"/>
        <v>448.49814594385691</v>
      </c>
      <c r="W415" s="5"/>
      <c r="X415" s="5"/>
      <c r="Y415" s="5"/>
    </row>
    <row r="416" spans="1:27">
      <c r="A416" s="4" t="s">
        <v>282</v>
      </c>
      <c r="B416" s="5">
        <f t="shared" ref="B416:V416" si="221">+B414/B415</f>
        <v>7.5765306122448974</v>
      </c>
      <c r="C416" s="5">
        <f t="shared" si="221"/>
        <v>7.1182548794489096</v>
      </c>
      <c r="D416" s="5">
        <f t="shared" si="221"/>
        <v>6.651532349602725</v>
      </c>
      <c r="E416" s="5">
        <f t="shared" si="221"/>
        <v>3.2352859367501439</v>
      </c>
      <c r="F416" s="5">
        <f t="shared" si="221"/>
        <v>3.4293574758104661</v>
      </c>
      <c r="G416" s="5"/>
      <c r="H416" s="5"/>
      <c r="I416" s="5"/>
      <c r="J416" s="5"/>
      <c r="K416" s="5"/>
      <c r="L416" s="5"/>
      <c r="M416" s="5"/>
      <c r="N416" s="5">
        <f t="shared" si="221"/>
        <v>1.012120698083842</v>
      </c>
      <c r="O416" s="5">
        <f t="shared" si="221"/>
        <v>1.0823880114787032</v>
      </c>
      <c r="P416" s="5">
        <f t="shared" si="221"/>
        <v>1.0779587809732161</v>
      </c>
      <c r="Q416" s="5">
        <f t="shared" si="221"/>
        <v>1.1064140531516162</v>
      </c>
      <c r="R416" s="5">
        <f t="shared" si="221"/>
        <v>1.1499413652648054</v>
      </c>
      <c r="S416" s="5">
        <f t="shared" si="221"/>
        <v>1.1901300391682408</v>
      </c>
      <c r="T416" s="5">
        <f t="shared" si="221"/>
        <v>1.2279795256643042</v>
      </c>
      <c r="U416" s="5">
        <f t="shared" si="221"/>
        <v>1.2642434756535494</v>
      </c>
      <c r="V416" s="5">
        <f t="shared" si="221"/>
        <v>1.2994545184448631</v>
      </c>
      <c r="W416" s="5"/>
      <c r="X416" s="5"/>
      <c r="Y416" s="5"/>
    </row>
    <row r="417" spans="1:25">
      <c r="B417" s="5"/>
      <c r="C417" s="5"/>
      <c r="D417" s="5"/>
      <c r="E417" s="5"/>
      <c r="F417" s="5"/>
      <c r="G417" s="5"/>
      <c r="H417" s="5"/>
      <c r="I417" s="5"/>
      <c r="J417" s="5"/>
      <c r="K417" s="5"/>
      <c r="L417" s="5"/>
      <c r="M417" s="5"/>
      <c r="N417" s="5"/>
      <c r="O417" s="5"/>
      <c r="P417" s="5"/>
      <c r="Q417" s="5"/>
      <c r="R417" s="5"/>
      <c r="S417" s="5"/>
      <c r="T417" s="5"/>
      <c r="U417" s="5"/>
      <c r="V417" s="5"/>
      <c r="W417" s="5"/>
      <c r="X417" s="5"/>
      <c r="Y417" s="5"/>
    </row>
    <row r="418" spans="1:25">
      <c r="A418" s="4" t="s">
        <v>296</v>
      </c>
      <c r="B418" s="5">
        <f t="shared" ref="B418:V418" si="222">+B411+B412</f>
        <v>655</v>
      </c>
      <c r="C418" s="5">
        <f t="shared" si="222"/>
        <v>658</v>
      </c>
      <c r="D418" s="5">
        <f t="shared" si="222"/>
        <v>665.9</v>
      </c>
      <c r="E418" s="5">
        <f t="shared" si="222"/>
        <v>412.4</v>
      </c>
      <c r="F418" s="5">
        <f t="shared" si="222"/>
        <v>487.4</v>
      </c>
      <c r="G418" s="5"/>
      <c r="H418" s="5"/>
      <c r="I418" s="5"/>
      <c r="J418" s="5"/>
      <c r="K418" s="5"/>
      <c r="L418" s="5"/>
      <c r="M418" s="5"/>
      <c r="N418" s="5">
        <f t="shared" si="222"/>
        <v>487.4</v>
      </c>
      <c r="O418" s="5">
        <f t="shared" si="222"/>
        <v>487.4</v>
      </c>
      <c r="P418" s="5">
        <f t="shared" si="222"/>
        <v>487.4</v>
      </c>
      <c r="Q418" s="5">
        <f t="shared" si="222"/>
        <v>487.4</v>
      </c>
      <c r="R418" s="5">
        <f t="shared" si="222"/>
        <v>487.4</v>
      </c>
      <c r="S418" s="5">
        <f t="shared" si="222"/>
        <v>487.4</v>
      </c>
      <c r="T418" s="5">
        <f t="shared" si="222"/>
        <v>487.4</v>
      </c>
      <c r="U418" s="5">
        <f t="shared" si="222"/>
        <v>487.4</v>
      </c>
      <c r="V418" s="5">
        <f t="shared" si="222"/>
        <v>487.4</v>
      </c>
      <c r="W418" s="5"/>
      <c r="X418" s="5"/>
      <c r="Y418" s="5"/>
    </row>
    <row r="419" spans="1:25">
      <c r="A419" s="4" t="s">
        <v>222</v>
      </c>
      <c r="B419" s="5"/>
      <c r="C419" s="5">
        <f t="shared" ref="C419:V419" si="223">+C418-B418</f>
        <v>3</v>
      </c>
      <c r="D419" s="5">
        <f t="shared" si="223"/>
        <v>7.8999999999999773</v>
      </c>
      <c r="E419" s="5">
        <f t="shared" si="223"/>
        <v>-253.5</v>
      </c>
      <c r="F419" s="5">
        <f t="shared" si="223"/>
        <v>75</v>
      </c>
      <c r="G419" s="5"/>
      <c r="H419" s="5"/>
      <c r="I419" s="5"/>
      <c r="J419" s="5"/>
      <c r="K419" s="5"/>
      <c r="L419" s="5"/>
      <c r="M419" s="5"/>
      <c r="N419" s="5">
        <f>+N418-F418</f>
        <v>0</v>
      </c>
      <c r="O419" s="5">
        <f t="shared" si="223"/>
        <v>0</v>
      </c>
      <c r="P419" s="5">
        <f t="shared" si="223"/>
        <v>0</v>
      </c>
      <c r="Q419" s="5">
        <f t="shared" si="223"/>
        <v>0</v>
      </c>
      <c r="R419" s="5">
        <f t="shared" si="223"/>
        <v>0</v>
      </c>
      <c r="S419" s="5">
        <f t="shared" si="223"/>
        <v>0</v>
      </c>
      <c r="T419" s="5">
        <f t="shared" si="223"/>
        <v>0</v>
      </c>
      <c r="U419" s="5">
        <f t="shared" si="223"/>
        <v>0</v>
      </c>
      <c r="V419" s="5">
        <f t="shared" si="223"/>
        <v>0</v>
      </c>
      <c r="W419" s="5"/>
      <c r="X419" s="5"/>
      <c r="Y419" s="5"/>
    </row>
    <row r="420" spans="1:25">
      <c r="B420" s="5"/>
      <c r="C420" s="5"/>
      <c r="D420" s="5"/>
      <c r="E420" s="5"/>
      <c r="F420" s="5"/>
      <c r="G420" s="5"/>
      <c r="H420" s="5"/>
      <c r="I420" s="5"/>
      <c r="J420" s="5"/>
      <c r="K420" s="5"/>
      <c r="L420" s="5"/>
      <c r="M420" s="5"/>
      <c r="N420" s="5"/>
      <c r="O420" s="5"/>
      <c r="P420" s="5"/>
      <c r="Q420" s="5"/>
      <c r="R420" s="5"/>
      <c r="S420" s="5"/>
      <c r="T420" s="5"/>
      <c r="U420" s="5"/>
      <c r="V420" s="5"/>
      <c r="W420" s="5"/>
      <c r="X420" s="5"/>
      <c r="Y420" s="5"/>
    </row>
    <row r="421" spans="1:25">
      <c r="A421" s="42" t="s">
        <v>283</v>
      </c>
      <c r="B421" s="42"/>
      <c r="C421" s="42"/>
      <c r="D421" s="42"/>
      <c r="E421" s="61" t="str">
        <f t="shared" ref="E421:V421" si="224">+E$34</f>
        <v>2014A</v>
      </c>
      <c r="F421" s="61" t="str">
        <f t="shared" si="224"/>
        <v>2015E</v>
      </c>
      <c r="G421" s="61"/>
      <c r="H421" s="61"/>
      <c r="I421" s="61"/>
      <c r="J421" s="61"/>
      <c r="K421" s="61"/>
      <c r="L421" s="61"/>
      <c r="M421" s="61"/>
      <c r="N421" s="61" t="str">
        <f t="shared" si="224"/>
        <v>2016E</v>
      </c>
      <c r="O421" s="61" t="str">
        <f t="shared" si="224"/>
        <v>2017E</v>
      </c>
      <c r="P421" s="61" t="str">
        <f t="shared" si="224"/>
        <v>2018E</v>
      </c>
      <c r="Q421" s="61" t="str">
        <f t="shared" si="224"/>
        <v>2019E</v>
      </c>
      <c r="R421" s="61" t="str">
        <f t="shared" si="224"/>
        <v>2020E</v>
      </c>
      <c r="S421" s="61" t="str">
        <f t="shared" si="224"/>
        <v>2021E</v>
      </c>
      <c r="T421" s="61" t="str">
        <f t="shared" si="224"/>
        <v>2022E</v>
      </c>
      <c r="U421" s="61" t="str">
        <f t="shared" si="224"/>
        <v>2023E</v>
      </c>
      <c r="V421" s="61" t="str">
        <f t="shared" si="224"/>
        <v>2024E</v>
      </c>
    </row>
    <row r="422" spans="1:25">
      <c r="A422" s="4" t="s">
        <v>280</v>
      </c>
      <c r="E422" s="279">
        <v>375</v>
      </c>
      <c r="F422" s="4">
        <f t="shared" ref="F422:V429" si="225">+E422+F432-F442</f>
        <v>375</v>
      </c>
      <c r="N422" s="4">
        <f t="shared" ref="N422:N429" si="226">+F422+N432-N442</f>
        <v>375</v>
      </c>
      <c r="O422" s="4">
        <f t="shared" si="225"/>
        <v>375</v>
      </c>
      <c r="P422" s="4">
        <f t="shared" si="225"/>
        <v>375</v>
      </c>
      <c r="Q422" s="4">
        <f t="shared" si="225"/>
        <v>375</v>
      </c>
      <c r="R422" s="4">
        <f t="shared" si="225"/>
        <v>375</v>
      </c>
      <c r="S422" s="4">
        <f t="shared" si="225"/>
        <v>375</v>
      </c>
      <c r="T422" s="4">
        <f t="shared" si="225"/>
        <v>375</v>
      </c>
      <c r="U422" s="4">
        <f t="shared" si="225"/>
        <v>375</v>
      </c>
      <c r="V422" s="4">
        <f t="shared" si="225"/>
        <v>375</v>
      </c>
    </row>
    <row r="423" spans="1:25">
      <c r="A423" s="4" t="s">
        <v>274</v>
      </c>
      <c r="E423" s="4">
        <v>0</v>
      </c>
      <c r="F423" s="4">
        <f t="shared" si="225"/>
        <v>75</v>
      </c>
      <c r="N423" s="4">
        <f t="shared" si="226"/>
        <v>75</v>
      </c>
      <c r="O423" s="4">
        <f t="shared" si="225"/>
        <v>75</v>
      </c>
      <c r="P423" s="4">
        <f t="shared" si="225"/>
        <v>75</v>
      </c>
      <c r="Q423" s="4">
        <f t="shared" si="225"/>
        <v>75</v>
      </c>
      <c r="R423" s="4">
        <f t="shared" si="225"/>
        <v>75</v>
      </c>
      <c r="S423" s="4">
        <f t="shared" si="225"/>
        <v>75</v>
      </c>
      <c r="T423" s="4">
        <f t="shared" si="225"/>
        <v>75</v>
      </c>
      <c r="U423" s="4">
        <f t="shared" si="225"/>
        <v>75</v>
      </c>
      <c r="V423" s="4">
        <f t="shared" si="225"/>
        <v>75</v>
      </c>
    </row>
    <row r="424" spans="1:25">
      <c r="A424" s="4" t="s">
        <v>273</v>
      </c>
      <c r="E424" s="4">
        <v>0</v>
      </c>
      <c r="F424" s="4">
        <f t="shared" si="225"/>
        <v>0</v>
      </c>
      <c r="N424" s="4">
        <f t="shared" si="226"/>
        <v>0</v>
      </c>
      <c r="O424" s="4">
        <f t="shared" si="225"/>
        <v>0</v>
      </c>
      <c r="P424" s="4">
        <f t="shared" si="225"/>
        <v>0</v>
      </c>
      <c r="Q424" s="4">
        <f t="shared" si="225"/>
        <v>0</v>
      </c>
      <c r="R424" s="4">
        <f t="shared" si="225"/>
        <v>0</v>
      </c>
      <c r="S424" s="4">
        <f t="shared" si="225"/>
        <v>0</v>
      </c>
      <c r="T424" s="4">
        <f t="shared" si="225"/>
        <v>0</v>
      </c>
      <c r="U424" s="4">
        <f t="shared" si="225"/>
        <v>0</v>
      </c>
      <c r="V424" s="4">
        <f t="shared" si="225"/>
        <v>0</v>
      </c>
    </row>
    <row r="425" spans="1:25">
      <c r="A425" s="4" t="s">
        <v>169</v>
      </c>
      <c r="E425" s="279">
        <f>29.1+8.3</f>
        <v>37.400000000000006</v>
      </c>
      <c r="F425" s="4">
        <f t="shared" si="225"/>
        <v>37.400000000000006</v>
      </c>
      <c r="N425" s="4">
        <f t="shared" si="226"/>
        <v>37.400000000000006</v>
      </c>
      <c r="O425" s="4">
        <f t="shared" si="225"/>
        <v>37.400000000000006</v>
      </c>
      <c r="P425" s="4">
        <f t="shared" si="225"/>
        <v>37.400000000000006</v>
      </c>
      <c r="Q425" s="4">
        <f t="shared" si="225"/>
        <v>37.400000000000006</v>
      </c>
      <c r="R425" s="4">
        <f t="shared" si="225"/>
        <v>37.400000000000006</v>
      </c>
      <c r="S425" s="4">
        <f t="shared" si="225"/>
        <v>37.400000000000006</v>
      </c>
      <c r="T425" s="4">
        <f t="shared" si="225"/>
        <v>37.400000000000006</v>
      </c>
      <c r="U425" s="4">
        <f t="shared" si="225"/>
        <v>37.400000000000006</v>
      </c>
      <c r="V425" s="4">
        <f t="shared" si="225"/>
        <v>37.400000000000006</v>
      </c>
    </row>
    <row r="426" spans="1:25">
      <c r="A426" s="4" t="s">
        <v>275</v>
      </c>
      <c r="E426" s="4">
        <v>0</v>
      </c>
      <c r="F426" s="4">
        <f t="shared" si="225"/>
        <v>0</v>
      </c>
      <c r="N426" s="4">
        <f t="shared" si="226"/>
        <v>0</v>
      </c>
      <c r="O426" s="4">
        <f t="shared" si="225"/>
        <v>0</v>
      </c>
      <c r="P426" s="4">
        <f t="shared" si="225"/>
        <v>0</v>
      </c>
      <c r="Q426" s="4">
        <f t="shared" si="225"/>
        <v>0</v>
      </c>
      <c r="R426" s="4">
        <f t="shared" si="225"/>
        <v>0</v>
      </c>
      <c r="S426" s="4">
        <f t="shared" si="225"/>
        <v>0</v>
      </c>
      <c r="T426" s="4">
        <f t="shared" si="225"/>
        <v>0</v>
      </c>
      <c r="U426" s="4">
        <f t="shared" si="225"/>
        <v>0</v>
      </c>
      <c r="V426" s="4">
        <f t="shared" si="225"/>
        <v>0</v>
      </c>
    </row>
    <row r="427" spans="1:25">
      <c r="A427" s="4" t="s">
        <v>276</v>
      </c>
      <c r="E427" s="4">
        <v>0</v>
      </c>
      <c r="F427" s="4">
        <f t="shared" si="225"/>
        <v>0</v>
      </c>
      <c r="N427" s="4">
        <f t="shared" si="226"/>
        <v>0</v>
      </c>
      <c r="O427" s="4">
        <f t="shared" si="225"/>
        <v>0</v>
      </c>
      <c r="P427" s="4">
        <f t="shared" si="225"/>
        <v>0</v>
      </c>
      <c r="Q427" s="4">
        <f t="shared" si="225"/>
        <v>0</v>
      </c>
      <c r="R427" s="4">
        <f t="shared" si="225"/>
        <v>0</v>
      </c>
      <c r="S427" s="4">
        <f t="shared" si="225"/>
        <v>0</v>
      </c>
      <c r="T427" s="4">
        <f t="shared" si="225"/>
        <v>0</v>
      </c>
      <c r="U427" s="4">
        <f t="shared" si="225"/>
        <v>0</v>
      </c>
      <c r="V427" s="4">
        <f t="shared" si="225"/>
        <v>0</v>
      </c>
    </row>
    <row r="428" spans="1:25">
      <c r="A428" s="4" t="s">
        <v>277</v>
      </c>
      <c r="E428" s="4">
        <v>0</v>
      </c>
      <c r="F428" s="4">
        <f t="shared" si="225"/>
        <v>0</v>
      </c>
      <c r="N428" s="4">
        <f t="shared" si="226"/>
        <v>0</v>
      </c>
      <c r="O428" s="4">
        <f t="shared" si="225"/>
        <v>0</v>
      </c>
      <c r="P428" s="4">
        <f t="shared" si="225"/>
        <v>0</v>
      </c>
      <c r="Q428" s="4">
        <f t="shared" si="225"/>
        <v>0</v>
      </c>
      <c r="R428" s="4">
        <f t="shared" si="225"/>
        <v>0</v>
      </c>
      <c r="S428" s="4">
        <f t="shared" si="225"/>
        <v>0</v>
      </c>
      <c r="T428" s="4">
        <f t="shared" si="225"/>
        <v>0</v>
      </c>
      <c r="U428" s="4">
        <f t="shared" si="225"/>
        <v>0</v>
      </c>
      <c r="V428" s="4">
        <f t="shared" si="225"/>
        <v>0</v>
      </c>
    </row>
    <row r="429" spans="1:25">
      <c r="A429" s="4" t="s">
        <v>278</v>
      </c>
      <c r="E429" s="4">
        <v>0</v>
      </c>
      <c r="F429" s="4">
        <f t="shared" si="225"/>
        <v>0</v>
      </c>
      <c r="N429" s="4">
        <f t="shared" si="226"/>
        <v>0</v>
      </c>
      <c r="O429" s="4">
        <f t="shared" si="225"/>
        <v>0</v>
      </c>
      <c r="P429" s="4">
        <f t="shared" si="225"/>
        <v>0</v>
      </c>
      <c r="Q429" s="4">
        <f t="shared" si="225"/>
        <v>0</v>
      </c>
      <c r="R429" s="4">
        <f t="shared" si="225"/>
        <v>0</v>
      </c>
      <c r="S429" s="4">
        <f t="shared" si="225"/>
        <v>0</v>
      </c>
      <c r="T429" s="4">
        <f t="shared" si="225"/>
        <v>0</v>
      </c>
      <c r="U429" s="4">
        <f t="shared" si="225"/>
        <v>0</v>
      </c>
      <c r="V429" s="4">
        <f t="shared" si="225"/>
        <v>0</v>
      </c>
    </row>
    <row r="430" spans="1:25">
      <c r="A430" s="4" t="s">
        <v>279</v>
      </c>
      <c r="E430" s="60">
        <f t="shared" ref="E430:V430" si="227">SUM(E422:E429)</f>
        <v>412.4</v>
      </c>
      <c r="F430" s="60">
        <f t="shared" si="227"/>
        <v>487.4</v>
      </c>
      <c r="G430" s="60"/>
      <c r="H430" s="60"/>
      <c r="I430" s="60"/>
      <c r="J430" s="60"/>
      <c r="K430" s="60"/>
      <c r="L430" s="60"/>
      <c r="M430" s="60"/>
      <c r="N430" s="60">
        <f t="shared" si="227"/>
        <v>487.4</v>
      </c>
      <c r="O430" s="60">
        <f t="shared" si="227"/>
        <v>487.4</v>
      </c>
      <c r="P430" s="60">
        <f t="shared" si="227"/>
        <v>487.4</v>
      </c>
      <c r="Q430" s="60">
        <f t="shared" si="227"/>
        <v>487.4</v>
      </c>
      <c r="R430" s="60">
        <f t="shared" si="227"/>
        <v>487.4</v>
      </c>
      <c r="S430" s="60">
        <f t="shared" si="227"/>
        <v>487.4</v>
      </c>
      <c r="T430" s="60">
        <f t="shared" si="227"/>
        <v>487.4</v>
      </c>
      <c r="U430" s="60">
        <f t="shared" si="227"/>
        <v>487.4</v>
      </c>
      <c r="V430" s="60">
        <f t="shared" si="227"/>
        <v>487.4</v>
      </c>
    </row>
    <row r="431" spans="1:25">
      <c r="A431" s="42" t="s">
        <v>284</v>
      </c>
      <c r="B431" s="42"/>
      <c r="C431" s="42"/>
      <c r="D431" s="42"/>
      <c r="E431" s="61" t="str">
        <f t="shared" ref="E431:V431" si="228">+E$34</f>
        <v>2014A</v>
      </c>
      <c r="F431" s="61" t="str">
        <f t="shared" si="228"/>
        <v>2015E</v>
      </c>
      <c r="G431" s="61"/>
      <c r="H431" s="61"/>
      <c r="I431" s="61"/>
      <c r="J431" s="61"/>
      <c r="K431" s="61"/>
      <c r="L431" s="61"/>
      <c r="M431" s="61"/>
      <c r="N431" s="61" t="str">
        <f t="shared" si="228"/>
        <v>2016E</v>
      </c>
      <c r="O431" s="61" t="str">
        <f t="shared" si="228"/>
        <v>2017E</v>
      </c>
      <c r="P431" s="61" t="str">
        <f t="shared" si="228"/>
        <v>2018E</v>
      </c>
      <c r="Q431" s="61" t="str">
        <f t="shared" si="228"/>
        <v>2019E</v>
      </c>
      <c r="R431" s="61" t="str">
        <f t="shared" si="228"/>
        <v>2020E</v>
      </c>
      <c r="S431" s="61" t="str">
        <f t="shared" si="228"/>
        <v>2021E</v>
      </c>
      <c r="T431" s="61" t="str">
        <f t="shared" si="228"/>
        <v>2022E</v>
      </c>
      <c r="U431" s="61" t="str">
        <f t="shared" si="228"/>
        <v>2023E</v>
      </c>
      <c r="V431" s="61" t="str">
        <f t="shared" si="228"/>
        <v>2024E</v>
      </c>
    </row>
    <row r="432" spans="1:25">
      <c r="A432" s="4" t="s">
        <v>280</v>
      </c>
      <c r="E432" s="4">
        <v>0</v>
      </c>
    </row>
    <row r="433" spans="1:22">
      <c r="A433" s="4" t="s">
        <v>274</v>
      </c>
      <c r="E433" s="4">
        <v>0</v>
      </c>
      <c r="F433" s="57">
        <v>75</v>
      </c>
      <c r="G433" s="57"/>
      <c r="H433" s="57"/>
      <c r="I433" s="57"/>
      <c r="J433" s="57"/>
      <c r="K433" s="57"/>
      <c r="L433" s="57"/>
      <c r="M433" s="57"/>
    </row>
    <row r="434" spans="1:22">
      <c r="A434" s="4" t="s">
        <v>273</v>
      </c>
      <c r="E434" s="4">
        <v>0</v>
      </c>
    </row>
    <row r="435" spans="1:22">
      <c r="A435" s="4" t="str">
        <f>+A425</f>
        <v>Other</v>
      </c>
      <c r="E435" s="4">
        <v>0</v>
      </c>
    </row>
    <row r="436" spans="1:22">
      <c r="A436" s="4" t="s">
        <v>275</v>
      </c>
      <c r="E436" s="4">
        <v>0</v>
      </c>
    </row>
    <row r="437" spans="1:22">
      <c r="A437" s="4" t="s">
        <v>276</v>
      </c>
      <c r="E437" s="4">
        <v>0</v>
      </c>
    </row>
    <row r="438" spans="1:22">
      <c r="A438" s="4" t="s">
        <v>277</v>
      </c>
      <c r="E438" s="4">
        <v>0</v>
      </c>
    </row>
    <row r="439" spans="1:22">
      <c r="A439" s="4" t="s">
        <v>278</v>
      </c>
      <c r="E439" s="4">
        <v>0</v>
      </c>
    </row>
    <row r="440" spans="1:22">
      <c r="A440" s="4" t="s">
        <v>279</v>
      </c>
      <c r="E440" s="60">
        <f t="shared" ref="E440:V440" si="229">SUM(E432:E439)</f>
        <v>0</v>
      </c>
      <c r="F440" s="60">
        <f t="shared" si="229"/>
        <v>75</v>
      </c>
      <c r="G440" s="60"/>
      <c r="H440" s="60"/>
      <c r="I440" s="60"/>
      <c r="J440" s="60"/>
      <c r="K440" s="60"/>
      <c r="L440" s="60"/>
      <c r="M440" s="60"/>
      <c r="N440" s="60">
        <f t="shared" si="229"/>
        <v>0</v>
      </c>
      <c r="O440" s="60">
        <f t="shared" si="229"/>
        <v>0</v>
      </c>
      <c r="P440" s="60">
        <f t="shared" si="229"/>
        <v>0</v>
      </c>
      <c r="Q440" s="60">
        <f t="shared" si="229"/>
        <v>0</v>
      </c>
      <c r="R440" s="60">
        <f t="shared" si="229"/>
        <v>0</v>
      </c>
      <c r="S440" s="60">
        <f t="shared" si="229"/>
        <v>0</v>
      </c>
      <c r="T440" s="60">
        <f t="shared" si="229"/>
        <v>0</v>
      </c>
      <c r="U440" s="60">
        <f t="shared" si="229"/>
        <v>0</v>
      </c>
      <c r="V440" s="60">
        <f t="shared" si="229"/>
        <v>0</v>
      </c>
    </row>
    <row r="441" spans="1:22">
      <c r="A441" s="42" t="s">
        <v>285</v>
      </c>
      <c r="B441" s="42"/>
      <c r="C441" s="42"/>
      <c r="D441" s="42"/>
      <c r="E441" s="61" t="str">
        <f t="shared" ref="E441:V441" si="230">+E$34</f>
        <v>2014A</v>
      </c>
      <c r="F441" s="61" t="str">
        <f t="shared" si="230"/>
        <v>2015E</v>
      </c>
      <c r="G441" s="61"/>
      <c r="H441" s="61"/>
      <c r="I441" s="61"/>
      <c r="J441" s="61"/>
      <c r="K441" s="61"/>
      <c r="L441" s="61"/>
      <c r="M441" s="61"/>
      <c r="N441" s="61" t="str">
        <f t="shared" si="230"/>
        <v>2016E</v>
      </c>
      <c r="O441" s="61" t="str">
        <f t="shared" si="230"/>
        <v>2017E</v>
      </c>
      <c r="P441" s="61" t="str">
        <f t="shared" si="230"/>
        <v>2018E</v>
      </c>
      <c r="Q441" s="61" t="str">
        <f t="shared" si="230"/>
        <v>2019E</v>
      </c>
      <c r="R441" s="61" t="str">
        <f t="shared" si="230"/>
        <v>2020E</v>
      </c>
      <c r="S441" s="61" t="str">
        <f t="shared" si="230"/>
        <v>2021E</v>
      </c>
      <c r="T441" s="61" t="str">
        <f t="shared" si="230"/>
        <v>2022E</v>
      </c>
      <c r="U441" s="61" t="str">
        <f t="shared" si="230"/>
        <v>2023E</v>
      </c>
      <c r="V441" s="61" t="str">
        <f t="shared" si="230"/>
        <v>2024E</v>
      </c>
    </row>
    <row r="442" spans="1:22">
      <c r="A442" s="4" t="s">
        <v>280</v>
      </c>
      <c r="E442" s="4">
        <v>0</v>
      </c>
      <c r="F442" s="4">
        <v>0</v>
      </c>
      <c r="N442" s="4">
        <v>0</v>
      </c>
      <c r="O442" s="4">
        <v>0</v>
      </c>
      <c r="P442" s="4">
        <v>0</v>
      </c>
      <c r="Q442" s="4">
        <v>0</v>
      </c>
      <c r="R442" s="4">
        <v>0</v>
      </c>
      <c r="S442" s="4">
        <v>0</v>
      </c>
      <c r="T442" s="4">
        <v>0</v>
      </c>
      <c r="U442" s="4">
        <v>0</v>
      </c>
      <c r="V442" s="4">
        <v>0</v>
      </c>
    </row>
    <row r="443" spans="1:22">
      <c r="A443" s="4" t="s">
        <v>274</v>
      </c>
      <c r="E443" s="4">
        <v>0</v>
      </c>
      <c r="F443" s="4">
        <v>0</v>
      </c>
      <c r="N443" s="4">
        <v>0</v>
      </c>
      <c r="O443" s="4">
        <v>0</v>
      </c>
      <c r="P443" s="4">
        <v>0</v>
      </c>
      <c r="Q443" s="4">
        <v>0</v>
      </c>
      <c r="R443" s="4">
        <v>0</v>
      </c>
      <c r="S443" s="4">
        <v>0</v>
      </c>
      <c r="T443" s="4">
        <v>0</v>
      </c>
      <c r="U443" s="4">
        <v>0</v>
      </c>
      <c r="V443" s="4">
        <v>0</v>
      </c>
    </row>
    <row r="444" spans="1:22">
      <c r="A444" s="4" t="s">
        <v>273</v>
      </c>
      <c r="E444" s="4">
        <v>0</v>
      </c>
      <c r="F444" s="4">
        <v>0</v>
      </c>
      <c r="N444" s="4">
        <v>0</v>
      </c>
      <c r="O444" s="4">
        <v>0</v>
      </c>
      <c r="P444" s="4">
        <v>0</v>
      </c>
      <c r="Q444" s="4">
        <v>0</v>
      </c>
      <c r="R444" s="4">
        <v>0</v>
      </c>
      <c r="S444" s="4">
        <v>0</v>
      </c>
      <c r="T444" s="4">
        <v>0</v>
      </c>
      <c r="U444" s="4">
        <v>0</v>
      </c>
      <c r="V444" s="4">
        <v>0</v>
      </c>
    </row>
    <row r="445" spans="1:22">
      <c r="A445" s="4" t="str">
        <f>+A425</f>
        <v>Other</v>
      </c>
      <c r="E445" s="4">
        <v>0</v>
      </c>
    </row>
    <row r="446" spans="1:22">
      <c r="A446" s="4" t="s">
        <v>275</v>
      </c>
      <c r="E446" s="4">
        <v>0</v>
      </c>
    </row>
    <row r="447" spans="1:22">
      <c r="A447" s="4" t="s">
        <v>276</v>
      </c>
      <c r="E447" s="4">
        <v>0</v>
      </c>
    </row>
    <row r="448" spans="1:22">
      <c r="A448" s="4" t="s">
        <v>277</v>
      </c>
      <c r="E448" s="4">
        <v>0</v>
      </c>
    </row>
    <row r="449" spans="1:22">
      <c r="A449" s="4" t="s">
        <v>278</v>
      </c>
      <c r="E449" s="4">
        <v>0</v>
      </c>
    </row>
    <row r="450" spans="1:22">
      <c r="A450" s="4" t="s">
        <v>279</v>
      </c>
      <c r="E450" s="60">
        <f t="shared" ref="E450:V450" si="231">SUM(E442:E449)</f>
        <v>0</v>
      </c>
      <c r="F450" s="60">
        <f t="shared" si="231"/>
        <v>0</v>
      </c>
      <c r="G450" s="60"/>
      <c r="H450" s="60"/>
      <c r="I450" s="60"/>
      <c r="J450" s="60"/>
      <c r="K450" s="60"/>
      <c r="L450" s="60"/>
      <c r="M450" s="60"/>
      <c r="N450" s="60">
        <f t="shared" si="231"/>
        <v>0</v>
      </c>
      <c r="O450" s="60">
        <f t="shared" si="231"/>
        <v>0</v>
      </c>
      <c r="P450" s="60">
        <f t="shared" si="231"/>
        <v>0</v>
      </c>
      <c r="Q450" s="60">
        <f t="shared" si="231"/>
        <v>0</v>
      </c>
      <c r="R450" s="60">
        <f t="shared" si="231"/>
        <v>0</v>
      </c>
      <c r="S450" s="60">
        <f t="shared" si="231"/>
        <v>0</v>
      </c>
      <c r="T450" s="60">
        <f t="shared" si="231"/>
        <v>0</v>
      </c>
      <c r="U450" s="60">
        <f t="shared" si="231"/>
        <v>0</v>
      </c>
      <c r="V450" s="60">
        <f t="shared" si="231"/>
        <v>0</v>
      </c>
    </row>
    <row r="451" spans="1:22">
      <c r="A451" s="42" t="s">
        <v>286</v>
      </c>
      <c r="B451" s="42"/>
      <c r="C451" s="42"/>
      <c r="D451" s="42"/>
      <c r="E451" s="61" t="str">
        <f t="shared" ref="E451:V451" si="232">+E$34</f>
        <v>2014A</v>
      </c>
      <c r="F451" s="61" t="str">
        <f t="shared" si="232"/>
        <v>2015E</v>
      </c>
      <c r="G451" s="61"/>
      <c r="H451" s="61"/>
      <c r="I451" s="61"/>
      <c r="J451" s="61"/>
      <c r="K451" s="61"/>
      <c r="L451" s="61"/>
      <c r="M451" s="61"/>
      <c r="N451" s="61" t="str">
        <f t="shared" si="232"/>
        <v>2016E</v>
      </c>
      <c r="O451" s="61" t="str">
        <f t="shared" si="232"/>
        <v>2017E</v>
      </c>
      <c r="P451" s="61" t="str">
        <f t="shared" si="232"/>
        <v>2018E</v>
      </c>
      <c r="Q451" s="61" t="str">
        <f t="shared" si="232"/>
        <v>2019E</v>
      </c>
      <c r="R451" s="61" t="str">
        <f t="shared" si="232"/>
        <v>2020E</v>
      </c>
      <c r="S451" s="61" t="str">
        <f t="shared" si="232"/>
        <v>2021E</v>
      </c>
      <c r="T451" s="61" t="str">
        <f t="shared" si="232"/>
        <v>2022E</v>
      </c>
      <c r="U451" s="61" t="str">
        <f t="shared" si="232"/>
        <v>2023E</v>
      </c>
      <c r="V451" s="61" t="str">
        <f t="shared" si="232"/>
        <v>2024E</v>
      </c>
    </row>
    <row r="452" spans="1:22">
      <c r="A452" s="4" t="s">
        <v>280</v>
      </c>
      <c r="E452" s="4">
        <v>0</v>
      </c>
      <c r="F452" s="47">
        <v>4.4999999999999998E-2</v>
      </c>
      <c r="G452" s="47"/>
      <c r="H452" s="47"/>
      <c r="I452" s="47"/>
      <c r="J452" s="47"/>
      <c r="K452" s="47"/>
      <c r="L452" s="47"/>
      <c r="M452" s="47"/>
      <c r="N452" s="47">
        <v>4.4999999999999998E-2</v>
      </c>
      <c r="O452" s="47">
        <v>4.4999999999999998E-2</v>
      </c>
      <c r="P452" s="47">
        <v>4.4999999999999998E-2</v>
      </c>
      <c r="Q452" s="47">
        <v>4.4999999999999998E-2</v>
      </c>
      <c r="R452" s="47">
        <v>4.4999999999999998E-2</v>
      </c>
      <c r="S452" s="47">
        <v>4.4999999999999998E-2</v>
      </c>
      <c r="T452" s="47">
        <v>4.4999999999999998E-2</v>
      </c>
      <c r="U452" s="47">
        <v>4.4999999999999998E-2</v>
      </c>
      <c r="V452" s="47">
        <v>4.4999999999999998E-2</v>
      </c>
    </row>
    <row r="453" spans="1:22">
      <c r="A453" s="4" t="s">
        <v>274</v>
      </c>
      <c r="E453" s="4">
        <v>0</v>
      </c>
      <c r="F453" s="47">
        <v>4.4999999999999998E-2</v>
      </c>
      <c r="G453" s="47"/>
      <c r="H453" s="47"/>
      <c r="I453" s="47"/>
      <c r="J453" s="47"/>
      <c r="K453" s="47"/>
      <c r="L453" s="47"/>
      <c r="M453" s="47"/>
      <c r="N453" s="47">
        <v>4.4999999999999998E-2</v>
      </c>
      <c r="O453" s="47">
        <v>4.4999999999999998E-2</v>
      </c>
      <c r="P453" s="47">
        <v>4.4999999999999998E-2</v>
      </c>
      <c r="Q453" s="47">
        <v>4.4999999999999998E-2</v>
      </c>
      <c r="R453" s="47">
        <v>4.4999999999999998E-2</v>
      </c>
      <c r="S453" s="47">
        <v>4.4999999999999998E-2</v>
      </c>
      <c r="T453" s="47">
        <v>4.4999999999999998E-2</v>
      </c>
      <c r="U453" s="47">
        <v>4.4999999999999998E-2</v>
      </c>
      <c r="V453" s="47">
        <v>4.4999999999999998E-2</v>
      </c>
    </row>
    <row r="454" spans="1:22">
      <c r="A454" s="4" t="s">
        <v>273</v>
      </c>
      <c r="E454" s="4">
        <v>0</v>
      </c>
      <c r="F454" s="47">
        <v>4.4999999999999998E-2</v>
      </c>
      <c r="G454" s="47"/>
      <c r="H454" s="47"/>
      <c r="I454" s="47"/>
      <c r="J454" s="47"/>
      <c r="K454" s="47"/>
      <c r="L454" s="47"/>
      <c r="M454" s="47"/>
      <c r="N454" s="47">
        <v>4.4999999999999998E-2</v>
      </c>
      <c r="O454" s="47">
        <v>4.4999999999999998E-2</v>
      </c>
      <c r="P454" s="47">
        <v>4.4999999999999998E-2</v>
      </c>
      <c r="Q454" s="47">
        <v>4.4999999999999998E-2</v>
      </c>
      <c r="R454" s="47">
        <v>4.4999999999999998E-2</v>
      </c>
      <c r="S454" s="47">
        <v>4.4999999999999998E-2</v>
      </c>
      <c r="T454" s="47">
        <v>4.4999999999999998E-2</v>
      </c>
      <c r="U454" s="47">
        <v>4.4999999999999998E-2</v>
      </c>
      <c r="V454" s="47">
        <v>4.4999999999999998E-2</v>
      </c>
    </row>
    <row r="455" spans="1:22">
      <c r="A455" s="4" t="str">
        <f>+A425</f>
        <v>Other</v>
      </c>
      <c r="E455" s="4">
        <v>0</v>
      </c>
      <c r="F455" s="47">
        <v>4.4999999999999998E-2</v>
      </c>
      <c r="G455" s="47"/>
      <c r="H455" s="47"/>
      <c r="I455" s="47"/>
      <c r="J455" s="47"/>
      <c r="K455" s="47"/>
      <c r="L455" s="47"/>
      <c r="M455" s="47"/>
      <c r="N455" s="47">
        <v>4.4999999999999998E-2</v>
      </c>
      <c r="O455" s="47">
        <v>4.4999999999999998E-2</v>
      </c>
      <c r="P455" s="47">
        <v>4.4999999999999998E-2</v>
      </c>
      <c r="Q455" s="47">
        <v>4.4999999999999998E-2</v>
      </c>
      <c r="R455" s="47">
        <v>4.4999999999999998E-2</v>
      </c>
      <c r="S455" s="47">
        <v>4.4999999999999998E-2</v>
      </c>
      <c r="T455" s="47">
        <v>4.4999999999999998E-2</v>
      </c>
      <c r="U455" s="47">
        <v>4.4999999999999998E-2</v>
      </c>
      <c r="V455" s="47">
        <v>4.4999999999999998E-2</v>
      </c>
    </row>
    <row r="456" spans="1:22">
      <c r="A456" s="4" t="s">
        <v>275</v>
      </c>
      <c r="E456" s="4">
        <v>0</v>
      </c>
    </row>
    <row r="457" spans="1:22">
      <c r="A457" s="4" t="s">
        <v>276</v>
      </c>
      <c r="E457" s="4">
        <v>0</v>
      </c>
    </row>
    <row r="458" spans="1:22">
      <c r="A458" s="4" t="s">
        <v>277</v>
      </c>
      <c r="E458" s="4">
        <v>0</v>
      </c>
    </row>
    <row r="459" spans="1:22">
      <c r="A459" s="4" t="s">
        <v>278</v>
      </c>
      <c r="E459" s="4">
        <v>0</v>
      </c>
    </row>
    <row r="460" spans="1:22">
      <c r="A460" s="4" t="s">
        <v>279</v>
      </c>
      <c r="E460" s="60">
        <f>SUM(E452:E459)</f>
        <v>0</v>
      </c>
      <c r="F460" s="62">
        <f t="shared" ref="F460:V460" si="233">+F470/E430</f>
        <v>4.5000000000000005E-2</v>
      </c>
      <c r="G460" s="62"/>
      <c r="H460" s="62"/>
      <c r="I460" s="62"/>
      <c r="J460" s="62"/>
      <c r="K460" s="62"/>
      <c r="L460" s="62"/>
      <c r="M460" s="62"/>
      <c r="N460" s="62">
        <f>+N470/F430</f>
        <v>4.4999999999999998E-2</v>
      </c>
      <c r="O460" s="62">
        <f t="shared" si="233"/>
        <v>4.4999999999999998E-2</v>
      </c>
      <c r="P460" s="62">
        <f t="shared" si="233"/>
        <v>4.4999999999999998E-2</v>
      </c>
      <c r="Q460" s="62">
        <f t="shared" si="233"/>
        <v>4.4999999999999998E-2</v>
      </c>
      <c r="R460" s="62">
        <f t="shared" si="233"/>
        <v>4.4999999999999998E-2</v>
      </c>
      <c r="S460" s="62">
        <f t="shared" si="233"/>
        <v>4.4999999999999998E-2</v>
      </c>
      <c r="T460" s="62">
        <f t="shared" si="233"/>
        <v>4.4999999999999998E-2</v>
      </c>
      <c r="U460" s="62">
        <f t="shared" si="233"/>
        <v>4.4999999999999998E-2</v>
      </c>
      <c r="V460" s="62">
        <f t="shared" si="233"/>
        <v>4.4999999999999998E-2</v>
      </c>
    </row>
    <row r="461" spans="1:22">
      <c r="A461" s="42" t="s">
        <v>287</v>
      </c>
      <c r="B461" s="42"/>
      <c r="C461" s="42"/>
      <c r="D461" s="42"/>
      <c r="E461" s="61" t="str">
        <f t="shared" ref="E461:V461" si="234">+E$34</f>
        <v>2014A</v>
      </c>
      <c r="F461" s="61" t="str">
        <f t="shared" si="234"/>
        <v>2015E</v>
      </c>
      <c r="G461" s="61"/>
      <c r="H461" s="61"/>
      <c r="I461" s="61"/>
      <c r="J461" s="61"/>
      <c r="K461" s="61"/>
      <c r="L461" s="61"/>
      <c r="M461" s="61"/>
      <c r="N461" s="61" t="str">
        <f t="shared" si="234"/>
        <v>2016E</v>
      </c>
      <c r="O461" s="61" t="str">
        <f t="shared" si="234"/>
        <v>2017E</v>
      </c>
      <c r="P461" s="61" t="str">
        <f t="shared" si="234"/>
        <v>2018E</v>
      </c>
      <c r="Q461" s="61" t="str">
        <f t="shared" si="234"/>
        <v>2019E</v>
      </c>
      <c r="R461" s="61" t="str">
        <f t="shared" si="234"/>
        <v>2020E</v>
      </c>
      <c r="S461" s="61" t="str">
        <f t="shared" si="234"/>
        <v>2021E</v>
      </c>
      <c r="T461" s="61" t="str">
        <f t="shared" si="234"/>
        <v>2022E</v>
      </c>
      <c r="U461" s="61" t="str">
        <f t="shared" si="234"/>
        <v>2023E</v>
      </c>
      <c r="V461" s="61" t="str">
        <f t="shared" si="234"/>
        <v>2024E</v>
      </c>
    </row>
    <row r="462" spans="1:22">
      <c r="A462" s="4" t="s">
        <v>280</v>
      </c>
      <c r="E462" s="4">
        <v>375</v>
      </c>
      <c r="F462" s="4">
        <f t="shared" ref="F462:V469" si="235">+F452*E422</f>
        <v>16.875</v>
      </c>
      <c r="N462" s="4">
        <f t="shared" ref="N462:N469" si="236">+N452*F422</f>
        <v>16.875</v>
      </c>
      <c r="O462" s="4">
        <f t="shared" si="235"/>
        <v>16.875</v>
      </c>
      <c r="P462" s="4">
        <f t="shared" si="235"/>
        <v>16.875</v>
      </c>
      <c r="Q462" s="4">
        <f t="shared" si="235"/>
        <v>16.875</v>
      </c>
      <c r="R462" s="4">
        <f t="shared" si="235"/>
        <v>16.875</v>
      </c>
      <c r="S462" s="4">
        <f t="shared" si="235"/>
        <v>16.875</v>
      </c>
      <c r="T462" s="4">
        <f t="shared" si="235"/>
        <v>16.875</v>
      </c>
      <c r="U462" s="4">
        <f t="shared" si="235"/>
        <v>16.875</v>
      </c>
      <c r="V462" s="4">
        <f t="shared" si="235"/>
        <v>16.875</v>
      </c>
    </row>
    <row r="463" spans="1:22">
      <c r="A463" s="4" t="s">
        <v>274</v>
      </c>
      <c r="E463" s="4">
        <v>0</v>
      </c>
      <c r="F463" s="4">
        <f t="shared" si="235"/>
        <v>0</v>
      </c>
      <c r="N463" s="4">
        <f t="shared" si="236"/>
        <v>3.375</v>
      </c>
      <c r="O463" s="4">
        <f t="shared" si="235"/>
        <v>3.375</v>
      </c>
      <c r="P463" s="4">
        <f t="shared" si="235"/>
        <v>3.375</v>
      </c>
      <c r="Q463" s="4">
        <f t="shared" si="235"/>
        <v>3.375</v>
      </c>
      <c r="R463" s="4">
        <f t="shared" si="235"/>
        <v>3.375</v>
      </c>
      <c r="S463" s="4">
        <f t="shared" si="235"/>
        <v>3.375</v>
      </c>
      <c r="T463" s="4">
        <f t="shared" si="235"/>
        <v>3.375</v>
      </c>
      <c r="U463" s="4">
        <f t="shared" si="235"/>
        <v>3.375</v>
      </c>
      <c r="V463" s="4">
        <f t="shared" si="235"/>
        <v>3.375</v>
      </c>
    </row>
    <row r="464" spans="1:22">
      <c r="A464" s="4" t="s">
        <v>273</v>
      </c>
      <c r="E464" s="4">
        <v>0</v>
      </c>
      <c r="F464" s="4">
        <f t="shared" si="235"/>
        <v>0</v>
      </c>
      <c r="N464" s="4">
        <f t="shared" si="236"/>
        <v>0</v>
      </c>
      <c r="O464" s="4">
        <f t="shared" si="235"/>
        <v>0</v>
      </c>
      <c r="P464" s="4">
        <f t="shared" si="235"/>
        <v>0</v>
      </c>
      <c r="Q464" s="4">
        <f t="shared" si="235"/>
        <v>0</v>
      </c>
      <c r="R464" s="4">
        <f t="shared" si="235"/>
        <v>0</v>
      </c>
      <c r="S464" s="4">
        <f t="shared" si="235"/>
        <v>0</v>
      </c>
      <c r="T464" s="4">
        <f t="shared" si="235"/>
        <v>0</v>
      </c>
      <c r="U464" s="4">
        <f t="shared" si="235"/>
        <v>0</v>
      </c>
      <c r="V464" s="4">
        <f t="shared" si="235"/>
        <v>0</v>
      </c>
    </row>
    <row r="465" spans="1:23">
      <c r="A465" s="4" t="str">
        <f>+A425</f>
        <v>Other</v>
      </c>
      <c r="E465" s="4">
        <v>0</v>
      </c>
      <c r="F465" s="4">
        <f t="shared" si="235"/>
        <v>1.6830000000000003</v>
      </c>
      <c r="N465" s="4">
        <f t="shared" si="236"/>
        <v>1.6830000000000003</v>
      </c>
      <c r="O465" s="4">
        <f t="shared" si="235"/>
        <v>1.6830000000000003</v>
      </c>
      <c r="P465" s="4">
        <f t="shared" si="235"/>
        <v>1.6830000000000003</v>
      </c>
      <c r="Q465" s="4">
        <f t="shared" si="235"/>
        <v>1.6830000000000003</v>
      </c>
      <c r="R465" s="4">
        <f t="shared" si="235"/>
        <v>1.6830000000000003</v>
      </c>
      <c r="S465" s="4">
        <f t="shared" si="235"/>
        <v>1.6830000000000003</v>
      </c>
      <c r="T465" s="4">
        <f t="shared" si="235"/>
        <v>1.6830000000000003</v>
      </c>
      <c r="U465" s="4">
        <f t="shared" si="235"/>
        <v>1.6830000000000003</v>
      </c>
      <c r="V465" s="4">
        <f t="shared" si="235"/>
        <v>1.6830000000000003</v>
      </c>
    </row>
    <row r="466" spans="1:23">
      <c r="A466" s="4" t="s">
        <v>275</v>
      </c>
      <c r="E466" s="4">
        <v>0</v>
      </c>
      <c r="F466" s="4">
        <f t="shared" si="235"/>
        <v>0</v>
      </c>
      <c r="N466" s="4">
        <f t="shared" si="236"/>
        <v>0</v>
      </c>
      <c r="O466" s="4">
        <f t="shared" si="235"/>
        <v>0</v>
      </c>
      <c r="P466" s="4">
        <f t="shared" si="235"/>
        <v>0</v>
      </c>
      <c r="Q466" s="4">
        <f t="shared" si="235"/>
        <v>0</v>
      </c>
      <c r="R466" s="4">
        <f t="shared" si="235"/>
        <v>0</v>
      </c>
      <c r="S466" s="4">
        <f t="shared" si="235"/>
        <v>0</v>
      </c>
      <c r="T466" s="4">
        <f t="shared" si="235"/>
        <v>0</v>
      </c>
      <c r="U466" s="4">
        <f t="shared" si="235"/>
        <v>0</v>
      </c>
      <c r="V466" s="4">
        <f t="shared" si="235"/>
        <v>0</v>
      </c>
    </row>
    <row r="467" spans="1:23">
      <c r="A467" s="4" t="s">
        <v>276</v>
      </c>
      <c r="E467" s="4">
        <v>0</v>
      </c>
      <c r="F467" s="4">
        <f t="shared" si="235"/>
        <v>0</v>
      </c>
      <c r="N467" s="4">
        <f t="shared" si="236"/>
        <v>0</v>
      </c>
      <c r="O467" s="4">
        <f t="shared" si="235"/>
        <v>0</v>
      </c>
      <c r="P467" s="4">
        <f t="shared" si="235"/>
        <v>0</v>
      </c>
      <c r="Q467" s="4">
        <f t="shared" si="235"/>
        <v>0</v>
      </c>
      <c r="R467" s="4">
        <f t="shared" si="235"/>
        <v>0</v>
      </c>
      <c r="S467" s="4">
        <f t="shared" si="235"/>
        <v>0</v>
      </c>
      <c r="T467" s="4">
        <f t="shared" si="235"/>
        <v>0</v>
      </c>
      <c r="U467" s="4">
        <f t="shared" si="235"/>
        <v>0</v>
      </c>
      <c r="V467" s="4">
        <f t="shared" si="235"/>
        <v>0</v>
      </c>
    </row>
    <row r="468" spans="1:23">
      <c r="A468" s="4" t="s">
        <v>277</v>
      </c>
      <c r="E468" s="4">
        <v>0</v>
      </c>
      <c r="F468" s="4">
        <f t="shared" si="235"/>
        <v>0</v>
      </c>
      <c r="N468" s="4">
        <f t="shared" si="236"/>
        <v>0</v>
      </c>
      <c r="O468" s="4">
        <f t="shared" si="235"/>
        <v>0</v>
      </c>
      <c r="P468" s="4">
        <f t="shared" si="235"/>
        <v>0</v>
      </c>
      <c r="Q468" s="4">
        <f t="shared" si="235"/>
        <v>0</v>
      </c>
      <c r="R468" s="4">
        <f t="shared" si="235"/>
        <v>0</v>
      </c>
      <c r="S468" s="4">
        <f t="shared" si="235"/>
        <v>0</v>
      </c>
      <c r="T468" s="4">
        <f t="shared" si="235"/>
        <v>0</v>
      </c>
      <c r="U468" s="4">
        <f t="shared" si="235"/>
        <v>0</v>
      </c>
      <c r="V468" s="4">
        <f t="shared" si="235"/>
        <v>0</v>
      </c>
    </row>
    <row r="469" spans="1:23">
      <c r="A469" s="4" t="s">
        <v>278</v>
      </c>
      <c r="E469" s="4">
        <v>0</v>
      </c>
      <c r="F469" s="4">
        <f t="shared" si="235"/>
        <v>0</v>
      </c>
      <c r="N469" s="4">
        <f t="shared" si="236"/>
        <v>0</v>
      </c>
      <c r="O469" s="4">
        <f t="shared" si="235"/>
        <v>0</v>
      </c>
      <c r="P469" s="4">
        <f t="shared" si="235"/>
        <v>0</v>
      </c>
      <c r="Q469" s="4">
        <f t="shared" si="235"/>
        <v>0</v>
      </c>
      <c r="R469" s="4">
        <f t="shared" si="235"/>
        <v>0</v>
      </c>
      <c r="S469" s="4">
        <f t="shared" si="235"/>
        <v>0</v>
      </c>
      <c r="T469" s="4">
        <f t="shared" si="235"/>
        <v>0</v>
      </c>
      <c r="U469" s="4">
        <f t="shared" si="235"/>
        <v>0</v>
      </c>
      <c r="V469" s="4">
        <f t="shared" si="235"/>
        <v>0</v>
      </c>
    </row>
    <row r="470" spans="1:23">
      <c r="A470" s="4" t="s">
        <v>279</v>
      </c>
      <c r="E470" s="60">
        <f t="shared" ref="E470:V470" si="237">SUM(E462:E469)</f>
        <v>375</v>
      </c>
      <c r="F470" s="60">
        <f t="shared" si="237"/>
        <v>18.558</v>
      </c>
      <c r="G470" s="60"/>
      <c r="H470" s="60"/>
      <c r="I470" s="60"/>
      <c r="J470" s="60"/>
      <c r="K470" s="60"/>
      <c r="L470" s="60"/>
      <c r="M470" s="60"/>
      <c r="N470" s="60">
        <f t="shared" si="237"/>
        <v>21.933</v>
      </c>
      <c r="O470" s="60">
        <f t="shared" si="237"/>
        <v>21.933</v>
      </c>
      <c r="P470" s="60">
        <f t="shared" si="237"/>
        <v>21.933</v>
      </c>
      <c r="Q470" s="60">
        <f t="shared" si="237"/>
        <v>21.933</v>
      </c>
      <c r="R470" s="60">
        <f t="shared" si="237"/>
        <v>21.933</v>
      </c>
      <c r="S470" s="60">
        <f t="shared" si="237"/>
        <v>21.933</v>
      </c>
      <c r="T470" s="60">
        <f t="shared" si="237"/>
        <v>21.933</v>
      </c>
      <c r="U470" s="60">
        <f t="shared" si="237"/>
        <v>21.933</v>
      </c>
      <c r="V470" s="60">
        <f t="shared" si="237"/>
        <v>21.933</v>
      </c>
    </row>
    <row r="472" spans="1:23">
      <c r="A472" s="18" t="s">
        <v>288</v>
      </c>
      <c r="B472" s="43" t="str">
        <f t="shared" ref="B472:V472" si="238">+B$34</f>
        <v>2011A</v>
      </c>
      <c r="C472" s="43" t="str">
        <f t="shared" si="238"/>
        <v>2012A</v>
      </c>
      <c r="D472" s="43" t="str">
        <f t="shared" si="238"/>
        <v>2013A</v>
      </c>
      <c r="E472" s="43" t="str">
        <f t="shared" si="238"/>
        <v>2014A</v>
      </c>
      <c r="F472" s="43" t="str">
        <f t="shared" si="238"/>
        <v>2015E</v>
      </c>
      <c r="G472" s="209"/>
      <c r="H472" s="209"/>
      <c r="I472" s="209"/>
      <c r="J472" s="209"/>
      <c r="K472" s="209"/>
      <c r="L472" s="209"/>
      <c r="M472" s="209"/>
      <c r="N472" s="43" t="str">
        <f t="shared" si="238"/>
        <v>2016E</v>
      </c>
      <c r="O472" s="43" t="str">
        <f t="shared" si="238"/>
        <v>2017E</v>
      </c>
      <c r="P472" s="43" t="str">
        <f t="shared" si="238"/>
        <v>2018E</v>
      </c>
      <c r="Q472" s="43" t="str">
        <f t="shared" si="238"/>
        <v>2019E</v>
      </c>
      <c r="R472" s="43" t="str">
        <f t="shared" si="238"/>
        <v>2020E</v>
      </c>
      <c r="S472" s="43" t="str">
        <f t="shared" si="238"/>
        <v>2021E</v>
      </c>
      <c r="T472" s="43" t="str">
        <f t="shared" si="238"/>
        <v>2022E</v>
      </c>
      <c r="U472" s="43" t="str">
        <f t="shared" si="238"/>
        <v>2023E</v>
      </c>
      <c r="V472" s="43" t="str">
        <f t="shared" si="238"/>
        <v>2024E</v>
      </c>
      <c r="W472" s="44"/>
    </row>
    <row r="474" spans="1:23">
      <c r="A474" s="4" t="s">
        <v>289</v>
      </c>
      <c r="B474" s="5">
        <f>+B73</f>
        <v>-1.1000000000000001</v>
      </c>
      <c r="C474" s="5">
        <f>+C73</f>
        <v>-2.7</v>
      </c>
      <c r="D474" s="5">
        <f>+D73</f>
        <v>-8.6</v>
      </c>
      <c r="E474" s="5">
        <f>+E73</f>
        <v>-8</v>
      </c>
      <c r="F474" s="5">
        <f>-F477*0.15</f>
        <v>-2.2517624434590817</v>
      </c>
      <c r="G474" s="5"/>
      <c r="H474" s="5"/>
      <c r="I474" s="5"/>
      <c r="J474" s="5"/>
      <c r="K474" s="5"/>
      <c r="L474" s="5"/>
      <c r="M474" s="5"/>
      <c r="N474" s="5">
        <f t="shared" ref="N474:V474" si="239">-N477*0.3</f>
        <v>-50.742593663097928</v>
      </c>
      <c r="O474" s="5">
        <f t="shared" si="239"/>
        <v>-53.22526181406176</v>
      </c>
      <c r="P474" s="5">
        <f t="shared" si="239"/>
        <v>-60.241312339499082</v>
      </c>
      <c r="Q474" s="5">
        <f t="shared" si="239"/>
        <v>-66.503168170505347</v>
      </c>
      <c r="R474" s="5">
        <f t="shared" si="239"/>
        <v>-71.163513950744317</v>
      </c>
      <c r="S474" s="5">
        <f t="shared" si="239"/>
        <v>-75.887097163100876</v>
      </c>
      <c r="T474" s="5">
        <f t="shared" si="239"/>
        <v>-80.672678586479748</v>
      </c>
      <c r="U474" s="5">
        <f t="shared" si="239"/>
        <v>-85.513332516783038</v>
      </c>
      <c r="V474" s="5">
        <f t="shared" si="239"/>
        <v>-90.403835406637214</v>
      </c>
    </row>
    <row r="475" spans="1:23">
      <c r="A475" s="4" t="s">
        <v>290</v>
      </c>
      <c r="B475" s="5">
        <f>+B162</f>
        <v>2.5</v>
      </c>
      <c r="C475" s="5">
        <f>+C162</f>
        <v>-2.4</v>
      </c>
      <c r="D475" s="5">
        <f>+D162</f>
        <v>-7.5</v>
      </c>
      <c r="E475" s="5">
        <f>+E162</f>
        <v>-2.7</v>
      </c>
      <c r="F475" s="5">
        <f t="shared" ref="F475:V475" si="240">+E474</f>
        <v>-8</v>
      </c>
      <c r="G475" s="5"/>
      <c r="H475" s="5"/>
      <c r="I475" s="5"/>
      <c r="J475" s="5"/>
      <c r="K475" s="5"/>
      <c r="L475" s="5"/>
      <c r="M475" s="5"/>
      <c r="N475" s="5">
        <f>+F474</f>
        <v>-2.2517624434590817</v>
      </c>
      <c r="O475" s="5">
        <f t="shared" si="240"/>
        <v>-50.742593663097928</v>
      </c>
      <c r="P475" s="5">
        <f t="shared" si="240"/>
        <v>-53.22526181406176</v>
      </c>
      <c r="Q475" s="5">
        <f t="shared" si="240"/>
        <v>-60.241312339499082</v>
      </c>
      <c r="R475" s="5">
        <f t="shared" si="240"/>
        <v>-66.503168170505347</v>
      </c>
      <c r="S475" s="5">
        <f t="shared" si="240"/>
        <v>-71.163513950744317</v>
      </c>
      <c r="T475" s="5">
        <f t="shared" si="240"/>
        <v>-75.887097163100876</v>
      </c>
      <c r="U475" s="5">
        <f t="shared" si="240"/>
        <v>-80.672678586479748</v>
      </c>
      <c r="V475" s="5">
        <f t="shared" si="240"/>
        <v>-85.513332516783038</v>
      </c>
    </row>
    <row r="477" spans="1:23">
      <c r="A477" s="4" t="s">
        <v>291</v>
      </c>
      <c r="B477" s="5">
        <f t="shared" ref="B477:V477" si="241">+B70</f>
        <v>-20.399999999999999</v>
      </c>
      <c r="C477" s="5">
        <f t="shared" si="241"/>
        <v>23.1</v>
      </c>
      <c r="D477" s="5">
        <f t="shared" si="241"/>
        <v>0</v>
      </c>
      <c r="E477" s="5">
        <f t="shared" si="241"/>
        <v>-13.767022308438392</v>
      </c>
      <c r="F477" s="5">
        <f t="shared" si="241"/>
        <v>15.011749623060545</v>
      </c>
      <c r="G477" s="5"/>
      <c r="H477" s="5"/>
      <c r="I477" s="5"/>
      <c r="J477" s="5"/>
      <c r="K477" s="5"/>
      <c r="L477" s="5"/>
      <c r="M477" s="5"/>
      <c r="N477" s="5">
        <f t="shared" si="241"/>
        <v>169.14197887699311</v>
      </c>
      <c r="O477" s="5">
        <f t="shared" si="241"/>
        <v>177.41753938020588</v>
      </c>
      <c r="P477" s="5">
        <f t="shared" si="241"/>
        <v>200.80437446499695</v>
      </c>
      <c r="Q477" s="5">
        <f t="shared" si="241"/>
        <v>221.67722723501782</v>
      </c>
      <c r="R477" s="5">
        <f t="shared" si="241"/>
        <v>237.21171316914774</v>
      </c>
      <c r="S477" s="5">
        <f t="shared" si="241"/>
        <v>252.95699054366958</v>
      </c>
      <c r="T477" s="5">
        <f t="shared" si="241"/>
        <v>268.90892862159916</v>
      </c>
      <c r="U477" s="5">
        <f t="shared" si="241"/>
        <v>285.04444172261015</v>
      </c>
      <c r="V477" s="5">
        <f t="shared" si="241"/>
        <v>301.34611802212407</v>
      </c>
    </row>
    <row r="479" spans="1:23">
      <c r="A479" s="4" t="s">
        <v>292</v>
      </c>
    </row>
    <row r="481" spans="1:23">
      <c r="A481" s="18" t="s">
        <v>297</v>
      </c>
      <c r="B481" s="43" t="str">
        <f t="shared" ref="B481:V481" si="242">+B$34</f>
        <v>2011A</v>
      </c>
      <c r="C481" s="43" t="str">
        <f t="shared" si="242"/>
        <v>2012A</v>
      </c>
      <c r="D481" s="43" t="str">
        <f t="shared" si="242"/>
        <v>2013A</v>
      </c>
      <c r="E481" s="43" t="str">
        <f t="shared" si="242"/>
        <v>2014A</v>
      </c>
      <c r="F481" s="43" t="str">
        <f t="shared" si="242"/>
        <v>2015E</v>
      </c>
      <c r="G481" s="209"/>
      <c r="H481" s="209"/>
      <c r="I481" s="209"/>
      <c r="J481" s="209"/>
      <c r="K481" s="209"/>
      <c r="L481" s="209"/>
      <c r="M481" s="209"/>
      <c r="N481" s="43" t="str">
        <f t="shared" si="242"/>
        <v>2016E</v>
      </c>
      <c r="O481" s="43" t="str">
        <f t="shared" si="242"/>
        <v>2017E</v>
      </c>
      <c r="P481" s="43" t="str">
        <f t="shared" si="242"/>
        <v>2018E</v>
      </c>
      <c r="Q481" s="43" t="str">
        <f t="shared" si="242"/>
        <v>2019E</v>
      </c>
      <c r="R481" s="43" t="str">
        <f t="shared" si="242"/>
        <v>2020E</v>
      </c>
      <c r="S481" s="43" t="str">
        <f t="shared" si="242"/>
        <v>2021E</v>
      </c>
      <c r="T481" s="43" t="str">
        <f t="shared" si="242"/>
        <v>2022E</v>
      </c>
      <c r="U481" s="43" t="str">
        <f t="shared" si="242"/>
        <v>2023E</v>
      </c>
      <c r="V481" s="43" t="str">
        <f t="shared" si="242"/>
        <v>2024E</v>
      </c>
      <c r="W481" s="43"/>
    </row>
    <row r="482" spans="1:23">
      <c r="B482" s="66"/>
      <c r="C482" s="66"/>
      <c r="D482" s="66"/>
      <c r="E482" s="66"/>
      <c r="F482" s="66"/>
      <c r="G482" s="66"/>
      <c r="H482" s="66"/>
      <c r="I482" s="66"/>
      <c r="J482" s="66"/>
      <c r="K482" s="66"/>
      <c r="L482" s="66"/>
      <c r="M482" s="66"/>
      <c r="N482" s="66"/>
      <c r="O482" s="66"/>
      <c r="P482" s="66"/>
      <c r="Q482" s="66"/>
      <c r="R482" s="66"/>
      <c r="S482" s="66"/>
      <c r="T482" s="66"/>
      <c r="W482" s="67"/>
    </row>
    <row r="483" spans="1:23">
      <c r="A483" s="66" t="s">
        <v>281</v>
      </c>
      <c r="B483" s="68">
        <f t="shared" ref="B483:V483" si="243">+B55</f>
        <v>78.400000000000006</v>
      </c>
      <c r="C483" s="68">
        <f t="shared" si="243"/>
        <v>87.1</v>
      </c>
      <c r="D483" s="68">
        <f t="shared" si="243"/>
        <v>88.1</v>
      </c>
      <c r="E483" s="68">
        <f t="shared" si="243"/>
        <v>99.032977691561598</v>
      </c>
      <c r="F483" s="68">
        <f t="shared" si="243"/>
        <v>105.42774962306055</v>
      </c>
      <c r="G483" s="68"/>
      <c r="H483" s="68"/>
      <c r="I483" s="68"/>
      <c r="J483" s="68"/>
      <c r="K483" s="68"/>
      <c r="L483" s="68"/>
      <c r="M483" s="68"/>
      <c r="N483" s="68">
        <f t="shared" si="243"/>
        <v>262.42972608363169</v>
      </c>
      <c r="O483" s="68">
        <f t="shared" si="243"/>
        <v>283.36291791583903</v>
      </c>
      <c r="P483" s="68">
        <f t="shared" si="243"/>
        <v>309.53259167382816</v>
      </c>
      <c r="Q483" s="68">
        <f t="shared" si="243"/>
        <v>332.9251919048873</v>
      </c>
      <c r="R483" s="68">
        <f t="shared" si="243"/>
        <v>355.8493129132699</v>
      </c>
      <c r="S483" s="68">
        <f t="shared" si="243"/>
        <v>378.85602287005554</v>
      </c>
      <c r="T483" s="68">
        <f t="shared" si="243"/>
        <v>401.95758119493649</v>
      </c>
      <c r="U483" s="68">
        <f t="shared" si="243"/>
        <v>425.16733485421281</v>
      </c>
      <c r="V483" s="68">
        <f t="shared" si="243"/>
        <v>448.49814594385691</v>
      </c>
      <c r="W483" s="68"/>
    </row>
    <row r="484" spans="1:23">
      <c r="A484" s="66" t="s">
        <v>298</v>
      </c>
      <c r="B484" s="68">
        <f t="shared" ref="B484:V484" si="244">+B62</f>
        <v>-57.4</v>
      </c>
      <c r="C484" s="68">
        <f t="shared" si="244"/>
        <v>-62.9</v>
      </c>
      <c r="D484" s="68">
        <f t="shared" si="244"/>
        <v>-62.8</v>
      </c>
      <c r="E484" s="68">
        <f t="shared" si="244"/>
        <v>-50.8</v>
      </c>
      <c r="F484" s="68">
        <f t="shared" si="244"/>
        <v>-61.980000000000004</v>
      </c>
      <c r="G484" s="68"/>
      <c r="H484" s="68"/>
      <c r="I484" s="68"/>
      <c r="J484" s="68"/>
      <c r="K484" s="68"/>
      <c r="L484" s="68"/>
      <c r="M484" s="68"/>
      <c r="N484" s="68">
        <f t="shared" si="244"/>
        <v>-71.984000000000009</v>
      </c>
      <c r="O484" s="68">
        <f t="shared" si="244"/>
        <v>-85.121325747824585</v>
      </c>
      <c r="P484" s="68">
        <f t="shared" si="244"/>
        <v>-87.698674082582556</v>
      </c>
      <c r="Q484" s="68">
        <f t="shared" si="244"/>
        <v>-90.083647793908469</v>
      </c>
      <c r="R484" s="68">
        <f t="shared" si="244"/>
        <v>-97.299834189263336</v>
      </c>
      <c r="S484" s="68">
        <f t="shared" si="244"/>
        <v>-104.35700310278584</v>
      </c>
      <c r="T484" s="68">
        <f t="shared" si="244"/>
        <v>-111.29821290665002</v>
      </c>
      <c r="U484" s="68">
        <f t="shared" si="244"/>
        <v>-118.15891473213806</v>
      </c>
      <c r="V484" s="68">
        <f t="shared" si="244"/>
        <v>-124.96845277598058</v>
      </c>
      <c r="W484" s="68"/>
    </row>
    <row r="485" spans="1:23">
      <c r="A485" s="66" t="s">
        <v>299</v>
      </c>
      <c r="B485" s="68">
        <f t="shared" ref="B485:V485" si="245">+B68</f>
        <v>-34.9</v>
      </c>
      <c r="C485" s="68">
        <f t="shared" si="245"/>
        <v>-32.299999999999997</v>
      </c>
      <c r="D485" s="68">
        <f t="shared" si="245"/>
        <v>-28.3</v>
      </c>
      <c r="E485" s="68">
        <f t="shared" si="245"/>
        <v>-45.8</v>
      </c>
      <c r="F485" s="68">
        <f t="shared" si="245"/>
        <v>-18.558</v>
      </c>
      <c r="G485" s="68"/>
      <c r="H485" s="68"/>
      <c r="I485" s="68"/>
      <c r="J485" s="68"/>
      <c r="K485" s="68"/>
      <c r="L485" s="68"/>
      <c r="M485" s="68"/>
      <c r="N485" s="68">
        <f t="shared" si="245"/>
        <v>-21.933</v>
      </c>
      <c r="O485" s="68">
        <f t="shared" si="245"/>
        <v>-21.933</v>
      </c>
      <c r="P485" s="68">
        <f t="shared" si="245"/>
        <v>-21.933</v>
      </c>
      <c r="Q485" s="68">
        <f t="shared" si="245"/>
        <v>-21.933</v>
      </c>
      <c r="R485" s="68">
        <f t="shared" si="245"/>
        <v>-21.933</v>
      </c>
      <c r="S485" s="68">
        <f t="shared" si="245"/>
        <v>-21.933</v>
      </c>
      <c r="T485" s="68">
        <f t="shared" si="245"/>
        <v>-21.933</v>
      </c>
      <c r="U485" s="68">
        <f t="shared" si="245"/>
        <v>-21.933</v>
      </c>
      <c r="V485" s="68">
        <f t="shared" si="245"/>
        <v>-21.933</v>
      </c>
      <c r="W485" s="68"/>
    </row>
    <row r="486" spans="1:23">
      <c r="A486" s="66" t="s">
        <v>300</v>
      </c>
      <c r="B486" s="68">
        <v>0</v>
      </c>
      <c r="C486" s="68">
        <v>0</v>
      </c>
      <c r="D486" s="68">
        <v>0</v>
      </c>
      <c r="E486" s="68">
        <v>0</v>
      </c>
      <c r="F486" s="68">
        <v>0</v>
      </c>
      <c r="G486" s="68"/>
      <c r="H486" s="68"/>
      <c r="I486" s="68"/>
      <c r="J486" s="68"/>
      <c r="K486" s="68"/>
      <c r="L486" s="68"/>
      <c r="M486" s="68"/>
      <c r="N486" s="68">
        <v>0</v>
      </c>
      <c r="O486" s="68">
        <v>0</v>
      </c>
      <c r="P486" s="68">
        <v>0</v>
      </c>
      <c r="Q486" s="68">
        <v>0</v>
      </c>
      <c r="R486" s="68">
        <v>0</v>
      </c>
      <c r="S486" s="68">
        <v>0</v>
      </c>
      <c r="T486" s="68">
        <v>0</v>
      </c>
      <c r="U486" s="68">
        <v>0</v>
      </c>
      <c r="V486" s="68">
        <v>0</v>
      </c>
      <c r="W486" s="68"/>
    </row>
    <row r="487" spans="1:23">
      <c r="A487" s="66" t="s">
        <v>301</v>
      </c>
      <c r="B487" s="68">
        <f t="shared" ref="B487:V487" si="246">MIN(0,B477*-0.3)</f>
        <v>0</v>
      </c>
      <c r="C487" s="68">
        <f t="shared" si="246"/>
        <v>-6.9300000000000006</v>
      </c>
      <c r="D487" s="68">
        <f t="shared" si="246"/>
        <v>0</v>
      </c>
      <c r="E487" s="68">
        <f t="shared" si="246"/>
        <v>0</v>
      </c>
      <c r="F487" s="68">
        <f t="shared" si="246"/>
        <v>-4.5035248869181634</v>
      </c>
      <c r="G487" s="68"/>
      <c r="H487" s="68"/>
      <c r="I487" s="68"/>
      <c r="J487" s="68"/>
      <c r="K487" s="68"/>
      <c r="L487" s="68"/>
      <c r="M487" s="68"/>
      <c r="N487" s="68">
        <f t="shared" si="246"/>
        <v>-50.742593663097928</v>
      </c>
      <c r="O487" s="68">
        <f t="shared" si="246"/>
        <v>-53.22526181406176</v>
      </c>
      <c r="P487" s="68">
        <f t="shared" si="246"/>
        <v>-60.241312339499082</v>
      </c>
      <c r="Q487" s="68">
        <f t="shared" si="246"/>
        <v>-66.503168170505347</v>
      </c>
      <c r="R487" s="68">
        <f t="shared" si="246"/>
        <v>-71.163513950744317</v>
      </c>
      <c r="S487" s="68">
        <f t="shared" si="246"/>
        <v>-75.887097163100876</v>
      </c>
      <c r="T487" s="68">
        <f t="shared" si="246"/>
        <v>-80.672678586479748</v>
      </c>
      <c r="U487" s="68">
        <f t="shared" si="246"/>
        <v>-85.513332516783038</v>
      </c>
      <c r="V487" s="68">
        <f t="shared" si="246"/>
        <v>-90.403835406637214</v>
      </c>
      <c r="W487" s="68"/>
    </row>
    <row r="488" spans="1:23">
      <c r="A488" s="66" t="s">
        <v>302</v>
      </c>
      <c r="B488" s="68">
        <f t="shared" ref="B488:V488" si="247">-B77</f>
        <v>-2.2999999999999998</v>
      </c>
      <c r="C488" s="68">
        <f t="shared" si="247"/>
        <v>-2.9</v>
      </c>
      <c r="D488" s="68">
        <f t="shared" si="247"/>
        <v>-3.3</v>
      </c>
      <c r="E488" s="68">
        <f t="shared" si="247"/>
        <v>-2.2000000000000002</v>
      </c>
      <c r="F488" s="68">
        <f t="shared" si="247"/>
        <v>-3</v>
      </c>
      <c r="G488" s="68"/>
      <c r="H488" s="68"/>
      <c r="I488" s="68"/>
      <c r="J488" s="68"/>
      <c r="K488" s="68"/>
      <c r="L488" s="68"/>
      <c r="M488" s="68"/>
      <c r="N488" s="68">
        <f t="shared" si="247"/>
        <v>-3</v>
      </c>
      <c r="O488" s="68">
        <f t="shared" si="247"/>
        <v>-3</v>
      </c>
      <c r="P488" s="68">
        <f t="shared" si="247"/>
        <v>-3</v>
      </c>
      <c r="Q488" s="68">
        <f t="shared" si="247"/>
        <v>-3</v>
      </c>
      <c r="R488" s="68">
        <f t="shared" si="247"/>
        <v>-3</v>
      </c>
      <c r="S488" s="68">
        <f t="shared" si="247"/>
        <v>-3</v>
      </c>
      <c r="T488" s="68">
        <f t="shared" si="247"/>
        <v>-3</v>
      </c>
      <c r="U488" s="68">
        <f t="shared" si="247"/>
        <v>-3</v>
      </c>
      <c r="V488" s="68">
        <f t="shared" si="247"/>
        <v>-3</v>
      </c>
      <c r="W488" s="68"/>
    </row>
    <row r="489" spans="1:23">
      <c r="A489" s="69" t="s">
        <v>303</v>
      </c>
      <c r="B489" s="70">
        <f t="shared" ref="B489:V489" si="248">SUM(B483:B488)</f>
        <v>-16.199999999999992</v>
      </c>
      <c r="C489" s="70">
        <f t="shared" si="248"/>
        <v>-17.93</v>
      </c>
      <c r="D489" s="70">
        <f t="shared" si="248"/>
        <v>-6.3000000000000034</v>
      </c>
      <c r="E489" s="70">
        <f t="shared" si="248"/>
        <v>0.23297769156160353</v>
      </c>
      <c r="F489" s="70">
        <f t="shared" si="248"/>
        <v>17.386224736142381</v>
      </c>
      <c r="G489" s="352"/>
      <c r="H489" s="352"/>
      <c r="I489" s="352"/>
      <c r="J489" s="352"/>
      <c r="K489" s="352"/>
      <c r="L489" s="352"/>
      <c r="M489" s="352"/>
      <c r="N489" s="70">
        <f t="shared" si="248"/>
        <v>114.77013242053377</v>
      </c>
      <c r="O489" s="70">
        <f t="shared" si="248"/>
        <v>120.0833303539527</v>
      </c>
      <c r="P489" s="70">
        <f t="shared" si="248"/>
        <v>136.65960525174654</v>
      </c>
      <c r="Q489" s="70">
        <f t="shared" si="248"/>
        <v>151.40537594047348</v>
      </c>
      <c r="R489" s="70">
        <f t="shared" si="248"/>
        <v>162.45296477326227</v>
      </c>
      <c r="S489" s="70">
        <f t="shared" si="248"/>
        <v>173.67892260416886</v>
      </c>
      <c r="T489" s="70">
        <f t="shared" si="248"/>
        <v>185.05368970180675</v>
      </c>
      <c r="U489" s="70">
        <f t="shared" si="248"/>
        <v>196.56208760529174</v>
      </c>
      <c r="V489" s="70">
        <f t="shared" si="248"/>
        <v>208.19285776123911</v>
      </c>
      <c r="W489" s="70"/>
    </row>
    <row r="490" spans="1:23">
      <c r="A490" s="66" t="s">
        <v>304</v>
      </c>
      <c r="B490" s="71">
        <f t="shared" ref="B490:V490" si="249">+B489/B499</f>
        <v>-0.28571428571428559</v>
      </c>
      <c r="C490" s="71">
        <f t="shared" si="249"/>
        <v>-0.31622574955908289</v>
      </c>
      <c r="D490" s="71">
        <f t="shared" si="249"/>
        <v>-0.11111111111111116</v>
      </c>
      <c r="E490" s="71">
        <f t="shared" si="249"/>
        <v>4.1089539957954767E-3</v>
      </c>
      <c r="F490" s="71">
        <f t="shared" si="249"/>
        <v>0.30663535689845467</v>
      </c>
      <c r="G490" s="71"/>
      <c r="H490" s="71"/>
      <c r="I490" s="71"/>
      <c r="J490" s="71"/>
      <c r="K490" s="71"/>
      <c r="L490" s="71"/>
      <c r="M490" s="71"/>
      <c r="N490" s="71">
        <f t="shared" si="249"/>
        <v>2.0241645929547403</v>
      </c>
      <c r="O490" s="71">
        <f t="shared" si="249"/>
        <v>2.1178717875476667</v>
      </c>
      <c r="P490" s="71">
        <f t="shared" si="249"/>
        <v>2.4102223148456177</v>
      </c>
      <c r="Q490" s="71">
        <f t="shared" si="249"/>
        <v>2.6702888172923012</v>
      </c>
      <c r="R490" s="71">
        <f t="shared" si="249"/>
        <v>2.8651316538494225</v>
      </c>
      <c r="S490" s="71">
        <f t="shared" si="249"/>
        <v>3.0631203281158528</v>
      </c>
      <c r="T490" s="71">
        <f t="shared" si="249"/>
        <v>3.2637335044410358</v>
      </c>
      <c r="U490" s="71">
        <f t="shared" si="249"/>
        <v>3.4667034851021468</v>
      </c>
      <c r="V490" s="71">
        <f t="shared" si="249"/>
        <v>3.6718317065474269</v>
      </c>
      <c r="W490" s="71"/>
    </row>
    <row r="491" spans="1:23">
      <c r="A491" s="66"/>
      <c r="B491" s="66"/>
      <c r="C491" s="66"/>
      <c r="D491" s="66"/>
      <c r="E491" s="66"/>
      <c r="F491" s="66"/>
      <c r="G491" s="66"/>
      <c r="H491" s="66"/>
      <c r="I491" s="66"/>
      <c r="J491" s="66"/>
      <c r="K491" s="66"/>
      <c r="L491" s="66"/>
      <c r="M491" s="66"/>
      <c r="N491" s="66"/>
      <c r="O491" s="66"/>
      <c r="P491" s="66"/>
      <c r="Q491" s="66"/>
      <c r="R491" s="66"/>
      <c r="S491" s="66"/>
      <c r="T491" s="66"/>
      <c r="U491" s="66"/>
      <c r="V491" s="66"/>
      <c r="W491" s="66"/>
    </row>
    <row r="492" spans="1:23">
      <c r="A492" s="66" t="s">
        <v>303</v>
      </c>
      <c r="B492" s="68">
        <f t="shared" ref="B492:V492" si="250">+B489</f>
        <v>-16.199999999999992</v>
      </c>
      <c r="C492" s="68">
        <f t="shared" si="250"/>
        <v>-17.93</v>
      </c>
      <c r="D492" s="68">
        <f t="shared" si="250"/>
        <v>-6.3000000000000034</v>
      </c>
      <c r="E492" s="68">
        <f t="shared" si="250"/>
        <v>0.23297769156160353</v>
      </c>
      <c r="F492" s="68">
        <f t="shared" si="250"/>
        <v>17.386224736142381</v>
      </c>
      <c r="G492" s="68"/>
      <c r="H492" s="68"/>
      <c r="I492" s="68"/>
      <c r="J492" s="68"/>
      <c r="K492" s="68"/>
      <c r="L492" s="68"/>
      <c r="M492" s="68"/>
      <c r="N492" s="68">
        <f t="shared" si="250"/>
        <v>114.77013242053377</v>
      </c>
      <c r="O492" s="68">
        <f t="shared" si="250"/>
        <v>120.0833303539527</v>
      </c>
      <c r="P492" s="68">
        <f t="shared" si="250"/>
        <v>136.65960525174654</v>
      </c>
      <c r="Q492" s="68">
        <f t="shared" si="250"/>
        <v>151.40537594047348</v>
      </c>
      <c r="R492" s="68">
        <f t="shared" si="250"/>
        <v>162.45296477326227</v>
      </c>
      <c r="S492" s="68">
        <f t="shared" si="250"/>
        <v>173.67892260416886</v>
      </c>
      <c r="T492" s="68">
        <f t="shared" si="250"/>
        <v>185.05368970180675</v>
      </c>
      <c r="U492" s="68">
        <f t="shared" si="250"/>
        <v>196.56208760529174</v>
      </c>
      <c r="V492" s="68">
        <f t="shared" si="250"/>
        <v>208.19285776123911</v>
      </c>
      <c r="W492" s="68"/>
    </row>
    <row r="493" spans="1:23">
      <c r="A493" s="66" t="s">
        <v>305</v>
      </c>
      <c r="B493" s="68">
        <f t="shared" ref="B493:V493" si="251">-B484</f>
        <v>57.4</v>
      </c>
      <c r="C493" s="68">
        <f t="shared" si="251"/>
        <v>62.9</v>
      </c>
      <c r="D493" s="68">
        <f t="shared" si="251"/>
        <v>62.8</v>
      </c>
      <c r="E493" s="68">
        <f t="shared" si="251"/>
        <v>50.8</v>
      </c>
      <c r="F493" s="68">
        <f t="shared" si="251"/>
        <v>61.980000000000004</v>
      </c>
      <c r="G493" s="68"/>
      <c r="H493" s="68"/>
      <c r="I493" s="68"/>
      <c r="J493" s="68"/>
      <c r="K493" s="68"/>
      <c r="L493" s="68"/>
      <c r="M493" s="68"/>
      <c r="N493" s="68">
        <f t="shared" si="251"/>
        <v>71.984000000000009</v>
      </c>
      <c r="O493" s="68">
        <f t="shared" si="251"/>
        <v>85.121325747824585</v>
      </c>
      <c r="P493" s="68">
        <f t="shared" si="251"/>
        <v>87.698674082582556</v>
      </c>
      <c r="Q493" s="68">
        <f t="shared" si="251"/>
        <v>90.083647793908469</v>
      </c>
      <c r="R493" s="68">
        <f t="shared" si="251"/>
        <v>97.299834189263336</v>
      </c>
      <c r="S493" s="68">
        <f t="shared" si="251"/>
        <v>104.35700310278584</v>
      </c>
      <c r="T493" s="68">
        <f t="shared" si="251"/>
        <v>111.29821290665002</v>
      </c>
      <c r="U493" s="68">
        <f t="shared" si="251"/>
        <v>118.15891473213806</v>
      </c>
      <c r="V493" s="68">
        <f t="shared" si="251"/>
        <v>124.96845277598058</v>
      </c>
      <c r="W493" s="68"/>
    </row>
    <row r="494" spans="1:23">
      <c r="A494" s="66" t="s">
        <v>306</v>
      </c>
      <c r="B494" s="68">
        <f t="shared" ref="B494:V494" si="252">-B197</f>
        <v>-68.099999999999994</v>
      </c>
      <c r="C494" s="68">
        <f t="shared" si="252"/>
        <v>-59.6</v>
      </c>
      <c r="D494" s="68">
        <f t="shared" si="252"/>
        <v>-51.5</v>
      </c>
      <c r="E494" s="68">
        <f t="shared" si="252"/>
        <v>-84.1</v>
      </c>
      <c r="F494" s="68">
        <f t="shared" si="252"/>
        <v>-115</v>
      </c>
      <c r="G494" s="68"/>
      <c r="H494" s="68"/>
      <c r="I494" s="68"/>
      <c r="J494" s="68"/>
      <c r="K494" s="68"/>
      <c r="L494" s="68"/>
      <c r="M494" s="68"/>
      <c r="N494" s="68">
        <f t="shared" si="252"/>
        <v>-147.08828592390364</v>
      </c>
      <c r="O494" s="68">
        <f t="shared" si="252"/>
        <v>-128.76008427701808</v>
      </c>
      <c r="P494" s="68">
        <f t="shared" si="252"/>
        <v>-137.02942829901514</v>
      </c>
      <c r="Q494" s="68">
        <f t="shared" si="252"/>
        <v>-145.20572471335348</v>
      </c>
      <c r="R494" s="68">
        <f t="shared" si="252"/>
        <v>-153.23209844609477</v>
      </c>
      <c r="S494" s="68">
        <f t="shared" si="252"/>
        <v>-161.32881515263344</v>
      </c>
      <c r="T494" s="68">
        <f t="shared" si="252"/>
        <v>-169.50215254261269</v>
      </c>
      <c r="U494" s="68">
        <f t="shared" si="252"/>
        <v>-177.75825618918839</v>
      </c>
      <c r="V494" s="68">
        <f t="shared" si="252"/>
        <v>-186.10316980639334</v>
      </c>
      <c r="W494" s="68"/>
    </row>
    <row r="495" spans="1:23">
      <c r="A495" s="69" t="s">
        <v>307</v>
      </c>
      <c r="B495" s="70">
        <f t="shared" ref="B495:V495" si="253">SUM(B492:B494)</f>
        <v>-26.899999999999991</v>
      </c>
      <c r="C495" s="70">
        <f t="shared" si="253"/>
        <v>-14.630000000000003</v>
      </c>
      <c r="D495" s="70">
        <f t="shared" si="253"/>
        <v>4.9999999999999929</v>
      </c>
      <c r="E495" s="70">
        <f t="shared" si="253"/>
        <v>-33.067022308438396</v>
      </c>
      <c r="F495" s="70">
        <f t="shared" si="253"/>
        <v>-35.633775263857615</v>
      </c>
      <c r="G495" s="352"/>
      <c r="H495" s="352"/>
      <c r="I495" s="352"/>
      <c r="J495" s="352"/>
      <c r="K495" s="352"/>
      <c r="L495" s="352"/>
      <c r="M495" s="352"/>
      <c r="N495" s="70">
        <f t="shared" si="253"/>
        <v>39.665846496630138</v>
      </c>
      <c r="O495" s="70">
        <f t="shared" si="253"/>
        <v>76.444571824759208</v>
      </c>
      <c r="P495" s="70">
        <f t="shared" si="253"/>
        <v>87.32885103531396</v>
      </c>
      <c r="Q495" s="70">
        <f t="shared" si="253"/>
        <v>96.283299021028455</v>
      </c>
      <c r="R495" s="70">
        <f t="shared" si="253"/>
        <v>106.52070051643085</v>
      </c>
      <c r="S495" s="70">
        <f t="shared" si="253"/>
        <v>116.70711055432125</v>
      </c>
      <c r="T495" s="70">
        <f t="shared" si="253"/>
        <v>126.84975006584409</v>
      </c>
      <c r="U495" s="70">
        <f t="shared" si="253"/>
        <v>136.96274614824142</v>
      </c>
      <c r="V495" s="70">
        <f t="shared" si="253"/>
        <v>147.05814073082638</v>
      </c>
      <c r="W495" s="70"/>
    </row>
    <row r="496" spans="1:23">
      <c r="A496" s="50"/>
      <c r="B496" s="50"/>
      <c r="C496" s="50"/>
      <c r="D496" s="50"/>
      <c r="E496" s="50"/>
      <c r="F496" s="50"/>
      <c r="G496" s="50"/>
      <c r="H496" s="50"/>
      <c r="I496" s="50"/>
      <c r="J496" s="50"/>
      <c r="K496" s="50"/>
      <c r="L496" s="50"/>
      <c r="M496" s="50"/>
      <c r="N496" s="50"/>
      <c r="O496" s="50"/>
      <c r="P496" s="50"/>
      <c r="Q496" s="50"/>
      <c r="R496" s="50"/>
      <c r="S496" s="50"/>
      <c r="T496" s="50"/>
      <c r="U496" s="50"/>
      <c r="V496" s="50"/>
      <c r="W496" s="50"/>
    </row>
    <row r="497" spans="1:23">
      <c r="A497" s="50"/>
      <c r="B497" s="50"/>
      <c r="C497" s="50"/>
      <c r="D497" s="50"/>
      <c r="E497" s="50"/>
      <c r="F497" s="50"/>
      <c r="G497" s="50"/>
      <c r="H497" s="50"/>
      <c r="I497" s="50"/>
      <c r="J497" s="50"/>
      <c r="K497" s="50"/>
      <c r="L497" s="50"/>
      <c r="M497" s="50"/>
      <c r="N497" s="50"/>
      <c r="O497" s="50"/>
      <c r="P497" s="50"/>
      <c r="Q497" s="50"/>
      <c r="R497" s="50"/>
      <c r="S497" s="50"/>
      <c r="T497" s="50"/>
      <c r="U497" s="50"/>
      <c r="V497" s="50"/>
      <c r="W497" s="50"/>
    </row>
    <row r="498" spans="1:23">
      <c r="A498" s="50" t="s">
        <v>364</v>
      </c>
      <c r="B498" s="72">
        <v>56.7</v>
      </c>
      <c r="C498" s="72">
        <f t="shared" ref="C498:V498" si="254">+B498</f>
        <v>56.7</v>
      </c>
      <c r="D498" s="72">
        <f t="shared" si="254"/>
        <v>56.7</v>
      </c>
      <c r="E498" s="72">
        <f t="shared" si="254"/>
        <v>56.7</v>
      </c>
      <c r="F498" s="350">
        <f>N498</f>
        <v>56.7</v>
      </c>
      <c r="G498" s="350"/>
      <c r="H498" s="350"/>
      <c r="I498" s="350"/>
      <c r="J498" s="350"/>
      <c r="K498" s="350"/>
      <c r="L498" s="350"/>
      <c r="M498" s="350"/>
      <c r="N498" s="350">
        <f>Valuation!C34</f>
        <v>56.7</v>
      </c>
      <c r="O498" s="72">
        <f t="shared" si="254"/>
        <v>56.7</v>
      </c>
      <c r="P498" s="72">
        <f t="shared" si="254"/>
        <v>56.7</v>
      </c>
      <c r="Q498" s="72">
        <f t="shared" si="254"/>
        <v>56.7</v>
      </c>
      <c r="R498" s="72">
        <f t="shared" si="254"/>
        <v>56.7</v>
      </c>
      <c r="S498" s="72">
        <f t="shared" si="254"/>
        <v>56.7</v>
      </c>
      <c r="T498" s="72">
        <f t="shared" si="254"/>
        <v>56.7</v>
      </c>
      <c r="U498" s="72">
        <f t="shared" si="254"/>
        <v>56.7</v>
      </c>
      <c r="V498" s="72">
        <f t="shared" si="254"/>
        <v>56.7</v>
      </c>
      <c r="W498" s="50"/>
    </row>
    <row r="499" spans="1:23">
      <c r="A499" s="50" t="s">
        <v>308</v>
      </c>
      <c r="B499" s="50">
        <f>+B498</f>
        <v>56.7</v>
      </c>
      <c r="C499" s="50">
        <f t="shared" ref="C499:V499" si="255">AVERAGE(B498:C498)</f>
        <v>56.7</v>
      </c>
      <c r="D499" s="50">
        <f t="shared" si="255"/>
        <v>56.7</v>
      </c>
      <c r="E499" s="50">
        <f t="shared" si="255"/>
        <v>56.7</v>
      </c>
      <c r="F499" s="50">
        <f t="shared" si="255"/>
        <v>56.7</v>
      </c>
      <c r="G499" s="50"/>
      <c r="H499" s="50"/>
      <c r="I499" s="50"/>
      <c r="J499" s="50"/>
      <c r="K499" s="50"/>
      <c r="L499" s="50"/>
      <c r="M499" s="50"/>
      <c r="N499" s="50">
        <f>AVERAGE(F498:N498)</f>
        <v>56.7</v>
      </c>
      <c r="O499" s="50">
        <f t="shared" si="255"/>
        <v>56.7</v>
      </c>
      <c r="P499" s="50">
        <f t="shared" si="255"/>
        <v>56.7</v>
      </c>
      <c r="Q499" s="50">
        <f t="shared" si="255"/>
        <v>56.7</v>
      </c>
      <c r="R499" s="50">
        <f t="shared" si="255"/>
        <v>56.7</v>
      </c>
      <c r="S499" s="50">
        <f t="shared" si="255"/>
        <v>56.7</v>
      </c>
      <c r="T499" s="50">
        <f t="shared" si="255"/>
        <v>56.7</v>
      </c>
      <c r="U499" s="50">
        <f t="shared" si="255"/>
        <v>56.7</v>
      </c>
      <c r="V499" s="50">
        <f t="shared" si="255"/>
        <v>56.7</v>
      </c>
      <c r="W499" s="50"/>
    </row>
    <row r="500" spans="1:23">
      <c r="A500" s="50"/>
      <c r="B500" s="50"/>
      <c r="C500" s="50"/>
      <c r="D500" s="50"/>
      <c r="E500" s="50"/>
      <c r="F500" s="50"/>
      <c r="G500" s="50"/>
      <c r="H500" s="50"/>
      <c r="I500" s="50"/>
      <c r="J500" s="50"/>
      <c r="K500" s="50"/>
      <c r="L500" s="50"/>
      <c r="M500" s="50"/>
      <c r="N500" s="50"/>
      <c r="O500" s="50"/>
      <c r="P500" s="50"/>
      <c r="Q500" s="50"/>
      <c r="R500" s="50"/>
      <c r="S500" s="50"/>
      <c r="T500" s="50"/>
      <c r="U500" s="50"/>
      <c r="V500" s="50"/>
      <c r="W500" s="50"/>
    </row>
    <row r="501" spans="1:23">
      <c r="A501" s="50" t="s">
        <v>309</v>
      </c>
      <c r="B501" s="50"/>
      <c r="C501" s="50"/>
      <c r="D501" s="50"/>
      <c r="E501" s="50">
        <v>0</v>
      </c>
      <c r="F501" s="50">
        <v>0</v>
      </c>
      <c r="G501" s="50"/>
      <c r="H501" s="50"/>
      <c r="I501" s="50"/>
      <c r="J501" s="50"/>
      <c r="K501" s="50"/>
      <c r="L501" s="50"/>
      <c r="M501" s="50"/>
      <c r="N501" s="50">
        <v>0</v>
      </c>
      <c r="O501" s="50">
        <f t="shared" ref="O501:V501" si="256">N74*O505</f>
        <v>118.39938521389519</v>
      </c>
      <c r="P501" s="50">
        <f>O74*P505</f>
        <v>124.19227756614413</v>
      </c>
      <c r="Q501" s="50">
        <f t="shared" si="256"/>
        <v>140.56306212549788</v>
      </c>
      <c r="R501" s="50">
        <f t="shared" si="256"/>
        <v>155.17405906451248</v>
      </c>
      <c r="S501" s="50">
        <f t="shared" si="256"/>
        <v>166.04819921840343</v>
      </c>
      <c r="T501" s="50">
        <f t="shared" si="256"/>
        <v>177.06989338056871</v>
      </c>
      <c r="U501" s="50">
        <f t="shared" si="256"/>
        <v>188.23625003511941</v>
      </c>
      <c r="V501" s="50">
        <f t="shared" si="256"/>
        <v>199.53110920582711</v>
      </c>
      <c r="W501" s="50"/>
    </row>
    <row r="502" spans="1:23">
      <c r="A502" s="50" t="s">
        <v>310</v>
      </c>
      <c r="B502" s="50"/>
      <c r="C502" s="50"/>
      <c r="D502" s="50"/>
      <c r="E502" s="50"/>
      <c r="F502" s="50"/>
      <c r="G502" s="50"/>
      <c r="H502" s="50"/>
      <c r="I502" s="50"/>
      <c r="J502" s="50"/>
      <c r="K502" s="50"/>
      <c r="L502" s="50"/>
      <c r="M502" s="50"/>
      <c r="N502" s="36"/>
      <c r="O502" s="77">
        <f t="shared" ref="O502:V502" si="257">O501/O499</f>
        <v>2.0881725787283099</v>
      </c>
      <c r="P502" s="77">
        <f>P501/P499</f>
        <v>2.1903399923482207</v>
      </c>
      <c r="Q502" s="77">
        <f t="shared" si="257"/>
        <v>2.4790663514197155</v>
      </c>
      <c r="R502" s="77">
        <f t="shared" si="257"/>
        <v>2.7367558917903434</v>
      </c>
      <c r="S502" s="77">
        <f t="shared" si="257"/>
        <v>2.9285396687549103</v>
      </c>
      <c r="T502" s="77">
        <f t="shared" si="257"/>
        <v>3.1229258091811061</v>
      </c>
      <c r="U502" s="77">
        <f t="shared" si="257"/>
        <v>3.3198633163160389</v>
      </c>
      <c r="V502" s="77">
        <f t="shared" si="257"/>
        <v>3.5190671817606192</v>
      </c>
      <c r="W502" s="36"/>
    </row>
    <row r="503" spans="1:23">
      <c r="A503" s="50" t="s">
        <v>311</v>
      </c>
      <c r="B503" s="50"/>
      <c r="C503" s="50"/>
      <c r="D503" s="50"/>
      <c r="E503" s="50"/>
      <c r="F503" s="50"/>
      <c r="G503" s="50"/>
      <c r="H503" s="50"/>
      <c r="I503" s="50"/>
      <c r="J503" s="50"/>
      <c r="K503" s="50"/>
      <c r="L503" s="50"/>
      <c r="M503" s="50"/>
      <c r="N503" s="50"/>
      <c r="O503" s="38"/>
      <c r="P503" s="38"/>
      <c r="Q503" s="38"/>
      <c r="R503" s="38"/>
      <c r="S503" s="38"/>
      <c r="T503" s="38"/>
      <c r="U503" s="38"/>
      <c r="V503" s="38"/>
      <c r="W503" s="38"/>
    </row>
    <row r="504" spans="1:23">
      <c r="A504" s="50" t="s">
        <v>312</v>
      </c>
      <c r="B504" s="50"/>
      <c r="C504" s="50"/>
      <c r="D504" s="50"/>
      <c r="E504" s="50"/>
      <c r="F504" s="50"/>
      <c r="G504" s="50"/>
      <c r="H504" s="50"/>
      <c r="I504" s="50"/>
      <c r="J504" s="50"/>
      <c r="K504" s="50"/>
      <c r="L504" s="50"/>
      <c r="M504" s="50"/>
      <c r="N504" s="50"/>
      <c r="O504" s="50"/>
      <c r="P504" s="36"/>
      <c r="Q504" s="36"/>
      <c r="R504" s="36"/>
      <c r="S504" s="36"/>
      <c r="T504" s="36"/>
      <c r="U504" s="36"/>
      <c r="V504" s="36"/>
      <c r="W504" s="36"/>
    </row>
    <row r="505" spans="1:23">
      <c r="A505" s="4" t="s">
        <v>363</v>
      </c>
      <c r="O505" s="49">
        <v>1</v>
      </c>
      <c r="P505" s="49">
        <v>1</v>
      </c>
      <c r="Q505" s="49">
        <v>1</v>
      </c>
      <c r="R505" s="49">
        <v>1</v>
      </c>
      <c r="S505" s="49">
        <v>1</v>
      </c>
      <c r="T505" s="49">
        <v>1</v>
      </c>
      <c r="U505" s="49">
        <v>1</v>
      </c>
      <c r="V505" s="49">
        <v>1</v>
      </c>
    </row>
    <row r="506" spans="1:23">
      <c r="O506" s="49"/>
      <c r="P506" s="49"/>
      <c r="Q506" s="49"/>
      <c r="R506" s="49"/>
      <c r="S506" s="49"/>
      <c r="T506" s="49"/>
      <c r="U506" s="49"/>
      <c r="V506" s="49"/>
    </row>
    <row r="507" spans="1:23">
      <c r="A507" s="4" t="s">
        <v>359</v>
      </c>
      <c r="B507" s="74"/>
      <c r="C507" s="68">
        <f t="shared" ref="C507:V507" si="258">-C487</f>
        <v>6.9300000000000006</v>
      </c>
      <c r="D507" s="68">
        <f t="shared" si="258"/>
        <v>0</v>
      </c>
      <c r="E507" s="68">
        <f t="shared" si="258"/>
        <v>0</v>
      </c>
      <c r="F507" s="68">
        <f t="shared" si="258"/>
        <v>4.5035248869181634</v>
      </c>
      <c r="G507" s="68"/>
      <c r="H507" s="68"/>
      <c r="I507" s="68"/>
      <c r="J507" s="68"/>
      <c r="K507" s="68"/>
      <c r="L507" s="68"/>
      <c r="M507" s="68"/>
      <c r="N507" s="68">
        <f t="shared" si="258"/>
        <v>50.742593663097928</v>
      </c>
      <c r="O507" s="68">
        <f t="shared" si="258"/>
        <v>53.22526181406176</v>
      </c>
      <c r="P507" s="68">
        <f t="shared" si="258"/>
        <v>60.241312339499082</v>
      </c>
      <c r="Q507" s="68">
        <f t="shared" si="258"/>
        <v>66.503168170505347</v>
      </c>
      <c r="R507" s="68">
        <f t="shared" si="258"/>
        <v>71.163513950744317</v>
      </c>
      <c r="S507" s="68">
        <f t="shared" si="258"/>
        <v>75.887097163100876</v>
      </c>
      <c r="T507" s="68">
        <f t="shared" si="258"/>
        <v>80.672678586479748</v>
      </c>
      <c r="U507" s="68">
        <f t="shared" si="258"/>
        <v>85.513332516783038</v>
      </c>
      <c r="V507" s="68">
        <f t="shared" si="258"/>
        <v>90.403835406637214</v>
      </c>
    </row>
    <row r="508" spans="1:23">
      <c r="A508" s="4" t="s">
        <v>360</v>
      </c>
      <c r="B508" s="5"/>
      <c r="C508" s="68">
        <f t="shared" ref="C508:V508" si="259">-C162</f>
        <v>2.4</v>
      </c>
      <c r="D508" s="68">
        <f t="shared" si="259"/>
        <v>7.5</v>
      </c>
      <c r="E508" s="68">
        <f t="shared" si="259"/>
        <v>2.7</v>
      </c>
      <c r="F508" s="68">
        <f t="shared" si="259"/>
        <v>8</v>
      </c>
      <c r="G508" s="68"/>
      <c r="H508" s="68"/>
      <c r="I508" s="68"/>
      <c r="J508" s="68"/>
      <c r="K508" s="68"/>
      <c r="L508" s="68"/>
      <c r="M508" s="68"/>
      <c r="N508" s="68">
        <f t="shared" si="259"/>
        <v>2.2517624434590817</v>
      </c>
      <c r="O508" s="68">
        <f t="shared" si="259"/>
        <v>50.742593663097928</v>
      </c>
      <c r="P508" s="68">
        <f t="shared" si="259"/>
        <v>53.22526181406176</v>
      </c>
      <c r="Q508" s="68">
        <f t="shared" si="259"/>
        <v>60.241312339499082</v>
      </c>
      <c r="R508" s="68">
        <f t="shared" si="259"/>
        <v>66.503168170505347</v>
      </c>
      <c r="S508" s="68">
        <f t="shared" si="259"/>
        <v>71.163513950744317</v>
      </c>
      <c r="T508" s="68">
        <f t="shared" si="259"/>
        <v>75.887097163100876</v>
      </c>
      <c r="U508" s="68">
        <f t="shared" si="259"/>
        <v>80.672678586479748</v>
      </c>
      <c r="V508" s="68">
        <f t="shared" si="259"/>
        <v>85.513332516783038</v>
      </c>
    </row>
    <row r="509" spans="1:23">
      <c r="A509" s="4" t="s">
        <v>361</v>
      </c>
      <c r="C509" s="68"/>
      <c r="D509" s="68"/>
      <c r="E509" s="68">
        <f t="shared" ref="E509:V509" si="260">+E507-E508</f>
        <v>-2.7</v>
      </c>
      <c r="F509" s="68">
        <f t="shared" si="260"/>
        <v>-3.4964751130818366</v>
      </c>
      <c r="G509" s="68"/>
      <c r="H509" s="68"/>
      <c r="I509" s="68"/>
      <c r="J509" s="68"/>
      <c r="K509" s="68"/>
      <c r="L509" s="68"/>
      <c r="M509" s="68"/>
      <c r="N509" s="68">
        <f t="shared" si="260"/>
        <v>48.490831219638849</v>
      </c>
      <c r="O509" s="68">
        <f t="shared" si="260"/>
        <v>2.482668150963832</v>
      </c>
      <c r="P509" s="68">
        <f t="shared" si="260"/>
        <v>7.016050525437322</v>
      </c>
      <c r="Q509" s="68">
        <f t="shared" si="260"/>
        <v>6.2618558310062653</v>
      </c>
      <c r="R509" s="68">
        <f t="shared" si="260"/>
        <v>4.6603457802389698</v>
      </c>
      <c r="S509" s="68">
        <f t="shared" si="260"/>
        <v>4.7235832123565586</v>
      </c>
      <c r="T509" s="68">
        <f t="shared" si="260"/>
        <v>4.785581423378872</v>
      </c>
      <c r="U509" s="68">
        <f t="shared" si="260"/>
        <v>4.8406539303032901</v>
      </c>
      <c r="V509" s="68">
        <f t="shared" si="260"/>
        <v>4.8905028898541758</v>
      </c>
    </row>
    <row r="510" spans="1:23">
      <c r="A510" s="4" t="s">
        <v>362</v>
      </c>
      <c r="C510" s="68"/>
      <c r="D510" s="68"/>
      <c r="E510" s="68">
        <f>NPV(6.8%,E509:$V509)</f>
        <v>58.646828720448404</v>
      </c>
      <c r="F510" s="68">
        <f>NPV(6.8%,F509:$V509)</f>
        <v>65.334813073438895</v>
      </c>
      <c r="G510" s="68"/>
      <c r="H510" s="68"/>
      <c r="I510" s="68"/>
      <c r="J510" s="68"/>
      <c r="K510" s="68"/>
      <c r="L510" s="68"/>
      <c r="M510" s="68"/>
      <c r="N510" s="68">
        <f>NPV(6.8%,N509:$V509)</f>
        <v>73.274055475514572</v>
      </c>
      <c r="O510" s="68">
        <f>NPV(6.8%,O509:$V509)</f>
        <v>29.765860028210732</v>
      </c>
      <c r="P510" s="68">
        <f>NPV(6.8%,P509:$V509)</f>
        <v>29.30727035916523</v>
      </c>
      <c r="Q510" s="68">
        <f>NPV(6.8%,Q509:$V509)</f>
        <v>24.284114218151142</v>
      </c>
      <c r="R510" s="68">
        <f>NPV(6.8%,R509:$V509)</f>
        <v>19.673578153979157</v>
      </c>
      <c r="S510" s="68">
        <f>NPV(6.8%,S509:$V509)</f>
        <v>16.351035688210771</v>
      </c>
      <c r="T510" s="68">
        <f>NPV(6.8%,T509:$V509)</f>
        <v>12.739322902652548</v>
      </c>
      <c r="U510" s="68">
        <f>NPV(6.8%,U509:$V509)</f>
        <v>8.8200154366540495</v>
      </c>
      <c r="V510" s="68">
        <f>NPV(6.8%,V509:$V509)</f>
        <v>4.5791225560432354</v>
      </c>
    </row>
    <row r="512" spans="1:23">
      <c r="A512" s="4" t="s">
        <v>768</v>
      </c>
    </row>
    <row r="513" spans="1:25">
      <c r="A513" s="4" t="s">
        <v>769</v>
      </c>
    </row>
    <row r="514" spans="1:25">
      <c r="A514" s="4" t="s">
        <v>143</v>
      </c>
      <c r="D514" s="51">
        <v>24.4</v>
      </c>
      <c r="E514" s="51">
        <f t="shared" ref="E514:V514" si="261">+D514*1.02</f>
        <v>24.887999999999998</v>
      </c>
      <c r="F514" s="51">
        <f t="shared" si="261"/>
        <v>25.385759999999998</v>
      </c>
      <c r="G514" s="51"/>
      <c r="H514" s="51"/>
      <c r="I514" s="51"/>
      <c r="J514" s="51"/>
      <c r="K514" s="51"/>
      <c r="L514" s="51"/>
      <c r="M514" s="51"/>
      <c r="N514" s="51">
        <f>+F514*1.02</f>
        <v>25.893475199999997</v>
      </c>
      <c r="O514" s="51">
        <f t="shared" si="261"/>
        <v>26.411344703999998</v>
      </c>
      <c r="P514" s="51">
        <f t="shared" si="261"/>
        <v>26.939571598079997</v>
      </c>
      <c r="Q514" s="51">
        <f t="shared" si="261"/>
        <v>27.478363030041596</v>
      </c>
      <c r="R514" s="51">
        <f t="shared" si="261"/>
        <v>28.027930290642427</v>
      </c>
      <c r="S514" s="51">
        <f t="shared" si="261"/>
        <v>28.588488896455274</v>
      </c>
      <c r="T514" s="51">
        <f t="shared" si="261"/>
        <v>29.16025867438438</v>
      </c>
      <c r="U514" s="51">
        <f t="shared" si="261"/>
        <v>29.743463847872068</v>
      </c>
      <c r="V514" s="51">
        <f t="shared" si="261"/>
        <v>30.338333124829511</v>
      </c>
    </row>
    <row r="515" spans="1:25">
      <c r="A515" s="4" t="s">
        <v>281</v>
      </c>
      <c r="D515" s="68">
        <v>10.8</v>
      </c>
      <c r="E515" s="68">
        <f t="shared" ref="E515:V515" si="262">+E514*E516</f>
        <v>11.016</v>
      </c>
      <c r="F515" s="68">
        <f t="shared" si="262"/>
        <v>11.236320000000001</v>
      </c>
      <c r="G515" s="68"/>
      <c r="H515" s="68"/>
      <c r="I515" s="68"/>
      <c r="J515" s="68"/>
      <c r="K515" s="68"/>
      <c r="L515" s="68"/>
      <c r="M515" s="68"/>
      <c r="N515" s="68">
        <f t="shared" si="262"/>
        <v>11.461046400000001</v>
      </c>
      <c r="O515" s="68">
        <f t="shared" si="262"/>
        <v>11.690267328000001</v>
      </c>
      <c r="P515" s="68">
        <f t="shared" si="262"/>
        <v>11.92407267456</v>
      </c>
      <c r="Q515" s="68">
        <f t="shared" si="262"/>
        <v>12.1625541280512</v>
      </c>
      <c r="R515" s="68">
        <f t="shared" si="262"/>
        <v>12.405805210612224</v>
      </c>
      <c r="S515" s="68">
        <f t="shared" si="262"/>
        <v>12.653921314824467</v>
      </c>
      <c r="T515" s="68">
        <f t="shared" si="262"/>
        <v>12.906999741120957</v>
      </c>
      <c r="U515" s="68">
        <f t="shared" si="262"/>
        <v>13.165139735943375</v>
      </c>
      <c r="V515" s="68">
        <f t="shared" si="262"/>
        <v>13.428442530662243</v>
      </c>
    </row>
    <row r="516" spans="1:25" s="166" customFormat="1">
      <c r="A516" s="4" t="s">
        <v>611</v>
      </c>
      <c r="B516" s="4"/>
      <c r="C516" s="4"/>
      <c r="D516" s="40">
        <f>+D515/D514</f>
        <v>0.44262295081967218</v>
      </c>
      <c r="E516" s="49">
        <f t="shared" ref="E516:V517" si="263">+D516</f>
        <v>0.44262295081967218</v>
      </c>
      <c r="F516" s="49">
        <f t="shared" si="263"/>
        <v>0.44262295081967218</v>
      </c>
      <c r="G516" s="49"/>
      <c r="H516" s="49"/>
      <c r="I516" s="49"/>
      <c r="J516" s="49"/>
      <c r="K516" s="49"/>
      <c r="L516" s="49"/>
      <c r="M516" s="49"/>
      <c r="N516" s="49">
        <f>+F516</f>
        <v>0.44262295081967218</v>
      </c>
      <c r="O516" s="49">
        <f t="shared" si="263"/>
        <v>0.44262295081967218</v>
      </c>
      <c r="P516" s="49">
        <f t="shared" si="263"/>
        <v>0.44262295081967218</v>
      </c>
      <c r="Q516" s="49">
        <f t="shared" si="263"/>
        <v>0.44262295081967218</v>
      </c>
      <c r="R516" s="49">
        <f t="shared" si="263"/>
        <v>0.44262295081967218</v>
      </c>
      <c r="S516" s="49">
        <f t="shared" si="263"/>
        <v>0.44262295081967218</v>
      </c>
      <c r="T516" s="49">
        <f t="shared" si="263"/>
        <v>0.44262295081967218</v>
      </c>
      <c r="U516" s="49">
        <f t="shared" si="263"/>
        <v>0.44262295081967218</v>
      </c>
      <c r="V516" s="49">
        <f t="shared" si="263"/>
        <v>0.44262295081967218</v>
      </c>
      <c r="W516" s="4"/>
      <c r="X516" s="4"/>
      <c r="Y516" s="4"/>
    </row>
    <row r="517" spans="1:25">
      <c r="A517" s="4" t="s">
        <v>160</v>
      </c>
      <c r="D517" s="4">
        <v>3.5</v>
      </c>
      <c r="E517" s="51">
        <f t="shared" si="263"/>
        <v>3.5</v>
      </c>
      <c r="F517" s="51">
        <f t="shared" si="263"/>
        <v>3.5</v>
      </c>
      <c r="G517" s="51"/>
      <c r="H517" s="51"/>
      <c r="I517" s="51"/>
      <c r="J517" s="51"/>
      <c r="K517" s="51"/>
      <c r="L517" s="51"/>
      <c r="M517" s="51"/>
      <c r="N517" s="51">
        <f>+F517</f>
        <v>3.5</v>
      </c>
      <c r="O517" s="51">
        <f t="shared" si="263"/>
        <v>3.5</v>
      </c>
      <c r="P517" s="51">
        <f t="shared" si="263"/>
        <v>3.5</v>
      </c>
      <c r="Q517" s="51">
        <f t="shared" si="263"/>
        <v>3.5</v>
      </c>
      <c r="R517" s="51">
        <f t="shared" si="263"/>
        <v>3.5</v>
      </c>
      <c r="S517" s="51">
        <f t="shared" si="263"/>
        <v>3.5</v>
      </c>
      <c r="T517" s="51">
        <f t="shared" si="263"/>
        <v>3.5</v>
      </c>
      <c r="U517" s="51">
        <f t="shared" si="263"/>
        <v>3.5</v>
      </c>
      <c r="V517" s="51">
        <f t="shared" si="263"/>
        <v>3.5</v>
      </c>
    </row>
    <row r="518" spans="1:25">
      <c r="A518" s="4" t="s">
        <v>772</v>
      </c>
    </row>
    <row r="519" spans="1:25">
      <c r="A519" s="4" t="s">
        <v>143</v>
      </c>
      <c r="D519" s="4">
        <v>1.6</v>
      </c>
      <c r="E519" s="51">
        <f t="shared" ref="E519:V519" si="264">+D519*1.02</f>
        <v>1.6320000000000001</v>
      </c>
      <c r="F519" s="51">
        <f t="shared" si="264"/>
        <v>1.6646400000000001</v>
      </c>
      <c r="G519" s="51"/>
      <c r="H519" s="51"/>
      <c r="I519" s="51"/>
      <c r="J519" s="51"/>
      <c r="K519" s="51"/>
      <c r="L519" s="51"/>
      <c r="M519" s="51"/>
      <c r="N519" s="51">
        <f>+F519*1.02</f>
        <v>1.6979328000000002</v>
      </c>
      <c r="O519" s="51">
        <f t="shared" si="264"/>
        <v>1.7318914560000003</v>
      </c>
      <c r="P519" s="51">
        <f t="shared" si="264"/>
        <v>1.7665292851200003</v>
      </c>
      <c r="Q519" s="51">
        <f t="shared" si="264"/>
        <v>1.8018598708224003</v>
      </c>
      <c r="R519" s="51">
        <f t="shared" si="264"/>
        <v>1.8378970682388482</v>
      </c>
      <c r="S519" s="51">
        <f t="shared" si="264"/>
        <v>1.8746550096036252</v>
      </c>
      <c r="T519" s="51">
        <f t="shared" si="264"/>
        <v>1.9121481097956978</v>
      </c>
      <c r="U519" s="51">
        <f t="shared" si="264"/>
        <v>1.9503910719916118</v>
      </c>
      <c r="V519" s="51">
        <f t="shared" si="264"/>
        <v>1.9893988934314439</v>
      </c>
    </row>
    <row r="520" spans="1:25">
      <c r="A520" s="4" t="s">
        <v>281</v>
      </c>
      <c r="D520" s="4">
        <v>0.5</v>
      </c>
      <c r="E520" s="68">
        <f t="shared" ref="E520:V520" si="265">+E519*E521</f>
        <v>0.51</v>
      </c>
      <c r="F520" s="68">
        <f t="shared" si="265"/>
        <v>0.5202</v>
      </c>
      <c r="G520" s="68"/>
      <c r="H520" s="68"/>
      <c r="I520" s="68"/>
      <c r="J520" s="68"/>
      <c r="K520" s="68"/>
      <c r="L520" s="68"/>
      <c r="M520" s="68"/>
      <c r="N520" s="68">
        <f t="shared" si="265"/>
        <v>0.53060400000000008</v>
      </c>
      <c r="O520" s="68">
        <f t="shared" si="265"/>
        <v>0.5412160800000001</v>
      </c>
      <c r="P520" s="68">
        <f t="shared" si="265"/>
        <v>0.55204040160000012</v>
      </c>
      <c r="Q520" s="68">
        <f t="shared" si="265"/>
        <v>0.56308120963200015</v>
      </c>
      <c r="R520" s="68">
        <f t="shared" si="265"/>
        <v>0.57434283382464013</v>
      </c>
      <c r="S520" s="68">
        <f t="shared" si="265"/>
        <v>0.58582969050113287</v>
      </c>
      <c r="T520" s="68">
        <f t="shared" si="265"/>
        <v>0.59754628431115553</v>
      </c>
      <c r="U520" s="68">
        <f t="shared" si="265"/>
        <v>0.60949720999737866</v>
      </c>
      <c r="V520" s="68">
        <f t="shared" si="265"/>
        <v>0.62168715419732623</v>
      </c>
    </row>
    <row r="521" spans="1:25">
      <c r="A521" s="4" t="s">
        <v>611</v>
      </c>
      <c r="D521" s="40">
        <f>+D520/D519</f>
        <v>0.3125</v>
      </c>
      <c r="E521" s="49">
        <f t="shared" ref="E521:V522" si="266">+D521</f>
        <v>0.3125</v>
      </c>
      <c r="F521" s="49">
        <f t="shared" si="266"/>
        <v>0.3125</v>
      </c>
      <c r="G521" s="49"/>
      <c r="H521" s="49"/>
      <c r="I521" s="49"/>
      <c r="J521" s="49"/>
      <c r="K521" s="49"/>
      <c r="L521" s="49"/>
      <c r="M521" s="49"/>
      <c r="N521" s="49">
        <f>+F521</f>
        <v>0.3125</v>
      </c>
      <c r="O521" s="49">
        <f t="shared" si="266"/>
        <v>0.3125</v>
      </c>
      <c r="P521" s="49">
        <f t="shared" si="266"/>
        <v>0.3125</v>
      </c>
      <c r="Q521" s="49">
        <f t="shared" si="266"/>
        <v>0.3125</v>
      </c>
      <c r="R521" s="49">
        <f t="shared" si="266"/>
        <v>0.3125</v>
      </c>
      <c r="S521" s="49">
        <f t="shared" si="266"/>
        <v>0.3125</v>
      </c>
      <c r="T521" s="49">
        <f t="shared" si="266"/>
        <v>0.3125</v>
      </c>
      <c r="U521" s="49">
        <f t="shared" si="266"/>
        <v>0.3125</v>
      </c>
      <c r="V521" s="49">
        <f t="shared" si="266"/>
        <v>0.3125</v>
      </c>
    </row>
    <row r="522" spans="1:25">
      <c r="A522" s="4" t="s">
        <v>160</v>
      </c>
      <c r="D522" s="4">
        <v>-0.5</v>
      </c>
      <c r="E522" s="51">
        <f t="shared" si="266"/>
        <v>-0.5</v>
      </c>
      <c r="F522" s="51">
        <f t="shared" si="266"/>
        <v>-0.5</v>
      </c>
      <c r="G522" s="51"/>
      <c r="H522" s="51"/>
      <c r="I522" s="51"/>
      <c r="J522" s="51"/>
      <c r="K522" s="51"/>
      <c r="L522" s="51"/>
      <c r="M522" s="51"/>
      <c r="N522" s="51">
        <f>+F522</f>
        <v>-0.5</v>
      </c>
      <c r="O522" s="51">
        <f t="shared" si="266"/>
        <v>-0.5</v>
      </c>
      <c r="P522" s="51">
        <f t="shared" si="266"/>
        <v>-0.5</v>
      </c>
      <c r="Q522" s="51">
        <f t="shared" si="266"/>
        <v>-0.5</v>
      </c>
      <c r="R522" s="51">
        <f t="shared" si="266"/>
        <v>-0.5</v>
      </c>
      <c r="S522" s="51">
        <f t="shared" si="266"/>
        <v>-0.5</v>
      </c>
      <c r="T522" s="51">
        <f t="shared" si="266"/>
        <v>-0.5</v>
      </c>
      <c r="U522" s="51">
        <f t="shared" si="266"/>
        <v>-0.5</v>
      </c>
      <c r="V522" s="51">
        <f t="shared" si="266"/>
        <v>-0.5</v>
      </c>
    </row>
    <row r="523" spans="1:25">
      <c r="A523" s="4" t="s">
        <v>279</v>
      </c>
    </row>
    <row r="524" spans="1:25">
      <c r="A524" s="4" t="s">
        <v>281</v>
      </c>
      <c r="D524" s="68">
        <f t="shared" ref="D524:V524" si="267">+D515+D520</f>
        <v>11.3</v>
      </c>
      <c r="E524" s="68">
        <f t="shared" si="267"/>
        <v>11.526</v>
      </c>
      <c r="F524" s="68">
        <f t="shared" si="267"/>
        <v>11.756520000000002</v>
      </c>
      <c r="G524" s="68"/>
      <c r="H524" s="68"/>
      <c r="I524" s="68"/>
      <c r="J524" s="68"/>
      <c r="K524" s="68"/>
      <c r="L524" s="68"/>
      <c r="M524" s="68"/>
      <c r="N524" s="68">
        <f t="shared" si="267"/>
        <v>11.991650400000001</v>
      </c>
      <c r="O524" s="68">
        <f t="shared" si="267"/>
        <v>12.231483408000001</v>
      </c>
      <c r="P524" s="68">
        <f t="shared" si="267"/>
        <v>12.476113076159999</v>
      </c>
      <c r="Q524" s="68">
        <f t="shared" si="267"/>
        <v>12.725635337683201</v>
      </c>
      <c r="R524" s="68">
        <f t="shared" si="267"/>
        <v>12.980148044436863</v>
      </c>
      <c r="S524" s="68">
        <f t="shared" si="267"/>
        <v>13.2397510053256</v>
      </c>
      <c r="T524" s="68">
        <f t="shared" si="267"/>
        <v>13.504546025432113</v>
      </c>
      <c r="U524" s="68">
        <f t="shared" si="267"/>
        <v>13.774636945940754</v>
      </c>
      <c r="V524" s="68">
        <f t="shared" si="267"/>
        <v>14.05012968485957</v>
      </c>
    </row>
    <row r="525" spans="1:25">
      <c r="A525" s="4" t="s">
        <v>755</v>
      </c>
      <c r="D525" s="68">
        <f t="shared" ref="D525:V525" si="268">+D517+D522</f>
        <v>3</v>
      </c>
      <c r="E525" s="68">
        <f t="shared" si="268"/>
        <v>3</v>
      </c>
      <c r="F525" s="68">
        <f t="shared" si="268"/>
        <v>3</v>
      </c>
      <c r="G525" s="68"/>
      <c r="H525" s="68"/>
      <c r="I525" s="68"/>
      <c r="J525" s="68"/>
      <c r="K525" s="68"/>
      <c r="L525" s="68"/>
      <c r="M525" s="68"/>
      <c r="N525" s="68">
        <f t="shared" si="268"/>
        <v>3</v>
      </c>
      <c r="O525" s="68">
        <f t="shared" si="268"/>
        <v>3</v>
      </c>
      <c r="P525" s="68">
        <f t="shared" si="268"/>
        <v>3</v>
      </c>
      <c r="Q525" s="68">
        <f t="shared" si="268"/>
        <v>3</v>
      </c>
      <c r="R525" s="68">
        <f t="shared" si="268"/>
        <v>3</v>
      </c>
      <c r="S525" s="68">
        <f t="shared" si="268"/>
        <v>3</v>
      </c>
      <c r="T525" s="68">
        <f t="shared" si="268"/>
        <v>3</v>
      </c>
      <c r="U525" s="68">
        <f t="shared" si="268"/>
        <v>3</v>
      </c>
      <c r="V525" s="68">
        <f t="shared" si="268"/>
        <v>3</v>
      </c>
    </row>
    <row r="526" spans="1:25">
      <c r="A526" s="4" t="s">
        <v>770</v>
      </c>
      <c r="D526" s="68">
        <v>8</v>
      </c>
      <c r="E526" s="68">
        <v>8</v>
      </c>
      <c r="F526" s="68">
        <v>8</v>
      </c>
      <c r="G526" s="68"/>
      <c r="H526" s="68"/>
      <c r="I526" s="68"/>
      <c r="J526" s="68"/>
      <c r="K526" s="68"/>
      <c r="L526" s="68"/>
      <c r="M526" s="68"/>
      <c r="N526" s="68">
        <v>8</v>
      </c>
      <c r="O526" s="68">
        <v>8</v>
      </c>
      <c r="P526" s="68">
        <v>8</v>
      </c>
      <c r="Q526" s="68">
        <v>8</v>
      </c>
      <c r="R526" s="68">
        <v>8</v>
      </c>
      <c r="S526" s="68">
        <v>8</v>
      </c>
      <c r="T526" s="68">
        <v>8</v>
      </c>
      <c r="U526" s="68">
        <v>8</v>
      </c>
      <c r="V526" s="68">
        <v>8</v>
      </c>
    </row>
    <row r="527" spans="1:25">
      <c r="A527" s="4" t="s">
        <v>317</v>
      </c>
      <c r="D527" s="68">
        <f t="shared" ref="D527:V527" si="269">+D524*D526</f>
        <v>90.4</v>
      </c>
      <c r="E527" s="68">
        <f t="shared" si="269"/>
        <v>92.207999999999998</v>
      </c>
      <c r="F527" s="68">
        <f t="shared" si="269"/>
        <v>94.052160000000015</v>
      </c>
      <c r="G527" s="68"/>
      <c r="H527" s="68"/>
      <c r="I527" s="68"/>
      <c r="J527" s="68"/>
      <c r="K527" s="68"/>
      <c r="L527" s="68"/>
      <c r="M527" s="68"/>
      <c r="N527" s="68">
        <f t="shared" si="269"/>
        <v>95.933203200000008</v>
      </c>
      <c r="O527" s="68">
        <f t="shared" si="269"/>
        <v>97.851867264000006</v>
      </c>
      <c r="P527" s="68">
        <f t="shared" si="269"/>
        <v>99.808904609279992</v>
      </c>
      <c r="Q527" s="68">
        <f t="shared" si="269"/>
        <v>101.80508270146561</v>
      </c>
      <c r="R527" s="68">
        <f t="shared" si="269"/>
        <v>103.8411843554949</v>
      </c>
      <c r="S527" s="68">
        <f t="shared" si="269"/>
        <v>105.9180080426048</v>
      </c>
      <c r="T527" s="68">
        <f t="shared" si="269"/>
        <v>108.0363682034569</v>
      </c>
      <c r="U527" s="68">
        <f t="shared" si="269"/>
        <v>110.19709556752603</v>
      </c>
      <c r="V527" s="68">
        <f t="shared" si="269"/>
        <v>112.40103747887656</v>
      </c>
    </row>
    <row r="528" spans="1:25">
      <c r="A528" s="4" t="s">
        <v>315</v>
      </c>
      <c r="D528" s="68">
        <f t="shared" ref="D528:V528" si="270">+D527-D525</f>
        <v>87.4</v>
      </c>
      <c r="E528" s="68">
        <f t="shared" si="270"/>
        <v>89.207999999999998</v>
      </c>
      <c r="F528" s="68">
        <f t="shared" si="270"/>
        <v>91.052160000000015</v>
      </c>
      <c r="G528" s="68"/>
      <c r="H528" s="68"/>
      <c r="I528" s="68"/>
      <c r="J528" s="68"/>
      <c r="K528" s="68"/>
      <c r="L528" s="68"/>
      <c r="M528" s="68"/>
      <c r="N528" s="68">
        <f t="shared" si="270"/>
        <v>92.933203200000008</v>
      </c>
      <c r="O528" s="68">
        <f t="shared" si="270"/>
        <v>94.851867264000006</v>
      </c>
      <c r="P528" s="68">
        <f t="shared" si="270"/>
        <v>96.808904609279992</v>
      </c>
      <c r="Q528" s="68">
        <f t="shared" si="270"/>
        <v>98.805082701465608</v>
      </c>
      <c r="R528" s="68">
        <f t="shared" si="270"/>
        <v>100.8411843554949</v>
      </c>
      <c r="S528" s="68">
        <f t="shared" si="270"/>
        <v>102.9180080426048</v>
      </c>
      <c r="T528" s="68">
        <f t="shared" si="270"/>
        <v>105.0363682034569</v>
      </c>
      <c r="U528" s="68">
        <f t="shared" si="270"/>
        <v>107.19709556752603</v>
      </c>
      <c r="V528" s="68">
        <f t="shared" si="270"/>
        <v>109.40103747887656</v>
      </c>
    </row>
    <row r="529" spans="1:28">
      <c r="A529" s="4" t="s">
        <v>771</v>
      </c>
      <c r="D529" s="68">
        <f t="shared" ref="D529:V529" si="271">+D528*49%</f>
        <v>42.826000000000001</v>
      </c>
      <c r="E529" s="68">
        <f t="shared" si="271"/>
        <v>43.711919999999999</v>
      </c>
      <c r="F529" s="68">
        <f t="shared" si="271"/>
        <v>44.615558400000005</v>
      </c>
      <c r="G529" s="68"/>
      <c r="H529" s="68"/>
      <c r="I529" s="68"/>
      <c r="J529" s="68"/>
      <c r="K529" s="68"/>
      <c r="L529" s="68"/>
      <c r="M529" s="68"/>
      <c r="N529" s="68">
        <f t="shared" si="271"/>
        <v>45.537269568000006</v>
      </c>
      <c r="O529" s="68">
        <f t="shared" si="271"/>
        <v>46.477414959360004</v>
      </c>
      <c r="P529" s="68">
        <f t="shared" si="271"/>
        <v>47.436363258547196</v>
      </c>
      <c r="Q529" s="68">
        <f t="shared" si="271"/>
        <v>48.41449052371815</v>
      </c>
      <c r="R529" s="68">
        <f t="shared" si="271"/>
        <v>49.412180334192499</v>
      </c>
      <c r="S529" s="68">
        <f t="shared" si="271"/>
        <v>50.429823940876346</v>
      </c>
      <c r="T529" s="68">
        <f t="shared" si="271"/>
        <v>51.467820419693879</v>
      </c>
      <c r="U529" s="68">
        <f t="shared" si="271"/>
        <v>52.526576828087755</v>
      </c>
      <c r="V529" s="68">
        <f t="shared" si="271"/>
        <v>53.606508364649514</v>
      </c>
    </row>
    <row r="533" spans="1:28">
      <c r="A533" s="166"/>
      <c r="B533" s="166"/>
      <c r="C533" s="166"/>
      <c r="D533" s="166"/>
      <c r="E533" s="166"/>
      <c r="F533" s="166"/>
      <c r="G533" s="166"/>
      <c r="H533" s="166"/>
      <c r="I533" s="166"/>
      <c r="J533" s="166"/>
      <c r="K533" s="166"/>
      <c r="L533" s="166"/>
      <c r="M533" s="166"/>
      <c r="N533" s="166"/>
      <c r="O533" s="166"/>
      <c r="P533" s="166"/>
      <c r="Q533" s="166"/>
      <c r="R533" s="166"/>
      <c r="S533" s="166"/>
      <c r="T533" s="166"/>
      <c r="U533" s="166"/>
      <c r="V533" s="166"/>
      <c r="W533" s="166"/>
      <c r="X533" s="166"/>
      <c r="Y533" s="166"/>
    </row>
    <row r="534" spans="1:28">
      <c r="A534" s="4" t="s">
        <v>666</v>
      </c>
    </row>
    <row r="535" spans="1:28">
      <c r="A535" s="18" t="str">
        <f t="shared" ref="A535:V545" si="272">+A3</f>
        <v>Summary €m</v>
      </c>
      <c r="B535" s="43" t="str">
        <f t="shared" si="272"/>
        <v>2011A</v>
      </c>
      <c r="C535" s="43" t="str">
        <f t="shared" si="272"/>
        <v>2012A</v>
      </c>
      <c r="D535" s="43" t="str">
        <f t="shared" si="272"/>
        <v>2013A</v>
      </c>
      <c r="E535" s="43" t="str">
        <f t="shared" si="272"/>
        <v>2014A</v>
      </c>
      <c r="F535" s="43" t="str">
        <f t="shared" si="272"/>
        <v>2015E</v>
      </c>
      <c r="G535" s="209"/>
      <c r="H535" s="209"/>
      <c r="I535" s="209"/>
      <c r="J535" s="209"/>
      <c r="K535" s="209"/>
      <c r="L535" s="209"/>
      <c r="M535" s="209"/>
      <c r="N535" s="43" t="str">
        <f t="shared" si="272"/>
        <v>2016E</v>
      </c>
      <c r="O535" s="43" t="str">
        <f t="shared" si="272"/>
        <v>2017E</v>
      </c>
      <c r="P535" s="43" t="str">
        <f t="shared" si="272"/>
        <v>2018E</v>
      </c>
      <c r="Q535" s="43" t="str">
        <f t="shared" si="272"/>
        <v>2019E</v>
      </c>
      <c r="R535" s="43" t="str">
        <f t="shared" si="272"/>
        <v>2020E</v>
      </c>
      <c r="S535" s="43" t="str">
        <f t="shared" si="272"/>
        <v>2021E</v>
      </c>
      <c r="T535" s="43" t="str">
        <f t="shared" si="272"/>
        <v>2022E</v>
      </c>
      <c r="U535" s="43" t="str">
        <f t="shared" si="272"/>
        <v>2023E</v>
      </c>
      <c r="V535" s="43" t="str">
        <f t="shared" si="272"/>
        <v>2024E</v>
      </c>
    </row>
    <row r="536" spans="1:28">
      <c r="A536" s="81" t="str">
        <f t="shared" si="272"/>
        <v>Revenues</v>
      </c>
      <c r="B536" s="161">
        <f t="shared" si="272"/>
        <v>204.7</v>
      </c>
      <c r="C536" s="161">
        <f t="shared" si="272"/>
        <v>205.3</v>
      </c>
      <c r="D536" s="161">
        <f t="shared" si="272"/>
        <v>206.2</v>
      </c>
      <c r="E536" s="161">
        <f t="shared" si="272"/>
        <v>213</v>
      </c>
      <c r="F536" s="161">
        <f t="shared" si="272"/>
        <v>222.1912219231572</v>
      </c>
      <c r="G536" s="161"/>
      <c r="H536" s="161"/>
      <c r="I536" s="161"/>
      <c r="J536" s="161"/>
      <c r="K536" s="161"/>
      <c r="L536" s="161"/>
      <c r="M536" s="161"/>
      <c r="N536" s="161">
        <f t="shared" si="272"/>
        <v>490.29428641301212</v>
      </c>
      <c r="O536" s="161">
        <f t="shared" si="272"/>
        <v>515.04033710807232</v>
      </c>
      <c r="P536" s="161">
        <f t="shared" si="272"/>
        <v>548.11771319606055</v>
      </c>
      <c r="Q536" s="161">
        <f t="shared" si="272"/>
        <v>580.8228988534139</v>
      </c>
      <c r="R536" s="161">
        <f t="shared" si="272"/>
        <v>612.92839378437907</v>
      </c>
      <c r="S536" s="161">
        <f t="shared" si="272"/>
        <v>645.31526061053376</v>
      </c>
      <c r="T536" s="161">
        <f t="shared" si="272"/>
        <v>678.00861017045077</v>
      </c>
      <c r="U536" s="161">
        <f t="shared" si="272"/>
        <v>711.03302475675355</v>
      </c>
      <c r="V536" s="161">
        <f t="shared" si="272"/>
        <v>744.41267922557336</v>
      </c>
    </row>
    <row r="537" spans="1:28">
      <c r="A537" s="4" t="str">
        <f t="shared" si="272"/>
        <v>YoY</v>
      </c>
      <c r="B537" s="4">
        <f t="shared" si="272"/>
        <v>0</v>
      </c>
      <c r="C537" s="38">
        <f t="shared" si="272"/>
        <v>2.9311187103078229E-3</v>
      </c>
      <c r="D537" s="38">
        <f t="shared" si="272"/>
        <v>4.3838285435946478E-3</v>
      </c>
      <c r="E537" s="38">
        <f t="shared" si="272"/>
        <v>3.2977691561590694E-2</v>
      </c>
      <c r="F537" s="38">
        <f t="shared" si="272"/>
        <v>4.3151276634540769E-2</v>
      </c>
      <c r="G537" s="38"/>
      <c r="H537" s="38"/>
      <c r="I537" s="38"/>
      <c r="J537" s="38"/>
      <c r="K537" s="38"/>
      <c r="L537" s="38"/>
      <c r="M537" s="38"/>
      <c r="N537" s="38">
        <f t="shared" si="272"/>
        <v>8.8596452478514109E-2</v>
      </c>
      <c r="O537" s="38">
        <f t="shared" si="272"/>
        <v>5.0471831675017231E-2</v>
      </c>
      <c r="P537" s="38">
        <f t="shared" si="272"/>
        <v>6.4222884509815614E-2</v>
      </c>
      <c r="Q537" s="38">
        <f t="shared" si="272"/>
        <v>5.9668178695868601E-2</v>
      </c>
      <c r="R537" s="38">
        <f t="shared" si="272"/>
        <v>5.5275876681762481E-2</v>
      </c>
      <c r="S537" s="38">
        <f t="shared" si="272"/>
        <v>5.2839560305225408E-2</v>
      </c>
      <c r="T537" s="38">
        <f t="shared" si="272"/>
        <v>5.066260098821429E-2</v>
      </c>
      <c r="U537" s="38">
        <f t="shared" si="272"/>
        <v>4.8707957525790713E-2</v>
      </c>
      <c r="V537" s="38">
        <f t="shared" si="272"/>
        <v>4.6945294109565605E-2</v>
      </c>
    </row>
    <row r="538" spans="1:28">
      <c r="A538" s="81" t="str">
        <f t="shared" si="272"/>
        <v>EBITDA adjusted</v>
      </c>
      <c r="B538" s="161">
        <f t="shared" si="272"/>
        <v>78.400000000000006</v>
      </c>
      <c r="C538" s="161">
        <f t="shared" si="272"/>
        <v>87.1</v>
      </c>
      <c r="D538" s="161">
        <f t="shared" si="272"/>
        <v>88.1</v>
      </c>
      <c r="E538" s="161">
        <f t="shared" si="272"/>
        <v>99.032977691561598</v>
      </c>
      <c r="F538" s="161">
        <f t="shared" si="272"/>
        <v>105.42774962306055</v>
      </c>
      <c r="G538" s="161"/>
      <c r="H538" s="161"/>
      <c r="I538" s="161"/>
      <c r="J538" s="161"/>
      <c r="K538" s="161"/>
      <c r="L538" s="161"/>
      <c r="M538" s="161"/>
      <c r="N538" s="161">
        <f t="shared" si="272"/>
        <v>262.42972608363169</v>
      </c>
      <c r="O538" s="161">
        <f t="shared" si="272"/>
        <v>283.36291791583903</v>
      </c>
      <c r="P538" s="161">
        <f t="shared" si="272"/>
        <v>309.53259167382816</v>
      </c>
      <c r="Q538" s="161">
        <f t="shared" si="272"/>
        <v>332.9251919048873</v>
      </c>
      <c r="R538" s="161">
        <f t="shared" si="272"/>
        <v>355.8493129132699</v>
      </c>
      <c r="S538" s="161">
        <f t="shared" si="272"/>
        <v>378.85602287005554</v>
      </c>
      <c r="T538" s="161">
        <f t="shared" si="272"/>
        <v>401.95758119493649</v>
      </c>
      <c r="U538" s="161">
        <f t="shared" si="272"/>
        <v>425.16733485421281</v>
      </c>
      <c r="V538" s="161">
        <f t="shared" si="272"/>
        <v>448.49814594385691</v>
      </c>
    </row>
    <row r="539" spans="1:28">
      <c r="A539" s="4" t="str">
        <f t="shared" si="272"/>
        <v>YoY</v>
      </c>
      <c r="C539" s="38">
        <f t="shared" si="272"/>
        <v>0.1109693877551019</v>
      </c>
      <c r="D539" s="38">
        <f t="shared" si="272"/>
        <v>1.1481056257175659E-2</v>
      </c>
      <c r="E539" s="38">
        <f t="shared" si="272"/>
        <v>0.12409736312782749</v>
      </c>
      <c r="F539" s="38">
        <f t="shared" si="272"/>
        <v>6.4572146375477812E-2</v>
      </c>
      <c r="G539" s="38"/>
      <c r="H539" s="38"/>
      <c r="I539" s="38"/>
      <c r="J539" s="38"/>
      <c r="K539" s="38"/>
      <c r="L539" s="38"/>
      <c r="M539" s="38"/>
      <c r="N539" s="38">
        <f t="shared" si="272"/>
        <v>0.21761456027169901</v>
      </c>
      <c r="O539" s="38">
        <f t="shared" si="272"/>
        <v>7.9766847089328241E-2</v>
      </c>
      <c r="P539" s="38">
        <f t="shared" si="272"/>
        <v>9.2353911197942118E-2</v>
      </c>
      <c r="Q539" s="38">
        <f t="shared" si="272"/>
        <v>7.5573948786980205E-2</v>
      </c>
      <c r="R539" s="38">
        <f t="shared" si="272"/>
        <v>6.885667280754082E-2</v>
      </c>
      <c r="S539" s="38">
        <f t="shared" si="272"/>
        <v>6.4652955961707947E-2</v>
      </c>
      <c r="T539" s="38">
        <f t="shared" si="272"/>
        <v>6.0977144166465047E-2</v>
      </c>
      <c r="U539" s="38">
        <f t="shared" si="272"/>
        <v>5.7741798500922759E-2</v>
      </c>
      <c r="V539" s="38">
        <f t="shared" si="272"/>
        <v>5.4874420438823401E-2</v>
      </c>
    </row>
    <row r="540" spans="1:28">
      <c r="A540" s="81" t="str">
        <f t="shared" si="272"/>
        <v>Margin</v>
      </c>
      <c r="B540" s="162">
        <f t="shared" si="272"/>
        <v>0.38299951148021499</v>
      </c>
      <c r="C540" s="162">
        <f t="shared" si="272"/>
        <v>0.42425718460789086</v>
      </c>
      <c r="D540" s="162">
        <f t="shared" si="272"/>
        <v>0.42725509214354995</v>
      </c>
      <c r="E540" s="162">
        <f t="shared" si="272"/>
        <v>0.4649435572373784</v>
      </c>
      <c r="F540" s="162">
        <f t="shared" si="272"/>
        <v>0.47449106544596875</v>
      </c>
      <c r="G540" s="162"/>
      <c r="H540" s="162"/>
      <c r="I540" s="162"/>
      <c r="J540" s="162"/>
      <c r="K540" s="162"/>
      <c r="L540" s="162"/>
      <c r="M540" s="162"/>
      <c r="N540" s="162">
        <f t="shared" si="272"/>
        <v>0.53524940705217028</v>
      </c>
      <c r="O540" s="162">
        <f t="shared" si="272"/>
        <v>0.55017616582597917</v>
      </c>
      <c r="P540" s="162">
        <f t="shared" si="272"/>
        <v>0.56471919119152603</v>
      </c>
      <c r="Q540" s="162">
        <f t="shared" si="272"/>
        <v>0.57319570657786656</v>
      </c>
      <c r="R540" s="162">
        <f t="shared" si="272"/>
        <v>0.58057240702484647</v>
      </c>
      <c r="S540" s="162">
        <f t="shared" si="272"/>
        <v>0.58708672488485592</v>
      </c>
      <c r="T540" s="162">
        <f t="shared" si="272"/>
        <v>0.59285026055035606</v>
      </c>
      <c r="U540" s="162">
        <f t="shared" si="272"/>
        <v>0.59795722568535237</v>
      </c>
      <c r="V540" s="162">
        <f t="shared" si="272"/>
        <v>0.60248590393494916</v>
      </c>
    </row>
    <row r="541" spans="1:28">
      <c r="A541" s="4" t="str">
        <f t="shared" si="272"/>
        <v>Capex</v>
      </c>
      <c r="B541" s="5">
        <f t="shared" si="272"/>
        <v>68.099999999999994</v>
      </c>
      <c r="C541" s="5">
        <f t="shared" si="272"/>
        <v>59.6</v>
      </c>
      <c r="D541" s="5">
        <f t="shared" si="272"/>
        <v>51.5</v>
      </c>
      <c r="E541" s="5">
        <f t="shared" si="272"/>
        <v>84.1</v>
      </c>
      <c r="F541" s="5">
        <f t="shared" si="272"/>
        <v>115</v>
      </c>
      <c r="G541" s="5"/>
      <c r="H541" s="5"/>
      <c r="I541" s="5"/>
      <c r="J541" s="5"/>
      <c r="K541" s="5"/>
      <c r="L541" s="5"/>
      <c r="M541" s="5"/>
      <c r="N541" s="5">
        <f t="shared" si="272"/>
        <v>147.08828592390364</v>
      </c>
      <c r="O541" s="5">
        <f t="shared" si="272"/>
        <v>128.76008427701808</v>
      </c>
      <c r="P541" s="5">
        <f t="shared" si="272"/>
        <v>137.02942829901514</v>
      </c>
      <c r="Q541" s="5">
        <f t="shared" si="272"/>
        <v>145.20572471335348</v>
      </c>
      <c r="R541" s="5">
        <f t="shared" si="272"/>
        <v>153.23209844609477</v>
      </c>
      <c r="S541" s="5">
        <f t="shared" si="272"/>
        <v>161.32881515263344</v>
      </c>
      <c r="T541" s="5">
        <f t="shared" si="272"/>
        <v>169.50215254261269</v>
      </c>
      <c r="U541" s="5">
        <f t="shared" si="272"/>
        <v>177.75825618918839</v>
      </c>
      <c r="V541" s="5">
        <f t="shared" si="272"/>
        <v>186.10316980639334</v>
      </c>
      <c r="AB541" s="235">
        <f>+(E541+F541+N541)/(+E536+F536+N536)</f>
        <v>0.37406127141447987</v>
      </c>
    </row>
    <row r="542" spans="1:28">
      <c r="A542" s="81" t="str">
        <f t="shared" si="272"/>
        <v>% revenues</v>
      </c>
      <c r="B542" s="162">
        <f t="shared" si="272"/>
        <v>0.33268197361993157</v>
      </c>
      <c r="C542" s="162">
        <f t="shared" si="272"/>
        <v>0.29030686799805161</v>
      </c>
      <c r="D542" s="162">
        <f t="shared" si="272"/>
        <v>0.24975751697381185</v>
      </c>
      <c r="E542" s="162">
        <f t="shared" si="272"/>
        <v>0.3948356807511737</v>
      </c>
      <c r="F542" s="162">
        <f t="shared" si="272"/>
        <v>0.51757220201872645</v>
      </c>
      <c r="G542" s="162"/>
      <c r="H542" s="162"/>
      <c r="I542" s="162"/>
      <c r="J542" s="162"/>
      <c r="K542" s="162"/>
      <c r="L542" s="162"/>
      <c r="M542" s="162"/>
      <c r="N542" s="162">
        <f t="shared" si="272"/>
        <v>0.3</v>
      </c>
      <c r="O542" s="162">
        <f t="shared" si="272"/>
        <v>0.25</v>
      </c>
      <c r="P542" s="162">
        <f t="shared" si="272"/>
        <v>0.25</v>
      </c>
      <c r="Q542" s="162">
        <f t="shared" si="272"/>
        <v>0.25</v>
      </c>
      <c r="R542" s="162">
        <f t="shared" si="272"/>
        <v>0.25</v>
      </c>
      <c r="S542" s="162">
        <f t="shared" si="272"/>
        <v>0.25</v>
      </c>
      <c r="T542" s="162">
        <f t="shared" si="272"/>
        <v>0.25</v>
      </c>
      <c r="U542" s="162">
        <f t="shared" si="272"/>
        <v>0.25</v>
      </c>
      <c r="V542" s="162">
        <f t="shared" si="272"/>
        <v>0.25</v>
      </c>
    </row>
    <row r="543" spans="1:28">
      <c r="A543" s="4" t="str">
        <f t="shared" si="272"/>
        <v>OpFCF</v>
      </c>
      <c r="B543" s="36">
        <f t="shared" si="272"/>
        <v>10.300000000000011</v>
      </c>
      <c r="C543" s="36">
        <f t="shared" si="272"/>
        <v>27.499999999999993</v>
      </c>
      <c r="D543" s="36">
        <f t="shared" si="272"/>
        <v>36.599999999999994</v>
      </c>
      <c r="E543" s="36">
        <f t="shared" si="272"/>
        <v>14.932977691561604</v>
      </c>
      <c r="F543" s="36">
        <f t="shared" si="272"/>
        <v>-9.5722503769394507</v>
      </c>
      <c r="G543" s="36"/>
      <c r="H543" s="36"/>
      <c r="I543" s="36"/>
      <c r="J543" s="36"/>
      <c r="K543" s="36"/>
      <c r="L543" s="36"/>
      <c r="M543" s="36"/>
      <c r="N543" s="36">
        <f t="shared" si="272"/>
        <v>115.34144015972805</v>
      </c>
      <c r="O543" s="36">
        <f t="shared" si="272"/>
        <v>154.60283363882095</v>
      </c>
      <c r="P543" s="36">
        <f t="shared" si="272"/>
        <v>172.50316337481303</v>
      </c>
      <c r="Q543" s="36">
        <f t="shared" si="272"/>
        <v>187.71946719153382</v>
      </c>
      <c r="R543" s="36">
        <f t="shared" si="272"/>
        <v>202.61721446717513</v>
      </c>
      <c r="S543" s="36">
        <f t="shared" si="272"/>
        <v>217.5272077174221</v>
      </c>
      <c r="T543" s="36">
        <f t="shared" si="272"/>
        <v>232.4554286523238</v>
      </c>
      <c r="U543" s="36">
        <f t="shared" si="272"/>
        <v>247.40907866502442</v>
      </c>
      <c r="V543" s="36">
        <f t="shared" si="272"/>
        <v>262.39497613746357</v>
      </c>
    </row>
    <row r="544" spans="1:28">
      <c r="A544" s="81" t="str">
        <f t="shared" si="272"/>
        <v>Margin</v>
      </c>
      <c r="B544" s="162">
        <f t="shared" si="272"/>
        <v>5.0317537860283403E-2</v>
      </c>
      <c r="C544" s="162">
        <f t="shared" si="272"/>
        <v>0.13395031660983922</v>
      </c>
      <c r="D544" s="162">
        <f t="shared" si="272"/>
        <v>0.1774975751697381</v>
      </c>
      <c r="E544" s="162">
        <f t="shared" si="272"/>
        <v>7.0107876486204715E-2</v>
      </c>
      <c r="F544" s="162">
        <f t="shared" si="272"/>
        <v>-4.3081136572757701E-2</v>
      </c>
      <c r="G544" s="162"/>
      <c r="H544" s="162"/>
      <c r="I544" s="162"/>
      <c r="J544" s="162"/>
      <c r="K544" s="162"/>
      <c r="L544" s="162"/>
      <c r="M544" s="162"/>
      <c r="N544" s="162">
        <f t="shared" si="272"/>
        <v>0.23524940705217029</v>
      </c>
      <c r="O544" s="162">
        <f t="shared" si="272"/>
        <v>0.30017616582597922</v>
      </c>
      <c r="P544" s="162">
        <f t="shared" si="272"/>
        <v>0.31471919119152608</v>
      </c>
      <c r="Q544" s="162">
        <f t="shared" si="272"/>
        <v>0.32319570657786656</v>
      </c>
      <c r="R544" s="162">
        <f t="shared" si="272"/>
        <v>0.33057240702484647</v>
      </c>
      <c r="S544" s="162">
        <f t="shared" si="272"/>
        <v>0.33708672488485592</v>
      </c>
      <c r="T544" s="162">
        <f t="shared" si="272"/>
        <v>0.342850260550356</v>
      </c>
      <c r="U544" s="162">
        <f t="shared" si="272"/>
        <v>0.34795722568535237</v>
      </c>
      <c r="V544" s="162">
        <f t="shared" si="272"/>
        <v>0.35248590393494916</v>
      </c>
    </row>
    <row r="545" spans="1:22">
      <c r="A545" s="4" t="str">
        <f t="shared" si="272"/>
        <v>Net income</v>
      </c>
      <c r="B545" s="5">
        <f t="shared" si="272"/>
        <v>-21.6</v>
      </c>
      <c r="C545" s="5">
        <f t="shared" si="272"/>
        <v>20.5</v>
      </c>
      <c r="D545" s="5">
        <f t="shared" si="272"/>
        <v>-8.6</v>
      </c>
      <c r="E545" s="5">
        <f t="shared" si="272"/>
        <v>-21.767022308438392</v>
      </c>
      <c r="F545" s="5">
        <f t="shared" si="272"/>
        <v>12.759987179601463</v>
      </c>
      <c r="G545" s="5"/>
      <c r="H545" s="5"/>
      <c r="I545" s="5"/>
      <c r="J545" s="5"/>
      <c r="K545" s="5"/>
      <c r="L545" s="5"/>
      <c r="M545" s="5"/>
      <c r="N545" s="5">
        <f t="shared" si="272"/>
        <v>118.39938521389519</v>
      </c>
      <c r="O545" s="5">
        <f t="shared" si="272"/>
        <v>124.19227756614413</v>
      </c>
      <c r="P545" s="5">
        <f t="shared" si="272"/>
        <v>140.56306212549788</v>
      </c>
      <c r="Q545" s="5">
        <f t="shared" si="272"/>
        <v>155.17405906451248</v>
      </c>
      <c r="R545" s="5">
        <f t="shared" si="272"/>
        <v>166.04819921840343</v>
      </c>
      <c r="S545" s="5">
        <f t="shared" si="272"/>
        <v>177.06989338056871</v>
      </c>
      <c r="T545" s="5">
        <f t="shared" si="272"/>
        <v>188.23625003511941</v>
      </c>
      <c r="U545" s="5">
        <f t="shared" si="272"/>
        <v>199.53110920582711</v>
      </c>
      <c r="V545" s="5">
        <f t="shared" si="272"/>
        <v>210.94228261548687</v>
      </c>
    </row>
    <row r="546" spans="1:22">
      <c r="A546" s="81" t="str">
        <f t="shared" ref="A546:A557" si="273">+A17</f>
        <v>KPIs 000s</v>
      </c>
      <c r="B546" s="81"/>
      <c r="C546" s="81"/>
      <c r="D546" s="81"/>
      <c r="E546" s="81"/>
      <c r="F546" s="81"/>
      <c r="G546" s="81"/>
      <c r="H546" s="81"/>
      <c r="I546" s="81"/>
      <c r="J546" s="81"/>
      <c r="K546" s="81"/>
      <c r="L546" s="81"/>
      <c r="M546" s="81"/>
      <c r="N546" s="81"/>
      <c r="O546" s="81"/>
      <c r="P546" s="81"/>
      <c r="Q546" s="81"/>
      <c r="R546" s="81"/>
      <c r="S546" s="81"/>
      <c r="T546" s="81"/>
      <c r="U546" s="81"/>
      <c r="V546" s="81"/>
    </row>
    <row r="547" spans="1:22">
      <c r="A547" s="4" t="str">
        <f t="shared" si="273"/>
        <v>Homes connected</v>
      </c>
      <c r="B547" s="11">
        <f t="shared" ref="B547:F548" si="274">+B18</f>
        <v>1963</v>
      </c>
      <c r="C547" s="11">
        <f t="shared" si="274"/>
        <v>1856</v>
      </c>
      <c r="D547" s="11">
        <f t="shared" si="274"/>
        <v>1749</v>
      </c>
      <c r="E547" s="11">
        <f t="shared" si="274"/>
        <v>1697</v>
      </c>
      <c r="F547" s="11">
        <f t="shared" si="274"/>
        <v>1687</v>
      </c>
      <c r="G547" s="11"/>
      <c r="H547" s="11"/>
      <c r="I547" s="11"/>
      <c r="J547" s="11"/>
      <c r="K547" s="11"/>
      <c r="L547" s="11"/>
      <c r="M547" s="11"/>
      <c r="N547" s="11">
        <f t="shared" ref="N547:P548" si="275">+N18</f>
        <v>3616</v>
      </c>
      <c r="O547" s="11">
        <f t="shared" si="275"/>
        <v>3606</v>
      </c>
      <c r="P547" s="11">
        <f t="shared" si="275"/>
        <v>3596</v>
      </c>
      <c r="Q547" s="11">
        <f t="shared" ref="Q547:V548" si="276">+Q18</f>
        <v>3586</v>
      </c>
      <c r="R547" s="11">
        <f t="shared" si="276"/>
        <v>3576</v>
      </c>
      <c r="S547" s="11">
        <f t="shared" si="276"/>
        <v>3566</v>
      </c>
      <c r="T547" s="11">
        <f t="shared" si="276"/>
        <v>3556</v>
      </c>
      <c r="U547" s="11">
        <f t="shared" si="276"/>
        <v>3546</v>
      </c>
      <c r="V547" s="11">
        <f t="shared" si="276"/>
        <v>3536</v>
      </c>
    </row>
    <row r="548" spans="1:22">
      <c r="A548" s="81" t="str">
        <f t="shared" si="273"/>
        <v>Customers</v>
      </c>
      <c r="B548" s="163">
        <f t="shared" si="274"/>
        <v>1447</v>
      </c>
      <c r="C548" s="163">
        <f t="shared" si="274"/>
        <v>1353</v>
      </c>
      <c r="D548" s="163">
        <f t="shared" si="274"/>
        <v>1302</v>
      </c>
      <c r="E548" s="163">
        <f t="shared" si="274"/>
        <v>1282</v>
      </c>
      <c r="F548" s="163">
        <f t="shared" si="274"/>
        <v>1282.8804920447849</v>
      </c>
      <c r="G548" s="163"/>
      <c r="H548" s="163"/>
      <c r="I548" s="163"/>
      <c r="J548" s="163"/>
      <c r="K548" s="163"/>
      <c r="L548" s="163"/>
      <c r="M548" s="163"/>
      <c r="N548" s="163">
        <f t="shared" si="275"/>
        <v>2518.0468668598846</v>
      </c>
      <c r="O548" s="163">
        <f t="shared" si="275"/>
        <v>2529.1132416749842</v>
      </c>
      <c r="P548" s="163">
        <f t="shared" si="275"/>
        <v>2540.0796164900844</v>
      </c>
      <c r="Q548" s="163">
        <f t="shared" si="276"/>
        <v>2550.9459913051842</v>
      </c>
      <c r="R548" s="163">
        <f t="shared" si="276"/>
        <v>2561.7123661202841</v>
      </c>
      <c r="S548" s="163">
        <f t="shared" si="276"/>
        <v>2572.378740935384</v>
      </c>
      <c r="T548" s="163">
        <f t="shared" si="276"/>
        <v>2582.9451157504836</v>
      </c>
      <c r="U548" s="163">
        <f t="shared" si="276"/>
        <v>2593.4114905655838</v>
      </c>
      <c r="V548" s="163">
        <f t="shared" si="276"/>
        <v>2603.7778653806836</v>
      </c>
    </row>
    <row r="549" spans="1:22">
      <c r="A549" s="4" t="str">
        <f t="shared" si="273"/>
        <v>RGUs</v>
      </c>
    </row>
    <row r="550" spans="1:22">
      <c r="A550" s="81" t="str">
        <f t="shared" si="273"/>
        <v>Basic video</v>
      </c>
      <c r="B550" s="163">
        <f t="shared" ref="B550:F553" si="277">+B21</f>
        <v>1538</v>
      </c>
      <c r="C550" s="163">
        <f t="shared" si="277"/>
        <v>1416</v>
      </c>
      <c r="D550" s="163">
        <f t="shared" si="277"/>
        <v>1338</v>
      </c>
      <c r="E550" s="163">
        <f t="shared" si="277"/>
        <v>1311</v>
      </c>
      <c r="F550" s="163">
        <f t="shared" si="277"/>
        <v>1281</v>
      </c>
      <c r="G550" s="163"/>
      <c r="H550" s="163"/>
      <c r="I550" s="163"/>
      <c r="J550" s="163"/>
      <c r="K550" s="163"/>
      <c r="L550" s="163"/>
      <c r="M550" s="163"/>
      <c r="N550" s="163">
        <f t="shared" ref="N550:P553" si="278">+N21</f>
        <v>2485</v>
      </c>
      <c r="O550" s="163">
        <f t="shared" si="278"/>
        <v>2465</v>
      </c>
      <c r="P550" s="163">
        <f t="shared" si="278"/>
        <v>2445</v>
      </c>
      <c r="Q550" s="163">
        <f t="shared" ref="Q550:V553" si="279">+Q21</f>
        <v>2425</v>
      </c>
      <c r="R550" s="163">
        <f t="shared" si="279"/>
        <v>2405</v>
      </c>
      <c r="S550" s="163">
        <f t="shared" si="279"/>
        <v>2385</v>
      </c>
      <c r="T550" s="163">
        <f t="shared" si="279"/>
        <v>2365</v>
      </c>
      <c r="U550" s="163">
        <f t="shared" si="279"/>
        <v>2345</v>
      </c>
      <c r="V550" s="163">
        <f t="shared" si="279"/>
        <v>2325</v>
      </c>
    </row>
    <row r="551" spans="1:22">
      <c r="A551" s="4" t="str">
        <f t="shared" si="273"/>
        <v>Premium video</v>
      </c>
      <c r="B551" s="11">
        <f t="shared" si="277"/>
        <v>142</v>
      </c>
      <c r="C551" s="11">
        <f t="shared" si="277"/>
        <v>153</v>
      </c>
      <c r="D551" s="11">
        <f t="shared" si="277"/>
        <v>164</v>
      </c>
      <c r="E551" s="11">
        <f t="shared" si="277"/>
        <v>161</v>
      </c>
      <c r="F551" s="11">
        <f t="shared" si="277"/>
        <v>181</v>
      </c>
      <c r="G551" s="11"/>
      <c r="H551" s="11"/>
      <c r="I551" s="11"/>
      <c r="J551" s="11"/>
      <c r="K551" s="11"/>
      <c r="L551" s="11"/>
      <c r="M551" s="11"/>
      <c r="N551" s="11">
        <f t="shared" si="278"/>
        <v>495</v>
      </c>
      <c r="O551" s="11">
        <f t="shared" si="278"/>
        <v>555</v>
      </c>
      <c r="P551" s="11">
        <f t="shared" si="278"/>
        <v>615</v>
      </c>
      <c r="Q551" s="11">
        <f t="shared" si="279"/>
        <v>675</v>
      </c>
      <c r="R551" s="11">
        <f t="shared" si="279"/>
        <v>735</v>
      </c>
      <c r="S551" s="11">
        <f t="shared" si="279"/>
        <v>795</v>
      </c>
      <c r="T551" s="11">
        <f t="shared" si="279"/>
        <v>855</v>
      </c>
      <c r="U551" s="11">
        <f t="shared" si="279"/>
        <v>915</v>
      </c>
      <c r="V551" s="11">
        <f t="shared" si="279"/>
        <v>975</v>
      </c>
    </row>
    <row r="552" spans="1:22">
      <c r="A552" s="81" t="str">
        <f t="shared" si="273"/>
        <v>Broadband</v>
      </c>
      <c r="B552" s="163">
        <f t="shared" si="277"/>
        <v>115</v>
      </c>
      <c r="C552" s="163">
        <f t="shared" si="277"/>
        <v>135</v>
      </c>
      <c r="D552" s="163">
        <f t="shared" si="277"/>
        <v>174</v>
      </c>
      <c r="E552" s="163">
        <f t="shared" si="277"/>
        <v>202</v>
      </c>
      <c r="F552" s="163">
        <f t="shared" si="277"/>
        <v>242</v>
      </c>
      <c r="G552" s="163"/>
      <c r="H552" s="163"/>
      <c r="I552" s="163"/>
      <c r="J552" s="163"/>
      <c r="K552" s="163"/>
      <c r="L552" s="163"/>
      <c r="M552" s="163"/>
      <c r="N552" s="163">
        <f t="shared" si="278"/>
        <v>525</v>
      </c>
      <c r="O552" s="163">
        <f t="shared" si="278"/>
        <v>585</v>
      </c>
      <c r="P552" s="163">
        <f t="shared" si="278"/>
        <v>645</v>
      </c>
      <c r="Q552" s="163">
        <f t="shared" si="279"/>
        <v>705</v>
      </c>
      <c r="R552" s="163">
        <f t="shared" si="279"/>
        <v>765</v>
      </c>
      <c r="S552" s="163">
        <f t="shared" si="279"/>
        <v>825</v>
      </c>
      <c r="T552" s="163">
        <f t="shared" si="279"/>
        <v>885</v>
      </c>
      <c r="U552" s="163">
        <f t="shared" si="279"/>
        <v>945</v>
      </c>
      <c r="V552" s="163">
        <f t="shared" si="279"/>
        <v>1005</v>
      </c>
    </row>
    <row r="553" spans="1:22">
      <c r="A553" s="4" t="str">
        <f t="shared" si="273"/>
        <v>Telephony</v>
      </c>
      <c r="B553" s="11">
        <f t="shared" si="277"/>
        <v>87</v>
      </c>
      <c r="C553" s="11">
        <f t="shared" si="277"/>
        <v>112</v>
      </c>
      <c r="D553" s="11">
        <f t="shared" si="277"/>
        <v>146</v>
      </c>
      <c r="E553" s="11">
        <f t="shared" si="277"/>
        <v>170</v>
      </c>
      <c r="F553" s="11">
        <f t="shared" si="277"/>
        <v>205</v>
      </c>
      <c r="G553" s="11"/>
      <c r="H553" s="11"/>
      <c r="I553" s="11"/>
      <c r="J553" s="11"/>
      <c r="K553" s="11"/>
      <c r="L553" s="11"/>
      <c r="M553" s="11"/>
      <c r="N553" s="11">
        <f t="shared" si="278"/>
        <v>446</v>
      </c>
      <c r="O553" s="11">
        <f t="shared" si="278"/>
        <v>491</v>
      </c>
      <c r="P553" s="11">
        <f t="shared" si="278"/>
        <v>536</v>
      </c>
      <c r="Q553" s="11">
        <f t="shared" si="279"/>
        <v>581</v>
      </c>
      <c r="R553" s="11">
        <f t="shared" si="279"/>
        <v>626</v>
      </c>
      <c r="S553" s="11">
        <f t="shared" si="279"/>
        <v>671</v>
      </c>
      <c r="T553" s="11">
        <f t="shared" si="279"/>
        <v>716</v>
      </c>
      <c r="U553" s="11">
        <f t="shared" si="279"/>
        <v>761</v>
      </c>
      <c r="V553" s="11">
        <f t="shared" si="279"/>
        <v>806</v>
      </c>
    </row>
    <row r="554" spans="1:22">
      <c r="A554" s="81" t="str">
        <f t="shared" si="273"/>
        <v>ARPU € per month</v>
      </c>
      <c r="B554" s="81"/>
      <c r="C554" s="81"/>
      <c r="D554" s="81"/>
      <c r="E554" s="81"/>
      <c r="F554" s="81"/>
      <c r="G554" s="81"/>
      <c r="H554" s="81"/>
      <c r="I554" s="81"/>
      <c r="J554" s="81"/>
      <c r="K554" s="81"/>
      <c r="L554" s="81"/>
      <c r="M554" s="81"/>
      <c r="N554" s="81"/>
      <c r="O554" s="81"/>
      <c r="P554" s="81"/>
      <c r="Q554" s="81"/>
      <c r="R554" s="81"/>
      <c r="S554" s="81"/>
      <c r="T554" s="81"/>
      <c r="U554" s="81"/>
      <c r="V554" s="81"/>
    </row>
    <row r="555" spans="1:22">
      <c r="A555" s="4" t="str">
        <f t="shared" si="273"/>
        <v>Blended video</v>
      </c>
      <c r="B555" s="36">
        <f t="shared" ref="B555:F557" si="280">+B26</f>
        <v>9.1999999999999993</v>
      </c>
      <c r="C555" s="36">
        <f t="shared" si="280"/>
        <v>9.4</v>
      </c>
      <c r="D555" s="36">
        <f t="shared" si="280"/>
        <v>9.5</v>
      </c>
      <c r="E555" s="36">
        <f t="shared" si="280"/>
        <v>9.6</v>
      </c>
      <c r="F555" s="36">
        <f t="shared" si="280"/>
        <v>9.9106001725133019</v>
      </c>
      <c r="G555" s="36"/>
      <c r="H555" s="36"/>
      <c r="I555" s="36"/>
      <c r="J555" s="36"/>
      <c r="K555" s="36"/>
      <c r="L555" s="36"/>
      <c r="M555" s="36"/>
      <c r="N555" s="36">
        <f t="shared" ref="N555:P557" si="281">+N26</f>
        <v>11.055807304290873</v>
      </c>
      <c r="O555" s="36">
        <f t="shared" si="281"/>
        <v>11.664476920942862</v>
      </c>
      <c r="P555" s="36">
        <f t="shared" si="281"/>
        <v>12.289900173397944</v>
      </c>
      <c r="Q555" s="36">
        <f t="shared" ref="Q555:V557" si="282">+Q26</f>
        <v>12.933434344629026</v>
      </c>
      <c r="R555" s="36">
        <f t="shared" si="282"/>
        <v>13.596447188953331</v>
      </c>
      <c r="S555" s="36">
        <f t="shared" si="282"/>
        <v>14.28032357052416</v>
      </c>
      <c r="T555" s="36">
        <f t="shared" si="282"/>
        <v>14.986471650232406</v>
      </c>
      <c r="U555" s="36">
        <f t="shared" si="282"/>
        <v>15.716328721612477</v>
      </c>
      <c r="V555" s="36">
        <f t="shared" si="282"/>
        <v>16.47136678074342</v>
      </c>
    </row>
    <row r="556" spans="1:22">
      <c r="A556" s="81" t="str">
        <f t="shared" si="273"/>
        <v>Blended bb/tel</v>
      </c>
      <c r="B556" s="164">
        <f t="shared" si="280"/>
        <v>21.9</v>
      </c>
      <c r="C556" s="164">
        <f t="shared" si="280"/>
        <v>21.9</v>
      </c>
      <c r="D556" s="164">
        <f t="shared" si="280"/>
        <v>22.4</v>
      </c>
      <c r="E556" s="164">
        <f t="shared" si="280"/>
        <v>22</v>
      </c>
      <c r="F556" s="164">
        <f t="shared" si="280"/>
        <v>22.22</v>
      </c>
      <c r="G556" s="164"/>
      <c r="H556" s="164"/>
      <c r="I556" s="164"/>
      <c r="J556" s="164"/>
      <c r="K556" s="164"/>
      <c r="L556" s="164"/>
      <c r="M556" s="164"/>
      <c r="N556" s="164">
        <f t="shared" si="281"/>
        <v>22.4422</v>
      </c>
      <c r="O556" s="164">
        <f t="shared" si="281"/>
        <v>22.666622</v>
      </c>
      <c r="P556" s="164">
        <f t="shared" si="281"/>
        <v>22.893288219999999</v>
      </c>
      <c r="Q556" s="164">
        <f t="shared" si="282"/>
        <v>23.007754661099995</v>
      </c>
      <c r="R556" s="164">
        <f t="shared" si="282"/>
        <v>23.007754661099995</v>
      </c>
      <c r="S556" s="164">
        <f t="shared" si="282"/>
        <v>23.007754661099995</v>
      </c>
      <c r="T556" s="164">
        <f t="shared" si="282"/>
        <v>23.007754661099995</v>
      </c>
      <c r="U556" s="164">
        <f t="shared" si="282"/>
        <v>23.007754661099995</v>
      </c>
      <c r="V556" s="164">
        <f t="shared" si="282"/>
        <v>23.007754661099995</v>
      </c>
    </row>
    <row r="557" spans="1:22">
      <c r="A557" s="4" t="str">
        <f t="shared" si="273"/>
        <v>Blended customer</v>
      </c>
      <c r="B557" s="36">
        <f t="shared" si="280"/>
        <v>11.6</v>
      </c>
      <c r="C557" s="36">
        <f t="shared" si="280"/>
        <v>12.4</v>
      </c>
      <c r="D557" s="36">
        <f t="shared" si="280"/>
        <v>13.2</v>
      </c>
      <c r="E557" s="36">
        <f t="shared" si="280"/>
        <v>13.9</v>
      </c>
      <c r="F557" s="36">
        <f t="shared" si="280"/>
        <v>13.930204717160576</v>
      </c>
      <c r="G557" s="36"/>
      <c r="H557" s="36"/>
      <c r="I557" s="36"/>
      <c r="J557" s="36"/>
      <c r="K557" s="36"/>
      <c r="L557" s="36"/>
      <c r="M557" s="36"/>
      <c r="N557" s="36">
        <f t="shared" si="281"/>
        <v>15.764549165430338</v>
      </c>
      <c r="O557" s="36">
        <f t="shared" si="281"/>
        <v>16.512267174514374</v>
      </c>
      <c r="P557" s="36">
        <f t="shared" si="281"/>
        <v>17.528027574690885</v>
      </c>
      <c r="Q557" s="36">
        <f t="shared" si="282"/>
        <v>18.523539997750749</v>
      </c>
      <c r="R557" s="36">
        <f t="shared" si="282"/>
        <v>19.491764426750915</v>
      </c>
      <c r="S557" s="36">
        <f t="shared" si="282"/>
        <v>20.4617606591978</v>
      </c>
      <c r="T557" s="36">
        <f t="shared" si="282"/>
        <v>21.434431298646874</v>
      </c>
      <c r="U557" s="36">
        <f t="shared" si="282"/>
        <v>22.4106476714874</v>
      </c>
      <c r="V557" s="36">
        <f t="shared" si="282"/>
        <v>23.391254684965102</v>
      </c>
    </row>
    <row r="559" spans="1:22">
      <c r="A559" s="18" t="str">
        <f t="shared" ref="A559:V565" si="283">+A34</f>
        <v>Consolidated income statement €m</v>
      </c>
      <c r="B559" s="43" t="str">
        <f t="shared" si="283"/>
        <v>2011A</v>
      </c>
      <c r="C559" s="43" t="str">
        <f t="shared" si="283"/>
        <v>2012A</v>
      </c>
      <c r="D559" s="43" t="str">
        <f t="shared" si="283"/>
        <v>2013A</v>
      </c>
      <c r="E559" s="43" t="str">
        <f t="shared" si="283"/>
        <v>2014A</v>
      </c>
      <c r="F559" s="43" t="str">
        <f t="shared" si="283"/>
        <v>2015E</v>
      </c>
      <c r="G559" s="209"/>
      <c r="H559" s="209"/>
      <c r="I559" s="209"/>
      <c r="J559" s="209"/>
      <c r="K559" s="209"/>
      <c r="L559" s="209"/>
      <c r="M559" s="209"/>
      <c r="N559" s="43" t="str">
        <f t="shared" si="283"/>
        <v>2016E</v>
      </c>
      <c r="O559" s="43" t="str">
        <f t="shared" si="283"/>
        <v>2017E</v>
      </c>
      <c r="P559" s="43" t="str">
        <f t="shared" si="283"/>
        <v>2018E</v>
      </c>
      <c r="Q559" s="43" t="str">
        <f t="shared" si="283"/>
        <v>2019E</v>
      </c>
      <c r="R559" s="43" t="str">
        <f t="shared" si="283"/>
        <v>2020E</v>
      </c>
      <c r="S559" s="43" t="str">
        <f t="shared" si="283"/>
        <v>2021E</v>
      </c>
      <c r="T559" s="43" t="str">
        <f t="shared" si="283"/>
        <v>2022E</v>
      </c>
      <c r="U559" s="43" t="str">
        <f t="shared" si="283"/>
        <v>2023E</v>
      </c>
      <c r="V559" s="43" t="str">
        <f t="shared" si="283"/>
        <v>2024E</v>
      </c>
    </row>
    <row r="560" spans="1:22">
      <c r="A560" s="7" t="str">
        <f t="shared" si="283"/>
        <v>Revenue</v>
      </c>
    </row>
    <row r="561" spans="1:22">
      <c r="A561" s="4" t="str">
        <f t="shared" si="283"/>
        <v>TV</v>
      </c>
      <c r="B561" s="5">
        <f t="shared" si="283"/>
        <v>159.80000000000001</v>
      </c>
      <c r="C561" s="5">
        <f t="shared" si="283"/>
        <v>151.9</v>
      </c>
      <c r="D561" s="5">
        <f t="shared" si="283"/>
        <v>145</v>
      </c>
      <c r="E561" s="5">
        <f t="shared" si="283"/>
        <v>142.5</v>
      </c>
      <c r="F561" s="5">
        <f t="shared" si="283"/>
        <v>143.94501383067166</v>
      </c>
      <c r="G561" s="5"/>
      <c r="H561" s="5"/>
      <c r="I561" s="5"/>
      <c r="J561" s="5"/>
      <c r="K561" s="5"/>
      <c r="L561" s="5"/>
      <c r="M561" s="5"/>
      <c r="N561" s="5">
        <f t="shared" si="283"/>
        <v>321.01087069046878</v>
      </c>
      <c r="O561" s="5">
        <f t="shared" si="283"/>
        <v>336.43496455200301</v>
      </c>
      <c r="P561" s="5">
        <f t="shared" si="283"/>
        <v>352.06045910830341</v>
      </c>
      <c r="Q561" s="5">
        <f t="shared" si="283"/>
        <v>367.91495155006015</v>
      </c>
      <c r="R561" s="5">
        <f t="shared" si="283"/>
        <v>384.02503953586751</v>
      </c>
      <c r="S561" s="5">
        <f t="shared" si="283"/>
        <v>400.41649941686438</v>
      </c>
      <c r="T561" s="5">
        <f t="shared" si="283"/>
        <v>417.11444203162364</v>
      </c>
      <c r="U561" s="5">
        <f t="shared" si="283"/>
        <v>434.14344967276861</v>
      </c>
      <c r="V561" s="5">
        <f t="shared" si="283"/>
        <v>451.52769719643061</v>
      </c>
    </row>
    <row r="562" spans="1:22">
      <c r="A562" s="4" t="str">
        <f t="shared" si="283"/>
        <v>Internet &amp; Telephony</v>
      </c>
      <c r="B562" s="5">
        <f t="shared" si="283"/>
        <v>27</v>
      </c>
      <c r="C562" s="5">
        <f t="shared" si="283"/>
        <v>32.299999999999997</v>
      </c>
      <c r="D562" s="5">
        <f t="shared" si="283"/>
        <v>41.6</v>
      </c>
      <c r="E562" s="5">
        <f t="shared" si="283"/>
        <v>50.4</v>
      </c>
      <c r="F562" s="5">
        <f t="shared" si="283"/>
        <v>60.246208092485546</v>
      </c>
      <c r="G562" s="5"/>
      <c r="H562" s="5"/>
      <c r="I562" s="5"/>
      <c r="J562" s="5"/>
      <c r="K562" s="5"/>
      <c r="L562" s="5"/>
      <c r="M562" s="5"/>
      <c r="N562" s="5">
        <f t="shared" si="283"/>
        <v>144.28341572254334</v>
      </c>
      <c r="O562" s="5">
        <f t="shared" si="283"/>
        <v>153.60537255606934</v>
      </c>
      <c r="P562" s="5">
        <f t="shared" si="283"/>
        <v>171.0572540877572</v>
      </c>
      <c r="Q562" s="5">
        <f t="shared" si="283"/>
        <v>187.90794730335378</v>
      </c>
      <c r="R562" s="5">
        <f t="shared" si="283"/>
        <v>203.90335424851153</v>
      </c>
      <c r="S562" s="5">
        <f t="shared" si="283"/>
        <v>219.89876119366934</v>
      </c>
      <c r="T562" s="5">
        <f t="shared" si="283"/>
        <v>235.89416813882715</v>
      </c>
      <c r="U562" s="5">
        <f t="shared" si="283"/>
        <v>251.88957508398497</v>
      </c>
      <c r="V562" s="5">
        <f t="shared" si="283"/>
        <v>267.88498202914275</v>
      </c>
    </row>
    <row r="563" spans="1:22">
      <c r="A563" s="4" t="str">
        <f t="shared" si="283"/>
        <v>Other revenue</v>
      </c>
      <c r="B563" s="5">
        <f t="shared" si="283"/>
        <v>17.899999999999999</v>
      </c>
      <c r="C563" s="5">
        <f t="shared" si="283"/>
        <v>21.2</v>
      </c>
      <c r="D563" s="5">
        <f t="shared" si="283"/>
        <v>19.7</v>
      </c>
      <c r="E563" s="5">
        <f t="shared" si="283"/>
        <v>20.100000000000001</v>
      </c>
      <c r="F563" s="5">
        <f t="shared" si="283"/>
        <v>18</v>
      </c>
      <c r="G563" s="5"/>
      <c r="H563" s="5"/>
      <c r="I563" s="5"/>
      <c r="J563" s="5"/>
      <c r="K563" s="5"/>
      <c r="L563" s="5"/>
      <c r="M563" s="5"/>
      <c r="N563" s="5">
        <f t="shared" si="283"/>
        <v>25</v>
      </c>
      <c r="O563" s="5">
        <f t="shared" si="283"/>
        <v>25</v>
      </c>
      <c r="P563" s="5">
        <f t="shared" si="283"/>
        <v>25</v>
      </c>
      <c r="Q563" s="5">
        <f t="shared" si="283"/>
        <v>25</v>
      </c>
      <c r="R563" s="5">
        <f t="shared" si="283"/>
        <v>25</v>
      </c>
      <c r="S563" s="5">
        <f t="shared" si="283"/>
        <v>25</v>
      </c>
      <c r="T563" s="5">
        <f t="shared" si="283"/>
        <v>25</v>
      </c>
      <c r="U563" s="5">
        <f t="shared" si="283"/>
        <v>25</v>
      </c>
      <c r="V563" s="5">
        <f t="shared" si="283"/>
        <v>25</v>
      </c>
    </row>
    <row r="564" spans="1:22">
      <c r="A564" s="7" t="str">
        <f t="shared" si="283"/>
        <v>Total revenue</v>
      </c>
      <c r="B564" s="9">
        <f t="shared" si="283"/>
        <v>204.7</v>
      </c>
      <c r="C564" s="9">
        <f t="shared" si="283"/>
        <v>205.3</v>
      </c>
      <c r="D564" s="9">
        <f t="shared" si="283"/>
        <v>206.2</v>
      </c>
      <c r="E564" s="9">
        <f t="shared" si="283"/>
        <v>213</v>
      </c>
      <c r="F564" s="9">
        <f t="shared" si="283"/>
        <v>222.1912219231572</v>
      </c>
      <c r="G564" s="9"/>
      <c r="H564" s="9"/>
      <c r="I564" s="9"/>
      <c r="J564" s="9"/>
      <c r="K564" s="9"/>
      <c r="L564" s="9"/>
      <c r="M564" s="9"/>
      <c r="N564" s="9">
        <f t="shared" si="283"/>
        <v>490.29428641301212</v>
      </c>
      <c r="O564" s="9">
        <f t="shared" si="283"/>
        <v>515.04033710807232</v>
      </c>
      <c r="P564" s="9">
        <f t="shared" si="283"/>
        <v>548.11771319606055</v>
      </c>
      <c r="Q564" s="9">
        <f t="shared" si="283"/>
        <v>580.8228988534139</v>
      </c>
      <c r="R564" s="9">
        <f t="shared" si="283"/>
        <v>612.92839378437907</v>
      </c>
      <c r="S564" s="9">
        <f t="shared" si="283"/>
        <v>645.31526061053376</v>
      </c>
      <c r="T564" s="9">
        <f t="shared" si="283"/>
        <v>678.00861017045077</v>
      </c>
      <c r="U564" s="9">
        <f t="shared" si="283"/>
        <v>711.03302475675355</v>
      </c>
      <c r="V564" s="9">
        <f t="shared" si="283"/>
        <v>744.41267922557336</v>
      </c>
    </row>
    <row r="565" spans="1:22">
      <c r="A565" s="6" t="str">
        <f t="shared" si="283"/>
        <v>YoY growth</v>
      </c>
      <c r="B565" s="63"/>
      <c r="C565" s="78">
        <f t="shared" si="283"/>
        <v>2.9311187103078229E-3</v>
      </c>
      <c r="D565" s="78">
        <f t="shared" si="283"/>
        <v>4.3838285435946478E-3</v>
      </c>
      <c r="E565" s="78">
        <f t="shared" si="283"/>
        <v>3.2977691561590694E-2</v>
      </c>
      <c r="F565" s="78">
        <f t="shared" si="283"/>
        <v>4.3151276634540769E-2</v>
      </c>
      <c r="G565" s="78"/>
      <c r="H565" s="78"/>
      <c r="I565" s="78"/>
      <c r="J565" s="78"/>
      <c r="K565" s="78"/>
      <c r="L565" s="78"/>
      <c r="M565" s="78"/>
      <c r="N565" s="78">
        <f t="shared" si="283"/>
        <v>8.8596452478514109E-2</v>
      </c>
      <c r="O565" s="78">
        <f t="shared" si="283"/>
        <v>5.0471831675017231E-2</v>
      </c>
      <c r="P565" s="78">
        <f t="shared" si="283"/>
        <v>6.4222884509815614E-2</v>
      </c>
      <c r="Q565" s="78">
        <f t="shared" si="283"/>
        <v>5.9668178695868601E-2</v>
      </c>
      <c r="R565" s="78">
        <f t="shared" si="283"/>
        <v>5.5275876681762481E-2</v>
      </c>
      <c r="S565" s="78">
        <f t="shared" si="283"/>
        <v>5.2839560305225408E-2</v>
      </c>
      <c r="T565" s="78">
        <f t="shared" si="283"/>
        <v>5.066260098821429E-2</v>
      </c>
      <c r="U565" s="78">
        <f t="shared" si="283"/>
        <v>4.8707957525790713E-2</v>
      </c>
      <c r="V565" s="78">
        <f t="shared" si="283"/>
        <v>4.6945294109565605E-2</v>
      </c>
    </row>
    <row r="566" spans="1:22">
      <c r="A566" s="7"/>
      <c r="B566" s="9"/>
      <c r="C566" s="9"/>
      <c r="D566" s="9"/>
      <c r="E566" s="9"/>
      <c r="F566" s="9"/>
      <c r="G566" s="9"/>
      <c r="H566" s="9"/>
      <c r="I566" s="9"/>
      <c r="J566" s="9"/>
      <c r="K566" s="9"/>
      <c r="L566" s="9"/>
      <c r="M566" s="9"/>
      <c r="N566" s="9"/>
      <c r="O566" s="9"/>
      <c r="P566" s="9"/>
      <c r="Q566" s="9"/>
      <c r="R566" s="9"/>
      <c r="S566" s="9"/>
      <c r="T566" s="9"/>
      <c r="U566" s="9"/>
      <c r="V566" s="9"/>
    </row>
    <row r="567" spans="1:22">
      <c r="A567" s="4" t="str">
        <f t="shared" ref="A567:V569" si="284">+A42</f>
        <v>Own work capitalised</v>
      </c>
      <c r="B567" s="5">
        <f t="shared" si="284"/>
        <v>6.7</v>
      </c>
      <c r="C567" s="5">
        <f t="shared" si="284"/>
        <v>7</v>
      </c>
      <c r="D567" s="5">
        <f t="shared" si="284"/>
        <v>6.9</v>
      </c>
      <c r="E567" s="5">
        <f t="shared" si="284"/>
        <v>6.6</v>
      </c>
      <c r="F567" s="5">
        <f t="shared" si="284"/>
        <v>7</v>
      </c>
      <c r="G567" s="5"/>
      <c r="H567" s="5"/>
      <c r="I567" s="5"/>
      <c r="J567" s="5"/>
      <c r="K567" s="5"/>
      <c r="L567" s="5"/>
      <c r="M567" s="5"/>
      <c r="N567" s="5">
        <f t="shared" si="284"/>
        <v>15</v>
      </c>
      <c r="O567" s="5">
        <f t="shared" si="284"/>
        <v>15</v>
      </c>
      <c r="P567" s="5">
        <f t="shared" si="284"/>
        <v>15</v>
      </c>
      <c r="Q567" s="5">
        <f t="shared" si="284"/>
        <v>15</v>
      </c>
      <c r="R567" s="5">
        <f t="shared" si="284"/>
        <v>15</v>
      </c>
      <c r="S567" s="5">
        <f t="shared" si="284"/>
        <v>15</v>
      </c>
      <c r="T567" s="5">
        <f t="shared" si="284"/>
        <v>15</v>
      </c>
      <c r="U567" s="5">
        <f t="shared" si="284"/>
        <v>15</v>
      </c>
      <c r="V567" s="5">
        <f t="shared" si="284"/>
        <v>15</v>
      </c>
    </row>
    <row r="568" spans="1:22">
      <c r="A568" s="4" t="str">
        <f t="shared" si="284"/>
        <v>Normalised other income</v>
      </c>
      <c r="B568" s="5">
        <f t="shared" si="284"/>
        <v>11.3</v>
      </c>
      <c r="C568" s="5">
        <f t="shared" si="284"/>
        <v>10.7</v>
      </c>
      <c r="D568" s="5">
        <f t="shared" si="284"/>
        <v>10.4</v>
      </c>
      <c r="E568" s="5">
        <f t="shared" si="284"/>
        <v>10.199999999999999</v>
      </c>
      <c r="F568" s="5">
        <f t="shared" si="284"/>
        <v>8</v>
      </c>
      <c r="G568" s="5"/>
      <c r="H568" s="5"/>
      <c r="I568" s="5"/>
      <c r="J568" s="5"/>
      <c r="K568" s="5"/>
      <c r="L568" s="5"/>
      <c r="M568" s="5"/>
      <c r="N568" s="5">
        <f t="shared" si="284"/>
        <v>16</v>
      </c>
      <c r="O568" s="5">
        <f t="shared" si="284"/>
        <v>16</v>
      </c>
      <c r="P568" s="5">
        <f t="shared" si="284"/>
        <v>16</v>
      </c>
      <c r="Q568" s="5">
        <f t="shared" si="284"/>
        <v>16</v>
      </c>
      <c r="R568" s="5">
        <f t="shared" si="284"/>
        <v>16</v>
      </c>
      <c r="S568" s="5">
        <f t="shared" si="284"/>
        <v>16</v>
      </c>
      <c r="T568" s="5">
        <f t="shared" si="284"/>
        <v>16</v>
      </c>
      <c r="U568" s="5">
        <f t="shared" si="284"/>
        <v>16</v>
      </c>
      <c r="V568" s="5">
        <f t="shared" si="284"/>
        <v>16</v>
      </c>
    </row>
    <row r="569" spans="1:22">
      <c r="A569" s="7" t="str">
        <f t="shared" si="284"/>
        <v>Normalised total operating performance</v>
      </c>
      <c r="B569" s="9">
        <f t="shared" si="284"/>
        <v>222.6</v>
      </c>
      <c r="C569" s="9">
        <f t="shared" si="284"/>
        <v>223</v>
      </c>
      <c r="D569" s="9">
        <f t="shared" si="284"/>
        <v>223.5</v>
      </c>
      <c r="E569" s="9">
        <f t="shared" si="284"/>
        <v>229.83297769156158</v>
      </c>
      <c r="F569" s="9">
        <f t="shared" si="284"/>
        <v>237.23437319979175</v>
      </c>
      <c r="G569" s="9"/>
      <c r="H569" s="9"/>
      <c r="I569" s="9"/>
      <c r="J569" s="9"/>
      <c r="K569" s="9"/>
      <c r="L569" s="9"/>
      <c r="M569" s="9"/>
      <c r="N569" s="9">
        <f t="shared" si="284"/>
        <v>521.38288286549061</v>
      </c>
      <c r="O569" s="9">
        <f t="shared" si="284"/>
        <v>546.09080893974738</v>
      </c>
      <c r="P569" s="9">
        <f t="shared" si="284"/>
        <v>579.18193608057038</v>
      </c>
      <c r="Q569" s="9">
        <f t="shared" si="284"/>
        <v>611.88256703210982</v>
      </c>
      <c r="R569" s="9">
        <f t="shared" si="284"/>
        <v>643.98366966106084</v>
      </c>
      <c r="S569" s="9">
        <f t="shared" si="284"/>
        <v>676.36810017083894</v>
      </c>
      <c r="T569" s="9">
        <f t="shared" si="284"/>
        <v>709.05927277143894</v>
      </c>
      <c r="U569" s="9">
        <f t="shared" si="284"/>
        <v>742.08173271427938</v>
      </c>
      <c r="V569" s="9">
        <f t="shared" si="284"/>
        <v>775.45962451968296</v>
      </c>
    </row>
    <row r="571" spans="1:22">
      <c r="A571" s="4" t="str">
        <f t="shared" ref="A571:V574" si="285">+A46</f>
        <v>Basic CaTV signal fee</v>
      </c>
      <c r="B571" s="5">
        <f t="shared" si="285"/>
        <v>-37.4</v>
      </c>
      <c r="C571" s="5">
        <f t="shared" si="285"/>
        <v>-34.700000000000003</v>
      </c>
      <c r="D571" s="5">
        <f t="shared" si="285"/>
        <v>-31</v>
      </c>
      <c r="E571" s="5">
        <f t="shared" si="285"/>
        <v>-32.5</v>
      </c>
      <c r="F571" s="5">
        <f t="shared" si="285"/>
        <v>-29.573428301886779</v>
      </c>
      <c r="G571" s="5"/>
      <c r="H571" s="5"/>
      <c r="I571" s="5"/>
      <c r="J571" s="5"/>
      <c r="K571" s="5"/>
      <c r="L571" s="5"/>
      <c r="M571" s="5"/>
      <c r="N571" s="5">
        <f t="shared" si="285"/>
        <v>-56.791777086792436</v>
      </c>
      <c r="O571" s="5">
        <f t="shared" si="285"/>
        <v>-49.917675794943356</v>
      </c>
      <c r="P571" s="5">
        <f t="shared" si="285"/>
        <v>-42.941213219148651</v>
      </c>
      <c r="Q571" s="5">
        <f t="shared" si="285"/>
        <v>-38.324297489762117</v>
      </c>
      <c r="R571" s="5">
        <f t="shared" si="285"/>
        <v>-33.638495989788623</v>
      </c>
      <c r="S571" s="5">
        <f t="shared" si="285"/>
        <v>-28.883170162042518</v>
      </c>
      <c r="T571" s="5">
        <f t="shared" si="285"/>
        <v>-24.057678341438148</v>
      </c>
      <c r="U571" s="5">
        <f t="shared" si="285"/>
        <v>-19.161375784434078</v>
      </c>
      <c r="V571" s="5">
        <f t="shared" si="285"/>
        <v>-14.193614699654619</v>
      </c>
    </row>
    <row r="572" spans="1:22">
      <c r="A572" s="4" t="str">
        <f t="shared" si="285"/>
        <v>Other direct costs</v>
      </c>
      <c r="B572" s="5">
        <f t="shared" si="285"/>
        <v>-49.8</v>
      </c>
      <c r="C572" s="5">
        <f t="shared" si="285"/>
        <v>-46.1</v>
      </c>
      <c r="D572" s="5">
        <f t="shared" si="285"/>
        <v>-51</v>
      </c>
      <c r="E572" s="5">
        <f t="shared" si="285"/>
        <v>-38.6</v>
      </c>
      <c r="F572" s="5">
        <f t="shared" si="285"/>
        <v>-41.376595387709067</v>
      </c>
      <c r="G572" s="5"/>
      <c r="H572" s="5"/>
      <c r="I572" s="5"/>
      <c r="J572" s="5"/>
      <c r="K572" s="5"/>
      <c r="L572" s="5"/>
      <c r="M572" s="5"/>
      <c r="N572" s="5">
        <f t="shared" si="285"/>
        <v>-93.754395707051572</v>
      </c>
      <c r="O572" s="5">
        <f t="shared" si="285"/>
        <v>-101.0615534715112</v>
      </c>
      <c r="P572" s="5">
        <f t="shared" si="285"/>
        <v>-110.29260651447493</v>
      </c>
      <c r="Q572" s="5">
        <f t="shared" si="285"/>
        <v>-119.7776799630808</v>
      </c>
      <c r="R572" s="5">
        <f t="shared" si="285"/>
        <v>-129.46313819886959</v>
      </c>
      <c r="S572" s="5">
        <f t="shared" si="285"/>
        <v>-139.53048980008515</v>
      </c>
      <c r="T572" s="5">
        <f t="shared" si="285"/>
        <v>-149.98951038136923</v>
      </c>
      <c r="U572" s="5">
        <f t="shared" si="285"/>
        <v>-160.85035820612291</v>
      </c>
      <c r="V572" s="5">
        <f t="shared" si="285"/>
        <v>-172.1235889758662</v>
      </c>
    </row>
    <row r="573" spans="1:22">
      <c r="A573" s="7" t="str">
        <f t="shared" si="285"/>
        <v>Normalised contribution margin</v>
      </c>
      <c r="B573" s="9">
        <f t="shared" si="285"/>
        <v>135.4</v>
      </c>
      <c r="C573" s="9">
        <f t="shared" si="285"/>
        <v>142.19999999999999</v>
      </c>
      <c r="D573" s="9">
        <f t="shared" si="285"/>
        <v>141.4</v>
      </c>
      <c r="E573" s="9">
        <f t="shared" si="285"/>
        <v>158.73297769156159</v>
      </c>
      <c r="F573" s="9">
        <f t="shared" si="285"/>
        <v>166.28434951019591</v>
      </c>
      <c r="G573" s="9"/>
      <c r="H573" s="9"/>
      <c r="I573" s="9"/>
      <c r="J573" s="9"/>
      <c r="K573" s="9"/>
      <c r="L573" s="9"/>
      <c r="M573" s="9"/>
      <c r="N573" s="9">
        <f t="shared" si="285"/>
        <v>370.83671007164662</v>
      </c>
      <c r="O573" s="9">
        <f t="shared" si="285"/>
        <v>395.11157967329279</v>
      </c>
      <c r="P573" s="9">
        <f t="shared" si="285"/>
        <v>425.94811634694685</v>
      </c>
      <c r="Q573" s="9">
        <f t="shared" si="285"/>
        <v>453.78058957926692</v>
      </c>
      <c r="R573" s="9">
        <f t="shared" si="285"/>
        <v>480.88203547240266</v>
      </c>
      <c r="S573" s="9">
        <f t="shared" si="285"/>
        <v>507.95444020871133</v>
      </c>
      <c r="T573" s="9">
        <f t="shared" si="285"/>
        <v>535.01208404863155</v>
      </c>
      <c r="U573" s="9">
        <f t="shared" si="285"/>
        <v>562.06999872372239</v>
      </c>
      <c r="V573" s="9">
        <f t="shared" si="285"/>
        <v>589.14242084416219</v>
      </c>
    </row>
    <row r="574" spans="1:22">
      <c r="A574" s="14" t="str">
        <f t="shared" si="285"/>
        <v>% margin</v>
      </c>
      <c r="B574" s="15">
        <f t="shared" si="285"/>
        <v>0.66200000000000003</v>
      </c>
      <c r="C574" s="15">
        <f t="shared" si="285"/>
        <v>0.69299999999999995</v>
      </c>
      <c r="D574" s="15">
        <f t="shared" si="285"/>
        <v>0.68600000000000005</v>
      </c>
      <c r="E574" s="15">
        <f t="shared" si="285"/>
        <v>0.74522524737822338</v>
      </c>
      <c r="F574" s="15">
        <f t="shared" si="285"/>
        <v>0.74838397336733598</v>
      </c>
      <c r="G574" s="15"/>
      <c r="H574" s="15"/>
      <c r="I574" s="15"/>
      <c r="J574" s="15"/>
      <c r="K574" s="15"/>
      <c r="L574" s="15"/>
      <c r="M574" s="15"/>
      <c r="N574" s="15">
        <f t="shared" si="285"/>
        <v>0.75635535707479706</v>
      </c>
      <c r="O574" s="15">
        <f t="shared" si="285"/>
        <v>0.76714686444138735</v>
      </c>
      <c r="P574" s="15">
        <f t="shared" si="285"/>
        <v>0.77711065724049333</v>
      </c>
      <c r="Q574" s="15">
        <f t="shared" si="285"/>
        <v>0.78127186527091541</v>
      </c>
      <c r="R574" s="15">
        <f t="shared" si="285"/>
        <v>0.78456478823458009</v>
      </c>
      <c r="S574" s="15">
        <f t="shared" si="285"/>
        <v>0.78714152789155312</v>
      </c>
      <c r="T574" s="15">
        <f t="shared" si="285"/>
        <v>0.7890933478177069</v>
      </c>
      <c r="U574" s="15">
        <f t="shared" si="285"/>
        <v>0.79049773942076484</v>
      </c>
      <c r="V574" s="15">
        <f t="shared" si="285"/>
        <v>0.79141911104611795</v>
      </c>
    </row>
    <row r="576" spans="1:22">
      <c r="A576" s="4" t="str">
        <f t="shared" ref="A576:V578" si="286">+A51</f>
        <v>Employee benefits</v>
      </c>
      <c r="B576" s="5">
        <f t="shared" si="286"/>
        <v>-30.6</v>
      </c>
      <c r="C576" s="5">
        <f t="shared" si="286"/>
        <v>-29.5</v>
      </c>
      <c r="D576" s="5">
        <f t="shared" si="286"/>
        <v>-28.5</v>
      </c>
      <c r="E576" s="5">
        <f t="shared" si="286"/>
        <v>-30.6</v>
      </c>
      <c r="F576" s="5">
        <f t="shared" si="286"/>
        <v>-31.364951010209058</v>
      </c>
      <c r="G576" s="5"/>
      <c r="H576" s="5"/>
      <c r="I576" s="5"/>
      <c r="J576" s="5"/>
      <c r="K576" s="5"/>
      <c r="L576" s="5"/>
      <c r="M576" s="5"/>
      <c r="N576" s="5">
        <f t="shared" si="286"/>
        <v>-67.985172531494428</v>
      </c>
      <c r="O576" s="5">
        <f t="shared" si="286"/>
        <v>-70.128907873130828</v>
      </c>
      <c r="P576" s="5">
        <f t="shared" si="286"/>
        <v>-73.262494341276252</v>
      </c>
      <c r="Q576" s="5">
        <f t="shared" si="286"/>
        <v>-76.181876698203055</v>
      </c>
      <c r="R576" s="5">
        <f t="shared" si="286"/>
        <v>-78.860575735497221</v>
      </c>
      <c r="S576" s="5">
        <f t="shared" si="286"/>
        <v>-81.414245731251484</v>
      </c>
      <c r="T576" s="5">
        <f t="shared" si="286"/>
        <v>-83.843881652064184</v>
      </c>
      <c r="U576" s="5">
        <f t="shared" si="286"/>
        <v>-86.150163316478469</v>
      </c>
      <c r="V576" s="5">
        <f t="shared" si="286"/>
        <v>-88.333476372893728</v>
      </c>
    </row>
    <row r="577" spans="1:22">
      <c r="A577" s="4" t="str">
        <f t="shared" si="286"/>
        <v>Advertising</v>
      </c>
      <c r="B577" s="5">
        <f t="shared" si="286"/>
        <v>-7.8</v>
      </c>
      <c r="C577" s="5">
        <f t="shared" si="286"/>
        <v>-7</v>
      </c>
      <c r="D577" s="5">
        <f t="shared" si="286"/>
        <v>-6.8</v>
      </c>
      <c r="E577" s="5">
        <f t="shared" si="286"/>
        <v>-8.6999999999999993</v>
      </c>
      <c r="F577" s="5">
        <f t="shared" si="286"/>
        <v>-8.8876488769262885</v>
      </c>
      <c r="G577" s="5"/>
      <c r="H577" s="5"/>
      <c r="I577" s="5"/>
      <c r="J577" s="5"/>
      <c r="K577" s="5"/>
      <c r="L577" s="5"/>
      <c r="M577" s="5"/>
      <c r="N577" s="5">
        <f t="shared" si="286"/>
        <v>-19.611771456520486</v>
      </c>
      <c r="O577" s="5">
        <f t="shared" si="286"/>
        <v>-20.601613484322893</v>
      </c>
      <c r="P577" s="5">
        <f t="shared" si="286"/>
        <v>-21.924708527842423</v>
      </c>
      <c r="Q577" s="5">
        <f t="shared" si="286"/>
        <v>-23.232915954136555</v>
      </c>
      <c r="R577" s="5">
        <f t="shared" si="286"/>
        <v>-24.517135751375164</v>
      </c>
      <c r="S577" s="5">
        <f t="shared" si="286"/>
        <v>-25.812610424421351</v>
      </c>
      <c r="T577" s="5">
        <f t="shared" si="286"/>
        <v>-27.120344406818031</v>
      </c>
      <c r="U577" s="5">
        <f t="shared" si="286"/>
        <v>-28.441320990270142</v>
      </c>
      <c r="V577" s="5">
        <f t="shared" si="286"/>
        <v>-29.776507169022935</v>
      </c>
    </row>
    <row r="578" spans="1:22">
      <c r="A578" s="4" t="str">
        <f t="shared" si="286"/>
        <v>Other operating income and expenses</v>
      </c>
      <c r="B578" s="5">
        <f t="shared" si="286"/>
        <v>-18.600000000000001</v>
      </c>
      <c r="C578" s="5">
        <f t="shared" si="286"/>
        <v>-18.600000000000001</v>
      </c>
      <c r="D578" s="5">
        <f t="shared" si="286"/>
        <v>-18</v>
      </c>
      <c r="E578" s="5">
        <f t="shared" si="286"/>
        <v>-20.399999999999999</v>
      </c>
      <c r="F578" s="5">
        <f t="shared" si="286"/>
        <v>-20.603999999999999</v>
      </c>
      <c r="G578" s="5"/>
      <c r="H578" s="5"/>
      <c r="I578" s="5"/>
      <c r="J578" s="5"/>
      <c r="K578" s="5"/>
      <c r="L578" s="5"/>
      <c r="M578" s="5"/>
      <c r="N578" s="5">
        <f t="shared" si="286"/>
        <v>-20.810040000000001</v>
      </c>
      <c r="O578" s="5">
        <f t="shared" si="286"/>
        <v>-21.0181404</v>
      </c>
      <c r="P578" s="5">
        <f t="shared" si="286"/>
        <v>-21.228321804</v>
      </c>
      <c r="Q578" s="5">
        <f t="shared" si="286"/>
        <v>-21.44060502204</v>
      </c>
      <c r="R578" s="5">
        <f t="shared" si="286"/>
        <v>-21.6550110722604</v>
      </c>
      <c r="S578" s="5">
        <f t="shared" si="286"/>
        <v>-21.871561182983005</v>
      </c>
      <c r="T578" s="5">
        <f t="shared" si="286"/>
        <v>-22.090276794812834</v>
      </c>
      <c r="U578" s="5">
        <f t="shared" si="286"/>
        <v>-22.311179562760962</v>
      </c>
      <c r="V578" s="5">
        <f t="shared" si="286"/>
        <v>-22.534291358388572</v>
      </c>
    </row>
    <row r="579" spans="1:22">
      <c r="B579" s="11"/>
      <c r="C579" s="11"/>
    </row>
    <row r="580" spans="1:22">
      <c r="A580" s="7" t="str">
        <f t="shared" ref="A580:V581" si="287">+A55</f>
        <v>Normalised EBITDA</v>
      </c>
      <c r="B580" s="9">
        <f t="shared" si="287"/>
        <v>78.400000000000006</v>
      </c>
      <c r="C580" s="9">
        <f t="shared" si="287"/>
        <v>87.1</v>
      </c>
      <c r="D580" s="9">
        <f t="shared" si="287"/>
        <v>88.1</v>
      </c>
      <c r="E580" s="9">
        <f t="shared" si="287"/>
        <v>99.032977691561598</v>
      </c>
      <c r="F580" s="9">
        <f t="shared" si="287"/>
        <v>105.42774962306055</v>
      </c>
      <c r="G580" s="9"/>
      <c r="H580" s="9"/>
      <c r="I580" s="9"/>
      <c r="J580" s="9"/>
      <c r="K580" s="9"/>
      <c r="L580" s="9"/>
      <c r="M580" s="9"/>
      <c r="N580" s="9">
        <f t="shared" si="287"/>
        <v>262.42972608363169</v>
      </c>
      <c r="O580" s="9">
        <f t="shared" si="287"/>
        <v>283.36291791583903</v>
      </c>
      <c r="P580" s="9">
        <f t="shared" si="287"/>
        <v>309.53259167382816</v>
      </c>
      <c r="Q580" s="9">
        <f t="shared" si="287"/>
        <v>332.9251919048873</v>
      </c>
      <c r="R580" s="9">
        <f t="shared" si="287"/>
        <v>355.8493129132699</v>
      </c>
      <c r="S580" s="9">
        <f t="shared" si="287"/>
        <v>378.85602287005554</v>
      </c>
      <c r="T580" s="9">
        <f t="shared" si="287"/>
        <v>401.95758119493649</v>
      </c>
      <c r="U580" s="9">
        <f t="shared" si="287"/>
        <v>425.16733485421281</v>
      </c>
      <c r="V580" s="9">
        <f t="shared" si="287"/>
        <v>448.49814594385691</v>
      </c>
    </row>
    <row r="581" spans="1:22">
      <c r="A581" s="14" t="str">
        <f t="shared" si="287"/>
        <v>% margin</v>
      </c>
      <c r="B581" s="15">
        <f t="shared" si="287"/>
        <v>0.38300000000000001</v>
      </c>
      <c r="C581" s="15">
        <f t="shared" si="287"/>
        <v>0.42399999999999999</v>
      </c>
      <c r="D581" s="15">
        <f t="shared" si="287"/>
        <v>0.42699999999999999</v>
      </c>
      <c r="E581" s="15">
        <f t="shared" si="287"/>
        <v>0.4649435572373784</v>
      </c>
      <c r="F581" s="15">
        <f t="shared" si="287"/>
        <v>0.47449106544596875</v>
      </c>
      <c r="G581" s="15"/>
      <c r="H581" s="15"/>
      <c r="I581" s="15"/>
      <c r="J581" s="15"/>
      <c r="K581" s="15"/>
      <c r="L581" s="15"/>
      <c r="M581" s="15"/>
      <c r="N581" s="15">
        <f t="shared" si="287"/>
        <v>0.53524940705217028</v>
      </c>
      <c r="O581" s="15">
        <f t="shared" si="287"/>
        <v>0.55017616582597917</v>
      </c>
      <c r="P581" s="15">
        <f t="shared" si="287"/>
        <v>0.56471919119152603</v>
      </c>
      <c r="Q581" s="15">
        <f t="shared" si="287"/>
        <v>0.57319570657786656</v>
      </c>
      <c r="R581" s="15">
        <f t="shared" si="287"/>
        <v>0.58057240702484647</v>
      </c>
      <c r="S581" s="15">
        <f t="shared" si="287"/>
        <v>0.58708672488485592</v>
      </c>
      <c r="T581" s="15">
        <f t="shared" si="287"/>
        <v>0.59285026055035606</v>
      </c>
      <c r="U581" s="15">
        <f t="shared" si="287"/>
        <v>0.59795722568535237</v>
      </c>
      <c r="V581" s="15">
        <f t="shared" si="287"/>
        <v>0.60248590393494916</v>
      </c>
    </row>
    <row r="583" spans="1:22">
      <c r="A583" s="4" t="str">
        <f t="shared" ref="A583:V585" si="288">+A58</f>
        <v>Non-recurring items</v>
      </c>
      <c r="B583" s="5">
        <f t="shared" si="288"/>
        <v>-4.5</v>
      </c>
      <c r="C583" s="5">
        <f t="shared" si="288"/>
        <v>30.7</v>
      </c>
      <c r="D583" s="5">
        <f t="shared" si="288"/>
        <v>3.1</v>
      </c>
      <c r="E583" s="5">
        <f t="shared" si="288"/>
        <v>-14.8</v>
      </c>
      <c r="F583" s="5">
        <f t="shared" si="288"/>
        <v>-10</v>
      </c>
      <c r="G583" s="5"/>
      <c r="H583" s="5"/>
      <c r="I583" s="5"/>
      <c r="J583" s="5"/>
      <c r="K583" s="5"/>
      <c r="L583" s="5"/>
      <c r="M583" s="5"/>
      <c r="N583" s="5">
        <f t="shared" si="288"/>
        <v>0</v>
      </c>
      <c r="O583" s="5">
        <f t="shared" si="288"/>
        <v>0</v>
      </c>
      <c r="P583" s="5">
        <f t="shared" si="288"/>
        <v>0</v>
      </c>
      <c r="Q583" s="5">
        <f t="shared" si="288"/>
        <v>0</v>
      </c>
      <c r="R583" s="5">
        <f t="shared" si="288"/>
        <v>0</v>
      </c>
      <c r="S583" s="5">
        <f t="shared" si="288"/>
        <v>0</v>
      </c>
      <c r="T583" s="5">
        <f t="shared" si="288"/>
        <v>0</v>
      </c>
      <c r="U583" s="5">
        <f t="shared" si="288"/>
        <v>0</v>
      </c>
      <c r="V583" s="5">
        <f t="shared" si="288"/>
        <v>0</v>
      </c>
    </row>
    <row r="584" spans="1:22">
      <c r="A584" s="7" t="str">
        <f t="shared" si="288"/>
        <v>Reported EBITDA</v>
      </c>
      <c r="B584" s="9">
        <f t="shared" si="288"/>
        <v>73.900000000000006</v>
      </c>
      <c r="C584" s="9">
        <f t="shared" si="288"/>
        <v>117.8</v>
      </c>
      <c r="D584" s="9">
        <f t="shared" si="288"/>
        <v>91.2</v>
      </c>
      <c r="E584" s="9">
        <f t="shared" si="288"/>
        <v>84.232977691561601</v>
      </c>
      <c r="F584" s="9">
        <f t="shared" si="288"/>
        <v>95.427749623060549</v>
      </c>
      <c r="G584" s="9"/>
      <c r="H584" s="9"/>
      <c r="I584" s="9"/>
      <c r="J584" s="9"/>
      <c r="K584" s="9"/>
      <c r="L584" s="9"/>
      <c r="M584" s="9"/>
      <c r="N584" s="9">
        <f t="shared" si="288"/>
        <v>262.42972608363169</v>
      </c>
      <c r="O584" s="9">
        <f t="shared" si="288"/>
        <v>283.36291791583903</v>
      </c>
      <c r="P584" s="9">
        <f t="shared" si="288"/>
        <v>309.53259167382816</v>
      </c>
      <c r="Q584" s="9">
        <f t="shared" si="288"/>
        <v>332.9251919048873</v>
      </c>
      <c r="R584" s="9">
        <f t="shared" si="288"/>
        <v>355.8493129132699</v>
      </c>
      <c r="S584" s="9">
        <f t="shared" si="288"/>
        <v>378.85602287005554</v>
      </c>
      <c r="T584" s="9">
        <f t="shared" si="288"/>
        <v>401.95758119493649</v>
      </c>
      <c r="U584" s="9">
        <f t="shared" si="288"/>
        <v>425.16733485421281</v>
      </c>
      <c r="V584" s="9">
        <f t="shared" si="288"/>
        <v>448.49814594385691</v>
      </c>
    </row>
    <row r="585" spans="1:22">
      <c r="A585" s="14" t="str">
        <f t="shared" si="288"/>
        <v>% margin</v>
      </c>
      <c r="B585" s="15">
        <f t="shared" si="288"/>
        <v>0.36099999999999999</v>
      </c>
      <c r="C585" s="15">
        <f t="shared" si="288"/>
        <v>0.57399999999999995</v>
      </c>
      <c r="D585" s="15">
        <f t="shared" si="288"/>
        <v>0.442</v>
      </c>
      <c r="E585" s="15">
        <f t="shared" si="288"/>
        <v>0.39545998916226105</v>
      </c>
      <c r="F585" s="15">
        <f t="shared" si="288"/>
        <v>0.42948478700955778</v>
      </c>
      <c r="G585" s="15"/>
      <c r="H585" s="15"/>
      <c r="I585" s="15"/>
      <c r="J585" s="15"/>
      <c r="K585" s="15"/>
      <c r="L585" s="15"/>
      <c r="M585" s="15"/>
      <c r="N585" s="15">
        <f t="shared" si="288"/>
        <v>0.53524940705217028</v>
      </c>
      <c r="O585" s="15">
        <f t="shared" si="288"/>
        <v>0.55017616582597917</v>
      </c>
      <c r="P585" s="15">
        <f t="shared" si="288"/>
        <v>0.56471919119152603</v>
      </c>
      <c r="Q585" s="15">
        <f t="shared" si="288"/>
        <v>0.57319570657786656</v>
      </c>
      <c r="R585" s="15">
        <f t="shared" si="288"/>
        <v>0.58057240702484647</v>
      </c>
      <c r="S585" s="15">
        <f t="shared" si="288"/>
        <v>0.58708672488485592</v>
      </c>
      <c r="T585" s="15">
        <f t="shared" si="288"/>
        <v>0.59285026055035606</v>
      </c>
      <c r="U585" s="15">
        <f t="shared" si="288"/>
        <v>0.59795722568535237</v>
      </c>
      <c r="V585" s="15">
        <f t="shared" si="288"/>
        <v>0.60248590393494916</v>
      </c>
    </row>
    <row r="587" spans="1:22">
      <c r="A587" s="4" t="str">
        <f t="shared" ref="A587:V589" si="289">+A62</f>
        <v>Depreciation and Amortization</v>
      </c>
      <c r="B587" s="5">
        <f t="shared" si="289"/>
        <v>-57.4</v>
      </c>
      <c r="C587" s="5">
        <f t="shared" si="289"/>
        <v>-62.9</v>
      </c>
      <c r="D587" s="5">
        <f t="shared" si="289"/>
        <v>-62.8</v>
      </c>
      <c r="E587" s="5">
        <f t="shared" si="289"/>
        <v>-50.8</v>
      </c>
      <c r="F587" s="5">
        <f t="shared" si="289"/>
        <v>-61.980000000000004</v>
      </c>
      <c r="G587" s="5"/>
      <c r="H587" s="5"/>
      <c r="I587" s="5"/>
      <c r="J587" s="5"/>
      <c r="K587" s="5"/>
      <c r="L587" s="5"/>
      <c r="M587" s="5"/>
      <c r="N587" s="5">
        <f t="shared" si="289"/>
        <v>-71.984000000000009</v>
      </c>
      <c r="O587" s="5">
        <f t="shared" si="289"/>
        <v>-85.121325747824585</v>
      </c>
      <c r="P587" s="5">
        <f t="shared" si="289"/>
        <v>-87.698674082582556</v>
      </c>
      <c r="Q587" s="5">
        <f t="shared" si="289"/>
        <v>-90.083647793908469</v>
      </c>
      <c r="R587" s="5">
        <f t="shared" si="289"/>
        <v>-97.299834189263336</v>
      </c>
      <c r="S587" s="5">
        <f t="shared" si="289"/>
        <v>-104.35700310278584</v>
      </c>
      <c r="T587" s="5">
        <f t="shared" si="289"/>
        <v>-111.29821290665002</v>
      </c>
      <c r="U587" s="5">
        <f t="shared" si="289"/>
        <v>-118.15891473213806</v>
      </c>
      <c r="V587" s="5">
        <f t="shared" si="289"/>
        <v>-124.96845277598058</v>
      </c>
    </row>
    <row r="588" spans="1:22">
      <c r="A588" s="7" t="str">
        <f t="shared" si="289"/>
        <v>Reported Operating Profit (EBIT)</v>
      </c>
      <c r="B588" s="9">
        <f t="shared" si="289"/>
        <v>16.5</v>
      </c>
      <c r="C588" s="9">
        <f t="shared" si="289"/>
        <v>54.9</v>
      </c>
      <c r="D588" s="9">
        <f t="shared" si="289"/>
        <v>28.3</v>
      </c>
      <c r="E588" s="9">
        <f t="shared" si="289"/>
        <v>33.432977691561604</v>
      </c>
      <c r="F588" s="9">
        <f t="shared" si="289"/>
        <v>33.447749623060545</v>
      </c>
      <c r="G588" s="9"/>
      <c r="H588" s="9"/>
      <c r="I588" s="9"/>
      <c r="J588" s="9"/>
      <c r="K588" s="9"/>
      <c r="L588" s="9"/>
      <c r="M588" s="9"/>
      <c r="N588" s="9">
        <f t="shared" si="289"/>
        <v>190.44572608363168</v>
      </c>
      <c r="O588" s="9">
        <f t="shared" si="289"/>
        <v>198.24159216801445</v>
      </c>
      <c r="P588" s="9">
        <f t="shared" si="289"/>
        <v>221.83391759124561</v>
      </c>
      <c r="Q588" s="9">
        <f t="shared" si="289"/>
        <v>242.84154411097882</v>
      </c>
      <c r="R588" s="9">
        <f t="shared" si="289"/>
        <v>258.54947872400658</v>
      </c>
      <c r="S588" s="9">
        <f t="shared" si="289"/>
        <v>274.49901976726971</v>
      </c>
      <c r="T588" s="9">
        <f t="shared" si="289"/>
        <v>290.65936828828649</v>
      </c>
      <c r="U588" s="9">
        <f t="shared" si="289"/>
        <v>307.00842012207477</v>
      </c>
      <c r="V588" s="9">
        <f t="shared" si="289"/>
        <v>323.5296931678763</v>
      </c>
    </row>
    <row r="589" spans="1:22">
      <c r="A589" s="14" t="str">
        <f t="shared" si="289"/>
        <v>% margin</v>
      </c>
      <c r="B589" s="15">
        <f t="shared" si="289"/>
        <v>8.1000000000000003E-2</v>
      </c>
      <c r="C589" s="15">
        <f t="shared" si="289"/>
        <v>0.26700000000000002</v>
      </c>
      <c r="D589" s="15">
        <f t="shared" si="289"/>
        <v>0.13700000000000001</v>
      </c>
      <c r="E589" s="15">
        <f t="shared" si="289"/>
        <v>0.15696233658010142</v>
      </c>
      <c r="F589" s="15">
        <f t="shared" si="289"/>
        <v>0.15053587326068238</v>
      </c>
      <c r="G589" s="15"/>
      <c r="H589" s="15"/>
      <c r="I589" s="15"/>
      <c r="J589" s="15"/>
      <c r="K589" s="15"/>
      <c r="L589" s="15"/>
      <c r="M589" s="15"/>
      <c r="N589" s="15">
        <f t="shared" si="289"/>
        <v>0.3884314611881991</v>
      </c>
      <c r="O589" s="15">
        <f t="shared" si="289"/>
        <v>0.38490498294003889</v>
      </c>
      <c r="P589" s="15">
        <f t="shared" si="289"/>
        <v>0.40471948315214562</v>
      </c>
      <c r="Q589" s="15">
        <f t="shared" si="289"/>
        <v>0.41809912210824585</v>
      </c>
      <c r="R589" s="15">
        <f t="shared" si="289"/>
        <v>0.4218265646459205</v>
      </c>
      <c r="S589" s="15">
        <f t="shared" si="289"/>
        <v>0.42537196394141641</v>
      </c>
      <c r="T589" s="15">
        <f t="shared" si="289"/>
        <v>0.42869568900491539</v>
      </c>
      <c r="U589" s="15">
        <f t="shared" si="289"/>
        <v>0.43177800387978216</v>
      </c>
      <c r="V589" s="15">
        <f t="shared" si="289"/>
        <v>0.43461066985647046</v>
      </c>
    </row>
    <row r="590" spans="1:22">
      <c r="B590" s="11"/>
      <c r="C590" s="11"/>
    </row>
    <row r="591" spans="1:22">
      <c r="A591" s="4" t="str">
        <f t="shared" ref="A591:V596" si="290">+A66</f>
        <v>Profit from investments in associates</v>
      </c>
      <c r="B591" s="5">
        <f t="shared" si="290"/>
        <v>0.1</v>
      </c>
      <c r="C591" s="5">
        <f t="shared" si="290"/>
        <v>0</v>
      </c>
      <c r="D591" s="5">
        <f t="shared" si="290"/>
        <v>0</v>
      </c>
      <c r="E591" s="5">
        <f t="shared" si="290"/>
        <v>0</v>
      </c>
      <c r="F591" s="5">
        <f t="shared" si="290"/>
        <v>0</v>
      </c>
      <c r="G591" s="5"/>
      <c r="H591" s="5"/>
      <c r="I591" s="5"/>
      <c r="J591" s="5"/>
      <c r="K591" s="5"/>
      <c r="L591" s="5"/>
      <c r="M591" s="5"/>
      <c r="N591" s="5">
        <f t="shared" si="290"/>
        <v>0</v>
      </c>
      <c r="O591" s="5">
        <f t="shared" si="290"/>
        <v>0</v>
      </c>
      <c r="P591" s="5">
        <f t="shared" si="290"/>
        <v>0</v>
      </c>
      <c r="Q591" s="5">
        <f t="shared" si="290"/>
        <v>0</v>
      </c>
      <c r="R591" s="5">
        <f t="shared" si="290"/>
        <v>0</v>
      </c>
      <c r="S591" s="5">
        <f t="shared" si="290"/>
        <v>0</v>
      </c>
      <c r="T591" s="5">
        <f t="shared" si="290"/>
        <v>0</v>
      </c>
      <c r="U591" s="5">
        <f t="shared" si="290"/>
        <v>0</v>
      </c>
      <c r="V591" s="5">
        <f t="shared" si="290"/>
        <v>0</v>
      </c>
    </row>
    <row r="592" spans="1:22">
      <c r="A592" s="4" t="str">
        <f t="shared" si="290"/>
        <v>Interest and similar income</v>
      </c>
      <c r="B592" s="5">
        <f t="shared" si="290"/>
        <v>0.5</v>
      </c>
      <c r="C592" s="5">
        <f t="shared" si="290"/>
        <v>0.6</v>
      </c>
      <c r="D592" s="5">
        <f t="shared" si="290"/>
        <v>0.4</v>
      </c>
      <c r="E592" s="5">
        <f t="shared" si="290"/>
        <v>0.1</v>
      </c>
      <c r="F592" s="5">
        <f t="shared" si="290"/>
        <v>0.122</v>
      </c>
      <c r="G592" s="5"/>
      <c r="H592" s="5"/>
      <c r="I592" s="5"/>
      <c r="J592" s="5"/>
      <c r="K592" s="5"/>
      <c r="L592" s="5"/>
      <c r="M592" s="5"/>
      <c r="N592" s="5">
        <f t="shared" si="290"/>
        <v>0.62925279336141615</v>
      </c>
      <c r="O592" s="5">
        <f t="shared" si="290"/>
        <v>1.1089472121914163</v>
      </c>
      <c r="P592" s="5">
        <f t="shared" si="290"/>
        <v>0.90345687375135963</v>
      </c>
      <c r="Q592" s="5">
        <f t="shared" si="290"/>
        <v>0.76868312403899963</v>
      </c>
      <c r="R592" s="5">
        <f t="shared" si="290"/>
        <v>0.59523444514117008</v>
      </c>
      <c r="S592" s="5">
        <f t="shared" si="290"/>
        <v>0.39097077639985756</v>
      </c>
      <c r="T592" s="5">
        <f t="shared" si="290"/>
        <v>0.18256033331268426</v>
      </c>
      <c r="U592" s="5">
        <f t="shared" si="290"/>
        <v>-3.0978399464646176E-2</v>
      </c>
      <c r="V592" s="5">
        <f t="shared" si="290"/>
        <v>-0.25057514575223239</v>
      </c>
    </row>
    <row r="593" spans="1:22">
      <c r="A593" s="4" t="str">
        <f t="shared" si="290"/>
        <v>Interest and similar expenses</v>
      </c>
      <c r="B593" s="5">
        <f t="shared" si="290"/>
        <v>-34.9</v>
      </c>
      <c r="C593" s="5">
        <f t="shared" si="290"/>
        <v>-32.299999999999997</v>
      </c>
      <c r="D593" s="5">
        <f t="shared" si="290"/>
        <v>-28.3</v>
      </c>
      <c r="E593" s="5">
        <f t="shared" si="290"/>
        <v>-45.8</v>
      </c>
      <c r="F593" s="5">
        <f t="shared" si="290"/>
        <v>-18.558</v>
      </c>
      <c r="G593" s="5"/>
      <c r="H593" s="5"/>
      <c r="I593" s="5"/>
      <c r="J593" s="5"/>
      <c r="K593" s="5"/>
      <c r="L593" s="5"/>
      <c r="M593" s="5"/>
      <c r="N593" s="5">
        <f t="shared" si="290"/>
        <v>-21.933</v>
      </c>
      <c r="O593" s="5">
        <f t="shared" si="290"/>
        <v>-21.933</v>
      </c>
      <c r="P593" s="5">
        <f t="shared" si="290"/>
        <v>-21.933</v>
      </c>
      <c r="Q593" s="5">
        <f t="shared" si="290"/>
        <v>-21.933</v>
      </c>
      <c r="R593" s="5">
        <f t="shared" si="290"/>
        <v>-21.933</v>
      </c>
      <c r="S593" s="5">
        <f t="shared" si="290"/>
        <v>-21.933</v>
      </c>
      <c r="T593" s="5">
        <f t="shared" si="290"/>
        <v>-21.933</v>
      </c>
      <c r="U593" s="5">
        <f t="shared" si="290"/>
        <v>-21.933</v>
      </c>
      <c r="V593" s="5">
        <f t="shared" si="290"/>
        <v>-21.933</v>
      </c>
    </row>
    <row r="594" spans="1:22">
      <c r="A594" s="4" t="str">
        <f t="shared" si="290"/>
        <v>Other finance income/costs</v>
      </c>
      <c r="B594" s="5">
        <f t="shared" si="290"/>
        <v>-2.6</v>
      </c>
      <c r="C594" s="5">
        <f t="shared" si="290"/>
        <v>-0.1</v>
      </c>
      <c r="D594" s="5">
        <f t="shared" si="290"/>
        <v>-0.5</v>
      </c>
      <c r="E594" s="5">
        <f t="shared" si="290"/>
        <v>-1.5</v>
      </c>
      <c r="F594" s="5">
        <f t="shared" si="290"/>
        <v>0</v>
      </c>
      <c r="G594" s="5"/>
      <c r="H594" s="5"/>
      <c r="I594" s="5"/>
      <c r="J594" s="5"/>
      <c r="K594" s="5"/>
      <c r="L594" s="5"/>
      <c r="M594" s="5"/>
      <c r="N594" s="5">
        <f t="shared" si="290"/>
        <v>0</v>
      </c>
      <c r="O594" s="5">
        <f t="shared" si="290"/>
        <v>0</v>
      </c>
      <c r="P594" s="5">
        <f t="shared" si="290"/>
        <v>0</v>
      </c>
      <c r="Q594" s="5">
        <f t="shared" si="290"/>
        <v>0</v>
      </c>
      <c r="R594" s="5">
        <f t="shared" si="290"/>
        <v>0</v>
      </c>
      <c r="S594" s="5">
        <f t="shared" si="290"/>
        <v>0</v>
      </c>
      <c r="T594" s="5">
        <f t="shared" si="290"/>
        <v>0</v>
      </c>
      <c r="U594" s="5">
        <f t="shared" si="290"/>
        <v>0</v>
      </c>
      <c r="V594" s="5">
        <f t="shared" si="290"/>
        <v>0</v>
      </c>
    </row>
    <row r="595" spans="1:22">
      <c r="A595" s="7" t="str">
        <f>+A70</f>
        <v>Reported Profit before tax</v>
      </c>
      <c r="B595" s="59">
        <v>-20.5</v>
      </c>
      <c r="C595" s="59">
        <v>23.2</v>
      </c>
      <c r="D595" s="59">
        <f t="shared" si="290"/>
        <v>0</v>
      </c>
      <c r="E595" s="59">
        <f t="shared" si="290"/>
        <v>-13.767022308438392</v>
      </c>
      <c r="F595" s="59">
        <f t="shared" si="290"/>
        <v>15.011749623060545</v>
      </c>
      <c r="G595" s="59"/>
      <c r="H595" s="59"/>
      <c r="I595" s="59"/>
      <c r="J595" s="59"/>
      <c r="K595" s="59"/>
      <c r="L595" s="59"/>
      <c r="M595" s="59"/>
      <c r="N595" s="59">
        <f t="shared" si="290"/>
        <v>169.14197887699311</v>
      </c>
      <c r="O595" s="59">
        <f t="shared" si="290"/>
        <v>177.41753938020588</v>
      </c>
      <c r="P595" s="59">
        <f t="shared" si="290"/>
        <v>200.80437446499695</v>
      </c>
      <c r="Q595" s="59">
        <f t="shared" si="290"/>
        <v>221.67722723501782</v>
      </c>
      <c r="R595" s="59">
        <f t="shared" si="290"/>
        <v>237.21171316914774</v>
      </c>
      <c r="S595" s="59">
        <f t="shared" si="290"/>
        <v>252.95699054366958</v>
      </c>
      <c r="T595" s="59">
        <f t="shared" si="290"/>
        <v>268.90892862159916</v>
      </c>
      <c r="U595" s="59">
        <f t="shared" si="290"/>
        <v>285.04444172261015</v>
      </c>
      <c r="V595" s="59">
        <f t="shared" si="290"/>
        <v>301.34611802212407</v>
      </c>
    </row>
    <row r="596" spans="1:22">
      <c r="A596" s="14" t="str">
        <f>+A71</f>
        <v>% margin</v>
      </c>
      <c r="B596" s="15">
        <f>+B71</f>
        <v>-9.9658036150464091E-2</v>
      </c>
      <c r="C596" s="15">
        <f>+C71</f>
        <v>0.11251826595226498</v>
      </c>
      <c r="D596" s="15">
        <f t="shared" si="290"/>
        <v>0</v>
      </c>
      <c r="E596" s="15">
        <f t="shared" si="290"/>
        <v>-6.4633907551353953E-2</v>
      </c>
      <c r="F596" s="15">
        <f t="shared" si="290"/>
        <v>6.7562298335315074E-2</v>
      </c>
      <c r="G596" s="15"/>
      <c r="H596" s="15"/>
      <c r="I596" s="15"/>
      <c r="J596" s="15"/>
      <c r="K596" s="15"/>
      <c r="L596" s="15"/>
      <c r="M596" s="15"/>
      <c r="N596" s="15">
        <f t="shared" si="290"/>
        <v>0.34498052203388718</v>
      </c>
      <c r="O596" s="15">
        <f t="shared" si="290"/>
        <v>0.34447309578973401</v>
      </c>
      <c r="P596" s="15">
        <f t="shared" si="290"/>
        <v>0.36635264584702382</v>
      </c>
      <c r="Q596" s="15">
        <f t="shared" si="290"/>
        <v>0.3816606192225282</v>
      </c>
      <c r="R596" s="15">
        <f t="shared" si="290"/>
        <v>0.38701374512043901</v>
      </c>
      <c r="S596" s="15">
        <f t="shared" si="290"/>
        <v>0.39198978543347412</v>
      </c>
      <c r="T596" s="15">
        <f t="shared" si="290"/>
        <v>0.39661580190551809</v>
      </c>
      <c r="U596" s="15">
        <f t="shared" si="290"/>
        <v>0.40088776723152159</v>
      </c>
      <c r="V596" s="15">
        <f t="shared" si="290"/>
        <v>0.4048105660097302</v>
      </c>
    </row>
    <row r="598" spans="1:22">
      <c r="A598" s="4" t="str">
        <f t="shared" ref="A598:V602" si="291">+A73</f>
        <v>Income tax expenses</v>
      </c>
      <c r="B598" s="5">
        <f t="shared" si="291"/>
        <v>-1.1000000000000001</v>
      </c>
      <c r="C598" s="5">
        <f t="shared" si="291"/>
        <v>-2.7</v>
      </c>
      <c r="D598" s="5">
        <f t="shared" si="291"/>
        <v>-8.6</v>
      </c>
      <c r="E598" s="5">
        <f t="shared" si="291"/>
        <v>-8</v>
      </c>
      <c r="F598" s="5">
        <f t="shared" si="291"/>
        <v>-2.2517624434590817</v>
      </c>
      <c r="G598" s="5"/>
      <c r="H598" s="5"/>
      <c r="I598" s="5"/>
      <c r="J598" s="5"/>
      <c r="K598" s="5"/>
      <c r="L598" s="5"/>
      <c r="M598" s="5"/>
      <c r="N598" s="5">
        <f t="shared" si="291"/>
        <v>-50.742593663097928</v>
      </c>
      <c r="O598" s="5">
        <f t="shared" si="291"/>
        <v>-53.22526181406176</v>
      </c>
      <c r="P598" s="5">
        <f t="shared" si="291"/>
        <v>-60.241312339499082</v>
      </c>
      <c r="Q598" s="5">
        <f t="shared" si="291"/>
        <v>-66.503168170505347</v>
      </c>
      <c r="R598" s="5">
        <f t="shared" si="291"/>
        <v>-71.163513950744317</v>
      </c>
      <c r="S598" s="5">
        <f t="shared" si="291"/>
        <v>-75.887097163100876</v>
      </c>
      <c r="T598" s="5">
        <f t="shared" si="291"/>
        <v>-80.672678586479748</v>
      </c>
      <c r="U598" s="5">
        <f t="shared" si="291"/>
        <v>-85.513332516783038</v>
      </c>
      <c r="V598" s="5">
        <f t="shared" si="291"/>
        <v>-90.403835406637214</v>
      </c>
    </row>
    <row r="599" spans="1:22">
      <c r="A599" s="7" t="str">
        <f t="shared" si="291"/>
        <v>Reported Profit/loss for the period</v>
      </c>
      <c r="B599" s="59">
        <f t="shared" si="291"/>
        <v>-21.6</v>
      </c>
      <c r="C599" s="59">
        <f t="shared" si="291"/>
        <v>20.5</v>
      </c>
      <c r="D599" s="59">
        <f t="shared" si="291"/>
        <v>-8.6</v>
      </c>
      <c r="E599" s="59">
        <f t="shared" si="291"/>
        <v>-21.767022308438392</v>
      </c>
      <c r="F599" s="59">
        <f t="shared" si="291"/>
        <v>12.759987179601463</v>
      </c>
      <c r="G599" s="59"/>
      <c r="H599" s="59"/>
      <c r="I599" s="59"/>
      <c r="J599" s="59"/>
      <c r="K599" s="59"/>
      <c r="L599" s="59"/>
      <c r="M599" s="59"/>
      <c r="N599" s="59">
        <f t="shared" si="291"/>
        <v>118.39938521389519</v>
      </c>
      <c r="O599" s="59">
        <f t="shared" si="291"/>
        <v>124.19227756614413</v>
      </c>
      <c r="P599" s="59">
        <f t="shared" si="291"/>
        <v>140.56306212549788</v>
      </c>
      <c r="Q599" s="59">
        <f t="shared" si="291"/>
        <v>155.17405906451248</v>
      </c>
      <c r="R599" s="59">
        <f t="shared" si="291"/>
        <v>166.04819921840343</v>
      </c>
      <c r="S599" s="59">
        <f t="shared" si="291"/>
        <v>177.06989338056871</v>
      </c>
      <c r="T599" s="59">
        <f t="shared" si="291"/>
        <v>188.23625003511941</v>
      </c>
      <c r="U599" s="59">
        <f t="shared" si="291"/>
        <v>199.53110920582711</v>
      </c>
      <c r="V599" s="59">
        <f t="shared" si="291"/>
        <v>210.94228261548687</v>
      </c>
    </row>
    <row r="600" spans="1:22">
      <c r="A600" s="14" t="str">
        <f t="shared" si="291"/>
        <v>% margin</v>
      </c>
      <c r="B600" s="15">
        <f t="shared" si="291"/>
        <v>-0.10552027357107964</v>
      </c>
      <c r="C600" s="15">
        <f t="shared" si="291"/>
        <v>9.9853872381880177E-2</v>
      </c>
      <c r="D600" s="15">
        <f t="shared" si="291"/>
        <v>-4.1707080504364696E-2</v>
      </c>
      <c r="E600" s="15">
        <f t="shared" si="291"/>
        <v>-0.10219259299736334</v>
      </c>
      <c r="F600" s="15">
        <f t="shared" si="291"/>
        <v>5.7427953585017809E-2</v>
      </c>
      <c r="G600" s="15"/>
      <c r="H600" s="15"/>
      <c r="I600" s="15"/>
      <c r="J600" s="15"/>
      <c r="K600" s="15"/>
      <c r="L600" s="15"/>
      <c r="M600" s="15"/>
      <c r="N600" s="15">
        <f t="shared" si="291"/>
        <v>0.24148636542372104</v>
      </c>
      <c r="O600" s="15">
        <f t="shared" si="291"/>
        <v>0.24113116705281382</v>
      </c>
      <c r="P600" s="15">
        <f t="shared" si="291"/>
        <v>0.25644685209291673</v>
      </c>
      <c r="Q600" s="15">
        <f t="shared" si="291"/>
        <v>0.26716243345576973</v>
      </c>
      <c r="R600" s="15">
        <f t="shared" si="291"/>
        <v>0.27090962158430731</v>
      </c>
      <c r="S600" s="15">
        <f t="shared" si="291"/>
        <v>0.27439284980343193</v>
      </c>
      <c r="T600" s="15">
        <f t="shared" si="291"/>
        <v>0.27763106133386267</v>
      </c>
      <c r="U600" s="15">
        <f t="shared" si="291"/>
        <v>0.2806214370620651</v>
      </c>
      <c r="V600" s="15">
        <f t="shared" si="291"/>
        <v>0.28336739620681117</v>
      </c>
    </row>
    <row r="601" spans="1:22">
      <c r="A601" s="4" t="str">
        <f t="shared" si="291"/>
        <v>Profit/loss attributable to owners of Tele Columbus Group</v>
      </c>
      <c r="B601" s="5">
        <f t="shared" si="291"/>
        <v>-23.9</v>
      </c>
      <c r="C601" s="5">
        <f t="shared" si="291"/>
        <v>17.600000000000001</v>
      </c>
      <c r="D601" s="5">
        <f t="shared" si="291"/>
        <v>-12</v>
      </c>
      <c r="E601" s="5">
        <f t="shared" si="291"/>
        <v>-23.967022308438391</v>
      </c>
      <c r="F601" s="5">
        <f t="shared" si="291"/>
        <v>9.7599871796014632</v>
      </c>
      <c r="G601" s="5"/>
      <c r="H601" s="5"/>
      <c r="I601" s="5"/>
      <c r="J601" s="5"/>
      <c r="K601" s="5"/>
      <c r="L601" s="5"/>
      <c r="M601" s="5"/>
      <c r="N601" s="5">
        <f t="shared" si="291"/>
        <v>115.39938521389519</v>
      </c>
      <c r="O601" s="5">
        <f t="shared" si="291"/>
        <v>121.19227756614413</v>
      </c>
      <c r="P601" s="5">
        <f t="shared" si="291"/>
        <v>137.56306212549788</v>
      </c>
      <c r="Q601" s="5">
        <f t="shared" si="291"/>
        <v>152.17405906451248</v>
      </c>
      <c r="R601" s="5">
        <f t="shared" si="291"/>
        <v>163.04819921840343</v>
      </c>
      <c r="S601" s="5">
        <f t="shared" si="291"/>
        <v>174.06989338056871</v>
      </c>
      <c r="T601" s="5">
        <f t="shared" si="291"/>
        <v>185.23625003511941</v>
      </c>
      <c r="U601" s="5">
        <f t="shared" si="291"/>
        <v>196.53110920582711</v>
      </c>
      <c r="V601" s="5">
        <f t="shared" si="291"/>
        <v>207.94228261548687</v>
      </c>
    </row>
    <row r="602" spans="1:22">
      <c r="A602" s="4" t="str">
        <f t="shared" si="291"/>
        <v>Profit/loss attributable to non-controlling interests</v>
      </c>
      <c r="B602" s="5">
        <f t="shared" si="291"/>
        <v>2.2999999999999998</v>
      </c>
      <c r="C602" s="5">
        <f t="shared" si="291"/>
        <v>2.9</v>
      </c>
      <c r="D602" s="5">
        <f t="shared" si="291"/>
        <v>3.3</v>
      </c>
      <c r="E602" s="5">
        <f t="shared" si="291"/>
        <v>2.2000000000000002</v>
      </c>
      <c r="F602" s="5">
        <f t="shared" si="291"/>
        <v>3</v>
      </c>
      <c r="G602" s="5"/>
      <c r="H602" s="5"/>
      <c r="I602" s="5"/>
      <c r="J602" s="5"/>
      <c r="K602" s="5"/>
      <c r="L602" s="5"/>
      <c r="M602" s="5"/>
      <c r="N602" s="5">
        <f t="shared" si="291"/>
        <v>3</v>
      </c>
      <c r="O602" s="5">
        <f t="shared" si="291"/>
        <v>3</v>
      </c>
      <c r="P602" s="5">
        <f t="shared" si="291"/>
        <v>3</v>
      </c>
      <c r="Q602" s="5">
        <f t="shared" si="291"/>
        <v>3</v>
      </c>
      <c r="R602" s="5">
        <f t="shared" si="291"/>
        <v>3</v>
      </c>
      <c r="S602" s="5">
        <f t="shared" si="291"/>
        <v>3</v>
      </c>
      <c r="T602" s="5">
        <f t="shared" si="291"/>
        <v>3</v>
      </c>
      <c r="U602" s="5">
        <f t="shared" si="291"/>
        <v>3</v>
      </c>
      <c r="V602" s="5">
        <f t="shared" si="291"/>
        <v>3</v>
      </c>
    </row>
    <row r="603" spans="1:22">
      <c r="A603" s="13"/>
      <c r="B603" s="13"/>
      <c r="C603" s="13"/>
      <c r="D603" s="13"/>
      <c r="E603" s="13"/>
      <c r="F603" s="13"/>
      <c r="G603" s="13"/>
      <c r="H603" s="13"/>
      <c r="I603" s="13"/>
      <c r="J603" s="13"/>
      <c r="K603" s="13"/>
      <c r="L603" s="13"/>
      <c r="M603" s="13"/>
      <c r="N603" s="13"/>
      <c r="O603" s="13"/>
      <c r="P603" s="13"/>
      <c r="Q603" s="13"/>
      <c r="R603" s="13"/>
      <c r="S603" s="13"/>
      <c r="T603" s="13"/>
      <c r="U603" s="13"/>
      <c r="V603" s="13"/>
    </row>
    <row r="604" spans="1:22">
      <c r="A604" s="18" t="str">
        <f t="shared" ref="A604:V613" si="292">+A102</f>
        <v>Balance sheet €m</v>
      </c>
      <c r="B604" s="43" t="str">
        <f t="shared" si="292"/>
        <v>2011A</v>
      </c>
      <c r="C604" s="43" t="str">
        <f t="shared" si="292"/>
        <v>2012A</v>
      </c>
      <c r="D604" s="43" t="str">
        <f t="shared" si="292"/>
        <v>2013A</v>
      </c>
      <c r="E604" s="43" t="str">
        <f t="shared" si="292"/>
        <v>2014A</v>
      </c>
      <c r="F604" s="43" t="str">
        <f t="shared" si="292"/>
        <v>2015E</v>
      </c>
      <c r="G604" s="209"/>
      <c r="H604" s="209"/>
      <c r="I604" s="209"/>
      <c r="J604" s="209"/>
      <c r="K604" s="209"/>
      <c r="L604" s="209"/>
      <c r="M604" s="209"/>
      <c r="N604" s="43" t="str">
        <f t="shared" si="292"/>
        <v>2016E</v>
      </c>
      <c r="O604" s="43" t="str">
        <f t="shared" si="292"/>
        <v>2017E</v>
      </c>
      <c r="P604" s="43" t="str">
        <f t="shared" si="292"/>
        <v>2018E</v>
      </c>
      <c r="Q604" s="43" t="str">
        <f t="shared" si="292"/>
        <v>2019E</v>
      </c>
      <c r="R604" s="43" t="str">
        <f t="shared" si="292"/>
        <v>2020E</v>
      </c>
      <c r="S604" s="43" t="str">
        <f t="shared" si="292"/>
        <v>2021E</v>
      </c>
      <c r="T604" s="43" t="str">
        <f t="shared" si="292"/>
        <v>2022E</v>
      </c>
      <c r="U604" s="43" t="str">
        <f t="shared" si="292"/>
        <v>2023E</v>
      </c>
      <c r="V604" s="43" t="str">
        <f t="shared" si="292"/>
        <v>2024E</v>
      </c>
    </row>
    <row r="605" spans="1:22">
      <c r="A605" s="19" t="str">
        <f t="shared" si="292"/>
        <v>Non-current assets</v>
      </c>
    </row>
    <row r="606" spans="1:22">
      <c r="A606" s="4" t="str">
        <f t="shared" si="292"/>
        <v>Property, plant and equipment</v>
      </c>
      <c r="B606" s="5">
        <f t="shared" si="292"/>
        <v>204.5</v>
      </c>
      <c r="C606" s="5">
        <f t="shared" si="292"/>
        <v>206.9</v>
      </c>
      <c r="D606" s="5">
        <f t="shared" si="292"/>
        <v>207.8</v>
      </c>
      <c r="E606" s="5">
        <f t="shared" si="292"/>
        <v>209.9</v>
      </c>
      <c r="F606" s="5">
        <f t="shared" si="292"/>
        <v>259.92</v>
      </c>
      <c r="G606" s="5"/>
      <c r="H606" s="5"/>
      <c r="I606" s="5"/>
      <c r="J606" s="5"/>
      <c r="K606" s="5"/>
      <c r="L606" s="5"/>
      <c r="M606" s="5"/>
      <c r="N606" s="5">
        <f t="shared" si="292"/>
        <v>325.60662873912293</v>
      </c>
      <c r="O606" s="5">
        <f t="shared" si="292"/>
        <v>363.49337041291278</v>
      </c>
      <c r="P606" s="5">
        <f t="shared" si="292"/>
        <v>400.41823896954236</v>
      </c>
      <c r="Q606" s="5">
        <f t="shared" si="292"/>
        <v>436.49917094631667</v>
      </c>
      <c r="R606" s="5">
        <f t="shared" si="292"/>
        <v>471.78501551392918</v>
      </c>
      <c r="S606" s="5">
        <f t="shared" si="292"/>
        <v>506.4910645332501</v>
      </c>
      <c r="T606" s="5">
        <f t="shared" si="292"/>
        <v>540.79457366069028</v>
      </c>
      <c r="U606" s="5">
        <f t="shared" si="292"/>
        <v>574.84226387990293</v>
      </c>
      <c r="V606" s="5">
        <f t="shared" si="292"/>
        <v>608.75634694903704</v>
      </c>
    </row>
    <row r="607" spans="1:22">
      <c r="A607" s="4" t="str">
        <f t="shared" si="292"/>
        <v>Intangible assets and goodwill</v>
      </c>
      <c r="B607" s="5">
        <f t="shared" si="292"/>
        <v>386.1</v>
      </c>
      <c r="C607" s="5">
        <f t="shared" si="292"/>
        <v>380.7</v>
      </c>
      <c r="D607" s="5">
        <f t="shared" si="292"/>
        <v>372.2</v>
      </c>
      <c r="E607" s="5">
        <f t="shared" si="292"/>
        <v>381.8</v>
      </c>
      <c r="F607" s="5">
        <f t="shared" si="292"/>
        <v>384.8</v>
      </c>
      <c r="G607" s="5"/>
      <c r="H607" s="5"/>
      <c r="I607" s="5"/>
      <c r="J607" s="5"/>
      <c r="K607" s="5"/>
      <c r="L607" s="5"/>
      <c r="M607" s="5"/>
      <c r="N607" s="5">
        <f t="shared" si="292"/>
        <v>394.21765718478071</v>
      </c>
      <c r="O607" s="5">
        <f t="shared" si="292"/>
        <v>399.96967404018432</v>
      </c>
      <c r="P607" s="5">
        <f t="shared" si="292"/>
        <v>412.37555969998732</v>
      </c>
      <c r="Q607" s="5">
        <f t="shared" si="292"/>
        <v>431.41670464265803</v>
      </c>
      <c r="R607" s="5">
        <f t="shared" si="292"/>
        <v>452.06312433187696</v>
      </c>
      <c r="S607" s="5">
        <f t="shared" si="292"/>
        <v>474.32888736240363</v>
      </c>
      <c r="T607" s="5">
        <f t="shared" si="292"/>
        <v>498.22931787092614</v>
      </c>
      <c r="U607" s="5">
        <f t="shared" si="292"/>
        <v>523.78096910876377</v>
      </c>
      <c r="V607" s="5">
        <f t="shared" si="292"/>
        <v>551.00160307004239</v>
      </c>
    </row>
    <row r="608" spans="1:22">
      <c r="A608" s="4" t="str">
        <f t="shared" si="292"/>
        <v>Investments in non-consolidated subsidiaries</v>
      </c>
      <c r="B608" s="5">
        <f t="shared" si="292"/>
        <v>0.5</v>
      </c>
      <c r="C608" s="5">
        <f t="shared" si="292"/>
        <v>0.5</v>
      </c>
      <c r="D608" s="5">
        <f t="shared" si="292"/>
        <v>0.5</v>
      </c>
      <c r="E608" s="5">
        <f t="shared" si="292"/>
        <v>0</v>
      </c>
      <c r="F608" s="5">
        <f t="shared" si="292"/>
        <v>0</v>
      </c>
      <c r="G608" s="5"/>
      <c r="H608" s="5"/>
      <c r="I608" s="5"/>
      <c r="J608" s="5"/>
      <c r="K608" s="5"/>
      <c r="L608" s="5"/>
      <c r="M608" s="5"/>
      <c r="N608" s="5">
        <f t="shared" si="292"/>
        <v>0</v>
      </c>
      <c r="O608" s="5">
        <f t="shared" si="292"/>
        <v>0</v>
      </c>
      <c r="P608" s="5">
        <f t="shared" si="292"/>
        <v>0</v>
      </c>
      <c r="Q608" s="5">
        <f t="shared" si="292"/>
        <v>0</v>
      </c>
      <c r="R608" s="5">
        <f t="shared" si="292"/>
        <v>0</v>
      </c>
      <c r="S608" s="5">
        <f t="shared" si="292"/>
        <v>0</v>
      </c>
      <c r="T608" s="5">
        <f t="shared" si="292"/>
        <v>0</v>
      </c>
      <c r="U608" s="5">
        <f t="shared" si="292"/>
        <v>0</v>
      </c>
      <c r="V608" s="5">
        <f t="shared" si="292"/>
        <v>0</v>
      </c>
    </row>
    <row r="609" spans="1:22">
      <c r="A609" s="4" t="str">
        <f t="shared" si="292"/>
        <v>Investments in associates</v>
      </c>
      <c r="B609" s="5">
        <f t="shared" si="292"/>
        <v>0.3</v>
      </c>
      <c r="C609" s="5">
        <f t="shared" si="292"/>
        <v>0.3</v>
      </c>
      <c r="D609" s="5">
        <f t="shared" si="292"/>
        <v>0.3</v>
      </c>
      <c r="E609" s="5">
        <f t="shared" si="292"/>
        <v>0.3</v>
      </c>
      <c r="F609" s="5">
        <f t="shared" si="292"/>
        <v>0.3</v>
      </c>
      <c r="G609" s="5"/>
      <c r="H609" s="5"/>
      <c r="I609" s="5"/>
      <c r="J609" s="5"/>
      <c r="K609" s="5"/>
      <c r="L609" s="5"/>
      <c r="M609" s="5"/>
      <c r="N609" s="5">
        <f t="shared" si="292"/>
        <v>0.3</v>
      </c>
      <c r="O609" s="5">
        <f t="shared" si="292"/>
        <v>0.3</v>
      </c>
      <c r="P609" s="5">
        <f t="shared" si="292"/>
        <v>0.3</v>
      </c>
      <c r="Q609" s="5">
        <f t="shared" si="292"/>
        <v>0.3</v>
      </c>
      <c r="R609" s="5">
        <f t="shared" si="292"/>
        <v>0.3</v>
      </c>
      <c r="S609" s="5">
        <f t="shared" si="292"/>
        <v>0.3</v>
      </c>
      <c r="T609" s="5">
        <f t="shared" si="292"/>
        <v>0.3</v>
      </c>
      <c r="U609" s="5">
        <f t="shared" si="292"/>
        <v>0.3</v>
      </c>
      <c r="V609" s="5">
        <f t="shared" si="292"/>
        <v>0.3</v>
      </c>
    </row>
    <row r="610" spans="1:22">
      <c r="A610" s="4" t="str">
        <f t="shared" si="292"/>
        <v>Receivables from related parties</v>
      </c>
      <c r="B610" s="5">
        <f t="shared" si="292"/>
        <v>9.1999999999999993</v>
      </c>
      <c r="C610" s="5">
        <f t="shared" si="292"/>
        <v>9.3000000000000007</v>
      </c>
      <c r="D610" s="5">
        <f t="shared" si="292"/>
        <v>9.4</v>
      </c>
      <c r="E610" s="5">
        <f t="shared" si="292"/>
        <v>0</v>
      </c>
      <c r="F610" s="5">
        <f t="shared" si="292"/>
        <v>0</v>
      </c>
      <c r="G610" s="5"/>
      <c r="H610" s="5"/>
      <c r="I610" s="5"/>
      <c r="J610" s="5"/>
      <c r="K610" s="5"/>
      <c r="L610" s="5"/>
      <c r="M610" s="5"/>
      <c r="N610" s="5">
        <f t="shared" si="292"/>
        <v>0</v>
      </c>
      <c r="O610" s="5">
        <f t="shared" si="292"/>
        <v>0</v>
      </c>
      <c r="P610" s="5">
        <f t="shared" si="292"/>
        <v>0</v>
      </c>
      <c r="Q610" s="5">
        <f t="shared" si="292"/>
        <v>0</v>
      </c>
      <c r="R610" s="5">
        <f t="shared" si="292"/>
        <v>0</v>
      </c>
      <c r="S610" s="5">
        <f t="shared" si="292"/>
        <v>0</v>
      </c>
      <c r="T610" s="5">
        <f t="shared" si="292"/>
        <v>0</v>
      </c>
      <c r="U610" s="5">
        <f t="shared" si="292"/>
        <v>0</v>
      </c>
      <c r="V610" s="5">
        <f t="shared" si="292"/>
        <v>0</v>
      </c>
    </row>
    <row r="611" spans="1:22">
      <c r="A611" s="4" t="str">
        <f t="shared" si="292"/>
        <v>Other financial receivables</v>
      </c>
      <c r="B611" s="5">
        <f t="shared" si="292"/>
        <v>0.8</v>
      </c>
      <c r="C611" s="5">
        <f t="shared" si="292"/>
        <v>0.9</v>
      </c>
      <c r="D611" s="5">
        <f t="shared" si="292"/>
        <v>1.5</v>
      </c>
      <c r="E611" s="5">
        <f t="shared" si="292"/>
        <v>1.1000000000000001</v>
      </c>
      <c r="F611" s="5">
        <f t="shared" si="292"/>
        <v>1.1000000000000001</v>
      </c>
      <c r="G611" s="5"/>
      <c r="H611" s="5"/>
      <c r="I611" s="5"/>
      <c r="J611" s="5"/>
      <c r="K611" s="5"/>
      <c r="L611" s="5"/>
      <c r="M611" s="5"/>
      <c r="N611" s="5">
        <f t="shared" si="292"/>
        <v>1.1000000000000001</v>
      </c>
      <c r="O611" s="5">
        <f t="shared" si="292"/>
        <v>1.1000000000000001</v>
      </c>
      <c r="P611" s="5">
        <f t="shared" si="292"/>
        <v>1.1000000000000001</v>
      </c>
      <c r="Q611" s="5">
        <f t="shared" si="292"/>
        <v>1.1000000000000001</v>
      </c>
      <c r="R611" s="5">
        <f t="shared" si="292"/>
        <v>1.1000000000000001</v>
      </c>
      <c r="S611" s="5">
        <f t="shared" si="292"/>
        <v>1.1000000000000001</v>
      </c>
      <c r="T611" s="5">
        <f t="shared" si="292"/>
        <v>1.1000000000000001</v>
      </c>
      <c r="U611" s="5">
        <f t="shared" si="292"/>
        <v>1.1000000000000001</v>
      </c>
      <c r="V611" s="5">
        <f t="shared" si="292"/>
        <v>1.1000000000000001</v>
      </c>
    </row>
    <row r="612" spans="1:22">
      <c r="A612" s="4" t="str">
        <f t="shared" si="292"/>
        <v>Deferred expenses</v>
      </c>
      <c r="B612" s="5">
        <f t="shared" si="292"/>
        <v>0.2</v>
      </c>
      <c r="C612" s="5">
        <f t="shared" si="292"/>
        <v>0.1</v>
      </c>
      <c r="D612" s="5">
        <f t="shared" si="292"/>
        <v>0</v>
      </c>
      <c r="E612" s="5">
        <f t="shared" si="292"/>
        <v>0.1</v>
      </c>
      <c r="F612" s="5">
        <f t="shared" si="292"/>
        <v>0.1</v>
      </c>
      <c r="G612" s="5"/>
      <c r="H612" s="5"/>
      <c r="I612" s="5"/>
      <c r="J612" s="5"/>
      <c r="K612" s="5"/>
      <c r="L612" s="5"/>
      <c r="M612" s="5"/>
      <c r="N612" s="5">
        <f t="shared" si="292"/>
        <v>0.1</v>
      </c>
      <c r="O612" s="5">
        <f t="shared" si="292"/>
        <v>0.1</v>
      </c>
      <c r="P612" s="5">
        <f t="shared" si="292"/>
        <v>0.1</v>
      </c>
      <c r="Q612" s="5">
        <f t="shared" si="292"/>
        <v>0.1</v>
      </c>
      <c r="R612" s="5">
        <f t="shared" si="292"/>
        <v>0.1</v>
      </c>
      <c r="S612" s="5">
        <f t="shared" si="292"/>
        <v>0.1</v>
      </c>
      <c r="T612" s="5">
        <f t="shared" si="292"/>
        <v>0.1</v>
      </c>
      <c r="U612" s="5">
        <f t="shared" si="292"/>
        <v>0.1</v>
      </c>
      <c r="V612" s="5">
        <f t="shared" si="292"/>
        <v>0.1</v>
      </c>
    </row>
    <row r="613" spans="1:22">
      <c r="A613" s="20" t="str">
        <f t="shared" si="292"/>
        <v>Total non-current assets</v>
      </c>
      <c r="B613" s="21">
        <f t="shared" si="292"/>
        <v>601.6</v>
      </c>
      <c r="C613" s="21">
        <f t="shared" si="292"/>
        <v>598.69999999999993</v>
      </c>
      <c r="D613" s="21">
        <f t="shared" si="292"/>
        <v>591.69999999999993</v>
      </c>
      <c r="E613" s="21">
        <f t="shared" si="292"/>
        <v>593.20000000000005</v>
      </c>
      <c r="F613" s="21">
        <f t="shared" si="292"/>
        <v>646.22</v>
      </c>
      <c r="G613" s="351"/>
      <c r="H613" s="351"/>
      <c r="I613" s="351"/>
      <c r="J613" s="351"/>
      <c r="K613" s="351"/>
      <c r="L613" s="351"/>
      <c r="M613" s="351"/>
      <c r="N613" s="21">
        <f t="shared" si="292"/>
        <v>721.32428592390363</v>
      </c>
      <c r="O613" s="21">
        <f t="shared" si="292"/>
        <v>764.96304445309715</v>
      </c>
      <c r="P613" s="21">
        <f t="shared" si="292"/>
        <v>814.29379866952968</v>
      </c>
      <c r="Q613" s="21">
        <f t="shared" si="292"/>
        <v>869.4158755889747</v>
      </c>
      <c r="R613" s="21">
        <f t="shared" si="292"/>
        <v>925.34813984580614</v>
      </c>
      <c r="S613" s="21">
        <f t="shared" si="292"/>
        <v>982.31995189565373</v>
      </c>
      <c r="T613" s="21">
        <f t="shared" si="292"/>
        <v>1040.5238915316161</v>
      </c>
      <c r="U613" s="21">
        <f t="shared" si="292"/>
        <v>1100.1232329886664</v>
      </c>
      <c r="V613" s="21">
        <f t="shared" si="292"/>
        <v>1161.2579500190793</v>
      </c>
    </row>
    <row r="614" spans="1:22">
      <c r="A614" s="19" t="str">
        <f t="shared" ref="A614:P624" si="293">+A113</f>
        <v>Current assets</v>
      </c>
      <c r="B614" s="5"/>
      <c r="C614" s="5"/>
      <c r="D614" s="5"/>
      <c r="E614" s="5"/>
      <c r="F614" s="5"/>
      <c r="G614" s="5"/>
      <c r="H614" s="5"/>
      <c r="I614" s="5"/>
      <c r="J614" s="5"/>
      <c r="K614" s="5"/>
      <c r="L614" s="5"/>
      <c r="M614" s="5"/>
      <c r="N614" s="5"/>
      <c r="O614" s="5"/>
      <c r="P614" s="5"/>
      <c r="Q614" s="5"/>
      <c r="R614" s="5"/>
      <c r="S614" s="5"/>
      <c r="T614" s="5"/>
      <c r="U614" s="5"/>
      <c r="V614" s="5"/>
    </row>
    <row r="615" spans="1:22">
      <c r="A615" s="4" t="str">
        <f t="shared" si="293"/>
        <v>Inventories</v>
      </c>
      <c r="B615" s="5">
        <f t="shared" si="293"/>
        <v>1.5</v>
      </c>
      <c r="C615" s="5">
        <f t="shared" si="293"/>
        <v>2.5</v>
      </c>
      <c r="D615" s="5">
        <f t="shared" si="293"/>
        <v>1.7</v>
      </c>
      <c r="E615" s="5">
        <f t="shared" si="293"/>
        <v>3.3</v>
      </c>
      <c r="F615" s="5">
        <f t="shared" si="293"/>
        <v>3.5373773258922259</v>
      </c>
      <c r="G615" s="5"/>
      <c r="H615" s="5"/>
      <c r="I615" s="5"/>
      <c r="J615" s="5"/>
      <c r="K615" s="5"/>
      <c r="L615" s="5"/>
      <c r="M615" s="5"/>
      <c r="N615" s="5">
        <f t="shared" si="293"/>
        <v>8.0152721718463766</v>
      </c>
      <c r="O615" s="5">
        <f t="shared" si="293"/>
        <v>8.639977369326088</v>
      </c>
      <c r="P615" s="5">
        <f t="shared" si="293"/>
        <v>9.4291606605639178</v>
      </c>
      <c r="Q615" s="5">
        <f t="shared" ref="Q615:V624" si="294">+Q114</f>
        <v>10.240060722232295</v>
      </c>
      <c r="R615" s="5">
        <f t="shared" si="294"/>
        <v>11.068092125810095</v>
      </c>
      <c r="S615" s="5">
        <f t="shared" si="294"/>
        <v>11.928772444048729</v>
      </c>
      <c r="T615" s="5">
        <f t="shared" si="294"/>
        <v>12.822937416023793</v>
      </c>
      <c r="U615" s="5">
        <f t="shared" si="294"/>
        <v>13.751455494305844</v>
      </c>
      <c r="V615" s="5">
        <f t="shared" si="294"/>
        <v>14.715229109335709</v>
      </c>
    </row>
    <row r="616" spans="1:22">
      <c r="A616" s="4" t="str">
        <f t="shared" si="293"/>
        <v>Trade receivables</v>
      </c>
      <c r="B616" s="5">
        <f t="shared" si="293"/>
        <v>16.3</v>
      </c>
      <c r="C616" s="5">
        <f t="shared" si="293"/>
        <v>18.5</v>
      </c>
      <c r="D616" s="5">
        <f t="shared" si="293"/>
        <v>18.899999999999999</v>
      </c>
      <c r="E616" s="5">
        <f t="shared" si="293"/>
        <v>19.100000000000001</v>
      </c>
      <c r="F616" s="5">
        <f t="shared" si="293"/>
        <v>19.924189383719735</v>
      </c>
      <c r="G616" s="5"/>
      <c r="H616" s="5"/>
      <c r="I616" s="5"/>
      <c r="J616" s="5"/>
      <c r="K616" s="5"/>
      <c r="L616" s="5"/>
      <c r="M616" s="5"/>
      <c r="N616" s="5">
        <f t="shared" si="293"/>
        <v>43.965356199476687</v>
      </c>
      <c r="O616" s="5">
        <f t="shared" si="293"/>
        <v>46.184368257108844</v>
      </c>
      <c r="P616" s="5">
        <f t="shared" si="293"/>
        <v>49.150461605843937</v>
      </c>
      <c r="Q616" s="5">
        <f t="shared" si="294"/>
        <v>52.083180131925864</v>
      </c>
      <c r="R616" s="5">
        <f t="shared" si="294"/>
        <v>54.962123574092224</v>
      </c>
      <c r="S616" s="5">
        <f t="shared" si="294"/>
        <v>57.866298017188718</v>
      </c>
      <c r="T616" s="5">
        <f t="shared" si="294"/>
        <v>60.797955184298651</v>
      </c>
      <c r="U616" s="5">
        <f t="shared" si="294"/>
        <v>63.759299403070408</v>
      </c>
      <c r="V616" s="5">
        <f t="shared" si="294"/>
        <v>66.752498465767388</v>
      </c>
    </row>
    <row r="617" spans="1:22">
      <c r="A617" s="4" t="str">
        <f t="shared" si="293"/>
        <v>Receivables from related parties</v>
      </c>
      <c r="B617" s="5">
        <f t="shared" si="293"/>
        <v>2.9</v>
      </c>
      <c r="C617" s="5">
        <f t="shared" si="293"/>
        <v>6</v>
      </c>
      <c r="D617" s="5">
        <f t="shared" si="293"/>
        <v>2.2000000000000002</v>
      </c>
      <c r="E617" s="5">
        <f t="shared" si="293"/>
        <v>3.1</v>
      </c>
      <c r="F617" s="5">
        <f t="shared" si="293"/>
        <v>3.1</v>
      </c>
      <c r="G617" s="5"/>
      <c r="H617" s="5"/>
      <c r="I617" s="5"/>
      <c r="J617" s="5"/>
      <c r="K617" s="5"/>
      <c r="L617" s="5"/>
      <c r="M617" s="5"/>
      <c r="N617" s="5">
        <f t="shared" si="293"/>
        <v>3.1</v>
      </c>
      <c r="O617" s="5">
        <f t="shared" si="293"/>
        <v>3.1</v>
      </c>
      <c r="P617" s="5">
        <f t="shared" si="293"/>
        <v>3.1</v>
      </c>
      <c r="Q617" s="5">
        <f t="shared" si="294"/>
        <v>3.1</v>
      </c>
      <c r="R617" s="5">
        <f t="shared" si="294"/>
        <v>3.1</v>
      </c>
      <c r="S617" s="5">
        <f t="shared" si="294"/>
        <v>3.1</v>
      </c>
      <c r="T617" s="5">
        <f t="shared" si="294"/>
        <v>3.1</v>
      </c>
      <c r="U617" s="5">
        <f t="shared" si="294"/>
        <v>3.1</v>
      </c>
      <c r="V617" s="5">
        <f t="shared" si="294"/>
        <v>3.1</v>
      </c>
    </row>
    <row r="618" spans="1:22">
      <c r="A618" s="4" t="str">
        <f t="shared" si="293"/>
        <v>Other financial receivables</v>
      </c>
      <c r="B618" s="5">
        <f t="shared" si="293"/>
        <v>3.8</v>
      </c>
      <c r="C618" s="5">
        <f t="shared" si="293"/>
        <v>18.600000000000001</v>
      </c>
      <c r="D618" s="5">
        <f t="shared" si="293"/>
        <v>7.1</v>
      </c>
      <c r="E618" s="5">
        <f t="shared" si="293"/>
        <v>4.7</v>
      </c>
      <c r="F618" s="5">
        <f t="shared" si="293"/>
        <v>4.7</v>
      </c>
      <c r="G618" s="5"/>
      <c r="H618" s="5"/>
      <c r="I618" s="5"/>
      <c r="J618" s="5"/>
      <c r="K618" s="5"/>
      <c r="L618" s="5"/>
      <c r="M618" s="5"/>
      <c r="N618" s="5">
        <f t="shared" si="293"/>
        <v>4.7</v>
      </c>
      <c r="O618" s="5">
        <f t="shared" si="293"/>
        <v>4.7</v>
      </c>
      <c r="P618" s="5">
        <f t="shared" si="293"/>
        <v>4.7</v>
      </c>
      <c r="Q618" s="5">
        <f t="shared" si="294"/>
        <v>4.7</v>
      </c>
      <c r="R618" s="5">
        <f t="shared" si="294"/>
        <v>4.7</v>
      </c>
      <c r="S618" s="5">
        <f t="shared" si="294"/>
        <v>4.7</v>
      </c>
      <c r="T618" s="5">
        <f t="shared" si="294"/>
        <v>4.7</v>
      </c>
      <c r="U618" s="5">
        <f t="shared" si="294"/>
        <v>4.7</v>
      </c>
      <c r="V618" s="5">
        <f t="shared" si="294"/>
        <v>4.7</v>
      </c>
    </row>
    <row r="619" spans="1:22">
      <c r="A619" s="4" t="str">
        <f t="shared" si="293"/>
        <v>Other receivables</v>
      </c>
      <c r="B619" s="5">
        <f t="shared" si="293"/>
        <v>3.7</v>
      </c>
      <c r="C619" s="5">
        <f t="shared" si="293"/>
        <v>1.1000000000000001</v>
      </c>
      <c r="D619" s="5">
        <f t="shared" si="293"/>
        <v>0.9</v>
      </c>
      <c r="E619" s="5">
        <f t="shared" si="293"/>
        <v>13.1</v>
      </c>
      <c r="F619" s="5">
        <f t="shared" si="293"/>
        <v>13.665281723912484</v>
      </c>
      <c r="G619" s="5"/>
      <c r="H619" s="5"/>
      <c r="I619" s="5"/>
      <c r="J619" s="5"/>
      <c r="K619" s="5"/>
      <c r="L619" s="5"/>
      <c r="M619" s="5"/>
      <c r="N619" s="5">
        <f t="shared" si="293"/>
        <v>30.154249539955206</v>
      </c>
      <c r="O619" s="5">
        <f t="shared" si="293"/>
        <v>31.676189747022288</v>
      </c>
      <c r="P619" s="5">
        <f t="shared" si="293"/>
        <v>33.710526022856307</v>
      </c>
      <c r="Q619" s="5">
        <f t="shared" si="294"/>
        <v>35.721971713519821</v>
      </c>
      <c r="R619" s="5">
        <f t="shared" si="294"/>
        <v>37.696535016785752</v>
      </c>
      <c r="S619" s="5">
        <f t="shared" si="294"/>
        <v>39.688403352103244</v>
      </c>
      <c r="T619" s="5">
        <f t="shared" si="294"/>
        <v>41.699121094990161</v>
      </c>
      <c r="U619" s="5">
        <f t="shared" si="294"/>
        <v>43.730200114147756</v>
      </c>
      <c r="V619" s="5">
        <f t="shared" si="294"/>
        <v>45.783127219976578</v>
      </c>
    </row>
    <row r="620" spans="1:22">
      <c r="A620" s="4" t="str">
        <f t="shared" si="293"/>
        <v>Income tax rebate claims</v>
      </c>
      <c r="B620" s="5">
        <f t="shared" si="293"/>
        <v>1.8</v>
      </c>
      <c r="C620" s="5">
        <f t="shared" si="293"/>
        <v>1.3</v>
      </c>
      <c r="D620" s="5">
        <f t="shared" si="293"/>
        <v>1.2</v>
      </c>
      <c r="E620" s="5">
        <f t="shared" si="293"/>
        <v>0.5</v>
      </c>
      <c r="F620" s="5">
        <f t="shared" si="293"/>
        <v>0.5</v>
      </c>
      <c r="G620" s="5"/>
      <c r="H620" s="5"/>
      <c r="I620" s="5"/>
      <c r="J620" s="5"/>
      <c r="K620" s="5"/>
      <c r="L620" s="5"/>
      <c r="M620" s="5"/>
      <c r="N620" s="5">
        <f t="shared" si="293"/>
        <v>0.5</v>
      </c>
      <c r="O620" s="5">
        <f t="shared" si="293"/>
        <v>0.5</v>
      </c>
      <c r="P620" s="5">
        <f t="shared" si="293"/>
        <v>0.5</v>
      </c>
      <c r="Q620" s="5">
        <f t="shared" si="294"/>
        <v>0.5</v>
      </c>
      <c r="R620" s="5">
        <f t="shared" si="294"/>
        <v>0.5</v>
      </c>
      <c r="S620" s="5">
        <f t="shared" si="294"/>
        <v>0.5</v>
      </c>
      <c r="T620" s="5">
        <f t="shared" si="294"/>
        <v>0.5</v>
      </c>
      <c r="U620" s="5">
        <f t="shared" si="294"/>
        <v>0.5</v>
      </c>
      <c r="V620" s="5">
        <f t="shared" si="294"/>
        <v>0.5</v>
      </c>
    </row>
    <row r="621" spans="1:22">
      <c r="A621" s="4" t="str">
        <f t="shared" si="293"/>
        <v>Cash and cash equivalents</v>
      </c>
      <c r="B621" s="5">
        <f t="shared" si="293"/>
        <v>45.6</v>
      </c>
      <c r="C621" s="5">
        <f t="shared" si="293"/>
        <v>22</v>
      </c>
      <c r="D621" s="5">
        <f t="shared" si="293"/>
        <v>70.5</v>
      </c>
      <c r="E621" s="36">
        <f t="shared" si="293"/>
        <v>24.4</v>
      </c>
      <c r="F621" s="36">
        <f t="shared" si="293"/>
        <v>125.85055867228323</v>
      </c>
      <c r="G621" s="36"/>
      <c r="H621" s="36"/>
      <c r="I621" s="36"/>
      <c r="J621" s="36"/>
      <c r="K621" s="36"/>
      <c r="L621" s="36"/>
      <c r="M621" s="36"/>
      <c r="N621" s="36">
        <f t="shared" si="293"/>
        <v>221.78944243828326</v>
      </c>
      <c r="O621" s="36">
        <f t="shared" si="293"/>
        <v>180.69137475027193</v>
      </c>
      <c r="P621" s="36">
        <f t="shared" si="293"/>
        <v>153.73662480779993</v>
      </c>
      <c r="Q621" s="36">
        <f t="shared" si="294"/>
        <v>119.04688902823401</v>
      </c>
      <c r="R621" s="36">
        <f t="shared" si="294"/>
        <v>78.194155279971511</v>
      </c>
      <c r="S621" s="36">
        <f t="shared" si="294"/>
        <v>36.512066662536853</v>
      </c>
      <c r="T621" s="36">
        <f t="shared" si="294"/>
        <v>-6.1956798929292347</v>
      </c>
      <c r="U621" s="36">
        <f t="shared" si="294"/>
        <v>-50.115029150446475</v>
      </c>
      <c r="V621" s="36">
        <f t="shared" si="294"/>
        <v>-95.40294226088858</v>
      </c>
    </row>
    <row r="622" spans="1:22">
      <c r="A622" s="4" t="str">
        <f t="shared" si="293"/>
        <v>Deferred expenses</v>
      </c>
      <c r="B622" s="5">
        <f t="shared" si="293"/>
        <v>1.1000000000000001</v>
      </c>
      <c r="C622" s="5">
        <f t="shared" si="293"/>
        <v>1.1000000000000001</v>
      </c>
      <c r="D622" s="5">
        <f t="shared" si="293"/>
        <v>2.2000000000000002</v>
      </c>
      <c r="E622" s="5">
        <f t="shared" si="293"/>
        <v>5.7</v>
      </c>
      <c r="F622" s="5">
        <f t="shared" si="293"/>
        <v>5.7438666237566345</v>
      </c>
      <c r="G622" s="5"/>
      <c r="H622" s="5"/>
      <c r="I622" s="5"/>
      <c r="J622" s="5"/>
      <c r="K622" s="5"/>
      <c r="L622" s="5"/>
      <c r="M622" s="5"/>
      <c r="N622" s="5">
        <f t="shared" si="293"/>
        <v>11.28465591480578</v>
      </c>
      <c r="O622" s="5">
        <f t="shared" si="293"/>
        <v>11.44915121434463</v>
      </c>
      <c r="P622" s="5">
        <f t="shared" si="293"/>
        <v>11.750774182862623</v>
      </c>
      <c r="Q622" s="5">
        <f t="shared" si="294"/>
        <v>12.156399374810158</v>
      </c>
      <c r="R622" s="5">
        <f t="shared" si="294"/>
        <v>12.556313711486306</v>
      </c>
      <c r="S622" s="5">
        <f t="shared" si="294"/>
        <v>12.964975845676346</v>
      </c>
      <c r="T622" s="5">
        <f t="shared" si="294"/>
        <v>13.382871880627402</v>
      </c>
      <c r="U622" s="5">
        <f t="shared" si="294"/>
        <v>13.810489815002905</v>
      </c>
      <c r="V622" s="5">
        <f t="shared" si="294"/>
        <v>14.248321314084166</v>
      </c>
    </row>
    <row r="623" spans="1:22">
      <c r="A623" s="20" t="str">
        <f t="shared" si="293"/>
        <v>Total current assets</v>
      </c>
      <c r="B623" s="21">
        <v>76.599999999999994</v>
      </c>
      <c r="C623" s="21">
        <f t="shared" si="293"/>
        <v>71</v>
      </c>
      <c r="D623" s="21">
        <f t="shared" si="293"/>
        <v>104.7</v>
      </c>
      <c r="E623" s="21">
        <f t="shared" si="293"/>
        <v>73.900000000000006</v>
      </c>
      <c r="F623" s="21">
        <f t="shared" si="293"/>
        <v>177.02127372956431</v>
      </c>
      <c r="G623" s="351"/>
      <c r="H623" s="351"/>
      <c r="I623" s="351"/>
      <c r="J623" s="351"/>
      <c r="K623" s="351"/>
      <c r="L623" s="351"/>
      <c r="M623" s="351"/>
      <c r="N623" s="21">
        <f t="shared" si="293"/>
        <v>323.50897626436733</v>
      </c>
      <c r="O623" s="21">
        <f t="shared" si="293"/>
        <v>286.94106133807378</v>
      </c>
      <c r="P623" s="21">
        <f t="shared" si="293"/>
        <v>266.0775472799267</v>
      </c>
      <c r="Q623" s="21">
        <f t="shared" si="294"/>
        <v>237.54850097072213</v>
      </c>
      <c r="R623" s="21">
        <f t="shared" si="294"/>
        <v>202.77721970814588</v>
      </c>
      <c r="S623" s="21">
        <f t="shared" si="294"/>
        <v>167.26051632155389</v>
      </c>
      <c r="T623" s="21">
        <f t="shared" si="294"/>
        <v>130.80720568301078</v>
      </c>
      <c r="U623" s="21">
        <f t="shared" si="294"/>
        <v>93.236415676080441</v>
      </c>
      <c r="V623" s="21">
        <f t="shared" si="294"/>
        <v>54.396233848275244</v>
      </c>
    </row>
    <row r="624" spans="1:22">
      <c r="A624" s="7" t="str">
        <f t="shared" si="293"/>
        <v>Total assets</v>
      </c>
      <c r="B624" s="9">
        <f>+B123</f>
        <v>678.3</v>
      </c>
      <c r="C624" s="9">
        <f t="shared" si="293"/>
        <v>669.69999999999993</v>
      </c>
      <c r="D624" s="9">
        <f t="shared" si="293"/>
        <v>696.4</v>
      </c>
      <c r="E624" s="9">
        <f t="shared" si="293"/>
        <v>667.1</v>
      </c>
      <c r="F624" s="9">
        <f t="shared" si="293"/>
        <v>823.24127372956434</v>
      </c>
      <c r="G624" s="9"/>
      <c r="H624" s="9"/>
      <c r="I624" s="9"/>
      <c r="J624" s="9"/>
      <c r="K624" s="9"/>
      <c r="L624" s="9"/>
      <c r="M624" s="9"/>
      <c r="N624" s="9">
        <f t="shared" si="293"/>
        <v>1044.833262188271</v>
      </c>
      <c r="O624" s="9">
        <f t="shared" si="293"/>
        <v>1051.9041057911709</v>
      </c>
      <c r="P624" s="9">
        <f t="shared" si="293"/>
        <v>1080.3713459494563</v>
      </c>
      <c r="Q624" s="9">
        <f t="shared" si="294"/>
        <v>1106.9643765596968</v>
      </c>
      <c r="R624" s="9">
        <f t="shared" si="294"/>
        <v>1128.125359553952</v>
      </c>
      <c r="S624" s="9">
        <f t="shared" si="294"/>
        <v>1149.5804682172077</v>
      </c>
      <c r="T624" s="9">
        <f t="shared" si="294"/>
        <v>1171.3310972146269</v>
      </c>
      <c r="U624" s="9">
        <f t="shared" si="294"/>
        <v>1193.3596486647468</v>
      </c>
      <c r="V624" s="9">
        <f t="shared" si="294"/>
        <v>1215.6541838673545</v>
      </c>
    </row>
    <row r="625" spans="1:22">
      <c r="B625" s="5"/>
      <c r="C625" s="5"/>
      <c r="D625" s="5"/>
      <c r="E625" s="5"/>
      <c r="F625" s="5"/>
      <c r="G625" s="5"/>
      <c r="H625" s="5"/>
      <c r="I625" s="5"/>
      <c r="J625" s="5"/>
      <c r="K625" s="5"/>
      <c r="L625" s="5"/>
      <c r="M625" s="5"/>
      <c r="N625" s="5"/>
      <c r="O625" s="5"/>
      <c r="P625" s="5"/>
      <c r="Q625" s="5"/>
      <c r="R625" s="5"/>
      <c r="S625" s="5"/>
      <c r="T625" s="5"/>
      <c r="U625" s="5"/>
      <c r="V625" s="5"/>
    </row>
    <row r="626" spans="1:22">
      <c r="A626" s="19" t="str">
        <f>+A125</f>
        <v>Equity</v>
      </c>
      <c r="B626" s="5"/>
      <c r="C626" s="5"/>
      <c r="D626" s="5"/>
      <c r="E626" s="5"/>
      <c r="F626" s="5"/>
      <c r="G626" s="5"/>
      <c r="H626" s="5"/>
      <c r="I626" s="5"/>
      <c r="J626" s="5"/>
      <c r="K626" s="5"/>
      <c r="L626" s="5"/>
      <c r="M626" s="5"/>
      <c r="N626" s="5"/>
      <c r="O626" s="5"/>
      <c r="P626" s="5"/>
      <c r="Q626" s="5"/>
      <c r="R626" s="5"/>
      <c r="S626" s="5"/>
      <c r="T626" s="5"/>
      <c r="U626" s="5"/>
      <c r="V626" s="5"/>
    </row>
    <row r="627" spans="1:22">
      <c r="A627" s="4" t="str">
        <f>+A126</f>
        <v>Net assets attributable to shareholders of Tele Columbus Group</v>
      </c>
      <c r="B627" s="5">
        <f t="shared" ref="B627:V629" si="295">+B126</f>
        <v>-107.5</v>
      </c>
      <c r="C627" s="5">
        <f t="shared" si="295"/>
        <v>-88.7</v>
      </c>
      <c r="D627" s="5">
        <f t="shared" si="295"/>
        <v>-68.2</v>
      </c>
      <c r="E627" s="5">
        <f t="shared" si="295"/>
        <v>-112.6</v>
      </c>
      <c r="F627" s="5">
        <f t="shared" si="295"/>
        <v>195.45998717960146</v>
      </c>
      <c r="G627" s="5"/>
      <c r="H627" s="5"/>
      <c r="I627" s="5"/>
      <c r="J627" s="5"/>
      <c r="K627" s="5"/>
      <c r="L627" s="5"/>
      <c r="M627" s="5"/>
      <c r="N627" s="5">
        <f t="shared" si="295"/>
        <v>310.85937239349664</v>
      </c>
      <c r="O627" s="5">
        <f t="shared" si="295"/>
        <v>313.65226474574558</v>
      </c>
      <c r="P627" s="5">
        <f t="shared" si="295"/>
        <v>327.02304930509933</v>
      </c>
      <c r="Q627" s="5">
        <f t="shared" si="295"/>
        <v>338.6340462441139</v>
      </c>
      <c r="R627" s="5">
        <f t="shared" si="295"/>
        <v>346.50818639800491</v>
      </c>
      <c r="S627" s="5">
        <f t="shared" si="295"/>
        <v>354.52988056017023</v>
      </c>
      <c r="T627" s="5">
        <f t="shared" si="295"/>
        <v>362.6962372147209</v>
      </c>
      <c r="U627" s="5">
        <f t="shared" si="295"/>
        <v>370.99109638542859</v>
      </c>
      <c r="V627" s="5">
        <f t="shared" si="295"/>
        <v>379.40226979508839</v>
      </c>
    </row>
    <row r="628" spans="1:22">
      <c r="A628" s="4" t="str">
        <f>+A127</f>
        <v>Non-controlling interests</v>
      </c>
      <c r="B628" s="5">
        <f t="shared" si="295"/>
        <v>5.8</v>
      </c>
      <c r="C628" s="5">
        <f t="shared" si="295"/>
        <v>6.1</v>
      </c>
      <c r="D628" s="5">
        <f t="shared" si="295"/>
        <v>6.7</v>
      </c>
      <c r="E628" s="5">
        <f t="shared" si="295"/>
        <v>5.3</v>
      </c>
      <c r="F628" s="5">
        <f t="shared" si="295"/>
        <v>8.3000000000000007</v>
      </c>
      <c r="G628" s="5"/>
      <c r="H628" s="5"/>
      <c r="I628" s="5"/>
      <c r="J628" s="5"/>
      <c r="K628" s="5"/>
      <c r="L628" s="5"/>
      <c r="M628" s="5"/>
      <c r="N628" s="5">
        <f t="shared" si="295"/>
        <v>11.3</v>
      </c>
      <c r="O628" s="5">
        <f t="shared" si="295"/>
        <v>14.3</v>
      </c>
      <c r="P628" s="5">
        <f t="shared" si="295"/>
        <v>17.3</v>
      </c>
      <c r="Q628" s="5">
        <f t="shared" si="295"/>
        <v>20.3</v>
      </c>
      <c r="R628" s="5">
        <f t="shared" si="295"/>
        <v>23.3</v>
      </c>
      <c r="S628" s="5">
        <f t="shared" si="295"/>
        <v>26.3</v>
      </c>
      <c r="T628" s="5">
        <f t="shared" si="295"/>
        <v>29.3</v>
      </c>
      <c r="U628" s="5">
        <f t="shared" si="295"/>
        <v>32.299999999999997</v>
      </c>
      <c r="V628" s="5">
        <f t="shared" si="295"/>
        <v>35.299999999999997</v>
      </c>
    </row>
    <row r="629" spans="1:22">
      <c r="A629" s="20" t="str">
        <f>+A128</f>
        <v>Total equity</v>
      </c>
      <c r="B629" s="21">
        <f t="shared" si="295"/>
        <v>-101.8</v>
      </c>
      <c r="C629" s="21">
        <f t="shared" si="295"/>
        <v>-82.6</v>
      </c>
      <c r="D629" s="21">
        <f t="shared" si="295"/>
        <v>-61.5</v>
      </c>
      <c r="E629" s="21">
        <f t="shared" si="295"/>
        <v>-107.3</v>
      </c>
      <c r="F629" s="21">
        <f t="shared" si="295"/>
        <v>203.75998717960147</v>
      </c>
      <c r="G629" s="351"/>
      <c r="H629" s="351"/>
      <c r="I629" s="351"/>
      <c r="J629" s="351"/>
      <c r="K629" s="351"/>
      <c r="L629" s="351"/>
      <c r="M629" s="351"/>
      <c r="N629" s="21">
        <f t="shared" si="295"/>
        <v>322.15937239349665</v>
      </c>
      <c r="O629" s="21">
        <f t="shared" si="295"/>
        <v>327.95226474574559</v>
      </c>
      <c r="P629" s="21">
        <f t="shared" si="295"/>
        <v>344.32304930509935</v>
      </c>
      <c r="Q629" s="21">
        <f t="shared" si="295"/>
        <v>358.93404624411392</v>
      </c>
      <c r="R629" s="21">
        <f t="shared" si="295"/>
        <v>369.80818639800492</v>
      </c>
      <c r="S629" s="21">
        <f t="shared" si="295"/>
        <v>380.82988056017024</v>
      </c>
      <c r="T629" s="21">
        <f t="shared" si="295"/>
        <v>391.99623721472091</v>
      </c>
      <c r="U629" s="21">
        <f t="shared" si="295"/>
        <v>403.2910963854286</v>
      </c>
      <c r="V629" s="21">
        <f t="shared" si="295"/>
        <v>414.7022697950884</v>
      </c>
    </row>
    <row r="630" spans="1:22">
      <c r="A630" s="19" t="str">
        <f t="shared" ref="A630:P637" si="296">+A130</f>
        <v>Non-current liabilities</v>
      </c>
      <c r="B630" s="5"/>
      <c r="C630" s="5"/>
      <c r="D630" s="5"/>
      <c r="E630" s="5"/>
      <c r="F630" s="5"/>
      <c r="G630" s="5"/>
      <c r="H630" s="5"/>
      <c r="I630" s="5"/>
      <c r="J630" s="5"/>
      <c r="K630" s="5"/>
      <c r="L630" s="5"/>
      <c r="M630" s="5"/>
      <c r="N630" s="5"/>
      <c r="O630" s="5"/>
      <c r="P630" s="5"/>
      <c r="Q630" s="5"/>
      <c r="R630" s="5"/>
      <c r="S630" s="5"/>
      <c r="T630" s="5"/>
      <c r="U630" s="5"/>
      <c r="V630" s="5"/>
    </row>
    <row r="631" spans="1:22">
      <c r="A631" s="4" t="str">
        <f t="shared" si="296"/>
        <v>Pensions and other long-term employee benefits</v>
      </c>
      <c r="B631" s="5">
        <f t="shared" si="296"/>
        <v>7.7</v>
      </c>
      <c r="C631" s="5">
        <f t="shared" si="296"/>
        <v>9.9</v>
      </c>
      <c r="D631" s="5">
        <f t="shared" si="296"/>
        <v>9.8000000000000007</v>
      </c>
      <c r="E631" s="5">
        <f t="shared" si="296"/>
        <v>10.8</v>
      </c>
      <c r="F631" s="5">
        <f t="shared" si="296"/>
        <v>10.8</v>
      </c>
      <c r="G631" s="5"/>
      <c r="H631" s="5"/>
      <c r="I631" s="5"/>
      <c r="J631" s="5"/>
      <c r="K631" s="5"/>
      <c r="L631" s="5"/>
      <c r="M631" s="5"/>
      <c r="N631" s="5">
        <f t="shared" si="296"/>
        <v>10.8</v>
      </c>
      <c r="O631" s="5">
        <f t="shared" si="296"/>
        <v>10.8</v>
      </c>
      <c r="P631" s="5">
        <f t="shared" si="296"/>
        <v>10.8</v>
      </c>
      <c r="Q631" s="5">
        <f t="shared" ref="Q631:V637" si="297">+Q131</f>
        <v>10.8</v>
      </c>
      <c r="R631" s="5">
        <f t="shared" si="297"/>
        <v>10.8</v>
      </c>
      <c r="S631" s="5">
        <f t="shared" si="297"/>
        <v>10.8</v>
      </c>
      <c r="T631" s="5">
        <f t="shared" si="297"/>
        <v>10.8</v>
      </c>
      <c r="U631" s="5">
        <f t="shared" si="297"/>
        <v>10.8</v>
      </c>
      <c r="V631" s="5">
        <f t="shared" si="297"/>
        <v>10.8</v>
      </c>
    </row>
    <row r="632" spans="1:22">
      <c r="A632" s="4" t="str">
        <f t="shared" si="296"/>
        <v>Other provisions</v>
      </c>
      <c r="B632" s="5">
        <f t="shared" si="296"/>
        <v>20.8</v>
      </c>
      <c r="C632" s="5">
        <f t="shared" si="296"/>
        <v>27</v>
      </c>
      <c r="D632" s="5">
        <f t="shared" si="296"/>
        <v>11.4</v>
      </c>
      <c r="E632" s="5">
        <f t="shared" si="296"/>
        <v>11.8</v>
      </c>
      <c r="F632" s="5">
        <f t="shared" si="296"/>
        <v>11.8</v>
      </c>
      <c r="G632" s="5"/>
      <c r="H632" s="5"/>
      <c r="I632" s="5"/>
      <c r="J632" s="5"/>
      <c r="K632" s="5"/>
      <c r="L632" s="5"/>
      <c r="M632" s="5"/>
      <c r="N632" s="5">
        <f t="shared" si="296"/>
        <v>11.8</v>
      </c>
      <c r="O632" s="5">
        <f t="shared" si="296"/>
        <v>11.8</v>
      </c>
      <c r="P632" s="5">
        <f t="shared" si="296"/>
        <v>11.8</v>
      </c>
      <c r="Q632" s="5">
        <f t="shared" si="297"/>
        <v>11.8</v>
      </c>
      <c r="R632" s="5">
        <f t="shared" si="297"/>
        <v>11.8</v>
      </c>
      <c r="S632" s="5">
        <f t="shared" si="297"/>
        <v>11.8</v>
      </c>
      <c r="T632" s="5">
        <f t="shared" si="297"/>
        <v>11.8</v>
      </c>
      <c r="U632" s="5">
        <f t="shared" si="297"/>
        <v>11.8</v>
      </c>
      <c r="V632" s="5">
        <f t="shared" si="297"/>
        <v>11.8</v>
      </c>
    </row>
    <row r="633" spans="1:22">
      <c r="A633" s="4" t="str">
        <f t="shared" si="296"/>
        <v>Interest-bearing liabilities</v>
      </c>
      <c r="B633" s="5">
        <f t="shared" si="296"/>
        <v>597</v>
      </c>
      <c r="C633" s="5">
        <f t="shared" si="296"/>
        <v>601.9</v>
      </c>
      <c r="D633" s="5">
        <f t="shared" si="296"/>
        <v>43.5</v>
      </c>
      <c r="E633" s="5">
        <f t="shared" si="296"/>
        <v>640.5</v>
      </c>
      <c r="F633" s="5">
        <f t="shared" si="296"/>
        <v>487.4</v>
      </c>
      <c r="G633" s="5"/>
      <c r="H633" s="5"/>
      <c r="I633" s="5"/>
      <c r="J633" s="5"/>
      <c r="K633" s="5"/>
      <c r="L633" s="5"/>
      <c r="M633" s="5"/>
      <c r="N633" s="5">
        <f t="shared" si="296"/>
        <v>487.4</v>
      </c>
      <c r="O633" s="5">
        <f t="shared" si="296"/>
        <v>487.4</v>
      </c>
      <c r="P633" s="5">
        <f t="shared" si="296"/>
        <v>487.4</v>
      </c>
      <c r="Q633" s="5">
        <f t="shared" si="297"/>
        <v>487.4</v>
      </c>
      <c r="R633" s="5">
        <f t="shared" si="297"/>
        <v>487.4</v>
      </c>
      <c r="S633" s="5">
        <f t="shared" si="297"/>
        <v>487.4</v>
      </c>
      <c r="T633" s="5">
        <f t="shared" si="297"/>
        <v>487.4</v>
      </c>
      <c r="U633" s="5">
        <f t="shared" si="297"/>
        <v>487.4</v>
      </c>
      <c r="V633" s="5">
        <f t="shared" si="297"/>
        <v>487.4</v>
      </c>
    </row>
    <row r="634" spans="1:22">
      <c r="A634" s="4" t="str">
        <f t="shared" si="296"/>
        <v>Liabilities to related parties</v>
      </c>
      <c r="B634" s="5">
        <f t="shared" si="296"/>
        <v>19.100000000000001</v>
      </c>
      <c r="C634" s="5">
        <f t="shared" si="296"/>
        <v>19.399999999999999</v>
      </c>
      <c r="D634" s="5">
        <f t="shared" si="296"/>
        <v>13.2</v>
      </c>
      <c r="E634" s="5">
        <f t="shared" si="296"/>
        <v>0</v>
      </c>
      <c r="F634" s="5">
        <f t="shared" si="296"/>
        <v>0</v>
      </c>
      <c r="G634" s="5"/>
      <c r="H634" s="5"/>
      <c r="I634" s="5"/>
      <c r="J634" s="5"/>
      <c r="K634" s="5"/>
      <c r="L634" s="5"/>
      <c r="M634" s="5"/>
      <c r="N634" s="5">
        <f t="shared" si="296"/>
        <v>0</v>
      </c>
      <c r="O634" s="5">
        <f t="shared" si="296"/>
        <v>0</v>
      </c>
      <c r="P634" s="5">
        <f t="shared" si="296"/>
        <v>0</v>
      </c>
      <c r="Q634" s="5">
        <f t="shared" si="297"/>
        <v>0</v>
      </c>
      <c r="R634" s="5">
        <f t="shared" si="297"/>
        <v>0</v>
      </c>
      <c r="S634" s="5">
        <f t="shared" si="297"/>
        <v>0</v>
      </c>
      <c r="T634" s="5">
        <f t="shared" si="297"/>
        <v>0</v>
      </c>
      <c r="U634" s="5">
        <f t="shared" si="297"/>
        <v>0</v>
      </c>
      <c r="V634" s="5">
        <f t="shared" si="297"/>
        <v>0</v>
      </c>
    </row>
    <row r="635" spans="1:22">
      <c r="A635" s="4" t="str">
        <f t="shared" si="296"/>
        <v>Trade payables</v>
      </c>
      <c r="B635" s="5">
        <f t="shared" si="296"/>
        <v>25.6</v>
      </c>
      <c r="C635" s="5">
        <f t="shared" si="296"/>
        <v>27</v>
      </c>
      <c r="D635" s="5">
        <f t="shared" si="296"/>
        <v>32.700000000000003</v>
      </c>
      <c r="E635" s="5">
        <f t="shared" si="296"/>
        <v>33.9</v>
      </c>
      <c r="F635" s="5">
        <f t="shared" si="296"/>
        <v>33.9</v>
      </c>
      <c r="G635" s="5"/>
      <c r="H635" s="5"/>
      <c r="I635" s="5"/>
      <c r="J635" s="5"/>
      <c r="K635" s="5"/>
      <c r="L635" s="5"/>
      <c r="M635" s="5"/>
      <c r="N635" s="5">
        <f t="shared" si="296"/>
        <v>33.9</v>
      </c>
      <c r="O635" s="5">
        <f t="shared" si="296"/>
        <v>33.9</v>
      </c>
      <c r="P635" s="5">
        <f t="shared" si="296"/>
        <v>33.9</v>
      </c>
      <c r="Q635" s="5">
        <f t="shared" si="297"/>
        <v>33.9</v>
      </c>
      <c r="R635" s="5">
        <f t="shared" si="297"/>
        <v>33.9</v>
      </c>
      <c r="S635" s="5">
        <f t="shared" si="297"/>
        <v>33.9</v>
      </c>
      <c r="T635" s="5">
        <f t="shared" si="297"/>
        <v>33.9</v>
      </c>
      <c r="U635" s="5">
        <f t="shared" si="297"/>
        <v>33.9</v>
      </c>
      <c r="V635" s="5">
        <f t="shared" si="297"/>
        <v>33.9</v>
      </c>
    </row>
    <row r="636" spans="1:22">
      <c r="A636" s="4" t="str">
        <f t="shared" si="296"/>
        <v>Deferred income</v>
      </c>
      <c r="B636" s="5">
        <f t="shared" si="296"/>
        <v>0.1</v>
      </c>
      <c r="C636" s="5">
        <f t="shared" si="296"/>
        <v>0.1</v>
      </c>
      <c r="D636" s="5">
        <f t="shared" si="296"/>
        <v>1.2</v>
      </c>
      <c r="E636" s="5">
        <f t="shared" si="296"/>
        <v>0.9</v>
      </c>
      <c r="F636" s="5">
        <f t="shared" si="296"/>
        <v>0.9</v>
      </c>
      <c r="G636" s="5"/>
      <c r="H636" s="5"/>
      <c r="I636" s="5"/>
      <c r="J636" s="5"/>
      <c r="K636" s="5"/>
      <c r="L636" s="5"/>
      <c r="M636" s="5"/>
      <c r="N636" s="5">
        <f t="shared" si="296"/>
        <v>0.9</v>
      </c>
      <c r="O636" s="5">
        <f t="shared" si="296"/>
        <v>0.9</v>
      </c>
      <c r="P636" s="5">
        <f t="shared" si="296"/>
        <v>0.9</v>
      </c>
      <c r="Q636" s="5">
        <f t="shared" si="297"/>
        <v>0.9</v>
      </c>
      <c r="R636" s="5">
        <f t="shared" si="297"/>
        <v>0.9</v>
      </c>
      <c r="S636" s="5">
        <f t="shared" si="297"/>
        <v>0.9</v>
      </c>
      <c r="T636" s="5">
        <f t="shared" si="297"/>
        <v>0.9</v>
      </c>
      <c r="U636" s="5">
        <f t="shared" si="297"/>
        <v>0.9</v>
      </c>
      <c r="V636" s="5">
        <f t="shared" si="297"/>
        <v>0.9</v>
      </c>
    </row>
    <row r="637" spans="1:22">
      <c r="A637" s="20" t="str">
        <f t="shared" si="296"/>
        <v>Total non-current liabilities</v>
      </c>
      <c r="B637" s="21">
        <f t="shared" si="296"/>
        <v>670.30000000000007</v>
      </c>
      <c r="C637" s="21">
        <f t="shared" si="296"/>
        <v>685.3</v>
      </c>
      <c r="D637" s="21">
        <f t="shared" si="296"/>
        <v>111.7</v>
      </c>
      <c r="E637" s="21">
        <f t="shared" si="296"/>
        <v>697.9</v>
      </c>
      <c r="F637" s="21">
        <f t="shared" si="296"/>
        <v>544.79999999999995</v>
      </c>
      <c r="G637" s="351"/>
      <c r="H637" s="351"/>
      <c r="I637" s="351"/>
      <c r="J637" s="351"/>
      <c r="K637" s="351"/>
      <c r="L637" s="351"/>
      <c r="M637" s="351"/>
      <c r="N637" s="21">
        <f t="shared" si="296"/>
        <v>544.79999999999995</v>
      </c>
      <c r="O637" s="21">
        <f t="shared" si="296"/>
        <v>544.79999999999995</v>
      </c>
      <c r="P637" s="21">
        <f t="shared" si="296"/>
        <v>544.79999999999995</v>
      </c>
      <c r="Q637" s="21">
        <f t="shared" si="297"/>
        <v>544.79999999999995</v>
      </c>
      <c r="R637" s="21">
        <f t="shared" si="297"/>
        <v>544.79999999999995</v>
      </c>
      <c r="S637" s="21">
        <f t="shared" si="297"/>
        <v>544.79999999999995</v>
      </c>
      <c r="T637" s="21">
        <f t="shared" si="297"/>
        <v>544.79999999999995</v>
      </c>
      <c r="U637" s="21">
        <f t="shared" si="297"/>
        <v>544.79999999999995</v>
      </c>
      <c r="V637" s="21">
        <f t="shared" si="297"/>
        <v>544.79999999999995</v>
      </c>
    </row>
    <row r="638" spans="1:22">
      <c r="A638" s="19" t="str">
        <f t="shared" ref="A638:P647" si="298">+A139</f>
        <v>Current liabilities</v>
      </c>
      <c r="B638" s="5"/>
      <c r="C638" s="5"/>
      <c r="D638" s="5"/>
      <c r="E638" s="5"/>
      <c r="F638" s="5"/>
      <c r="G638" s="5"/>
      <c r="H638" s="5"/>
      <c r="I638" s="5"/>
      <c r="J638" s="5"/>
      <c r="K638" s="5"/>
      <c r="L638" s="5"/>
      <c r="M638" s="5"/>
      <c r="N638" s="5"/>
      <c r="O638" s="5"/>
      <c r="P638" s="5"/>
      <c r="Q638" s="5"/>
      <c r="R638" s="5"/>
      <c r="S638" s="5"/>
      <c r="T638" s="5"/>
      <c r="U638" s="5"/>
      <c r="V638" s="5"/>
    </row>
    <row r="639" spans="1:22">
      <c r="A639" s="4" t="str">
        <f t="shared" si="298"/>
        <v>Other provisions</v>
      </c>
      <c r="B639" s="5">
        <f t="shared" si="298"/>
        <v>3.2</v>
      </c>
      <c r="C639" s="5">
        <f t="shared" si="298"/>
        <v>2.8</v>
      </c>
      <c r="D639" s="5">
        <f t="shared" si="298"/>
        <v>4.8</v>
      </c>
      <c r="E639" s="5">
        <f t="shared" si="298"/>
        <v>7.5</v>
      </c>
      <c r="F639" s="5">
        <f t="shared" si="298"/>
        <v>7.5</v>
      </c>
      <c r="G639" s="5"/>
      <c r="H639" s="5"/>
      <c r="I639" s="5"/>
      <c r="J639" s="5"/>
      <c r="K639" s="5"/>
      <c r="L639" s="5"/>
      <c r="M639" s="5"/>
      <c r="N639" s="5">
        <f t="shared" si="298"/>
        <v>7.5</v>
      </c>
      <c r="O639" s="5">
        <f t="shared" si="298"/>
        <v>7.5</v>
      </c>
      <c r="P639" s="5">
        <f t="shared" si="298"/>
        <v>7.5</v>
      </c>
      <c r="Q639" s="5">
        <f t="shared" ref="Q639:V647" si="299">+Q140</f>
        <v>7.5</v>
      </c>
      <c r="R639" s="5">
        <f t="shared" si="299"/>
        <v>7.5</v>
      </c>
      <c r="S639" s="5">
        <f t="shared" si="299"/>
        <v>7.5</v>
      </c>
      <c r="T639" s="5">
        <f t="shared" si="299"/>
        <v>7.5</v>
      </c>
      <c r="U639" s="5">
        <f t="shared" si="299"/>
        <v>7.5</v>
      </c>
      <c r="V639" s="5">
        <f t="shared" si="299"/>
        <v>7.5</v>
      </c>
    </row>
    <row r="640" spans="1:22">
      <c r="A640" s="4" t="str">
        <f t="shared" si="298"/>
        <v>Interest-bearing liabilities</v>
      </c>
      <c r="B640" s="5">
        <f t="shared" si="298"/>
        <v>13.7</v>
      </c>
      <c r="C640" s="5">
        <f t="shared" si="298"/>
        <v>11.2</v>
      </c>
      <c r="D640" s="5">
        <f t="shared" si="298"/>
        <v>578.1</v>
      </c>
      <c r="E640" s="5">
        <f t="shared" si="298"/>
        <v>2.6</v>
      </c>
      <c r="F640" s="5">
        <f t="shared" si="298"/>
        <v>0</v>
      </c>
      <c r="G640" s="5"/>
      <c r="H640" s="5"/>
      <c r="I640" s="5"/>
      <c r="J640" s="5"/>
      <c r="K640" s="5"/>
      <c r="L640" s="5"/>
      <c r="M640" s="5"/>
      <c r="N640" s="5">
        <f t="shared" si="298"/>
        <v>0</v>
      </c>
      <c r="O640" s="5">
        <f t="shared" si="298"/>
        <v>0</v>
      </c>
      <c r="P640" s="5">
        <f t="shared" si="298"/>
        <v>0</v>
      </c>
      <c r="Q640" s="5">
        <f t="shared" si="299"/>
        <v>0</v>
      </c>
      <c r="R640" s="5">
        <f t="shared" si="299"/>
        <v>0</v>
      </c>
      <c r="S640" s="5">
        <f t="shared" si="299"/>
        <v>0</v>
      </c>
      <c r="T640" s="5">
        <f t="shared" si="299"/>
        <v>0</v>
      </c>
      <c r="U640" s="5">
        <f t="shared" si="299"/>
        <v>0</v>
      </c>
      <c r="V640" s="5">
        <f t="shared" si="299"/>
        <v>0</v>
      </c>
    </row>
    <row r="641" spans="1:22">
      <c r="A641" s="4" t="str">
        <f t="shared" si="298"/>
        <v>Trade payables</v>
      </c>
      <c r="B641" s="5">
        <f t="shared" si="298"/>
        <v>30.6</v>
      </c>
      <c r="C641" s="5">
        <f t="shared" si="298"/>
        <v>27.9</v>
      </c>
      <c r="D641" s="5">
        <f t="shared" si="298"/>
        <v>43.2</v>
      </c>
      <c r="E641" s="5">
        <f t="shared" si="298"/>
        <v>40.4</v>
      </c>
      <c r="F641" s="5">
        <f t="shared" si="298"/>
        <v>46.398267066076968</v>
      </c>
      <c r="G641" s="5"/>
      <c r="H641" s="5"/>
      <c r="I641" s="5"/>
      <c r="J641" s="5"/>
      <c r="K641" s="5"/>
      <c r="L641" s="5"/>
      <c r="M641" s="5"/>
      <c r="N641" s="5">
        <f t="shared" si="298"/>
        <v>76.333523896290401</v>
      </c>
      <c r="O641" s="5">
        <f t="shared" si="298"/>
        <v>73.597553290634835</v>
      </c>
      <c r="P641" s="5">
        <f t="shared" si="298"/>
        <v>76.453338377443472</v>
      </c>
      <c r="Q641" s="5">
        <f t="shared" si="299"/>
        <v>79.740294246436818</v>
      </c>
      <c r="R641" s="5">
        <f t="shared" si="299"/>
        <v>82.974428989450843</v>
      </c>
      <c r="S641" s="5">
        <f t="shared" si="299"/>
        <v>86.259525617115145</v>
      </c>
      <c r="T641" s="5">
        <f t="shared" si="299"/>
        <v>89.59886134207656</v>
      </c>
      <c r="U641" s="5">
        <f t="shared" si="299"/>
        <v>92.995696712842715</v>
      </c>
      <c r="V641" s="5">
        <f t="shared" si="299"/>
        <v>96.453288946680615</v>
      </c>
    </row>
    <row r="642" spans="1:22">
      <c r="A642" s="4" t="str">
        <f t="shared" si="298"/>
        <v>Liabilities to related parties</v>
      </c>
      <c r="B642" s="5">
        <f t="shared" si="298"/>
        <v>2.2999999999999998</v>
      </c>
      <c r="C642" s="5">
        <f t="shared" si="298"/>
        <v>8.6999999999999993</v>
      </c>
      <c r="D642" s="5">
        <f t="shared" si="298"/>
        <v>2.6</v>
      </c>
      <c r="E642" s="5">
        <f t="shared" si="298"/>
        <v>2.6</v>
      </c>
      <c r="F642" s="5">
        <f t="shared" si="298"/>
        <v>2.6</v>
      </c>
      <c r="G642" s="5"/>
      <c r="H642" s="5"/>
      <c r="I642" s="5"/>
      <c r="J642" s="5"/>
      <c r="K642" s="5"/>
      <c r="L642" s="5"/>
      <c r="M642" s="5"/>
      <c r="N642" s="5">
        <f t="shared" si="298"/>
        <v>2.6</v>
      </c>
      <c r="O642" s="5">
        <f t="shared" si="298"/>
        <v>2.6</v>
      </c>
      <c r="P642" s="5">
        <f t="shared" si="298"/>
        <v>2.6</v>
      </c>
      <c r="Q642" s="5">
        <f t="shared" si="299"/>
        <v>2.6</v>
      </c>
      <c r="R642" s="5">
        <f t="shared" si="299"/>
        <v>2.6</v>
      </c>
      <c r="S642" s="5">
        <f t="shared" si="299"/>
        <v>2.6</v>
      </c>
      <c r="T642" s="5">
        <f t="shared" si="299"/>
        <v>2.6</v>
      </c>
      <c r="U642" s="5">
        <f t="shared" si="299"/>
        <v>2.6</v>
      </c>
      <c r="V642" s="5">
        <f t="shared" si="299"/>
        <v>2.6</v>
      </c>
    </row>
    <row r="643" spans="1:22">
      <c r="A643" s="4" t="str">
        <f t="shared" si="298"/>
        <v>Other financial liabilities</v>
      </c>
      <c r="B643" s="5">
        <f t="shared" si="298"/>
        <v>38.1</v>
      </c>
      <c r="C643" s="5">
        <f t="shared" si="298"/>
        <v>4.3</v>
      </c>
      <c r="D643" s="5">
        <f t="shared" si="298"/>
        <v>4.5999999999999996</v>
      </c>
      <c r="E643" s="5">
        <f t="shared" si="298"/>
        <v>0.9</v>
      </c>
      <c r="F643" s="5">
        <f t="shared" si="298"/>
        <v>-4.8482375565409184</v>
      </c>
      <c r="G643" s="5"/>
      <c r="H643" s="5"/>
      <c r="I643" s="5"/>
      <c r="J643" s="5"/>
      <c r="K643" s="5"/>
      <c r="L643" s="5"/>
      <c r="M643" s="5"/>
      <c r="N643" s="5">
        <f t="shared" si="298"/>
        <v>43.642593663097934</v>
      </c>
      <c r="O643" s="5">
        <f t="shared" si="298"/>
        <v>46.125261814061766</v>
      </c>
      <c r="P643" s="5">
        <f t="shared" si="298"/>
        <v>53.141312339499088</v>
      </c>
      <c r="Q643" s="5">
        <f t="shared" si="299"/>
        <v>59.403168170505346</v>
      </c>
      <c r="R643" s="5">
        <f t="shared" si="299"/>
        <v>64.063513950744323</v>
      </c>
      <c r="S643" s="5">
        <f t="shared" si="299"/>
        <v>68.787097163100867</v>
      </c>
      <c r="T643" s="5">
        <f t="shared" si="299"/>
        <v>73.572678586479739</v>
      </c>
      <c r="U643" s="5">
        <f t="shared" si="299"/>
        <v>78.413332516783015</v>
      </c>
      <c r="V643" s="5">
        <f t="shared" si="299"/>
        <v>83.303835406637205</v>
      </c>
    </row>
    <row r="644" spans="1:22">
      <c r="A644" s="4" t="str">
        <f t="shared" si="298"/>
        <v>Other payables</v>
      </c>
      <c r="B644" s="5">
        <f t="shared" si="298"/>
        <v>15.6</v>
      </c>
      <c r="C644" s="5">
        <f t="shared" si="298"/>
        <v>7.2</v>
      </c>
      <c r="D644" s="5">
        <f t="shared" si="298"/>
        <v>8</v>
      </c>
      <c r="E644" s="5">
        <f t="shared" si="298"/>
        <v>12.4</v>
      </c>
      <c r="F644" s="5">
        <f t="shared" si="298"/>
        <v>12.495429146417939</v>
      </c>
      <c r="G644" s="5"/>
      <c r="H644" s="5"/>
      <c r="I644" s="5"/>
      <c r="J644" s="5"/>
      <c r="K644" s="5"/>
      <c r="L644" s="5"/>
      <c r="M644" s="5"/>
      <c r="N644" s="5">
        <f t="shared" si="298"/>
        <v>24.549076025191518</v>
      </c>
      <c r="O644" s="5">
        <f t="shared" si="298"/>
        <v>24.906925448749718</v>
      </c>
      <c r="P644" s="5">
        <f t="shared" si="298"/>
        <v>25.563087696052019</v>
      </c>
      <c r="Q644" s="5">
        <f t="shared" si="299"/>
        <v>26.445500394323847</v>
      </c>
      <c r="R644" s="5">
        <f t="shared" si="299"/>
        <v>27.31548947761933</v>
      </c>
      <c r="S644" s="5">
        <f t="shared" si="299"/>
        <v>28.204508857260819</v>
      </c>
      <c r="T644" s="5">
        <f t="shared" si="299"/>
        <v>29.113616021013996</v>
      </c>
      <c r="U644" s="5">
        <f t="shared" si="299"/>
        <v>30.043872580006312</v>
      </c>
      <c r="V644" s="5">
        <f t="shared" si="299"/>
        <v>30.996348121867303</v>
      </c>
    </row>
    <row r="645" spans="1:22">
      <c r="A645" s="4" t="str">
        <f t="shared" si="298"/>
        <v>Income tax liabilities</v>
      </c>
      <c r="B645" s="5">
        <f t="shared" si="298"/>
        <v>1.8</v>
      </c>
      <c r="C645" s="5">
        <f t="shared" si="298"/>
        <v>0.4</v>
      </c>
      <c r="D645" s="5">
        <f t="shared" si="298"/>
        <v>0.7</v>
      </c>
      <c r="E645" s="5">
        <f t="shared" si="298"/>
        <v>5.8</v>
      </c>
      <c r="F645" s="5">
        <f t="shared" si="298"/>
        <v>6.0502774044803367</v>
      </c>
      <c r="G645" s="5"/>
      <c r="H645" s="5"/>
      <c r="I645" s="5"/>
      <c r="J645" s="5"/>
      <c r="K645" s="5"/>
      <c r="L645" s="5"/>
      <c r="M645" s="5"/>
      <c r="N645" s="5">
        <f t="shared" si="298"/>
        <v>13.350736437537419</v>
      </c>
      <c r="O645" s="5">
        <f t="shared" si="298"/>
        <v>14.024572559750327</v>
      </c>
      <c r="P645" s="5">
        <f t="shared" si="298"/>
        <v>14.925271063554698</v>
      </c>
      <c r="Q645" s="5">
        <f t="shared" si="299"/>
        <v>15.815834804459158</v>
      </c>
      <c r="R645" s="5">
        <f t="shared" si="299"/>
        <v>16.690068938729571</v>
      </c>
      <c r="S645" s="5">
        <f t="shared" si="299"/>
        <v>17.571964842915943</v>
      </c>
      <c r="T645" s="5">
        <f t="shared" si="299"/>
        <v>18.462206286331522</v>
      </c>
      <c r="U645" s="5">
        <f t="shared" si="299"/>
        <v>19.361462645958547</v>
      </c>
      <c r="V645" s="5">
        <f t="shared" si="299"/>
        <v>20.270392204264436</v>
      </c>
    </row>
    <row r="646" spans="1:22">
      <c r="A646" s="4" t="str">
        <f t="shared" si="298"/>
        <v>Deferred income</v>
      </c>
      <c r="B646" s="5">
        <f t="shared" si="298"/>
        <v>4.5999999999999996</v>
      </c>
      <c r="C646" s="5">
        <f t="shared" si="298"/>
        <v>4.7</v>
      </c>
      <c r="D646" s="5">
        <f t="shared" si="298"/>
        <v>2.7</v>
      </c>
      <c r="E646" s="5">
        <f t="shared" si="298"/>
        <v>4.3</v>
      </c>
      <c r="F646" s="5">
        <f t="shared" si="298"/>
        <v>4.4855504895285252</v>
      </c>
      <c r="G646" s="5"/>
      <c r="H646" s="5"/>
      <c r="I646" s="5"/>
      <c r="J646" s="5"/>
      <c r="K646" s="5"/>
      <c r="L646" s="5"/>
      <c r="M646" s="5"/>
      <c r="N646" s="5">
        <f t="shared" si="298"/>
        <v>9.8979597726570514</v>
      </c>
      <c r="O646" s="5">
        <f t="shared" si="298"/>
        <v>10.397527932228691</v>
      </c>
      <c r="P646" s="5">
        <f t="shared" si="298"/>
        <v>11.065287167807794</v>
      </c>
      <c r="Q646" s="5">
        <f t="shared" si="299"/>
        <v>11.725532699857652</v>
      </c>
      <c r="R646" s="5">
        <f t="shared" si="299"/>
        <v>12.373671799402956</v>
      </c>
      <c r="S646" s="5">
        <f t="shared" si="299"/>
        <v>13.027491176644578</v>
      </c>
      <c r="T646" s="5">
        <f t="shared" si="299"/>
        <v>13.687497764004405</v>
      </c>
      <c r="U646" s="5">
        <f t="shared" si="299"/>
        <v>14.354187823727889</v>
      </c>
      <c r="V646" s="5">
        <f t="shared" si="299"/>
        <v>15.028049392816738</v>
      </c>
    </row>
    <row r="647" spans="1:22">
      <c r="A647" s="20" t="str">
        <f t="shared" si="298"/>
        <v>Total current liabilities</v>
      </c>
      <c r="B647" s="21">
        <f t="shared" si="298"/>
        <v>109.8</v>
      </c>
      <c r="C647" s="21">
        <f t="shared" si="298"/>
        <v>67.099999999999994</v>
      </c>
      <c r="D647" s="21">
        <f t="shared" si="298"/>
        <v>646.20000000000005</v>
      </c>
      <c r="E647" s="21">
        <f t="shared" si="298"/>
        <v>76.5</v>
      </c>
      <c r="F647" s="21">
        <f t="shared" si="298"/>
        <v>74.681286549962849</v>
      </c>
      <c r="G647" s="351"/>
      <c r="H647" s="351"/>
      <c r="I647" s="351"/>
      <c r="J647" s="351"/>
      <c r="K647" s="351"/>
      <c r="L647" s="351"/>
      <c r="M647" s="351"/>
      <c r="N647" s="21">
        <f t="shared" si="298"/>
        <v>177.87388979477433</v>
      </c>
      <c r="O647" s="21">
        <f t="shared" si="298"/>
        <v>179.15184104542533</v>
      </c>
      <c r="P647" s="21">
        <f t="shared" si="298"/>
        <v>191.24829664435705</v>
      </c>
      <c r="Q647" s="21">
        <f t="shared" si="299"/>
        <v>203.23033031558282</v>
      </c>
      <c r="R647" s="21">
        <f t="shared" si="299"/>
        <v>213.51717315594703</v>
      </c>
      <c r="S647" s="21">
        <f t="shared" si="299"/>
        <v>223.95058765703737</v>
      </c>
      <c r="T647" s="21">
        <f t="shared" si="299"/>
        <v>234.53485999990622</v>
      </c>
      <c r="U647" s="21">
        <f t="shared" si="299"/>
        <v>245.26855227931847</v>
      </c>
      <c r="V647" s="21">
        <f t="shared" si="299"/>
        <v>256.15191407226627</v>
      </c>
    </row>
    <row r="648" spans="1:22">
      <c r="B648" s="5"/>
      <c r="C648" s="5"/>
      <c r="D648" s="5"/>
      <c r="E648" s="5"/>
      <c r="F648" s="5"/>
      <c r="G648" s="5"/>
      <c r="H648" s="5"/>
      <c r="I648" s="5"/>
      <c r="J648" s="5"/>
      <c r="K648" s="5"/>
      <c r="L648" s="5"/>
      <c r="M648" s="5"/>
      <c r="N648" s="22"/>
      <c r="O648" s="5"/>
      <c r="P648" s="5"/>
      <c r="Q648" s="5"/>
      <c r="R648" s="5"/>
      <c r="S648" s="5"/>
      <c r="T648" s="5"/>
      <c r="U648" s="5"/>
      <c r="V648" s="5"/>
    </row>
    <row r="649" spans="1:22">
      <c r="A649" s="7" t="str">
        <f>+A150</f>
        <v>Total equity and liabilities</v>
      </c>
      <c r="B649" s="9">
        <f>+B150</f>
        <v>678.30000000000007</v>
      </c>
      <c r="C649" s="9">
        <v>669.7</v>
      </c>
      <c r="D649" s="9">
        <f t="shared" ref="D649:V649" si="300">+D150</f>
        <v>696.4</v>
      </c>
      <c r="E649" s="9">
        <f t="shared" si="300"/>
        <v>667.1</v>
      </c>
      <c r="F649" s="9">
        <f t="shared" si="300"/>
        <v>823.24127372956423</v>
      </c>
      <c r="G649" s="9"/>
      <c r="H649" s="9"/>
      <c r="I649" s="9"/>
      <c r="J649" s="9"/>
      <c r="K649" s="9"/>
      <c r="L649" s="9"/>
      <c r="M649" s="9"/>
      <c r="N649" s="9">
        <f t="shared" si="300"/>
        <v>1044.833262188271</v>
      </c>
      <c r="O649" s="9">
        <f t="shared" si="300"/>
        <v>1051.9041057911709</v>
      </c>
      <c r="P649" s="9">
        <f t="shared" si="300"/>
        <v>1080.3713459494563</v>
      </c>
      <c r="Q649" s="9">
        <f t="shared" si="300"/>
        <v>1106.9643765596966</v>
      </c>
      <c r="R649" s="9">
        <f t="shared" si="300"/>
        <v>1128.125359553952</v>
      </c>
      <c r="S649" s="9">
        <f t="shared" si="300"/>
        <v>1149.5804682172077</v>
      </c>
      <c r="T649" s="9">
        <f t="shared" si="300"/>
        <v>1171.3310972146271</v>
      </c>
      <c r="U649" s="9">
        <f t="shared" si="300"/>
        <v>1193.3596486647471</v>
      </c>
      <c r="V649" s="9">
        <f t="shared" si="300"/>
        <v>1215.6541838673545</v>
      </c>
    </row>
    <row r="650" spans="1:22">
      <c r="B650" s="5"/>
      <c r="C650" s="5"/>
      <c r="D650" s="23"/>
      <c r="E650" s="5"/>
      <c r="F650" s="5"/>
      <c r="G650" s="5"/>
      <c r="H650" s="5"/>
      <c r="I650" s="5"/>
      <c r="J650" s="5"/>
      <c r="K650" s="5"/>
      <c r="L650" s="5"/>
      <c r="M650" s="5"/>
      <c r="N650" s="5"/>
      <c r="O650" s="5"/>
      <c r="P650" s="5"/>
      <c r="Q650" s="5"/>
      <c r="R650" s="5"/>
      <c r="S650" s="5"/>
      <c r="T650" s="5"/>
      <c r="U650" s="5"/>
      <c r="V650" s="5"/>
    </row>
    <row r="651" spans="1:22">
      <c r="A651" s="18" t="str">
        <f t="shared" ref="A651:V651" si="301">+A155</f>
        <v>Cash flow statement €m</v>
      </c>
      <c r="B651" s="43" t="str">
        <f t="shared" si="301"/>
        <v>2011A</v>
      </c>
      <c r="C651" s="43" t="str">
        <f t="shared" si="301"/>
        <v>2012A</v>
      </c>
      <c r="D651" s="43" t="str">
        <f t="shared" si="301"/>
        <v>2013A</v>
      </c>
      <c r="E651" s="43" t="str">
        <f t="shared" si="301"/>
        <v>2014A</v>
      </c>
      <c r="F651" s="43" t="str">
        <f t="shared" si="301"/>
        <v>2015E</v>
      </c>
      <c r="G651" s="209"/>
      <c r="H651" s="209"/>
      <c r="I651" s="209"/>
      <c r="J651" s="209"/>
      <c r="K651" s="209"/>
      <c r="L651" s="209"/>
      <c r="M651" s="209"/>
      <c r="N651" s="43" t="str">
        <f t="shared" si="301"/>
        <v>2016E</v>
      </c>
      <c r="O651" s="43" t="str">
        <f t="shared" si="301"/>
        <v>2017E</v>
      </c>
      <c r="P651" s="43" t="str">
        <f t="shared" si="301"/>
        <v>2018E</v>
      </c>
      <c r="Q651" s="43" t="str">
        <f t="shared" si="301"/>
        <v>2019E</v>
      </c>
      <c r="R651" s="43" t="str">
        <f t="shared" si="301"/>
        <v>2020E</v>
      </c>
      <c r="S651" s="43" t="str">
        <f t="shared" si="301"/>
        <v>2021E</v>
      </c>
      <c r="T651" s="43" t="str">
        <f t="shared" si="301"/>
        <v>2022E</v>
      </c>
      <c r="U651" s="43" t="str">
        <f t="shared" si="301"/>
        <v>2023E</v>
      </c>
      <c r="V651" s="43" t="str">
        <f t="shared" si="301"/>
        <v>2024E</v>
      </c>
    </row>
    <row r="652" spans="1:22">
      <c r="A652" s="7" t="str">
        <f>+A156</f>
        <v>Cash flow from operating activities</v>
      </c>
    </row>
    <row r="653" spans="1:22">
      <c r="A653" s="4" t="str">
        <f>+A157</f>
        <v>Operating Profit (EBIT)</v>
      </c>
      <c r="B653" s="5">
        <f t="shared" ref="B653:V658" si="302">+B157</f>
        <v>16.5</v>
      </c>
      <c r="C653" s="5">
        <f t="shared" si="302"/>
        <v>54.9</v>
      </c>
      <c r="D653" s="5">
        <f t="shared" si="302"/>
        <v>28.3</v>
      </c>
      <c r="E653" s="5">
        <f t="shared" si="302"/>
        <v>33.432977691561604</v>
      </c>
      <c r="F653" s="5">
        <f t="shared" si="302"/>
        <v>33.447749623060545</v>
      </c>
      <c r="G653" s="5"/>
      <c r="H653" s="5"/>
      <c r="I653" s="5"/>
      <c r="J653" s="5"/>
      <c r="K653" s="5"/>
      <c r="L653" s="5"/>
      <c r="M653" s="5"/>
      <c r="N653" s="5">
        <f t="shared" si="302"/>
        <v>190.44572608363168</v>
      </c>
      <c r="O653" s="5">
        <f t="shared" si="302"/>
        <v>198.24159216801445</v>
      </c>
      <c r="P653" s="5">
        <f t="shared" si="302"/>
        <v>221.83391759124561</v>
      </c>
      <c r="Q653" s="5">
        <f t="shared" si="302"/>
        <v>242.84154411097882</v>
      </c>
      <c r="R653" s="5">
        <f t="shared" si="302"/>
        <v>258.54947872400658</v>
      </c>
      <c r="S653" s="5">
        <f t="shared" si="302"/>
        <v>274.49901976726971</v>
      </c>
      <c r="T653" s="5">
        <f t="shared" si="302"/>
        <v>290.65936828828649</v>
      </c>
      <c r="U653" s="5">
        <f t="shared" si="302"/>
        <v>307.00842012207477</v>
      </c>
      <c r="V653" s="5">
        <f t="shared" si="302"/>
        <v>323.5296931678763</v>
      </c>
    </row>
    <row r="654" spans="1:22">
      <c r="A654" s="4" t="str">
        <f>+A158</f>
        <v>Depreciation and Amortization</v>
      </c>
      <c r="B654" s="5">
        <f t="shared" si="302"/>
        <v>57.4</v>
      </c>
      <c r="C654" s="5">
        <f t="shared" si="302"/>
        <v>62.9</v>
      </c>
      <c r="D654" s="5">
        <f t="shared" si="302"/>
        <v>62.8</v>
      </c>
      <c r="E654" s="5">
        <f t="shared" si="302"/>
        <v>50.8</v>
      </c>
      <c r="F654" s="5">
        <f t="shared" si="302"/>
        <v>61.980000000000004</v>
      </c>
      <c r="G654" s="5"/>
      <c r="H654" s="5"/>
      <c r="I654" s="5"/>
      <c r="J654" s="5"/>
      <c r="K654" s="5"/>
      <c r="L654" s="5"/>
      <c r="M654" s="5"/>
      <c r="N654" s="5">
        <f t="shared" si="302"/>
        <v>71.984000000000009</v>
      </c>
      <c r="O654" s="5">
        <f t="shared" si="302"/>
        <v>85.121325747824585</v>
      </c>
      <c r="P654" s="5">
        <f t="shared" si="302"/>
        <v>87.698674082582556</v>
      </c>
      <c r="Q654" s="5">
        <f t="shared" si="302"/>
        <v>90.083647793908469</v>
      </c>
      <c r="R654" s="5">
        <f t="shared" si="302"/>
        <v>97.299834189263336</v>
      </c>
      <c r="S654" s="5">
        <f t="shared" si="302"/>
        <v>104.35700310278584</v>
      </c>
      <c r="T654" s="5">
        <f t="shared" si="302"/>
        <v>111.29821290665002</v>
      </c>
      <c r="U654" s="5">
        <f t="shared" si="302"/>
        <v>118.15891473213806</v>
      </c>
      <c r="V654" s="5">
        <f t="shared" si="302"/>
        <v>124.96845277598058</v>
      </c>
    </row>
    <row r="655" spans="1:22">
      <c r="A655" s="4" t="str">
        <f>+A159</f>
        <v>Losses/(gain) on sale of property, plant and equipment</v>
      </c>
      <c r="B655" s="5">
        <f t="shared" si="302"/>
        <v>-1.4</v>
      </c>
      <c r="C655" s="5">
        <f t="shared" si="302"/>
        <v>-0.8</v>
      </c>
      <c r="D655" s="5">
        <f t="shared" si="302"/>
        <v>-1.3</v>
      </c>
      <c r="E655" s="5">
        <f t="shared" si="302"/>
        <v>-1.5</v>
      </c>
      <c r="F655" s="5">
        <f t="shared" si="302"/>
        <v>0</v>
      </c>
      <c r="G655" s="5"/>
      <c r="H655" s="5"/>
      <c r="I655" s="5"/>
      <c r="J655" s="5"/>
      <c r="K655" s="5"/>
      <c r="L655" s="5"/>
      <c r="M655" s="5"/>
      <c r="N655" s="5">
        <f t="shared" si="302"/>
        <v>0</v>
      </c>
      <c r="O655" s="5">
        <f t="shared" si="302"/>
        <v>0</v>
      </c>
      <c r="P655" s="5">
        <f t="shared" si="302"/>
        <v>0</v>
      </c>
      <c r="Q655" s="5">
        <f t="shared" si="302"/>
        <v>0</v>
      </c>
      <c r="R655" s="5">
        <f t="shared" si="302"/>
        <v>0</v>
      </c>
      <c r="S655" s="5">
        <f t="shared" si="302"/>
        <v>0</v>
      </c>
      <c r="T655" s="5">
        <f t="shared" si="302"/>
        <v>0</v>
      </c>
      <c r="U655" s="5">
        <f t="shared" si="302"/>
        <v>0</v>
      </c>
      <c r="V655" s="5">
        <f t="shared" si="302"/>
        <v>0</v>
      </c>
    </row>
    <row r="656" spans="1:22">
      <c r="A656" s="26" t="s">
        <v>668</v>
      </c>
      <c r="B656" s="5">
        <f t="shared" si="302"/>
        <v>30.8</v>
      </c>
      <c r="C656" s="5">
        <f t="shared" si="302"/>
        <v>-3.2</v>
      </c>
      <c r="D656" s="5">
        <f t="shared" si="302"/>
        <v>-5.5</v>
      </c>
      <c r="E656" s="5">
        <f t="shared" si="302"/>
        <v>-15.1</v>
      </c>
      <c r="F656" s="5">
        <f t="shared" si="302"/>
        <v>-1.6707150572810789</v>
      </c>
      <c r="G656" s="5"/>
      <c r="H656" s="5"/>
      <c r="I656" s="5"/>
      <c r="J656" s="5"/>
      <c r="K656" s="5"/>
      <c r="L656" s="5"/>
      <c r="M656" s="5"/>
      <c r="N656" s="5">
        <f t="shared" si="302"/>
        <v>-50.548818768802974</v>
      </c>
      <c r="O656" s="5">
        <f t="shared" si="302"/>
        <v>-4.5301527617177868</v>
      </c>
      <c r="P656" s="5">
        <f t="shared" si="302"/>
        <v>-6.091235884324945</v>
      </c>
      <c r="Q656" s="5">
        <f t="shared" si="302"/>
        <v>-6.1606894703613477</v>
      </c>
      <c r="R656" s="5">
        <f t="shared" si="302"/>
        <v>-6.0814524856862278</v>
      </c>
      <c r="S656" s="5">
        <f t="shared" si="302"/>
        <v>-6.1653852308426593</v>
      </c>
      <c r="T656" s="5">
        <f t="shared" si="302"/>
        <v>-6.2544359169229722</v>
      </c>
      <c r="U656" s="5">
        <f t="shared" si="302"/>
        <v>-6.3485592505869022</v>
      </c>
      <c r="V656" s="5">
        <f t="shared" si="302"/>
        <v>-6.4477312826369371</v>
      </c>
    </row>
    <row r="657" spans="1:22">
      <c r="A657" s="26" t="s">
        <v>669</v>
      </c>
      <c r="B657" s="5">
        <f t="shared" si="302"/>
        <v>-23.9</v>
      </c>
      <c r="C657" s="5">
        <f t="shared" si="302"/>
        <v>-34.299999999999997</v>
      </c>
      <c r="D657" s="5">
        <f t="shared" si="302"/>
        <v>-4.5</v>
      </c>
      <c r="E657" s="5">
        <f t="shared" si="302"/>
        <v>-5.3</v>
      </c>
      <c r="F657" s="5">
        <f t="shared" si="302"/>
        <v>6.5295241065037715</v>
      </c>
      <c r="G657" s="5"/>
      <c r="H657" s="5"/>
      <c r="I657" s="5"/>
      <c r="J657" s="5"/>
      <c r="K657" s="5"/>
      <c r="L657" s="5"/>
      <c r="M657" s="5"/>
      <c r="N657" s="5">
        <f t="shared" si="302"/>
        <v>54.701772025172616</v>
      </c>
      <c r="O657" s="5">
        <f t="shared" si="302"/>
        <v>-1.2047169003128175</v>
      </c>
      <c r="P657" s="5">
        <f t="shared" si="302"/>
        <v>5.0804050734944042</v>
      </c>
      <c r="Q657" s="5">
        <f t="shared" si="302"/>
        <v>5.7201778402194918</v>
      </c>
      <c r="R657" s="5">
        <f t="shared" si="302"/>
        <v>5.6264970601252458</v>
      </c>
      <c r="S657" s="5">
        <f t="shared" si="302"/>
        <v>5.709831288733767</v>
      </c>
      <c r="T657" s="5">
        <f t="shared" si="302"/>
        <v>5.7986909194899852</v>
      </c>
      <c r="U657" s="5">
        <f t="shared" si="302"/>
        <v>5.8930383491089913</v>
      </c>
      <c r="V657" s="5">
        <f t="shared" si="302"/>
        <v>5.9928589030936337</v>
      </c>
    </row>
    <row r="658" spans="1:22">
      <c r="A658" s="26" t="str">
        <f>+A162</f>
        <v>Income tax paid</v>
      </c>
      <c r="B658" s="5">
        <f t="shared" si="302"/>
        <v>2.5</v>
      </c>
      <c r="C658" s="5">
        <f t="shared" si="302"/>
        <v>-2.4</v>
      </c>
      <c r="D658" s="5">
        <f t="shared" si="302"/>
        <v>-7.5</v>
      </c>
      <c r="E658" s="5">
        <f t="shared" si="302"/>
        <v>-2.7</v>
      </c>
      <c r="F658" s="5">
        <f t="shared" si="302"/>
        <v>-8</v>
      </c>
      <c r="G658" s="5"/>
      <c r="H658" s="5"/>
      <c r="I658" s="5"/>
      <c r="J658" s="5"/>
      <c r="K658" s="5"/>
      <c r="L658" s="5"/>
      <c r="M658" s="5"/>
      <c r="N658" s="5">
        <f t="shared" si="302"/>
        <v>-2.2517624434590817</v>
      </c>
      <c r="O658" s="5">
        <f t="shared" si="302"/>
        <v>-50.742593663097928</v>
      </c>
      <c r="P658" s="5">
        <f t="shared" si="302"/>
        <v>-53.22526181406176</v>
      </c>
      <c r="Q658" s="5">
        <f t="shared" si="302"/>
        <v>-60.241312339499082</v>
      </c>
      <c r="R658" s="5">
        <f t="shared" si="302"/>
        <v>-66.503168170505347</v>
      </c>
      <c r="S658" s="5">
        <f t="shared" si="302"/>
        <v>-71.163513950744317</v>
      </c>
      <c r="T658" s="5">
        <f t="shared" si="302"/>
        <v>-75.887097163100876</v>
      </c>
      <c r="U658" s="5">
        <f t="shared" si="302"/>
        <v>-80.672678586479748</v>
      </c>
      <c r="V658" s="5">
        <f t="shared" si="302"/>
        <v>-85.513332516783038</v>
      </c>
    </row>
    <row r="659" spans="1:22">
      <c r="A659" s="7" t="str">
        <f t="shared" ref="A659:V659" si="303">+A164</f>
        <v>Net cash from operating activities</v>
      </c>
      <c r="B659" s="9">
        <f t="shared" si="303"/>
        <v>81.900000000000006</v>
      </c>
      <c r="C659" s="9">
        <f t="shared" si="303"/>
        <v>77.099999999999994</v>
      </c>
      <c r="D659" s="9">
        <f t="shared" si="303"/>
        <v>72.3</v>
      </c>
      <c r="E659" s="9">
        <f t="shared" si="303"/>
        <v>59.632977691561607</v>
      </c>
      <c r="F659" s="9">
        <f t="shared" si="303"/>
        <v>92.286558672283235</v>
      </c>
      <c r="G659" s="9"/>
      <c r="H659" s="9"/>
      <c r="I659" s="9"/>
      <c r="J659" s="9"/>
      <c r="K659" s="9"/>
      <c r="L659" s="9"/>
      <c r="M659" s="9"/>
      <c r="N659" s="9">
        <f t="shared" si="303"/>
        <v>264.33091689654225</v>
      </c>
      <c r="O659" s="9">
        <f t="shared" si="303"/>
        <v>226.88545459071054</v>
      </c>
      <c r="P659" s="9">
        <f t="shared" si="303"/>
        <v>255.29649904893591</v>
      </c>
      <c r="Q659" s="9">
        <f t="shared" si="303"/>
        <v>272.2433679352464</v>
      </c>
      <c r="R659" s="9">
        <f t="shared" si="303"/>
        <v>288.89118931720361</v>
      </c>
      <c r="S659" s="9">
        <f t="shared" si="303"/>
        <v>307.23695497720234</v>
      </c>
      <c r="T659" s="9">
        <f t="shared" si="303"/>
        <v>325.61473903440265</v>
      </c>
      <c r="U659" s="9">
        <f t="shared" si="303"/>
        <v>344.03913536625521</v>
      </c>
      <c r="V659" s="9">
        <f t="shared" si="303"/>
        <v>362.52994104753054</v>
      </c>
    </row>
    <row r="660" spans="1:22">
      <c r="A660" s="7" t="str">
        <f t="shared" ref="A660:A665" si="304">+A166</f>
        <v>Cash flow from investing activities</v>
      </c>
      <c r="B660" s="5"/>
      <c r="C660" s="5"/>
      <c r="D660" s="5"/>
      <c r="E660" s="5"/>
      <c r="F660" s="5"/>
      <c r="G660" s="5"/>
      <c r="H660" s="5"/>
      <c r="I660" s="5"/>
      <c r="J660" s="5"/>
      <c r="K660" s="5"/>
      <c r="L660" s="5"/>
      <c r="M660" s="5"/>
      <c r="N660" s="5"/>
      <c r="O660" s="5"/>
      <c r="P660" s="5"/>
      <c r="Q660" s="5"/>
      <c r="R660" s="5"/>
      <c r="S660" s="5"/>
      <c r="T660" s="5"/>
      <c r="U660" s="5"/>
      <c r="V660" s="5"/>
    </row>
    <row r="661" spans="1:22">
      <c r="A661" s="4" t="str">
        <f t="shared" si="304"/>
        <v>Proceeds from sale of property, plant and equipment</v>
      </c>
      <c r="B661" s="5">
        <f t="shared" ref="B661:F665" si="305">+B167</f>
        <v>2.5</v>
      </c>
      <c r="C661" s="5">
        <f t="shared" si="305"/>
        <v>1.9</v>
      </c>
      <c r="D661" s="5">
        <f t="shared" si="305"/>
        <v>4.5999999999999996</v>
      </c>
      <c r="E661" s="5">
        <f t="shared" si="305"/>
        <v>3.2</v>
      </c>
      <c r="F661" s="5">
        <f t="shared" si="305"/>
        <v>0</v>
      </c>
      <c r="G661" s="5"/>
      <c r="H661" s="5"/>
      <c r="I661" s="5"/>
      <c r="J661" s="5"/>
      <c r="K661" s="5"/>
      <c r="L661" s="5"/>
      <c r="M661" s="5"/>
      <c r="N661" s="5">
        <f t="shared" ref="N661:P665" si="306">+N167</f>
        <v>0</v>
      </c>
      <c r="O661" s="5">
        <f t="shared" si="306"/>
        <v>0</v>
      </c>
      <c r="P661" s="5">
        <f t="shared" si="306"/>
        <v>0</v>
      </c>
      <c r="Q661" s="5">
        <f t="shared" ref="Q661:V665" si="307">+Q167</f>
        <v>0</v>
      </c>
      <c r="R661" s="5">
        <f t="shared" si="307"/>
        <v>0</v>
      </c>
      <c r="S661" s="5">
        <f t="shared" si="307"/>
        <v>0</v>
      </c>
      <c r="T661" s="5">
        <f t="shared" si="307"/>
        <v>0</v>
      </c>
      <c r="U661" s="5">
        <f t="shared" si="307"/>
        <v>0</v>
      </c>
      <c r="V661" s="5">
        <f t="shared" si="307"/>
        <v>0</v>
      </c>
    </row>
    <row r="662" spans="1:22">
      <c r="A662" s="4" t="str">
        <f t="shared" si="304"/>
        <v>Acquisition of property, plant and equipment</v>
      </c>
      <c r="B662" s="5">
        <f t="shared" si="305"/>
        <v>-61.5</v>
      </c>
      <c r="C662" s="5">
        <f t="shared" si="305"/>
        <v>-48.8</v>
      </c>
      <c r="D662" s="5">
        <f t="shared" si="305"/>
        <v>-41.4</v>
      </c>
      <c r="E662" s="5">
        <f t="shared" si="305"/>
        <v>-41.5</v>
      </c>
      <c r="F662" s="5">
        <f t="shared" si="305"/>
        <v>-92</v>
      </c>
      <c r="G662" s="5"/>
      <c r="H662" s="5"/>
      <c r="I662" s="5"/>
      <c r="J662" s="5"/>
      <c r="K662" s="5"/>
      <c r="L662" s="5"/>
      <c r="M662" s="5"/>
      <c r="N662" s="5">
        <f t="shared" si="306"/>
        <v>-117.67062873912292</v>
      </c>
      <c r="O662" s="5">
        <f t="shared" si="306"/>
        <v>-103.00806742161447</v>
      </c>
      <c r="P662" s="5">
        <f t="shared" si="306"/>
        <v>-109.62354263921212</v>
      </c>
      <c r="Q662" s="5">
        <f t="shared" si="307"/>
        <v>-116.16457977068279</v>
      </c>
      <c r="R662" s="5">
        <f t="shared" si="307"/>
        <v>-122.58567875687582</v>
      </c>
      <c r="S662" s="5">
        <f t="shared" si="307"/>
        <v>-129.06305212210677</v>
      </c>
      <c r="T662" s="5">
        <f t="shared" si="307"/>
        <v>-135.60172203409016</v>
      </c>
      <c r="U662" s="5">
        <f t="shared" si="307"/>
        <v>-142.20660495135073</v>
      </c>
      <c r="V662" s="5">
        <f t="shared" si="307"/>
        <v>-148.88253584511469</v>
      </c>
    </row>
    <row r="663" spans="1:22">
      <c r="A663" s="4" t="str">
        <f t="shared" si="304"/>
        <v>Acquisition of intangible assets</v>
      </c>
      <c r="B663" s="5">
        <f t="shared" si="305"/>
        <v>-5.9</v>
      </c>
      <c r="C663" s="5">
        <f t="shared" si="305"/>
        <v>-7.6</v>
      </c>
      <c r="D663" s="5">
        <f t="shared" si="305"/>
        <v>-6.7</v>
      </c>
      <c r="E663" s="5">
        <f t="shared" si="305"/>
        <v>-7.1</v>
      </c>
      <c r="F663" s="5">
        <f t="shared" si="305"/>
        <v>-23</v>
      </c>
      <c r="G663" s="5"/>
      <c r="H663" s="5"/>
      <c r="I663" s="5"/>
      <c r="J663" s="5"/>
      <c r="K663" s="5"/>
      <c r="L663" s="5"/>
      <c r="M663" s="5"/>
      <c r="N663" s="5">
        <f t="shared" si="306"/>
        <v>-29.417657184780722</v>
      </c>
      <c r="O663" s="5">
        <f t="shared" si="306"/>
        <v>-25.75201685540361</v>
      </c>
      <c r="P663" s="5">
        <f t="shared" si="306"/>
        <v>-27.405885659803019</v>
      </c>
      <c r="Q663" s="5">
        <f t="shared" si="307"/>
        <v>-29.041144942670684</v>
      </c>
      <c r="R663" s="5">
        <f t="shared" si="307"/>
        <v>-30.646419689218945</v>
      </c>
      <c r="S663" s="5">
        <f t="shared" si="307"/>
        <v>-32.265763030526671</v>
      </c>
      <c r="T663" s="5">
        <f t="shared" si="307"/>
        <v>-33.900430508522533</v>
      </c>
      <c r="U663" s="5">
        <f t="shared" si="307"/>
        <v>-35.55165123783766</v>
      </c>
      <c r="V663" s="5">
        <f t="shared" si="307"/>
        <v>-37.220633961278651</v>
      </c>
    </row>
    <row r="664" spans="1:22">
      <c r="A664" s="4" t="str">
        <f t="shared" si="304"/>
        <v>Acquisition of investment property</v>
      </c>
      <c r="B664" s="5">
        <f t="shared" si="305"/>
        <v>-0.2</v>
      </c>
      <c r="C664" s="5">
        <f t="shared" si="305"/>
        <v>0</v>
      </c>
      <c r="D664" s="5">
        <f t="shared" si="305"/>
        <v>-0.8</v>
      </c>
      <c r="E664" s="5">
        <f t="shared" si="305"/>
        <v>-10.6</v>
      </c>
      <c r="F664" s="5">
        <f t="shared" si="305"/>
        <v>0</v>
      </c>
      <c r="G664" s="5"/>
      <c r="H664" s="5"/>
      <c r="I664" s="5"/>
      <c r="J664" s="5"/>
      <c r="K664" s="5"/>
      <c r="L664" s="5"/>
      <c r="M664" s="5"/>
      <c r="N664" s="5">
        <f t="shared" si="306"/>
        <v>0</v>
      </c>
      <c r="O664" s="5">
        <f t="shared" si="306"/>
        <v>0</v>
      </c>
      <c r="P664" s="5">
        <f t="shared" si="306"/>
        <v>0</v>
      </c>
      <c r="Q664" s="5">
        <f t="shared" si="307"/>
        <v>0</v>
      </c>
      <c r="R664" s="5">
        <f t="shared" si="307"/>
        <v>0</v>
      </c>
      <c r="S664" s="5">
        <f t="shared" si="307"/>
        <v>0</v>
      </c>
      <c r="T664" s="5">
        <f t="shared" si="307"/>
        <v>0</v>
      </c>
      <c r="U664" s="5">
        <f t="shared" si="307"/>
        <v>0</v>
      </c>
      <c r="V664" s="5">
        <f t="shared" si="307"/>
        <v>0</v>
      </c>
    </row>
    <row r="665" spans="1:22">
      <c r="A665" s="4" t="str">
        <f t="shared" si="304"/>
        <v>Interest received</v>
      </c>
      <c r="B665" s="5">
        <f t="shared" si="305"/>
        <v>0.4</v>
      </c>
      <c r="C665" s="5">
        <f t="shared" si="305"/>
        <v>0.5</v>
      </c>
      <c r="D665" s="5">
        <f t="shared" si="305"/>
        <v>0.4</v>
      </c>
      <c r="E665" s="5">
        <f t="shared" si="305"/>
        <v>0.1</v>
      </c>
      <c r="F665" s="5">
        <f t="shared" si="305"/>
        <v>0.122</v>
      </c>
      <c r="G665" s="5"/>
      <c r="H665" s="5"/>
      <c r="I665" s="5"/>
      <c r="J665" s="5"/>
      <c r="K665" s="5"/>
      <c r="L665" s="5"/>
      <c r="M665" s="5"/>
      <c r="N665" s="5">
        <f t="shared" si="306"/>
        <v>0.62925279336141615</v>
      </c>
      <c r="O665" s="5">
        <f t="shared" si="306"/>
        <v>1.1089472121914163</v>
      </c>
      <c r="P665" s="5">
        <f t="shared" si="306"/>
        <v>0.90345687375135963</v>
      </c>
      <c r="Q665" s="5">
        <f t="shared" si="307"/>
        <v>0.76868312403899963</v>
      </c>
      <c r="R665" s="5">
        <f t="shared" si="307"/>
        <v>0.59523444514117008</v>
      </c>
      <c r="S665" s="5">
        <f t="shared" si="307"/>
        <v>0.39097077639985756</v>
      </c>
      <c r="T665" s="5">
        <f t="shared" si="307"/>
        <v>0.18256033331268426</v>
      </c>
      <c r="U665" s="5">
        <f t="shared" si="307"/>
        <v>-3.0978399464646176E-2</v>
      </c>
      <c r="V665" s="5">
        <f t="shared" si="307"/>
        <v>-0.25057514575223239</v>
      </c>
    </row>
    <row r="666" spans="1:22">
      <c r="A666" s="7" t="str">
        <f>+A173</f>
        <v>Net cash used in investing activities</v>
      </c>
      <c r="B666" s="9">
        <v>-64.599999999999994</v>
      </c>
      <c r="C666" s="9">
        <f t="shared" ref="C666:V666" si="308">+C173</f>
        <v>-54</v>
      </c>
      <c r="D666" s="9">
        <f t="shared" si="308"/>
        <v>-44</v>
      </c>
      <c r="E666" s="9">
        <f t="shared" si="308"/>
        <v>-55.9</v>
      </c>
      <c r="F666" s="9">
        <f t="shared" si="308"/>
        <v>-114.878</v>
      </c>
      <c r="G666" s="9"/>
      <c r="H666" s="9"/>
      <c r="I666" s="9"/>
      <c r="J666" s="9"/>
      <c r="K666" s="9"/>
      <c r="L666" s="9"/>
      <c r="M666" s="9"/>
      <c r="N666" s="9">
        <f t="shared" si="308"/>
        <v>-146.45903313054222</v>
      </c>
      <c r="O666" s="9">
        <f t="shared" si="308"/>
        <v>-127.65113706482667</v>
      </c>
      <c r="P666" s="9">
        <f t="shared" si="308"/>
        <v>-136.12597142526377</v>
      </c>
      <c r="Q666" s="9">
        <f t="shared" si="308"/>
        <v>-144.43704158931448</v>
      </c>
      <c r="R666" s="9">
        <f t="shared" si="308"/>
        <v>-152.63686400095361</v>
      </c>
      <c r="S666" s="9">
        <f t="shared" si="308"/>
        <v>-160.93784437623358</v>
      </c>
      <c r="T666" s="9">
        <f t="shared" si="308"/>
        <v>-169.3195922093</v>
      </c>
      <c r="U666" s="9">
        <f t="shared" si="308"/>
        <v>-177.78923458865304</v>
      </c>
      <c r="V666" s="9">
        <f t="shared" si="308"/>
        <v>-186.35374495214558</v>
      </c>
    </row>
    <row r="667" spans="1:22">
      <c r="B667" s="5"/>
      <c r="C667" s="5"/>
      <c r="D667" s="5"/>
      <c r="E667" s="5"/>
      <c r="F667" s="5"/>
      <c r="G667" s="5"/>
      <c r="H667" s="5"/>
      <c r="I667" s="5"/>
      <c r="J667" s="5"/>
      <c r="K667" s="5"/>
      <c r="L667" s="5"/>
      <c r="M667" s="5"/>
      <c r="N667" s="5"/>
      <c r="O667" s="5"/>
      <c r="P667" s="5"/>
      <c r="Q667" s="5"/>
      <c r="R667" s="5"/>
      <c r="S667" s="5"/>
      <c r="T667" s="5"/>
      <c r="U667" s="5"/>
      <c r="V667" s="5"/>
    </row>
    <row r="668" spans="1:22">
      <c r="A668" s="7" t="str">
        <f t="shared" ref="A668:P675" si="309">+A175</f>
        <v>Cash flow from financing activities</v>
      </c>
      <c r="B668" s="5"/>
      <c r="C668" s="5"/>
      <c r="D668" s="5"/>
      <c r="E668" s="5"/>
      <c r="F668" s="5"/>
      <c r="G668" s="5"/>
      <c r="H668" s="5"/>
      <c r="I668" s="5"/>
      <c r="J668" s="5"/>
      <c r="K668" s="5"/>
      <c r="L668" s="5"/>
      <c r="M668" s="5"/>
      <c r="N668" s="5"/>
      <c r="O668" s="5"/>
      <c r="P668" s="5"/>
      <c r="Q668" s="5"/>
      <c r="R668" s="5"/>
      <c r="S668" s="5"/>
      <c r="T668" s="5"/>
      <c r="U668" s="5"/>
      <c r="V668" s="5"/>
    </row>
    <row r="669" spans="1:22">
      <c r="A669" s="7" t="str">
        <f t="shared" si="309"/>
        <v>Proceeds of share issuance</v>
      </c>
      <c r="B669" s="5">
        <f t="shared" si="309"/>
        <v>0</v>
      </c>
      <c r="C669" s="5">
        <f t="shared" si="309"/>
        <v>0</v>
      </c>
      <c r="D669" s="5">
        <f t="shared" si="309"/>
        <v>0</v>
      </c>
      <c r="E669" s="5">
        <f t="shared" si="309"/>
        <v>0</v>
      </c>
      <c r="F669" s="5">
        <f t="shared" si="309"/>
        <v>360</v>
      </c>
      <c r="G669" s="5"/>
      <c r="H669" s="5"/>
      <c r="I669" s="5"/>
      <c r="J669" s="5"/>
      <c r="K669" s="5"/>
      <c r="L669" s="5"/>
      <c r="M669" s="5"/>
      <c r="N669" s="5">
        <f t="shared" si="309"/>
        <v>0</v>
      </c>
      <c r="O669" s="5">
        <f t="shared" si="309"/>
        <v>0</v>
      </c>
      <c r="P669" s="5">
        <f t="shared" si="309"/>
        <v>0</v>
      </c>
      <c r="Q669" s="5">
        <f t="shared" ref="Q669:V675" si="310">+Q176</f>
        <v>0</v>
      </c>
      <c r="R669" s="5">
        <f t="shared" si="310"/>
        <v>0</v>
      </c>
      <c r="S669" s="5">
        <f t="shared" si="310"/>
        <v>0</v>
      </c>
      <c r="T669" s="5">
        <f t="shared" si="310"/>
        <v>0</v>
      </c>
      <c r="U669" s="5">
        <f t="shared" si="310"/>
        <v>0</v>
      </c>
      <c r="V669" s="5">
        <f t="shared" si="310"/>
        <v>0</v>
      </c>
    </row>
    <row r="670" spans="1:22">
      <c r="A670" s="4" t="str">
        <f t="shared" si="309"/>
        <v>Withdrawals/deposits</v>
      </c>
      <c r="B670" s="5">
        <f t="shared" si="309"/>
        <v>1.8</v>
      </c>
      <c r="C670" s="5">
        <f t="shared" si="309"/>
        <v>2.8</v>
      </c>
      <c r="D670" s="5">
        <f t="shared" si="309"/>
        <v>32.700000000000003</v>
      </c>
      <c r="E670" s="5">
        <f t="shared" si="309"/>
        <v>-1.3</v>
      </c>
      <c r="F670" s="5">
        <f t="shared" si="309"/>
        <v>0</v>
      </c>
      <c r="G670" s="5"/>
      <c r="H670" s="5"/>
      <c r="I670" s="5"/>
      <c r="J670" s="5"/>
      <c r="K670" s="5"/>
      <c r="L670" s="5"/>
      <c r="M670" s="5"/>
      <c r="N670" s="5">
        <f t="shared" si="309"/>
        <v>0</v>
      </c>
      <c r="O670" s="5">
        <f t="shared" si="309"/>
        <v>0</v>
      </c>
      <c r="P670" s="5">
        <f t="shared" si="309"/>
        <v>0</v>
      </c>
      <c r="Q670" s="5">
        <f t="shared" si="310"/>
        <v>0</v>
      </c>
      <c r="R670" s="5">
        <f t="shared" si="310"/>
        <v>0</v>
      </c>
      <c r="S670" s="5">
        <f t="shared" si="310"/>
        <v>0</v>
      </c>
      <c r="T670" s="5">
        <f t="shared" si="310"/>
        <v>0</v>
      </c>
      <c r="U670" s="5">
        <f t="shared" si="310"/>
        <v>0</v>
      </c>
      <c r="V670" s="5">
        <f t="shared" si="310"/>
        <v>0</v>
      </c>
    </row>
    <row r="671" spans="1:22">
      <c r="A671" s="4" t="str">
        <f t="shared" si="309"/>
        <v>Payment of financial lease liabilities</v>
      </c>
      <c r="B671" s="5">
        <f t="shared" si="309"/>
        <v>0</v>
      </c>
      <c r="C671" s="5">
        <f t="shared" si="309"/>
        <v>-3</v>
      </c>
      <c r="D671" s="5">
        <f t="shared" si="309"/>
        <v>-4.9000000000000004</v>
      </c>
      <c r="E671" s="5">
        <f t="shared" si="309"/>
        <v>-5.9</v>
      </c>
      <c r="F671" s="5">
        <f t="shared" si="309"/>
        <v>0</v>
      </c>
      <c r="G671" s="5"/>
      <c r="H671" s="5"/>
      <c r="I671" s="5"/>
      <c r="J671" s="5"/>
      <c r="K671" s="5"/>
      <c r="L671" s="5"/>
      <c r="M671" s="5"/>
      <c r="N671" s="5">
        <f t="shared" si="309"/>
        <v>0</v>
      </c>
      <c r="O671" s="5">
        <f t="shared" si="309"/>
        <v>0</v>
      </c>
      <c r="P671" s="5">
        <f t="shared" si="309"/>
        <v>0</v>
      </c>
      <c r="Q671" s="5">
        <f t="shared" si="310"/>
        <v>0</v>
      </c>
      <c r="R671" s="5">
        <f t="shared" si="310"/>
        <v>0</v>
      </c>
      <c r="S671" s="5">
        <f t="shared" si="310"/>
        <v>0</v>
      </c>
      <c r="T671" s="5">
        <f t="shared" si="310"/>
        <v>0</v>
      </c>
      <c r="U671" s="5">
        <f t="shared" si="310"/>
        <v>0</v>
      </c>
      <c r="V671" s="5">
        <f t="shared" si="310"/>
        <v>0</v>
      </c>
    </row>
    <row r="672" spans="1:22">
      <c r="A672" s="4" t="str">
        <f t="shared" si="309"/>
        <v>Distributions of dividends</v>
      </c>
      <c r="B672" s="5">
        <f t="shared" si="309"/>
        <v>-2.1</v>
      </c>
      <c r="C672" s="5">
        <f t="shared" si="309"/>
        <v>-2.5</v>
      </c>
      <c r="D672" s="5">
        <f t="shared" si="309"/>
        <v>-2.8</v>
      </c>
      <c r="E672" s="5">
        <f t="shared" si="309"/>
        <v>-3.1</v>
      </c>
      <c r="F672" s="5">
        <f t="shared" si="309"/>
        <v>0</v>
      </c>
      <c r="G672" s="5"/>
      <c r="H672" s="5"/>
      <c r="I672" s="5"/>
      <c r="J672" s="5"/>
      <c r="K672" s="5"/>
      <c r="L672" s="5"/>
      <c r="M672" s="5"/>
      <c r="N672" s="5">
        <f t="shared" si="309"/>
        <v>0</v>
      </c>
      <c r="O672" s="5">
        <f t="shared" si="309"/>
        <v>-118.39938521389519</v>
      </c>
      <c r="P672" s="5">
        <f t="shared" si="309"/>
        <v>-124.19227756614413</v>
      </c>
      <c r="Q672" s="5">
        <f t="shared" si="310"/>
        <v>-140.56306212549788</v>
      </c>
      <c r="R672" s="5">
        <f t="shared" si="310"/>
        <v>-155.17405906451248</v>
      </c>
      <c r="S672" s="5">
        <f t="shared" si="310"/>
        <v>-166.04819921840343</v>
      </c>
      <c r="T672" s="5">
        <f t="shared" si="310"/>
        <v>-177.06989338056871</v>
      </c>
      <c r="U672" s="5">
        <f t="shared" si="310"/>
        <v>-188.23625003511941</v>
      </c>
      <c r="V672" s="5">
        <f t="shared" si="310"/>
        <v>-199.53110920582711</v>
      </c>
    </row>
    <row r="673" spans="1:22">
      <c r="A673" s="4" t="str">
        <f t="shared" si="309"/>
        <v>Proceeds from loans, bonds or short-term or long-term borrowings from banks</v>
      </c>
      <c r="B673" s="5">
        <f t="shared" si="309"/>
        <v>47.8</v>
      </c>
      <c r="C673" s="5">
        <f t="shared" si="309"/>
        <v>2.9</v>
      </c>
      <c r="D673" s="5">
        <f t="shared" si="309"/>
        <v>8.1999999999999993</v>
      </c>
      <c r="E673" s="5">
        <f t="shared" si="309"/>
        <v>0.1</v>
      </c>
      <c r="F673" s="5">
        <f t="shared" si="309"/>
        <v>75</v>
      </c>
      <c r="G673" s="5"/>
      <c r="H673" s="5"/>
      <c r="I673" s="5"/>
      <c r="J673" s="5"/>
      <c r="K673" s="5"/>
      <c r="L673" s="5"/>
      <c r="M673" s="5"/>
      <c r="N673" s="5">
        <f t="shared" si="309"/>
        <v>0</v>
      </c>
      <c r="O673" s="5">
        <f t="shared" si="309"/>
        <v>0</v>
      </c>
      <c r="P673" s="5">
        <f t="shared" si="309"/>
        <v>0</v>
      </c>
      <c r="Q673" s="5">
        <f t="shared" si="310"/>
        <v>0</v>
      </c>
      <c r="R673" s="5">
        <f t="shared" si="310"/>
        <v>0</v>
      </c>
      <c r="S673" s="5">
        <f t="shared" si="310"/>
        <v>0</v>
      </c>
      <c r="T673" s="5">
        <f t="shared" si="310"/>
        <v>0</v>
      </c>
      <c r="U673" s="5">
        <f t="shared" si="310"/>
        <v>0</v>
      </c>
      <c r="V673" s="5">
        <f t="shared" si="310"/>
        <v>0</v>
      </c>
    </row>
    <row r="674" spans="1:22">
      <c r="A674" s="4" t="str">
        <f t="shared" si="309"/>
        <v>Repayment of borrowings and short-term or long-term borrowings</v>
      </c>
      <c r="B674" s="5">
        <f t="shared" si="309"/>
        <v>-49.4</v>
      </c>
      <c r="C674" s="5">
        <f t="shared" si="309"/>
        <v>-1.8</v>
      </c>
      <c r="D674" s="5">
        <f t="shared" si="309"/>
        <v>-3.5</v>
      </c>
      <c r="E674" s="5">
        <f t="shared" si="309"/>
        <v>-2.9</v>
      </c>
      <c r="F674" s="5">
        <f t="shared" si="309"/>
        <v>-360</v>
      </c>
      <c r="G674" s="5"/>
      <c r="H674" s="5"/>
      <c r="I674" s="5"/>
      <c r="J674" s="5"/>
      <c r="K674" s="5"/>
      <c r="L674" s="5"/>
      <c r="M674" s="5"/>
      <c r="N674" s="5">
        <f t="shared" si="309"/>
        <v>0</v>
      </c>
      <c r="O674" s="5">
        <f t="shared" si="309"/>
        <v>0</v>
      </c>
      <c r="P674" s="5">
        <f t="shared" si="309"/>
        <v>0</v>
      </c>
      <c r="Q674" s="5">
        <f t="shared" si="310"/>
        <v>0</v>
      </c>
      <c r="R674" s="5">
        <f t="shared" si="310"/>
        <v>0</v>
      </c>
      <c r="S674" s="5">
        <f t="shared" si="310"/>
        <v>0</v>
      </c>
      <c r="T674" s="5">
        <f t="shared" si="310"/>
        <v>0</v>
      </c>
      <c r="U674" s="5">
        <f t="shared" si="310"/>
        <v>0</v>
      </c>
      <c r="V674" s="5">
        <f t="shared" si="310"/>
        <v>0</v>
      </c>
    </row>
    <row r="675" spans="1:22">
      <c r="A675" s="4" t="str">
        <f t="shared" si="309"/>
        <v>Interest paid</v>
      </c>
      <c r="B675" s="5">
        <f t="shared" si="309"/>
        <v>-14.5</v>
      </c>
      <c r="C675" s="5">
        <f t="shared" si="309"/>
        <v>-29.8</v>
      </c>
      <c r="D675" s="5">
        <f t="shared" si="309"/>
        <v>-24</v>
      </c>
      <c r="E675" s="5">
        <f t="shared" si="309"/>
        <v>-17.100000000000001</v>
      </c>
      <c r="F675" s="5">
        <f t="shared" si="309"/>
        <v>-18.558</v>
      </c>
      <c r="G675" s="5"/>
      <c r="H675" s="5"/>
      <c r="I675" s="5"/>
      <c r="J675" s="5"/>
      <c r="K675" s="5"/>
      <c r="L675" s="5"/>
      <c r="M675" s="5"/>
      <c r="N675" s="5">
        <f t="shared" si="309"/>
        <v>-21.933</v>
      </c>
      <c r="O675" s="5">
        <f t="shared" si="309"/>
        <v>-21.933</v>
      </c>
      <c r="P675" s="5">
        <f t="shared" si="309"/>
        <v>-21.933</v>
      </c>
      <c r="Q675" s="5">
        <f t="shared" si="310"/>
        <v>-21.933</v>
      </c>
      <c r="R675" s="5">
        <f t="shared" si="310"/>
        <v>-21.933</v>
      </c>
      <c r="S675" s="5">
        <f t="shared" si="310"/>
        <v>-21.933</v>
      </c>
      <c r="T675" s="5">
        <f t="shared" si="310"/>
        <v>-21.933</v>
      </c>
      <c r="U675" s="5">
        <f t="shared" si="310"/>
        <v>-21.933</v>
      </c>
      <c r="V675" s="5">
        <f t="shared" si="310"/>
        <v>-21.933</v>
      </c>
    </row>
    <row r="676" spans="1:22">
      <c r="B676" s="5"/>
      <c r="C676" s="5"/>
      <c r="D676" s="5"/>
      <c r="E676" s="5"/>
      <c r="F676" s="5"/>
      <c r="G676" s="5"/>
      <c r="H676" s="5"/>
      <c r="I676" s="5"/>
      <c r="J676" s="5"/>
      <c r="K676" s="5"/>
      <c r="L676" s="5"/>
      <c r="M676" s="5"/>
      <c r="N676" s="5"/>
      <c r="O676" s="5"/>
      <c r="P676" s="5"/>
      <c r="Q676" s="5"/>
      <c r="R676" s="5"/>
      <c r="S676" s="5"/>
      <c r="T676" s="5"/>
      <c r="U676" s="5"/>
      <c r="V676" s="5"/>
    </row>
    <row r="677" spans="1:22">
      <c r="A677" s="7" t="str">
        <f t="shared" ref="A677:V677" si="311">+A184</f>
        <v>Cash flow from (used in) financing activities</v>
      </c>
      <c r="B677" s="9">
        <f t="shared" si="311"/>
        <v>-16.5</v>
      </c>
      <c r="C677" s="9">
        <f t="shared" si="311"/>
        <v>-31.5</v>
      </c>
      <c r="D677" s="9">
        <f t="shared" si="311"/>
        <v>5.8</v>
      </c>
      <c r="E677" s="9">
        <f t="shared" si="311"/>
        <v>-50.1</v>
      </c>
      <c r="F677" s="9">
        <f t="shared" si="311"/>
        <v>56.442</v>
      </c>
      <c r="G677" s="9"/>
      <c r="H677" s="9"/>
      <c r="I677" s="9"/>
      <c r="J677" s="9"/>
      <c r="K677" s="9"/>
      <c r="L677" s="9"/>
      <c r="M677" s="9"/>
      <c r="N677" s="9">
        <f t="shared" si="311"/>
        <v>-21.933</v>
      </c>
      <c r="O677" s="9">
        <f t="shared" si="311"/>
        <v>-140.33238521389518</v>
      </c>
      <c r="P677" s="9">
        <f t="shared" si="311"/>
        <v>-146.12527756614412</v>
      </c>
      <c r="Q677" s="9">
        <f t="shared" si="311"/>
        <v>-162.49606212549787</v>
      </c>
      <c r="R677" s="9">
        <f t="shared" si="311"/>
        <v>-177.10705906451247</v>
      </c>
      <c r="S677" s="9">
        <f t="shared" si="311"/>
        <v>-187.98119921840342</v>
      </c>
      <c r="T677" s="9">
        <f t="shared" si="311"/>
        <v>-199.00289338056871</v>
      </c>
      <c r="U677" s="9">
        <f t="shared" si="311"/>
        <v>-210.1692500351194</v>
      </c>
      <c r="V677" s="9">
        <f t="shared" si="311"/>
        <v>-221.4641092058271</v>
      </c>
    </row>
    <row r="678" spans="1:22">
      <c r="B678" s="5"/>
      <c r="C678" s="5"/>
      <c r="D678" s="5"/>
      <c r="E678" s="5"/>
      <c r="F678" s="5"/>
      <c r="G678" s="5"/>
      <c r="H678" s="5"/>
      <c r="I678" s="5"/>
      <c r="J678" s="5"/>
      <c r="K678" s="5"/>
      <c r="L678" s="5"/>
      <c r="M678" s="5"/>
      <c r="N678" s="5"/>
      <c r="O678" s="5"/>
      <c r="P678" s="5"/>
      <c r="Q678" s="5"/>
      <c r="R678" s="5"/>
      <c r="S678" s="5"/>
      <c r="T678" s="5"/>
      <c r="U678" s="5"/>
      <c r="V678" s="5"/>
    </row>
    <row r="679" spans="1:22">
      <c r="A679" s="7" t="str">
        <f>+A186</f>
        <v>Net increase/decrease in cash and cash equivalents</v>
      </c>
      <c r="B679" s="9">
        <v>0.8</v>
      </c>
      <c r="C679" s="9">
        <f t="shared" ref="C679:V680" si="312">+C186</f>
        <v>-8.4</v>
      </c>
      <c r="D679" s="9">
        <f t="shared" si="312"/>
        <v>34.099999999999994</v>
      </c>
      <c r="E679" s="9">
        <f t="shared" si="312"/>
        <v>-46.367022308438393</v>
      </c>
      <c r="F679" s="9">
        <f t="shared" si="312"/>
        <v>33.850558672283235</v>
      </c>
      <c r="G679" s="9"/>
      <c r="H679" s="9"/>
      <c r="I679" s="9"/>
      <c r="J679" s="9"/>
      <c r="K679" s="9"/>
      <c r="L679" s="9"/>
      <c r="M679" s="9"/>
      <c r="N679" s="9">
        <f t="shared" si="312"/>
        <v>95.938883766000032</v>
      </c>
      <c r="O679" s="9">
        <f t="shared" si="312"/>
        <v>-41.098067688011326</v>
      </c>
      <c r="P679" s="9">
        <f t="shared" si="312"/>
        <v>-26.954749942472006</v>
      </c>
      <c r="Q679" s="9">
        <f t="shared" si="312"/>
        <v>-34.689735779565922</v>
      </c>
      <c r="R679" s="9">
        <f t="shared" si="312"/>
        <v>-40.852733748262494</v>
      </c>
      <c r="S679" s="9">
        <f t="shared" si="312"/>
        <v>-41.682088617434658</v>
      </c>
      <c r="T679" s="9">
        <f t="shared" si="312"/>
        <v>-42.707746555466088</v>
      </c>
      <c r="U679" s="9">
        <f t="shared" si="312"/>
        <v>-43.91934925751724</v>
      </c>
      <c r="V679" s="9">
        <f t="shared" si="312"/>
        <v>-45.287913110442105</v>
      </c>
    </row>
    <row r="680" spans="1:22">
      <c r="A680" s="11" t="str">
        <f>+A187</f>
        <v>Less/plus release of restricted cash and cash equivalents in the financial year</v>
      </c>
      <c r="B680" s="5">
        <f>+B187</f>
        <v>0.3</v>
      </c>
      <c r="C680" s="5">
        <f t="shared" si="312"/>
        <v>-15.1</v>
      </c>
      <c r="D680" s="5">
        <f t="shared" si="312"/>
        <v>14.4</v>
      </c>
      <c r="E680" s="5">
        <f t="shared" si="312"/>
        <v>0</v>
      </c>
      <c r="F680" s="5">
        <f t="shared" si="312"/>
        <v>0</v>
      </c>
      <c r="G680" s="5"/>
      <c r="H680" s="5"/>
      <c r="I680" s="5"/>
      <c r="J680" s="5"/>
      <c r="K680" s="5"/>
      <c r="L680" s="5"/>
      <c r="M680" s="5"/>
      <c r="N680" s="5">
        <f t="shared" si="312"/>
        <v>0</v>
      </c>
      <c r="O680" s="5">
        <f t="shared" si="312"/>
        <v>0</v>
      </c>
      <c r="P680" s="5">
        <f t="shared" si="312"/>
        <v>0</v>
      </c>
      <c r="Q680" s="5">
        <f t="shared" si="312"/>
        <v>0</v>
      </c>
      <c r="R680" s="5">
        <f t="shared" si="312"/>
        <v>0</v>
      </c>
      <c r="S680" s="5">
        <f t="shared" si="312"/>
        <v>0</v>
      </c>
      <c r="T680" s="5">
        <f t="shared" si="312"/>
        <v>0</v>
      </c>
      <c r="U680" s="5">
        <f t="shared" si="312"/>
        <v>0</v>
      </c>
      <c r="V680" s="5">
        <f t="shared" si="312"/>
        <v>0</v>
      </c>
    </row>
    <row r="681" spans="1:22">
      <c r="B681" s="11"/>
      <c r="C681" s="11"/>
      <c r="D681" s="11"/>
      <c r="E681" s="11"/>
      <c r="F681" s="11"/>
      <c r="G681" s="11"/>
      <c r="H681" s="11"/>
      <c r="I681" s="11"/>
      <c r="J681" s="11"/>
      <c r="K681" s="11"/>
      <c r="L681" s="11"/>
      <c r="M681" s="11"/>
      <c r="N681" s="11"/>
      <c r="O681" s="11"/>
      <c r="P681" s="11"/>
      <c r="Q681" s="11"/>
      <c r="R681" s="11"/>
      <c r="S681" s="11"/>
      <c r="T681" s="11"/>
      <c r="U681" s="11"/>
      <c r="V681" s="11"/>
    </row>
    <row r="682" spans="1:22">
      <c r="A682" s="18" t="str">
        <f t="shared" ref="A682:V682" si="313">+A189</f>
        <v>Capital Expenditures € millions</v>
      </c>
      <c r="B682" s="43" t="str">
        <f t="shared" si="313"/>
        <v>2011A</v>
      </c>
      <c r="C682" s="43" t="str">
        <f t="shared" si="313"/>
        <v>2012A</v>
      </c>
      <c r="D682" s="43" t="str">
        <f t="shared" si="313"/>
        <v>2013A</v>
      </c>
      <c r="E682" s="43" t="str">
        <f t="shared" si="313"/>
        <v>2014A</v>
      </c>
      <c r="F682" s="43" t="str">
        <f t="shared" si="313"/>
        <v>2015E</v>
      </c>
      <c r="G682" s="209"/>
      <c r="H682" s="209"/>
      <c r="I682" s="209"/>
      <c r="J682" s="209"/>
      <c r="K682" s="209"/>
      <c r="L682" s="209"/>
      <c r="M682" s="209"/>
      <c r="N682" s="43" t="str">
        <f t="shared" si="313"/>
        <v>2016E</v>
      </c>
      <c r="O682" s="43" t="str">
        <f t="shared" si="313"/>
        <v>2017E</v>
      </c>
      <c r="P682" s="43" t="str">
        <f t="shared" si="313"/>
        <v>2018E</v>
      </c>
      <c r="Q682" s="43" t="str">
        <f t="shared" si="313"/>
        <v>2019E</v>
      </c>
      <c r="R682" s="43" t="str">
        <f t="shared" si="313"/>
        <v>2020E</v>
      </c>
      <c r="S682" s="43" t="str">
        <f t="shared" si="313"/>
        <v>2021E</v>
      </c>
      <c r="T682" s="43" t="str">
        <f t="shared" si="313"/>
        <v>2022E</v>
      </c>
      <c r="U682" s="43" t="str">
        <f t="shared" si="313"/>
        <v>2023E</v>
      </c>
      <c r="V682" s="43" t="str">
        <f t="shared" si="313"/>
        <v>2024E</v>
      </c>
    </row>
    <row r="683" spans="1:22">
      <c r="A683" s="7" t="str">
        <f t="shared" ref="A683:V683" si="314">+A197</f>
        <v>Total capital expenditures</v>
      </c>
      <c r="B683" s="9">
        <f t="shared" si="314"/>
        <v>68.099999999999994</v>
      </c>
      <c r="C683" s="9">
        <f t="shared" si="314"/>
        <v>59.6</v>
      </c>
      <c r="D683" s="9">
        <f t="shared" si="314"/>
        <v>51.5</v>
      </c>
      <c r="E683" s="9">
        <f t="shared" si="314"/>
        <v>84.1</v>
      </c>
      <c r="F683" s="9">
        <f t="shared" si="314"/>
        <v>115</v>
      </c>
      <c r="G683" s="9"/>
      <c r="H683" s="9"/>
      <c r="I683" s="9"/>
      <c r="J683" s="9"/>
      <c r="K683" s="9"/>
      <c r="L683" s="9"/>
      <c r="M683" s="9"/>
      <c r="N683" s="9">
        <f t="shared" si="314"/>
        <v>147.08828592390364</v>
      </c>
      <c r="O683" s="9">
        <f t="shared" si="314"/>
        <v>128.76008427701808</v>
      </c>
      <c r="P683" s="9">
        <f t="shared" si="314"/>
        <v>137.02942829901514</v>
      </c>
      <c r="Q683" s="9">
        <f t="shared" si="314"/>
        <v>145.20572471335348</v>
      </c>
      <c r="R683" s="9">
        <f t="shared" si="314"/>
        <v>153.23209844609477</v>
      </c>
      <c r="S683" s="9">
        <f t="shared" si="314"/>
        <v>161.32881515263344</v>
      </c>
      <c r="T683" s="9">
        <f t="shared" si="314"/>
        <v>169.50215254261269</v>
      </c>
      <c r="U683" s="9">
        <f t="shared" si="314"/>
        <v>177.75825618918839</v>
      </c>
      <c r="V683" s="9">
        <f t="shared" si="314"/>
        <v>186.10316980639334</v>
      </c>
    </row>
    <row r="684" spans="1:22">
      <c r="A684" s="4" t="str">
        <f t="shared" ref="A684:V684" si="315">+A199</f>
        <v>% revenues</v>
      </c>
      <c r="B684" s="40">
        <f t="shared" si="315"/>
        <v>0.33268197361993157</v>
      </c>
      <c r="C684" s="40">
        <f t="shared" si="315"/>
        <v>0.29030686799805161</v>
      </c>
      <c r="D684" s="40">
        <f t="shared" si="315"/>
        <v>0.24975751697381185</v>
      </c>
      <c r="E684" s="40">
        <f t="shared" si="315"/>
        <v>0.3948356807511737</v>
      </c>
      <c r="F684" s="40">
        <f t="shared" si="315"/>
        <v>0.51757220201872645</v>
      </c>
      <c r="G684" s="40"/>
      <c r="H684" s="40"/>
      <c r="I684" s="40"/>
      <c r="J684" s="40"/>
      <c r="K684" s="40"/>
      <c r="L684" s="40"/>
      <c r="M684" s="40"/>
      <c r="N684" s="40">
        <f t="shared" si="315"/>
        <v>0.3</v>
      </c>
      <c r="O684" s="40">
        <f t="shared" si="315"/>
        <v>0.25</v>
      </c>
      <c r="P684" s="40">
        <f t="shared" si="315"/>
        <v>0.25</v>
      </c>
      <c r="Q684" s="40">
        <f t="shared" si="315"/>
        <v>0.25</v>
      </c>
      <c r="R684" s="40">
        <f t="shared" si="315"/>
        <v>0.25</v>
      </c>
      <c r="S684" s="40">
        <f t="shared" si="315"/>
        <v>0.25</v>
      </c>
      <c r="T684" s="40">
        <f t="shared" si="315"/>
        <v>0.25</v>
      </c>
      <c r="U684" s="40">
        <f t="shared" si="315"/>
        <v>0.25</v>
      </c>
      <c r="V684" s="40">
        <f t="shared" si="315"/>
        <v>0.25</v>
      </c>
    </row>
    <row r="686" spans="1:22">
      <c r="A686" s="18" t="str">
        <f t="shared" ref="A686:V692" si="316">+A244</f>
        <v>Operating Data</v>
      </c>
      <c r="B686" s="43" t="str">
        <f t="shared" si="316"/>
        <v>2011A</v>
      </c>
      <c r="C686" s="43" t="str">
        <f t="shared" si="316"/>
        <v>2012A</v>
      </c>
      <c r="D686" s="43" t="str">
        <f t="shared" si="316"/>
        <v>2013A</v>
      </c>
      <c r="E686" s="43" t="str">
        <f t="shared" si="316"/>
        <v>2014A</v>
      </c>
      <c r="F686" s="43" t="str">
        <f t="shared" si="316"/>
        <v>2015E</v>
      </c>
      <c r="G686" s="209"/>
      <c r="H686" s="209"/>
      <c r="I686" s="209"/>
      <c r="J686" s="209"/>
      <c r="K686" s="209"/>
      <c r="L686" s="209"/>
      <c r="M686" s="209"/>
      <c r="N686" s="43" t="str">
        <f t="shared" si="316"/>
        <v>2016E</v>
      </c>
      <c r="O686" s="43" t="str">
        <f t="shared" si="316"/>
        <v>2017E</v>
      </c>
      <c r="P686" s="43" t="str">
        <f t="shared" si="316"/>
        <v>2018E</v>
      </c>
      <c r="Q686" s="43" t="str">
        <f t="shared" si="316"/>
        <v>2019E</v>
      </c>
      <c r="R686" s="43" t="str">
        <f t="shared" si="316"/>
        <v>2020E</v>
      </c>
      <c r="S686" s="43" t="str">
        <f t="shared" si="316"/>
        <v>2021E</v>
      </c>
      <c r="T686" s="43" t="str">
        <f t="shared" si="316"/>
        <v>2022E</v>
      </c>
      <c r="U686" s="43" t="str">
        <f t="shared" si="316"/>
        <v>2023E</v>
      </c>
      <c r="V686" s="43" t="str">
        <f t="shared" si="316"/>
        <v>2024E</v>
      </c>
    </row>
    <row r="687" spans="1:22">
      <c r="A687" s="4" t="str">
        <f t="shared" si="316"/>
        <v>Homes connected ('000)</v>
      </c>
      <c r="B687" s="11">
        <f t="shared" si="316"/>
        <v>1963</v>
      </c>
      <c r="C687" s="11">
        <f t="shared" si="316"/>
        <v>1856</v>
      </c>
      <c r="D687" s="11">
        <f t="shared" si="316"/>
        <v>1749</v>
      </c>
      <c r="E687" s="11">
        <f t="shared" si="316"/>
        <v>1697</v>
      </c>
      <c r="F687" s="11">
        <f t="shared" si="316"/>
        <v>1687</v>
      </c>
      <c r="G687" s="11"/>
      <c r="H687" s="11"/>
      <c r="I687" s="11"/>
      <c r="J687" s="11"/>
      <c r="K687" s="11"/>
      <c r="L687" s="11"/>
      <c r="M687" s="11"/>
      <c r="N687" s="11">
        <f t="shared" si="316"/>
        <v>3616</v>
      </c>
      <c r="O687" s="11">
        <f t="shared" si="316"/>
        <v>3606</v>
      </c>
      <c r="P687" s="11">
        <f t="shared" si="316"/>
        <v>3596</v>
      </c>
      <c r="Q687" s="11">
        <f t="shared" si="316"/>
        <v>3586</v>
      </c>
      <c r="R687" s="11">
        <f t="shared" si="316"/>
        <v>3576</v>
      </c>
      <c r="S687" s="11">
        <f t="shared" si="316"/>
        <v>3566</v>
      </c>
      <c r="T687" s="11">
        <f t="shared" si="316"/>
        <v>3556</v>
      </c>
      <c r="U687" s="11">
        <f t="shared" si="316"/>
        <v>3546</v>
      </c>
      <c r="V687" s="11">
        <f t="shared" si="316"/>
        <v>3536</v>
      </c>
    </row>
    <row r="688" spans="1:22">
      <c r="A688" s="4" t="str">
        <f t="shared" si="316"/>
        <v>Homes connected - own network ('000)</v>
      </c>
      <c r="B688" s="11">
        <f t="shared" si="316"/>
        <v>1273</v>
      </c>
      <c r="C688" s="11">
        <f t="shared" si="316"/>
        <v>1250</v>
      </c>
      <c r="D688" s="11">
        <f t="shared" si="316"/>
        <v>1197</v>
      </c>
      <c r="E688" s="11">
        <f t="shared" si="316"/>
        <v>1195.3516638078904</v>
      </c>
      <c r="F688" s="11">
        <f t="shared" si="316"/>
        <v>1238.9177530017155</v>
      </c>
      <c r="G688" s="11"/>
      <c r="H688" s="11"/>
      <c r="I688" s="11"/>
      <c r="J688" s="11"/>
      <c r="K688" s="11"/>
      <c r="L688" s="11"/>
      <c r="M688" s="11"/>
      <c r="N688" s="11">
        <f t="shared" si="316"/>
        <v>2764.0381475128647</v>
      </c>
      <c r="O688" s="11">
        <f t="shared" si="316"/>
        <v>2864.57423670669</v>
      </c>
      <c r="P688" s="11">
        <f t="shared" si="316"/>
        <v>2964.510325900515</v>
      </c>
      <c r="Q688" s="11">
        <f t="shared" si="316"/>
        <v>3027.9864150943404</v>
      </c>
      <c r="R688" s="11">
        <f t="shared" si="316"/>
        <v>3091.0625042881652</v>
      </c>
      <c r="S688" s="11">
        <f t="shared" si="316"/>
        <v>3153.7385934819904</v>
      </c>
      <c r="T688" s="11">
        <f t="shared" si="316"/>
        <v>3216.0146826758155</v>
      </c>
      <c r="U688" s="11">
        <f t="shared" si="316"/>
        <v>3277.8907718696405</v>
      </c>
      <c r="V688" s="11">
        <f t="shared" si="316"/>
        <v>3339.3668610634659</v>
      </c>
    </row>
    <row r="689" spans="1:22">
      <c r="A689" s="4" t="str">
        <f t="shared" si="316"/>
        <v>Homes connected - foreign network ('000)</v>
      </c>
      <c r="B689" s="11">
        <f t="shared" si="316"/>
        <v>690</v>
      </c>
      <c r="C689" s="11">
        <f t="shared" si="316"/>
        <v>605</v>
      </c>
      <c r="D689" s="11">
        <f t="shared" si="316"/>
        <v>552</v>
      </c>
      <c r="E689" s="11">
        <f t="shared" si="316"/>
        <v>501.64833619210958</v>
      </c>
      <c r="F689" s="11">
        <f t="shared" si="316"/>
        <v>448.08224699828452</v>
      </c>
      <c r="G689" s="11"/>
      <c r="H689" s="11"/>
      <c r="I689" s="11"/>
      <c r="J689" s="11"/>
      <c r="K689" s="11"/>
      <c r="L689" s="11"/>
      <c r="M689" s="11"/>
      <c r="N689" s="11">
        <f t="shared" si="316"/>
        <v>851.96185248713527</v>
      </c>
      <c r="O689" s="11">
        <f t="shared" si="316"/>
        <v>741.42576329330996</v>
      </c>
      <c r="P689" s="11">
        <f t="shared" si="316"/>
        <v>631.489674099485</v>
      </c>
      <c r="Q689" s="11">
        <f t="shared" si="316"/>
        <v>558.01358490565963</v>
      </c>
      <c r="R689" s="11">
        <f t="shared" si="316"/>
        <v>484.9374957118348</v>
      </c>
      <c r="S689" s="11">
        <f t="shared" si="316"/>
        <v>412.26140651800961</v>
      </c>
      <c r="T689" s="11">
        <f t="shared" si="316"/>
        <v>339.98531732418451</v>
      </c>
      <c r="U689" s="11">
        <f t="shared" si="316"/>
        <v>268.1092281303595</v>
      </c>
      <c r="V689" s="11">
        <f t="shared" si="316"/>
        <v>196.63313893653412</v>
      </c>
    </row>
    <row r="690" spans="1:22">
      <c r="A690" s="4" t="str">
        <f t="shared" si="316"/>
        <v>Homes connected - two-way upgraded ('000)</v>
      </c>
      <c r="B690" s="11">
        <f t="shared" si="316"/>
        <v>928</v>
      </c>
      <c r="C690" s="11">
        <f t="shared" si="316"/>
        <v>1016</v>
      </c>
      <c r="D690" s="11">
        <f t="shared" si="316"/>
        <v>1040</v>
      </c>
      <c r="E690" s="11">
        <f t="shared" si="316"/>
        <v>1077.5328829492628</v>
      </c>
      <c r="F690" s="11">
        <f t="shared" si="316"/>
        <v>1139.0791077353128</v>
      </c>
      <c r="G690" s="11"/>
      <c r="H690" s="11"/>
      <c r="I690" s="11"/>
      <c r="J690" s="11"/>
      <c r="K690" s="11"/>
      <c r="L690" s="11"/>
      <c r="M690" s="11"/>
      <c r="N690" s="11">
        <f t="shared" si="316"/>
        <v>2602.7868654791582</v>
      </c>
      <c r="O690" s="11">
        <f t="shared" si="316"/>
        <v>2756.3708727502631</v>
      </c>
      <c r="P690" s="11">
        <f t="shared" si="316"/>
        <v>2801.1831330452319</v>
      </c>
      <c r="Q690" s="11">
        <f t="shared" si="316"/>
        <v>2828.2669020903372</v>
      </c>
      <c r="R690" s="11">
        <f t="shared" si="316"/>
        <v>2855.1561731513516</v>
      </c>
      <c r="S690" s="11">
        <f t="shared" si="316"/>
        <v>2881.8509462282755</v>
      </c>
      <c r="T690" s="11">
        <f t="shared" si="316"/>
        <v>2908.3512213211088</v>
      </c>
      <c r="U690" s="11">
        <f t="shared" si="316"/>
        <v>2934.6569984298512</v>
      </c>
      <c r="V690" s="11">
        <f t="shared" si="316"/>
        <v>2960.7682775545031</v>
      </c>
    </row>
    <row r="691" spans="1:22">
      <c r="A691" s="4" t="str">
        <f t="shared" si="316"/>
        <v>Homes connected - own network - two-way upgraded ('000)</v>
      </c>
      <c r="B691" s="11">
        <f t="shared" si="316"/>
        <v>789</v>
      </c>
      <c r="C691" s="11">
        <f t="shared" si="316"/>
        <v>881</v>
      </c>
      <c r="D691" s="11">
        <f t="shared" si="316"/>
        <v>891</v>
      </c>
      <c r="E691" s="11">
        <f t="shared" si="316"/>
        <v>933</v>
      </c>
      <c r="F691" s="11">
        <f t="shared" si="316"/>
        <v>996.53700162498899</v>
      </c>
      <c r="G691" s="11"/>
      <c r="H691" s="11"/>
      <c r="I691" s="11"/>
      <c r="J691" s="11"/>
      <c r="K691" s="11"/>
      <c r="L691" s="11"/>
      <c r="M691" s="11"/>
      <c r="N691" s="11">
        <f t="shared" si="316"/>
        <v>2306.2053626278393</v>
      </c>
      <c r="O691" s="11">
        <f t="shared" si="316"/>
        <v>2476.0259718180537</v>
      </c>
      <c r="P691" s="11">
        <f t="shared" si="316"/>
        <v>2562.4068200415281</v>
      </c>
      <c r="Q691" s="11">
        <f t="shared" si="316"/>
        <v>2617.2730697687625</v>
      </c>
      <c r="R691" s="11">
        <f t="shared" si="316"/>
        <v>2671.7935751350942</v>
      </c>
      <c r="S691" s="11">
        <f t="shared" si="316"/>
        <v>2725.9683361405237</v>
      </c>
      <c r="T691" s="11">
        <f t="shared" si="316"/>
        <v>2779.7973527850513</v>
      </c>
      <c r="U691" s="11">
        <f t="shared" si="316"/>
        <v>2833.2806250686763</v>
      </c>
      <c r="V691" s="11">
        <f t="shared" si="316"/>
        <v>2886.418152991399</v>
      </c>
    </row>
    <row r="692" spans="1:22">
      <c r="A692" s="4" t="str">
        <f t="shared" si="316"/>
        <v>Homes connected - foreign network - two-way upgraded ('000)</v>
      </c>
      <c r="B692" s="11">
        <f t="shared" si="316"/>
        <v>139</v>
      </c>
      <c r="C692" s="11">
        <f t="shared" si="316"/>
        <v>135</v>
      </c>
      <c r="D692" s="11">
        <f t="shared" si="316"/>
        <v>148</v>
      </c>
      <c r="E692" s="11">
        <f t="shared" si="316"/>
        <v>144.5328829492629</v>
      </c>
      <c r="F692" s="11">
        <f t="shared" si="316"/>
        <v>142.54210611032386</v>
      </c>
      <c r="G692" s="11"/>
      <c r="H692" s="11"/>
      <c r="I692" s="11"/>
      <c r="J692" s="11"/>
      <c r="K692" s="11"/>
      <c r="L692" s="11"/>
      <c r="M692" s="11"/>
      <c r="N692" s="11">
        <f t="shared" si="316"/>
        <v>296.5815028513187</v>
      </c>
      <c r="O692" s="11">
        <f t="shared" si="316"/>
        <v>280.34490093220955</v>
      </c>
      <c r="P692" s="11">
        <f t="shared" si="316"/>
        <v>238.77631300370388</v>
      </c>
      <c r="Q692" s="11">
        <f t="shared" si="316"/>
        <v>210.99383232157481</v>
      </c>
      <c r="R692" s="11">
        <f t="shared" si="316"/>
        <v>183.36259801625758</v>
      </c>
      <c r="S692" s="11">
        <f t="shared" si="316"/>
        <v>155.88261008775177</v>
      </c>
      <c r="T692" s="11">
        <f t="shared" si="316"/>
        <v>128.55386853605762</v>
      </c>
      <c r="U692" s="11">
        <f t="shared" si="316"/>
        <v>101.37637336117508</v>
      </c>
      <c r="V692" s="11">
        <f t="shared" si="316"/>
        <v>74.350124563104004</v>
      </c>
    </row>
    <row r="693" spans="1:22">
      <c r="B693" s="38"/>
      <c r="C693" s="38"/>
      <c r="D693" s="38"/>
      <c r="E693" s="11"/>
      <c r="F693" s="11"/>
      <c r="G693" s="11"/>
      <c r="H693" s="11"/>
      <c r="I693" s="11"/>
      <c r="J693" s="11"/>
      <c r="K693" s="11"/>
      <c r="L693" s="11"/>
      <c r="M693" s="11"/>
      <c r="N693" s="11"/>
      <c r="O693" s="11"/>
      <c r="P693" s="11"/>
      <c r="Q693" s="11"/>
      <c r="R693" s="11"/>
      <c r="S693" s="11"/>
      <c r="T693" s="11"/>
      <c r="U693" s="11"/>
      <c r="V693" s="11"/>
    </row>
    <row r="694" spans="1:22">
      <c r="A694" s="4" t="str">
        <f t="shared" ref="A694:V701" si="317">+A252</f>
        <v>Homes connected - own network %</v>
      </c>
      <c r="B694" s="38">
        <f t="shared" si="317"/>
        <v>0.64849719816607232</v>
      </c>
      <c r="C694" s="38">
        <f t="shared" si="317"/>
        <v>0.67349137931034486</v>
      </c>
      <c r="D694" s="38">
        <f t="shared" si="317"/>
        <v>0.68439108061749576</v>
      </c>
      <c r="E694" s="33">
        <f t="shared" si="317"/>
        <v>0.70439108061749578</v>
      </c>
      <c r="F694" s="33">
        <f t="shared" si="317"/>
        <v>0.73439108061749581</v>
      </c>
      <c r="G694" s="33"/>
      <c r="H694" s="33"/>
      <c r="I694" s="33"/>
      <c r="J694" s="33"/>
      <c r="K694" s="33"/>
      <c r="L694" s="33"/>
      <c r="M694" s="33"/>
      <c r="N694" s="33">
        <f t="shared" si="317"/>
        <v>0.76439108061749583</v>
      </c>
      <c r="O694" s="33">
        <f t="shared" si="317"/>
        <v>0.79439108061749586</v>
      </c>
      <c r="P694" s="33">
        <f t="shared" si="317"/>
        <v>0.82439108061749589</v>
      </c>
      <c r="Q694" s="33">
        <f t="shared" si="317"/>
        <v>0.8443910806174959</v>
      </c>
      <c r="R694" s="33">
        <f t="shared" si="317"/>
        <v>0.86439108061749592</v>
      </c>
      <c r="S694" s="33">
        <f t="shared" si="317"/>
        <v>0.88439108061749594</v>
      </c>
      <c r="T694" s="33">
        <f t="shared" si="317"/>
        <v>0.90439108061749596</v>
      </c>
      <c r="U694" s="33">
        <f t="shared" si="317"/>
        <v>0.92439108061749597</v>
      </c>
      <c r="V694" s="33">
        <f t="shared" si="317"/>
        <v>0.94439108061749599</v>
      </c>
    </row>
    <row r="695" spans="1:22">
      <c r="A695" s="4" t="str">
        <f t="shared" si="317"/>
        <v>Homes connected - foreign network %</v>
      </c>
      <c r="B695" s="38">
        <f t="shared" si="317"/>
        <v>0.35150280183392768</v>
      </c>
      <c r="C695" s="38">
        <f t="shared" si="317"/>
        <v>0.32596982758620691</v>
      </c>
      <c r="D695" s="38">
        <f t="shared" si="317"/>
        <v>0.31560891938250429</v>
      </c>
      <c r="E695" s="40">
        <f t="shared" si="317"/>
        <v>0.29560891938250422</v>
      </c>
      <c r="F695" s="40">
        <f t="shared" si="317"/>
        <v>0.26560891938250419</v>
      </c>
      <c r="G695" s="40"/>
      <c r="H695" s="40"/>
      <c r="I695" s="40"/>
      <c r="J695" s="40"/>
      <c r="K695" s="40"/>
      <c r="L695" s="40"/>
      <c r="M695" s="40"/>
      <c r="N695" s="40">
        <f t="shared" si="317"/>
        <v>0.23560891938250417</v>
      </c>
      <c r="O695" s="40">
        <f t="shared" si="317"/>
        <v>0.20560891938250414</v>
      </c>
      <c r="P695" s="40">
        <f t="shared" si="317"/>
        <v>0.17560891938250411</v>
      </c>
      <c r="Q695" s="40">
        <f t="shared" si="317"/>
        <v>0.1556089193825041</v>
      </c>
      <c r="R695" s="40">
        <f t="shared" si="317"/>
        <v>0.13560891938250408</v>
      </c>
      <c r="S695" s="40">
        <f t="shared" si="317"/>
        <v>0.11560891938250406</v>
      </c>
      <c r="T695" s="40">
        <f t="shared" si="317"/>
        <v>9.5608919382504043E-2</v>
      </c>
      <c r="U695" s="40">
        <f t="shared" si="317"/>
        <v>7.5608919382504025E-2</v>
      </c>
      <c r="V695" s="40">
        <f t="shared" si="317"/>
        <v>5.5608919382504007E-2</v>
      </c>
    </row>
    <row r="696" spans="1:22">
      <c r="A696" s="4" t="str">
        <f t="shared" si="317"/>
        <v>Homes connected - own network - two-way upgraded / Homes connected</v>
      </c>
      <c r="B696" s="35">
        <f t="shared" si="317"/>
        <v>0.40193581253183902</v>
      </c>
      <c r="C696" s="35">
        <f t="shared" si="317"/>
        <v>0.47467672413793105</v>
      </c>
      <c r="D696" s="35">
        <f t="shared" si="317"/>
        <v>0.50943396226415094</v>
      </c>
      <c r="E696" s="35">
        <f t="shared" si="317"/>
        <v>0.5497937536829699</v>
      </c>
      <c r="F696" s="35">
        <f t="shared" si="317"/>
        <v>0.5907154722139828</v>
      </c>
      <c r="G696" s="35"/>
      <c r="H696" s="35"/>
      <c r="I696" s="35"/>
      <c r="J696" s="35"/>
      <c r="K696" s="35"/>
      <c r="L696" s="35"/>
      <c r="M696" s="35"/>
      <c r="N696" s="35">
        <f t="shared" si="317"/>
        <v>0.63777803170017677</v>
      </c>
      <c r="O696" s="35">
        <f t="shared" si="317"/>
        <v>0.686640591186371</v>
      </c>
      <c r="P696" s="35">
        <f t="shared" si="317"/>
        <v>0.71257141825404013</v>
      </c>
      <c r="Q696" s="35">
        <f t="shared" si="317"/>
        <v>0.72985863629915293</v>
      </c>
      <c r="R696" s="35">
        <f t="shared" si="317"/>
        <v>0.74714585434426573</v>
      </c>
      <c r="S696" s="35">
        <f t="shared" si="317"/>
        <v>0.76443307238937852</v>
      </c>
      <c r="T696" s="35">
        <f t="shared" si="317"/>
        <v>0.78172029043449132</v>
      </c>
      <c r="U696" s="35">
        <f t="shared" si="317"/>
        <v>0.79900750847960411</v>
      </c>
      <c r="V696" s="35">
        <f t="shared" si="317"/>
        <v>0.81629472652471691</v>
      </c>
    </row>
    <row r="697" spans="1:22">
      <c r="A697" s="4" t="str">
        <f t="shared" si="317"/>
        <v>Homes connected - foreign network - two-way upgraded / Homes connected</v>
      </c>
      <c r="B697" s="35">
        <f t="shared" si="317"/>
        <v>7.0809984717269486E-2</v>
      </c>
      <c r="C697" s="35">
        <f t="shared" si="317"/>
        <v>7.2737068965517238E-2</v>
      </c>
      <c r="D697" s="35">
        <f t="shared" si="317"/>
        <v>8.4619782732990284E-2</v>
      </c>
      <c r="E697" s="35">
        <f t="shared" si="317"/>
        <v>8.5169642280060631E-2</v>
      </c>
      <c r="F697" s="35">
        <f t="shared" si="317"/>
        <v>8.4494431600666192E-2</v>
      </c>
      <c r="G697" s="35"/>
      <c r="H697" s="35"/>
      <c r="I697" s="35"/>
      <c r="J697" s="35"/>
      <c r="K697" s="35"/>
      <c r="L697" s="35"/>
      <c r="M697" s="35"/>
      <c r="N697" s="35">
        <f t="shared" si="317"/>
        <v>8.2019220921271771E-2</v>
      </c>
      <c r="O697" s="35">
        <f t="shared" si="317"/>
        <v>7.7744010241877298E-2</v>
      </c>
      <c r="P697" s="35">
        <f t="shared" si="317"/>
        <v>6.6400531981007746E-2</v>
      </c>
      <c r="Q697" s="35">
        <f t="shared" si="317"/>
        <v>5.8838213140428003E-2</v>
      </c>
      <c r="R697" s="35">
        <f t="shared" si="317"/>
        <v>5.1275894299848315E-2</v>
      </c>
      <c r="S697" s="35">
        <f t="shared" si="317"/>
        <v>4.3713575459268586E-2</v>
      </c>
      <c r="T697" s="35">
        <f t="shared" si="317"/>
        <v>3.6151256618688871E-2</v>
      </c>
      <c r="U697" s="35">
        <f t="shared" si="317"/>
        <v>2.8588937778109162E-2</v>
      </c>
      <c r="V697" s="35">
        <f t="shared" si="317"/>
        <v>2.1026618937529412E-2</v>
      </c>
    </row>
    <row r="698" spans="1:22">
      <c r="A698" s="4" t="str">
        <f t="shared" si="317"/>
        <v>Homes connected - own network - not upgraded / Homes connected</v>
      </c>
      <c r="B698" s="35">
        <f t="shared" si="317"/>
        <v>0.24656138563423333</v>
      </c>
      <c r="C698" s="35">
        <f t="shared" si="317"/>
        <v>0.19881465517241378</v>
      </c>
      <c r="D698" s="35">
        <f t="shared" si="317"/>
        <v>0.17495711835334476</v>
      </c>
      <c r="E698" s="35">
        <f t="shared" si="317"/>
        <v>0.15459732693452588</v>
      </c>
      <c r="F698" s="35">
        <f t="shared" si="317"/>
        <v>0.14367560840351304</v>
      </c>
      <c r="G698" s="35"/>
      <c r="H698" s="35"/>
      <c r="I698" s="35"/>
      <c r="J698" s="35"/>
      <c r="K698" s="35"/>
      <c r="L698" s="35"/>
      <c r="M698" s="35"/>
      <c r="N698" s="35">
        <f t="shared" si="317"/>
        <v>0.12661304891731898</v>
      </c>
      <c r="O698" s="35">
        <f t="shared" si="317"/>
        <v>0.10775048943112489</v>
      </c>
      <c r="P698" s="35">
        <f t="shared" si="317"/>
        <v>0.11181966236345575</v>
      </c>
      <c r="Q698" s="35">
        <f t="shared" si="317"/>
        <v>0.11453244431834296</v>
      </c>
      <c r="R698" s="35">
        <f t="shared" si="317"/>
        <v>0.11724522627323014</v>
      </c>
      <c r="S698" s="35">
        <f t="shared" si="317"/>
        <v>0.11995800822811742</v>
      </c>
      <c r="T698" s="35">
        <f t="shared" si="317"/>
        <v>0.12267079018300454</v>
      </c>
      <c r="U698" s="35">
        <f t="shared" si="317"/>
        <v>0.12538357213789178</v>
      </c>
      <c r="V698" s="35">
        <f t="shared" si="317"/>
        <v>0.12809635409277909</v>
      </c>
    </row>
    <row r="699" spans="1:22">
      <c r="A699" s="4" t="str">
        <f t="shared" si="317"/>
        <v>Homes connected - foreign network - not upgraded / Homes connected</v>
      </c>
      <c r="B699" s="35">
        <f t="shared" si="317"/>
        <v>0.28069281711665817</v>
      </c>
      <c r="C699" s="35">
        <f t="shared" si="317"/>
        <v>0.25323275862068967</v>
      </c>
      <c r="D699" s="35">
        <f t="shared" si="317"/>
        <v>0.23098913664951401</v>
      </c>
      <c r="E699" s="35">
        <f t="shared" si="317"/>
        <v>0.21043927710244353</v>
      </c>
      <c r="F699" s="35">
        <f t="shared" si="317"/>
        <v>0.18111448778183797</v>
      </c>
      <c r="G699" s="35"/>
      <c r="H699" s="35"/>
      <c r="I699" s="35"/>
      <c r="J699" s="35"/>
      <c r="K699" s="35"/>
      <c r="L699" s="35"/>
      <c r="M699" s="35"/>
      <c r="N699" s="35">
        <f t="shared" si="317"/>
        <v>0.15358969846123247</v>
      </c>
      <c r="O699" s="35">
        <f t="shared" si="317"/>
        <v>0.12786490914062684</v>
      </c>
      <c r="P699" s="35">
        <f t="shared" si="317"/>
        <v>0.10920838740149642</v>
      </c>
      <c r="Q699" s="35">
        <f t="shared" si="317"/>
        <v>9.6770706242076079E-2</v>
      </c>
      <c r="R699" s="35">
        <f t="shared" si="317"/>
        <v>8.4333025082655819E-2</v>
      </c>
      <c r="S699" s="35">
        <f t="shared" si="317"/>
        <v>7.1895343923235502E-2</v>
      </c>
      <c r="T699" s="35">
        <f t="shared" si="317"/>
        <v>5.9457662763815207E-2</v>
      </c>
      <c r="U699" s="35">
        <f t="shared" si="317"/>
        <v>4.7019981604394932E-2</v>
      </c>
      <c r="V699" s="35">
        <f t="shared" si="317"/>
        <v>3.4582300444974581E-2</v>
      </c>
    </row>
    <row r="700" spans="1:22">
      <c r="A700" s="4" t="str">
        <f t="shared" si="317"/>
        <v>Upgrade % - own network</v>
      </c>
      <c r="B700" s="35">
        <f t="shared" si="317"/>
        <v>0.61979575805184606</v>
      </c>
      <c r="C700" s="35">
        <f t="shared" si="317"/>
        <v>0.70479999999999998</v>
      </c>
      <c r="D700" s="35">
        <f t="shared" si="317"/>
        <v>0.74436090225563911</v>
      </c>
      <c r="E700" s="33">
        <f t="shared" si="317"/>
        <v>0.77436090225563914</v>
      </c>
      <c r="F700" s="33">
        <f t="shared" si="317"/>
        <v>0.80436090225563917</v>
      </c>
      <c r="G700" s="33"/>
      <c r="H700" s="33"/>
      <c r="I700" s="33"/>
      <c r="J700" s="33"/>
      <c r="K700" s="33"/>
      <c r="L700" s="33"/>
      <c r="M700" s="33"/>
      <c r="N700" s="33">
        <f t="shared" si="317"/>
        <v>0.83436090225563919</v>
      </c>
      <c r="O700" s="33">
        <f t="shared" si="317"/>
        <v>0.86436090225563922</v>
      </c>
      <c r="P700" s="33">
        <f t="shared" si="317"/>
        <v>0.86436090225563922</v>
      </c>
      <c r="Q700" s="33">
        <f t="shared" si="317"/>
        <v>0.86436090225563922</v>
      </c>
      <c r="R700" s="33">
        <f t="shared" si="317"/>
        <v>0.86436090225563922</v>
      </c>
      <c r="S700" s="33">
        <f t="shared" si="317"/>
        <v>0.86436090225563922</v>
      </c>
      <c r="T700" s="33">
        <f t="shared" si="317"/>
        <v>0.86436090225563922</v>
      </c>
      <c r="U700" s="33">
        <f t="shared" si="317"/>
        <v>0.86436090225563922</v>
      </c>
      <c r="V700" s="33">
        <f t="shared" si="317"/>
        <v>0.86436090225563922</v>
      </c>
    </row>
    <row r="701" spans="1:22">
      <c r="A701" s="4" t="str">
        <f t="shared" si="317"/>
        <v>upgrade % - foreign network</v>
      </c>
      <c r="B701" s="35">
        <f t="shared" si="317"/>
        <v>0.20144927536231885</v>
      </c>
      <c r="C701" s="35">
        <f t="shared" si="317"/>
        <v>0.2231404958677686</v>
      </c>
      <c r="D701" s="35">
        <f t="shared" si="317"/>
        <v>0.26811594202898553</v>
      </c>
      <c r="E701" s="33">
        <f t="shared" si="317"/>
        <v>0.28811594202898555</v>
      </c>
      <c r="F701" s="33">
        <f t="shared" si="317"/>
        <v>0.31811594202898552</v>
      </c>
      <c r="G701" s="33"/>
      <c r="H701" s="33"/>
      <c r="I701" s="33"/>
      <c r="J701" s="33"/>
      <c r="K701" s="33"/>
      <c r="L701" s="33"/>
      <c r="M701" s="33"/>
      <c r="N701" s="33">
        <f t="shared" si="317"/>
        <v>0.34811594202898555</v>
      </c>
      <c r="O701" s="33">
        <f t="shared" si="317"/>
        <v>0.37811594202898557</v>
      </c>
      <c r="P701" s="33">
        <f t="shared" si="317"/>
        <v>0.37811594202898557</v>
      </c>
      <c r="Q701" s="33">
        <f t="shared" si="317"/>
        <v>0.37811594202898557</v>
      </c>
      <c r="R701" s="33">
        <f t="shared" si="317"/>
        <v>0.37811594202898557</v>
      </c>
      <c r="S701" s="33">
        <f t="shared" si="317"/>
        <v>0.37811594202898557</v>
      </c>
      <c r="T701" s="33">
        <f t="shared" si="317"/>
        <v>0.37811594202898557</v>
      </c>
      <c r="U701" s="33">
        <f t="shared" si="317"/>
        <v>0.37811594202898557</v>
      </c>
      <c r="V701" s="33">
        <f t="shared" si="317"/>
        <v>0.37811594202898557</v>
      </c>
    </row>
    <row r="702" spans="1:22">
      <c r="B702" s="35"/>
      <c r="C702" s="35"/>
      <c r="D702" s="35"/>
      <c r="E702" s="33"/>
      <c r="F702" s="33"/>
      <c r="G702" s="33"/>
      <c r="H702" s="33"/>
      <c r="I702" s="33"/>
      <c r="J702" s="33"/>
      <c r="K702" s="33"/>
      <c r="L702" s="33"/>
      <c r="M702" s="33"/>
      <c r="N702" s="33"/>
      <c r="O702" s="33"/>
      <c r="P702" s="33"/>
      <c r="Q702" s="33"/>
      <c r="R702" s="33"/>
      <c r="S702" s="33"/>
      <c r="T702" s="33"/>
      <c r="U702" s="33"/>
      <c r="V702" s="33"/>
    </row>
    <row r="703" spans="1:22">
      <c r="A703" s="27" t="str">
        <f t="shared" ref="A703:V716" si="318">+A261</f>
        <v>Unique subscribers</v>
      </c>
      <c r="B703" s="27">
        <f t="shared" si="318"/>
        <v>1447</v>
      </c>
      <c r="C703" s="27">
        <f t="shared" si="318"/>
        <v>1353</v>
      </c>
      <c r="D703" s="27">
        <f t="shared" si="318"/>
        <v>1302</v>
      </c>
      <c r="E703" s="27">
        <f t="shared" si="318"/>
        <v>1282</v>
      </c>
      <c r="F703" s="27">
        <f t="shared" si="318"/>
        <v>1282.8804920447849</v>
      </c>
      <c r="G703" s="27"/>
      <c r="H703" s="27"/>
      <c r="I703" s="27"/>
      <c r="J703" s="27"/>
      <c r="K703" s="27"/>
      <c r="L703" s="27"/>
      <c r="M703" s="27"/>
      <c r="N703" s="27">
        <f t="shared" si="318"/>
        <v>2518.0468668598846</v>
      </c>
      <c r="O703" s="27">
        <f t="shared" si="318"/>
        <v>2529.1132416749842</v>
      </c>
      <c r="P703" s="27">
        <f t="shared" si="318"/>
        <v>2540.0796164900844</v>
      </c>
      <c r="Q703" s="27">
        <f t="shared" si="318"/>
        <v>2550.9459913051842</v>
      </c>
      <c r="R703" s="27">
        <f t="shared" si="318"/>
        <v>2561.7123661202841</v>
      </c>
      <c r="S703" s="27">
        <f t="shared" si="318"/>
        <v>2572.378740935384</v>
      </c>
      <c r="T703" s="27">
        <f t="shared" si="318"/>
        <v>2582.9451157504836</v>
      </c>
      <c r="U703" s="27">
        <f t="shared" si="318"/>
        <v>2593.4114905655838</v>
      </c>
      <c r="V703" s="27">
        <f t="shared" si="318"/>
        <v>2603.7778653806836</v>
      </c>
    </row>
    <row r="704" spans="1:22">
      <c r="A704" s="4" t="str">
        <f t="shared" si="318"/>
        <v>% HC</v>
      </c>
      <c r="B704" s="38">
        <f t="shared" si="318"/>
        <v>0.73713703515028017</v>
      </c>
      <c r="C704" s="38">
        <f t="shared" si="318"/>
        <v>0.72898706896551724</v>
      </c>
      <c r="D704" s="38">
        <f t="shared" si="318"/>
        <v>0.74442538593481988</v>
      </c>
      <c r="E704" s="159">
        <f t="shared" si="318"/>
        <v>0.75545079552150851</v>
      </c>
      <c r="F704" s="159">
        <f t="shared" si="318"/>
        <v>0.76045079552150852</v>
      </c>
      <c r="G704" s="159"/>
      <c r="H704" s="159"/>
      <c r="I704" s="159"/>
      <c r="J704" s="159"/>
      <c r="K704" s="159"/>
      <c r="L704" s="159"/>
      <c r="M704" s="159"/>
      <c r="N704" s="159">
        <f t="shared" si="318"/>
        <v>0.69636251849001229</v>
      </c>
      <c r="O704" s="159">
        <f t="shared" si="318"/>
        <v>0.7013625184900123</v>
      </c>
      <c r="P704" s="159">
        <f t="shared" si="318"/>
        <v>0.7063625184900123</v>
      </c>
      <c r="Q704" s="159">
        <f t="shared" si="318"/>
        <v>0.71136251849001231</v>
      </c>
      <c r="R704" s="159">
        <f t="shared" si="318"/>
        <v>0.71636251849001231</v>
      </c>
      <c r="S704" s="159">
        <f t="shared" si="318"/>
        <v>0.72136251849001232</v>
      </c>
      <c r="T704" s="159">
        <f t="shared" si="318"/>
        <v>0.72636251849001232</v>
      </c>
      <c r="U704" s="159">
        <f t="shared" si="318"/>
        <v>0.73136251849001233</v>
      </c>
      <c r="V704" s="159">
        <f t="shared" si="318"/>
        <v>0.73636251849001233</v>
      </c>
    </row>
    <row r="705" spans="1:22">
      <c r="A705" s="4" t="str">
        <f t="shared" si="318"/>
        <v>Erosion</v>
      </c>
      <c r="B705" s="7"/>
      <c r="C705" s="157">
        <f t="shared" si="318"/>
        <v>-6.4961990324809982E-2</v>
      </c>
      <c r="D705" s="157">
        <f t="shared" si="318"/>
        <v>-3.7694013303769425E-2</v>
      </c>
      <c r="E705" s="157">
        <f t="shared" si="318"/>
        <v>-1.5360983102918557E-2</v>
      </c>
      <c r="F705" s="157">
        <f t="shared" si="318"/>
        <v>6.8681126738301401E-4</v>
      </c>
      <c r="G705" s="157"/>
      <c r="H705" s="157"/>
      <c r="I705" s="157"/>
      <c r="J705" s="157"/>
      <c r="K705" s="157"/>
      <c r="L705" s="157"/>
      <c r="M705" s="157"/>
      <c r="N705" s="157">
        <f t="shared" si="318"/>
        <v>4.4542908409614945E-3</v>
      </c>
      <c r="O705" s="157">
        <f t="shared" si="318"/>
        <v>4.3948247988330191E-3</v>
      </c>
      <c r="P705" s="157">
        <f t="shared" si="318"/>
        <v>4.3360552759739157E-3</v>
      </c>
      <c r="Q705" s="157">
        <f t="shared" si="318"/>
        <v>4.2779662277339092E-3</v>
      </c>
      <c r="R705" s="157">
        <f t="shared" si="318"/>
        <v>4.220542046674769E-3</v>
      </c>
      <c r="S705" s="157">
        <f t="shared" si="318"/>
        <v>4.1637675471171143E-3</v>
      </c>
      <c r="T705" s="157">
        <f t="shared" si="318"/>
        <v>4.1076279503295954E-3</v>
      </c>
      <c r="U705" s="157">
        <f t="shared" si="318"/>
        <v>4.0521088703269204E-3</v>
      </c>
      <c r="V705" s="157">
        <f t="shared" si="318"/>
        <v>3.9971963002443101E-3</v>
      </c>
    </row>
    <row r="706" spans="1:22">
      <c r="A706" s="7" t="str">
        <f t="shared" si="318"/>
        <v>RGUs</v>
      </c>
      <c r="B706" s="7"/>
      <c r="C706" s="7"/>
      <c r="D706" s="7"/>
      <c r="E706" s="7"/>
      <c r="F706" s="7"/>
      <c r="G706" s="7"/>
      <c r="H706" s="7"/>
      <c r="I706" s="7"/>
      <c r="J706" s="7"/>
      <c r="K706" s="7"/>
      <c r="L706" s="7"/>
      <c r="M706" s="7"/>
      <c r="N706" s="7"/>
      <c r="O706" s="7"/>
      <c r="P706" s="7"/>
      <c r="Q706" s="7"/>
      <c r="R706" s="7"/>
      <c r="S706" s="7"/>
      <c r="T706" s="7"/>
      <c r="U706" s="7"/>
      <c r="V706" s="7"/>
    </row>
    <row r="707" spans="1:22">
      <c r="A707" s="4" t="str">
        <f t="shared" si="318"/>
        <v>CATV ('000)</v>
      </c>
      <c r="B707" s="11">
        <f t="shared" si="318"/>
        <v>1538</v>
      </c>
      <c r="C707" s="11">
        <f t="shared" si="318"/>
        <v>1416</v>
      </c>
      <c r="D707" s="11">
        <f t="shared" si="318"/>
        <v>1338</v>
      </c>
      <c r="E707" s="11">
        <f t="shared" si="318"/>
        <v>1311</v>
      </c>
      <c r="F707" s="11">
        <f t="shared" si="318"/>
        <v>1281</v>
      </c>
      <c r="G707" s="11"/>
      <c r="H707" s="11"/>
      <c r="I707" s="11"/>
      <c r="J707" s="11"/>
      <c r="K707" s="11"/>
      <c r="L707" s="11"/>
      <c r="M707" s="11"/>
      <c r="N707" s="11">
        <f t="shared" si="318"/>
        <v>2485</v>
      </c>
      <c r="O707" s="11">
        <f t="shared" si="318"/>
        <v>2465</v>
      </c>
      <c r="P707" s="11">
        <f t="shared" si="318"/>
        <v>2445</v>
      </c>
      <c r="Q707" s="11">
        <f t="shared" si="318"/>
        <v>2425</v>
      </c>
      <c r="R707" s="11">
        <f t="shared" si="318"/>
        <v>2405</v>
      </c>
      <c r="S707" s="11">
        <f t="shared" si="318"/>
        <v>2385</v>
      </c>
      <c r="T707" s="11">
        <f t="shared" si="318"/>
        <v>2365</v>
      </c>
      <c r="U707" s="11">
        <f t="shared" si="318"/>
        <v>2345</v>
      </c>
      <c r="V707" s="11">
        <f t="shared" si="318"/>
        <v>2325</v>
      </c>
    </row>
    <row r="708" spans="1:22">
      <c r="A708" s="14" t="str">
        <f t="shared" si="318"/>
        <v>CATV - own infrastructure ('000)</v>
      </c>
      <c r="B708" s="34">
        <f t="shared" si="318"/>
        <v>972</v>
      </c>
      <c r="C708" s="34">
        <f t="shared" si="318"/>
        <v>950</v>
      </c>
      <c r="D708" s="34">
        <f t="shared" si="318"/>
        <v>917</v>
      </c>
      <c r="E708" s="34">
        <f t="shared" si="318"/>
        <v>931.27051569506739</v>
      </c>
      <c r="F708" s="34">
        <f t="shared" si="318"/>
        <v>935.57997757847545</v>
      </c>
      <c r="G708" s="34"/>
      <c r="H708" s="34"/>
      <c r="I708" s="34"/>
      <c r="J708" s="34"/>
      <c r="K708" s="34"/>
      <c r="L708" s="34"/>
      <c r="M708" s="34"/>
      <c r="N708" s="34">
        <f t="shared" si="318"/>
        <v>1864.6229073243651</v>
      </c>
      <c r="O708" s="34">
        <f t="shared" si="318"/>
        <v>1898.9158819133038</v>
      </c>
      <c r="P708" s="34">
        <f t="shared" si="318"/>
        <v>1932.4088565022425</v>
      </c>
      <c r="Q708" s="34">
        <f t="shared" si="318"/>
        <v>1965.1018310911813</v>
      </c>
      <c r="R708" s="34">
        <f t="shared" si="318"/>
        <v>1996.99480568012</v>
      </c>
      <c r="S708" s="34">
        <f t="shared" si="318"/>
        <v>2028.0877802690588</v>
      </c>
      <c r="T708" s="34">
        <f t="shared" si="318"/>
        <v>2058.3807548579975</v>
      </c>
      <c r="U708" s="34">
        <f t="shared" si="318"/>
        <v>2087.8737294469361</v>
      </c>
      <c r="V708" s="34">
        <f t="shared" si="318"/>
        <v>2116.5667040358749</v>
      </c>
    </row>
    <row r="709" spans="1:22">
      <c r="A709" s="4" t="str">
        <f t="shared" si="318"/>
        <v>Premium TV ('000)</v>
      </c>
      <c r="B709" s="11">
        <f t="shared" si="318"/>
        <v>142</v>
      </c>
      <c r="C709" s="11">
        <f t="shared" si="318"/>
        <v>153</v>
      </c>
      <c r="D709" s="11">
        <f t="shared" si="318"/>
        <v>164</v>
      </c>
      <c r="E709" s="11">
        <f t="shared" si="318"/>
        <v>161</v>
      </c>
      <c r="F709" s="11">
        <f t="shared" si="318"/>
        <v>181</v>
      </c>
      <c r="G709" s="11"/>
      <c r="H709" s="11"/>
      <c r="I709" s="11"/>
      <c r="J709" s="11"/>
      <c r="K709" s="11"/>
      <c r="L709" s="11"/>
      <c r="M709" s="11"/>
      <c r="N709" s="11">
        <f t="shared" si="318"/>
        <v>495</v>
      </c>
      <c r="O709" s="11">
        <f t="shared" si="318"/>
        <v>555</v>
      </c>
      <c r="P709" s="11">
        <f t="shared" si="318"/>
        <v>615</v>
      </c>
      <c r="Q709" s="11">
        <f t="shared" si="318"/>
        <v>675</v>
      </c>
      <c r="R709" s="11">
        <f t="shared" si="318"/>
        <v>735</v>
      </c>
      <c r="S709" s="11">
        <f t="shared" si="318"/>
        <v>795</v>
      </c>
      <c r="T709" s="11">
        <f t="shared" si="318"/>
        <v>855</v>
      </c>
      <c r="U709" s="11">
        <f t="shared" si="318"/>
        <v>915</v>
      </c>
      <c r="V709" s="11">
        <f t="shared" si="318"/>
        <v>975</v>
      </c>
    </row>
    <row r="710" spans="1:22">
      <c r="A710" s="4" t="str">
        <f t="shared" si="318"/>
        <v>Internet ('000)</v>
      </c>
      <c r="B710" s="11">
        <f t="shared" si="318"/>
        <v>115</v>
      </c>
      <c r="C710" s="11">
        <f t="shared" si="318"/>
        <v>135</v>
      </c>
      <c r="D710" s="11">
        <f t="shared" si="318"/>
        <v>174</v>
      </c>
      <c r="E710" s="11">
        <f t="shared" si="318"/>
        <v>202</v>
      </c>
      <c r="F710" s="11">
        <f t="shared" si="318"/>
        <v>242</v>
      </c>
      <c r="G710" s="11"/>
      <c r="H710" s="11"/>
      <c r="I710" s="11"/>
      <c r="J710" s="11"/>
      <c r="K710" s="11"/>
      <c r="L710" s="11"/>
      <c r="M710" s="11"/>
      <c r="N710" s="11">
        <f t="shared" si="318"/>
        <v>525</v>
      </c>
      <c r="O710" s="11">
        <f t="shared" si="318"/>
        <v>585</v>
      </c>
      <c r="P710" s="11">
        <f t="shared" si="318"/>
        <v>645</v>
      </c>
      <c r="Q710" s="11">
        <f t="shared" si="318"/>
        <v>705</v>
      </c>
      <c r="R710" s="11">
        <f t="shared" si="318"/>
        <v>765</v>
      </c>
      <c r="S710" s="11">
        <f t="shared" si="318"/>
        <v>825</v>
      </c>
      <c r="T710" s="11">
        <f t="shared" si="318"/>
        <v>885</v>
      </c>
      <c r="U710" s="11">
        <f t="shared" si="318"/>
        <v>945</v>
      </c>
      <c r="V710" s="11">
        <f t="shared" si="318"/>
        <v>1005</v>
      </c>
    </row>
    <row r="711" spans="1:22">
      <c r="A711" s="4" t="str">
        <f t="shared" si="318"/>
        <v>Telephony ('000)</v>
      </c>
      <c r="B711" s="11">
        <f t="shared" si="318"/>
        <v>87</v>
      </c>
      <c r="C711" s="11">
        <f t="shared" si="318"/>
        <v>112</v>
      </c>
      <c r="D711" s="11">
        <f t="shared" si="318"/>
        <v>146</v>
      </c>
      <c r="E711" s="11">
        <f t="shared" si="318"/>
        <v>170</v>
      </c>
      <c r="F711" s="11">
        <f t="shared" si="318"/>
        <v>205</v>
      </c>
      <c r="G711" s="11"/>
      <c r="H711" s="11"/>
      <c r="I711" s="11"/>
      <c r="J711" s="11"/>
      <c r="K711" s="11"/>
      <c r="L711" s="11"/>
      <c r="M711" s="11"/>
      <c r="N711" s="11">
        <f t="shared" si="318"/>
        <v>446</v>
      </c>
      <c r="O711" s="11">
        <f t="shared" si="318"/>
        <v>491</v>
      </c>
      <c r="P711" s="11">
        <f t="shared" si="318"/>
        <v>536</v>
      </c>
      <c r="Q711" s="11">
        <f t="shared" si="318"/>
        <v>581</v>
      </c>
      <c r="R711" s="11">
        <f t="shared" si="318"/>
        <v>626</v>
      </c>
      <c r="S711" s="11">
        <f t="shared" si="318"/>
        <v>671</v>
      </c>
      <c r="T711" s="11">
        <f t="shared" si="318"/>
        <v>716</v>
      </c>
      <c r="U711" s="11">
        <f t="shared" si="318"/>
        <v>761</v>
      </c>
      <c r="V711" s="11">
        <f t="shared" si="318"/>
        <v>806</v>
      </c>
    </row>
    <row r="712" spans="1:22">
      <c r="A712" s="7" t="str">
        <f t="shared" si="318"/>
        <v>Total RGUs ('000)</v>
      </c>
      <c r="B712" s="27">
        <f t="shared" si="318"/>
        <v>1881</v>
      </c>
      <c r="C712" s="27">
        <f t="shared" si="318"/>
        <v>1816</v>
      </c>
      <c r="D712" s="27">
        <f t="shared" si="318"/>
        <v>1822</v>
      </c>
      <c r="E712" s="27">
        <f t="shared" si="318"/>
        <v>1844</v>
      </c>
      <c r="F712" s="27">
        <f t="shared" si="318"/>
        <v>1909</v>
      </c>
      <c r="G712" s="27"/>
      <c r="H712" s="27"/>
      <c r="I712" s="27"/>
      <c r="J712" s="27"/>
      <c r="K712" s="27"/>
      <c r="L712" s="27"/>
      <c r="M712" s="27"/>
      <c r="N712" s="27">
        <f t="shared" si="318"/>
        <v>3951</v>
      </c>
      <c r="O712" s="27">
        <f t="shared" si="318"/>
        <v>4096</v>
      </c>
      <c r="P712" s="27">
        <f t="shared" si="318"/>
        <v>4241</v>
      </c>
      <c r="Q712" s="27">
        <f t="shared" si="318"/>
        <v>4386</v>
      </c>
      <c r="R712" s="27">
        <f t="shared" si="318"/>
        <v>4531</v>
      </c>
      <c r="S712" s="27">
        <f t="shared" si="318"/>
        <v>4676</v>
      </c>
      <c r="T712" s="27">
        <f t="shared" si="318"/>
        <v>4821</v>
      </c>
      <c r="U712" s="27">
        <f t="shared" si="318"/>
        <v>4966</v>
      </c>
      <c r="V712" s="27">
        <f t="shared" si="318"/>
        <v>5111</v>
      </c>
    </row>
    <row r="713" spans="1:22">
      <c r="A713" s="4" t="str">
        <f t="shared" si="318"/>
        <v>RGU / Unique subscriber</v>
      </c>
      <c r="B713" s="12">
        <f t="shared" si="318"/>
        <v>1.3</v>
      </c>
      <c r="C713" s="12">
        <f t="shared" si="318"/>
        <v>1.34</v>
      </c>
      <c r="D713" s="12">
        <f t="shared" si="318"/>
        <v>1.3993855606758832</v>
      </c>
      <c r="E713" s="12">
        <f t="shared" si="318"/>
        <v>1.4383775351014041</v>
      </c>
      <c r="F713" s="12">
        <f t="shared" si="318"/>
        <v>1.4880575484917089</v>
      </c>
      <c r="G713" s="12"/>
      <c r="H713" s="12"/>
      <c r="I713" s="12"/>
      <c r="J713" s="12"/>
      <c r="K713" s="12"/>
      <c r="L713" s="12"/>
      <c r="M713" s="12"/>
      <c r="N713" s="12">
        <f t="shared" si="318"/>
        <v>1.5690732575311719</v>
      </c>
      <c r="O713" s="12">
        <f t="shared" si="318"/>
        <v>1.6195399765046883</v>
      </c>
      <c r="P713" s="12">
        <f t="shared" si="318"/>
        <v>1.6696327046080035</v>
      </c>
      <c r="Q713" s="12">
        <f t="shared" si="318"/>
        <v>1.7193621562155912</v>
      </c>
      <c r="R713" s="12">
        <f t="shared" si="318"/>
        <v>1.7687387779847445</v>
      </c>
      <c r="S713" s="12">
        <f t="shared" si="318"/>
        <v>1.8177727585711909</v>
      </c>
      <c r="T713" s="12">
        <f t="shared" si="318"/>
        <v>1.8664740379507607</v>
      </c>
      <c r="U713" s="12">
        <f t="shared" si="318"/>
        <v>1.9148523163661122</v>
      </c>
      <c r="V713" s="12">
        <f t="shared" si="318"/>
        <v>1.9629170629164825</v>
      </c>
    </row>
    <row r="714" spans="1:22">
      <c r="A714" s="4" t="str">
        <f t="shared" si="318"/>
        <v>NSR RGUs</v>
      </c>
      <c r="B714" s="11">
        <f t="shared" si="318"/>
        <v>1740</v>
      </c>
      <c r="C714" s="11">
        <f t="shared" si="318"/>
        <v>1663</v>
      </c>
      <c r="D714" s="11">
        <f t="shared" si="318"/>
        <v>1658</v>
      </c>
      <c r="E714" s="11">
        <f t="shared" si="318"/>
        <v>1683</v>
      </c>
      <c r="F714" s="11">
        <f t="shared" si="318"/>
        <v>1728</v>
      </c>
      <c r="G714" s="11"/>
      <c r="H714" s="11"/>
      <c r="I714" s="11"/>
      <c r="J714" s="11"/>
      <c r="K714" s="11"/>
      <c r="L714" s="11"/>
      <c r="M714" s="11"/>
      <c r="N714" s="11">
        <f t="shared" si="318"/>
        <v>3456</v>
      </c>
      <c r="O714" s="11">
        <f t="shared" si="318"/>
        <v>3541</v>
      </c>
      <c r="P714" s="11">
        <f t="shared" si="318"/>
        <v>3626</v>
      </c>
      <c r="Q714" s="11">
        <f t="shared" si="318"/>
        <v>3711</v>
      </c>
      <c r="R714" s="11">
        <f t="shared" si="318"/>
        <v>3796</v>
      </c>
      <c r="S714" s="11">
        <f t="shared" si="318"/>
        <v>3881</v>
      </c>
      <c r="T714" s="11">
        <f t="shared" si="318"/>
        <v>3966</v>
      </c>
      <c r="U714" s="11">
        <f t="shared" si="318"/>
        <v>4051</v>
      </c>
      <c r="V714" s="11">
        <f t="shared" si="318"/>
        <v>4136</v>
      </c>
    </row>
    <row r="715" spans="1:22">
      <c r="A715" s="4" t="str">
        <f t="shared" si="318"/>
        <v>NSR RGU / sub</v>
      </c>
      <c r="B715" s="48">
        <f t="shared" si="318"/>
        <v>1.2024879060124396</v>
      </c>
      <c r="C715" s="48">
        <f t="shared" si="318"/>
        <v>1.2291204730229119</v>
      </c>
      <c r="D715" s="48">
        <f t="shared" si="318"/>
        <v>1.2734254992319509</v>
      </c>
      <c r="E715" s="48">
        <f t="shared" si="318"/>
        <v>1.312792511700468</v>
      </c>
      <c r="F715" s="48">
        <f t="shared" si="318"/>
        <v>1.3469688024063244</v>
      </c>
      <c r="G715" s="48"/>
      <c r="H715" s="48"/>
      <c r="I715" s="48"/>
      <c r="J715" s="48"/>
      <c r="K715" s="48"/>
      <c r="L715" s="48"/>
      <c r="M715" s="48"/>
      <c r="N715" s="48">
        <f t="shared" si="318"/>
        <v>1.3724923254942367</v>
      </c>
      <c r="O715" s="48">
        <f t="shared" si="318"/>
        <v>1.4000954728523196</v>
      </c>
      <c r="P715" s="48">
        <f t="shared" si="318"/>
        <v>1.4275143095752465</v>
      </c>
      <c r="Q715" s="48">
        <f t="shared" si="318"/>
        <v>1.4547544372357635</v>
      </c>
      <c r="R715" s="48">
        <f t="shared" si="318"/>
        <v>1.4818213200684376</v>
      </c>
      <c r="S715" s="48">
        <f t="shared" si="318"/>
        <v>1.5087202899946091</v>
      </c>
      <c r="T715" s="48">
        <f t="shared" si="318"/>
        <v>1.5354565514442473</v>
      </c>
      <c r="U715" s="48">
        <f t="shared" si="318"/>
        <v>1.562035185984519</v>
      </c>
      <c r="V715" s="48">
        <f t="shared" si="318"/>
        <v>1.5884611567643458</v>
      </c>
    </row>
    <row r="716" spans="1:22">
      <c r="A716" s="4" t="str">
        <f t="shared" si="318"/>
        <v>CATV - own infrastructure % total</v>
      </c>
      <c r="B716" s="40">
        <f t="shared" si="318"/>
        <v>0.63198959687906375</v>
      </c>
      <c r="C716" s="40">
        <f t="shared" si="318"/>
        <v>0.67090395480225984</v>
      </c>
      <c r="D716" s="40">
        <f t="shared" si="318"/>
        <v>0.68535127055306433</v>
      </c>
      <c r="E716" s="40">
        <f t="shared" si="318"/>
        <v>0.71035127055306435</v>
      </c>
      <c r="F716" s="40">
        <f t="shared" si="318"/>
        <v>0.73035127055306437</v>
      </c>
      <c r="G716" s="40"/>
      <c r="H716" s="40"/>
      <c r="I716" s="40"/>
      <c r="J716" s="40"/>
      <c r="K716" s="40"/>
      <c r="L716" s="40"/>
      <c r="M716" s="40"/>
      <c r="N716" s="40">
        <f t="shared" si="318"/>
        <v>0.75035127055306439</v>
      </c>
      <c r="O716" s="40">
        <f t="shared" si="318"/>
        <v>0.7703512705530644</v>
      </c>
      <c r="P716" s="40">
        <f t="shared" si="318"/>
        <v>0.79035127055306442</v>
      </c>
      <c r="Q716" s="40">
        <f t="shared" si="318"/>
        <v>0.81035127055306444</v>
      </c>
      <c r="R716" s="40">
        <f t="shared" si="318"/>
        <v>0.83035127055306446</v>
      </c>
      <c r="S716" s="40">
        <f t="shared" si="318"/>
        <v>0.85035127055306448</v>
      </c>
      <c r="T716" s="40">
        <f t="shared" si="318"/>
        <v>0.87035127055306449</v>
      </c>
      <c r="U716" s="40">
        <f t="shared" si="318"/>
        <v>0.89035127055306451</v>
      </c>
      <c r="V716" s="40">
        <f t="shared" si="318"/>
        <v>0.91035127055306453</v>
      </c>
    </row>
    <row r="717" spans="1:22">
      <c r="B717" s="12"/>
      <c r="C717" s="12"/>
      <c r="D717" s="12"/>
      <c r="E717" s="12"/>
      <c r="F717" s="12"/>
      <c r="G717" s="12"/>
      <c r="H717" s="12"/>
      <c r="I717" s="12"/>
      <c r="J717" s="12"/>
      <c r="K717" s="12"/>
      <c r="L717" s="12"/>
      <c r="M717" s="12"/>
      <c r="N717" s="12"/>
      <c r="O717" s="12"/>
      <c r="P717" s="12"/>
      <c r="Q717" s="12"/>
      <c r="R717" s="12"/>
      <c r="S717" s="12"/>
      <c r="T717" s="12"/>
      <c r="U717" s="12"/>
      <c r="V717" s="12"/>
    </row>
    <row r="718" spans="1:22">
      <c r="A718" s="18" t="str">
        <f t="shared" ref="A718:V724" si="319">+A276</f>
        <v>Net adds</v>
      </c>
      <c r="B718" s="43" t="str">
        <f t="shared" si="319"/>
        <v>2011A</v>
      </c>
      <c r="C718" s="43" t="str">
        <f t="shared" si="319"/>
        <v>2012A</v>
      </c>
      <c r="D718" s="43" t="str">
        <f t="shared" si="319"/>
        <v>2013A</v>
      </c>
      <c r="E718" s="43" t="str">
        <f t="shared" si="319"/>
        <v>2014A</v>
      </c>
      <c r="F718" s="43" t="str">
        <f t="shared" si="319"/>
        <v>2015E</v>
      </c>
      <c r="G718" s="209"/>
      <c r="H718" s="209"/>
      <c r="I718" s="209"/>
      <c r="J718" s="209"/>
      <c r="K718" s="209"/>
      <c r="L718" s="209"/>
      <c r="M718" s="209"/>
      <c r="N718" s="43" t="str">
        <f t="shared" si="319"/>
        <v>2016E</v>
      </c>
      <c r="O718" s="43" t="str">
        <f t="shared" si="319"/>
        <v>2017E</v>
      </c>
      <c r="P718" s="43" t="str">
        <f t="shared" si="319"/>
        <v>2018E</v>
      </c>
      <c r="Q718" s="43" t="str">
        <f t="shared" si="319"/>
        <v>2019E</v>
      </c>
      <c r="R718" s="43" t="str">
        <f t="shared" si="319"/>
        <v>2020E</v>
      </c>
      <c r="S718" s="43" t="str">
        <f t="shared" si="319"/>
        <v>2021E</v>
      </c>
      <c r="T718" s="43" t="str">
        <f t="shared" si="319"/>
        <v>2022E</v>
      </c>
      <c r="U718" s="43" t="str">
        <f t="shared" si="319"/>
        <v>2023E</v>
      </c>
      <c r="V718" s="43" t="str">
        <f t="shared" si="319"/>
        <v>2024E</v>
      </c>
    </row>
    <row r="719" spans="1:22">
      <c r="A719" s="4" t="str">
        <f t="shared" si="319"/>
        <v>Homes connected ('000)</v>
      </c>
      <c r="B719" s="11"/>
      <c r="C719" s="11">
        <f t="shared" si="319"/>
        <v>-107</v>
      </c>
      <c r="D719" s="11">
        <f t="shared" si="319"/>
        <v>-107</v>
      </c>
      <c r="E719" s="167">
        <f t="shared" si="319"/>
        <v>-52</v>
      </c>
      <c r="F719" s="11">
        <f t="shared" si="319"/>
        <v>-10</v>
      </c>
      <c r="G719" s="11"/>
      <c r="H719" s="11"/>
      <c r="I719" s="11"/>
      <c r="J719" s="11"/>
      <c r="K719" s="11"/>
      <c r="L719" s="11"/>
      <c r="M719" s="11"/>
      <c r="N719" s="11">
        <f t="shared" si="319"/>
        <v>-10</v>
      </c>
      <c r="O719" s="11">
        <f t="shared" si="319"/>
        <v>-10</v>
      </c>
      <c r="P719" s="11">
        <f t="shared" si="319"/>
        <v>-10</v>
      </c>
      <c r="Q719" s="11">
        <f t="shared" si="319"/>
        <v>-10</v>
      </c>
      <c r="R719" s="11">
        <f t="shared" si="319"/>
        <v>-10</v>
      </c>
      <c r="S719" s="11">
        <f t="shared" si="319"/>
        <v>-10</v>
      </c>
      <c r="T719" s="11">
        <f t="shared" si="319"/>
        <v>-10</v>
      </c>
      <c r="U719" s="11">
        <f t="shared" si="319"/>
        <v>-10</v>
      </c>
      <c r="V719" s="11">
        <f t="shared" si="319"/>
        <v>-10</v>
      </c>
    </row>
    <row r="720" spans="1:22">
      <c r="A720" s="4" t="str">
        <f t="shared" si="319"/>
        <v>Homes connected - own network ('000)</v>
      </c>
      <c r="B720" s="11"/>
      <c r="C720" s="11">
        <f t="shared" si="319"/>
        <v>-23</v>
      </c>
      <c r="D720" s="11">
        <f t="shared" si="319"/>
        <v>-53</v>
      </c>
      <c r="E720" s="11">
        <f t="shared" si="319"/>
        <v>-1.648336192109582</v>
      </c>
      <c r="F720" s="11">
        <f t="shared" si="319"/>
        <v>43.566089193825064</v>
      </c>
      <c r="G720" s="11"/>
      <c r="H720" s="11"/>
      <c r="I720" s="11"/>
      <c r="J720" s="11"/>
      <c r="K720" s="11"/>
      <c r="L720" s="11"/>
      <c r="M720" s="11"/>
      <c r="N720" s="11">
        <f t="shared" si="319"/>
        <v>1525.1203945111492</v>
      </c>
      <c r="O720" s="11">
        <f t="shared" si="319"/>
        <v>100.53608919382532</v>
      </c>
      <c r="P720" s="11">
        <f t="shared" si="319"/>
        <v>99.936089193824955</v>
      </c>
      <c r="Q720" s="11">
        <f t="shared" si="319"/>
        <v>63.476089193825374</v>
      </c>
      <c r="R720" s="11">
        <f t="shared" si="319"/>
        <v>63.076089193824828</v>
      </c>
      <c r="S720" s="11">
        <f t="shared" si="319"/>
        <v>62.676089193825192</v>
      </c>
      <c r="T720" s="11">
        <f t="shared" si="319"/>
        <v>62.276089193825101</v>
      </c>
      <c r="U720" s="11">
        <f t="shared" si="319"/>
        <v>61.87608919382501</v>
      </c>
      <c r="V720" s="11">
        <f t="shared" si="319"/>
        <v>61.476089193825374</v>
      </c>
    </row>
    <row r="721" spans="1:22">
      <c r="A721" s="4" t="str">
        <f t="shared" si="319"/>
        <v>Homes connected - foreign network ('000)</v>
      </c>
      <c r="B721" s="11"/>
      <c r="C721" s="11">
        <f t="shared" si="319"/>
        <v>-85</v>
      </c>
      <c r="D721" s="11">
        <f t="shared" si="319"/>
        <v>-53</v>
      </c>
      <c r="E721" s="11">
        <f t="shared" si="319"/>
        <v>-50.351663807890418</v>
      </c>
      <c r="F721" s="11">
        <f t="shared" si="319"/>
        <v>-53.566089193825064</v>
      </c>
      <c r="G721" s="11"/>
      <c r="H721" s="11"/>
      <c r="I721" s="11"/>
      <c r="J721" s="11"/>
      <c r="K721" s="11"/>
      <c r="L721" s="11"/>
      <c r="M721" s="11"/>
      <c r="N721" s="11">
        <f t="shared" si="319"/>
        <v>403.87960548885076</v>
      </c>
      <c r="O721" s="11">
        <f t="shared" si="319"/>
        <v>-110.53608919382532</v>
      </c>
      <c r="P721" s="11">
        <f t="shared" si="319"/>
        <v>-109.93608919382496</v>
      </c>
      <c r="Q721" s="11">
        <f t="shared" si="319"/>
        <v>-73.476089193825374</v>
      </c>
      <c r="R721" s="11">
        <f t="shared" si="319"/>
        <v>-73.076089193824828</v>
      </c>
      <c r="S721" s="11">
        <f t="shared" si="319"/>
        <v>-72.676089193825192</v>
      </c>
      <c r="T721" s="11">
        <f t="shared" si="319"/>
        <v>-72.276089193825101</v>
      </c>
      <c r="U721" s="11">
        <f t="shared" si="319"/>
        <v>-71.87608919382501</v>
      </c>
      <c r="V721" s="11">
        <f t="shared" si="319"/>
        <v>-71.476089193825374</v>
      </c>
    </row>
    <row r="722" spans="1:22">
      <c r="A722" s="4" t="str">
        <f t="shared" si="319"/>
        <v>Homes connected - two-way upgraded ('000)</v>
      </c>
      <c r="B722" s="11"/>
      <c r="C722" s="11">
        <f t="shared" si="319"/>
        <v>88</v>
      </c>
      <c r="D722" s="11">
        <f t="shared" si="319"/>
        <v>24</v>
      </c>
      <c r="E722" s="11">
        <f t="shared" si="319"/>
        <v>37.532882949262785</v>
      </c>
      <c r="F722" s="11">
        <f t="shared" si="319"/>
        <v>61.546224786050061</v>
      </c>
      <c r="G722" s="11"/>
      <c r="H722" s="11"/>
      <c r="I722" s="11"/>
      <c r="J722" s="11"/>
      <c r="K722" s="11"/>
      <c r="L722" s="11"/>
      <c r="M722" s="11"/>
      <c r="N722" s="11">
        <f t="shared" si="319"/>
        <v>1463.7077577438454</v>
      </c>
      <c r="O722" s="11">
        <f t="shared" si="319"/>
        <v>153.58400727110484</v>
      </c>
      <c r="P722" s="11">
        <f t="shared" si="319"/>
        <v>44.812260294968837</v>
      </c>
      <c r="Q722" s="11">
        <f t="shared" si="319"/>
        <v>27.083769045105328</v>
      </c>
      <c r="R722" s="11">
        <f t="shared" si="319"/>
        <v>26.889271061014369</v>
      </c>
      <c r="S722" s="11">
        <f t="shared" si="319"/>
        <v>26.694773076923866</v>
      </c>
      <c r="T722" s="11">
        <f t="shared" si="319"/>
        <v>26.500275092833363</v>
      </c>
      <c r="U722" s="11">
        <f t="shared" si="319"/>
        <v>26.305777108742404</v>
      </c>
      <c r="V722" s="11">
        <f t="shared" si="319"/>
        <v>26.111279124651901</v>
      </c>
    </row>
    <row r="723" spans="1:22">
      <c r="A723" s="4" t="str">
        <f t="shared" si="319"/>
        <v>Homes connected - own network - two-way upgraded ('000)</v>
      </c>
      <c r="B723" s="11"/>
      <c r="C723" s="11">
        <f t="shared" si="319"/>
        <v>92</v>
      </c>
      <c r="D723" s="11">
        <f t="shared" si="319"/>
        <v>10</v>
      </c>
      <c r="E723" s="11">
        <f t="shared" si="319"/>
        <v>42</v>
      </c>
      <c r="F723" s="11">
        <f t="shared" si="319"/>
        <v>63.537001624988989</v>
      </c>
      <c r="G723" s="11"/>
      <c r="H723" s="11"/>
      <c r="I723" s="11"/>
      <c r="J723" s="11"/>
      <c r="K723" s="11"/>
      <c r="L723" s="11"/>
      <c r="M723" s="11"/>
      <c r="N723" s="11">
        <f t="shared" si="319"/>
        <v>1309.6683610028504</v>
      </c>
      <c r="O723" s="11">
        <f t="shared" si="319"/>
        <v>169.82060919021433</v>
      </c>
      <c r="P723" s="11">
        <f t="shared" si="319"/>
        <v>86.380848223474459</v>
      </c>
      <c r="Q723" s="11">
        <f t="shared" si="319"/>
        <v>54.86624972723439</v>
      </c>
      <c r="R723" s="11">
        <f t="shared" si="319"/>
        <v>54.52050536633169</v>
      </c>
      <c r="S723" s="11">
        <f t="shared" si="319"/>
        <v>54.174761005429446</v>
      </c>
      <c r="T723" s="11">
        <f t="shared" si="319"/>
        <v>53.829016644527655</v>
      </c>
      <c r="U723" s="11">
        <f t="shared" si="319"/>
        <v>53.483272283624956</v>
      </c>
      <c r="V723" s="11">
        <f t="shared" si="319"/>
        <v>53.137527922722711</v>
      </c>
    </row>
    <row r="724" spans="1:22">
      <c r="A724" s="4" t="str">
        <f t="shared" si="319"/>
        <v>Homes connected - foreign network - two-way upgraded ('000)</v>
      </c>
      <c r="B724" s="11"/>
      <c r="C724" s="11">
        <f t="shared" si="319"/>
        <v>-4</v>
      </c>
      <c r="D724" s="11">
        <f t="shared" si="319"/>
        <v>13</v>
      </c>
      <c r="E724" s="11">
        <f t="shared" si="319"/>
        <v>-3.4671170507371016</v>
      </c>
      <c r="F724" s="11">
        <f t="shared" si="319"/>
        <v>-1.9907768389390412</v>
      </c>
      <c r="G724" s="11"/>
      <c r="H724" s="11"/>
      <c r="I724" s="11"/>
      <c r="J724" s="11"/>
      <c r="K724" s="11"/>
      <c r="L724" s="11"/>
      <c r="M724" s="11"/>
      <c r="N724" s="11">
        <f t="shared" si="319"/>
        <v>154.03939674099485</v>
      </c>
      <c r="O724" s="11">
        <f t="shared" si="319"/>
        <v>-16.236601919109148</v>
      </c>
      <c r="P724" s="11">
        <f t="shared" si="319"/>
        <v>-41.568587928505679</v>
      </c>
      <c r="Q724" s="11">
        <f t="shared" si="319"/>
        <v>-27.782480682129062</v>
      </c>
      <c r="R724" s="11">
        <f t="shared" si="319"/>
        <v>-27.631234305317236</v>
      </c>
      <c r="S724" s="11">
        <f t="shared" si="319"/>
        <v>-27.479987928505807</v>
      </c>
      <c r="T724" s="11">
        <f t="shared" si="319"/>
        <v>-27.328741551694151</v>
      </c>
      <c r="U724" s="11">
        <f t="shared" si="319"/>
        <v>-27.177495174882537</v>
      </c>
      <c r="V724" s="11">
        <f t="shared" si="319"/>
        <v>-27.02624879807108</v>
      </c>
    </row>
    <row r="725" spans="1:22">
      <c r="B725" s="11"/>
      <c r="C725" s="11"/>
      <c r="D725" s="11"/>
      <c r="E725" s="11"/>
      <c r="F725" s="11"/>
      <c r="G725" s="11"/>
      <c r="H725" s="11"/>
      <c r="I725" s="11"/>
      <c r="J725" s="11"/>
      <c r="K725" s="11"/>
      <c r="L725" s="11"/>
      <c r="M725" s="11"/>
      <c r="N725" s="11"/>
      <c r="O725" s="11"/>
      <c r="P725" s="11"/>
      <c r="Q725" s="11"/>
      <c r="R725" s="11"/>
      <c r="S725" s="11"/>
      <c r="T725" s="11"/>
      <c r="U725" s="11"/>
      <c r="V725" s="11"/>
    </row>
    <row r="726" spans="1:22">
      <c r="A726" s="7" t="str">
        <f>+A284</f>
        <v>RGUs</v>
      </c>
      <c r="B726" s="11"/>
      <c r="C726" s="11"/>
      <c r="D726" s="11"/>
      <c r="E726" s="11"/>
      <c r="F726" s="11"/>
      <c r="G726" s="11"/>
      <c r="H726" s="11"/>
      <c r="I726" s="11"/>
      <c r="J726" s="11"/>
      <c r="K726" s="11"/>
      <c r="L726" s="11"/>
      <c r="M726" s="11"/>
      <c r="N726" s="11"/>
      <c r="O726" s="11"/>
      <c r="P726" s="11"/>
      <c r="Q726" s="11"/>
      <c r="R726" s="11"/>
      <c r="S726" s="11"/>
      <c r="T726" s="11"/>
      <c r="U726" s="11"/>
      <c r="V726" s="11"/>
    </row>
    <row r="727" spans="1:22">
      <c r="A727" s="4" t="str">
        <f>+A285</f>
        <v>CATV ('000)</v>
      </c>
      <c r="B727" s="11"/>
      <c r="C727" s="11">
        <f t="shared" ref="C727:V727" si="320">+C285</f>
        <v>-122</v>
      </c>
      <c r="D727" s="11">
        <f t="shared" si="320"/>
        <v>-78</v>
      </c>
      <c r="E727" s="11">
        <f t="shared" si="320"/>
        <v>-27</v>
      </c>
      <c r="F727" s="11">
        <f t="shared" si="320"/>
        <v>-30</v>
      </c>
      <c r="G727" s="11"/>
      <c r="H727" s="11"/>
      <c r="I727" s="11"/>
      <c r="J727" s="11"/>
      <c r="K727" s="11"/>
      <c r="L727" s="11"/>
      <c r="M727" s="11"/>
      <c r="N727" s="11">
        <f t="shared" si="320"/>
        <v>-20</v>
      </c>
      <c r="O727" s="11">
        <f t="shared" si="320"/>
        <v>-20</v>
      </c>
      <c r="P727" s="11">
        <f t="shared" si="320"/>
        <v>-20</v>
      </c>
      <c r="Q727" s="11">
        <f t="shared" si="320"/>
        <v>-20</v>
      </c>
      <c r="R727" s="11">
        <f t="shared" si="320"/>
        <v>-20</v>
      </c>
      <c r="S727" s="11">
        <f t="shared" si="320"/>
        <v>-20</v>
      </c>
      <c r="T727" s="11">
        <f t="shared" si="320"/>
        <v>-20</v>
      </c>
      <c r="U727" s="11">
        <f t="shared" si="320"/>
        <v>-20</v>
      </c>
      <c r="V727" s="11">
        <f t="shared" si="320"/>
        <v>-20</v>
      </c>
    </row>
    <row r="728" spans="1:22">
      <c r="A728" s="4" t="str">
        <f t="shared" ref="A728:A733" si="321">+A287</f>
        <v>Premium TV ('000)</v>
      </c>
      <c r="B728" s="11"/>
      <c r="C728" s="11">
        <f t="shared" ref="C728:V733" si="322">+C287</f>
        <v>11</v>
      </c>
      <c r="D728" s="11">
        <f t="shared" si="322"/>
        <v>11</v>
      </c>
      <c r="E728" s="11">
        <f t="shared" si="322"/>
        <v>-3</v>
      </c>
      <c r="F728" s="11">
        <f t="shared" si="322"/>
        <v>20</v>
      </c>
      <c r="G728" s="11"/>
      <c r="H728" s="11"/>
      <c r="I728" s="11"/>
      <c r="J728" s="11"/>
      <c r="K728" s="11"/>
      <c r="L728" s="11"/>
      <c r="M728" s="11"/>
      <c r="N728" s="11">
        <f t="shared" si="322"/>
        <v>60</v>
      </c>
      <c r="O728" s="11">
        <f t="shared" si="322"/>
        <v>60</v>
      </c>
      <c r="P728" s="11">
        <f t="shared" si="322"/>
        <v>60</v>
      </c>
      <c r="Q728" s="11">
        <f t="shared" si="322"/>
        <v>60</v>
      </c>
      <c r="R728" s="11">
        <f t="shared" si="322"/>
        <v>60</v>
      </c>
      <c r="S728" s="11">
        <f t="shared" si="322"/>
        <v>60</v>
      </c>
      <c r="T728" s="11">
        <f t="shared" si="322"/>
        <v>60</v>
      </c>
      <c r="U728" s="11">
        <f t="shared" si="322"/>
        <v>60</v>
      </c>
      <c r="V728" s="11">
        <f t="shared" si="322"/>
        <v>60</v>
      </c>
    </row>
    <row r="729" spans="1:22">
      <c r="A729" s="4" t="str">
        <f t="shared" si="321"/>
        <v>Internet ('000)</v>
      </c>
      <c r="B729" s="11"/>
      <c r="C729" s="11">
        <f t="shared" si="322"/>
        <v>20</v>
      </c>
      <c r="D729" s="11">
        <f t="shared" si="322"/>
        <v>39</v>
      </c>
      <c r="E729" s="11">
        <f t="shared" si="322"/>
        <v>28</v>
      </c>
      <c r="F729" s="11">
        <f t="shared" si="322"/>
        <v>40</v>
      </c>
      <c r="G729" s="11"/>
      <c r="H729" s="11"/>
      <c r="I729" s="11"/>
      <c r="J729" s="11"/>
      <c r="K729" s="11"/>
      <c r="L729" s="11"/>
      <c r="M729" s="11"/>
      <c r="N729" s="11">
        <f t="shared" si="322"/>
        <v>60</v>
      </c>
      <c r="O729" s="11">
        <f t="shared" si="322"/>
        <v>60</v>
      </c>
      <c r="P729" s="11">
        <f t="shared" si="322"/>
        <v>60</v>
      </c>
      <c r="Q729" s="11">
        <f t="shared" si="322"/>
        <v>60</v>
      </c>
      <c r="R729" s="11">
        <f t="shared" si="322"/>
        <v>60</v>
      </c>
      <c r="S729" s="11">
        <f t="shared" si="322"/>
        <v>60</v>
      </c>
      <c r="T729" s="11">
        <f t="shared" si="322"/>
        <v>60</v>
      </c>
      <c r="U729" s="11">
        <f t="shared" si="322"/>
        <v>60</v>
      </c>
      <c r="V729" s="11">
        <f t="shared" si="322"/>
        <v>60</v>
      </c>
    </row>
    <row r="730" spans="1:22">
      <c r="A730" s="4" t="str">
        <f t="shared" si="321"/>
        <v>Telephony ('000)</v>
      </c>
      <c r="B730" s="11"/>
      <c r="C730" s="11">
        <f t="shared" si="322"/>
        <v>25</v>
      </c>
      <c r="D730" s="11">
        <f t="shared" si="322"/>
        <v>34</v>
      </c>
      <c r="E730" s="11">
        <f t="shared" si="322"/>
        <v>24</v>
      </c>
      <c r="F730" s="11">
        <f t="shared" si="322"/>
        <v>35</v>
      </c>
      <c r="G730" s="11"/>
      <c r="H730" s="11"/>
      <c r="I730" s="11"/>
      <c r="J730" s="11"/>
      <c r="K730" s="11"/>
      <c r="L730" s="11"/>
      <c r="M730" s="11"/>
      <c r="N730" s="11">
        <f t="shared" si="322"/>
        <v>45</v>
      </c>
      <c r="O730" s="11">
        <f t="shared" si="322"/>
        <v>45</v>
      </c>
      <c r="P730" s="11">
        <f t="shared" si="322"/>
        <v>45</v>
      </c>
      <c r="Q730" s="11">
        <f t="shared" si="322"/>
        <v>45</v>
      </c>
      <c r="R730" s="11">
        <f t="shared" si="322"/>
        <v>45</v>
      </c>
      <c r="S730" s="11">
        <f t="shared" si="322"/>
        <v>45</v>
      </c>
      <c r="T730" s="11">
        <f t="shared" si="322"/>
        <v>45</v>
      </c>
      <c r="U730" s="11">
        <f t="shared" si="322"/>
        <v>45</v>
      </c>
      <c r="V730" s="11">
        <f t="shared" si="322"/>
        <v>45</v>
      </c>
    </row>
    <row r="731" spans="1:22">
      <c r="A731" s="7" t="str">
        <f t="shared" si="321"/>
        <v>Total RGUs ('000)</v>
      </c>
      <c r="B731" s="11"/>
      <c r="C731" s="11">
        <f t="shared" si="322"/>
        <v>-65</v>
      </c>
      <c r="D731" s="11">
        <f t="shared" si="322"/>
        <v>6</v>
      </c>
      <c r="E731" s="11">
        <f t="shared" si="322"/>
        <v>22</v>
      </c>
      <c r="F731" s="11">
        <f t="shared" si="322"/>
        <v>65</v>
      </c>
      <c r="G731" s="11"/>
      <c r="H731" s="11"/>
      <c r="I731" s="11"/>
      <c r="J731" s="11"/>
      <c r="K731" s="11"/>
      <c r="L731" s="11"/>
      <c r="M731" s="11"/>
      <c r="N731" s="11">
        <f t="shared" si="322"/>
        <v>2042</v>
      </c>
      <c r="O731" s="11">
        <f t="shared" si="322"/>
        <v>145</v>
      </c>
      <c r="P731" s="11">
        <f t="shared" si="322"/>
        <v>145</v>
      </c>
      <c r="Q731" s="11">
        <f t="shared" si="322"/>
        <v>145</v>
      </c>
      <c r="R731" s="11">
        <f t="shared" si="322"/>
        <v>145</v>
      </c>
      <c r="S731" s="11">
        <f t="shared" si="322"/>
        <v>145</v>
      </c>
      <c r="T731" s="11">
        <f t="shared" si="322"/>
        <v>145</v>
      </c>
      <c r="U731" s="11">
        <f t="shared" si="322"/>
        <v>145</v>
      </c>
      <c r="V731" s="11">
        <f t="shared" si="322"/>
        <v>145</v>
      </c>
    </row>
    <row r="732" spans="1:22">
      <c r="A732" s="7" t="str">
        <f t="shared" si="321"/>
        <v>Total RGUs NSR</v>
      </c>
      <c r="B732" s="11"/>
      <c r="C732" s="11">
        <f t="shared" si="322"/>
        <v>-77</v>
      </c>
      <c r="D732" s="11">
        <f t="shared" si="322"/>
        <v>-5</v>
      </c>
      <c r="E732" s="11">
        <f t="shared" si="322"/>
        <v>25</v>
      </c>
      <c r="F732" s="11">
        <f t="shared" si="322"/>
        <v>45</v>
      </c>
      <c r="G732" s="11"/>
      <c r="H732" s="11"/>
      <c r="I732" s="11"/>
      <c r="J732" s="11"/>
      <c r="K732" s="11"/>
      <c r="L732" s="11"/>
      <c r="M732" s="11"/>
      <c r="N732" s="11">
        <f t="shared" si="322"/>
        <v>1728</v>
      </c>
      <c r="O732" s="11">
        <f t="shared" si="322"/>
        <v>85</v>
      </c>
      <c r="P732" s="11">
        <f t="shared" si="322"/>
        <v>85</v>
      </c>
      <c r="Q732" s="11">
        <f t="shared" si="322"/>
        <v>85</v>
      </c>
      <c r="R732" s="11">
        <f t="shared" si="322"/>
        <v>85</v>
      </c>
      <c r="S732" s="11">
        <f t="shared" si="322"/>
        <v>85</v>
      </c>
      <c r="T732" s="11">
        <f t="shared" si="322"/>
        <v>85</v>
      </c>
      <c r="U732" s="11">
        <f t="shared" si="322"/>
        <v>85</v>
      </c>
      <c r="V732" s="11">
        <f t="shared" si="322"/>
        <v>85</v>
      </c>
    </row>
    <row r="733" spans="1:22">
      <c r="A733" s="7" t="str">
        <f t="shared" si="321"/>
        <v>2-P RGUs</v>
      </c>
      <c r="B733" s="11"/>
      <c r="C733" s="11">
        <f t="shared" si="322"/>
        <v>45</v>
      </c>
      <c r="D733" s="11">
        <f t="shared" si="322"/>
        <v>73</v>
      </c>
      <c r="E733" s="11">
        <f t="shared" si="322"/>
        <v>52</v>
      </c>
      <c r="F733" s="11">
        <f t="shared" si="322"/>
        <v>75</v>
      </c>
      <c r="G733" s="11"/>
      <c r="H733" s="11"/>
      <c r="I733" s="11"/>
      <c r="J733" s="11"/>
      <c r="K733" s="11"/>
      <c r="L733" s="11"/>
      <c r="M733" s="11"/>
      <c r="N733" s="11">
        <f t="shared" si="322"/>
        <v>105</v>
      </c>
      <c r="O733" s="11">
        <f t="shared" si="322"/>
        <v>105</v>
      </c>
      <c r="P733" s="11">
        <f t="shared" si="322"/>
        <v>105</v>
      </c>
      <c r="Q733" s="11">
        <f t="shared" si="322"/>
        <v>105</v>
      </c>
      <c r="R733" s="11">
        <f t="shared" si="322"/>
        <v>105</v>
      </c>
      <c r="S733" s="11">
        <f t="shared" si="322"/>
        <v>105</v>
      </c>
      <c r="T733" s="11">
        <f t="shared" si="322"/>
        <v>105</v>
      </c>
      <c r="U733" s="11">
        <f t="shared" si="322"/>
        <v>105</v>
      </c>
      <c r="V733" s="11">
        <f t="shared" si="322"/>
        <v>105</v>
      </c>
    </row>
    <row r="734" spans="1:22">
      <c r="B734" s="11"/>
      <c r="C734" s="11"/>
      <c r="D734" s="11"/>
      <c r="E734" s="11"/>
      <c r="F734" s="11"/>
      <c r="G734" s="11"/>
      <c r="H734" s="11"/>
      <c r="I734" s="11"/>
      <c r="J734" s="11"/>
      <c r="K734" s="11"/>
      <c r="L734" s="11"/>
      <c r="M734" s="11"/>
      <c r="N734" s="11"/>
      <c r="O734" s="11"/>
      <c r="P734" s="11"/>
      <c r="Q734" s="11"/>
      <c r="R734" s="11"/>
      <c r="S734" s="11"/>
      <c r="T734" s="11"/>
      <c r="U734" s="11"/>
      <c r="V734" s="11"/>
    </row>
    <row r="735" spans="1:22">
      <c r="A735" s="7" t="str">
        <f t="shared" ref="A735:A740" si="323">+A294</f>
        <v>Penetration</v>
      </c>
      <c r="B735" s="7"/>
      <c r="C735" s="7"/>
      <c r="D735" s="7"/>
      <c r="E735" s="7"/>
      <c r="F735" s="7"/>
      <c r="G735" s="7"/>
      <c r="H735" s="7"/>
      <c r="I735" s="7"/>
      <c r="J735" s="7"/>
      <c r="K735" s="7"/>
      <c r="L735" s="7"/>
      <c r="M735" s="7"/>
      <c r="N735" s="7"/>
      <c r="O735" s="7"/>
      <c r="P735" s="7"/>
      <c r="Q735" s="7"/>
      <c r="R735" s="7"/>
      <c r="S735" s="7"/>
      <c r="T735" s="7"/>
      <c r="U735" s="7"/>
      <c r="V735" s="7"/>
    </row>
    <row r="736" spans="1:22">
      <c r="A736" s="4" t="str">
        <f t="shared" si="323"/>
        <v>Two-way upgraded homes (as % of homes connected)</v>
      </c>
      <c r="B736" s="35">
        <f t="shared" ref="B736:F740" si="324">+B295</f>
        <v>0.47299999999999998</v>
      </c>
      <c r="C736" s="35">
        <f t="shared" si="324"/>
        <v>0.54800000000000004</v>
      </c>
      <c r="D736" s="35">
        <f t="shared" si="324"/>
        <v>0.59499999999999997</v>
      </c>
      <c r="E736" s="35">
        <f t="shared" si="324"/>
        <v>0.63496339596303053</v>
      </c>
      <c r="F736" s="35">
        <f t="shared" si="324"/>
        <v>0.67520990381464896</v>
      </c>
      <c r="G736" s="35"/>
      <c r="H736" s="35"/>
      <c r="I736" s="35"/>
      <c r="J736" s="35"/>
      <c r="K736" s="35"/>
      <c r="L736" s="35"/>
      <c r="M736" s="35"/>
      <c r="N736" s="35">
        <f t="shared" ref="N736:P740" si="325">+N295</f>
        <v>0.71979725262144867</v>
      </c>
      <c r="O736" s="35">
        <f t="shared" si="325"/>
        <v>0.76438460142824827</v>
      </c>
      <c r="P736" s="35">
        <f t="shared" si="325"/>
        <v>0.77897195023504784</v>
      </c>
      <c r="Q736" s="35">
        <f t="shared" ref="Q736:V740" si="326">+Q295</f>
        <v>0.78869684943958096</v>
      </c>
      <c r="R736" s="35">
        <f t="shared" si="326"/>
        <v>0.79842174864411397</v>
      </c>
      <c r="S736" s="35">
        <f t="shared" si="326"/>
        <v>0.80814664784864709</v>
      </c>
      <c r="T736" s="35">
        <f t="shared" si="326"/>
        <v>0.81787154705318021</v>
      </c>
      <c r="U736" s="35">
        <f t="shared" si="326"/>
        <v>0.82759644625771323</v>
      </c>
      <c r="V736" s="35">
        <f t="shared" si="326"/>
        <v>0.83732134546224635</v>
      </c>
    </row>
    <row r="737" spans="1:22">
      <c r="A737" s="4" t="str">
        <f t="shared" si="323"/>
        <v>Two-way upgraded homes - own network (as % of homes connected - own network)</v>
      </c>
      <c r="B737" s="35">
        <f t="shared" si="324"/>
        <v>0.62</v>
      </c>
      <c r="C737" s="35">
        <f t="shared" si="324"/>
        <v>0.70499999999999996</v>
      </c>
      <c r="D737" s="35">
        <f t="shared" si="324"/>
        <v>0.745</v>
      </c>
      <c r="E737" s="35">
        <f t="shared" si="324"/>
        <v>0.78052344615295244</v>
      </c>
      <c r="F737" s="35">
        <f t="shared" si="324"/>
        <v>0.80436090225563917</v>
      </c>
      <c r="G737" s="35"/>
      <c r="H737" s="35"/>
      <c r="I737" s="35"/>
      <c r="J737" s="35"/>
      <c r="K737" s="35"/>
      <c r="L737" s="35"/>
      <c r="M737" s="35"/>
      <c r="N737" s="35">
        <f t="shared" si="325"/>
        <v>0.83436090225563919</v>
      </c>
      <c r="O737" s="35">
        <f t="shared" si="325"/>
        <v>0.86436090225563922</v>
      </c>
      <c r="P737" s="35">
        <f t="shared" si="325"/>
        <v>0.86436090225563922</v>
      </c>
      <c r="Q737" s="35">
        <f t="shared" si="326"/>
        <v>0.86436090225563922</v>
      </c>
      <c r="R737" s="35">
        <f t="shared" si="326"/>
        <v>0.86436090225563922</v>
      </c>
      <c r="S737" s="35">
        <f t="shared" si="326"/>
        <v>0.86436090225563922</v>
      </c>
      <c r="T737" s="35">
        <f t="shared" si="326"/>
        <v>0.86436090225563933</v>
      </c>
      <c r="U737" s="35">
        <f t="shared" si="326"/>
        <v>0.86436090225563922</v>
      </c>
      <c r="V737" s="35">
        <f t="shared" si="326"/>
        <v>0.86436090225563911</v>
      </c>
    </row>
    <row r="738" spans="1:22">
      <c r="A738" s="4" t="str">
        <f t="shared" si="323"/>
        <v>Internet (RGUs as % of two-way upgraded homes connected)</v>
      </c>
      <c r="B738" s="35">
        <f t="shared" si="324"/>
        <v>0.124</v>
      </c>
      <c r="C738" s="35">
        <f t="shared" si="324"/>
        <v>0.13300000000000001</v>
      </c>
      <c r="D738" s="35">
        <f t="shared" si="324"/>
        <v>0.16700000000000001</v>
      </c>
      <c r="E738" s="35">
        <f t="shared" si="324"/>
        <v>0.18746527664855631</v>
      </c>
      <c r="F738" s="35">
        <f t="shared" si="324"/>
        <v>0.21245232078844642</v>
      </c>
      <c r="G738" s="35"/>
      <c r="H738" s="35"/>
      <c r="I738" s="35"/>
      <c r="J738" s="35"/>
      <c r="K738" s="35"/>
      <c r="L738" s="35"/>
      <c r="M738" s="35"/>
      <c r="N738" s="35">
        <f t="shared" si="325"/>
        <v>0.20170687310708804</v>
      </c>
      <c r="O738" s="35">
        <f t="shared" si="325"/>
        <v>0.21223559056706193</v>
      </c>
      <c r="P738" s="35">
        <f t="shared" si="325"/>
        <v>0.23025984713066774</v>
      </c>
      <c r="Q738" s="35">
        <f t="shared" si="326"/>
        <v>0.24926926078968828</v>
      </c>
      <c r="R738" s="35">
        <f t="shared" si="326"/>
        <v>0.26793630666992146</v>
      </c>
      <c r="S738" s="35">
        <f t="shared" si="326"/>
        <v>0.28627434776935567</v>
      </c>
      <c r="T738" s="35">
        <f t="shared" si="326"/>
        <v>0.3042961226663648</v>
      </c>
      <c r="U738" s="35">
        <f t="shared" si="326"/>
        <v>0.32201378236216688</v>
      </c>
      <c r="V738" s="35">
        <f t="shared" si="326"/>
        <v>0.33943892455849223</v>
      </c>
    </row>
    <row r="739" spans="1:22">
      <c r="A739" s="4" t="str">
        <f t="shared" si="323"/>
        <v>Internet (RGUs on own network as % of two-way upgraded homes connected - own network)</v>
      </c>
      <c r="B739" s="35">
        <f t="shared" si="324"/>
        <v>0.13700000000000001</v>
      </c>
      <c r="C739" s="35">
        <f t="shared" si="324"/>
        <v>0.14499999999999999</v>
      </c>
      <c r="D739" s="35">
        <f t="shared" si="324"/>
        <v>0.185</v>
      </c>
      <c r="E739" s="35">
        <f t="shared" si="324"/>
        <v>0</v>
      </c>
      <c r="F739" s="35">
        <f t="shared" si="324"/>
        <v>0</v>
      </c>
      <c r="G739" s="35"/>
      <c r="H739" s="35"/>
      <c r="I739" s="35"/>
      <c r="J739" s="35"/>
      <c r="K739" s="35"/>
      <c r="L739" s="35"/>
      <c r="M739" s="35"/>
      <c r="N739" s="35">
        <f t="shared" si="325"/>
        <v>0</v>
      </c>
      <c r="O739" s="35">
        <f t="shared" si="325"/>
        <v>0</v>
      </c>
      <c r="P739" s="35">
        <f t="shared" si="325"/>
        <v>0</v>
      </c>
      <c r="Q739" s="35">
        <f t="shared" si="326"/>
        <v>0</v>
      </c>
      <c r="R739" s="35">
        <f t="shared" si="326"/>
        <v>0</v>
      </c>
      <c r="S739" s="35">
        <f t="shared" si="326"/>
        <v>0</v>
      </c>
      <c r="T739" s="35">
        <f t="shared" si="326"/>
        <v>0</v>
      </c>
      <c r="U739" s="35">
        <f t="shared" si="326"/>
        <v>0</v>
      </c>
      <c r="V739" s="35">
        <f t="shared" si="326"/>
        <v>0</v>
      </c>
    </row>
    <row r="740" spans="1:22">
      <c r="A740" s="4" t="str">
        <f t="shared" si="323"/>
        <v>Premium TV Services (as % of CATV - own infrastructure)</v>
      </c>
      <c r="B740" s="35">
        <f t="shared" si="324"/>
        <v>0.14599999999999999</v>
      </c>
      <c r="C740" s="35">
        <f t="shared" si="324"/>
        <v>0.161</v>
      </c>
      <c r="D740" s="35">
        <f t="shared" si="324"/>
        <v>0.17899999999999999</v>
      </c>
      <c r="E740" s="35">
        <f t="shared" si="324"/>
        <v>0.17288209739984658</v>
      </c>
      <c r="F740" s="35">
        <f t="shared" si="324"/>
        <v>0.19346288327853609</v>
      </c>
      <c r="G740" s="35"/>
      <c r="H740" s="35"/>
      <c r="I740" s="35"/>
      <c r="J740" s="35"/>
      <c r="K740" s="35"/>
      <c r="L740" s="35"/>
      <c r="M740" s="35"/>
      <c r="N740" s="35">
        <f t="shared" si="325"/>
        <v>0.26546922600575507</v>
      </c>
      <c r="O740" s="35">
        <f t="shared" si="325"/>
        <v>0.29227203020746489</v>
      </c>
      <c r="P740" s="35">
        <f t="shared" si="325"/>
        <v>0.31825563101236298</v>
      </c>
      <c r="Q740" s="35">
        <f t="shared" si="326"/>
        <v>0.34349364970322488</v>
      </c>
      <c r="R740" s="35">
        <f t="shared" si="326"/>
        <v>0.36805303544576812</v>
      </c>
      <c r="S740" s="35">
        <f t="shared" si="326"/>
        <v>0.39199486715241205</v>
      </c>
      <c r="T740" s="35">
        <f t="shared" si="326"/>
        <v>0.41537504564309058</v>
      </c>
      <c r="U740" s="35">
        <f t="shared" si="326"/>
        <v>0.43824489340281009</v>
      </c>
      <c r="V740" s="35">
        <f t="shared" si="326"/>
        <v>0.46065167619847153</v>
      </c>
    </row>
    <row r="741" spans="1:22">
      <c r="A741" s="4" t="str">
        <f t="shared" ref="A741:V742" si="327">+A301</f>
        <v>Internet % customers</v>
      </c>
      <c r="B741" s="35">
        <f t="shared" si="327"/>
        <v>7.9474775397373881E-2</v>
      </c>
      <c r="C741" s="35">
        <f t="shared" si="327"/>
        <v>9.9778270509977826E-2</v>
      </c>
      <c r="D741" s="35">
        <f t="shared" si="327"/>
        <v>0.13364055299539171</v>
      </c>
      <c r="E741" s="35">
        <f t="shared" si="327"/>
        <v>0.15756630265210608</v>
      </c>
      <c r="F741" s="35">
        <f t="shared" si="327"/>
        <v>0.18863799200366349</v>
      </c>
      <c r="G741" s="35"/>
      <c r="H741" s="35"/>
      <c r="I741" s="35"/>
      <c r="J741" s="35"/>
      <c r="K741" s="35"/>
      <c r="L741" s="35"/>
      <c r="M741" s="35"/>
      <c r="N741" s="35">
        <f t="shared" si="327"/>
        <v>0.20849492791796131</v>
      </c>
      <c r="O741" s="35">
        <f t="shared" si="327"/>
        <v>0.23130636871465884</v>
      </c>
      <c r="P741" s="35">
        <f t="shared" si="327"/>
        <v>0.253929048448989</v>
      </c>
      <c r="Q741" s="35">
        <f t="shared" si="327"/>
        <v>0.27636806204559777</v>
      </c>
      <c r="R741" s="35">
        <f t="shared" si="327"/>
        <v>0.29862837456595226</v>
      </c>
      <c r="S741" s="35">
        <f t="shared" si="327"/>
        <v>0.32071482588135852</v>
      </c>
      <c r="T741" s="35">
        <f t="shared" si="327"/>
        <v>0.3426321351558646</v>
      </c>
      <c r="U741" s="35">
        <f t="shared" si="327"/>
        <v>0.36438490514820299</v>
      </c>
      <c r="V741" s="35">
        <f t="shared" si="327"/>
        <v>0.38597762634143318</v>
      </c>
    </row>
    <row r="742" spans="1:22">
      <c r="A742" s="4" t="str">
        <f t="shared" si="327"/>
        <v>Telephony % customers</v>
      </c>
      <c r="B742" s="35">
        <f t="shared" si="327"/>
        <v>6.0124395300621976E-2</v>
      </c>
      <c r="C742" s="35">
        <f t="shared" si="327"/>
        <v>8.2779009608277901E-2</v>
      </c>
      <c r="D742" s="35">
        <f t="shared" si="327"/>
        <v>0.11213517665130568</v>
      </c>
      <c r="E742" s="35">
        <f t="shared" si="327"/>
        <v>0.13260530421216848</v>
      </c>
      <c r="F742" s="35">
        <f t="shared" si="327"/>
        <v>0.15979664611880584</v>
      </c>
      <c r="G742" s="35"/>
      <c r="H742" s="35"/>
      <c r="I742" s="35"/>
      <c r="J742" s="35"/>
      <c r="K742" s="35"/>
      <c r="L742" s="35"/>
      <c r="M742" s="35"/>
      <c r="N742" s="35">
        <f t="shared" si="327"/>
        <v>0.17712140543125857</v>
      </c>
      <c r="O742" s="35">
        <f t="shared" si="327"/>
        <v>0.19413919151948289</v>
      </c>
      <c r="P742" s="35">
        <f t="shared" si="327"/>
        <v>0.21101700770334589</v>
      </c>
      <c r="Q742" s="35">
        <f t="shared" si="327"/>
        <v>0.2277586440404146</v>
      </c>
      <c r="R742" s="35">
        <f t="shared" si="327"/>
        <v>0.2443677940892629</v>
      </c>
      <c r="S742" s="35">
        <f t="shared" si="327"/>
        <v>0.26084805838350494</v>
      </c>
      <c r="T742" s="35">
        <f t="shared" si="327"/>
        <v>0.2772029477645187</v>
      </c>
      <c r="U742" s="35">
        <f t="shared" si="327"/>
        <v>0.29343588657966402</v>
      </c>
      <c r="V742" s="35">
        <f t="shared" si="327"/>
        <v>0.30955021575243297</v>
      </c>
    </row>
    <row r="743" spans="1:22">
      <c r="B743" s="7"/>
      <c r="C743" s="7"/>
      <c r="D743" s="7"/>
      <c r="E743" s="7"/>
      <c r="F743" s="7"/>
      <c r="G743" s="7"/>
      <c r="H743" s="7"/>
      <c r="I743" s="7"/>
      <c r="J743" s="7"/>
      <c r="K743" s="7"/>
      <c r="L743" s="7"/>
      <c r="M743" s="7"/>
      <c r="N743" s="7"/>
      <c r="O743" s="7"/>
      <c r="P743" s="7"/>
      <c r="Q743" s="7"/>
      <c r="R743" s="7"/>
      <c r="S743" s="7"/>
      <c r="T743" s="7"/>
      <c r="U743" s="7"/>
      <c r="V743" s="7"/>
    </row>
    <row r="744" spans="1:22">
      <c r="A744" s="7" t="str">
        <f>+A304</f>
        <v>ARPU (€/month)</v>
      </c>
      <c r="B744" s="7"/>
      <c r="C744" s="7"/>
      <c r="D744" s="7"/>
      <c r="E744" s="7"/>
      <c r="F744" s="7"/>
      <c r="G744" s="7"/>
      <c r="H744" s="7"/>
      <c r="I744" s="7"/>
      <c r="J744" s="7"/>
      <c r="K744" s="7"/>
      <c r="L744" s="7"/>
      <c r="M744" s="7"/>
      <c r="N744" s="7"/>
      <c r="O744" s="7"/>
      <c r="P744" s="7"/>
      <c r="Q744" s="7"/>
      <c r="R744" s="7"/>
      <c r="S744" s="7"/>
      <c r="T744" s="7"/>
      <c r="U744" s="7"/>
      <c r="V744" s="7"/>
    </row>
    <row r="745" spans="1:22">
      <c r="A745" s="4" t="str">
        <f>+A305</f>
        <v>Blended TV ARPU per subscriber</v>
      </c>
      <c r="B745" s="36">
        <f t="shared" ref="B745:V747" si="328">+B305</f>
        <v>9.1999999999999993</v>
      </c>
      <c r="C745" s="36">
        <f t="shared" si="328"/>
        <v>9.4</v>
      </c>
      <c r="D745" s="36">
        <f t="shared" si="328"/>
        <v>9.5</v>
      </c>
      <c r="E745" s="36">
        <f t="shared" si="328"/>
        <v>9.6</v>
      </c>
      <c r="F745" s="36">
        <f t="shared" si="328"/>
        <v>9.9106001725133019</v>
      </c>
      <c r="G745" s="36"/>
      <c r="H745" s="36"/>
      <c r="I745" s="36"/>
      <c r="J745" s="36"/>
      <c r="K745" s="36"/>
      <c r="L745" s="36"/>
      <c r="M745" s="36"/>
      <c r="N745" s="36">
        <f t="shared" si="328"/>
        <v>11.055807304290873</v>
      </c>
      <c r="O745" s="36">
        <f t="shared" si="328"/>
        <v>11.664476920942862</v>
      </c>
      <c r="P745" s="36">
        <f t="shared" si="328"/>
        <v>12.289900173397944</v>
      </c>
      <c r="Q745" s="36">
        <f t="shared" si="328"/>
        <v>12.933434344629026</v>
      </c>
      <c r="R745" s="36">
        <f t="shared" si="328"/>
        <v>13.596447188953331</v>
      </c>
      <c r="S745" s="36">
        <f t="shared" si="328"/>
        <v>14.28032357052416</v>
      </c>
      <c r="T745" s="36">
        <f t="shared" si="328"/>
        <v>14.986471650232406</v>
      </c>
      <c r="U745" s="36">
        <f t="shared" si="328"/>
        <v>15.716328721612477</v>
      </c>
      <c r="V745" s="36">
        <f t="shared" si="328"/>
        <v>16.47136678074342</v>
      </c>
    </row>
    <row r="746" spans="1:22">
      <c r="A746" s="4" t="str">
        <f>+A306</f>
        <v>Blended Internet &amp; telephony ARPU per subscriber</v>
      </c>
      <c r="B746" s="36">
        <f t="shared" si="328"/>
        <v>21.9</v>
      </c>
      <c r="C746" s="36">
        <f t="shared" si="328"/>
        <v>21.9</v>
      </c>
      <c r="D746" s="36">
        <f t="shared" si="328"/>
        <v>22.4</v>
      </c>
      <c r="E746" s="36">
        <f t="shared" si="328"/>
        <v>22</v>
      </c>
      <c r="F746" s="36">
        <f t="shared" si="328"/>
        <v>22.22</v>
      </c>
      <c r="G746" s="36"/>
      <c r="H746" s="36"/>
      <c r="I746" s="36"/>
      <c r="J746" s="36"/>
      <c r="K746" s="36"/>
      <c r="L746" s="36"/>
      <c r="M746" s="36"/>
      <c r="N746" s="36">
        <f t="shared" si="328"/>
        <v>22.4422</v>
      </c>
      <c r="O746" s="36">
        <f t="shared" si="328"/>
        <v>22.666622</v>
      </c>
      <c r="P746" s="36">
        <f t="shared" si="328"/>
        <v>22.893288219999999</v>
      </c>
      <c r="Q746" s="36">
        <f t="shared" si="328"/>
        <v>23.007754661099995</v>
      </c>
      <c r="R746" s="36">
        <f t="shared" si="328"/>
        <v>23.007754661099995</v>
      </c>
      <c r="S746" s="36">
        <f t="shared" si="328"/>
        <v>23.007754661099995</v>
      </c>
      <c r="T746" s="36">
        <f t="shared" si="328"/>
        <v>23.007754661099995</v>
      </c>
      <c r="U746" s="36">
        <f t="shared" si="328"/>
        <v>23.007754661099995</v>
      </c>
      <c r="V746" s="36">
        <f t="shared" si="328"/>
        <v>23.007754661099995</v>
      </c>
    </row>
    <row r="747" spans="1:22">
      <c r="A747" s="7" t="str">
        <f>+A307</f>
        <v xml:space="preserve">Total blended ARPU </v>
      </c>
      <c r="B747" s="37">
        <f t="shared" si="328"/>
        <v>11.6</v>
      </c>
      <c r="C747" s="37">
        <f t="shared" si="328"/>
        <v>12.4</v>
      </c>
      <c r="D747" s="37">
        <f t="shared" si="328"/>
        <v>13.2</v>
      </c>
      <c r="E747" s="37">
        <f t="shared" si="328"/>
        <v>13.9</v>
      </c>
      <c r="F747" s="37">
        <f t="shared" si="328"/>
        <v>13.930204717160576</v>
      </c>
      <c r="G747" s="37"/>
      <c r="H747" s="37"/>
      <c r="I747" s="37"/>
      <c r="J747" s="37"/>
      <c r="K747" s="37"/>
      <c r="L747" s="37"/>
      <c r="M747" s="37"/>
      <c r="N747" s="37">
        <f t="shared" si="328"/>
        <v>15.764549165430338</v>
      </c>
      <c r="O747" s="37">
        <f t="shared" si="328"/>
        <v>16.512267174514374</v>
      </c>
      <c r="P747" s="37">
        <f t="shared" si="328"/>
        <v>17.528027574690885</v>
      </c>
      <c r="Q747" s="37">
        <f t="shared" si="328"/>
        <v>18.523539997750749</v>
      </c>
      <c r="R747" s="37">
        <f t="shared" si="328"/>
        <v>19.491764426750915</v>
      </c>
      <c r="S747" s="37">
        <f t="shared" si="328"/>
        <v>20.4617606591978</v>
      </c>
      <c r="T747" s="37">
        <f t="shared" si="328"/>
        <v>21.434431298646874</v>
      </c>
      <c r="U747" s="37">
        <f t="shared" si="328"/>
        <v>22.4106476714874</v>
      </c>
      <c r="V747" s="37">
        <f t="shared" si="328"/>
        <v>23.391254684965102</v>
      </c>
    </row>
    <row r="753" spans="1:90">
      <c r="A753" s="18" t="s">
        <v>1014</v>
      </c>
      <c r="B753" s="43" t="s">
        <v>197</v>
      </c>
      <c r="C753" s="43" t="s">
        <v>198</v>
      </c>
      <c r="D753" s="43" t="s">
        <v>199</v>
      </c>
      <c r="E753" s="43" t="s">
        <v>855</v>
      </c>
      <c r="F753" s="43" t="s">
        <v>201</v>
      </c>
      <c r="G753" s="209"/>
      <c r="H753" s="209"/>
      <c r="I753" s="209"/>
      <c r="J753" s="209"/>
      <c r="K753" s="209"/>
      <c r="L753" s="209"/>
      <c r="M753" s="209"/>
      <c r="N753" s="43" t="s">
        <v>202</v>
      </c>
      <c r="O753" s="43" t="s">
        <v>203</v>
      </c>
      <c r="P753" s="43" t="s">
        <v>204</v>
      </c>
      <c r="Q753" s="43" t="s">
        <v>205</v>
      </c>
      <c r="R753" s="43" t="s">
        <v>206</v>
      </c>
      <c r="S753" s="43" t="s">
        <v>207</v>
      </c>
      <c r="T753" s="43" t="s">
        <v>208</v>
      </c>
      <c r="U753" s="43" t="s">
        <v>209</v>
      </c>
      <c r="V753" s="43" t="s">
        <v>210</v>
      </c>
      <c r="BJ753" s="208" t="s">
        <v>609</v>
      </c>
      <c r="BK753" s="209" t="s">
        <v>197</v>
      </c>
      <c r="BL753" s="209" t="s">
        <v>198</v>
      </c>
      <c r="BM753" s="209" t="s">
        <v>199</v>
      </c>
      <c r="BN753" s="209" t="s">
        <v>200</v>
      </c>
      <c r="BO753" s="209" t="s">
        <v>201</v>
      </c>
      <c r="BP753" s="209" t="s">
        <v>202</v>
      </c>
      <c r="BQ753" s="209" t="s">
        <v>203</v>
      </c>
      <c r="BS753" s="208" t="str">
        <f t="shared" ref="BS753:BX753" si="329">+A753</f>
        <v>Mobile business</v>
      </c>
      <c r="BT753" s="209" t="str">
        <f t="shared" si="329"/>
        <v>2011A</v>
      </c>
      <c r="BU753" s="209" t="str">
        <f t="shared" si="329"/>
        <v>2012A</v>
      </c>
      <c r="BV753" s="209" t="str">
        <f t="shared" si="329"/>
        <v>2013A</v>
      </c>
      <c r="BW753" s="209" t="str">
        <f t="shared" si="329"/>
        <v>2014A</v>
      </c>
      <c r="BX753" s="209" t="str">
        <f t="shared" si="329"/>
        <v>2015E</v>
      </c>
      <c r="BY753" s="209" t="str">
        <f>+N753</f>
        <v>2016E</v>
      </c>
      <c r="BZ753" s="209" t="str">
        <f>+O753</f>
        <v>2017E</v>
      </c>
      <c r="CC753" s="209" t="str">
        <f>+BW753</f>
        <v>2014A</v>
      </c>
      <c r="CD753" s="209" t="str">
        <f>+BX753</f>
        <v>2015E</v>
      </c>
      <c r="CE753" s="209" t="str">
        <f>+BY753</f>
        <v>2016E</v>
      </c>
      <c r="CF753" s="209" t="str">
        <f>+BZ753</f>
        <v>2017E</v>
      </c>
      <c r="CI753" s="209" t="str">
        <f>+CC753</f>
        <v>2014A</v>
      </c>
      <c r="CJ753" s="209" t="str">
        <f>+CD753</f>
        <v>2015E</v>
      </c>
      <c r="CK753" s="209" t="str">
        <f>+CE753</f>
        <v>2016E</v>
      </c>
      <c r="CL753" s="209" t="str">
        <f>+CF753</f>
        <v>2017E</v>
      </c>
    </row>
    <row r="754" spans="1:90">
      <c r="A754" s="81" t="s">
        <v>796</v>
      </c>
      <c r="B754" s="81"/>
      <c r="C754" s="81"/>
      <c r="D754" s="81"/>
      <c r="E754" s="81"/>
      <c r="F754" s="163">
        <f t="shared" ref="F754:V754" si="330">+F268+F787</f>
        <v>372</v>
      </c>
      <c r="G754" s="163"/>
      <c r="H754" s="163"/>
      <c r="I754" s="163"/>
      <c r="J754" s="163"/>
      <c r="K754" s="163"/>
      <c r="L754" s="163"/>
      <c r="M754" s="163"/>
      <c r="N754" s="163">
        <f t="shared" si="330"/>
        <v>807.02479338842977</v>
      </c>
      <c r="O754" s="163">
        <f t="shared" si="330"/>
        <v>899.25619834710744</v>
      </c>
      <c r="P754" s="163">
        <f t="shared" si="330"/>
        <v>991.48760330578511</v>
      </c>
      <c r="Q754" s="163">
        <f t="shared" si="330"/>
        <v>1083.7190082644629</v>
      </c>
      <c r="R754" s="163">
        <f t="shared" si="330"/>
        <v>1175.9504132231405</v>
      </c>
      <c r="S754" s="163">
        <f t="shared" si="330"/>
        <v>1268.1818181818182</v>
      </c>
      <c r="T754" s="163">
        <f t="shared" si="330"/>
        <v>1360.413223140496</v>
      </c>
      <c r="U754" s="163">
        <f t="shared" si="330"/>
        <v>1452.6446280991736</v>
      </c>
      <c r="V754" s="163">
        <f t="shared" si="330"/>
        <v>1544.8760330578511</v>
      </c>
    </row>
    <row r="755" spans="1:90">
      <c r="A755" s="4" t="s">
        <v>1032</v>
      </c>
      <c r="F755" s="165">
        <v>0</v>
      </c>
      <c r="G755" s="165"/>
      <c r="H755" s="165"/>
      <c r="I755" s="165"/>
      <c r="J755" s="165"/>
      <c r="K755" s="165"/>
      <c r="L755" s="165"/>
      <c r="M755" s="165"/>
      <c r="N755" s="165">
        <v>0.1</v>
      </c>
      <c r="O755" s="165">
        <v>0.2</v>
      </c>
      <c r="P755" s="165">
        <v>0.3</v>
      </c>
      <c r="Q755" s="165">
        <v>0.4</v>
      </c>
      <c r="R755" s="165">
        <v>0.5</v>
      </c>
      <c r="S755" s="165">
        <v>0.6</v>
      </c>
      <c r="T755" s="165">
        <v>0.65</v>
      </c>
      <c r="U755" s="165">
        <v>0.7</v>
      </c>
      <c r="V755" s="165">
        <v>0.75</v>
      </c>
    </row>
    <row r="756" spans="1:90">
      <c r="A756" s="81" t="s">
        <v>1015</v>
      </c>
      <c r="B756" s="81"/>
      <c r="C756" s="81"/>
      <c r="D756" s="81"/>
      <c r="E756" s="81"/>
      <c r="F756" s="163">
        <f t="shared" ref="F756:V756" si="331">+F755*F754</f>
        <v>0</v>
      </c>
      <c r="G756" s="163"/>
      <c r="H756" s="163"/>
      <c r="I756" s="163"/>
      <c r="J756" s="163"/>
      <c r="K756" s="163"/>
      <c r="L756" s="163"/>
      <c r="M756" s="163"/>
      <c r="N756" s="163">
        <f t="shared" si="331"/>
        <v>80.702479338842977</v>
      </c>
      <c r="O756" s="163">
        <f t="shared" si="331"/>
        <v>179.85123966942149</v>
      </c>
      <c r="P756" s="163">
        <f t="shared" si="331"/>
        <v>297.44628099173553</v>
      </c>
      <c r="Q756" s="163">
        <f t="shared" si="331"/>
        <v>433.48760330578517</v>
      </c>
      <c r="R756" s="163">
        <f t="shared" si="331"/>
        <v>587.97520661157023</v>
      </c>
      <c r="S756" s="163">
        <f t="shared" si="331"/>
        <v>760.90909090909088</v>
      </c>
      <c r="T756" s="163">
        <f t="shared" si="331"/>
        <v>884.26859504132244</v>
      </c>
      <c r="U756" s="163">
        <f t="shared" si="331"/>
        <v>1016.8512396694215</v>
      </c>
      <c r="V756" s="163">
        <f t="shared" si="331"/>
        <v>1158.6570247933882</v>
      </c>
    </row>
    <row r="757" spans="1:90">
      <c r="A757" s="4" t="s">
        <v>188</v>
      </c>
      <c r="F757" s="5">
        <v>5</v>
      </c>
      <c r="G757" s="5"/>
      <c r="H757" s="5"/>
      <c r="I757" s="5"/>
      <c r="J757" s="5"/>
      <c r="K757" s="5"/>
      <c r="L757" s="5"/>
      <c r="M757" s="5"/>
      <c r="N757" s="5">
        <f>+F757*1.05</f>
        <v>5.25</v>
      </c>
      <c r="O757" s="5">
        <f t="shared" ref="O757:V757" si="332">+N757*1.05</f>
        <v>5.5125000000000002</v>
      </c>
      <c r="P757" s="5">
        <f t="shared" si="332"/>
        <v>5.7881250000000009</v>
      </c>
      <c r="Q757" s="5">
        <f t="shared" si="332"/>
        <v>6.0775312500000007</v>
      </c>
      <c r="R757" s="5">
        <f t="shared" si="332"/>
        <v>6.3814078125000009</v>
      </c>
      <c r="S757" s="5">
        <f t="shared" si="332"/>
        <v>6.7004782031250016</v>
      </c>
      <c r="T757" s="5">
        <f t="shared" si="332"/>
        <v>7.0355021132812521</v>
      </c>
      <c r="U757" s="5">
        <f t="shared" si="332"/>
        <v>7.3872772189453153</v>
      </c>
      <c r="V757" s="5">
        <f t="shared" si="332"/>
        <v>7.7566410798925816</v>
      </c>
    </row>
    <row r="758" spans="1:90">
      <c r="A758" s="81" t="s">
        <v>143</v>
      </c>
      <c r="B758" s="81"/>
      <c r="C758" s="81"/>
      <c r="D758" s="81"/>
      <c r="E758" s="81"/>
      <c r="F758" s="163">
        <f>+F756*F757*3/1000</f>
        <v>0</v>
      </c>
      <c r="G758" s="163"/>
      <c r="H758" s="163"/>
      <c r="I758" s="163"/>
      <c r="J758" s="163"/>
      <c r="K758" s="163"/>
      <c r="L758" s="163"/>
      <c r="M758" s="163"/>
      <c r="N758" s="163">
        <f t="shared" ref="N758:V758" si="333">+N756*N757*12/1000</f>
        <v>5.0842561983471075</v>
      </c>
      <c r="O758" s="163">
        <f t="shared" si="333"/>
        <v>11.897159504132231</v>
      </c>
      <c r="P758" s="163">
        <f t="shared" si="333"/>
        <v>20.65987506198347</v>
      </c>
      <c r="Q758" s="163">
        <f t="shared" si="333"/>
        <v>31.614413466942157</v>
      </c>
      <c r="R758" s="163">
        <f t="shared" si="333"/>
        <v>45.025314924328512</v>
      </c>
      <c r="S758" s="163">
        <f t="shared" si="333"/>
        <v>61.181457338352281</v>
      </c>
      <c r="T758" s="163">
        <f t="shared" si="333"/>
        <v>74.655282829457605</v>
      </c>
      <c r="U758" s="163">
        <f t="shared" si="333"/>
        <v>90.141143974394652</v>
      </c>
      <c r="V758" s="163">
        <f t="shared" si="333"/>
        <v>107.84744011222216</v>
      </c>
    </row>
    <row r="759" spans="1:90">
      <c r="A759" s="4" t="s">
        <v>611</v>
      </c>
      <c r="F759" s="165">
        <v>0.15</v>
      </c>
      <c r="G759" s="165"/>
      <c r="H759" s="165"/>
      <c r="I759" s="165"/>
      <c r="J759" s="165"/>
      <c r="K759" s="165"/>
      <c r="L759" s="165"/>
      <c r="M759" s="165"/>
      <c r="N759" s="165">
        <v>0.15</v>
      </c>
      <c r="O759" s="165">
        <v>0.15</v>
      </c>
      <c r="P759" s="165">
        <v>0.15</v>
      </c>
      <c r="Q759" s="165">
        <v>0.15</v>
      </c>
      <c r="R759" s="165">
        <v>0.15</v>
      </c>
      <c r="S759" s="165">
        <v>0.15</v>
      </c>
      <c r="T759" s="165">
        <v>0.15</v>
      </c>
      <c r="U759" s="165">
        <v>0.15</v>
      </c>
      <c r="V759" s="165">
        <v>0.15</v>
      </c>
    </row>
    <row r="760" spans="1:90">
      <c r="A760" s="81" t="s">
        <v>1016</v>
      </c>
      <c r="B760" s="81"/>
      <c r="C760" s="81"/>
      <c r="D760" s="81"/>
      <c r="E760" s="81"/>
      <c r="F760" s="163">
        <f t="shared" ref="F760:V760" si="334">+F758*F759</f>
        <v>0</v>
      </c>
      <c r="G760" s="163"/>
      <c r="H760" s="163"/>
      <c r="I760" s="163"/>
      <c r="J760" s="163"/>
      <c r="K760" s="163"/>
      <c r="L760" s="163"/>
      <c r="M760" s="163"/>
      <c r="N760" s="163">
        <f t="shared" si="334"/>
        <v>0.76263842975206608</v>
      </c>
      <c r="O760" s="163">
        <f t="shared" si="334"/>
        <v>1.7845739256198347</v>
      </c>
      <c r="P760" s="163">
        <f t="shared" si="334"/>
        <v>3.0989812592975206</v>
      </c>
      <c r="Q760" s="163">
        <f t="shared" si="334"/>
        <v>4.7421620200413237</v>
      </c>
      <c r="R760" s="163">
        <f t="shared" si="334"/>
        <v>6.7537972386492768</v>
      </c>
      <c r="S760" s="163">
        <f t="shared" si="334"/>
        <v>9.1772186007528411</v>
      </c>
      <c r="T760" s="163">
        <f t="shared" si="334"/>
        <v>11.198292424418641</v>
      </c>
      <c r="U760" s="163">
        <f t="shared" si="334"/>
        <v>13.521171596159197</v>
      </c>
      <c r="V760" s="163">
        <f t="shared" si="334"/>
        <v>16.177116016833324</v>
      </c>
    </row>
    <row r="761" spans="1:90">
      <c r="A761" s="4" t="s">
        <v>1017</v>
      </c>
      <c r="F761" s="11">
        <f t="shared" ref="F761:V761" si="335">-(F756-E756)*10/1000</f>
        <v>0</v>
      </c>
      <c r="G761" s="11"/>
      <c r="H761" s="11"/>
      <c r="I761" s="11"/>
      <c r="J761" s="11"/>
      <c r="K761" s="11"/>
      <c r="L761" s="11"/>
      <c r="M761" s="11"/>
      <c r="N761" s="11">
        <f>-(N756-F756)*10/1000</f>
        <v>-0.80702479338842981</v>
      </c>
      <c r="O761" s="11">
        <f t="shared" si="335"/>
        <v>-0.99148760330578511</v>
      </c>
      <c r="P761" s="11">
        <f t="shared" si="335"/>
        <v>-1.1759504132231404</v>
      </c>
      <c r="Q761" s="11">
        <f t="shared" si="335"/>
        <v>-1.3604132231404964</v>
      </c>
      <c r="R761" s="11">
        <f t="shared" si="335"/>
        <v>-1.5448760330578506</v>
      </c>
      <c r="S761" s="11">
        <f t="shared" si="335"/>
        <v>-1.7293388429752066</v>
      </c>
      <c r="T761" s="11">
        <f t="shared" si="335"/>
        <v>-1.2335950413223156</v>
      </c>
      <c r="U761" s="11">
        <f t="shared" si="335"/>
        <v>-1.3258264462809906</v>
      </c>
      <c r="V761" s="11">
        <f t="shared" si="335"/>
        <v>-1.4180578512396675</v>
      </c>
    </row>
    <row r="762" spans="1:90">
      <c r="A762" s="81" t="s">
        <v>1018</v>
      </c>
      <c r="B762" s="81"/>
      <c r="C762" s="81"/>
      <c r="D762" s="81"/>
      <c r="E762" s="81"/>
      <c r="F762" s="163">
        <v>-5</v>
      </c>
      <c r="G762" s="163"/>
      <c r="H762" s="163"/>
      <c r="I762" s="163"/>
      <c r="J762" s="163"/>
      <c r="K762" s="163"/>
      <c r="L762" s="163"/>
      <c r="M762" s="163"/>
      <c r="N762" s="163"/>
      <c r="O762" s="163"/>
      <c r="P762" s="163"/>
      <c r="Q762" s="163"/>
      <c r="R762" s="163"/>
      <c r="S762" s="163"/>
      <c r="T762" s="163"/>
      <c r="U762" s="163"/>
      <c r="V762" s="163"/>
    </row>
    <row r="763" spans="1:90">
      <c r="A763" s="4" t="s">
        <v>281</v>
      </c>
      <c r="F763" s="341">
        <f t="shared" ref="F763:V763" si="336">+F760+F761+F762</f>
        <v>-5</v>
      </c>
      <c r="G763" s="341"/>
      <c r="H763" s="341"/>
      <c r="I763" s="341"/>
      <c r="J763" s="341"/>
      <c r="K763" s="341"/>
      <c r="L763" s="341"/>
      <c r="M763" s="341"/>
      <c r="N763" s="341">
        <f t="shared" si="336"/>
        <v>-4.4386363636363724E-2</v>
      </c>
      <c r="O763" s="341">
        <f t="shared" si="336"/>
        <v>0.79308632231404963</v>
      </c>
      <c r="P763" s="341">
        <f t="shared" si="336"/>
        <v>1.9230308460743801</v>
      </c>
      <c r="Q763" s="341">
        <f t="shared" si="336"/>
        <v>3.3817487969008271</v>
      </c>
      <c r="R763" s="341">
        <f t="shared" si="336"/>
        <v>5.2089212055914267</v>
      </c>
      <c r="S763" s="341">
        <f t="shared" si="336"/>
        <v>7.4478797577776348</v>
      </c>
      <c r="T763" s="341">
        <f t="shared" si="336"/>
        <v>9.9646973830963255</v>
      </c>
      <c r="U763" s="341">
        <f t="shared" si="336"/>
        <v>12.195345149878207</v>
      </c>
      <c r="V763" s="341">
        <f t="shared" si="336"/>
        <v>14.759058165593656</v>
      </c>
      <c r="W763" s="158">
        <f>+V763*10</f>
        <v>147.59058165593655</v>
      </c>
    </row>
    <row r="764" spans="1:90">
      <c r="A764" s="81" t="s">
        <v>362</v>
      </c>
      <c r="B764" s="81"/>
      <c r="C764" s="81"/>
      <c r="D764" s="81"/>
      <c r="E764" s="81"/>
      <c r="F764" s="343">
        <f>NPV(0.068,F763:W763)</f>
        <v>99.906558416910627</v>
      </c>
      <c r="G764" s="163"/>
      <c r="H764" s="163"/>
      <c r="I764" s="163"/>
      <c r="J764" s="163"/>
      <c r="K764" s="163"/>
      <c r="L764" s="163"/>
      <c r="M764" s="163"/>
      <c r="U764" s="345" t="s">
        <v>93</v>
      </c>
      <c r="V764" s="346">
        <f>+W763</f>
        <v>147.59058165593655</v>
      </c>
    </row>
    <row r="765" spans="1:90">
      <c r="A765" s="4" t="s">
        <v>1019</v>
      </c>
      <c r="F765" s="158">
        <f>+F764*0.7</f>
        <v>69.934590891837431</v>
      </c>
      <c r="G765" s="158"/>
      <c r="H765" s="158"/>
      <c r="I765" s="158"/>
      <c r="J765" s="158"/>
      <c r="K765" s="158"/>
      <c r="L765" s="158"/>
      <c r="M765" s="158"/>
    </row>
    <row r="766" spans="1:90">
      <c r="A766" s="81" t="s">
        <v>1010</v>
      </c>
      <c r="B766" s="81"/>
      <c r="C766" s="81"/>
      <c r="D766" s="81"/>
      <c r="E766" s="81"/>
      <c r="F766" s="344">
        <f>+Valuation!E34</f>
        <v>127.575</v>
      </c>
      <c r="G766" s="344"/>
      <c r="H766" s="344"/>
      <c r="I766" s="344"/>
      <c r="J766" s="344"/>
      <c r="K766" s="344"/>
      <c r="L766" s="344"/>
      <c r="M766" s="344"/>
    </row>
    <row r="767" spans="1:90">
      <c r="A767" s="4" t="s">
        <v>1033</v>
      </c>
      <c r="F767" s="39">
        <f>+F765/F766</f>
        <v>0.54818413397481813</v>
      </c>
      <c r="G767" s="39"/>
      <c r="H767" s="39"/>
      <c r="I767" s="39"/>
      <c r="J767" s="39"/>
      <c r="K767" s="39"/>
      <c r="L767" s="39"/>
      <c r="M767" s="39"/>
    </row>
    <row r="771" spans="1:90">
      <c r="A771" s="18" t="s">
        <v>997</v>
      </c>
      <c r="B771" s="43"/>
      <c r="C771" s="43"/>
      <c r="D771" s="43"/>
      <c r="E771" s="43" t="s">
        <v>855</v>
      </c>
      <c r="F771" s="43" t="s">
        <v>201</v>
      </c>
      <c r="G771" s="209"/>
      <c r="H771" s="209"/>
      <c r="I771" s="209"/>
      <c r="J771" s="209"/>
      <c r="K771" s="209"/>
      <c r="L771" s="209"/>
      <c r="M771" s="209"/>
      <c r="N771" s="43" t="s">
        <v>202</v>
      </c>
      <c r="O771" s="43" t="s">
        <v>203</v>
      </c>
      <c r="P771" s="43" t="s">
        <v>204</v>
      </c>
      <c r="Q771" s="43" t="s">
        <v>205</v>
      </c>
      <c r="R771" s="43" t="s">
        <v>206</v>
      </c>
      <c r="S771" s="43" t="s">
        <v>207</v>
      </c>
      <c r="T771" s="43" t="s">
        <v>208</v>
      </c>
      <c r="U771" s="43" t="s">
        <v>209</v>
      </c>
      <c r="V771" s="43" t="s">
        <v>210</v>
      </c>
      <c r="BJ771" s="208" t="s">
        <v>609</v>
      </c>
      <c r="BK771" s="209" t="s">
        <v>197</v>
      </c>
      <c r="BL771" s="209" t="s">
        <v>198</v>
      </c>
      <c r="BM771" s="209" t="s">
        <v>199</v>
      </c>
      <c r="BN771" s="209" t="s">
        <v>200</v>
      </c>
      <c r="BO771" s="209" t="s">
        <v>201</v>
      </c>
      <c r="BP771" s="209" t="s">
        <v>202</v>
      </c>
      <c r="BQ771" s="209" t="s">
        <v>203</v>
      </c>
      <c r="BS771" s="208" t="str">
        <f t="shared" ref="BS771:BX771" si="337">+A771</f>
        <v>Primacom</v>
      </c>
      <c r="BT771" s="209">
        <f t="shared" si="337"/>
        <v>0</v>
      </c>
      <c r="BU771" s="209">
        <f t="shared" si="337"/>
        <v>0</v>
      </c>
      <c r="BV771" s="209">
        <f t="shared" si="337"/>
        <v>0</v>
      </c>
      <c r="BW771" s="209" t="str">
        <f t="shared" si="337"/>
        <v>2014A</v>
      </c>
      <c r="BX771" s="209" t="str">
        <f t="shared" si="337"/>
        <v>2015E</v>
      </c>
      <c r="BY771" s="209" t="str">
        <f>+N771</f>
        <v>2016E</v>
      </c>
      <c r="BZ771" s="209" t="str">
        <f>+O771</f>
        <v>2017E</v>
      </c>
      <c r="CC771" s="209" t="str">
        <f>+BW771</f>
        <v>2014A</v>
      </c>
      <c r="CD771" s="209" t="str">
        <f>+BX771</f>
        <v>2015E</v>
      </c>
      <c r="CE771" s="209" t="str">
        <f>+BY771</f>
        <v>2016E</v>
      </c>
      <c r="CF771" s="209" t="str">
        <f>+BZ771</f>
        <v>2017E</v>
      </c>
      <c r="CI771" s="209" t="str">
        <f>+CC771</f>
        <v>2014A</v>
      </c>
      <c r="CJ771" s="209" t="str">
        <f>+CD771</f>
        <v>2015E</v>
      </c>
      <c r="CK771" s="209" t="str">
        <f>+CE771</f>
        <v>2016E</v>
      </c>
      <c r="CL771" s="209" t="str">
        <f>+CF771</f>
        <v>2017E</v>
      </c>
    </row>
    <row r="772" spans="1:90">
      <c r="A772" s="4" t="s">
        <v>143</v>
      </c>
      <c r="E772" s="11">
        <v>132</v>
      </c>
      <c r="F772" s="11"/>
      <c r="G772" s="11"/>
      <c r="H772" s="11"/>
      <c r="I772" s="11"/>
      <c r="J772" s="11"/>
      <c r="K772" s="11"/>
      <c r="L772" s="11"/>
      <c r="M772" s="11"/>
      <c r="N772" s="11"/>
      <c r="O772" s="11"/>
      <c r="P772" s="11"/>
      <c r="Q772" s="11"/>
      <c r="R772" s="11"/>
      <c r="S772" s="11"/>
      <c r="T772" s="11"/>
      <c r="U772" s="11"/>
      <c r="V772" s="11"/>
      <c r="W772" s="11"/>
    </row>
    <row r="773" spans="1:90">
      <c r="A773" s="4" t="s">
        <v>281</v>
      </c>
      <c r="E773" s="11">
        <v>55</v>
      </c>
      <c r="F773" s="11">
        <f>711/11</f>
        <v>64.63636363636364</v>
      </c>
      <c r="G773" s="11"/>
      <c r="H773" s="11"/>
      <c r="I773" s="11"/>
      <c r="J773" s="11"/>
      <c r="K773" s="11"/>
      <c r="L773" s="11"/>
      <c r="M773" s="11"/>
      <c r="N773" s="11"/>
      <c r="O773" s="11"/>
      <c r="P773" s="11"/>
      <c r="Q773" s="11"/>
      <c r="R773" s="11"/>
      <c r="S773" s="11"/>
      <c r="T773" s="11"/>
      <c r="U773" s="11"/>
      <c r="V773" s="11"/>
      <c r="W773" s="11"/>
    </row>
    <row r="774" spans="1:90">
      <c r="A774" s="4" t="s">
        <v>161</v>
      </c>
      <c r="E774" s="11">
        <v>34</v>
      </c>
      <c r="F774" s="11"/>
      <c r="G774" s="11"/>
      <c r="H774" s="11"/>
      <c r="I774" s="11"/>
      <c r="J774" s="11"/>
      <c r="K774" s="11"/>
      <c r="L774" s="11"/>
      <c r="M774" s="11"/>
      <c r="N774" s="11"/>
      <c r="O774" s="11"/>
      <c r="P774" s="11"/>
      <c r="Q774" s="11"/>
      <c r="R774" s="11"/>
      <c r="S774" s="11"/>
      <c r="T774" s="11"/>
      <c r="U774" s="11"/>
      <c r="V774" s="11"/>
      <c r="W774" s="11"/>
    </row>
    <row r="775" spans="1:90">
      <c r="E775" s="40"/>
      <c r="F775" s="11"/>
      <c r="G775" s="11"/>
      <c r="H775" s="11"/>
      <c r="I775" s="11"/>
      <c r="J775" s="11"/>
      <c r="K775" s="11"/>
      <c r="L775" s="11"/>
      <c r="M775" s="11"/>
      <c r="N775" s="11"/>
      <c r="O775" s="11"/>
      <c r="P775" s="11"/>
      <c r="Q775" s="11"/>
      <c r="R775" s="11"/>
      <c r="S775" s="11"/>
      <c r="T775" s="11"/>
      <c r="U775" s="11"/>
      <c r="V775" s="11"/>
      <c r="W775" s="11"/>
    </row>
    <row r="776" spans="1:90">
      <c r="A776" s="4" t="s">
        <v>1020</v>
      </c>
      <c r="E776" s="11"/>
      <c r="F776" s="11"/>
      <c r="G776" s="11"/>
      <c r="H776" s="11"/>
      <c r="I776" s="11"/>
      <c r="J776" s="11"/>
      <c r="K776" s="11"/>
      <c r="L776" s="11"/>
      <c r="M776" s="11"/>
      <c r="N776" s="11">
        <v>8</v>
      </c>
      <c r="O776" s="11">
        <v>17.5</v>
      </c>
      <c r="P776" s="11">
        <f t="shared" ref="P776:V776" si="338">+O776</f>
        <v>17.5</v>
      </c>
      <c r="Q776" s="11">
        <f t="shared" si="338"/>
        <v>17.5</v>
      </c>
      <c r="R776" s="11">
        <f t="shared" si="338"/>
        <v>17.5</v>
      </c>
      <c r="S776" s="11">
        <f t="shared" si="338"/>
        <v>17.5</v>
      </c>
      <c r="T776" s="11">
        <f t="shared" si="338"/>
        <v>17.5</v>
      </c>
      <c r="U776" s="11">
        <f t="shared" si="338"/>
        <v>17.5</v>
      </c>
      <c r="V776" s="11">
        <f t="shared" si="338"/>
        <v>17.5</v>
      </c>
      <c r="W776" s="11"/>
    </row>
    <row r="777" spans="1:90">
      <c r="A777" s="4" t="s">
        <v>1021</v>
      </c>
      <c r="E777" s="11"/>
      <c r="F777" s="11"/>
      <c r="G777" s="11"/>
      <c r="H777" s="11"/>
      <c r="I777" s="11"/>
      <c r="J777" s="11"/>
      <c r="K777" s="11"/>
      <c r="L777" s="11"/>
      <c r="M777" s="11"/>
      <c r="N777" s="11">
        <v>0.5</v>
      </c>
      <c r="O777" s="11">
        <v>2.5</v>
      </c>
      <c r="P777" s="11">
        <v>2.5</v>
      </c>
      <c r="Q777" s="11">
        <v>2.5</v>
      </c>
      <c r="R777" s="11">
        <v>2.5</v>
      </c>
      <c r="S777" s="11">
        <v>2.5</v>
      </c>
      <c r="T777" s="11">
        <v>2.5</v>
      </c>
      <c r="U777" s="11">
        <v>2.5</v>
      </c>
      <c r="V777" s="11">
        <v>2.5</v>
      </c>
      <c r="W777" s="11"/>
    </row>
    <row r="778" spans="1:90">
      <c r="A778" s="4" t="s">
        <v>1022</v>
      </c>
      <c r="E778" s="11"/>
      <c r="F778" s="11"/>
      <c r="G778" s="11"/>
      <c r="H778" s="11"/>
      <c r="I778" s="11"/>
      <c r="J778" s="11"/>
      <c r="K778" s="11"/>
      <c r="L778" s="11"/>
      <c r="M778" s="11"/>
      <c r="N778" s="11">
        <v>-20</v>
      </c>
      <c r="O778" s="11"/>
      <c r="P778" s="11"/>
      <c r="Q778" s="11"/>
      <c r="R778" s="11"/>
      <c r="S778" s="11"/>
      <c r="T778" s="11"/>
      <c r="U778" s="11"/>
      <c r="V778" s="11"/>
      <c r="W778" s="11"/>
    </row>
    <row r="779" spans="1:90">
      <c r="A779" s="4" t="s">
        <v>279</v>
      </c>
      <c r="E779" s="11"/>
      <c r="F779" s="11"/>
      <c r="G779" s="11"/>
      <c r="H779" s="11"/>
      <c r="I779" s="11"/>
      <c r="J779" s="11"/>
      <c r="K779" s="11"/>
      <c r="L779" s="11"/>
      <c r="M779" s="11"/>
      <c r="N779" s="341">
        <f t="shared" ref="N779:V779" si="339">+N778+N777+N776</f>
        <v>-11.5</v>
      </c>
      <c r="O779" s="341">
        <f t="shared" si="339"/>
        <v>20</v>
      </c>
      <c r="P779" s="341">
        <f t="shared" si="339"/>
        <v>20</v>
      </c>
      <c r="Q779" s="341">
        <f t="shared" si="339"/>
        <v>20</v>
      </c>
      <c r="R779" s="341">
        <f t="shared" si="339"/>
        <v>20</v>
      </c>
      <c r="S779" s="341">
        <f t="shared" si="339"/>
        <v>20</v>
      </c>
      <c r="T779" s="341">
        <f t="shared" si="339"/>
        <v>20</v>
      </c>
      <c r="U779" s="341">
        <f t="shared" si="339"/>
        <v>20</v>
      </c>
      <c r="V779" s="341">
        <f t="shared" si="339"/>
        <v>20</v>
      </c>
      <c r="W779" s="11">
        <f>+V776*8</f>
        <v>140</v>
      </c>
    </row>
    <row r="783" spans="1:90">
      <c r="E783" s="11"/>
      <c r="F783" s="11"/>
      <c r="G783" s="11"/>
      <c r="H783" s="11"/>
      <c r="I783" s="11"/>
      <c r="J783" s="11"/>
      <c r="K783" s="11"/>
      <c r="L783" s="11"/>
      <c r="M783" s="11"/>
      <c r="N783" s="11"/>
      <c r="O783" s="11"/>
      <c r="P783" s="11"/>
      <c r="Q783" s="11"/>
      <c r="R783" s="11"/>
      <c r="S783" s="11"/>
      <c r="T783" s="11"/>
      <c r="U783" s="11"/>
      <c r="V783" s="11"/>
      <c r="W783" s="11"/>
    </row>
    <row r="784" spans="1:90">
      <c r="E784" s="11"/>
      <c r="F784" s="11"/>
      <c r="G784" s="11"/>
      <c r="H784" s="11"/>
      <c r="I784" s="11"/>
      <c r="J784" s="11"/>
      <c r="K784" s="11"/>
      <c r="L784" s="11"/>
      <c r="M784" s="11"/>
      <c r="N784" s="11"/>
      <c r="O784" s="11"/>
      <c r="P784" s="11"/>
      <c r="Q784" s="11"/>
      <c r="R784" s="11"/>
      <c r="S784" s="11"/>
      <c r="T784" s="11"/>
      <c r="U784" s="11"/>
      <c r="V784" s="11"/>
      <c r="W784" s="11"/>
    </row>
    <row r="785" spans="1:23">
      <c r="E785" s="11"/>
      <c r="F785" s="11"/>
      <c r="G785" s="11"/>
      <c r="H785" s="11"/>
      <c r="I785" s="11"/>
      <c r="J785" s="11"/>
      <c r="K785" s="11"/>
      <c r="L785" s="11"/>
      <c r="M785" s="11"/>
      <c r="N785" s="11"/>
      <c r="O785" s="11"/>
      <c r="P785" s="11"/>
      <c r="Q785" s="11"/>
      <c r="R785" s="11"/>
      <c r="S785" s="11"/>
      <c r="T785" s="11"/>
      <c r="U785" s="11"/>
      <c r="V785" s="11"/>
      <c r="W785" s="11"/>
    </row>
    <row r="786" spans="1:23">
      <c r="A786" s="4" t="s">
        <v>721</v>
      </c>
      <c r="F786" s="4">
        <v>1200</v>
      </c>
    </row>
    <row r="787" spans="1:23">
      <c r="A787" s="4" t="s">
        <v>1023</v>
      </c>
      <c r="F787" s="4">
        <v>130</v>
      </c>
      <c r="N787" s="158">
        <f>+F787*N23/F23</f>
        <v>282.02479338842977</v>
      </c>
      <c r="O787" s="158">
        <f t="shared" ref="O787:V787" si="340">+N787*O23/N23</f>
        <v>314.25619834710744</v>
      </c>
      <c r="P787" s="158">
        <f t="shared" si="340"/>
        <v>346.48760330578511</v>
      </c>
      <c r="Q787" s="158">
        <f t="shared" si="340"/>
        <v>378.71900826446284</v>
      </c>
      <c r="R787" s="158">
        <f t="shared" si="340"/>
        <v>410.95041322314052</v>
      </c>
      <c r="S787" s="158">
        <f t="shared" si="340"/>
        <v>443.18181818181824</v>
      </c>
      <c r="T787" s="158">
        <f t="shared" si="340"/>
        <v>475.41322314049592</v>
      </c>
      <c r="U787" s="158">
        <f t="shared" si="340"/>
        <v>507.64462809917364</v>
      </c>
      <c r="V787" s="158">
        <f t="shared" si="340"/>
        <v>539.87603305785126</v>
      </c>
    </row>
    <row r="789" spans="1:23">
      <c r="A789" s="4" t="s">
        <v>1026</v>
      </c>
    </row>
    <row r="790" spans="1:23">
      <c r="A790" s="4" t="s">
        <v>362</v>
      </c>
      <c r="E790" s="11"/>
      <c r="F790" s="11">
        <f>NPV(0.068,(N779:W779))</f>
        <v>174.43910539793794</v>
      </c>
      <c r="G790" s="11"/>
      <c r="H790" s="11"/>
      <c r="I790" s="11"/>
      <c r="J790" s="11"/>
      <c r="K790" s="11"/>
      <c r="L790" s="11"/>
      <c r="M790" s="11"/>
      <c r="O790" s="5"/>
      <c r="P790" s="11"/>
      <c r="Q790" s="11"/>
      <c r="R790" s="11"/>
      <c r="S790" s="11"/>
      <c r="T790" s="11"/>
      <c r="U790" s="11"/>
      <c r="V790" s="11"/>
      <c r="W790" s="11"/>
    </row>
    <row r="791" spans="1:23">
      <c r="A791" s="4" t="s">
        <v>1024</v>
      </c>
      <c r="E791" s="11"/>
      <c r="F791" s="11">
        <f>+F790*(1-0.3)</f>
        <v>122.10737377855655</v>
      </c>
      <c r="G791" s="11"/>
      <c r="H791" s="11"/>
      <c r="I791" s="11"/>
      <c r="J791" s="11"/>
      <c r="K791" s="11"/>
      <c r="L791" s="11"/>
      <c r="M791" s="11"/>
      <c r="O791" s="11"/>
      <c r="P791" s="11"/>
      <c r="Q791" s="11"/>
      <c r="R791" s="11"/>
      <c r="S791" s="11"/>
      <c r="T791" s="11"/>
      <c r="U791" s="11"/>
      <c r="V791" s="11"/>
      <c r="W791" s="11"/>
    </row>
    <row r="792" spans="1:23">
      <c r="A792" s="4" t="s">
        <v>1025</v>
      </c>
      <c r="E792" s="11"/>
      <c r="F792" s="5">
        <f>+F791/Valuation!E34</f>
        <v>0.95714186775274579</v>
      </c>
      <c r="G792" s="5"/>
      <c r="H792" s="5"/>
      <c r="I792" s="5"/>
      <c r="J792" s="5"/>
      <c r="K792" s="5"/>
      <c r="L792" s="5"/>
      <c r="M792" s="5"/>
      <c r="O792" s="11"/>
      <c r="P792" s="11"/>
      <c r="Q792" s="11"/>
      <c r="R792" s="11"/>
      <c r="S792" s="11"/>
      <c r="T792" s="11"/>
      <c r="U792" s="11"/>
      <c r="V792" s="11"/>
      <c r="W792" s="11"/>
    </row>
    <row r="793" spans="1:23">
      <c r="F793" s="11"/>
      <c r="G793" s="11"/>
      <c r="H793" s="11"/>
      <c r="I793" s="11"/>
      <c r="J793" s="11"/>
      <c r="K793" s="11"/>
      <c r="L793" s="11"/>
      <c r="M793" s="11"/>
    </row>
    <row r="794" spans="1:23">
      <c r="A794" s="4" t="s">
        <v>1027</v>
      </c>
      <c r="F794" s="11"/>
      <c r="G794" s="11"/>
      <c r="H794" s="11"/>
      <c r="I794" s="11"/>
      <c r="J794" s="11"/>
      <c r="K794" s="11"/>
      <c r="L794" s="11"/>
      <c r="M794" s="11"/>
    </row>
    <row r="795" spans="1:23">
      <c r="A795" s="4" t="s">
        <v>1028</v>
      </c>
      <c r="F795" s="5">
        <v>11</v>
      </c>
      <c r="G795" s="5"/>
      <c r="H795" s="5"/>
      <c r="I795" s="5"/>
      <c r="J795" s="5"/>
      <c r="K795" s="5"/>
      <c r="L795" s="5"/>
      <c r="M795" s="5"/>
    </row>
    <row r="796" spans="1:23">
      <c r="A796" s="4" t="s">
        <v>1029</v>
      </c>
      <c r="F796" s="5">
        <v>10.5</v>
      </c>
      <c r="G796" s="5"/>
      <c r="H796" s="5"/>
      <c r="I796" s="5"/>
      <c r="J796" s="5"/>
      <c r="K796" s="5"/>
      <c r="L796" s="5"/>
      <c r="M796" s="5"/>
    </row>
    <row r="797" spans="1:23">
      <c r="F797" s="5">
        <f>+F795-F796</f>
        <v>0.5</v>
      </c>
      <c r="G797" s="5"/>
      <c r="H797" s="5"/>
      <c r="I797" s="5"/>
      <c r="J797" s="5"/>
      <c r="K797" s="5"/>
      <c r="L797" s="5"/>
      <c r="M797" s="5"/>
    </row>
    <row r="798" spans="1:23">
      <c r="A798" s="4" t="s">
        <v>1030</v>
      </c>
      <c r="F798" s="11">
        <f>+F797*F773</f>
        <v>32.31818181818182</v>
      </c>
      <c r="G798" s="11"/>
      <c r="H798" s="11"/>
      <c r="I798" s="11"/>
      <c r="J798" s="11"/>
      <c r="K798" s="11"/>
      <c r="L798" s="11"/>
      <c r="M798" s="11"/>
    </row>
    <row r="799" spans="1:23">
      <c r="A799" s="4" t="s">
        <v>1025</v>
      </c>
      <c r="F799" s="5">
        <f>+F798/Valuation!E34</f>
        <v>0.2533269199935867</v>
      </c>
      <c r="G799" s="5"/>
      <c r="H799" s="5"/>
      <c r="I799" s="5"/>
      <c r="J799" s="5"/>
      <c r="K799" s="5"/>
      <c r="L799" s="5"/>
      <c r="M799" s="5"/>
    </row>
    <row r="800" spans="1:23">
      <c r="A800" s="4" t="s">
        <v>1031</v>
      </c>
      <c r="F800" s="5">
        <f>+F792-F799</f>
        <v>0.70381494775915909</v>
      </c>
      <c r="G800" s="5"/>
      <c r="H800" s="5"/>
      <c r="I800" s="5"/>
      <c r="J800" s="5"/>
      <c r="K800" s="5"/>
      <c r="L800" s="5"/>
      <c r="M800" s="5"/>
    </row>
    <row r="802" spans="1:23">
      <c r="A802" s="18" t="s">
        <v>1035</v>
      </c>
      <c r="B802" s="43"/>
      <c r="C802" s="43"/>
      <c r="D802" s="43"/>
      <c r="E802" s="43" t="s">
        <v>855</v>
      </c>
      <c r="F802" s="43" t="s">
        <v>201</v>
      </c>
      <c r="G802" s="209"/>
      <c r="H802" s="209"/>
      <c r="I802" s="209"/>
      <c r="J802" s="209"/>
      <c r="K802" s="209"/>
      <c r="L802" s="209"/>
      <c r="M802" s="209"/>
      <c r="N802" s="43" t="s">
        <v>202</v>
      </c>
      <c r="O802" s="43" t="s">
        <v>203</v>
      </c>
      <c r="P802" s="43" t="s">
        <v>204</v>
      </c>
      <c r="Q802" s="43" t="s">
        <v>205</v>
      </c>
      <c r="R802" s="43" t="s">
        <v>206</v>
      </c>
      <c r="S802" s="43" t="s">
        <v>207</v>
      </c>
      <c r="T802" s="43" t="s">
        <v>208</v>
      </c>
      <c r="U802" s="43" t="s">
        <v>209</v>
      </c>
      <c r="V802" s="43" t="s">
        <v>210</v>
      </c>
    </row>
    <row r="803" spans="1:23">
      <c r="A803" s="4" t="s">
        <v>143</v>
      </c>
      <c r="E803" s="11">
        <v>126</v>
      </c>
      <c r="F803" s="11"/>
      <c r="G803" s="11"/>
      <c r="H803" s="11"/>
      <c r="I803" s="11"/>
      <c r="J803" s="11"/>
      <c r="K803" s="11"/>
      <c r="L803" s="11"/>
      <c r="M803" s="11"/>
      <c r="N803" s="11"/>
      <c r="O803" s="11"/>
      <c r="P803" s="11"/>
      <c r="Q803" s="11"/>
      <c r="R803" s="11"/>
      <c r="S803" s="11"/>
      <c r="T803" s="11"/>
      <c r="U803" s="11"/>
      <c r="V803" s="11"/>
    </row>
    <row r="804" spans="1:23">
      <c r="A804" s="4" t="s">
        <v>281</v>
      </c>
      <c r="E804" s="11">
        <v>57</v>
      </c>
      <c r="F804" s="11">
        <f>608/9.5</f>
        <v>64</v>
      </c>
      <c r="G804" s="11"/>
      <c r="H804" s="11"/>
      <c r="I804" s="11"/>
      <c r="J804" s="11"/>
      <c r="K804" s="11"/>
      <c r="L804" s="11"/>
      <c r="M804" s="11"/>
      <c r="N804" s="11"/>
      <c r="O804" s="11"/>
      <c r="P804" s="11"/>
      <c r="Q804" s="11"/>
      <c r="R804" s="11"/>
      <c r="S804" s="11"/>
      <c r="T804" s="11"/>
      <c r="U804" s="11"/>
      <c r="V804" s="11"/>
    </row>
    <row r="805" spans="1:23">
      <c r="A805" s="4" t="s">
        <v>161</v>
      </c>
      <c r="E805" s="347">
        <v>30</v>
      </c>
      <c r="F805" s="347">
        <v>30</v>
      </c>
      <c r="G805" s="347"/>
      <c r="H805" s="347"/>
      <c r="I805" s="347"/>
      <c r="J805" s="347"/>
      <c r="K805" s="347"/>
      <c r="L805" s="347"/>
      <c r="M805" s="347"/>
      <c r="N805" s="11"/>
      <c r="O805" s="11"/>
      <c r="P805" s="11"/>
      <c r="Q805" s="11"/>
      <c r="R805" s="11"/>
      <c r="S805" s="11"/>
      <c r="T805" s="11"/>
      <c r="U805" s="11"/>
      <c r="V805" s="11"/>
    </row>
    <row r="806" spans="1:23">
      <c r="E806" s="40"/>
      <c r="F806" s="11"/>
      <c r="G806" s="11"/>
      <c r="H806" s="11"/>
      <c r="I806" s="11"/>
      <c r="J806" s="11"/>
      <c r="K806" s="11"/>
      <c r="L806" s="11"/>
      <c r="M806" s="11"/>
      <c r="N806" s="11"/>
      <c r="O806" s="11"/>
      <c r="P806" s="11"/>
      <c r="Q806" s="11"/>
      <c r="R806" s="11"/>
      <c r="S806" s="11"/>
      <c r="T806" s="11"/>
      <c r="U806" s="11"/>
      <c r="V806" s="11"/>
    </row>
    <row r="807" spans="1:23">
      <c r="A807" s="4" t="s">
        <v>1020</v>
      </c>
      <c r="E807" s="11"/>
      <c r="F807" s="11"/>
      <c r="G807" s="11"/>
      <c r="H807" s="11"/>
      <c r="I807" s="11"/>
      <c r="J807" s="11"/>
      <c r="K807" s="11"/>
      <c r="L807" s="11"/>
      <c r="M807" s="11"/>
      <c r="N807" s="11">
        <v>7</v>
      </c>
      <c r="O807" s="11">
        <v>13</v>
      </c>
      <c r="P807" s="11">
        <v>13</v>
      </c>
      <c r="Q807" s="11">
        <v>13</v>
      </c>
      <c r="R807" s="11">
        <v>13</v>
      </c>
      <c r="S807" s="11">
        <v>13</v>
      </c>
      <c r="T807" s="11">
        <v>13</v>
      </c>
      <c r="U807" s="11">
        <v>13</v>
      </c>
      <c r="V807" s="11">
        <v>13</v>
      </c>
    </row>
    <row r="808" spans="1:23">
      <c r="A808" s="4" t="s">
        <v>1021</v>
      </c>
      <c r="E808" s="11"/>
      <c r="F808" s="11"/>
      <c r="G808" s="11"/>
      <c r="H808" s="11"/>
      <c r="I808" s="11"/>
      <c r="J808" s="11"/>
      <c r="K808" s="11"/>
      <c r="L808" s="11"/>
      <c r="M808" s="11"/>
      <c r="N808" s="11">
        <v>0.5</v>
      </c>
      <c r="O808" s="11">
        <v>2</v>
      </c>
      <c r="P808" s="11">
        <v>2</v>
      </c>
      <c r="Q808" s="11">
        <v>2</v>
      </c>
      <c r="R808" s="11">
        <v>2</v>
      </c>
      <c r="S808" s="11">
        <v>2</v>
      </c>
      <c r="T808" s="11">
        <v>2</v>
      </c>
      <c r="U808" s="11">
        <v>2</v>
      </c>
      <c r="V808" s="11">
        <v>2</v>
      </c>
    </row>
    <row r="809" spans="1:23">
      <c r="A809" s="4" t="s">
        <v>1022</v>
      </c>
      <c r="E809" s="11"/>
      <c r="F809" s="11"/>
      <c r="G809" s="11"/>
      <c r="H809" s="11"/>
      <c r="I809" s="11"/>
      <c r="J809" s="11"/>
      <c r="K809" s="11"/>
      <c r="L809" s="11"/>
      <c r="M809" s="11"/>
      <c r="N809" s="11">
        <v>-15</v>
      </c>
      <c r="O809" s="11"/>
      <c r="P809" s="11"/>
      <c r="Q809" s="11"/>
      <c r="R809" s="11"/>
      <c r="S809" s="11"/>
      <c r="T809" s="11"/>
      <c r="U809" s="11"/>
      <c r="V809" s="11"/>
    </row>
    <row r="810" spans="1:23">
      <c r="A810" s="4" t="s">
        <v>279</v>
      </c>
      <c r="E810" s="11"/>
      <c r="F810" s="11"/>
      <c r="G810" s="11"/>
      <c r="H810" s="11"/>
      <c r="I810" s="11"/>
      <c r="J810" s="11"/>
      <c r="K810" s="11"/>
      <c r="L810" s="11"/>
      <c r="M810" s="11"/>
      <c r="N810" s="341">
        <f t="shared" ref="N810:V810" si="341">+N809+N808+N807</f>
        <v>-7.5</v>
      </c>
      <c r="O810" s="341">
        <f t="shared" si="341"/>
        <v>15</v>
      </c>
      <c r="P810" s="341">
        <f t="shared" si="341"/>
        <v>15</v>
      </c>
      <c r="Q810" s="341">
        <f t="shared" si="341"/>
        <v>15</v>
      </c>
      <c r="R810" s="341">
        <f t="shared" si="341"/>
        <v>15</v>
      </c>
      <c r="S810" s="341">
        <f t="shared" si="341"/>
        <v>15</v>
      </c>
      <c r="T810" s="341">
        <f t="shared" si="341"/>
        <v>15</v>
      </c>
      <c r="U810" s="341">
        <f t="shared" si="341"/>
        <v>15</v>
      </c>
      <c r="V810" s="341">
        <f t="shared" si="341"/>
        <v>15</v>
      </c>
      <c r="W810" s="4">
        <f>+V807*8</f>
        <v>104</v>
      </c>
    </row>
    <row r="814" spans="1:23">
      <c r="E814" s="11"/>
      <c r="F814" s="11"/>
      <c r="G814" s="11"/>
      <c r="H814" s="11"/>
      <c r="I814" s="11"/>
      <c r="J814" s="11"/>
      <c r="K814" s="11"/>
      <c r="L814" s="11"/>
      <c r="M814" s="11"/>
      <c r="N814" s="11"/>
      <c r="O814" s="11"/>
      <c r="P814" s="11"/>
      <c r="Q814" s="11"/>
      <c r="R814" s="11"/>
      <c r="S814" s="11"/>
      <c r="T814" s="11"/>
      <c r="U814" s="11"/>
      <c r="V814" s="11"/>
    </row>
    <row r="815" spans="1:23">
      <c r="E815" s="11"/>
      <c r="F815" s="11"/>
      <c r="G815" s="11"/>
      <c r="H815" s="11"/>
      <c r="I815" s="11"/>
      <c r="J815" s="11"/>
      <c r="K815" s="11"/>
      <c r="L815" s="11"/>
      <c r="M815" s="11"/>
      <c r="N815" s="11"/>
      <c r="O815" s="11"/>
      <c r="P815" s="11"/>
      <c r="Q815" s="11"/>
      <c r="R815" s="11"/>
      <c r="S815" s="11"/>
      <c r="T815" s="11"/>
      <c r="U815" s="11"/>
      <c r="V815" s="11"/>
    </row>
    <row r="816" spans="1:23">
      <c r="E816" s="11"/>
      <c r="F816" s="11"/>
      <c r="G816" s="11"/>
      <c r="H816" s="11"/>
      <c r="I816" s="11"/>
      <c r="J816" s="11"/>
      <c r="K816" s="11"/>
      <c r="L816" s="11"/>
      <c r="M816" s="11"/>
      <c r="N816" s="11"/>
      <c r="O816" s="11"/>
      <c r="P816" s="11"/>
      <c r="Q816" s="11"/>
      <c r="R816" s="11"/>
      <c r="S816" s="11"/>
      <c r="T816" s="11"/>
      <c r="U816" s="11"/>
      <c r="V816" s="11"/>
    </row>
    <row r="817" spans="1:22">
      <c r="A817" s="4" t="s">
        <v>721</v>
      </c>
      <c r="F817" s="4">
        <v>800</v>
      </c>
    </row>
    <row r="818" spans="1:22">
      <c r="A818" s="4" t="s">
        <v>1023</v>
      </c>
      <c r="F818" s="4">
        <v>80</v>
      </c>
      <c r="N818" s="158">
        <f>+F818*N23/F23</f>
        <v>173.55371900826447</v>
      </c>
      <c r="O818" s="158">
        <f t="shared" ref="O818:V818" si="342">+N818*O23/N23</f>
        <v>193.38842975206612</v>
      </c>
      <c r="P818" s="158">
        <f t="shared" si="342"/>
        <v>213.22314049586777</v>
      </c>
      <c r="Q818" s="158">
        <f t="shared" si="342"/>
        <v>233.05785123966942</v>
      </c>
      <c r="R818" s="158">
        <f t="shared" si="342"/>
        <v>252.89256198347107</v>
      </c>
      <c r="S818" s="158">
        <f t="shared" si="342"/>
        <v>272.72727272727269</v>
      </c>
      <c r="T818" s="158">
        <f t="shared" si="342"/>
        <v>292.56198347107431</v>
      </c>
      <c r="U818" s="158">
        <f t="shared" si="342"/>
        <v>312.39669421487594</v>
      </c>
      <c r="V818" s="158">
        <f t="shared" si="342"/>
        <v>332.23140495867756</v>
      </c>
    </row>
    <row r="820" spans="1:22">
      <c r="A820" s="4" t="s">
        <v>1026</v>
      </c>
    </row>
    <row r="821" spans="1:22">
      <c r="A821" s="4" t="s">
        <v>362</v>
      </c>
      <c r="E821" s="11"/>
      <c r="F821" s="11">
        <f>NPV(0.068,(N810:W810))</f>
        <v>131.36475026947943</v>
      </c>
      <c r="G821" s="11"/>
      <c r="H821" s="11"/>
      <c r="I821" s="11"/>
      <c r="J821" s="11"/>
      <c r="K821" s="11"/>
      <c r="L821" s="11"/>
      <c r="M821" s="11"/>
      <c r="O821" s="5"/>
      <c r="P821" s="11"/>
      <c r="Q821" s="11"/>
      <c r="R821" s="11"/>
      <c r="S821" s="11"/>
      <c r="T821" s="11"/>
      <c r="U821" s="11"/>
      <c r="V821" s="11"/>
    </row>
    <row r="822" spans="1:22">
      <c r="A822" s="4" t="s">
        <v>1024</v>
      </c>
      <c r="E822" s="11"/>
      <c r="F822" s="11">
        <f>+F821*(1-0.3)</f>
        <v>91.955325188635598</v>
      </c>
      <c r="G822" s="11"/>
      <c r="H822" s="11"/>
      <c r="I822" s="11"/>
      <c r="J822" s="11"/>
      <c r="K822" s="11"/>
      <c r="L822" s="11"/>
      <c r="M822" s="11"/>
      <c r="O822" s="11"/>
      <c r="P822" s="11"/>
      <c r="Q822" s="11"/>
      <c r="R822" s="11"/>
      <c r="S822" s="11"/>
      <c r="T822" s="11"/>
      <c r="U822" s="11"/>
      <c r="V822" s="11"/>
    </row>
    <row r="823" spans="1:22">
      <c r="A823" s="4" t="s">
        <v>1025</v>
      </c>
      <c r="E823" s="11"/>
      <c r="F823" s="5">
        <f>+F822/Valuation!E34</f>
        <v>0.72079424016175264</v>
      </c>
      <c r="G823" s="5"/>
      <c r="H823" s="5"/>
      <c r="I823" s="5"/>
      <c r="J823" s="5"/>
      <c r="K823" s="5"/>
      <c r="L823" s="5"/>
      <c r="M823" s="5"/>
      <c r="O823" s="11"/>
      <c r="P823" s="11"/>
      <c r="Q823" s="11"/>
      <c r="R823" s="11"/>
      <c r="S823" s="11"/>
      <c r="T823" s="11"/>
      <c r="U823" s="11"/>
      <c r="V823" s="11"/>
    </row>
    <row r="824" spans="1:22">
      <c r="F824" s="11"/>
      <c r="G824" s="11"/>
      <c r="H824" s="11"/>
      <c r="I824" s="11"/>
      <c r="J824" s="11"/>
      <c r="K824" s="11"/>
      <c r="L824" s="11"/>
      <c r="M824" s="11"/>
    </row>
    <row r="825" spans="1:22">
      <c r="A825" s="4" t="s">
        <v>1027</v>
      </c>
      <c r="F825" s="11"/>
      <c r="G825" s="11"/>
      <c r="H825" s="11"/>
      <c r="I825" s="11"/>
      <c r="J825" s="11"/>
      <c r="K825" s="11"/>
      <c r="L825" s="11"/>
      <c r="M825" s="11"/>
    </row>
    <row r="826" spans="1:22">
      <c r="A826" s="4" t="s">
        <v>1028</v>
      </c>
      <c r="F826" s="5">
        <v>9.5</v>
      </c>
      <c r="G826" s="5"/>
      <c r="H826" s="5"/>
      <c r="I826" s="5"/>
      <c r="J826" s="5"/>
      <c r="K826" s="5"/>
      <c r="L826" s="5"/>
      <c r="M826" s="5"/>
    </row>
    <row r="827" spans="1:22">
      <c r="A827" s="4" t="s">
        <v>1029</v>
      </c>
      <c r="F827" s="5">
        <v>9.5</v>
      </c>
      <c r="G827" s="5"/>
      <c r="H827" s="5"/>
      <c r="I827" s="5"/>
      <c r="J827" s="5"/>
      <c r="K827" s="5"/>
      <c r="L827" s="5"/>
      <c r="M827" s="5"/>
    </row>
    <row r="828" spans="1:22">
      <c r="F828" s="5">
        <f>+F826-F827</f>
        <v>0</v>
      </c>
      <c r="G828" s="5"/>
      <c r="H828" s="5"/>
      <c r="I828" s="5"/>
      <c r="J828" s="5"/>
      <c r="K828" s="5"/>
      <c r="L828" s="5"/>
      <c r="M828" s="5"/>
    </row>
    <row r="829" spans="1:22">
      <c r="A829" s="4" t="s">
        <v>1030</v>
      </c>
      <c r="F829" s="11">
        <f>+F828*F804</f>
        <v>0</v>
      </c>
      <c r="G829" s="11"/>
      <c r="H829" s="11"/>
      <c r="I829" s="11"/>
      <c r="J829" s="11"/>
      <c r="K829" s="11"/>
      <c r="L829" s="11"/>
      <c r="M829" s="11"/>
    </row>
    <row r="830" spans="1:22">
      <c r="A830" s="4" t="s">
        <v>1025</v>
      </c>
      <c r="F830" s="5">
        <f ca="1">+F829/Valuation!E65</f>
        <v>0</v>
      </c>
      <c r="G830" s="5"/>
      <c r="H830" s="5"/>
      <c r="I830" s="5"/>
      <c r="J830" s="5"/>
      <c r="K830" s="5"/>
      <c r="L830" s="5"/>
      <c r="M830" s="5"/>
    </row>
    <row r="831" spans="1:22">
      <c r="A831" s="4" t="s">
        <v>1031</v>
      </c>
      <c r="F831" s="5">
        <f ca="1">+F823-F830</f>
        <v>0.72079424016175264</v>
      </c>
      <c r="G831" s="5"/>
      <c r="H831" s="5"/>
      <c r="I831" s="5"/>
      <c r="J831" s="5"/>
      <c r="K831" s="5"/>
      <c r="L831" s="5"/>
      <c r="M831" s="5"/>
    </row>
  </sheetData>
  <pageMargins left="0.7" right="0.7" top="0.75" bottom="0.75" header="0.3" footer="0.3"/>
  <pageSetup paperSize="9" scale="73" fitToWidth="0" orientation="landscape"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3:U493"/>
  <sheetViews>
    <sheetView workbookViewId="0"/>
  </sheetViews>
  <sheetFormatPr defaultRowHeight="12.75"/>
  <cols>
    <col min="1" max="1" width="71.46484375" customWidth="1"/>
    <col min="3" max="3" width="10.33203125" bestFit="1" customWidth="1"/>
    <col min="15" max="15" width="8.6640625" customWidth="1"/>
  </cols>
  <sheetData>
    <row r="3" spans="1:15" ht="13.9">
      <c r="A3" s="4"/>
      <c r="B3" s="4" t="s">
        <v>78</v>
      </c>
      <c r="C3" s="4" t="s">
        <v>713</v>
      </c>
      <c r="D3" s="4" t="s">
        <v>6</v>
      </c>
      <c r="E3" s="4" t="s">
        <v>714</v>
      </c>
      <c r="F3" s="4"/>
      <c r="G3" s="4" t="s">
        <v>715</v>
      </c>
      <c r="H3" s="4" t="s">
        <v>716</v>
      </c>
      <c r="I3" s="4"/>
      <c r="J3" s="4" t="s">
        <v>717</v>
      </c>
      <c r="K3" s="4" t="s">
        <v>718</v>
      </c>
      <c r="M3" s="4" t="s">
        <v>379</v>
      </c>
      <c r="N3" s="4" t="s">
        <v>368</v>
      </c>
      <c r="O3" s="4"/>
    </row>
    <row r="4" spans="1:15" ht="13.9">
      <c r="A4" s="7" t="s">
        <v>0</v>
      </c>
      <c r="B4" s="4"/>
      <c r="C4" s="4"/>
      <c r="D4" s="4"/>
      <c r="E4" s="4"/>
      <c r="F4" s="4"/>
      <c r="G4" s="4"/>
      <c r="H4" s="4"/>
      <c r="I4" s="4"/>
      <c r="J4" s="4"/>
      <c r="K4" s="4"/>
      <c r="M4" s="4"/>
      <c r="N4" s="4"/>
      <c r="O4" s="4"/>
    </row>
    <row r="5" spans="1:15" ht="13.9">
      <c r="A5" s="4" t="s">
        <v>93</v>
      </c>
      <c r="B5" s="5">
        <v>72.8</v>
      </c>
      <c r="C5" s="5">
        <f t="shared" ref="C5:C44" si="0">+M5-B5</f>
        <v>72.2</v>
      </c>
      <c r="D5" s="5">
        <v>71</v>
      </c>
      <c r="E5" s="5">
        <f t="shared" ref="E5:E11" si="1">+N5-D5</f>
        <v>71.5</v>
      </c>
      <c r="F5" s="5"/>
      <c r="G5" s="5">
        <v>108.518</v>
      </c>
      <c r="H5" s="5">
        <v>106.922</v>
      </c>
      <c r="I5" s="5"/>
      <c r="J5" s="5">
        <f>+H5-D5</f>
        <v>35.921999999999997</v>
      </c>
      <c r="K5" s="5">
        <f>+N5-H5</f>
        <v>35.578000000000003</v>
      </c>
      <c r="M5" s="5">
        <f>+'Model also  old'!D90</f>
        <v>145</v>
      </c>
      <c r="N5" s="5">
        <f>+'Model also  old'!E90</f>
        <v>142.5</v>
      </c>
      <c r="O5" s="4"/>
    </row>
    <row r="6" spans="1:15" ht="13.9">
      <c r="A6" s="4" t="s">
        <v>91</v>
      </c>
      <c r="B6" s="5">
        <v>19.600000000000001</v>
      </c>
      <c r="C6" s="5">
        <f t="shared" si="0"/>
        <v>22</v>
      </c>
      <c r="D6" s="5">
        <v>24.5</v>
      </c>
      <c r="E6" s="5">
        <f t="shared" si="1"/>
        <v>25.9</v>
      </c>
      <c r="F6" s="5"/>
      <c r="G6" s="5">
        <v>30.295786809999978</v>
      </c>
      <c r="H6" s="5">
        <v>37.371897409999995</v>
      </c>
      <c r="I6" s="5"/>
      <c r="J6" s="5">
        <f>+H6-D6</f>
        <v>12.871897409999995</v>
      </c>
      <c r="K6" s="5">
        <f t="shared" ref="K6:K11" si="2">+N6-H6</f>
        <v>13.028102590000003</v>
      </c>
      <c r="M6" s="5">
        <f>+'Model also  old'!D91</f>
        <v>41.6</v>
      </c>
      <c r="N6" s="5">
        <f>+'Model also  old'!E91</f>
        <v>50.4</v>
      </c>
      <c r="O6" s="4"/>
    </row>
    <row r="7" spans="1:15" ht="13.9">
      <c r="A7" s="4" t="s">
        <v>80</v>
      </c>
      <c r="B7" s="5">
        <v>10</v>
      </c>
      <c r="C7" s="5">
        <f t="shared" si="0"/>
        <v>9.6999999999999993</v>
      </c>
      <c r="D7" s="5">
        <v>9.8000000000000007</v>
      </c>
      <c r="E7" s="5">
        <f t="shared" si="1"/>
        <v>10.3</v>
      </c>
      <c r="F7" s="5"/>
      <c r="G7" s="5">
        <v>14.69</v>
      </c>
      <c r="H7" s="5">
        <v>15.028</v>
      </c>
      <c r="I7" s="5"/>
      <c r="J7" s="5">
        <f t="shared" ref="J7:J43" si="3">+H7-D7</f>
        <v>5.2279999999999998</v>
      </c>
      <c r="K7" s="5">
        <f t="shared" si="2"/>
        <v>5.072000000000001</v>
      </c>
      <c r="M7" s="5">
        <f>+'Model also  old'!D92</f>
        <v>19.7</v>
      </c>
      <c r="N7" s="5">
        <f>+'Model also  old'!E92</f>
        <v>20.100000000000001</v>
      </c>
      <c r="O7" s="4"/>
    </row>
    <row r="8" spans="1:15" ht="13.9">
      <c r="A8" s="7" t="s">
        <v>7</v>
      </c>
      <c r="B8" s="9">
        <v>102.4</v>
      </c>
      <c r="C8" s="5">
        <f t="shared" si="0"/>
        <v>103.79999999999998</v>
      </c>
      <c r="D8" s="9">
        <v>105.4</v>
      </c>
      <c r="E8" s="9">
        <f t="shared" si="1"/>
        <v>107.6</v>
      </c>
      <c r="F8" s="5"/>
      <c r="G8" s="9">
        <v>153.50378680999998</v>
      </c>
      <c r="H8" s="9">
        <v>159.32189740999999</v>
      </c>
      <c r="I8" s="5"/>
      <c r="J8" s="5">
        <f t="shared" si="3"/>
        <v>53.921897409999985</v>
      </c>
      <c r="K8" s="5">
        <f t="shared" si="2"/>
        <v>53.678102590000009</v>
      </c>
      <c r="M8" s="5">
        <f>+'Model also  old'!D94</f>
        <v>206.2</v>
      </c>
      <c r="N8" s="5">
        <f>+'Model also  old'!E94</f>
        <v>213</v>
      </c>
      <c r="O8" s="231"/>
    </row>
    <row r="9" spans="1:15" ht="13.9">
      <c r="A9" s="4" t="s">
        <v>122</v>
      </c>
      <c r="B9" s="5">
        <v>2</v>
      </c>
      <c r="C9" s="5" t="e">
        <f t="shared" si="0"/>
        <v>#REF!</v>
      </c>
      <c r="D9" s="5">
        <v>2.9</v>
      </c>
      <c r="E9" s="5" t="e">
        <f t="shared" si="1"/>
        <v>#REF!</v>
      </c>
      <c r="F9" s="5"/>
      <c r="G9" s="5">
        <v>3.4887209599999993</v>
      </c>
      <c r="H9" s="5">
        <v>4.6742467599999999</v>
      </c>
      <c r="I9" s="5"/>
      <c r="J9" s="5">
        <f t="shared" si="3"/>
        <v>1.77424676</v>
      </c>
      <c r="K9" s="5" t="e">
        <f t="shared" si="2"/>
        <v>#REF!</v>
      </c>
      <c r="M9" s="5" t="e">
        <f>+'Model also  old'!#REF!</f>
        <v>#REF!</v>
      </c>
      <c r="N9" s="5" t="e">
        <f>+'Model also  old'!#REF!</f>
        <v>#REF!</v>
      </c>
      <c r="O9" s="4"/>
    </row>
    <row r="10" spans="1:15" ht="13.9">
      <c r="A10" s="4" t="s">
        <v>79</v>
      </c>
      <c r="B10" s="5">
        <v>4.3</v>
      </c>
      <c r="C10" s="5" t="e">
        <f t="shared" si="0"/>
        <v>#REF!</v>
      </c>
      <c r="D10" s="5">
        <v>4.8</v>
      </c>
      <c r="E10" s="5" t="e">
        <f t="shared" si="1"/>
        <v>#REF!</v>
      </c>
      <c r="F10" s="5"/>
      <c r="G10" s="5">
        <v>6.2138058000000065</v>
      </c>
      <c r="H10" s="5">
        <v>6.2283287899999991</v>
      </c>
      <c r="I10" s="5"/>
      <c r="J10" s="5">
        <f t="shared" si="3"/>
        <v>1.4283287899999992</v>
      </c>
      <c r="K10" s="5" t="e">
        <f t="shared" si="2"/>
        <v>#REF!</v>
      </c>
      <c r="M10" s="5" t="e">
        <f>+'Model also  old'!#REF!</f>
        <v>#REF!</v>
      </c>
      <c r="N10" s="5" t="e">
        <f>+'Model also  old'!#REF!</f>
        <v>#REF!</v>
      </c>
      <c r="O10" s="4"/>
    </row>
    <row r="11" spans="1:15" ht="13.9">
      <c r="A11" s="7" t="s">
        <v>123</v>
      </c>
      <c r="B11" s="9">
        <v>109.5</v>
      </c>
      <c r="C11" s="5">
        <f t="shared" si="0"/>
        <v>114</v>
      </c>
      <c r="D11" s="9">
        <v>114.7</v>
      </c>
      <c r="E11" s="9">
        <f t="shared" si="1"/>
        <v>115.13297769156158</v>
      </c>
      <c r="F11" s="5"/>
      <c r="G11" s="9">
        <v>163.20631356999999</v>
      </c>
      <c r="H11" s="9">
        <v>170.22447295999999</v>
      </c>
      <c r="I11" s="5"/>
      <c r="J11" s="5">
        <f t="shared" si="3"/>
        <v>55.524472959999983</v>
      </c>
      <c r="K11" s="5">
        <f t="shared" si="2"/>
        <v>59.608504731561595</v>
      </c>
      <c r="M11" s="5">
        <f>+'Model also  old'!D98</f>
        <v>223.5</v>
      </c>
      <c r="N11" s="5">
        <f>+'Model also  old'!E98</f>
        <v>229.83297769156158</v>
      </c>
      <c r="O11" s="4"/>
    </row>
    <row r="12" spans="1:15" ht="13.9">
      <c r="A12" s="4"/>
      <c r="B12" s="4"/>
      <c r="C12" s="5"/>
      <c r="D12" s="4"/>
      <c r="E12" s="4"/>
      <c r="F12" s="5"/>
      <c r="G12" s="4"/>
      <c r="H12" s="4"/>
      <c r="I12" s="5"/>
      <c r="J12" s="5"/>
      <c r="K12" s="5"/>
      <c r="M12" s="5"/>
      <c r="N12" s="5"/>
      <c r="O12" s="4"/>
    </row>
    <row r="13" spans="1:15" ht="13.9">
      <c r="A13" s="4" t="s">
        <v>81</v>
      </c>
      <c r="B13" s="5">
        <v>-15.7</v>
      </c>
      <c r="C13" s="5">
        <f t="shared" si="0"/>
        <v>-15.3</v>
      </c>
      <c r="D13" s="5">
        <v>-16.2</v>
      </c>
      <c r="E13" s="5">
        <f>+N13-D13</f>
        <v>-16.3</v>
      </c>
      <c r="F13" s="5"/>
      <c r="G13" s="5">
        <v>-23.257999999999999</v>
      </c>
      <c r="H13" s="5">
        <v>-24.440999999999999</v>
      </c>
      <c r="I13" s="5"/>
      <c r="J13" s="5">
        <f t="shared" si="3"/>
        <v>-8.2409999999999997</v>
      </c>
      <c r="K13" s="5">
        <f>+N13-H13</f>
        <v>-8.0590000000000011</v>
      </c>
      <c r="M13" s="5">
        <f>+'Model also  old'!D100</f>
        <v>-31</v>
      </c>
      <c r="N13" s="5">
        <f>+'Model also  old'!E100</f>
        <v>-32.5</v>
      </c>
      <c r="O13" s="36"/>
    </row>
    <row r="14" spans="1:15" ht="13.9">
      <c r="A14" s="4" t="s">
        <v>82</v>
      </c>
      <c r="B14" s="5">
        <v>-22.6</v>
      </c>
      <c r="C14" s="5">
        <f t="shared" si="0"/>
        <v>-28.4</v>
      </c>
      <c r="D14" s="5">
        <v>-20</v>
      </c>
      <c r="E14" s="5">
        <f>+N14-D14</f>
        <v>-18.600000000000001</v>
      </c>
      <c r="F14" s="5"/>
      <c r="G14" s="5">
        <v>-33.472000000000001</v>
      </c>
      <c r="H14" s="5">
        <v>-28.888000000000002</v>
      </c>
      <c r="I14" s="5"/>
      <c r="J14" s="5">
        <f t="shared" si="3"/>
        <v>-8.8880000000000017</v>
      </c>
      <c r="K14" s="5">
        <f>+N14-H14</f>
        <v>-9.7119999999999997</v>
      </c>
      <c r="M14" s="5">
        <f>+'Model also  old'!D101</f>
        <v>-51</v>
      </c>
      <c r="N14" s="5">
        <f>+'Model also  old'!E101</f>
        <v>-38.6</v>
      </c>
      <c r="O14" s="36"/>
    </row>
    <row r="15" spans="1:15" ht="13.9">
      <c r="A15" s="7" t="s">
        <v>181</v>
      </c>
      <c r="B15" s="9">
        <v>70.400000000000006</v>
      </c>
      <c r="C15" s="5">
        <f t="shared" si="0"/>
        <v>71</v>
      </c>
      <c r="D15" s="9">
        <v>76.900000000000006</v>
      </c>
      <c r="E15" s="9">
        <f>+N15-D15</f>
        <v>81.832977691561581</v>
      </c>
      <c r="F15" s="5"/>
      <c r="G15" s="9">
        <v>106.47631356999997</v>
      </c>
      <c r="H15" s="9">
        <v>116.89547295999998</v>
      </c>
      <c r="I15" s="5"/>
      <c r="J15" s="5">
        <f t="shared" si="3"/>
        <v>39.995472959999972</v>
      </c>
      <c r="K15" s="5">
        <f>+N15-H15</f>
        <v>41.837504731561609</v>
      </c>
      <c r="M15" s="5">
        <f>+'Model also  old'!D104</f>
        <v>141.4</v>
      </c>
      <c r="N15" s="5">
        <f>+'Model also  old'!E104</f>
        <v>158.73297769156159</v>
      </c>
      <c r="O15" s="233"/>
    </row>
    <row r="16" spans="1:15" ht="13.9">
      <c r="A16" s="14" t="s">
        <v>26</v>
      </c>
      <c r="B16" s="15">
        <v>0.69</v>
      </c>
      <c r="C16" s="236">
        <f>C15/C8</f>
        <v>0.68400770712909453</v>
      </c>
      <c r="D16" s="15">
        <v>0.73299999999999998</v>
      </c>
      <c r="E16" s="236">
        <f>E15/E8</f>
        <v>0.76052953244945709</v>
      </c>
      <c r="F16" s="15"/>
      <c r="G16" s="15">
        <v>0.69363965399623351</v>
      </c>
      <c r="H16" s="15">
        <v>0.73370625670607237</v>
      </c>
      <c r="I16" s="15"/>
      <c r="J16" s="15">
        <f>+J15/J8</f>
        <v>0.74172970316476083</v>
      </c>
      <c r="K16" s="15">
        <f>+K15/K8</f>
        <v>0.77941474666348864</v>
      </c>
      <c r="M16" s="15">
        <f>+M15/M8</f>
        <v>0.6857419980601358</v>
      </c>
      <c r="N16" s="15">
        <f>+N15/N8</f>
        <v>0.74522524737822338</v>
      </c>
      <c r="O16" s="36"/>
    </row>
    <row r="17" spans="1:15" ht="13.9">
      <c r="A17" s="4"/>
      <c r="B17" s="236"/>
      <c r="D17" s="236"/>
      <c r="F17" s="5"/>
      <c r="G17" s="4"/>
      <c r="H17" s="4"/>
      <c r="I17" s="5"/>
      <c r="J17" s="5"/>
      <c r="K17" s="5"/>
      <c r="M17" s="5"/>
      <c r="N17" s="5"/>
      <c r="O17" s="36"/>
    </row>
    <row r="18" spans="1:15" ht="13.9">
      <c r="A18" s="4" t="s">
        <v>83</v>
      </c>
      <c r="B18" s="5">
        <v>-14.7</v>
      </c>
      <c r="C18" s="5">
        <f t="shared" si="0"/>
        <v>-13.8</v>
      </c>
      <c r="D18" s="5">
        <v>-15.4</v>
      </c>
      <c r="E18" s="5">
        <f>+N18-D18</f>
        <v>-15.200000000000001</v>
      </c>
      <c r="F18" s="5"/>
      <c r="G18" s="5">
        <v>-21.196999999999999</v>
      </c>
      <c r="H18" s="5">
        <v>-23.151</v>
      </c>
      <c r="I18" s="5"/>
      <c r="J18" s="5">
        <f t="shared" si="3"/>
        <v>-7.7509999999999994</v>
      </c>
      <c r="K18" s="5">
        <f>+N18-H18</f>
        <v>-7.4490000000000016</v>
      </c>
      <c r="M18" s="5">
        <f>+'Model also  old'!D107</f>
        <v>-28.5</v>
      </c>
      <c r="N18" s="5">
        <f>+'Model also  old'!E107</f>
        <v>-30.6</v>
      </c>
      <c r="O18" s="36"/>
    </row>
    <row r="19" spans="1:15" ht="13.9">
      <c r="A19" s="4" t="s">
        <v>84</v>
      </c>
      <c r="B19" s="5">
        <v>-3.2</v>
      </c>
      <c r="C19" s="5">
        <f t="shared" si="0"/>
        <v>-3.5999999999999996</v>
      </c>
      <c r="D19" s="5">
        <v>-4.5999999999999996</v>
      </c>
      <c r="E19" s="5">
        <f>+N19-D19</f>
        <v>-4.0999999999999996</v>
      </c>
      <c r="F19" s="5"/>
      <c r="G19" s="5">
        <v>-5.2160000000000002</v>
      </c>
      <c r="H19" s="5">
        <v>-6.2519999999999998</v>
      </c>
      <c r="I19" s="5"/>
      <c r="J19" s="5">
        <f t="shared" si="3"/>
        <v>-1.6520000000000001</v>
      </c>
      <c r="K19" s="5">
        <f>+N19-H19</f>
        <v>-2.4479999999999995</v>
      </c>
      <c r="M19" s="5">
        <f>+'Model also  old'!D108</f>
        <v>-6.8</v>
      </c>
      <c r="N19" s="5">
        <f>+'Model also  old'!E108</f>
        <v>-8.6999999999999993</v>
      </c>
      <c r="O19" s="36"/>
    </row>
    <row r="20" spans="1:15" ht="13.9">
      <c r="A20" s="4" t="s">
        <v>75</v>
      </c>
      <c r="B20" s="5">
        <v>-9.5</v>
      </c>
      <c r="C20" s="5">
        <f t="shared" si="0"/>
        <v>-8.5</v>
      </c>
      <c r="D20" s="5">
        <v>-9.6</v>
      </c>
      <c r="E20" s="5">
        <f>+N20-D20</f>
        <v>-10.799999999999999</v>
      </c>
      <c r="F20" s="5"/>
      <c r="G20" s="5">
        <v>-13.77</v>
      </c>
      <c r="H20" s="5">
        <v>-14.545999999999999</v>
      </c>
      <c r="I20" s="5"/>
      <c r="J20" s="5">
        <f t="shared" si="3"/>
        <v>-4.9459999999999997</v>
      </c>
      <c r="K20" s="5">
        <f>+N20-H20</f>
        <v>-5.8539999999999992</v>
      </c>
      <c r="M20" s="5">
        <f>+'Model also  old'!D109</f>
        <v>-18</v>
      </c>
      <c r="N20" s="5">
        <f>+'Model also  old'!E109</f>
        <v>-20.399999999999999</v>
      </c>
      <c r="O20" s="234"/>
    </row>
    <row r="21" spans="1:15" ht="13.9">
      <c r="A21" s="4"/>
      <c r="B21" s="4"/>
      <c r="C21" s="5">
        <f t="shared" si="0"/>
        <v>0</v>
      </c>
      <c r="D21" s="4"/>
      <c r="E21" s="5">
        <f>+N21-D21</f>
        <v>0</v>
      </c>
      <c r="F21" s="5"/>
      <c r="G21" s="4"/>
      <c r="H21" s="4"/>
      <c r="I21" s="5"/>
      <c r="J21" s="5"/>
      <c r="K21" s="5"/>
      <c r="M21" s="5"/>
      <c r="N21" s="5"/>
      <c r="O21" s="4"/>
    </row>
    <row r="22" spans="1:15" ht="13.9">
      <c r="A22" s="7" t="s">
        <v>28</v>
      </c>
      <c r="B22" s="9">
        <v>42.9</v>
      </c>
      <c r="C22" s="5">
        <f t="shared" si="0"/>
        <v>45.199999999999996</v>
      </c>
      <c r="D22" s="9">
        <v>47.2</v>
      </c>
      <c r="E22" s="9">
        <f>+N22-D22</f>
        <v>51.832977691561595</v>
      </c>
      <c r="F22" s="5"/>
      <c r="G22" s="9">
        <v>66.293313569999981</v>
      </c>
      <c r="H22" s="9">
        <v>72.94647295999998</v>
      </c>
      <c r="I22" s="5"/>
      <c r="J22" s="5">
        <f t="shared" si="3"/>
        <v>25.746472959999977</v>
      </c>
      <c r="K22" s="5">
        <f>+N22-H22</f>
        <v>26.086504731561618</v>
      </c>
      <c r="M22" s="5">
        <f>+'Model also  old'!D112</f>
        <v>88.1</v>
      </c>
      <c r="N22" s="5">
        <f>+'Model also  old'!E112</f>
        <v>99.032977691561598</v>
      </c>
      <c r="O22" s="232"/>
    </row>
    <row r="23" spans="1:15" ht="13.9">
      <c r="A23" s="14" t="s">
        <v>26</v>
      </c>
      <c r="B23" s="15">
        <v>0.42399999999999999</v>
      </c>
      <c r="C23" s="15">
        <f>C22/C8</f>
        <v>0.43545279383429675</v>
      </c>
      <c r="D23" s="15">
        <v>0.45600000000000002</v>
      </c>
      <c r="E23" s="15">
        <f>E22/E8</f>
        <v>0.48171912352752416</v>
      </c>
      <c r="F23" s="15"/>
      <c r="G23" s="15">
        <v>0.43186761022420139</v>
      </c>
      <c r="H23" s="15">
        <v>0.4578559140070938</v>
      </c>
      <c r="I23" s="15"/>
      <c r="J23" s="15">
        <f>+J22/J8</f>
        <v>0.47747713260596819</v>
      </c>
      <c r="K23" s="15">
        <f>+K22/K8</f>
        <v>0.48598038069291627</v>
      </c>
      <c r="M23" s="15">
        <f>+M22/M8</f>
        <v>0.42725509214354995</v>
      </c>
      <c r="N23" s="15">
        <f>+N22/N8</f>
        <v>0.4649435572373784</v>
      </c>
      <c r="O23" s="6"/>
    </row>
    <row r="24" spans="1:15" ht="13.9">
      <c r="A24" s="4"/>
      <c r="B24" s="15"/>
      <c r="D24" s="15"/>
      <c r="F24" s="5"/>
      <c r="G24" s="4"/>
      <c r="H24" s="4"/>
      <c r="I24" s="5"/>
      <c r="J24" s="5"/>
      <c r="K24" s="5"/>
      <c r="M24" s="5"/>
      <c r="N24" s="5"/>
      <c r="O24" s="4"/>
    </row>
    <row r="25" spans="1:15" ht="13.9">
      <c r="A25" s="4" t="s">
        <v>85</v>
      </c>
      <c r="B25" s="5">
        <v>-1.5</v>
      </c>
      <c r="C25" s="5">
        <f t="shared" si="0"/>
        <v>4.5999999999999996</v>
      </c>
      <c r="D25" s="5">
        <v>-3.3</v>
      </c>
      <c r="E25" s="5">
        <f>+N25-D25</f>
        <v>-11.5</v>
      </c>
      <c r="F25" s="5"/>
      <c r="G25" s="5">
        <v>-3.5720000000000001</v>
      </c>
      <c r="H25" s="5">
        <v>-8.0259999999999998</v>
      </c>
      <c r="I25" s="5"/>
      <c r="J25" s="5">
        <f t="shared" si="3"/>
        <v>-4.726</v>
      </c>
      <c r="K25" s="5">
        <f>+N25-H25</f>
        <v>-6.7740000000000009</v>
      </c>
      <c r="M25" s="5">
        <f>+'Model also  old'!D117</f>
        <v>3.1</v>
      </c>
      <c r="N25" s="5">
        <f>+'Model also  old'!E117</f>
        <v>-14.8</v>
      </c>
      <c r="O25" s="4"/>
    </row>
    <row r="26" spans="1:15" ht="13.9">
      <c r="A26" s="7" t="s">
        <v>27</v>
      </c>
      <c r="B26" s="9">
        <v>41.4</v>
      </c>
      <c r="C26" s="5">
        <f t="shared" si="0"/>
        <v>49.800000000000004</v>
      </c>
      <c r="D26" s="9">
        <v>43.9</v>
      </c>
      <c r="E26" s="9">
        <f>+N26-D26</f>
        <v>40.332977691561602</v>
      </c>
      <c r="F26" s="5"/>
      <c r="G26" s="9">
        <v>62.721313569999978</v>
      </c>
      <c r="H26" s="9">
        <v>64.920472959999984</v>
      </c>
      <c r="I26" s="5"/>
      <c r="J26" s="5">
        <f t="shared" si="3"/>
        <v>21.020472959999985</v>
      </c>
      <c r="K26" s="5">
        <f t="shared" ref="K26:K44" si="4">+N26-H26</f>
        <v>19.312504731561617</v>
      </c>
      <c r="M26" s="5">
        <f>+'Model also  old'!D118</f>
        <v>91.2</v>
      </c>
      <c r="N26" s="5">
        <f>+'Model also  old'!E118</f>
        <v>84.232977691561601</v>
      </c>
      <c r="O26" s="4"/>
    </row>
    <row r="27" spans="1:15" ht="13.9">
      <c r="A27" s="14" t="s">
        <v>26</v>
      </c>
      <c r="B27" s="15">
        <v>0.40899999999999997</v>
      </c>
      <c r="C27" s="15">
        <f>C26/C8</f>
        <v>0.47976878612716772</v>
      </c>
      <c r="D27" s="15">
        <v>0.42499999999999999</v>
      </c>
      <c r="E27" s="15">
        <f>E26/E8</f>
        <v>0.37484180010744983</v>
      </c>
      <c r="F27" s="15"/>
      <c r="G27" s="15">
        <v>0.40859782597828398</v>
      </c>
      <c r="H27" s="15">
        <v>0.40747991340407669</v>
      </c>
      <c r="I27" s="15"/>
      <c r="J27" s="5">
        <f t="shared" si="3"/>
        <v>-1.7520086595923301E-2</v>
      </c>
      <c r="K27" s="5">
        <f t="shared" si="4"/>
        <v>-1.2019924241815638E-2</v>
      </c>
      <c r="M27" s="5">
        <f>+'Model also  old'!D119</f>
        <v>0.442</v>
      </c>
      <c r="N27" s="5">
        <f>+'Model also  old'!E119</f>
        <v>0.39545998916226105</v>
      </c>
      <c r="O27" s="6"/>
    </row>
    <row r="28" spans="1:15" ht="13.9">
      <c r="A28" s="4"/>
      <c r="B28" s="15"/>
      <c r="D28" s="15"/>
      <c r="F28" s="5"/>
      <c r="G28" s="4"/>
      <c r="H28" s="4"/>
      <c r="I28" s="5"/>
      <c r="J28" s="5">
        <f t="shared" si="3"/>
        <v>0</v>
      </c>
      <c r="K28" s="5">
        <f t="shared" si="4"/>
        <v>0</v>
      </c>
      <c r="M28" s="5">
        <f>+'Model also  old'!D123</f>
        <v>0</v>
      </c>
      <c r="N28" s="5">
        <f>+'Model also  old'!E123</f>
        <v>0</v>
      </c>
      <c r="O28" s="4"/>
    </row>
    <row r="29" spans="1:15" ht="13.9">
      <c r="A29" s="4" t="s">
        <v>29</v>
      </c>
      <c r="B29" s="5">
        <v>-31.8</v>
      </c>
      <c r="C29" s="5">
        <f t="shared" si="0"/>
        <v>-30.999999999999996</v>
      </c>
      <c r="D29" s="5">
        <v>-26.5</v>
      </c>
      <c r="E29" s="5">
        <f>+N29-D29</f>
        <v>-24.299999999999997</v>
      </c>
      <c r="F29" s="5"/>
      <c r="G29" s="5">
        <v>-46.668999999999997</v>
      </c>
      <c r="H29" s="5">
        <v>-40.177</v>
      </c>
      <c r="I29" s="5"/>
      <c r="J29" s="5">
        <f t="shared" si="3"/>
        <v>-13.677</v>
      </c>
      <c r="K29" s="5">
        <f t="shared" si="4"/>
        <v>-10.622999999999998</v>
      </c>
      <c r="M29" s="5">
        <f>+'Model also  old'!D124</f>
        <v>-62.8</v>
      </c>
      <c r="N29" s="5">
        <f>+'Model also  old'!E124</f>
        <v>-50.8</v>
      </c>
      <c r="O29" s="4"/>
    </row>
    <row r="30" spans="1:15" ht="13.9">
      <c r="A30" s="7" t="s">
        <v>182</v>
      </c>
      <c r="B30" s="9">
        <v>9.6999999999999993</v>
      </c>
      <c r="C30" s="5">
        <f t="shared" si="0"/>
        <v>18.600000000000001</v>
      </c>
      <c r="D30" s="9">
        <v>17.3</v>
      </c>
      <c r="E30" s="9">
        <f>+N30-D30</f>
        <v>16.132977691561603</v>
      </c>
      <c r="F30" s="5"/>
      <c r="G30" s="9">
        <v>16.052313569999981</v>
      </c>
      <c r="H30" s="9">
        <v>24.743472959999984</v>
      </c>
      <c r="I30" s="5"/>
      <c r="J30" s="5">
        <f t="shared" si="3"/>
        <v>7.4434729599999834</v>
      </c>
      <c r="K30" s="5">
        <f t="shared" si="4"/>
        <v>8.6895047315616196</v>
      </c>
      <c r="M30" s="5">
        <f>+'Model also  old'!D125</f>
        <v>28.3</v>
      </c>
      <c r="N30" s="5">
        <f>+'Model also  old'!E125</f>
        <v>33.432977691561604</v>
      </c>
      <c r="O30" s="4"/>
    </row>
    <row r="31" spans="1:15" ht="13.9">
      <c r="A31" s="14" t="s">
        <v>26</v>
      </c>
      <c r="B31" s="15">
        <v>0.10199999999999999</v>
      </c>
      <c r="C31" s="15">
        <f>C30/C8</f>
        <v>0.17919075144508675</v>
      </c>
      <c r="D31" s="15">
        <v>0.17699999999999999</v>
      </c>
      <c r="E31" s="15">
        <f>E30/E8</f>
        <v>0.14993473691042383</v>
      </c>
      <c r="F31" s="15"/>
      <c r="G31" s="15">
        <v>0.10457275291761242</v>
      </c>
      <c r="H31" s="15">
        <v>0.15530491013626943</v>
      </c>
      <c r="I31" s="15"/>
      <c r="J31" s="5">
        <f t="shared" si="3"/>
        <v>-2.169508986373056E-2</v>
      </c>
      <c r="K31" s="5">
        <f t="shared" si="4"/>
        <v>1.6574264438319886E-3</v>
      </c>
      <c r="M31" s="5">
        <f>+'Model also  old'!D126</f>
        <v>0.13700000000000001</v>
      </c>
      <c r="N31" s="5">
        <f>+'Model also  old'!E126</f>
        <v>0.15696233658010142</v>
      </c>
      <c r="O31" s="6"/>
    </row>
    <row r="32" spans="1:15" ht="13.9">
      <c r="A32" s="4"/>
      <c r="B32" s="15"/>
      <c r="D32" s="15"/>
      <c r="F32" s="5"/>
      <c r="G32" s="4"/>
      <c r="H32" s="4"/>
      <c r="I32" s="5"/>
      <c r="J32" s="5">
        <f t="shared" si="3"/>
        <v>0</v>
      </c>
      <c r="K32" s="5">
        <f t="shared" si="4"/>
        <v>0</v>
      </c>
      <c r="M32" s="5">
        <f>+'Model also  old'!D127</f>
        <v>0</v>
      </c>
      <c r="N32" s="5">
        <f>+'Model also  old'!E127</f>
        <v>0</v>
      </c>
      <c r="O32" s="4"/>
    </row>
    <row r="33" spans="1:15" ht="13.9">
      <c r="A33" s="4" t="s">
        <v>151</v>
      </c>
      <c r="B33" s="5">
        <v>0</v>
      </c>
      <c r="C33" s="5">
        <f t="shared" si="0"/>
        <v>0</v>
      </c>
      <c r="D33" s="5">
        <v>0</v>
      </c>
      <c r="E33" s="5">
        <f>+N33-D33</f>
        <v>0</v>
      </c>
      <c r="F33" s="5"/>
      <c r="G33" s="5">
        <v>0</v>
      </c>
      <c r="H33" s="5">
        <v>1.7999999999999999E-2</v>
      </c>
      <c r="I33" s="5"/>
      <c r="J33" s="5">
        <f t="shared" si="3"/>
        <v>1.7999999999999999E-2</v>
      </c>
      <c r="K33" s="5">
        <f t="shared" si="4"/>
        <v>-1.7999999999999999E-2</v>
      </c>
      <c r="M33" s="5">
        <f>+'Model also  old'!D128</f>
        <v>0</v>
      </c>
      <c r="N33" s="5">
        <f>+'Model also  old'!E128</f>
        <v>0</v>
      </c>
      <c r="O33" s="4"/>
    </row>
    <row r="34" spans="1:15" ht="13.9">
      <c r="A34" s="4" t="s">
        <v>87</v>
      </c>
      <c r="B34" s="5">
        <v>0.1</v>
      </c>
      <c r="C34" s="5">
        <f t="shared" si="0"/>
        <v>0.30000000000000004</v>
      </c>
      <c r="D34" s="5">
        <v>0.1</v>
      </c>
      <c r="E34" s="5">
        <f>+N34-D34</f>
        <v>0</v>
      </c>
      <c r="F34" s="5"/>
      <c r="G34" s="5">
        <v>0.129</v>
      </c>
      <c r="H34" s="5">
        <v>4.5999999999999999E-2</v>
      </c>
      <c r="I34" s="5"/>
      <c r="J34" s="5">
        <f t="shared" si="3"/>
        <v>-5.4000000000000006E-2</v>
      </c>
      <c r="K34" s="5">
        <f t="shared" si="4"/>
        <v>5.4000000000000006E-2</v>
      </c>
      <c r="M34" s="5">
        <f>+'Model also  old'!D129</f>
        <v>0.4</v>
      </c>
      <c r="N34" s="5">
        <f>+'Model also  old'!E129</f>
        <v>0.1</v>
      </c>
      <c r="O34" s="4"/>
    </row>
    <row r="35" spans="1:15" ht="13.9">
      <c r="A35" s="4" t="s">
        <v>88</v>
      </c>
      <c r="B35" s="5">
        <v>-13.5</v>
      </c>
      <c r="C35" s="5">
        <f t="shared" si="0"/>
        <v>-14.8</v>
      </c>
      <c r="D35" s="5">
        <v>-20.5</v>
      </c>
      <c r="E35" s="5">
        <f>+N35-D35</f>
        <v>-25.299999999999997</v>
      </c>
      <c r="F35" s="5"/>
      <c r="G35" s="5">
        <v>-21.334</v>
      </c>
      <c r="H35" s="5">
        <v>-33.24</v>
      </c>
      <c r="I35" s="5"/>
      <c r="J35" s="5">
        <f t="shared" si="3"/>
        <v>-12.740000000000002</v>
      </c>
      <c r="K35" s="5">
        <f t="shared" si="4"/>
        <v>-12.559999999999995</v>
      </c>
      <c r="M35" s="5">
        <f>+'Model also  old'!D130</f>
        <v>-28.3</v>
      </c>
      <c r="N35" s="5">
        <f>+'Model also  old'!E130</f>
        <v>-45.8</v>
      </c>
      <c r="O35" s="4"/>
    </row>
    <row r="36" spans="1:15" ht="13.9">
      <c r="A36" s="4" t="s">
        <v>152</v>
      </c>
      <c r="B36" s="5">
        <v>-0.1</v>
      </c>
      <c r="C36" s="5">
        <f t="shared" si="0"/>
        <v>-0.4</v>
      </c>
      <c r="D36" s="5">
        <v>-0.8</v>
      </c>
      <c r="E36" s="5">
        <f>+N36-D36</f>
        <v>-0.7</v>
      </c>
      <c r="F36" s="5"/>
      <c r="G36" s="5">
        <v>-7.1999999999999995E-2</v>
      </c>
      <c r="H36" s="5">
        <v>-1.1479999999999999</v>
      </c>
      <c r="I36" s="5"/>
      <c r="J36" s="5">
        <f t="shared" si="3"/>
        <v>-0.34799999999999986</v>
      </c>
      <c r="K36" s="5">
        <f t="shared" si="4"/>
        <v>-0.35200000000000009</v>
      </c>
      <c r="M36" s="5">
        <f>+'Model also  old'!D131</f>
        <v>-0.5</v>
      </c>
      <c r="N36" s="5">
        <f>+'Model also  old'!E131</f>
        <v>-1.5</v>
      </c>
      <c r="O36" s="4"/>
    </row>
    <row r="37" spans="1:15" ht="13.9">
      <c r="A37" s="7" t="s">
        <v>183</v>
      </c>
      <c r="B37" s="9">
        <v>-3.8</v>
      </c>
      <c r="C37" s="5">
        <f t="shared" si="0"/>
        <v>3.8</v>
      </c>
      <c r="D37" s="9">
        <v>-3.8</v>
      </c>
      <c r="E37" s="9">
        <f>+N37-D37</f>
        <v>-9.9670223084383913</v>
      </c>
      <c r="F37" s="5"/>
      <c r="G37" s="9">
        <v>-5.2246864300000162</v>
      </c>
      <c r="H37" s="9">
        <v>-9.5805270400000211</v>
      </c>
      <c r="I37" s="5"/>
      <c r="J37" s="5">
        <f t="shared" si="3"/>
        <v>-5.7805270400000213</v>
      </c>
      <c r="K37" s="5">
        <f t="shared" si="4"/>
        <v>-4.1864952684383709</v>
      </c>
      <c r="M37" s="5">
        <f>+'Model also  old'!D132</f>
        <v>0</v>
      </c>
      <c r="N37" s="5">
        <f>+'Model also  old'!E132</f>
        <v>-13.767022308438392</v>
      </c>
      <c r="O37" s="4"/>
    </row>
    <row r="38" spans="1:15" ht="13.9">
      <c r="A38" s="14" t="s">
        <v>26</v>
      </c>
      <c r="B38" s="15">
        <v>-2.9000000000000001E-2</v>
      </c>
      <c r="C38" s="15">
        <f>C37/C8</f>
        <v>3.6608863198458581E-2</v>
      </c>
      <c r="D38" s="15">
        <v>-2.1000000000000001E-2</v>
      </c>
      <c r="E38" s="15">
        <f>E37/E8</f>
        <v>-9.2630318851657914E-2</v>
      </c>
      <c r="F38" s="15"/>
      <c r="G38" s="15">
        <v>-3.4036205481151389E-2</v>
      </c>
      <c r="H38" s="15">
        <v>-6.0133146766043283E-2</v>
      </c>
      <c r="I38" s="15"/>
      <c r="J38" s="5">
        <f t="shared" si="3"/>
        <v>-3.9133146766043278E-2</v>
      </c>
      <c r="K38" s="5">
        <f t="shared" si="4"/>
        <v>-4.5007607853106701E-3</v>
      </c>
      <c r="M38" s="5">
        <f>+'Model also  old'!D133</f>
        <v>0</v>
      </c>
      <c r="N38" s="5">
        <f>+'Model also  old'!E133</f>
        <v>-6.4633907551353953E-2</v>
      </c>
      <c r="O38" s="6"/>
    </row>
    <row r="39" spans="1:15" ht="13.9">
      <c r="A39" s="4"/>
      <c r="B39" s="15"/>
      <c r="D39" s="15"/>
      <c r="F39" s="5"/>
      <c r="G39" s="4"/>
      <c r="H39" s="4"/>
      <c r="I39" s="5"/>
      <c r="J39" s="5">
        <f t="shared" si="3"/>
        <v>0</v>
      </c>
      <c r="K39" s="5">
        <f t="shared" si="4"/>
        <v>0</v>
      </c>
      <c r="M39" s="5">
        <f>+'Model also  old'!D134</f>
        <v>0</v>
      </c>
      <c r="N39" s="5">
        <f>+'Model also  old'!E134</f>
        <v>0</v>
      </c>
      <c r="O39" s="4"/>
    </row>
    <row r="40" spans="1:15" ht="13.9">
      <c r="A40" s="4" t="s">
        <v>86</v>
      </c>
      <c r="B40" s="5">
        <v>-1.3</v>
      </c>
      <c r="C40" s="5">
        <f t="shared" si="0"/>
        <v>-7.3</v>
      </c>
      <c r="D40" s="5">
        <v>-1.9</v>
      </c>
      <c r="E40" s="5">
        <f>+N40-D40</f>
        <v>-6.1</v>
      </c>
      <c r="F40" s="5"/>
      <c r="G40" s="5">
        <v>-7.6059999999999999</v>
      </c>
      <c r="H40" s="5">
        <v>-4.734</v>
      </c>
      <c r="I40" s="5"/>
      <c r="J40" s="5">
        <f t="shared" si="3"/>
        <v>-2.8340000000000001</v>
      </c>
      <c r="K40" s="5">
        <f t="shared" si="4"/>
        <v>-3.266</v>
      </c>
      <c r="M40" s="5">
        <f>+'Model also  old'!D135</f>
        <v>-8.6</v>
      </c>
      <c r="N40" s="5">
        <f>+'Model also  old'!E135</f>
        <v>-8</v>
      </c>
      <c r="O40" s="4"/>
    </row>
    <row r="41" spans="1:15" ht="13.9">
      <c r="A41" s="7" t="s">
        <v>184</v>
      </c>
      <c r="B41" s="9">
        <v>-5.0999999999999996</v>
      </c>
      <c r="C41" s="5">
        <f t="shared" si="0"/>
        <v>-3.5</v>
      </c>
      <c r="D41" s="9">
        <v>-5.7</v>
      </c>
      <c r="E41" s="9">
        <f>+N41-D41</f>
        <v>-16.067022308438393</v>
      </c>
      <c r="F41" s="5"/>
      <c r="G41" s="9">
        <v>-12.830686430000016</v>
      </c>
      <c r="H41" s="9">
        <v>-14.314527040000021</v>
      </c>
      <c r="I41" s="5"/>
      <c r="J41" s="5">
        <f t="shared" si="3"/>
        <v>-8.61452704000002</v>
      </c>
      <c r="K41" s="5">
        <f t="shared" si="4"/>
        <v>-7.452495268438371</v>
      </c>
      <c r="M41" s="5">
        <f>+'Model also  old'!D136</f>
        <v>-8.6</v>
      </c>
      <c r="N41" s="5">
        <f>+'Model also  old'!E136</f>
        <v>-21.767022308438392</v>
      </c>
      <c r="O41" s="4"/>
    </row>
    <row r="42" spans="1:15" ht="13.9">
      <c r="A42" s="14" t="s">
        <v>26</v>
      </c>
      <c r="B42" s="15">
        <v>-4.2000000000000003E-2</v>
      </c>
      <c r="C42" s="5">
        <f t="shared" si="0"/>
        <v>2.9291949563530623E-4</v>
      </c>
      <c r="D42" s="15">
        <v>-3.7999999999999999E-2</v>
      </c>
      <c r="E42" s="15">
        <f>+N42-C42</f>
        <v>-0.10248551249299864</v>
      </c>
      <c r="F42" s="15"/>
      <c r="G42" s="15">
        <v>-8.3585471711399906E-2</v>
      </c>
      <c r="H42" s="15">
        <v>-8.98465764763203E-2</v>
      </c>
      <c r="I42" s="15"/>
      <c r="J42" s="5">
        <f t="shared" si="3"/>
        <v>-5.1846576476320301E-2</v>
      </c>
      <c r="K42" s="5">
        <f t="shared" si="4"/>
        <v>-1.2346016521043043E-2</v>
      </c>
      <c r="M42" s="5">
        <f>+'Model also  old'!D137</f>
        <v>-4.1707080504364696E-2</v>
      </c>
      <c r="N42" s="5">
        <f>+'Model also  old'!E137</f>
        <v>-0.10219259299736334</v>
      </c>
      <c r="O42" s="6"/>
    </row>
    <row r="43" spans="1:15" ht="13.9">
      <c r="A43" s="4" t="s">
        <v>89</v>
      </c>
      <c r="B43" s="5">
        <v>-6.7</v>
      </c>
      <c r="C43" s="5">
        <f t="shared" si="0"/>
        <v>-5.3</v>
      </c>
      <c r="D43" s="5">
        <v>-7.5</v>
      </c>
      <c r="E43" s="5">
        <f>+N43-D43</f>
        <v>-16.467022308438391</v>
      </c>
      <c r="F43" s="5"/>
      <c r="G43" s="5">
        <v>-15.038686430000016</v>
      </c>
      <c r="H43" s="5">
        <v>-16.011527040000022</v>
      </c>
      <c r="I43" s="5"/>
      <c r="J43" s="5">
        <f t="shared" si="3"/>
        <v>-8.511527040000022</v>
      </c>
      <c r="K43" s="5">
        <f t="shared" si="4"/>
        <v>-7.9554952684383693</v>
      </c>
      <c r="M43" s="5">
        <f>+'Model also  old'!D138</f>
        <v>-12</v>
      </c>
      <c r="N43" s="5">
        <f>+'Model also  old'!E138</f>
        <v>-23.967022308438391</v>
      </c>
      <c r="O43" s="4"/>
    </row>
    <row r="44" spans="1:15" ht="13.9">
      <c r="A44" s="4" t="s">
        <v>90</v>
      </c>
      <c r="B44" s="5">
        <v>1.6</v>
      </c>
      <c r="C44" s="5">
        <f t="shared" si="0"/>
        <v>1.6999999999999997</v>
      </c>
      <c r="D44" s="5">
        <v>1.8</v>
      </c>
      <c r="E44" s="5">
        <f>+N44-D44</f>
        <v>0.40000000000000013</v>
      </c>
      <c r="F44" s="5"/>
      <c r="G44" s="5">
        <v>2.2080000000000002</v>
      </c>
      <c r="H44" s="5">
        <v>1.6970000000000001</v>
      </c>
      <c r="I44" s="5"/>
      <c r="J44" s="5">
        <f>+H44-D44</f>
        <v>-0.10299999999999998</v>
      </c>
      <c r="K44" s="5">
        <f t="shared" si="4"/>
        <v>0.50300000000000011</v>
      </c>
      <c r="M44" s="5">
        <f>+'Model also  old'!D139</f>
        <v>3.3</v>
      </c>
      <c r="N44" s="5">
        <f>+'Model also  old'!E139</f>
        <v>2.2000000000000002</v>
      </c>
      <c r="O44" s="4"/>
    </row>
    <row r="45" spans="1:15" ht="13.9">
      <c r="A45" s="4"/>
      <c r="B45" s="11"/>
      <c r="C45" s="11"/>
      <c r="D45" s="11"/>
      <c r="E45" s="11"/>
      <c r="F45" s="4"/>
      <c r="I45" s="4"/>
      <c r="J45" s="4"/>
      <c r="K45" s="4"/>
      <c r="L45" s="4"/>
      <c r="M45" s="4"/>
      <c r="N45" s="4"/>
      <c r="O45" s="4"/>
    </row>
    <row r="46" spans="1:15" ht="29.25">
      <c r="A46" s="16" t="s">
        <v>191</v>
      </c>
      <c r="B46" s="4"/>
      <c r="C46" s="4"/>
      <c r="D46" s="4"/>
      <c r="E46" s="4"/>
      <c r="F46" s="4"/>
      <c r="I46" s="4"/>
      <c r="J46" s="4"/>
      <c r="K46" s="4"/>
      <c r="L46" s="4"/>
      <c r="M46" s="4"/>
      <c r="N46" s="4"/>
      <c r="O46" s="4"/>
    </row>
    <row r="47" spans="1:15" ht="13.9">
      <c r="A47" s="17"/>
      <c r="B47" s="4"/>
      <c r="C47" s="4"/>
      <c r="D47" s="4"/>
      <c r="E47" s="4"/>
      <c r="F47" s="4"/>
      <c r="I47" s="4"/>
      <c r="J47" s="4"/>
      <c r="K47" s="4"/>
      <c r="L47" s="4"/>
      <c r="M47" s="4"/>
      <c r="N47" s="4"/>
      <c r="O47" s="4"/>
    </row>
    <row r="48" spans="1:15" ht="13.9">
      <c r="A48" s="4"/>
      <c r="B48" s="4"/>
      <c r="C48" s="4"/>
      <c r="D48" s="4"/>
      <c r="E48" s="4"/>
      <c r="F48" s="4"/>
      <c r="I48" s="4"/>
      <c r="J48" s="4"/>
      <c r="K48" s="4"/>
      <c r="L48" s="4"/>
      <c r="M48" s="4"/>
      <c r="N48" s="4"/>
      <c r="O48" s="4"/>
    </row>
    <row r="49" spans="1:15" ht="13.9">
      <c r="A49" s="13" t="s">
        <v>187</v>
      </c>
      <c r="B49" s="13"/>
      <c r="C49" s="13"/>
      <c r="D49" s="13"/>
      <c r="E49" s="13"/>
      <c r="F49" s="4"/>
      <c r="G49" s="4"/>
      <c r="H49" s="4"/>
      <c r="I49" s="4"/>
      <c r="J49" s="4" t="s">
        <v>725</v>
      </c>
      <c r="K49" s="4" t="s">
        <v>717</v>
      </c>
      <c r="L49" s="4"/>
      <c r="M49" s="4"/>
      <c r="N49" s="4"/>
      <c r="O49" s="4"/>
    </row>
    <row r="50" spans="1:15" ht="13.9">
      <c r="A50" s="7" t="s">
        <v>192</v>
      </c>
      <c r="B50" s="4"/>
      <c r="C50" s="4"/>
      <c r="D50" s="4"/>
      <c r="E50" s="4"/>
      <c r="F50" s="4"/>
      <c r="G50" s="4"/>
      <c r="H50" s="4"/>
      <c r="I50" s="4"/>
      <c r="J50" s="4"/>
      <c r="K50" s="4"/>
      <c r="L50" s="4"/>
      <c r="M50" s="4"/>
      <c r="N50" s="4"/>
      <c r="O50" s="4"/>
    </row>
    <row r="51" spans="1:15" ht="13.9">
      <c r="A51" s="7" t="s">
        <v>93</v>
      </c>
      <c r="B51" s="4"/>
      <c r="C51" s="4"/>
      <c r="D51" s="4"/>
      <c r="E51" s="4"/>
      <c r="F51" s="4"/>
      <c r="G51" s="4"/>
      <c r="H51" s="4"/>
      <c r="I51" s="4"/>
      <c r="J51" s="4"/>
      <c r="K51" s="4"/>
      <c r="L51" s="4"/>
      <c r="M51" s="4"/>
      <c r="N51" s="4"/>
      <c r="O51" s="4"/>
    </row>
    <row r="52" spans="1:15" ht="13.9">
      <c r="A52" s="4" t="s">
        <v>0</v>
      </c>
      <c r="B52" s="5">
        <v>79.8</v>
      </c>
      <c r="C52" s="5">
        <v>78</v>
      </c>
      <c r="D52" s="5"/>
      <c r="E52" s="5"/>
      <c r="F52" s="4"/>
      <c r="G52" s="4">
        <v>119</v>
      </c>
      <c r="H52" s="4">
        <v>117.6</v>
      </c>
      <c r="I52" s="4"/>
      <c r="J52" s="36">
        <f t="shared" ref="J52:K54" si="5">+G52-B52</f>
        <v>39.200000000000003</v>
      </c>
      <c r="K52" s="36">
        <f t="shared" si="5"/>
        <v>39.599999999999994</v>
      </c>
      <c r="L52" s="4"/>
      <c r="M52" s="4"/>
      <c r="N52" s="4"/>
      <c r="O52" s="4"/>
    </row>
    <row r="53" spans="1:15" ht="13.9">
      <c r="A53" s="4" t="s">
        <v>79</v>
      </c>
      <c r="B53" s="5">
        <v>2.4</v>
      </c>
      <c r="C53" s="5">
        <v>2.6</v>
      </c>
      <c r="D53" s="5"/>
      <c r="E53" s="5"/>
      <c r="F53" s="4"/>
      <c r="G53" s="4">
        <v>3.5</v>
      </c>
      <c r="H53" s="4">
        <v>3.3</v>
      </c>
      <c r="I53" s="4"/>
      <c r="J53" s="36">
        <f t="shared" si="5"/>
        <v>1.1000000000000001</v>
      </c>
      <c r="K53" s="36">
        <f t="shared" si="5"/>
        <v>0.69999999999999973</v>
      </c>
      <c r="L53" s="4"/>
      <c r="M53" s="4"/>
      <c r="N53" s="4"/>
      <c r="O53" s="4"/>
    </row>
    <row r="54" spans="1:15" ht="13.9">
      <c r="A54" s="4" t="s">
        <v>122</v>
      </c>
      <c r="B54" s="5">
        <v>1</v>
      </c>
      <c r="C54" s="5">
        <v>1.4</v>
      </c>
      <c r="D54" s="5"/>
      <c r="E54" s="5"/>
      <c r="F54" s="4"/>
      <c r="G54" s="4">
        <v>1.7</v>
      </c>
      <c r="H54" s="4">
        <v>2.2999999999999998</v>
      </c>
      <c r="I54" s="4"/>
      <c r="J54" s="36">
        <f t="shared" si="5"/>
        <v>0.7</v>
      </c>
      <c r="K54" s="36">
        <f t="shared" si="5"/>
        <v>0.89999999999999991</v>
      </c>
      <c r="L54" s="4"/>
      <c r="M54" s="4"/>
      <c r="N54" s="4"/>
      <c r="O54" s="4"/>
    </row>
    <row r="55" spans="1:15" ht="13.9">
      <c r="A55" s="18" t="s">
        <v>123</v>
      </c>
      <c r="B55" s="10">
        <f>+B54+B53+B52</f>
        <v>83.2</v>
      </c>
      <c r="C55" s="10">
        <f>+C54+C53+C52</f>
        <v>82</v>
      </c>
      <c r="D55" s="10"/>
      <c r="E55" s="10"/>
      <c r="F55" s="4"/>
      <c r="G55" s="4">
        <f>+G54+G53+G52</f>
        <v>124.2</v>
      </c>
      <c r="H55" s="4">
        <f>+H54+H53+H52</f>
        <v>123.19999999999999</v>
      </c>
      <c r="I55" s="4"/>
      <c r="J55" s="4">
        <f>+J54+J53+J52</f>
        <v>41</v>
      </c>
      <c r="K55" s="4">
        <f>+K54+K53+K52</f>
        <v>41.199999999999996</v>
      </c>
      <c r="L55" s="4"/>
      <c r="M55" s="4"/>
      <c r="N55" s="4"/>
      <c r="O55" s="4"/>
    </row>
    <row r="56" spans="1:15" ht="13.9">
      <c r="A56" s="4" t="s">
        <v>77</v>
      </c>
      <c r="B56" s="11">
        <v>53.1</v>
      </c>
      <c r="C56" s="11">
        <v>50.7</v>
      </c>
      <c r="D56" s="11"/>
      <c r="E56" s="11"/>
      <c r="F56" s="4"/>
      <c r="G56" s="4">
        <v>79.3</v>
      </c>
      <c r="H56" s="4">
        <v>77.099999999999994</v>
      </c>
      <c r="I56" s="4"/>
      <c r="J56" s="36">
        <f>+G56-B56</f>
        <v>26.199999999999996</v>
      </c>
      <c r="K56" s="36">
        <f>+H56-C56</f>
        <v>26.399999999999991</v>
      </c>
      <c r="L56" s="4"/>
      <c r="M56" s="4"/>
      <c r="N56" s="4"/>
      <c r="O56" s="4"/>
    </row>
    <row r="57" spans="1:15" ht="13.9">
      <c r="A57" s="14" t="s">
        <v>121</v>
      </c>
      <c r="B57" s="15">
        <f>+B56/B52</f>
        <v>0.66541353383458646</v>
      </c>
      <c r="C57" s="15">
        <f>+C56/C52</f>
        <v>0.65</v>
      </c>
      <c r="D57" s="15"/>
      <c r="E57" s="15"/>
      <c r="F57" s="4"/>
      <c r="G57" s="38">
        <f>+G56/G52</f>
        <v>0.6663865546218487</v>
      </c>
      <c r="H57" s="38">
        <f>+H56/H52</f>
        <v>0.65561224489795922</v>
      </c>
      <c r="I57" s="4"/>
      <c r="J57" s="38">
        <f>+J56/J52</f>
        <v>0.66836734693877531</v>
      </c>
      <c r="K57" s="38">
        <f>+K56/K52</f>
        <v>0.66666666666666652</v>
      </c>
      <c r="L57" s="4"/>
      <c r="M57" s="4"/>
      <c r="N57" s="4"/>
      <c r="O57" s="4"/>
    </row>
    <row r="58" spans="1:15" ht="13.9">
      <c r="A58" s="4"/>
      <c r="B58" s="11"/>
      <c r="C58" s="11"/>
      <c r="D58" s="11"/>
      <c r="E58" s="11"/>
      <c r="F58" s="4"/>
      <c r="G58" s="4"/>
      <c r="H58" s="4"/>
      <c r="I58" s="4"/>
      <c r="J58" s="4"/>
      <c r="K58" s="4"/>
      <c r="L58" s="4"/>
      <c r="M58" s="4"/>
      <c r="N58" s="4"/>
      <c r="O58" s="4"/>
    </row>
    <row r="59" spans="1:15" ht="13.9">
      <c r="A59" s="7" t="s">
        <v>91</v>
      </c>
      <c r="B59" s="4"/>
      <c r="C59" s="4"/>
      <c r="D59" s="4"/>
      <c r="E59" s="4"/>
      <c r="F59" s="4"/>
      <c r="G59" s="4"/>
      <c r="H59" s="4"/>
      <c r="I59" s="4"/>
      <c r="J59" s="4"/>
      <c r="K59" s="4"/>
      <c r="L59" s="4"/>
      <c r="M59" s="4"/>
      <c r="N59" s="4"/>
      <c r="O59" s="4"/>
    </row>
    <row r="60" spans="1:15" ht="13.9">
      <c r="A60" s="4" t="s">
        <v>0</v>
      </c>
      <c r="B60" s="5">
        <v>20.399999999999999</v>
      </c>
      <c r="C60" s="5">
        <v>25.2</v>
      </c>
      <c r="D60" s="5"/>
      <c r="E60" s="5"/>
      <c r="F60" s="4"/>
      <c r="G60" s="4">
        <v>31.5</v>
      </c>
      <c r="H60" s="4">
        <v>38.5</v>
      </c>
      <c r="I60" s="4"/>
      <c r="J60" s="36">
        <f t="shared" ref="J60:K62" si="6">+G60-B60</f>
        <v>11.100000000000001</v>
      </c>
      <c r="K60" s="36">
        <f t="shared" si="6"/>
        <v>13.3</v>
      </c>
      <c r="L60" s="4"/>
      <c r="M60" s="4"/>
      <c r="N60" s="4"/>
      <c r="O60" s="4"/>
    </row>
    <row r="61" spans="1:15" ht="13.9">
      <c r="A61" s="4" t="s">
        <v>79</v>
      </c>
      <c r="B61" s="5">
        <v>0.4</v>
      </c>
      <c r="C61" s="5">
        <v>0.7</v>
      </c>
      <c r="D61" s="5"/>
      <c r="E61" s="5"/>
      <c r="F61" s="4"/>
      <c r="G61" s="4">
        <v>0.6</v>
      </c>
      <c r="H61" s="4">
        <v>0.9</v>
      </c>
      <c r="I61" s="4"/>
      <c r="J61" s="36">
        <f t="shared" si="6"/>
        <v>0.19999999999999996</v>
      </c>
      <c r="K61" s="36">
        <f t="shared" si="6"/>
        <v>0.20000000000000007</v>
      </c>
      <c r="L61" s="4"/>
      <c r="M61" s="4"/>
      <c r="N61" s="4"/>
      <c r="O61" s="4"/>
    </row>
    <row r="62" spans="1:15" ht="13.9">
      <c r="A62" s="4" t="s">
        <v>122</v>
      </c>
      <c r="B62" s="5">
        <v>1</v>
      </c>
      <c r="C62" s="5">
        <v>1.4</v>
      </c>
      <c r="D62" s="5"/>
      <c r="E62" s="5"/>
      <c r="F62" s="4"/>
      <c r="G62" s="4">
        <v>1.7</v>
      </c>
      <c r="H62" s="4">
        <v>2.2999999999999998</v>
      </c>
      <c r="I62" s="4"/>
      <c r="J62" s="36">
        <f t="shared" si="6"/>
        <v>0.7</v>
      </c>
      <c r="K62" s="36">
        <f t="shared" si="6"/>
        <v>0.89999999999999991</v>
      </c>
      <c r="L62" s="4"/>
      <c r="M62" s="4"/>
      <c r="N62" s="4"/>
      <c r="O62" s="4"/>
    </row>
    <row r="63" spans="1:15" ht="13.9">
      <c r="A63" s="18" t="s">
        <v>123</v>
      </c>
      <c r="B63" s="10">
        <f>+B62+B61+B60</f>
        <v>21.799999999999997</v>
      </c>
      <c r="C63" s="10">
        <f>+C62+C61+C60</f>
        <v>27.299999999999997</v>
      </c>
      <c r="D63" s="10"/>
      <c r="E63" s="10"/>
      <c r="F63" s="4"/>
      <c r="G63" s="4">
        <f>+G62+G61+G60</f>
        <v>33.799999999999997</v>
      </c>
      <c r="H63" s="4">
        <f>+H62+H61+H60</f>
        <v>41.7</v>
      </c>
      <c r="I63" s="4"/>
      <c r="J63" s="4">
        <f>+J62+J61+J60</f>
        <v>12.000000000000002</v>
      </c>
      <c r="K63" s="4">
        <f>+K62+K61+K60</f>
        <v>14.4</v>
      </c>
      <c r="L63" s="4"/>
      <c r="M63" s="4"/>
      <c r="N63" s="4"/>
      <c r="O63" s="4"/>
    </row>
    <row r="64" spans="1:15" ht="13.9">
      <c r="B64" s="11"/>
      <c r="C64" s="11"/>
      <c r="D64" s="11"/>
      <c r="E64" s="11"/>
      <c r="F64" s="4"/>
      <c r="G64" s="4"/>
      <c r="H64" s="4"/>
      <c r="I64" s="4"/>
      <c r="J64" s="4"/>
      <c r="K64" s="4"/>
      <c r="L64" s="4"/>
      <c r="M64" s="4"/>
      <c r="N64" s="4"/>
      <c r="O64" s="4"/>
    </row>
    <row r="65" spans="1:15" ht="13.9">
      <c r="A65" s="4" t="s">
        <v>77</v>
      </c>
      <c r="B65" s="215">
        <v>14.6</v>
      </c>
      <c r="C65" s="215">
        <v>22.6</v>
      </c>
      <c r="D65" s="15"/>
      <c r="E65" s="15"/>
      <c r="F65" s="4"/>
      <c r="G65" s="4">
        <v>23.3</v>
      </c>
      <c r="H65" s="4">
        <v>34.700000000000003</v>
      </c>
      <c r="I65" s="4"/>
      <c r="J65" s="36">
        <f>+G65-B65</f>
        <v>8.7000000000000011</v>
      </c>
      <c r="K65" s="36">
        <f>+H65-C65</f>
        <v>12.100000000000001</v>
      </c>
      <c r="L65" s="4"/>
      <c r="M65" s="4"/>
      <c r="N65" s="4"/>
      <c r="O65" s="4"/>
    </row>
    <row r="66" spans="1:15" ht="13.9">
      <c r="A66" s="14" t="s">
        <v>121</v>
      </c>
      <c r="B66" s="15">
        <f>+B65/B60</f>
        <v>0.71568627450980393</v>
      </c>
      <c r="C66" s="15">
        <f>+C65/C60</f>
        <v>0.89682539682539686</v>
      </c>
      <c r="D66" s="4"/>
      <c r="E66" s="4"/>
      <c r="F66" s="4"/>
      <c r="G66" s="40">
        <f>+G65/G60</f>
        <v>0.73968253968253972</v>
      </c>
      <c r="H66" s="40">
        <f>+H65/H60</f>
        <v>0.90129870129870138</v>
      </c>
      <c r="I66" s="4"/>
      <c r="J66" s="40">
        <f>+J65/J60</f>
        <v>0.78378378378378377</v>
      </c>
      <c r="K66" s="40">
        <f>+K65/K60</f>
        <v>0.90977443609022557</v>
      </c>
      <c r="L66" s="4"/>
      <c r="M66" s="4"/>
      <c r="N66" s="4"/>
      <c r="O66" s="4"/>
    </row>
    <row r="67" spans="1:15" ht="13.9">
      <c r="A67" s="4"/>
      <c r="B67" s="4"/>
      <c r="C67" s="4"/>
      <c r="D67" s="4"/>
      <c r="E67" s="4"/>
      <c r="F67" s="4"/>
      <c r="G67" s="4"/>
      <c r="H67" s="4"/>
      <c r="I67" s="4"/>
      <c r="J67" s="4"/>
      <c r="K67" s="4"/>
      <c r="L67" s="4"/>
      <c r="M67" s="4"/>
      <c r="N67" s="4"/>
      <c r="O67" s="4"/>
    </row>
    <row r="68" spans="1:15" ht="13.9">
      <c r="A68" s="13" t="s">
        <v>37</v>
      </c>
      <c r="B68" s="4"/>
      <c r="C68" s="4"/>
      <c r="D68" s="4"/>
      <c r="E68" s="4"/>
      <c r="F68" s="4"/>
      <c r="G68" s="4"/>
      <c r="H68" s="4"/>
      <c r="I68" s="4"/>
      <c r="J68" s="4"/>
      <c r="K68" s="4"/>
      <c r="L68" s="4"/>
      <c r="M68" s="4"/>
      <c r="N68" s="4"/>
      <c r="O68" s="4"/>
    </row>
    <row r="69" spans="1:15" ht="13.9">
      <c r="A69" s="18" t="s">
        <v>192</v>
      </c>
      <c r="B69" s="4"/>
      <c r="C69" s="4" t="s">
        <v>6</v>
      </c>
      <c r="D69" s="4"/>
      <c r="E69" s="4"/>
      <c r="F69" s="4"/>
      <c r="G69" s="4"/>
      <c r="H69" s="4"/>
      <c r="I69" s="4"/>
      <c r="J69" s="4"/>
      <c r="K69" s="4" t="s">
        <v>716</v>
      </c>
      <c r="L69" s="4"/>
      <c r="M69" s="4"/>
      <c r="N69" s="4"/>
      <c r="O69" s="4"/>
    </row>
    <row r="70" spans="1:15" ht="13.9">
      <c r="A70" s="19" t="s">
        <v>8</v>
      </c>
      <c r="B70" s="4"/>
      <c r="C70" s="4"/>
      <c r="D70" s="4"/>
      <c r="E70" s="4"/>
      <c r="F70" s="4"/>
      <c r="G70" s="4"/>
      <c r="H70" s="4"/>
      <c r="I70" s="4"/>
      <c r="J70" s="4"/>
      <c r="K70" s="4"/>
      <c r="L70" s="4"/>
      <c r="M70" s="4"/>
      <c r="N70" s="4"/>
      <c r="O70" s="4"/>
    </row>
    <row r="71" spans="1:15" ht="13.9">
      <c r="A71" s="4" t="s">
        <v>38</v>
      </c>
      <c r="B71" s="4"/>
      <c r="C71" s="4">
        <v>198.8</v>
      </c>
      <c r="D71" s="4"/>
      <c r="E71" s="4"/>
      <c r="F71" s="4"/>
      <c r="G71" s="4"/>
      <c r="H71" s="4"/>
      <c r="I71" s="4"/>
      <c r="J71" s="4"/>
      <c r="K71" s="4">
        <v>200.8</v>
      </c>
      <c r="L71" s="4"/>
      <c r="M71" s="4"/>
      <c r="N71" s="4"/>
      <c r="O71" s="4"/>
    </row>
    <row r="72" spans="1:15" ht="13.9">
      <c r="A72" s="4" t="s">
        <v>39</v>
      </c>
      <c r="B72" s="4"/>
      <c r="C72" s="4">
        <v>371.7</v>
      </c>
      <c r="D72" s="4"/>
      <c r="E72" s="4"/>
      <c r="F72" s="4"/>
      <c r="G72" s="4"/>
      <c r="H72" s="4"/>
      <c r="I72" s="4"/>
      <c r="J72" s="4"/>
      <c r="K72" s="4">
        <v>383.4</v>
      </c>
      <c r="L72" s="4"/>
      <c r="M72" s="4"/>
      <c r="N72" s="4"/>
      <c r="O72" s="4"/>
    </row>
    <row r="73" spans="1:15" ht="13.9">
      <c r="A73" s="4" t="s">
        <v>40</v>
      </c>
      <c r="B73" s="4"/>
      <c r="C73" s="4">
        <v>0.5</v>
      </c>
      <c r="D73" s="4"/>
      <c r="E73" s="4"/>
      <c r="F73" s="4"/>
      <c r="G73" s="4"/>
      <c r="H73" s="4"/>
      <c r="I73" s="4"/>
      <c r="J73" s="4"/>
      <c r="K73" s="4">
        <v>0</v>
      </c>
      <c r="L73" s="4"/>
      <c r="M73" s="4"/>
      <c r="N73" s="4"/>
      <c r="O73" s="4"/>
    </row>
    <row r="74" spans="1:15" ht="13.9">
      <c r="A74" s="4" t="s">
        <v>41</v>
      </c>
      <c r="B74" s="4"/>
      <c r="C74" s="4">
        <v>0.3</v>
      </c>
      <c r="D74" s="4"/>
      <c r="E74" s="4"/>
      <c r="F74" s="4"/>
      <c r="G74" s="4"/>
      <c r="H74" s="4"/>
      <c r="I74" s="4"/>
      <c r="J74" s="4"/>
      <c r="K74" s="4">
        <v>0.3</v>
      </c>
      <c r="L74" s="4"/>
      <c r="M74" s="4"/>
      <c r="N74" s="4"/>
      <c r="O74" s="4"/>
    </row>
    <row r="75" spans="1:15" ht="13.9">
      <c r="A75" s="4" t="s">
        <v>44</v>
      </c>
      <c r="B75" s="4"/>
      <c r="C75" s="4">
        <v>9.5</v>
      </c>
      <c r="D75" s="4"/>
      <c r="E75" s="4"/>
      <c r="F75" s="4"/>
      <c r="G75" s="4"/>
      <c r="H75" s="4"/>
      <c r="I75" s="4"/>
      <c r="J75" s="4"/>
      <c r="K75" s="4">
        <v>0</v>
      </c>
      <c r="L75" s="4"/>
      <c r="M75" s="4"/>
      <c r="N75" s="4"/>
      <c r="O75" s="4"/>
    </row>
    <row r="76" spans="1:15" ht="13.9">
      <c r="A76" s="4" t="s">
        <v>45</v>
      </c>
      <c r="B76" s="4"/>
      <c r="C76" s="4">
        <v>1.1000000000000001</v>
      </c>
      <c r="D76" s="4"/>
      <c r="E76" s="4"/>
      <c r="F76" s="4"/>
      <c r="G76" s="4"/>
      <c r="H76" s="4"/>
      <c r="I76" s="4"/>
      <c r="J76" s="4"/>
      <c r="K76" s="4">
        <v>1.1000000000000001</v>
      </c>
      <c r="L76" s="4"/>
      <c r="M76" s="4"/>
      <c r="N76" s="4"/>
      <c r="O76" s="4"/>
    </row>
    <row r="77" spans="1:15" ht="13.9">
      <c r="A77" s="4" t="s">
        <v>92</v>
      </c>
      <c r="B77" s="4"/>
      <c r="C77" s="4">
        <v>0</v>
      </c>
      <c r="D77" s="4"/>
      <c r="E77" s="4"/>
      <c r="F77" s="4"/>
      <c r="G77" s="4"/>
      <c r="H77" s="4"/>
      <c r="I77" s="4"/>
      <c r="J77" s="4"/>
      <c r="K77" s="4">
        <v>0.1</v>
      </c>
      <c r="L77" s="4"/>
      <c r="M77" s="4"/>
      <c r="N77" s="4"/>
      <c r="O77" s="4"/>
    </row>
    <row r="78" spans="1:15" ht="13.9">
      <c r="A78" s="20" t="s">
        <v>9</v>
      </c>
      <c r="B78" s="4"/>
      <c r="C78" s="4">
        <v>581.9</v>
      </c>
      <c r="D78" s="4"/>
      <c r="E78" s="4"/>
      <c r="F78" s="4"/>
      <c r="G78" s="4"/>
      <c r="H78" s="4"/>
      <c r="I78" s="4"/>
      <c r="J78" s="4"/>
      <c r="K78" s="4">
        <f>SUM(K71:K77)</f>
        <v>585.70000000000005</v>
      </c>
      <c r="L78" s="4"/>
      <c r="M78" s="4"/>
      <c r="N78" s="4"/>
      <c r="O78" s="4"/>
    </row>
    <row r="79" spans="1:15" ht="13.9">
      <c r="A79" s="4"/>
      <c r="B79" s="4"/>
      <c r="C79" s="4"/>
      <c r="D79" s="4"/>
      <c r="E79" s="4"/>
      <c r="F79" s="4"/>
      <c r="G79" s="4"/>
      <c r="H79" s="4"/>
      <c r="I79" s="4"/>
      <c r="J79" s="4"/>
      <c r="K79" s="4"/>
      <c r="L79" s="4"/>
      <c r="M79" s="4"/>
      <c r="N79" s="4"/>
      <c r="O79" s="4"/>
    </row>
    <row r="80" spans="1:15" ht="13.9">
      <c r="A80" s="19" t="s">
        <v>10</v>
      </c>
      <c r="B80" s="4"/>
      <c r="C80" s="4"/>
      <c r="D80" s="4"/>
      <c r="E80" s="4"/>
      <c r="F80" s="4"/>
      <c r="G80" s="4"/>
      <c r="H80" s="4"/>
      <c r="I80" s="4"/>
      <c r="J80" s="4"/>
      <c r="K80" s="4"/>
      <c r="L80" s="4"/>
      <c r="M80" s="4"/>
      <c r="N80" s="4"/>
      <c r="O80" s="4"/>
    </row>
    <row r="81" spans="1:15" ht="13.9">
      <c r="A81" s="4" t="s">
        <v>42</v>
      </c>
      <c r="B81" s="4"/>
      <c r="C81" s="4">
        <v>1.9</v>
      </c>
      <c r="D81" s="4"/>
      <c r="E81" s="4"/>
      <c r="F81" s="4"/>
      <c r="G81" s="4"/>
      <c r="H81" s="4"/>
      <c r="I81" s="4"/>
      <c r="J81" s="4"/>
      <c r="K81" s="4">
        <v>2.5</v>
      </c>
      <c r="L81" s="4"/>
      <c r="M81" s="4"/>
      <c r="N81" s="4"/>
      <c r="O81" s="4"/>
    </row>
    <row r="82" spans="1:15" ht="13.9">
      <c r="A82" s="4" t="s">
        <v>43</v>
      </c>
      <c r="B82" s="4"/>
      <c r="C82" s="4">
        <v>24</v>
      </c>
      <c r="D82" s="4"/>
      <c r="E82" s="4"/>
      <c r="F82" s="4"/>
      <c r="G82" s="4"/>
      <c r="H82" s="4"/>
      <c r="I82" s="4"/>
      <c r="J82" s="4"/>
      <c r="K82" s="4">
        <v>21.2</v>
      </c>
      <c r="L82" s="4"/>
      <c r="M82" s="4"/>
      <c r="N82" s="4"/>
      <c r="O82" s="4"/>
    </row>
    <row r="83" spans="1:15" ht="13.9">
      <c r="A83" s="4" t="s">
        <v>44</v>
      </c>
      <c r="B83" s="4"/>
      <c r="C83" s="4">
        <v>4.0999999999999996</v>
      </c>
      <c r="D83" s="4"/>
      <c r="E83" s="4"/>
      <c r="F83" s="4"/>
      <c r="G83" s="4"/>
      <c r="H83" s="4"/>
      <c r="I83" s="4"/>
      <c r="J83" s="4"/>
      <c r="K83" s="4">
        <v>2.4</v>
      </c>
      <c r="L83" s="4"/>
      <c r="M83" s="4"/>
      <c r="N83" s="4"/>
      <c r="O83" s="4"/>
    </row>
    <row r="84" spans="1:15" ht="13.9">
      <c r="A84" s="4" t="s">
        <v>45</v>
      </c>
      <c r="B84" s="4"/>
      <c r="C84" s="4">
        <v>8.9</v>
      </c>
      <c r="D84" s="4"/>
      <c r="E84" s="4"/>
      <c r="F84" s="4"/>
      <c r="G84" s="4"/>
      <c r="H84" s="4"/>
      <c r="I84" s="4"/>
      <c r="J84" s="4"/>
      <c r="K84" s="4">
        <v>2.1</v>
      </c>
      <c r="L84" s="4"/>
      <c r="M84" s="4"/>
      <c r="N84" s="4"/>
      <c r="O84" s="4"/>
    </row>
    <row r="85" spans="1:15" ht="13.9">
      <c r="A85" s="4" t="s">
        <v>46</v>
      </c>
      <c r="B85" s="4"/>
      <c r="C85" s="4">
        <v>2.5</v>
      </c>
      <c r="D85" s="4"/>
      <c r="E85" s="4"/>
      <c r="F85" s="4"/>
      <c r="G85" s="4"/>
      <c r="H85" s="4"/>
      <c r="I85" s="4"/>
      <c r="J85" s="4"/>
      <c r="K85" s="4">
        <v>9.9</v>
      </c>
      <c r="L85" s="4"/>
      <c r="M85" s="4"/>
      <c r="N85" s="4"/>
      <c r="O85" s="4"/>
    </row>
    <row r="86" spans="1:15" ht="13.9">
      <c r="A86" s="4" t="s">
        <v>47</v>
      </c>
      <c r="B86" s="4"/>
      <c r="C86" s="4">
        <v>1.1000000000000001</v>
      </c>
      <c r="D86" s="4"/>
      <c r="E86" s="4"/>
      <c r="F86" s="4"/>
      <c r="G86" s="4"/>
      <c r="H86" s="4"/>
      <c r="I86" s="4"/>
      <c r="J86" s="4"/>
      <c r="K86" s="4">
        <v>0.5</v>
      </c>
      <c r="L86" s="4"/>
      <c r="M86" s="4"/>
      <c r="N86" s="4"/>
      <c r="O86" s="4"/>
    </row>
    <row r="87" spans="1:15" ht="13.9">
      <c r="A87" s="4" t="s">
        <v>48</v>
      </c>
      <c r="B87" s="4"/>
      <c r="C87" s="4">
        <v>50.9</v>
      </c>
      <c r="D87" s="4"/>
      <c r="E87" s="4"/>
      <c r="F87" s="4"/>
      <c r="G87" s="4"/>
      <c r="H87" s="4"/>
      <c r="I87" s="4"/>
      <c r="J87" s="4"/>
      <c r="K87" s="4">
        <v>36.1</v>
      </c>
      <c r="L87" s="4"/>
      <c r="M87" s="4"/>
      <c r="N87" s="4"/>
      <c r="O87" s="4"/>
    </row>
    <row r="88" spans="1:15" ht="13.9">
      <c r="A88" s="4" t="s">
        <v>92</v>
      </c>
      <c r="B88" s="4"/>
      <c r="C88" s="4">
        <v>6.1</v>
      </c>
      <c r="D88" s="4"/>
      <c r="E88" s="4"/>
      <c r="F88" s="4"/>
      <c r="G88" s="4"/>
      <c r="H88" s="4"/>
      <c r="I88" s="4"/>
      <c r="J88" s="4"/>
      <c r="K88" s="4">
        <v>6.6</v>
      </c>
      <c r="L88" s="4"/>
      <c r="M88" s="4"/>
      <c r="N88" s="4"/>
      <c r="O88" s="4"/>
    </row>
    <row r="89" spans="1:15" ht="13.9">
      <c r="A89" s="20" t="s">
        <v>11</v>
      </c>
      <c r="B89" s="4"/>
      <c r="C89" s="4">
        <v>99.5</v>
      </c>
      <c r="D89" s="4"/>
      <c r="E89" s="4"/>
      <c r="F89" s="4"/>
      <c r="G89" s="4"/>
      <c r="H89" s="4"/>
      <c r="I89" s="4"/>
      <c r="J89" s="4"/>
      <c r="K89" s="4">
        <f>SUM(K81:K88)</f>
        <v>81.3</v>
      </c>
      <c r="L89" s="4"/>
      <c r="M89" s="4"/>
      <c r="N89" s="4"/>
      <c r="O89" s="4"/>
    </row>
    <row r="90" spans="1:15" ht="13.9">
      <c r="A90" s="7" t="s">
        <v>12</v>
      </c>
      <c r="B90" s="4"/>
      <c r="C90" s="4"/>
      <c r="D90" s="4"/>
      <c r="E90" s="4"/>
      <c r="F90" s="4"/>
      <c r="G90" s="4"/>
      <c r="H90" s="4"/>
      <c r="I90" s="4"/>
      <c r="J90" s="4"/>
      <c r="K90" s="4">
        <f>+K89+K78</f>
        <v>667</v>
      </c>
      <c r="L90" s="4"/>
      <c r="M90" s="4"/>
      <c r="N90" s="4"/>
      <c r="O90" s="4"/>
    </row>
    <row r="91" spans="1:15" ht="13.9">
      <c r="A91" s="4"/>
      <c r="B91" s="4"/>
      <c r="C91" s="4"/>
      <c r="D91" s="4"/>
      <c r="E91" s="4"/>
      <c r="F91" s="4"/>
      <c r="G91" s="4"/>
      <c r="H91" s="4"/>
      <c r="I91" s="4"/>
      <c r="J91" s="4"/>
      <c r="K91" s="4"/>
      <c r="L91" s="4"/>
      <c r="M91" s="4"/>
      <c r="N91" s="4"/>
      <c r="O91" s="4"/>
    </row>
    <row r="92" spans="1:15" ht="13.9">
      <c r="A92" s="19" t="s">
        <v>49</v>
      </c>
      <c r="B92" s="4"/>
      <c r="C92" s="4"/>
      <c r="D92" s="4"/>
      <c r="E92" s="4"/>
      <c r="F92" s="4"/>
      <c r="G92" s="4"/>
      <c r="H92" s="4"/>
      <c r="I92" s="4"/>
      <c r="J92" s="4"/>
      <c r="K92" s="4"/>
      <c r="L92" s="4"/>
      <c r="M92" s="4"/>
      <c r="N92" s="4"/>
      <c r="O92" s="4"/>
    </row>
    <row r="93" spans="1:15" ht="13.9">
      <c r="A93" s="4" t="s">
        <v>50</v>
      </c>
      <c r="B93" s="4"/>
      <c r="C93" s="4">
        <v>-73.3</v>
      </c>
      <c r="D93" s="4"/>
      <c r="E93" s="4"/>
      <c r="F93" s="4"/>
      <c r="G93" s="4"/>
      <c r="H93" s="4"/>
      <c r="I93" s="4"/>
      <c r="J93" s="4"/>
      <c r="K93" s="4">
        <v>-104.3</v>
      </c>
      <c r="L93" s="4"/>
      <c r="M93" s="4"/>
      <c r="N93" s="4"/>
      <c r="O93" s="4"/>
    </row>
    <row r="94" spans="1:15" ht="13.9">
      <c r="A94" s="4" t="s">
        <v>51</v>
      </c>
      <c r="B94" s="4"/>
      <c r="C94" s="4">
        <v>7.3</v>
      </c>
      <c r="D94" s="4"/>
      <c r="E94" s="4"/>
      <c r="F94" s="4"/>
      <c r="G94" s="4"/>
      <c r="H94" s="4"/>
      <c r="I94" s="4"/>
      <c r="J94" s="4"/>
      <c r="K94" s="4">
        <v>4.7</v>
      </c>
      <c r="L94" s="4"/>
      <c r="M94" s="4"/>
      <c r="N94" s="4"/>
      <c r="O94" s="4"/>
    </row>
    <row r="95" spans="1:15" ht="13.9">
      <c r="A95" s="20" t="s">
        <v>17</v>
      </c>
      <c r="B95" s="4"/>
      <c r="C95" s="4">
        <v>-66.099999999999994</v>
      </c>
      <c r="D95" s="4"/>
      <c r="E95" s="4"/>
      <c r="F95" s="4"/>
      <c r="G95" s="4"/>
      <c r="H95" s="4"/>
      <c r="I95" s="4"/>
      <c r="J95" s="4"/>
      <c r="K95" s="4">
        <f>+K93+K94</f>
        <v>-99.6</v>
      </c>
      <c r="L95" s="4"/>
      <c r="M95" s="4"/>
      <c r="N95" s="4"/>
      <c r="O95" s="4"/>
    </row>
    <row r="96" spans="1:15" ht="13.9">
      <c r="A96" s="4"/>
      <c r="B96" s="4"/>
      <c r="C96" s="4"/>
      <c r="D96" s="4"/>
      <c r="E96" s="4"/>
      <c r="F96" s="4"/>
      <c r="G96" s="4"/>
      <c r="H96" s="4"/>
      <c r="I96" s="4"/>
      <c r="J96" s="4"/>
      <c r="K96" s="4"/>
      <c r="L96" s="4"/>
      <c r="M96" s="4"/>
      <c r="N96" s="4"/>
      <c r="O96" s="4"/>
    </row>
    <row r="97" spans="1:15" ht="13.9">
      <c r="A97" s="19" t="s">
        <v>13</v>
      </c>
      <c r="B97" s="4"/>
      <c r="C97" s="4"/>
      <c r="D97" s="4"/>
      <c r="E97" s="4"/>
      <c r="F97" s="4"/>
      <c r="G97" s="4"/>
      <c r="H97" s="4"/>
      <c r="I97" s="4"/>
      <c r="J97" s="4"/>
      <c r="K97" s="4"/>
      <c r="L97" s="4"/>
      <c r="M97" s="4"/>
      <c r="N97" s="4"/>
      <c r="O97" s="4"/>
    </row>
    <row r="98" spans="1:15" ht="13.9">
      <c r="A98" s="4" t="s">
        <v>52</v>
      </c>
      <c r="B98" s="4"/>
      <c r="C98" s="4">
        <v>10.3</v>
      </c>
      <c r="D98" s="4"/>
      <c r="E98" s="4"/>
      <c r="F98" s="4"/>
      <c r="G98" s="4"/>
      <c r="H98" s="4"/>
      <c r="I98" s="4"/>
      <c r="J98" s="4"/>
      <c r="K98" s="4">
        <v>9.9</v>
      </c>
      <c r="L98" s="4"/>
      <c r="M98" s="4"/>
      <c r="N98" s="4"/>
      <c r="O98" s="4"/>
    </row>
    <row r="99" spans="1:15" ht="13.9">
      <c r="A99" s="4" t="s">
        <v>53</v>
      </c>
      <c r="B99" s="4"/>
      <c r="C99" s="4">
        <v>8.6</v>
      </c>
      <c r="D99" s="4"/>
      <c r="E99" s="4"/>
      <c r="F99" s="4"/>
      <c r="G99" s="4"/>
      <c r="H99" s="4"/>
      <c r="I99" s="4"/>
      <c r="J99" s="4"/>
      <c r="K99" s="4">
        <v>7.8</v>
      </c>
      <c r="L99" s="4"/>
      <c r="M99" s="4"/>
      <c r="N99" s="4"/>
      <c r="O99" s="4"/>
    </row>
    <row r="100" spans="1:15" ht="13.9">
      <c r="A100" s="4" t="s">
        <v>54</v>
      </c>
      <c r="B100" s="4"/>
      <c r="C100" s="4">
        <v>616.29999999999995</v>
      </c>
      <c r="D100" s="4"/>
      <c r="E100" s="4"/>
      <c r="F100" s="4"/>
      <c r="G100" s="4"/>
      <c r="H100" s="4"/>
      <c r="I100" s="4"/>
      <c r="J100" s="4"/>
      <c r="K100" s="4">
        <v>630.20000000000005</v>
      </c>
      <c r="L100" s="4"/>
      <c r="M100" s="4"/>
      <c r="N100" s="4"/>
      <c r="O100" s="4"/>
    </row>
    <row r="101" spans="1:15" ht="13.9">
      <c r="A101" s="4" t="s">
        <v>55</v>
      </c>
      <c r="B101" s="4"/>
      <c r="C101" s="4">
        <v>13.3</v>
      </c>
      <c r="D101" s="4"/>
      <c r="E101" s="4"/>
      <c r="F101" s="4"/>
      <c r="G101" s="4"/>
      <c r="H101" s="4"/>
      <c r="I101" s="4"/>
      <c r="J101" s="4"/>
      <c r="K101" s="4">
        <v>0</v>
      </c>
      <c r="L101" s="4"/>
      <c r="M101" s="4"/>
      <c r="N101" s="4"/>
      <c r="O101" s="4"/>
    </row>
    <row r="102" spans="1:15" ht="13.9">
      <c r="A102" s="4" t="s">
        <v>56</v>
      </c>
      <c r="B102" s="4"/>
      <c r="C102" s="4">
        <v>33.6</v>
      </c>
      <c r="D102" s="4"/>
      <c r="E102" s="4"/>
      <c r="F102" s="4"/>
      <c r="G102" s="4"/>
      <c r="H102" s="4"/>
      <c r="I102" s="4"/>
      <c r="J102" s="4"/>
      <c r="K102" s="4">
        <v>35.700000000000003</v>
      </c>
      <c r="L102" s="4"/>
      <c r="M102" s="4"/>
      <c r="N102" s="4"/>
      <c r="O102" s="4"/>
    </row>
    <row r="103" spans="1:15" ht="13.9">
      <c r="A103" s="4" t="s">
        <v>57</v>
      </c>
      <c r="B103" s="4"/>
      <c r="C103" s="4">
        <v>0.8</v>
      </c>
      <c r="D103" s="4"/>
      <c r="E103" s="4"/>
      <c r="F103" s="4"/>
      <c r="G103" s="4"/>
      <c r="H103" s="4"/>
      <c r="I103" s="4"/>
      <c r="J103" s="4"/>
      <c r="K103" s="4">
        <v>0.7</v>
      </c>
      <c r="L103" s="4"/>
      <c r="M103" s="4"/>
      <c r="N103" s="4"/>
      <c r="O103" s="4"/>
    </row>
    <row r="104" spans="1:15" ht="13.9">
      <c r="A104" s="20" t="s">
        <v>14</v>
      </c>
      <c r="B104" s="4"/>
      <c r="C104" s="4">
        <v>682.8</v>
      </c>
      <c r="D104" s="4"/>
      <c r="E104" s="4"/>
      <c r="F104" s="4"/>
      <c r="G104" s="4"/>
      <c r="H104" s="4"/>
      <c r="I104" s="4"/>
      <c r="J104" s="4"/>
      <c r="K104" s="4">
        <f>SUM(K98:K103)</f>
        <v>684.30000000000018</v>
      </c>
      <c r="L104" s="4"/>
      <c r="M104" s="4"/>
      <c r="N104" s="4"/>
      <c r="O104" s="4"/>
    </row>
    <row r="105" spans="1:15" ht="13.9">
      <c r="A105" s="4"/>
      <c r="B105" s="4"/>
      <c r="C105" s="4"/>
      <c r="D105" s="4"/>
      <c r="E105" s="4"/>
      <c r="F105" s="4"/>
      <c r="G105" s="4"/>
      <c r="H105" s="4"/>
      <c r="I105" s="4"/>
      <c r="J105" s="4"/>
      <c r="K105" s="4"/>
      <c r="L105" s="4"/>
      <c r="M105" s="4"/>
      <c r="N105" s="4"/>
      <c r="O105" s="4"/>
    </row>
    <row r="106" spans="1:15" ht="13.9">
      <c r="A106" s="19" t="s">
        <v>16</v>
      </c>
      <c r="B106" s="4"/>
      <c r="C106" s="4"/>
      <c r="D106" s="4"/>
      <c r="E106" s="4"/>
      <c r="F106" s="4"/>
      <c r="G106" s="4"/>
      <c r="H106" s="4"/>
      <c r="I106" s="4"/>
      <c r="J106" s="4"/>
      <c r="K106" s="4"/>
      <c r="L106" s="4"/>
      <c r="M106" s="4"/>
      <c r="N106" s="4"/>
      <c r="O106" s="4"/>
    </row>
    <row r="107" spans="1:15" ht="13.9">
      <c r="A107" s="4" t="s">
        <v>53</v>
      </c>
      <c r="B107" s="4"/>
      <c r="C107" s="4">
        <v>7.5</v>
      </c>
      <c r="D107" s="4"/>
      <c r="E107" s="4"/>
      <c r="F107" s="4"/>
      <c r="G107" s="4"/>
      <c r="H107" s="4"/>
      <c r="I107" s="4"/>
      <c r="J107" s="4"/>
      <c r="K107" s="4">
        <v>8.1</v>
      </c>
      <c r="L107" s="4"/>
      <c r="M107" s="4"/>
      <c r="N107" s="4"/>
      <c r="O107" s="4"/>
    </row>
    <row r="108" spans="1:15" ht="13.9">
      <c r="A108" s="4" t="s">
        <v>54</v>
      </c>
      <c r="B108" s="4"/>
      <c r="C108" s="4">
        <v>2.5</v>
      </c>
      <c r="D108" s="4"/>
      <c r="E108" s="4"/>
      <c r="F108" s="4"/>
      <c r="G108" s="4"/>
      <c r="H108" s="4"/>
      <c r="I108" s="4"/>
      <c r="J108" s="4"/>
      <c r="K108" s="4">
        <v>2.6</v>
      </c>
      <c r="L108" s="4"/>
      <c r="M108" s="4"/>
      <c r="N108" s="4"/>
      <c r="O108" s="4"/>
    </row>
    <row r="109" spans="1:15" ht="13.9">
      <c r="A109" s="4" t="s">
        <v>56</v>
      </c>
      <c r="B109" s="4"/>
      <c r="C109" s="4">
        <v>33.299999999999997</v>
      </c>
      <c r="D109" s="4"/>
      <c r="E109" s="4"/>
      <c r="F109" s="4"/>
      <c r="G109" s="4"/>
      <c r="H109" s="4"/>
      <c r="I109" s="4"/>
      <c r="J109" s="4"/>
      <c r="K109" s="4">
        <v>37.200000000000003</v>
      </c>
      <c r="L109" s="4"/>
      <c r="M109" s="4"/>
      <c r="N109" s="4"/>
      <c r="O109" s="4"/>
    </row>
    <row r="110" spans="1:15" ht="13.9">
      <c r="A110" s="4" t="s">
        <v>55</v>
      </c>
      <c r="B110" s="4"/>
      <c r="C110" s="4">
        <v>3.3</v>
      </c>
      <c r="D110" s="4"/>
      <c r="E110" s="4"/>
      <c r="F110" s="4"/>
      <c r="G110" s="4"/>
      <c r="H110" s="4"/>
      <c r="I110" s="4"/>
      <c r="J110" s="4"/>
      <c r="K110" s="4">
        <v>3.6</v>
      </c>
      <c r="L110" s="4"/>
      <c r="M110" s="4"/>
      <c r="N110" s="4"/>
      <c r="O110" s="4"/>
    </row>
    <row r="111" spans="1:15" ht="13.9">
      <c r="A111" s="4" t="s">
        <v>58</v>
      </c>
      <c r="B111" s="4"/>
      <c r="C111" s="4">
        <v>4.9000000000000004</v>
      </c>
      <c r="D111" s="4"/>
      <c r="E111" s="4"/>
      <c r="F111" s="4"/>
      <c r="G111" s="4"/>
      <c r="H111" s="4"/>
      <c r="I111" s="4"/>
      <c r="J111" s="4"/>
      <c r="K111" s="4">
        <v>0.3</v>
      </c>
      <c r="L111" s="4"/>
      <c r="M111" s="4"/>
      <c r="N111" s="4"/>
      <c r="O111" s="4"/>
    </row>
    <row r="112" spans="1:15" ht="13.9">
      <c r="A112" s="4" t="s">
        <v>94</v>
      </c>
      <c r="B112" s="4"/>
      <c r="C112" s="4">
        <v>8.1</v>
      </c>
      <c r="D112" s="4"/>
      <c r="E112" s="4"/>
      <c r="F112" s="4"/>
      <c r="G112" s="4"/>
      <c r="H112" s="4"/>
      <c r="I112" s="4"/>
      <c r="J112" s="4"/>
      <c r="K112" s="4">
        <v>15.8</v>
      </c>
      <c r="L112" s="4"/>
      <c r="M112" s="4"/>
      <c r="N112" s="4"/>
      <c r="O112" s="4"/>
    </row>
    <row r="113" spans="1:15" ht="13.9">
      <c r="A113" s="4" t="s">
        <v>95</v>
      </c>
      <c r="B113" s="4"/>
      <c r="C113" s="4">
        <v>1.3</v>
      </c>
      <c r="D113" s="4"/>
      <c r="E113" s="4"/>
      <c r="F113" s="4"/>
      <c r="G113" s="4"/>
      <c r="H113" s="4"/>
      <c r="I113" s="4"/>
      <c r="J113" s="4"/>
      <c r="K113" s="4">
        <v>4</v>
      </c>
      <c r="L113" s="4"/>
      <c r="M113" s="4"/>
      <c r="N113" s="4"/>
      <c r="O113" s="4"/>
    </row>
    <row r="114" spans="1:15" ht="13.9">
      <c r="A114" s="4" t="s">
        <v>57</v>
      </c>
      <c r="B114" s="4"/>
      <c r="C114" s="4">
        <v>3.7</v>
      </c>
      <c r="D114" s="4"/>
      <c r="E114" s="4"/>
      <c r="F114" s="4"/>
      <c r="G114" s="4"/>
      <c r="H114" s="4"/>
      <c r="I114" s="4"/>
      <c r="J114" s="4"/>
      <c r="K114" s="4">
        <v>10.9</v>
      </c>
      <c r="L114" s="4"/>
      <c r="M114" s="4"/>
      <c r="N114" s="4"/>
      <c r="O114" s="4"/>
    </row>
    <row r="115" spans="1:15" ht="13.9">
      <c r="A115" s="20" t="s">
        <v>15</v>
      </c>
      <c r="B115" s="4"/>
      <c r="C115" s="4">
        <v>64.599999999999994</v>
      </c>
      <c r="D115" s="4"/>
      <c r="E115" s="4"/>
      <c r="F115" s="4"/>
      <c r="G115" s="4"/>
      <c r="H115" s="4"/>
      <c r="I115" s="4"/>
      <c r="J115" s="4"/>
      <c r="K115" s="4">
        <f>SUM(K107:K114)</f>
        <v>82.500000000000014</v>
      </c>
      <c r="L115" s="4"/>
      <c r="M115" s="4"/>
      <c r="N115" s="4"/>
      <c r="O115" s="4"/>
    </row>
    <row r="116" spans="1:15" ht="13.9">
      <c r="A116" s="4"/>
      <c r="B116" s="4"/>
      <c r="C116" s="4"/>
      <c r="D116" s="4"/>
      <c r="E116" s="4"/>
      <c r="F116" s="4"/>
      <c r="G116" s="4"/>
      <c r="H116" s="4"/>
      <c r="I116" s="4"/>
      <c r="J116" s="4"/>
      <c r="K116" s="4"/>
      <c r="L116" s="4"/>
      <c r="M116" s="4"/>
      <c r="N116" s="4"/>
      <c r="O116" s="4"/>
    </row>
    <row r="117" spans="1:15" ht="13.9">
      <c r="A117" s="7" t="s">
        <v>18</v>
      </c>
      <c r="B117" s="4"/>
      <c r="C117" s="4">
        <v>681.4</v>
      </c>
      <c r="D117" s="4"/>
      <c r="E117" s="4"/>
      <c r="F117" s="4"/>
      <c r="G117" s="4"/>
      <c r="H117" s="4"/>
      <c r="I117" s="4"/>
      <c r="J117" s="4"/>
      <c r="K117" s="4">
        <f>+K115+K104+K95</f>
        <v>667.20000000000016</v>
      </c>
      <c r="L117" s="4"/>
      <c r="M117" s="4"/>
      <c r="N117" s="4"/>
      <c r="O117" s="4"/>
    </row>
    <row r="118" spans="1:15" ht="13.9">
      <c r="A118" s="64" t="s">
        <v>295</v>
      </c>
      <c r="B118" s="64"/>
      <c r="C118" s="64"/>
      <c r="D118" s="64"/>
      <c r="E118" s="64"/>
      <c r="F118" s="64"/>
      <c r="G118" s="64"/>
      <c r="H118" s="64"/>
      <c r="I118" s="64"/>
      <c r="J118" s="64"/>
      <c r="K118" s="64"/>
      <c r="L118" s="64"/>
      <c r="M118" s="64"/>
      <c r="N118" s="64"/>
      <c r="O118" s="64"/>
    </row>
    <row r="119" spans="1:15" ht="13.9">
      <c r="A119" s="7"/>
      <c r="B119" s="4"/>
      <c r="C119" s="4"/>
      <c r="D119" s="4"/>
      <c r="E119" s="4"/>
      <c r="F119" s="4"/>
      <c r="G119" s="4"/>
      <c r="H119" s="4"/>
      <c r="I119" s="4"/>
      <c r="J119" s="4"/>
      <c r="K119" s="4"/>
      <c r="L119" s="4"/>
      <c r="M119" s="4"/>
      <c r="N119" s="4"/>
      <c r="O119" s="4"/>
    </row>
    <row r="120" spans="1:15" ht="13.9">
      <c r="A120" s="7"/>
      <c r="B120" s="4"/>
      <c r="C120" s="4"/>
      <c r="D120" s="4"/>
      <c r="E120" s="4"/>
      <c r="F120" s="4"/>
      <c r="G120" s="4"/>
      <c r="H120" s="4"/>
      <c r="I120" s="4"/>
      <c r="J120" s="4"/>
      <c r="K120" s="4"/>
      <c r="L120" s="4"/>
      <c r="M120" s="4"/>
      <c r="N120" s="4"/>
      <c r="O120" s="4"/>
    </row>
    <row r="121" spans="1:15" ht="13.9">
      <c r="A121" s="4"/>
      <c r="B121" s="4"/>
      <c r="C121" s="4"/>
      <c r="D121" s="4"/>
      <c r="E121" s="4"/>
      <c r="F121" s="4"/>
      <c r="G121" s="4"/>
      <c r="H121" s="4"/>
      <c r="I121" s="4"/>
      <c r="J121" s="4"/>
      <c r="K121" s="4"/>
      <c r="L121" s="4"/>
      <c r="M121" s="4"/>
      <c r="N121" s="4"/>
      <c r="O121" s="4"/>
    </row>
    <row r="122" spans="1:15" ht="13.9">
      <c r="A122" s="18" t="s">
        <v>293</v>
      </c>
      <c r="B122" s="4" t="s">
        <v>78</v>
      </c>
      <c r="C122" s="4" t="s">
        <v>6</v>
      </c>
      <c r="D122" s="4"/>
      <c r="E122" s="4"/>
      <c r="F122" s="4"/>
      <c r="G122" s="4" t="str">
        <f>+G3</f>
        <v>9M 13</v>
      </c>
      <c r="H122" s="4" t="str">
        <f>+H3</f>
        <v>9M 14</v>
      </c>
      <c r="I122" s="4"/>
      <c r="J122" s="4" t="str">
        <f>+J3</f>
        <v>Q3 14</v>
      </c>
      <c r="K122" s="4" t="str">
        <f>+K3</f>
        <v>Q4 14</v>
      </c>
      <c r="L122" s="4"/>
      <c r="M122" s="4"/>
      <c r="N122" s="4"/>
      <c r="O122" s="4"/>
    </row>
    <row r="123" spans="1:15" ht="13.9">
      <c r="A123" s="7" t="s">
        <v>19</v>
      </c>
      <c r="B123" s="4"/>
      <c r="C123" s="4"/>
      <c r="D123" s="4"/>
      <c r="E123" s="4"/>
      <c r="F123" s="4"/>
      <c r="G123" s="4"/>
      <c r="H123" s="4"/>
      <c r="I123" s="4"/>
      <c r="J123" s="4"/>
      <c r="K123" s="4"/>
      <c r="L123" s="4"/>
      <c r="M123" s="4"/>
      <c r="N123" s="4"/>
      <c r="O123" s="4"/>
    </row>
    <row r="124" spans="1:15" ht="13.9">
      <c r="A124" s="4" t="s">
        <v>30</v>
      </c>
      <c r="B124" s="5">
        <v>9.6999999999999993</v>
      </c>
      <c r="C124" s="5">
        <v>17.399999999999999</v>
      </c>
      <c r="D124" s="5"/>
      <c r="E124" s="5"/>
      <c r="F124" s="4"/>
      <c r="G124" s="5">
        <v>16.100000000000001</v>
      </c>
      <c r="H124" s="5">
        <v>24.7</v>
      </c>
      <c r="I124" s="4"/>
      <c r="J124" s="36">
        <f t="shared" ref="J124:K129" si="7">+G124-B124</f>
        <v>6.4000000000000021</v>
      </c>
      <c r="K124" s="36">
        <f t="shared" si="7"/>
        <v>7.3000000000000007</v>
      </c>
      <c r="L124" s="4"/>
      <c r="M124" s="4"/>
      <c r="N124" s="4"/>
      <c r="O124" s="4"/>
    </row>
    <row r="125" spans="1:15" ht="13.9">
      <c r="A125" s="4" t="s">
        <v>29</v>
      </c>
      <c r="B125" s="5">
        <v>31.8</v>
      </c>
      <c r="C125" s="5">
        <v>26.5</v>
      </c>
      <c r="D125" s="5"/>
      <c r="E125" s="5"/>
      <c r="F125" s="4"/>
      <c r="G125" s="5">
        <v>46.7</v>
      </c>
      <c r="H125" s="5">
        <v>40.200000000000003</v>
      </c>
      <c r="I125" s="4"/>
      <c r="J125" s="36">
        <f t="shared" si="7"/>
        <v>14.900000000000002</v>
      </c>
      <c r="K125" s="36">
        <f t="shared" si="7"/>
        <v>13.700000000000003</v>
      </c>
      <c r="L125" s="4"/>
      <c r="M125" s="4"/>
      <c r="N125" s="4"/>
      <c r="O125" s="4"/>
    </row>
    <row r="126" spans="1:15" ht="13.9">
      <c r="A126" s="4" t="s">
        <v>96</v>
      </c>
      <c r="B126" s="5">
        <v>-1</v>
      </c>
      <c r="C126" s="5">
        <v>0</v>
      </c>
      <c r="D126" s="5"/>
      <c r="E126" s="5"/>
      <c r="F126" s="4"/>
      <c r="G126" s="5">
        <v>-0.6</v>
      </c>
      <c r="H126" s="5">
        <v>-0.5</v>
      </c>
      <c r="I126" s="4"/>
      <c r="J126" s="36">
        <f t="shared" si="7"/>
        <v>0.4</v>
      </c>
      <c r="K126" s="36">
        <f t="shared" si="7"/>
        <v>-0.5</v>
      </c>
      <c r="L126" s="4"/>
      <c r="M126" s="4"/>
      <c r="N126" s="4"/>
      <c r="O126" s="4"/>
    </row>
    <row r="127" spans="1:15" ht="27.75">
      <c r="A127" s="26" t="s">
        <v>97</v>
      </c>
      <c r="B127" s="5">
        <v>-9.1</v>
      </c>
      <c r="C127" s="5">
        <v>-14.4</v>
      </c>
      <c r="D127" s="5"/>
      <c r="E127" s="5"/>
      <c r="F127" s="4"/>
      <c r="G127" s="5">
        <v>-12.7</v>
      </c>
      <c r="H127" s="5">
        <v>-10</v>
      </c>
      <c r="I127" s="4"/>
      <c r="J127" s="36">
        <f t="shared" si="7"/>
        <v>-3.5999999999999996</v>
      </c>
      <c r="K127" s="36">
        <f t="shared" si="7"/>
        <v>4.4000000000000004</v>
      </c>
      <c r="L127" s="4"/>
      <c r="M127" s="4"/>
      <c r="N127" s="4"/>
      <c r="O127" s="4"/>
    </row>
    <row r="128" spans="1:15" ht="27.75">
      <c r="A128" s="26" t="s">
        <v>257</v>
      </c>
      <c r="B128" s="5">
        <v>-1.7</v>
      </c>
      <c r="C128" s="5">
        <v>-9.8000000000000007</v>
      </c>
      <c r="D128" s="5"/>
      <c r="E128" s="5"/>
      <c r="F128" s="4"/>
      <c r="G128" s="5">
        <v>-9.6999999999999993</v>
      </c>
      <c r="H128" s="5">
        <v>-4.3</v>
      </c>
      <c r="I128" s="4"/>
      <c r="J128" s="36">
        <f t="shared" si="7"/>
        <v>-7.9999999999999991</v>
      </c>
      <c r="K128" s="36">
        <f t="shared" si="7"/>
        <v>5.5000000000000009</v>
      </c>
      <c r="L128" s="4"/>
      <c r="M128" s="4"/>
      <c r="N128" s="4"/>
      <c r="O128" s="4"/>
    </row>
    <row r="129" spans="1:15" ht="13.9">
      <c r="A129" s="26" t="s">
        <v>98</v>
      </c>
      <c r="B129" s="5">
        <v>-0.9</v>
      </c>
      <c r="C129" s="5">
        <v>-4.2</v>
      </c>
      <c r="D129" s="5"/>
      <c r="E129" s="5"/>
      <c r="F129" s="4"/>
      <c r="G129" s="5">
        <v>-6.8</v>
      </c>
      <c r="H129" s="5">
        <v>-3.6</v>
      </c>
      <c r="I129" s="4"/>
      <c r="J129" s="36">
        <f t="shared" si="7"/>
        <v>-5.8999999999999995</v>
      </c>
      <c r="K129" s="36">
        <f t="shared" si="7"/>
        <v>0.60000000000000009</v>
      </c>
      <c r="L129" s="4"/>
      <c r="M129" s="4"/>
      <c r="N129" s="4"/>
      <c r="O129" s="4"/>
    </row>
    <row r="130" spans="1:15" ht="13.9">
      <c r="A130" s="26"/>
      <c r="B130" s="5"/>
      <c r="C130" s="5"/>
      <c r="D130" s="5"/>
      <c r="E130" s="5"/>
      <c r="F130" s="4"/>
      <c r="G130" s="5"/>
      <c r="H130" s="5"/>
      <c r="I130" s="4"/>
      <c r="J130" s="4"/>
      <c r="K130" s="4"/>
      <c r="L130" s="4"/>
      <c r="M130" s="4"/>
      <c r="N130" s="4"/>
      <c r="O130" s="4"/>
    </row>
    <row r="131" spans="1:15" ht="13.9">
      <c r="A131" s="7" t="s">
        <v>20</v>
      </c>
      <c r="B131" s="9">
        <f>SUM(B124:B130)</f>
        <v>28.8</v>
      </c>
      <c r="C131" s="9">
        <v>15.4</v>
      </c>
      <c r="D131" s="9"/>
      <c r="E131" s="9"/>
      <c r="F131" s="4"/>
      <c r="G131" s="9">
        <f>SUM(G124:G130)</f>
        <v>33</v>
      </c>
      <c r="H131" s="9">
        <v>46.6</v>
      </c>
      <c r="I131" s="4"/>
      <c r="J131" s="9">
        <f>SUM(J124:J130)</f>
        <v>4.200000000000002</v>
      </c>
      <c r="K131" s="9">
        <f>SUM(K124:K130)</f>
        <v>31.000000000000007</v>
      </c>
      <c r="L131" s="4"/>
      <c r="M131" s="4"/>
      <c r="N131" s="4"/>
      <c r="O131" s="4"/>
    </row>
    <row r="132" spans="1:15" ht="13.9">
      <c r="A132" s="4"/>
      <c r="B132" s="5"/>
      <c r="C132" s="5"/>
      <c r="D132" s="5"/>
      <c r="E132" s="5"/>
      <c r="F132" s="4"/>
      <c r="G132" s="5"/>
      <c r="H132" s="5"/>
      <c r="I132" s="4"/>
      <c r="J132" s="4"/>
      <c r="K132" s="4"/>
      <c r="L132" s="4"/>
      <c r="M132" s="4"/>
      <c r="N132" s="4"/>
      <c r="O132" s="4"/>
    </row>
    <row r="133" spans="1:15" ht="13.9">
      <c r="A133" s="7" t="s">
        <v>21</v>
      </c>
      <c r="B133" s="5"/>
      <c r="C133" s="5"/>
      <c r="D133" s="5"/>
      <c r="E133" s="5"/>
      <c r="F133" s="4"/>
      <c r="G133" s="5"/>
      <c r="H133" s="5"/>
      <c r="I133" s="4"/>
      <c r="J133" s="4"/>
      <c r="K133" s="4"/>
      <c r="L133" s="4"/>
      <c r="M133" s="4"/>
      <c r="N133" s="4"/>
      <c r="O133" s="4"/>
    </row>
    <row r="134" spans="1:15" ht="13.9">
      <c r="A134" s="4" t="s">
        <v>99</v>
      </c>
      <c r="B134" s="5">
        <v>1.9</v>
      </c>
      <c r="C134" s="5">
        <v>0.4</v>
      </c>
      <c r="D134" s="5"/>
      <c r="E134" s="5"/>
      <c r="F134" s="4"/>
      <c r="G134" s="5">
        <v>2</v>
      </c>
      <c r="H134" s="5">
        <v>1.5</v>
      </c>
      <c r="I134" s="4"/>
      <c r="J134" s="36">
        <f t="shared" ref="J134:K138" si="8">+G134-B134</f>
        <v>0.10000000000000009</v>
      </c>
      <c r="K134" s="36">
        <f t="shared" si="8"/>
        <v>1.1000000000000001</v>
      </c>
      <c r="L134" s="4"/>
      <c r="M134" s="4"/>
      <c r="N134" s="4"/>
      <c r="O134" s="4"/>
    </row>
    <row r="135" spans="1:15" ht="13.9">
      <c r="A135" s="4" t="s">
        <v>100</v>
      </c>
      <c r="B135" s="5">
        <v>-17.7</v>
      </c>
      <c r="C135" s="5">
        <v>-11.5</v>
      </c>
      <c r="D135" s="5"/>
      <c r="E135" s="5"/>
      <c r="F135" s="4"/>
      <c r="G135" s="5">
        <v>-21.2</v>
      </c>
      <c r="H135" s="5">
        <v>-21.2</v>
      </c>
      <c r="I135" s="4"/>
      <c r="J135" s="36">
        <f t="shared" si="8"/>
        <v>-3.5</v>
      </c>
      <c r="K135" s="36">
        <f t="shared" si="8"/>
        <v>-9.6999999999999993</v>
      </c>
      <c r="L135" s="4"/>
      <c r="M135" s="4"/>
      <c r="N135" s="4"/>
      <c r="O135" s="4"/>
    </row>
    <row r="136" spans="1:15" ht="13.9">
      <c r="A136" s="4" t="s">
        <v>22</v>
      </c>
      <c r="B136" s="5">
        <v>-2.9</v>
      </c>
      <c r="C136" s="5">
        <v>-3.4</v>
      </c>
      <c r="D136" s="5"/>
      <c r="E136" s="5"/>
      <c r="F136" s="4"/>
      <c r="G136" s="5">
        <v>-5</v>
      </c>
      <c r="H136" s="5">
        <v>-3.9</v>
      </c>
      <c r="I136" s="4"/>
      <c r="J136" s="36">
        <f t="shared" si="8"/>
        <v>-2.1</v>
      </c>
      <c r="K136" s="36">
        <f t="shared" si="8"/>
        <v>-0.5</v>
      </c>
      <c r="L136" s="4"/>
      <c r="M136" s="4"/>
      <c r="N136" s="4"/>
      <c r="O136" s="4"/>
    </row>
    <row r="137" spans="1:15" ht="13.9">
      <c r="A137" s="4" t="s">
        <v>108</v>
      </c>
      <c r="B137" s="5">
        <v>0</v>
      </c>
      <c r="C137" s="5">
        <v>0</v>
      </c>
      <c r="D137" s="5"/>
      <c r="E137" s="5"/>
      <c r="F137" s="4"/>
      <c r="G137" s="5">
        <v>0</v>
      </c>
      <c r="H137" s="5">
        <v>-10.5</v>
      </c>
      <c r="I137" s="4"/>
      <c r="J137" s="36">
        <f t="shared" si="8"/>
        <v>0</v>
      </c>
      <c r="K137" s="36">
        <f t="shared" si="8"/>
        <v>-10.5</v>
      </c>
      <c r="L137" s="4"/>
      <c r="M137" s="4"/>
      <c r="N137" s="4"/>
      <c r="O137" s="4"/>
    </row>
    <row r="138" spans="1:15" ht="13.9">
      <c r="A138" s="4" t="s">
        <v>101</v>
      </c>
      <c r="B138" s="5">
        <v>0</v>
      </c>
      <c r="C138" s="5">
        <v>0</v>
      </c>
      <c r="D138" s="5"/>
      <c r="E138" s="5"/>
      <c r="F138" s="4"/>
      <c r="G138" s="5">
        <v>0.1</v>
      </c>
      <c r="H138" s="5">
        <v>0</v>
      </c>
      <c r="I138" s="4"/>
      <c r="J138" s="36">
        <f t="shared" si="8"/>
        <v>0.1</v>
      </c>
      <c r="K138" s="36">
        <f t="shared" si="8"/>
        <v>0</v>
      </c>
      <c r="L138" s="4"/>
      <c r="M138" s="4"/>
      <c r="N138" s="4"/>
      <c r="O138" s="4"/>
    </row>
    <row r="139" spans="1:15" ht="13.9">
      <c r="A139" s="4"/>
      <c r="B139" s="5"/>
      <c r="C139" s="5"/>
      <c r="D139" s="5"/>
      <c r="E139" s="5"/>
      <c r="F139" s="4"/>
      <c r="G139" s="5"/>
      <c r="H139" s="5"/>
      <c r="I139" s="4"/>
      <c r="J139" s="4"/>
      <c r="K139" s="4"/>
      <c r="L139" s="4"/>
      <c r="M139" s="4"/>
      <c r="N139" s="4"/>
      <c r="O139" s="4"/>
    </row>
    <row r="140" spans="1:15" ht="13.9">
      <c r="A140" s="7" t="s">
        <v>23</v>
      </c>
      <c r="B140" s="9">
        <v>-18.600000000000001</v>
      </c>
      <c r="C140" s="9">
        <v>-14.5</v>
      </c>
      <c r="D140" s="9"/>
      <c r="E140" s="9"/>
      <c r="F140" s="4"/>
      <c r="G140" s="9">
        <v>-24.2</v>
      </c>
      <c r="H140" s="9">
        <f>SUM(H134:H139)</f>
        <v>-34.099999999999994</v>
      </c>
      <c r="I140" s="4"/>
      <c r="J140" s="9">
        <f>SUM(J134:J139)</f>
        <v>-5.4</v>
      </c>
      <c r="K140" s="9">
        <f>SUM(K134:K139)</f>
        <v>-19.600000000000001</v>
      </c>
      <c r="L140" s="4"/>
      <c r="M140" s="4"/>
      <c r="N140" s="4"/>
      <c r="O140" s="4"/>
    </row>
    <row r="141" spans="1:15" ht="13.9">
      <c r="A141" s="4"/>
      <c r="B141" s="5"/>
      <c r="C141" s="5"/>
      <c r="D141" s="5"/>
      <c r="E141" s="5"/>
      <c r="F141" s="4"/>
      <c r="G141" s="5"/>
      <c r="H141" s="5"/>
      <c r="I141" s="4"/>
      <c r="J141" s="4"/>
      <c r="K141" s="4"/>
      <c r="L141" s="4"/>
      <c r="M141" s="4"/>
      <c r="N141" s="4"/>
      <c r="O141" s="4"/>
    </row>
    <row r="142" spans="1:15" ht="13.9">
      <c r="A142" s="7" t="s">
        <v>24</v>
      </c>
      <c r="B142" s="5"/>
      <c r="C142" s="5"/>
      <c r="D142" s="5"/>
      <c r="E142" s="5"/>
      <c r="F142" s="4"/>
      <c r="G142" s="5"/>
      <c r="H142" s="5"/>
      <c r="I142" s="4"/>
      <c r="J142" s="4"/>
      <c r="K142" s="4"/>
      <c r="L142" s="4"/>
      <c r="M142" s="4"/>
      <c r="N142" s="4"/>
      <c r="O142" s="4"/>
    </row>
    <row r="143" spans="1:15" ht="13.9">
      <c r="A143" s="7" t="s">
        <v>294</v>
      </c>
      <c r="B143" s="5"/>
      <c r="C143" s="5"/>
      <c r="D143" s="5"/>
      <c r="E143" s="5"/>
      <c r="F143" s="4"/>
      <c r="G143" s="5"/>
      <c r="H143" s="5"/>
      <c r="I143" s="4"/>
      <c r="J143" s="4"/>
      <c r="K143" s="4"/>
      <c r="L143" s="4"/>
      <c r="M143" s="4"/>
      <c r="N143" s="4"/>
      <c r="O143" s="4"/>
    </row>
    <row r="144" spans="1:15" ht="13.9">
      <c r="A144" s="4" t="s">
        <v>102</v>
      </c>
      <c r="B144" s="5">
        <v>6.1</v>
      </c>
      <c r="C144" s="5">
        <v>-0.1</v>
      </c>
      <c r="D144" s="5"/>
      <c r="E144" s="5"/>
      <c r="F144" s="4"/>
      <c r="G144" s="5">
        <v>32.700000000000003</v>
      </c>
      <c r="H144" s="5">
        <v>-1.7</v>
      </c>
      <c r="I144" s="4"/>
      <c r="J144" s="36">
        <f>+G144-B144</f>
        <v>26.6</v>
      </c>
      <c r="K144" s="36">
        <f>+H144-C144</f>
        <v>-1.5999999999999999</v>
      </c>
      <c r="L144" s="4"/>
      <c r="M144" s="4"/>
      <c r="N144" s="4"/>
      <c r="O144" s="4"/>
    </row>
    <row r="145" spans="1:15" ht="13.9">
      <c r="A145" s="4" t="s">
        <v>103</v>
      </c>
      <c r="B145" s="5">
        <v>-2.2000000000000002</v>
      </c>
      <c r="C145" s="5">
        <v>-2.9</v>
      </c>
      <c r="D145" s="5"/>
      <c r="E145" s="5"/>
      <c r="F145" s="4"/>
      <c r="G145" s="5">
        <v>-3.3</v>
      </c>
      <c r="H145" s="5">
        <v>-4.3</v>
      </c>
      <c r="I145" s="4"/>
      <c r="J145" s="36">
        <f t="shared" ref="J145:J150" si="9">+G145-B145</f>
        <v>-1.0999999999999996</v>
      </c>
      <c r="K145" s="36">
        <f t="shared" ref="K145:K150" si="10">+H145-C145</f>
        <v>-1.4</v>
      </c>
      <c r="L145" s="4"/>
      <c r="M145" s="4"/>
      <c r="N145" s="4"/>
      <c r="O145" s="4"/>
    </row>
    <row r="146" spans="1:15" ht="13.9">
      <c r="A146" s="4" t="s">
        <v>104</v>
      </c>
      <c r="B146" s="5">
        <v>0</v>
      </c>
      <c r="C146" s="5">
        <v>-1.2</v>
      </c>
      <c r="D146" s="5"/>
      <c r="E146" s="5"/>
      <c r="F146" s="4"/>
      <c r="G146" s="5">
        <v>-2.8</v>
      </c>
      <c r="H146" s="5">
        <v>-3.1</v>
      </c>
      <c r="I146" s="4"/>
      <c r="J146" s="36">
        <f t="shared" si="9"/>
        <v>-2.8</v>
      </c>
      <c r="K146" s="36">
        <f t="shared" si="10"/>
        <v>-1.9000000000000001</v>
      </c>
      <c r="L146" s="4"/>
      <c r="M146" s="4"/>
      <c r="N146" s="4"/>
      <c r="O146" s="4"/>
    </row>
    <row r="147" spans="1:15" ht="13.9">
      <c r="A147" s="4" t="s">
        <v>105</v>
      </c>
      <c r="B147" s="5">
        <v>7.3</v>
      </c>
      <c r="C147" s="5">
        <v>0</v>
      </c>
      <c r="D147" s="5"/>
      <c r="E147" s="5"/>
      <c r="F147" s="4"/>
      <c r="G147" s="5">
        <v>7.3</v>
      </c>
      <c r="H147" s="5">
        <v>0</v>
      </c>
      <c r="I147" s="4"/>
      <c r="J147" s="36">
        <f t="shared" si="9"/>
        <v>0</v>
      </c>
      <c r="K147" s="36">
        <f t="shared" si="10"/>
        <v>0</v>
      </c>
      <c r="L147" s="4"/>
      <c r="M147" s="4"/>
      <c r="N147" s="4"/>
      <c r="O147" s="4"/>
    </row>
    <row r="148" spans="1:15" ht="13.9">
      <c r="A148" s="4" t="s">
        <v>106</v>
      </c>
      <c r="B148" s="5">
        <v>-1.9</v>
      </c>
      <c r="C148" s="5">
        <v>-1</v>
      </c>
      <c r="D148" s="5"/>
      <c r="E148" s="5"/>
      <c r="F148" s="4"/>
      <c r="G148" s="5">
        <v>-2.7</v>
      </c>
      <c r="H148" s="5">
        <v>-2</v>
      </c>
      <c r="I148" s="4"/>
      <c r="J148" s="36">
        <f t="shared" si="9"/>
        <v>-0.80000000000000027</v>
      </c>
      <c r="K148" s="36">
        <f t="shared" si="10"/>
        <v>-1</v>
      </c>
      <c r="L148" s="4"/>
      <c r="M148" s="4"/>
      <c r="N148" s="4"/>
      <c r="O148" s="4"/>
    </row>
    <row r="149" spans="1:15" ht="13.9">
      <c r="A149" s="212" t="s">
        <v>730</v>
      </c>
      <c r="D149" s="5"/>
      <c r="E149" s="5"/>
      <c r="F149" s="4"/>
      <c r="G149">
        <v>0</v>
      </c>
      <c r="H149" s="5">
        <v>-19.899999999999999</v>
      </c>
      <c r="I149" s="4"/>
      <c r="J149" s="36">
        <f t="shared" si="9"/>
        <v>0</v>
      </c>
      <c r="K149" s="36">
        <f t="shared" si="10"/>
        <v>-19.899999999999999</v>
      </c>
      <c r="L149" s="4"/>
      <c r="M149" s="4"/>
      <c r="N149" s="4"/>
      <c r="O149" s="4"/>
    </row>
    <row r="150" spans="1:15" ht="13.9">
      <c r="A150" s="4" t="s">
        <v>107</v>
      </c>
      <c r="B150" s="5">
        <v>-11.8</v>
      </c>
      <c r="C150" s="5">
        <v>-15.8</v>
      </c>
      <c r="D150" s="5"/>
      <c r="E150" s="5"/>
      <c r="F150" s="4"/>
      <c r="G150" s="5">
        <v>-22</v>
      </c>
      <c r="H150" s="5">
        <v>-16.399999999999999</v>
      </c>
      <c r="I150" s="4"/>
      <c r="J150" s="36">
        <f t="shared" si="9"/>
        <v>-10.199999999999999</v>
      </c>
      <c r="K150" s="36">
        <f t="shared" si="10"/>
        <v>-0.59999999999999787</v>
      </c>
      <c r="L150" s="4"/>
      <c r="M150" s="4"/>
      <c r="N150" s="4"/>
      <c r="O150" s="4"/>
    </row>
    <row r="151" spans="1:15" ht="13.9">
      <c r="A151" s="7" t="s">
        <v>25</v>
      </c>
      <c r="B151" s="9">
        <v>-2.6</v>
      </c>
      <c r="C151" s="9">
        <v>-20.9</v>
      </c>
      <c r="D151" s="9"/>
      <c r="E151" s="9"/>
      <c r="F151" s="4"/>
      <c r="G151" s="9">
        <f>SUM(G144:G150)</f>
        <v>9.1999999999999993</v>
      </c>
      <c r="H151" s="9">
        <f>SUM(H144:H150)</f>
        <v>-47.4</v>
      </c>
      <c r="I151" s="4"/>
      <c r="J151" s="9">
        <f>SUM(J144:J150)</f>
        <v>11.7</v>
      </c>
      <c r="K151" s="9">
        <f>SUM(K144:K150)</f>
        <v>-26.399999999999995</v>
      </c>
      <c r="L151" s="4"/>
      <c r="M151" s="4"/>
      <c r="N151" s="4"/>
      <c r="O151" s="4"/>
    </row>
    <row r="152" spans="1:15" ht="13.9">
      <c r="A152" s="4"/>
      <c r="B152" s="5"/>
      <c r="C152" s="5"/>
      <c r="D152" s="5"/>
      <c r="E152" s="5"/>
      <c r="F152" s="4"/>
      <c r="G152" s="5"/>
      <c r="H152" s="5"/>
      <c r="I152" s="4"/>
      <c r="J152" s="4"/>
      <c r="K152" s="4"/>
      <c r="L152" s="4"/>
      <c r="M152" s="4"/>
      <c r="N152" s="4"/>
      <c r="O152" s="4"/>
    </row>
    <row r="153" spans="1:15" ht="13.9">
      <c r="A153" s="7" t="s">
        <v>186</v>
      </c>
      <c r="B153" s="9">
        <v>7.6</v>
      </c>
      <c r="C153" s="9">
        <v>-20</v>
      </c>
      <c r="D153" s="9"/>
      <c r="E153" s="9"/>
      <c r="F153" s="4"/>
      <c r="G153" s="9">
        <f>+G131+G140+G151</f>
        <v>18</v>
      </c>
      <c r="H153" s="9">
        <v>-34.799999999999997</v>
      </c>
      <c r="I153" s="4"/>
      <c r="J153" s="9">
        <f>+J131+J140+J151</f>
        <v>10.5</v>
      </c>
      <c r="K153" s="9">
        <f>+K131+K140+K151</f>
        <v>-14.999999999999989</v>
      </c>
      <c r="L153" s="4"/>
      <c r="M153" s="4"/>
      <c r="N153" s="4"/>
      <c r="O153" s="4"/>
    </row>
    <row r="154" spans="1:15" ht="13.9">
      <c r="A154" s="11" t="s">
        <v>189</v>
      </c>
      <c r="B154" s="5">
        <v>0.2</v>
      </c>
      <c r="C154" s="5">
        <v>0.4</v>
      </c>
      <c r="D154" s="5"/>
      <c r="E154" s="5"/>
      <c r="F154" s="4"/>
      <c r="G154" s="4">
        <v>14.4</v>
      </c>
      <c r="H154" s="4">
        <v>0.4</v>
      </c>
      <c r="I154" s="4"/>
      <c r="J154" s="36">
        <f>+G154-B154</f>
        <v>14.200000000000001</v>
      </c>
      <c r="K154" s="36">
        <f>+H154-C154</f>
        <v>0</v>
      </c>
      <c r="L154" s="4"/>
      <c r="M154" s="4"/>
      <c r="N154" s="4"/>
      <c r="O154" s="4"/>
    </row>
    <row r="155" spans="1:15" ht="13.9">
      <c r="A155" s="4"/>
      <c r="B155" s="11"/>
      <c r="C155" s="11"/>
      <c r="D155" s="11"/>
      <c r="E155" s="11"/>
      <c r="F155" s="4"/>
      <c r="G155" s="4"/>
      <c r="H155" s="4"/>
      <c r="I155" s="4"/>
      <c r="J155" s="4"/>
      <c r="K155" s="4"/>
      <c r="L155" s="4"/>
      <c r="M155" s="4"/>
      <c r="N155" s="4"/>
      <c r="O155" s="4"/>
    </row>
    <row r="156" spans="1:15" ht="13.9">
      <c r="A156" s="18" t="s">
        <v>212</v>
      </c>
      <c r="B156" s="4" t="s">
        <v>78</v>
      </c>
      <c r="C156" s="4" t="s">
        <v>6</v>
      </c>
      <c r="D156" s="4"/>
      <c r="E156" s="4"/>
      <c r="F156" s="4"/>
      <c r="G156" s="4" t="str">
        <f>+G3</f>
        <v>9M 13</v>
      </c>
      <c r="H156" s="4" t="str">
        <f>+H3</f>
        <v>9M 14</v>
      </c>
      <c r="I156" s="4"/>
      <c r="J156" s="4" t="str">
        <f>+J3</f>
        <v>Q3 14</v>
      </c>
      <c r="K156" s="4" t="str">
        <f>+K3</f>
        <v>Q4 14</v>
      </c>
      <c r="L156" s="4"/>
      <c r="M156" s="4"/>
      <c r="N156" s="4"/>
      <c r="O156" s="4"/>
    </row>
    <row r="157" spans="1:15" ht="13.9">
      <c r="A157" s="7"/>
      <c r="B157" s="4"/>
      <c r="C157" s="4"/>
      <c r="D157" s="4"/>
      <c r="E157" s="4"/>
      <c r="F157" s="4"/>
      <c r="G157" s="4"/>
      <c r="H157" s="4"/>
      <c r="I157" s="4"/>
      <c r="J157" s="4"/>
      <c r="K157" s="4"/>
      <c r="L157" s="4"/>
      <c r="M157" s="4"/>
      <c r="N157" s="4"/>
      <c r="O157" s="4"/>
    </row>
    <row r="158" spans="1:15" ht="13.9">
      <c r="A158" s="7" t="s">
        <v>31</v>
      </c>
      <c r="B158" s="4"/>
      <c r="C158" s="4"/>
      <c r="D158" s="4"/>
      <c r="E158" s="4"/>
      <c r="F158" s="4"/>
      <c r="G158" s="4"/>
      <c r="H158" s="4"/>
      <c r="I158" s="4"/>
      <c r="J158" s="4"/>
      <c r="K158" s="4"/>
      <c r="L158" s="4"/>
      <c r="M158" s="4"/>
      <c r="N158" s="4"/>
      <c r="O158" s="4"/>
    </row>
    <row r="159" spans="1:15" ht="13.9">
      <c r="A159" s="4" t="s">
        <v>68</v>
      </c>
      <c r="B159" s="5">
        <v>8.9</v>
      </c>
      <c r="C159" s="5">
        <v>8.1999999999999993</v>
      </c>
      <c r="D159" s="5"/>
      <c r="E159" s="5"/>
      <c r="F159" s="4"/>
      <c r="G159" s="4">
        <v>15.3</v>
      </c>
      <c r="H159" s="32">
        <v>22</v>
      </c>
      <c r="I159" s="4"/>
      <c r="J159" s="36">
        <f>+G159-B159</f>
        <v>6.4</v>
      </c>
      <c r="K159" s="36">
        <f>+H159-C159</f>
        <v>13.8</v>
      </c>
      <c r="L159" s="4"/>
      <c r="M159" s="4"/>
      <c r="N159" s="4"/>
      <c r="O159" s="4"/>
    </row>
    <row r="160" spans="1:15" ht="13.9">
      <c r="A160" s="4" t="s">
        <v>69</v>
      </c>
      <c r="B160" s="5">
        <v>3.4</v>
      </c>
      <c r="C160" s="5">
        <v>6.1</v>
      </c>
      <c r="D160" s="5"/>
      <c r="E160" s="5"/>
      <c r="F160" s="4"/>
      <c r="G160" s="4">
        <v>6.6</v>
      </c>
      <c r="H160" s="32">
        <v>11</v>
      </c>
      <c r="I160" s="4"/>
      <c r="J160" s="36">
        <f t="shared" ref="J160:K163" si="11">+G160-B160</f>
        <v>3.1999999999999997</v>
      </c>
      <c r="K160" s="36">
        <f t="shared" si="11"/>
        <v>4.9000000000000004</v>
      </c>
      <c r="L160" s="4"/>
      <c r="M160" s="4"/>
      <c r="N160" s="4"/>
      <c r="O160" s="4"/>
    </row>
    <row r="161" spans="1:15" ht="13.9">
      <c r="A161" s="4" t="s">
        <v>70</v>
      </c>
      <c r="B161" s="5">
        <v>0.7</v>
      </c>
      <c r="C161" s="5">
        <v>0.6</v>
      </c>
      <c r="D161" s="5"/>
      <c r="E161" s="5"/>
      <c r="F161" s="4"/>
      <c r="G161" s="4">
        <v>0.6</v>
      </c>
      <c r="H161" s="32">
        <v>0.9</v>
      </c>
      <c r="I161" s="4"/>
      <c r="J161" s="36">
        <f t="shared" si="11"/>
        <v>-9.9999999999999978E-2</v>
      </c>
      <c r="K161" s="36">
        <f t="shared" si="11"/>
        <v>0.30000000000000004</v>
      </c>
      <c r="L161" s="4"/>
      <c r="M161" s="4"/>
      <c r="N161" s="4"/>
      <c r="O161" s="4"/>
    </row>
    <row r="162" spans="1:15" ht="13.9">
      <c r="A162" s="4" t="s">
        <v>71</v>
      </c>
      <c r="B162" s="5">
        <v>0.4</v>
      </c>
      <c r="C162" s="5">
        <v>0.7</v>
      </c>
      <c r="D162" s="5"/>
      <c r="E162" s="5"/>
      <c r="F162" s="4"/>
      <c r="G162" s="4">
        <v>0.7</v>
      </c>
      <c r="H162" s="32">
        <v>1.5</v>
      </c>
      <c r="I162" s="4"/>
      <c r="J162" s="36">
        <f t="shared" si="11"/>
        <v>0.29999999999999993</v>
      </c>
      <c r="K162" s="36">
        <f t="shared" si="11"/>
        <v>0.8</v>
      </c>
      <c r="L162" s="4"/>
      <c r="M162" s="4"/>
      <c r="N162" s="4"/>
      <c r="O162" s="4"/>
    </row>
    <row r="163" spans="1:15" ht="13.9">
      <c r="A163" s="4" t="s">
        <v>122</v>
      </c>
      <c r="B163" s="5">
        <v>2</v>
      </c>
      <c r="C163" s="5">
        <v>2.9</v>
      </c>
      <c r="D163" s="5"/>
      <c r="E163" s="5"/>
      <c r="F163" s="4"/>
      <c r="G163" s="4">
        <v>3.5</v>
      </c>
      <c r="H163" s="32">
        <v>4.5999999999999996</v>
      </c>
      <c r="I163" s="4"/>
      <c r="J163" s="36">
        <f t="shared" si="11"/>
        <v>1.5</v>
      </c>
      <c r="K163" s="36">
        <f t="shared" si="11"/>
        <v>1.6999999999999997</v>
      </c>
      <c r="L163" s="4"/>
      <c r="M163" s="4"/>
      <c r="N163" s="4"/>
      <c r="O163" s="4"/>
    </row>
    <row r="164" spans="1:15" ht="13.9">
      <c r="A164" s="7" t="s">
        <v>32</v>
      </c>
      <c r="B164" s="9">
        <v>15.5</v>
      </c>
      <c r="C164" s="9">
        <v>18.5</v>
      </c>
      <c r="D164" s="9"/>
      <c r="E164" s="9"/>
      <c r="F164" s="4"/>
      <c r="G164" s="60">
        <v>26.6</v>
      </c>
      <c r="H164" s="230">
        <f>+H163+H162+H161+H160+H159</f>
        <v>40</v>
      </c>
      <c r="I164" s="4"/>
      <c r="J164" s="225">
        <f>+J163+J162+J161+J160+J159</f>
        <v>11.3</v>
      </c>
      <c r="K164" s="225">
        <f>+K163+K162+K161+K160+K159</f>
        <v>21.5</v>
      </c>
      <c r="L164" s="4"/>
      <c r="M164" s="4"/>
      <c r="N164" s="4"/>
      <c r="O164" s="4"/>
    </row>
    <row r="165" spans="1:15" ht="13.9">
      <c r="A165" s="7" t="s">
        <v>243</v>
      </c>
      <c r="B165" s="9"/>
      <c r="C165" s="9"/>
      <c r="D165" s="9"/>
      <c r="E165" s="9"/>
      <c r="F165" s="4"/>
      <c r="G165" s="4"/>
      <c r="H165" s="4"/>
      <c r="I165" s="4"/>
      <c r="J165" s="4"/>
      <c r="K165" s="4"/>
      <c r="L165" s="4"/>
      <c r="M165" s="4"/>
      <c r="N165" s="4"/>
      <c r="O165" s="4"/>
    </row>
    <row r="166" spans="1:15" ht="13.9">
      <c r="A166" s="4" t="s">
        <v>247</v>
      </c>
      <c r="B166" s="5"/>
      <c r="C166" s="5"/>
      <c r="D166" s="5"/>
      <c r="E166" s="5"/>
      <c r="F166" s="4"/>
      <c r="G166" s="4"/>
      <c r="H166" s="4"/>
      <c r="I166" s="4"/>
      <c r="J166" s="4"/>
      <c r="K166" s="4"/>
      <c r="L166" s="4"/>
      <c r="M166" s="4"/>
      <c r="N166" s="4"/>
      <c r="O166" s="4"/>
    </row>
    <row r="167" spans="1:15" ht="13.9">
      <c r="A167" s="4"/>
      <c r="B167" s="5"/>
      <c r="C167" s="5"/>
      <c r="D167" s="5"/>
      <c r="E167" s="5"/>
      <c r="F167" s="4"/>
      <c r="G167" s="4"/>
      <c r="H167" s="4"/>
      <c r="I167" s="4"/>
      <c r="J167" s="4"/>
      <c r="K167" s="4"/>
      <c r="L167" s="4"/>
      <c r="M167" s="4"/>
      <c r="N167" s="4"/>
      <c r="O167" s="4"/>
    </row>
    <row r="168" spans="1:15" ht="13.9">
      <c r="A168" s="4"/>
      <c r="B168" s="11"/>
      <c r="C168" s="11"/>
      <c r="D168" s="11"/>
      <c r="E168" s="11"/>
      <c r="F168" s="4"/>
      <c r="G168" s="4"/>
      <c r="H168" s="4"/>
      <c r="I168" s="4"/>
      <c r="J168" s="4"/>
      <c r="K168" s="4"/>
      <c r="L168" s="4"/>
      <c r="M168" s="4"/>
      <c r="N168" s="4"/>
      <c r="O168" s="4"/>
    </row>
    <row r="169" spans="1:15" ht="13.9">
      <c r="A169" s="18" t="s">
        <v>213</v>
      </c>
      <c r="B169" s="4" t="s">
        <v>78</v>
      </c>
      <c r="C169" s="4" t="s">
        <v>6</v>
      </c>
      <c r="D169" s="4"/>
      <c r="E169" s="4"/>
      <c r="F169" s="4"/>
      <c r="G169" s="4" t="str">
        <f>+G3</f>
        <v>9M 13</v>
      </c>
      <c r="H169" s="4" t="str">
        <f>+H3</f>
        <v>9M 14</v>
      </c>
      <c r="I169" s="4"/>
      <c r="J169" s="4" t="str">
        <f>+J3</f>
        <v>Q3 14</v>
      </c>
      <c r="K169" s="4" t="str">
        <f>+K3</f>
        <v>Q4 14</v>
      </c>
      <c r="L169" s="4"/>
      <c r="M169" s="4"/>
      <c r="N169" s="4"/>
      <c r="O169" s="4"/>
    </row>
    <row r="170" spans="1:15" ht="13.9">
      <c r="A170" s="27" t="s">
        <v>124</v>
      </c>
      <c r="B170" s="9">
        <v>108.6</v>
      </c>
      <c r="C170" s="9">
        <v>113.1</v>
      </c>
      <c r="D170" s="9"/>
      <c r="E170" s="9"/>
      <c r="F170" s="4"/>
      <c r="G170" s="9">
        <v>163.19999999999999</v>
      </c>
      <c r="H170" s="9">
        <v>170.2</v>
      </c>
      <c r="I170" s="4"/>
      <c r="J170" s="9">
        <f>+G170-B170</f>
        <v>54.599999999999994</v>
      </c>
      <c r="K170" s="9">
        <f>+H170-C170</f>
        <v>57.099999999999994</v>
      </c>
      <c r="L170" s="4"/>
      <c r="M170" s="4"/>
      <c r="N170" s="4"/>
      <c r="O170" s="4"/>
    </row>
    <row r="171" spans="1:15" ht="13.9">
      <c r="A171" s="4" t="s">
        <v>125</v>
      </c>
      <c r="B171" s="5">
        <v>1.9</v>
      </c>
      <c r="C171" s="5">
        <v>0.4</v>
      </c>
      <c r="D171" s="5"/>
      <c r="E171" s="5"/>
      <c r="F171" s="4"/>
      <c r="G171" s="5">
        <v>2.1</v>
      </c>
      <c r="H171" s="5">
        <v>1</v>
      </c>
      <c r="I171" s="4"/>
      <c r="J171" s="5">
        <f>+G171-B171</f>
        <v>0.20000000000000018</v>
      </c>
      <c r="K171" s="5">
        <f>+H171-C171</f>
        <v>0.6</v>
      </c>
      <c r="L171" s="4"/>
      <c r="M171" s="4"/>
      <c r="N171" s="4"/>
      <c r="O171" s="4"/>
    </row>
    <row r="172" spans="1:15" ht="13.9">
      <c r="A172" s="27" t="s">
        <v>126</v>
      </c>
      <c r="B172" s="9">
        <v>110.7</v>
      </c>
      <c r="C172" s="9">
        <f>+C171+C170</f>
        <v>113.5</v>
      </c>
      <c r="D172" s="79"/>
      <c r="E172" s="9"/>
      <c r="F172" s="4"/>
      <c r="G172" s="9">
        <v>165.4</v>
      </c>
      <c r="H172" s="9">
        <f>+H171+H170</f>
        <v>171.2</v>
      </c>
      <c r="I172" s="4"/>
      <c r="J172" s="9">
        <f>+J171+J170</f>
        <v>54.8</v>
      </c>
      <c r="K172" s="9">
        <f>+K171+K170</f>
        <v>57.699999999999996</v>
      </c>
      <c r="L172" s="4"/>
      <c r="M172" s="4"/>
      <c r="N172" s="4"/>
      <c r="O172" s="4"/>
    </row>
    <row r="173" spans="1:15" ht="13.9">
      <c r="A173" s="4"/>
      <c r="B173" s="4"/>
      <c r="C173" s="4"/>
      <c r="D173" s="4"/>
      <c r="E173" s="4"/>
      <c r="F173" s="4"/>
      <c r="G173" s="4"/>
      <c r="H173" s="4"/>
      <c r="I173" s="4"/>
      <c r="J173" s="4"/>
      <c r="K173" s="4"/>
      <c r="L173" s="4"/>
      <c r="M173" s="4"/>
      <c r="N173" s="4"/>
      <c r="O173" s="4"/>
    </row>
    <row r="174" spans="1:15" ht="13.9">
      <c r="A174" s="27" t="s">
        <v>28</v>
      </c>
      <c r="B174" s="28">
        <v>42.9</v>
      </c>
      <c r="C174" s="28">
        <v>47.2</v>
      </c>
      <c r="D174" s="28"/>
      <c r="E174" s="28"/>
      <c r="F174" s="4"/>
      <c r="G174" s="28">
        <v>66.3</v>
      </c>
      <c r="H174" s="28">
        <v>72.900000000000006</v>
      </c>
      <c r="I174" s="4"/>
      <c r="J174" s="28">
        <f>+G174-B174</f>
        <v>23.4</v>
      </c>
      <c r="K174" s="28">
        <f>+H174-C174</f>
        <v>25.700000000000003</v>
      </c>
      <c r="L174" s="4"/>
      <c r="M174" s="4"/>
      <c r="N174" s="4"/>
      <c r="O174" s="4"/>
    </row>
    <row r="175" spans="1:15" ht="13.9">
      <c r="A175" s="6" t="s">
        <v>127</v>
      </c>
      <c r="B175" s="29"/>
      <c r="C175" s="29"/>
      <c r="D175" s="29"/>
      <c r="E175" s="29"/>
      <c r="F175" s="4"/>
      <c r="G175" s="29"/>
      <c r="H175" s="29"/>
      <c r="I175" s="4"/>
      <c r="J175" s="29"/>
      <c r="K175" s="29"/>
      <c r="L175" s="4"/>
      <c r="M175" s="4"/>
      <c r="N175" s="4"/>
      <c r="O175" s="4"/>
    </row>
    <row r="176" spans="1:15" ht="13.9">
      <c r="A176" s="4" t="s">
        <v>0</v>
      </c>
      <c r="B176" s="30">
        <v>0</v>
      </c>
      <c r="C176" s="30">
        <v>0.1</v>
      </c>
      <c r="D176" s="30"/>
      <c r="E176" s="30"/>
      <c r="F176" s="4"/>
      <c r="G176" s="30">
        <v>0</v>
      </c>
      <c r="H176" s="30">
        <v>0.1</v>
      </c>
      <c r="I176" s="4"/>
      <c r="J176" s="5">
        <f t="shared" ref="J176:K180" si="12">+G176-B176</f>
        <v>0</v>
      </c>
      <c r="K176" s="5">
        <f t="shared" si="12"/>
        <v>0</v>
      </c>
      <c r="L176" s="4"/>
      <c r="M176" s="4"/>
      <c r="N176" s="4"/>
      <c r="O176" s="4"/>
    </row>
    <row r="177" spans="1:15" ht="13.9">
      <c r="A177" s="4" t="s">
        <v>128</v>
      </c>
      <c r="B177" s="30">
        <v>1.9</v>
      </c>
      <c r="C177" s="30">
        <v>0.3</v>
      </c>
      <c r="D177" s="30"/>
      <c r="E177" s="30"/>
      <c r="F177" s="4"/>
      <c r="G177" s="30">
        <v>2.1</v>
      </c>
      <c r="H177" s="30">
        <v>0.9</v>
      </c>
      <c r="I177" s="4"/>
      <c r="J177" s="5">
        <f t="shared" si="12"/>
        <v>0.20000000000000018</v>
      </c>
      <c r="K177" s="5">
        <f t="shared" si="12"/>
        <v>0.60000000000000009</v>
      </c>
      <c r="L177" s="4"/>
      <c r="M177" s="4"/>
      <c r="N177" s="4"/>
      <c r="O177" s="4"/>
    </row>
    <row r="178" spans="1:15" ht="13.9">
      <c r="A178" s="4" t="s">
        <v>129</v>
      </c>
      <c r="B178" s="30">
        <v>0</v>
      </c>
      <c r="C178" s="30">
        <v>-0.2</v>
      </c>
      <c r="D178" s="30"/>
      <c r="E178" s="30"/>
      <c r="F178" s="4"/>
      <c r="G178" s="30">
        <v>-0.1</v>
      </c>
      <c r="H178" s="30">
        <v>-1.2</v>
      </c>
      <c r="I178" s="4"/>
      <c r="J178" s="5">
        <f t="shared" si="12"/>
        <v>-0.1</v>
      </c>
      <c r="K178" s="5">
        <f t="shared" si="12"/>
        <v>-1</v>
      </c>
      <c r="L178" s="4"/>
      <c r="M178" s="4"/>
      <c r="N178" s="4"/>
      <c r="O178" s="4"/>
    </row>
    <row r="179" spans="1:15" ht="13.9">
      <c r="A179" s="4" t="s">
        <v>130</v>
      </c>
      <c r="B179" s="30">
        <v>-2.1</v>
      </c>
      <c r="C179" s="30">
        <v>-0.3</v>
      </c>
      <c r="D179" s="30"/>
      <c r="E179" s="30"/>
      <c r="F179" s="4"/>
      <c r="G179" s="30">
        <v>-2.2999999999999998</v>
      </c>
      <c r="H179" s="30">
        <v>-0.7</v>
      </c>
      <c r="I179" s="4"/>
      <c r="J179" s="5">
        <f t="shared" si="12"/>
        <v>-0.19999999999999973</v>
      </c>
      <c r="K179" s="5">
        <f t="shared" si="12"/>
        <v>-0.39999999999999997</v>
      </c>
      <c r="L179" s="4"/>
      <c r="M179" s="4"/>
      <c r="N179" s="4"/>
      <c r="O179" s="4"/>
    </row>
    <row r="180" spans="1:15" ht="15">
      <c r="A180" s="4" t="s">
        <v>196</v>
      </c>
      <c r="B180" s="30">
        <v>-1.3</v>
      </c>
      <c r="C180" s="30">
        <v>-3.2</v>
      </c>
      <c r="D180" s="30"/>
      <c r="E180" s="30"/>
      <c r="F180" s="4"/>
      <c r="G180" s="30">
        <v>-3.2</v>
      </c>
      <c r="H180" s="30">
        <v>-7.1</v>
      </c>
      <c r="I180" s="4"/>
      <c r="J180" s="5">
        <f t="shared" si="12"/>
        <v>-1.9000000000000001</v>
      </c>
      <c r="K180" s="5">
        <f t="shared" si="12"/>
        <v>-3.8999999999999995</v>
      </c>
      <c r="L180" s="4"/>
      <c r="M180" s="4"/>
      <c r="N180" s="4"/>
      <c r="O180" s="4"/>
    </row>
    <row r="181" spans="1:15" ht="13.9">
      <c r="A181" s="27" t="s">
        <v>27</v>
      </c>
      <c r="B181" s="28">
        <f>+SUM(B174:B180)</f>
        <v>41.4</v>
      </c>
      <c r="C181" s="28">
        <f>+SUM(C174:C180)</f>
        <v>43.9</v>
      </c>
      <c r="D181" s="28"/>
      <c r="E181" s="28"/>
      <c r="F181" s="4"/>
      <c r="G181" s="28">
        <v>62.7</v>
      </c>
      <c r="H181" s="28">
        <f>+SUM(H174:H180)</f>
        <v>64.900000000000006</v>
      </c>
      <c r="I181" s="28"/>
      <c r="J181" s="28">
        <f>+SUM(J174:J180)</f>
        <v>21.4</v>
      </c>
      <c r="K181" s="28">
        <f>+SUM(K174:K180)</f>
        <v>21.000000000000007</v>
      </c>
      <c r="L181" s="4"/>
      <c r="M181" s="4"/>
      <c r="N181" s="4"/>
      <c r="O181" s="4"/>
    </row>
    <row r="182" spans="1:15" ht="13.9">
      <c r="A182" s="4"/>
      <c r="B182" s="4"/>
      <c r="C182" s="4"/>
      <c r="D182" s="4"/>
      <c r="E182" s="4"/>
      <c r="F182" s="4"/>
      <c r="G182" s="4"/>
      <c r="H182" s="4"/>
      <c r="I182" s="4"/>
      <c r="J182" s="4"/>
      <c r="K182" s="4"/>
      <c r="L182" s="4"/>
      <c r="M182" s="4"/>
      <c r="N182" s="4"/>
      <c r="O182" s="4"/>
    </row>
    <row r="183" spans="1:15" ht="13.9">
      <c r="A183" s="17" t="s">
        <v>131</v>
      </c>
      <c r="B183" s="4"/>
      <c r="C183" s="4"/>
      <c r="D183" s="4"/>
      <c r="E183" s="4"/>
      <c r="F183" s="4"/>
      <c r="G183" s="4"/>
      <c r="H183" s="4"/>
      <c r="I183" s="4"/>
      <c r="J183" s="4"/>
      <c r="K183" s="4"/>
      <c r="L183" s="4"/>
      <c r="M183" s="4"/>
      <c r="N183" s="4"/>
      <c r="O183" s="4"/>
    </row>
    <row r="184" spans="1:15" ht="13.9">
      <c r="A184" s="17" t="s">
        <v>132</v>
      </c>
      <c r="B184" s="4"/>
      <c r="C184" s="4"/>
      <c r="D184" s="4"/>
      <c r="E184" s="4"/>
      <c r="F184" s="4"/>
      <c r="G184" s="4"/>
      <c r="H184" s="4"/>
      <c r="I184" s="4"/>
      <c r="J184" s="4"/>
      <c r="K184" s="4"/>
      <c r="L184" s="4"/>
      <c r="M184" s="4"/>
      <c r="N184" s="4"/>
      <c r="O184" s="4"/>
    </row>
    <row r="185" spans="1:15" ht="13.9">
      <c r="A185" s="17" t="s">
        <v>133</v>
      </c>
      <c r="B185" s="4"/>
      <c r="C185" s="4"/>
      <c r="D185" s="4"/>
      <c r="E185" s="4"/>
      <c r="F185" s="4"/>
      <c r="G185" s="4"/>
      <c r="H185" s="4"/>
      <c r="I185" s="4"/>
      <c r="J185" s="4"/>
      <c r="K185" s="4"/>
      <c r="L185" s="4"/>
      <c r="M185" s="4"/>
      <c r="N185" s="4"/>
      <c r="O185" s="4"/>
    </row>
    <row r="186" spans="1:15" ht="13.9">
      <c r="A186" s="17" t="s">
        <v>134</v>
      </c>
      <c r="B186" s="4"/>
      <c r="C186" s="4"/>
      <c r="D186" s="4"/>
      <c r="E186" s="4"/>
      <c r="F186" s="4"/>
      <c r="G186" s="4"/>
      <c r="H186" s="4"/>
      <c r="I186" s="4"/>
      <c r="J186" s="4"/>
      <c r="K186" s="4"/>
      <c r="L186" s="4"/>
      <c r="M186" s="4"/>
      <c r="N186" s="4"/>
      <c r="O186" s="4"/>
    </row>
    <row r="187" spans="1:15" ht="13.9">
      <c r="A187" s="17"/>
      <c r="B187" s="4"/>
      <c r="C187" s="4"/>
      <c r="D187" s="4"/>
      <c r="E187" s="4"/>
      <c r="F187" s="4"/>
      <c r="G187" s="4"/>
      <c r="H187" s="4"/>
      <c r="I187" s="4"/>
      <c r="J187" s="4"/>
      <c r="K187" s="4"/>
      <c r="L187" s="4"/>
      <c r="M187" s="4"/>
      <c r="N187" s="4"/>
      <c r="O187" s="4"/>
    </row>
    <row r="188" spans="1:15" ht="13.9">
      <c r="A188" s="7"/>
      <c r="B188" s="7"/>
      <c r="C188" s="7"/>
      <c r="D188" s="7"/>
      <c r="E188" s="7"/>
      <c r="F188" s="4"/>
      <c r="G188" s="4"/>
      <c r="H188" s="4"/>
      <c r="I188" s="4"/>
      <c r="J188" s="4"/>
      <c r="K188" s="4"/>
      <c r="L188" s="4"/>
      <c r="M188" s="4"/>
      <c r="N188" s="4"/>
      <c r="O188" s="4"/>
    </row>
    <row r="189" spans="1:15" ht="13.9">
      <c r="A189" s="18" t="s">
        <v>192</v>
      </c>
      <c r="B189" s="4" t="s">
        <v>78</v>
      </c>
      <c r="C189" s="4" t="s">
        <v>6</v>
      </c>
      <c r="D189" s="4"/>
      <c r="E189" s="4"/>
      <c r="F189" s="4"/>
      <c r="G189" s="4" t="str">
        <f>+G3</f>
        <v>9M 13</v>
      </c>
      <c r="H189" s="4" t="str">
        <f>+H3</f>
        <v>9M 14</v>
      </c>
      <c r="I189" s="4"/>
      <c r="J189" s="4" t="str">
        <f>+J3</f>
        <v>Q3 14</v>
      </c>
      <c r="K189" s="4" t="str">
        <f>+K3</f>
        <v>Q4 14</v>
      </c>
      <c r="L189" s="4"/>
      <c r="M189" s="4"/>
      <c r="N189" s="4"/>
      <c r="O189" s="4"/>
    </row>
    <row r="190" spans="1:15" ht="13.9">
      <c r="A190" s="27" t="s">
        <v>28</v>
      </c>
      <c r="B190" s="9">
        <v>42.9</v>
      </c>
      <c r="C190" s="9">
        <v>47.2</v>
      </c>
      <c r="D190" s="9"/>
      <c r="E190" s="9"/>
      <c r="F190" s="4"/>
      <c r="G190" s="9">
        <v>66.3</v>
      </c>
      <c r="H190" s="9">
        <v>72.900000000000006</v>
      </c>
      <c r="I190" s="4"/>
      <c r="J190" s="9">
        <f>+G190-B190</f>
        <v>23.4</v>
      </c>
      <c r="K190" s="9">
        <f>+H190-C190</f>
        <v>25.700000000000003</v>
      </c>
      <c r="L190" s="4"/>
      <c r="M190" s="4"/>
      <c r="N190" s="4"/>
      <c r="O190" s="4"/>
    </row>
    <row r="191" spans="1:15" ht="13.9">
      <c r="A191" s="31" t="s">
        <v>135</v>
      </c>
      <c r="B191" s="5">
        <v>0</v>
      </c>
      <c r="C191" s="5">
        <v>0</v>
      </c>
      <c r="D191" s="5"/>
      <c r="E191" s="5"/>
      <c r="F191" s="4"/>
      <c r="G191" s="5">
        <v>0</v>
      </c>
      <c r="H191" s="5">
        <v>0</v>
      </c>
      <c r="I191" s="4"/>
      <c r="J191" s="5">
        <f t="shared" ref="J191:J200" si="13">+G191-B191</f>
        <v>0</v>
      </c>
      <c r="K191" s="5">
        <f t="shared" ref="K191:K200" si="14">+H191-C191</f>
        <v>0</v>
      </c>
      <c r="L191" s="4"/>
      <c r="M191" s="4"/>
      <c r="N191" s="4"/>
      <c r="O191" s="4"/>
    </row>
    <row r="192" spans="1:15" ht="13.9">
      <c r="A192" s="31" t="s">
        <v>136</v>
      </c>
      <c r="B192" s="5">
        <v>1</v>
      </c>
      <c r="C192" s="5">
        <v>0</v>
      </c>
      <c r="D192" s="5"/>
      <c r="E192" s="5"/>
      <c r="F192" s="4"/>
      <c r="G192" s="5">
        <v>0.6</v>
      </c>
      <c r="H192" s="5">
        <v>0.5</v>
      </c>
      <c r="I192" s="4"/>
      <c r="J192" s="5">
        <f t="shared" si="13"/>
        <v>-0.4</v>
      </c>
      <c r="K192" s="5">
        <f t="shared" si="14"/>
        <v>0.5</v>
      </c>
      <c r="L192" s="4"/>
      <c r="M192" s="4"/>
      <c r="N192" s="4"/>
      <c r="O192" s="4"/>
    </row>
    <row r="193" spans="1:21" ht="13.9">
      <c r="A193" s="31" t="s">
        <v>137</v>
      </c>
      <c r="B193" s="5">
        <v>0</v>
      </c>
      <c r="C193" s="5">
        <v>0</v>
      </c>
      <c r="D193" s="5"/>
      <c r="E193" s="5"/>
      <c r="F193" s="4"/>
      <c r="G193" s="5">
        <v>0</v>
      </c>
      <c r="H193" s="5">
        <v>-1</v>
      </c>
      <c r="I193" s="4"/>
      <c r="J193" s="5">
        <f t="shared" si="13"/>
        <v>0</v>
      </c>
      <c r="K193" s="5">
        <f t="shared" si="14"/>
        <v>-1</v>
      </c>
      <c r="L193" s="4"/>
      <c r="M193" s="4"/>
      <c r="N193" s="4"/>
      <c r="O193" s="4"/>
    </row>
    <row r="194" spans="1:21" ht="13.9">
      <c r="A194" s="31" t="s">
        <v>53</v>
      </c>
      <c r="B194" s="5">
        <v>0</v>
      </c>
      <c r="C194" s="5">
        <v>0.1</v>
      </c>
      <c r="D194" s="5"/>
      <c r="E194" s="5"/>
      <c r="F194" s="4"/>
      <c r="G194" s="5">
        <v>0</v>
      </c>
      <c r="H194" s="5">
        <v>0</v>
      </c>
      <c r="I194" s="4"/>
      <c r="J194" s="5">
        <f t="shared" si="13"/>
        <v>0</v>
      </c>
      <c r="K194" s="5">
        <f t="shared" si="14"/>
        <v>-0.1</v>
      </c>
      <c r="L194" s="4"/>
      <c r="M194" s="4"/>
      <c r="N194" s="4"/>
      <c r="O194" s="4"/>
    </row>
    <row r="195" spans="1:21" ht="13.9">
      <c r="A195" s="31" t="s">
        <v>138</v>
      </c>
      <c r="B195" s="5">
        <v>0</v>
      </c>
      <c r="C195" s="5">
        <v>0</v>
      </c>
      <c r="D195" s="5"/>
      <c r="E195" s="5"/>
      <c r="F195" s="4"/>
      <c r="G195" s="5">
        <v>0</v>
      </c>
      <c r="H195" s="5">
        <v>-0.1</v>
      </c>
      <c r="I195" s="4"/>
      <c r="J195" s="5">
        <f t="shared" si="13"/>
        <v>0</v>
      </c>
      <c r="K195" s="5">
        <f t="shared" si="14"/>
        <v>-0.1</v>
      </c>
      <c r="L195" s="4"/>
      <c r="M195" s="4"/>
      <c r="N195" s="4"/>
      <c r="O195" s="4"/>
    </row>
    <row r="196" spans="1:21" ht="13.9">
      <c r="A196" s="31" t="s">
        <v>139</v>
      </c>
      <c r="B196" s="5">
        <v>-1.7</v>
      </c>
      <c r="C196" s="5">
        <v>-0.1</v>
      </c>
      <c r="D196" s="5"/>
      <c r="E196" s="5"/>
      <c r="F196" s="4"/>
      <c r="G196" s="5">
        <v>-2.2999999999999998</v>
      </c>
      <c r="H196" s="5">
        <v>-0.7</v>
      </c>
      <c r="I196" s="4"/>
      <c r="J196" s="5">
        <f t="shared" si="13"/>
        <v>-0.59999999999999987</v>
      </c>
      <c r="K196" s="5">
        <f t="shared" si="14"/>
        <v>-0.6</v>
      </c>
      <c r="L196" s="4"/>
      <c r="M196" s="4"/>
      <c r="N196" s="4"/>
      <c r="O196" s="4"/>
    </row>
    <row r="197" spans="1:21" ht="13.9">
      <c r="A197" s="31" t="s">
        <v>140</v>
      </c>
      <c r="B197" s="5">
        <v>-0.8</v>
      </c>
      <c r="C197" s="5">
        <v>-1.9</v>
      </c>
      <c r="D197" s="5"/>
      <c r="E197" s="5"/>
      <c r="F197" s="4"/>
      <c r="G197" s="5">
        <v>-1.5</v>
      </c>
      <c r="H197" s="5">
        <v>-5.5</v>
      </c>
      <c r="I197" s="4"/>
      <c r="J197" s="5">
        <f t="shared" si="13"/>
        <v>-0.7</v>
      </c>
      <c r="K197" s="5">
        <f t="shared" si="14"/>
        <v>-3.6</v>
      </c>
      <c r="L197" s="4"/>
      <c r="M197" s="4"/>
      <c r="N197" s="4"/>
      <c r="O197" s="4"/>
    </row>
    <row r="198" spans="1:21" ht="13.9">
      <c r="A198" s="31" t="s">
        <v>141</v>
      </c>
      <c r="B198" s="5">
        <v>0.8</v>
      </c>
      <c r="C198" s="5">
        <v>0</v>
      </c>
      <c r="D198" s="5"/>
      <c r="E198" s="5"/>
      <c r="F198" s="4"/>
      <c r="G198" s="5">
        <v>0.8</v>
      </c>
      <c r="H198" s="5">
        <v>0</v>
      </c>
      <c r="I198" s="4"/>
      <c r="J198" s="5">
        <f t="shared" si="13"/>
        <v>0</v>
      </c>
      <c r="K198" s="5">
        <f t="shared" si="14"/>
        <v>0</v>
      </c>
      <c r="L198" s="4"/>
      <c r="M198" s="4"/>
      <c r="N198" s="4"/>
      <c r="O198" s="4"/>
    </row>
    <row r="199" spans="1:21" ht="13.9">
      <c r="A199" s="31" t="s">
        <v>142</v>
      </c>
      <c r="B199" s="5">
        <v>-0.2</v>
      </c>
      <c r="C199" s="5">
        <v>-0.3</v>
      </c>
      <c r="D199" s="5"/>
      <c r="E199" s="5"/>
      <c r="F199" s="4"/>
      <c r="G199" s="5">
        <v>-0.6</v>
      </c>
      <c r="H199" s="5">
        <v>-0.5</v>
      </c>
      <c r="I199" s="4"/>
      <c r="J199" s="5">
        <f t="shared" si="13"/>
        <v>-0.39999999999999997</v>
      </c>
      <c r="K199" s="5">
        <f t="shared" si="14"/>
        <v>-0.2</v>
      </c>
      <c r="L199" s="4"/>
      <c r="M199" s="4"/>
      <c r="N199" s="4"/>
      <c r="O199" s="4"/>
    </row>
    <row r="200" spans="1:21" ht="15">
      <c r="A200" s="31" t="s">
        <v>211</v>
      </c>
      <c r="B200" s="5">
        <v>-0.6</v>
      </c>
      <c r="C200" s="5">
        <v>-1.1000000000000001</v>
      </c>
      <c r="D200" s="5"/>
      <c r="E200" s="5"/>
      <c r="F200" s="4"/>
      <c r="G200" s="5">
        <v>-0.6</v>
      </c>
      <c r="H200" s="5">
        <v>-0.8</v>
      </c>
      <c r="I200" s="4"/>
      <c r="J200" s="5">
        <f t="shared" si="13"/>
        <v>0</v>
      </c>
      <c r="K200" s="5">
        <f t="shared" si="14"/>
        <v>0.30000000000000004</v>
      </c>
      <c r="L200" s="4"/>
      <c r="M200" s="4"/>
      <c r="N200" s="4"/>
      <c r="O200" s="4"/>
    </row>
    <row r="201" spans="1:21" ht="13.9">
      <c r="A201" s="27" t="s">
        <v>27</v>
      </c>
      <c r="B201" s="9">
        <v>41.4</v>
      </c>
      <c r="C201" s="9">
        <v>43.9</v>
      </c>
      <c r="D201" s="9"/>
      <c r="E201" s="9"/>
      <c r="F201" s="4"/>
      <c r="G201" s="9">
        <f>SUM(G190:G200)</f>
        <v>62.699999999999989</v>
      </c>
      <c r="H201" s="9">
        <v>64.900000000000006</v>
      </c>
      <c r="I201" s="4"/>
      <c r="J201" s="9">
        <f>SUM(J190:J200)</f>
        <v>21.3</v>
      </c>
      <c r="K201" s="9">
        <f>SUM(K190:K200)</f>
        <v>20.9</v>
      </c>
      <c r="L201" s="4"/>
      <c r="M201" s="4"/>
      <c r="N201" s="4"/>
      <c r="O201" s="4"/>
    </row>
    <row r="202" spans="1:21" ht="13.9">
      <c r="A202" s="4"/>
      <c r="B202" s="32"/>
      <c r="C202" s="32"/>
      <c r="D202" s="32"/>
      <c r="E202" s="32"/>
      <c r="F202" s="4"/>
      <c r="G202" s="4"/>
      <c r="H202" s="4"/>
      <c r="I202" s="4"/>
      <c r="J202" s="4"/>
      <c r="K202" s="4"/>
      <c r="L202" s="4"/>
      <c r="M202" s="4"/>
      <c r="N202" s="4"/>
      <c r="O202" s="4"/>
    </row>
    <row r="203" spans="1:21" ht="13.9">
      <c r="A203" s="17" t="s">
        <v>185</v>
      </c>
      <c r="B203" s="4"/>
      <c r="C203" s="4"/>
      <c r="D203" s="4"/>
      <c r="E203" s="4"/>
      <c r="F203" s="4"/>
      <c r="G203" s="4"/>
      <c r="H203" s="4"/>
      <c r="I203" s="4"/>
      <c r="J203" s="4"/>
      <c r="K203" s="4"/>
      <c r="L203" s="4"/>
      <c r="M203" s="4"/>
      <c r="N203" s="4"/>
      <c r="O203" s="4"/>
    </row>
    <row r="204" spans="1:21" ht="13.9">
      <c r="A204" s="4"/>
      <c r="B204" s="4"/>
      <c r="C204" s="4"/>
      <c r="D204" s="4"/>
      <c r="E204" s="4"/>
      <c r="F204" s="4"/>
      <c r="G204" s="4"/>
      <c r="H204" s="4"/>
      <c r="I204" s="4"/>
      <c r="J204" s="4"/>
      <c r="K204" s="4"/>
      <c r="L204" s="4"/>
      <c r="M204" s="4"/>
      <c r="N204" s="4"/>
      <c r="O204" s="4"/>
      <c r="T204" t="s">
        <v>381</v>
      </c>
      <c r="U204" t="s">
        <v>382</v>
      </c>
    </row>
    <row r="205" spans="1:21" ht="13.9">
      <c r="A205" s="18" t="s">
        <v>36</v>
      </c>
      <c r="B205" s="4" t="s">
        <v>2</v>
      </c>
      <c r="C205" s="4" t="s">
        <v>76</v>
      </c>
      <c r="D205" s="4"/>
      <c r="E205" s="4"/>
      <c r="F205" s="4"/>
      <c r="G205" s="4"/>
      <c r="H205" s="4" t="s">
        <v>1</v>
      </c>
      <c r="I205" s="4" t="s">
        <v>2</v>
      </c>
      <c r="J205" s="4" t="s">
        <v>3</v>
      </c>
      <c r="K205" s="4" t="s">
        <v>4</v>
      </c>
      <c r="L205" s="4" t="s">
        <v>5</v>
      </c>
      <c r="M205" s="4" t="s">
        <v>76</v>
      </c>
      <c r="N205" s="4" t="s">
        <v>717</v>
      </c>
      <c r="O205" s="4" t="s">
        <v>380</v>
      </c>
    </row>
    <row r="206" spans="1:21" ht="13.9">
      <c r="A206" s="4" t="s">
        <v>109</v>
      </c>
      <c r="B206" s="11">
        <v>1760</v>
      </c>
      <c r="C206" s="11">
        <v>1704</v>
      </c>
      <c r="D206" s="11"/>
      <c r="E206" s="11"/>
      <c r="F206" s="4"/>
      <c r="G206" s="7"/>
      <c r="H206" s="11">
        <v>1814</v>
      </c>
      <c r="I206" s="11">
        <v>1760</v>
      </c>
      <c r="J206" s="11">
        <v>1750</v>
      </c>
      <c r="K206" s="11">
        <v>1749</v>
      </c>
      <c r="L206" s="11">
        <v>1710</v>
      </c>
      <c r="M206" s="11">
        <v>1704</v>
      </c>
      <c r="N206" s="11">
        <v>1720</v>
      </c>
      <c r="O206" s="11" t="e">
        <f>+'Model also  old'!#REF!</f>
        <v>#REF!</v>
      </c>
      <c r="P206" t="str">
        <f t="shared" ref="P206:P211" si="15">+A206</f>
        <v>Homes connected ('000)</v>
      </c>
      <c r="T206" s="2">
        <f t="shared" ref="T206:T211" si="16">+M206-K206</f>
        <v>-45</v>
      </c>
      <c r="U206" s="2" t="e">
        <f t="shared" ref="U206:U211" si="17">+O206-M206</f>
        <v>#REF!</v>
      </c>
    </row>
    <row r="207" spans="1:21" ht="13.9">
      <c r="A207" s="4" t="s">
        <v>110</v>
      </c>
      <c r="B207" s="11">
        <v>1195</v>
      </c>
      <c r="C207" s="11">
        <v>1187</v>
      </c>
      <c r="D207" s="11"/>
      <c r="E207" s="11"/>
      <c r="F207" s="4"/>
      <c r="G207" s="7"/>
      <c r="H207" s="11">
        <v>1204</v>
      </c>
      <c r="I207" s="11">
        <v>1195</v>
      </c>
      <c r="J207" s="11">
        <v>1189</v>
      </c>
      <c r="K207" s="11">
        <v>1197</v>
      </c>
      <c r="L207" s="11">
        <v>1188</v>
      </c>
      <c r="M207" s="11">
        <v>1187</v>
      </c>
      <c r="N207" s="11">
        <v>1194</v>
      </c>
      <c r="O207" s="11" t="e">
        <f>+'Model also  old'!#REF!</f>
        <v>#REF!</v>
      </c>
      <c r="P207" t="str">
        <f t="shared" si="15"/>
        <v>Homes connected - own network ('000)</v>
      </c>
      <c r="T207" s="2">
        <f t="shared" si="16"/>
        <v>-10</v>
      </c>
      <c r="U207" s="2" t="e">
        <f t="shared" si="17"/>
        <v>#REF!</v>
      </c>
    </row>
    <row r="208" spans="1:21" ht="13.9">
      <c r="A208" s="4" t="s">
        <v>111</v>
      </c>
      <c r="B208" s="11">
        <v>565</v>
      </c>
      <c r="C208" s="11">
        <v>517</v>
      </c>
      <c r="D208" s="11"/>
      <c r="E208" s="11"/>
      <c r="F208" s="4"/>
      <c r="G208" s="7"/>
      <c r="H208" s="11">
        <v>610</v>
      </c>
      <c r="I208" s="11">
        <v>565</v>
      </c>
      <c r="J208" s="11">
        <v>561</v>
      </c>
      <c r="K208" s="11">
        <v>552</v>
      </c>
      <c r="L208" s="11">
        <v>522</v>
      </c>
      <c r="M208" s="11">
        <v>517</v>
      </c>
      <c r="N208" s="11">
        <v>525.25</v>
      </c>
      <c r="O208" s="11" t="e">
        <f>+'Model also  old'!#REF!</f>
        <v>#REF!</v>
      </c>
      <c r="P208" t="str">
        <f t="shared" si="15"/>
        <v>Homes connected - foreign network ('000)</v>
      </c>
      <c r="T208" s="2">
        <f t="shared" si="16"/>
        <v>-35</v>
      </c>
      <c r="U208" s="2" t="e">
        <f t="shared" si="17"/>
        <v>#REF!</v>
      </c>
    </row>
    <row r="209" spans="1:21" ht="13.9">
      <c r="A209" s="4" t="s">
        <v>112</v>
      </c>
      <c r="B209" s="11">
        <v>1017</v>
      </c>
      <c r="C209" s="11">
        <v>1060</v>
      </c>
      <c r="D209" s="11"/>
      <c r="E209" s="11"/>
      <c r="F209" s="4"/>
      <c r="G209" s="7"/>
      <c r="H209" s="11">
        <v>1021</v>
      </c>
      <c r="I209" s="11">
        <v>1017</v>
      </c>
      <c r="J209" s="11">
        <v>1023</v>
      </c>
      <c r="K209" s="11">
        <v>1040</v>
      </c>
      <c r="L209" s="11">
        <v>1048</v>
      </c>
      <c r="M209" s="11">
        <v>1060</v>
      </c>
      <c r="N209" s="11">
        <v>1068</v>
      </c>
      <c r="O209" s="11" t="e">
        <f>+'Model also  old'!#REF!</f>
        <v>#REF!</v>
      </c>
      <c r="P209" t="str">
        <f t="shared" si="15"/>
        <v>Homes connected - two-way upgraded ('000)</v>
      </c>
      <c r="T209" s="2">
        <f t="shared" si="16"/>
        <v>20</v>
      </c>
      <c r="U209" s="2" t="e">
        <f t="shared" si="17"/>
        <v>#REF!</v>
      </c>
    </row>
    <row r="210" spans="1:21" ht="13.9">
      <c r="A210" s="4" t="s">
        <v>113</v>
      </c>
      <c r="B210" s="11">
        <v>866</v>
      </c>
      <c r="C210" s="11">
        <v>925</v>
      </c>
      <c r="D210" s="11"/>
      <c r="E210" s="11"/>
      <c r="F210" s="4"/>
      <c r="G210" s="7"/>
      <c r="H210" s="11">
        <v>862</v>
      </c>
      <c r="I210" s="11">
        <v>866</v>
      </c>
      <c r="J210" s="11">
        <v>873</v>
      </c>
      <c r="K210" s="11">
        <v>891</v>
      </c>
      <c r="L210" s="11">
        <v>901</v>
      </c>
      <c r="M210" s="11">
        <v>925</v>
      </c>
      <c r="N210" s="11">
        <v>932.47799999999995</v>
      </c>
      <c r="O210" s="11" t="e">
        <f>+'Model also  old'!#REF!</f>
        <v>#REF!</v>
      </c>
      <c r="P210" t="str">
        <f t="shared" si="15"/>
        <v>Homes connected - own network - two-way upgraded ('000)</v>
      </c>
      <c r="T210" s="2">
        <f t="shared" si="16"/>
        <v>34</v>
      </c>
      <c r="U210" s="2" t="e">
        <f t="shared" si="17"/>
        <v>#REF!</v>
      </c>
    </row>
    <row r="211" spans="1:21" ht="13.9">
      <c r="A211" s="4" t="s">
        <v>114</v>
      </c>
      <c r="B211" s="11">
        <v>151</v>
      </c>
      <c r="C211" s="11">
        <v>135</v>
      </c>
      <c r="D211" s="11"/>
      <c r="E211" s="11"/>
      <c r="F211" s="4"/>
      <c r="G211" s="7"/>
      <c r="H211" s="11">
        <v>158</v>
      </c>
      <c r="I211" s="11">
        <v>151</v>
      </c>
      <c r="J211" s="11">
        <v>150</v>
      </c>
      <c r="K211" s="11">
        <v>148</v>
      </c>
      <c r="L211" s="11">
        <v>147</v>
      </c>
      <c r="M211" s="11">
        <v>135</v>
      </c>
      <c r="N211" s="11">
        <v>135.5</v>
      </c>
      <c r="O211" s="11" t="e">
        <f>+'Model also  old'!#REF!</f>
        <v>#REF!</v>
      </c>
      <c r="P211" t="str">
        <f t="shared" si="15"/>
        <v>Homes connected - foreign network - two-way upgraded ('000)</v>
      </c>
      <c r="T211" s="2">
        <f t="shared" si="16"/>
        <v>-13</v>
      </c>
      <c r="U211" s="2" t="e">
        <f t="shared" si="17"/>
        <v>#REF!</v>
      </c>
    </row>
    <row r="212" spans="1:21" ht="13.9">
      <c r="A212" s="4"/>
      <c r="B212" s="7"/>
      <c r="C212" s="7"/>
      <c r="D212" s="7"/>
      <c r="E212" s="7"/>
      <c r="F212" s="4"/>
      <c r="G212" s="7"/>
      <c r="H212" s="7"/>
      <c r="I212" s="7"/>
      <c r="J212" s="7"/>
      <c r="K212" s="7"/>
      <c r="L212" s="7"/>
      <c r="M212" s="7"/>
      <c r="N212" s="4"/>
      <c r="O212" s="7"/>
    </row>
    <row r="213" spans="1:21" ht="13.9">
      <c r="A213" s="4" t="s">
        <v>224</v>
      </c>
      <c r="B213" s="7"/>
      <c r="C213" s="7"/>
      <c r="D213" s="7"/>
      <c r="E213" s="7"/>
      <c r="F213" s="4"/>
      <c r="G213" s="7"/>
      <c r="H213" s="33">
        <f>+H207/H206</f>
        <v>0.66372657111356115</v>
      </c>
      <c r="I213" s="33">
        <f t="shared" ref="I213:O213" si="18">+I207/I206</f>
        <v>0.67897727272727271</v>
      </c>
      <c r="J213" s="33">
        <f t="shared" si="18"/>
        <v>0.67942857142857138</v>
      </c>
      <c r="K213" s="33">
        <f t="shared" si="18"/>
        <v>0.68439108061749576</v>
      </c>
      <c r="L213" s="33">
        <f t="shared" si="18"/>
        <v>0.69473684210526321</v>
      </c>
      <c r="M213" s="33">
        <f t="shared" si="18"/>
        <v>0.69659624413145538</v>
      </c>
      <c r="N213" s="33">
        <f t="shared" si="18"/>
        <v>0.69418604651162785</v>
      </c>
      <c r="O213" s="33" t="e">
        <f t="shared" si="18"/>
        <v>#REF!</v>
      </c>
    </row>
    <row r="214" spans="1:21" ht="13.9">
      <c r="A214" s="4" t="s">
        <v>225</v>
      </c>
      <c r="B214" s="7"/>
      <c r="C214" s="7"/>
      <c r="D214" s="7"/>
      <c r="E214" s="7"/>
      <c r="F214" s="4"/>
      <c r="G214" s="7"/>
      <c r="H214" s="33">
        <f>+H208/H206</f>
        <v>0.3362734288864388</v>
      </c>
      <c r="I214" s="33">
        <f t="shared" ref="I214:O214" si="19">+I208/I206</f>
        <v>0.32102272727272729</v>
      </c>
      <c r="J214" s="33">
        <f t="shared" si="19"/>
        <v>0.32057142857142856</v>
      </c>
      <c r="K214" s="33">
        <f t="shared" si="19"/>
        <v>0.31560891938250429</v>
      </c>
      <c r="L214" s="33">
        <f t="shared" si="19"/>
        <v>0.30526315789473685</v>
      </c>
      <c r="M214" s="33">
        <f t="shared" si="19"/>
        <v>0.30340375586854462</v>
      </c>
      <c r="N214" s="33">
        <f t="shared" si="19"/>
        <v>0.30537790697674416</v>
      </c>
      <c r="O214" s="33" t="e">
        <f t="shared" si="19"/>
        <v>#REF!</v>
      </c>
    </row>
    <row r="215" spans="1:21" ht="13.9">
      <c r="A215" s="4" t="s">
        <v>59</v>
      </c>
      <c r="B215" s="33">
        <v>0.49</v>
      </c>
      <c r="C215" s="33">
        <v>0.54</v>
      </c>
      <c r="D215" s="33"/>
      <c r="E215" s="33"/>
      <c r="F215" s="4"/>
      <c r="G215" s="7"/>
      <c r="H215" s="33">
        <v>0.48</v>
      </c>
      <c r="I215" s="33">
        <v>0.49</v>
      </c>
      <c r="J215" s="33">
        <v>0.5</v>
      </c>
      <c r="K215" s="33">
        <v>0.51</v>
      </c>
      <c r="L215" s="33">
        <v>0.53</v>
      </c>
      <c r="M215" s="33">
        <v>0.54</v>
      </c>
      <c r="N215" s="33">
        <f>+N210/N206</f>
        <v>0.54213837209302318</v>
      </c>
      <c r="O215" s="33" t="e">
        <f>+O210/O206</f>
        <v>#REF!</v>
      </c>
    </row>
    <row r="216" spans="1:21" ht="13.9">
      <c r="A216" s="4" t="s">
        <v>60</v>
      </c>
      <c r="B216" s="33">
        <v>0.09</v>
      </c>
      <c r="C216" s="33">
        <v>0.08</v>
      </c>
      <c r="D216" s="33"/>
      <c r="E216" s="33"/>
      <c r="F216" s="4"/>
      <c r="G216" s="7"/>
      <c r="H216" s="33">
        <v>0.09</v>
      </c>
      <c r="I216" s="33">
        <v>0.09</v>
      </c>
      <c r="J216" s="33">
        <v>0.09</v>
      </c>
      <c r="K216" s="33">
        <v>0.09</v>
      </c>
      <c r="L216" s="33">
        <v>0.09</v>
      </c>
      <c r="M216" s="33">
        <v>0.08</v>
      </c>
      <c r="N216" s="33">
        <f>+N211/N206</f>
        <v>7.8779069767441867E-2</v>
      </c>
      <c r="O216" s="33" t="e">
        <f>+O211/O206</f>
        <v>#REF!</v>
      </c>
    </row>
    <row r="217" spans="1:21" ht="13.9">
      <c r="A217" s="4" t="s">
        <v>61</v>
      </c>
      <c r="B217" s="33">
        <v>0.19</v>
      </c>
      <c r="C217" s="33">
        <v>0.15</v>
      </c>
      <c r="D217" s="33"/>
      <c r="E217" s="33"/>
      <c r="F217" s="4"/>
      <c r="G217" s="7"/>
      <c r="H217" s="33">
        <v>0.19</v>
      </c>
      <c r="I217" s="33">
        <v>0.19</v>
      </c>
      <c r="J217" s="33">
        <v>0.18</v>
      </c>
      <c r="K217" s="33">
        <v>0.18</v>
      </c>
      <c r="L217" s="33">
        <v>0.17</v>
      </c>
      <c r="M217" s="33">
        <v>0.15</v>
      </c>
      <c r="N217" s="33">
        <f>+(N207-N210)/N206</f>
        <v>0.15204767441860467</v>
      </c>
      <c r="O217" s="33" t="e">
        <f>+(O207-O210)/O206</f>
        <v>#REF!</v>
      </c>
    </row>
    <row r="218" spans="1:21" ht="13.9">
      <c r="A218" s="4" t="s">
        <v>62</v>
      </c>
      <c r="B218" s="33">
        <v>0.24</v>
      </c>
      <c r="C218" s="33">
        <v>0.22</v>
      </c>
      <c r="D218" s="33"/>
      <c r="E218" s="33"/>
      <c r="F218" s="4"/>
      <c r="G218" s="7"/>
      <c r="H218" s="33">
        <v>0.25</v>
      </c>
      <c r="I218" s="33">
        <v>0.24</v>
      </c>
      <c r="J218" s="33">
        <v>0.24</v>
      </c>
      <c r="K218" s="33">
        <v>0.23</v>
      </c>
      <c r="L218" s="33">
        <v>0.22</v>
      </c>
      <c r="M218" s="33">
        <v>0.22</v>
      </c>
      <c r="N218" s="33">
        <f>+(N208-N211)/N206</f>
        <v>0.22659883720930232</v>
      </c>
      <c r="O218" s="33" t="e">
        <f>+(O208-O211)/O206</f>
        <v>#REF!</v>
      </c>
    </row>
    <row r="219" spans="1:21" ht="13.9">
      <c r="A219" s="4" t="s">
        <v>226</v>
      </c>
      <c r="B219" s="33"/>
      <c r="C219" s="33"/>
      <c r="D219" s="33"/>
      <c r="E219" s="33"/>
      <c r="F219" s="4"/>
      <c r="G219" s="7"/>
      <c r="H219" s="33"/>
      <c r="I219" s="33"/>
      <c r="J219" s="33"/>
      <c r="K219" s="33"/>
      <c r="L219" s="33"/>
      <c r="M219" s="33"/>
      <c r="N219" s="4"/>
      <c r="O219" s="4"/>
    </row>
    <row r="220" spans="1:21" ht="13.9">
      <c r="A220" s="4" t="s">
        <v>227</v>
      </c>
      <c r="B220" s="33"/>
      <c r="C220" s="33"/>
      <c r="D220" s="33"/>
      <c r="E220" s="33"/>
      <c r="F220" s="4"/>
      <c r="G220" s="7"/>
      <c r="H220" s="33"/>
      <c r="I220" s="33"/>
      <c r="J220" s="33"/>
      <c r="K220" s="33"/>
      <c r="L220" s="33"/>
      <c r="M220" s="33"/>
      <c r="N220" s="4"/>
      <c r="O220" s="4"/>
    </row>
    <row r="221" spans="1:21" ht="13.9">
      <c r="A221" s="4"/>
      <c r="B221" s="33"/>
      <c r="C221" s="33"/>
      <c r="D221" s="33"/>
      <c r="E221" s="33"/>
      <c r="F221" s="4"/>
      <c r="G221" s="7"/>
      <c r="H221" s="33"/>
      <c r="I221" s="33"/>
      <c r="J221" s="33"/>
      <c r="K221" s="33"/>
      <c r="L221" s="33"/>
      <c r="M221" s="33"/>
      <c r="N221" s="4"/>
      <c r="O221" s="4"/>
    </row>
    <row r="222" spans="1:21" ht="13.9">
      <c r="A222" s="27" t="s">
        <v>34</v>
      </c>
      <c r="B222" s="27">
        <v>1299</v>
      </c>
      <c r="C222" s="27">
        <v>1274</v>
      </c>
      <c r="D222" s="27"/>
      <c r="E222" s="27"/>
      <c r="F222" s="4"/>
      <c r="G222" s="7"/>
      <c r="H222" s="27">
        <v>1321</v>
      </c>
      <c r="I222" s="27">
        <v>1299</v>
      </c>
      <c r="J222" s="27">
        <v>1303</v>
      </c>
      <c r="K222" s="27">
        <v>1302</v>
      </c>
      <c r="L222" s="27">
        <v>1272</v>
      </c>
      <c r="M222" s="27">
        <v>1274</v>
      </c>
      <c r="N222" s="27">
        <v>1291</v>
      </c>
      <c r="O222" s="27" t="e">
        <f>+'Model also  old'!#REF!</f>
        <v>#REF!</v>
      </c>
      <c r="Q222" s="2" t="e">
        <f>+O222-M222</f>
        <v>#REF!</v>
      </c>
      <c r="R222" s="2">
        <f>+M222-K222</f>
        <v>-28</v>
      </c>
    </row>
    <row r="223" spans="1:21" ht="13.9">
      <c r="A223" s="4" t="s">
        <v>228</v>
      </c>
      <c r="B223" s="4"/>
      <c r="C223" s="4"/>
      <c r="D223" s="4"/>
      <c r="E223" s="4"/>
      <c r="F223" s="4"/>
      <c r="G223" s="4"/>
      <c r="H223" s="33">
        <f>+H222/H206</f>
        <v>0.72822491730981254</v>
      </c>
      <c r="I223" s="33">
        <f t="shared" ref="I223:O223" si="20">+I222/I206</f>
        <v>0.73806818181818179</v>
      </c>
      <c r="J223" s="33">
        <f t="shared" si="20"/>
        <v>0.74457142857142855</v>
      </c>
      <c r="K223" s="33">
        <f t="shared" si="20"/>
        <v>0.74442538593481988</v>
      </c>
      <c r="L223" s="33">
        <f t="shared" si="20"/>
        <v>0.743859649122807</v>
      </c>
      <c r="M223" s="33">
        <f t="shared" si="20"/>
        <v>0.74765258215962438</v>
      </c>
      <c r="N223" s="33">
        <f t="shared" si="20"/>
        <v>0.75058139534883717</v>
      </c>
      <c r="O223" s="33" t="e">
        <f t="shared" si="20"/>
        <v>#REF!</v>
      </c>
    </row>
    <row r="224" spans="1:21" ht="13.9">
      <c r="A224" s="4"/>
      <c r="B224" s="7"/>
      <c r="C224" s="7"/>
      <c r="D224" s="7"/>
      <c r="E224" s="7"/>
      <c r="F224" s="4"/>
      <c r="G224" s="7"/>
      <c r="H224" s="7"/>
      <c r="I224" s="7"/>
      <c r="J224" s="7"/>
      <c r="K224" s="7"/>
      <c r="L224" s="7"/>
      <c r="M224" s="7"/>
      <c r="N224" s="7"/>
      <c r="O224" s="7"/>
    </row>
    <row r="225" spans="1:18" ht="13.9">
      <c r="A225" s="7" t="s">
        <v>33</v>
      </c>
      <c r="B225" s="7"/>
      <c r="C225" s="7"/>
      <c r="D225" s="7"/>
      <c r="E225" s="7"/>
      <c r="F225" s="4"/>
      <c r="G225" s="7"/>
      <c r="H225" s="8" t="str">
        <f>+H205</f>
        <v>Q1 '13</v>
      </c>
      <c r="I225" s="8" t="str">
        <f t="shared" ref="I225:O225" si="21">+I205</f>
        <v>Q2 '13</v>
      </c>
      <c r="J225" s="8" t="str">
        <f t="shared" si="21"/>
        <v>Q3 '13</v>
      </c>
      <c r="K225" s="8" t="str">
        <f t="shared" si="21"/>
        <v>Q4 '13</v>
      </c>
      <c r="L225" s="8" t="str">
        <f t="shared" si="21"/>
        <v>Q1 '14</v>
      </c>
      <c r="M225" s="8" t="str">
        <f t="shared" si="21"/>
        <v>Q2 '14</v>
      </c>
      <c r="N225" s="8" t="str">
        <f t="shared" si="21"/>
        <v>Q3 14</v>
      </c>
      <c r="O225" s="8" t="str">
        <f t="shared" si="21"/>
        <v>Q4 '14</v>
      </c>
    </row>
    <row r="226" spans="1:18" ht="13.9">
      <c r="A226" s="4" t="s">
        <v>115</v>
      </c>
      <c r="B226" s="11">
        <v>1346</v>
      </c>
      <c r="C226" s="11">
        <v>1302</v>
      </c>
      <c r="D226" s="11"/>
      <c r="E226" s="11"/>
      <c r="F226" s="4"/>
      <c r="G226" s="7"/>
      <c r="H226" s="11">
        <v>1371</v>
      </c>
      <c r="I226" s="11">
        <v>1346</v>
      </c>
      <c r="J226" s="11">
        <v>1343</v>
      </c>
      <c r="K226" s="11">
        <v>1338</v>
      </c>
      <c r="L226" s="11">
        <v>1306</v>
      </c>
      <c r="M226" s="11">
        <v>1302</v>
      </c>
      <c r="N226" s="11">
        <v>1320</v>
      </c>
      <c r="O226" s="11" t="e">
        <f>+'Model also  old'!#REF!</f>
        <v>#REF!</v>
      </c>
      <c r="Q226" s="2" t="e">
        <f t="shared" ref="Q226:Q231" si="22">+O226-M226</f>
        <v>#REF!</v>
      </c>
      <c r="R226" s="2">
        <f t="shared" ref="R226:R231" si="23">+M226-K226</f>
        <v>-36</v>
      </c>
    </row>
    <row r="227" spans="1:18" ht="13.9">
      <c r="A227" s="14" t="s">
        <v>116</v>
      </c>
      <c r="B227" s="34">
        <v>934</v>
      </c>
      <c r="C227" s="34">
        <v>909</v>
      </c>
      <c r="D227" s="34"/>
      <c r="E227" s="34"/>
      <c r="F227" s="4"/>
      <c r="G227" s="19"/>
      <c r="H227" s="34">
        <v>940</v>
      </c>
      <c r="I227" s="34">
        <v>934</v>
      </c>
      <c r="J227" s="34">
        <v>915</v>
      </c>
      <c r="K227" s="34">
        <v>917</v>
      </c>
      <c r="L227" s="34">
        <v>912</v>
      </c>
      <c r="M227" s="34">
        <v>909</v>
      </c>
      <c r="N227" s="34">
        <v>919</v>
      </c>
      <c r="O227" s="34" t="e">
        <f>+'Model also  old'!#REF!</f>
        <v>#REF!</v>
      </c>
      <c r="Q227" s="2" t="e">
        <f t="shared" si="22"/>
        <v>#REF!</v>
      </c>
      <c r="R227" s="2">
        <f t="shared" si="23"/>
        <v>-8</v>
      </c>
    </row>
    <row r="228" spans="1:18" ht="13.9">
      <c r="A228" s="4" t="s">
        <v>118</v>
      </c>
      <c r="B228" s="11">
        <v>151</v>
      </c>
      <c r="C228" s="11">
        <v>162</v>
      </c>
      <c r="D228" s="11"/>
      <c r="E228" s="11"/>
      <c r="F228" s="4"/>
      <c r="G228" s="7"/>
      <c r="H228" s="11">
        <v>150</v>
      </c>
      <c r="I228" s="11">
        <v>151</v>
      </c>
      <c r="J228" s="11">
        <v>153</v>
      </c>
      <c r="K228" s="11">
        <v>164</v>
      </c>
      <c r="L228" s="11">
        <v>165</v>
      </c>
      <c r="M228" s="11">
        <v>162</v>
      </c>
      <c r="N228" s="11">
        <v>163</v>
      </c>
      <c r="O228" s="11" t="e">
        <f>+'Model also  old'!#REF!</f>
        <v>#REF!</v>
      </c>
      <c r="Q228" s="2" t="e">
        <f t="shared" si="22"/>
        <v>#REF!</v>
      </c>
      <c r="R228" s="2">
        <f t="shared" si="23"/>
        <v>-2</v>
      </c>
    </row>
    <row r="229" spans="1:18" ht="13.9">
      <c r="A229" s="4" t="s">
        <v>117</v>
      </c>
      <c r="B229" s="11">
        <v>153</v>
      </c>
      <c r="C229" s="11">
        <v>190</v>
      </c>
      <c r="D229" s="11"/>
      <c r="E229" s="11"/>
      <c r="F229" s="4"/>
      <c r="G229" s="7"/>
      <c r="H229" s="11">
        <v>146</v>
      </c>
      <c r="I229" s="11">
        <v>153</v>
      </c>
      <c r="J229" s="11">
        <v>162</v>
      </c>
      <c r="K229" s="11">
        <v>174</v>
      </c>
      <c r="L229" s="11">
        <v>183</v>
      </c>
      <c r="M229" s="11">
        <v>190</v>
      </c>
      <c r="N229" s="11">
        <v>197</v>
      </c>
      <c r="O229" s="11" t="e">
        <f>+'Model also  old'!#REF!</f>
        <v>#REF!</v>
      </c>
      <c r="Q229" s="2" t="e">
        <f t="shared" si="22"/>
        <v>#REF!</v>
      </c>
      <c r="R229" s="2">
        <f t="shared" si="23"/>
        <v>16</v>
      </c>
    </row>
    <row r="230" spans="1:18" ht="13.9">
      <c r="A230" s="4" t="s">
        <v>153</v>
      </c>
      <c r="B230" s="11">
        <v>128</v>
      </c>
      <c r="C230" s="11">
        <v>160</v>
      </c>
      <c r="D230" s="11"/>
      <c r="E230" s="11"/>
      <c r="F230" s="4"/>
      <c r="G230" s="7"/>
      <c r="H230" s="11">
        <v>121</v>
      </c>
      <c r="I230" s="11">
        <v>128</v>
      </c>
      <c r="J230" s="11">
        <v>136</v>
      </c>
      <c r="K230" s="11">
        <v>146</v>
      </c>
      <c r="L230" s="11">
        <v>154</v>
      </c>
      <c r="M230" s="11">
        <v>160</v>
      </c>
      <c r="N230" s="11">
        <v>166</v>
      </c>
      <c r="O230" s="11" t="e">
        <f>+'Model also  old'!#REF!</f>
        <v>#REF!</v>
      </c>
      <c r="Q230" s="2" t="e">
        <f t="shared" si="22"/>
        <v>#REF!</v>
      </c>
      <c r="R230" s="2">
        <f t="shared" si="23"/>
        <v>14</v>
      </c>
    </row>
    <row r="231" spans="1:18" ht="13.9">
      <c r="A231" s="7" t="s">
        <v>119</v>
      </c>
      <c r="B231" s="27">
        <v>1779</v>
      </c>
      <c r="C231" s="27">
        <v>1814</v>
      </c>
      <c r="D231" s="27"/>
      <c r="E231" s="27"/>
      <c r="F231" s="4"/>
      <c r="G231" s="7"/>
      <c r="H231" s="27">
        <v>1788</v>
      </c>
      <c r="I231" s="27">
        <v>1779</v>
      </c>
      <c r="J231" s="27">
        <v>1794</v>
      </c>
      <c r="K231" s="27">
        <v>1822</v>
      </c>
      <c r="L231" s="27">
        <v>1808</v>
      </c>
      <c r="M231" s="27">
        <v>1814</v>
      </c>
      <c r="N231" s="27">
        <v>1846</v>
      </c>
      <c r="O231" s="27" t="e">
        <f>+'Model also  old'!#REF!</f>
        <v>#REF!</v>
      </c>
      <c r="Q231" s="2" t="e">
        <f t="shared" si="22"/>
        <v>#REF!</v>
      </c>
      <c r="R231" s="2">
        <f t="shared" si="23"/>
        <v>-8</v>
      </c>
    </row>
    <row r="232" spans="1:18" ht="13.9">
      <c r="A232" s="4" t="s">
        <v>35</v>
      </c>
      <c r="B232" s="12">
        <v>1.37</v>
      </c>
      <c r="C232" s="12">
        <v>1.42</v>
      </c>
      <c r="D232" s="12"/>
      <c r="E232" s="12"/>
      <c r="F232" s="4"/>
      <c r="G232" s="7"/>
      <c r="H232" s="12">
        <v>1.35</v>
      </c>
      <c r="I232" s="12">
        <v>1.37</v>
      </c>
      <c r="J232" s="12">
        <v>1.38</v>
      </c>
      <c r="K232" s="12">
        <v>1.4</v>
      </c>
      <c r="L232" s="12">
        <v>1.42</v>
      </c>
      <c r="M232" s="12">
        <v>1.42</v>
      </c>
      <c r="N232" s="12">
        <v>1.43</v>
      </c>
      <c r="O232" s="12" t="e">
        <f>+O231/O222</f>
        <v>#REF!</v>
      </c>
    </row>
    <row r="233" spans="1:18" ht="13.9">
      <c r="A233" s="4" t="s">
        <v>229</v>
      </c>
      <c r="B233" s="12"/>
      <c r="C233" s="27">
        <f>+C226+C229+C230</f>
        <v>1652</v>
      </c>
      <c r="D233" s="12"/>
      <c r="E233" s="12"/>
      <c r="F233" s="4"/>
      <c r="H233" s="27">
        <f>+H226+H229+H230</f>
        <v>1638</v>
      </c>
      <c r="I233" s="27">
        <f t="shared" ref="I233:O233" si="24">+I226+I229+I230</f>
        <v>1627</v>
      </c>
      <c r="J233" s="27">
        <f t="shared" si="24"/>
        <v>1641</v>
      </c>
      <c r="K233" s="27">
        <f t="shared" si="24"/>
        <v>1658</v>
      </c>
      <c r="L233" s="27">
        <f t="shared" si="24"/>
        <v>1643</v>
      </c>
      <c r="M233" s="27">
        <f t="shared" si="24"/>
        <v>1652</v>
      </c>
      <c r="N233" s="27">
        <f t="shared" si="24"/>
        <v>1683</v>
      </c>
      <c r="O233" s="27" t="e">
        <f t="shared" si="24"/>
        <v>#REF!</v>
      </c>
    </row>
    <row r="234" spans="1:18" ht="13.9">
      <c r="A234" s="4" t="s">
        <v>230</v>
      </c>
      <c r="B234" s="12"/>
      <c r="C234" s="12">
        <f>+C233/C222</f>
        <v>1.2967032967032968</v>
      </c>
      <c r="D234" s="12"/>
      <c r="E234" s="12"/>
      <c r="F234" s="4"/>
      <c r="G234" s="7"/>
      <c r="H234" s="12">
        <f>+H233/H222</f>
        <v>1.2399697199091597</v>
      </c>
      <c r="I234" s="12">
        <f t="shared" ref="I234:O234" si="25">+I233/I222</f>
        <v>1.2525019245573519</v>
      </c>
      <c r="J234" s="12">
        <f t="shared" si="25"/>
        <v>1.2594013814274752</v>
      </c>
      <c r="K234" s="12">
        <f t="shared" si="25"/>
        <v>1.2734254992319509</v>
      </c>
      <c r="L234" s="12">
        <f t="shared" si="25"/>
        <v>1.2916666666666667</v>
      </c>
      <c r="M234" s="12">
        <f t="shared" si="25"/>
        <v>1.2967032967032968</v>
      </c>
      <c r="N234" s="12">
        <f t="shared" si="25"/>
        <v>1.3036405886909372</v>
      </c>
      <c r="O234" s="12" t="e">
        <f t="shared" si="25"/>
        <v>#REF!</v>
      </c>
    </row>
    <row r="235" spans="1:18" ht="13.9">
      <c r="A235" s="4" t="s">
        <v>232</v>
      </c>
      <c r="B235" s="12"/>
      <c r="C235" s="12"/>
      <c r="D235" s="12"/>
      <c r="E235" s="12"/>
      <c r="F235" s="4"/>
      <c r="G235" s="7"/>
      <c r="H235" s="12"/>
      <c r="I235" s="12"/>
      <c r="J235" s="12"/>
      <c r="K235" s="12"/>
      <c r="L235" s="12"/>
      <c r="M235" s="12"/>
      <c r="N235" s="4"/>
      <c r="O235" s="4"/>
    </row>
    <row r="236" spans="1:18" ht="13.9">
      <c r="A236" s="4"/>
      <c r="B236" s="12"/>
      <c r="C236" s="12"/>
      <c r="D236" s="12"/>
      <c r="E236" s="12"/>
      <c r="F236" s="4"/>
      <c r="G236" s="7"/>
      <c r="H236" s="12"/>
      <c r="I236" s="12"/>
      <c r="J236" s="12"/>
      <c r="K236" s="12"/>
      <c r="L236" s="12"/>
      <c r="M236" s="12"/>
      <c r="N236" s="4"/>
      <c r="O236" s="4"/>
    </row>
    <row r="237" spans="1:18" ht="13.9">
      <c r="A237" s="18" t="s">
        <v>223</v>
      </c>
      <c r="B237" s="4"/>
      <c r="C237" s="4"/>
      <c r="D237" s="4"/>
      <c r="E237" s="4"/>
      <c r="F237" s="4"/>
      <c r="G237" s="4"/>
      <c r="H237" s="4"/>
      <c r="I237" s="4"/>
      <c r="J237" s="4"/>
      <c r="K237" s="4"/>
      <c r="L237" s="4"/>
      <c r="M237" s="4"/>
      <c r="N237" s="4"/>
      <c r="O237" s="4"/>
    </row>
    <row r="238" spans="1:18" ht="13.9">
      <c r="A238" s="4" t="s">
        <v>109</v>
      </c>
      <c r="B238" s="12"/>
      <c r="C238" s="12"/>
      <c r="D238" s="12"/>
      <c r="E238" s="12"/>
      <c r="F238" s="4"/>
      <c r="G238" s="7"/>
      <c r="H238" s="12"/>
      <c r="I238" s="11">
        <f t="shared" ref="I238:M243" si="26">+I206-H206</f>
        <v>-54</v>
      </c>
      <c r="J238" s="11">
        <f t="shared" si="26"/>
        <v>-10</v>
      </c>
      <c r="K238" s="11">
        <f t="shared" si="26"/>
        <v>-1</v>
      </c>
      <c r="L238" s="11">
        <f t="shared" si="26"/>
        <v>-39</v>
      </c>
      <c r="M238" s="11">
        <f t="shared" si="26"/>
        <v>-6</v>
      </c>
      <c r="N238" s="11">
        <f t="shared" ref="N238:N243" si="27">+N206-M206</f>
        <v>16</v>
      </c>
      <c r="O238" s="4"/>
    </row>
    <row r="239" spans="1:18" ht="13.9">
      <c r="A239" s="4" t="s">
        <v>110</v>
      </c>
      <c r="B239" s="12"/>
      <c r="C239" s="12"/>
      <c r="D239" s="12"/>
      <c r="E239" s="12"/>
      <c r="F239" s="4"/>
      <c r="G239" s="7"/>
      <c r="H239" s="12"/>
      <c r="I239" s="11">
        <f t="shared" si="26"/>
        <v>-9</v>
      </c>
      <c r="J239" s="11">
        <f t="shared" si="26"/>
        <v>-6</v>
      </c>
      <c r="K239" s="11">
        <f t="shared" si="26"/>
        <v>8</v>
      </c>
      <c r="L239" s="11">
        <f t="shared" si="26"/>
        <v>-9</v>
      </c>
      <c r="M239" s="11">
        <f t="shared" si="26"/>
        <v>-1</v>
      </c>
      <c r="N239" s="11">
        <f t="shared" si="27"/>
        <v>7</v>
      </c>
      <c r="O239" s="4"/>
    </row>
    <row r="240" spans="1:18" ht="13.9">
      <c r="A240" s="4" t="s">
        <v>111</v>
      </c>
      <c r="B240" s="12"/>
      <c r="C240" s="12"/>
      <c r="D240" s="12"/>
      <c r="E240" s="12"/>
      <c r="F240" s="4"/>
      <c r="G240" s="7"/>
      <c r="H240" s="12"/>
      <c r="I240" s="11">
        <f t="shared" si="26"/>
        <v>-45</v>
      </c>
      <c r="J240" s="11">
        <f t="shared" si="26"/>
        <v>-4</v>
      </c>
      <c r="K240" s="11">
        <f t="shared" si="26"/>
        <v>-9</v>
      </c>
      <c r="L240" s="11">
        <f t="shared" si="26"/>
        <v>-30</v>
      </c>
      <c r="M240" s="11">
        <f t="shared" si="26"/>
        <v>-5</v>
      </c>
      <c r="N240" s="11">
        <f t="shared" si="27"/>
        <v>8.25</v>
      </c>
      <c r="O240" s="4"/>
    </row>
    <row r="241" spans="1:15" ht="13.9">
      <c r="A241" s="4" t="s">
        <v>112</v>
      </c>
      <c r="B241" s="12"/>
      <c r="C241" s="12"/>
      <c r="D241" s="12"/>
      <c r="E241" s="12"/>
      <c r="F241" s="4"/>
      <c r="G241" s="7"/>
      <c r="H241" s="12"/>
      <c r="I241" s="11">
        <f t="shared" si="26"/>
        <v>-4</v>
      </c>
      <c r="J241" s="11">
        <f t="shared" si="26"/>
        <v>6</v>
      </c>
      <c r="K241" s="11">
        <f t="shared" si="26"/>
        <v>17</v>
      </c>
      <c r="L241" s="11">
        <f t="shared" si="26"/>
        <v>8</v>
      </c>
      <c r="M241" s="11">
        <f t="shared" si="26"/>
        <v>12</v>
      </c>
      <c r="N241" s="11">
        <f t="shared" si="27"/>
        <v>8</v>
      </c>
      <c r="O241" s="4"/>
    </row>
    <row r="242" spans="1:15" ht="13.9">
      <c r="A242" s="4" t="s">
        <v>113</v>
      </c>
      <c r="B242" s="12"/>
      <c r="C242" s="12"/>
      <c r="D242" s="12"/>
      <c r="E242" s="12"/>
      <c r="F242" s="4"/>
      <c r="G242" s="7"/>
      <c r="H242" s="12"/>
      <c r="I242" s="11">
        <f t="shared" si="26"/>
        <v>4</v>
      </c>
      <c r="J242" s="11">
        <f t="shared" si="26"/>
        <v>7</v>
      </c>
      <c r="K242" s="11">
        <f t="shared" si="26"/>
        <v>18</v>
      </c>
      <c r="L242" s="11">
        <f t="shared" si="26"/>
        <v>10</v>
      </c>
      <c r="M242" s="11">
        <f t="shared" si="26"/>
        <v>24</v>
      </c>
      <c r="N242" s="11">
        <f t="shared" si="27"/>
        <v>7.4779999999999518</v>
      </c>
      <c r="O242" s="4"/>
    </row>
    <row r="243" spans="1:15" ht="13.9">
      <c r="A243" s="4" t="s">
        <v>114</v>
      </c>
      <c r="B243" s="12"/>
      <c r="C243" s="12"/>
      <c r="D243" s="12"/>
      <c r="E243" s="12"/>
      <c r="F243" s="4"/>
      <c r="G243" s="7"/>
      <c r="H243" s="12"/>
      <c r="I243" s="11">
        <f t="shared" si="26"/>
        <v>-7</v>
      </c>
      <c r="J243" s="11">
        <f t="shared" si="26"/>
        <v>-1</v>
      </c>
      <c r="K243" s="11">
        <f t="shared" si="26"/>
        <v>-2</v>
      </c>
      <c r="L243" s="11">
        <f t="shared" si="26"/>
        <v>-1</v>
      </c>
      <c r="M243" s="11">
        <f t="shared" si="26"/>
        <v>-12</v>
      </c>
      <c r="N243" s="11">
        <f t="shared" si="27"/>
        <v>0.5</v>
      </c>
      <c r="O243" s="4"/>
    </row>
    <row r="244" spans="1:15" ht="13.9">
      <c r="A244" s="4"/>
      <c r="B244" s="12"/>
      <c r="C244" s="12"/>
      <c r="D244" s="12"/>
      <c r="E244" s="12"/>
      <c r="F244" s="4"/>
      <c r="G244" s="7"/>
      <c r="H244" s="12"/>
      <c r="I244" s="12"/>
      <c r="J244" s="12"/>
      <c r="K244" s="12"/>
      <c r="L244" s="12"/>
      <c r="M244" s="12"/>
      <c r="N244" s="4"/>
      <c r="O244" s="4"/>
    </row>
    <row r="245" spans="1:15" ht="13.9">
      <c r="A245" s="7" t="s">
        <v>33</v>
      </c>
      <c r="B245" s="12"/>
      <c r="C245" s="12"/>
      <c r="D245" s="12"/>
      <c r="E245" s="12"/>
      <c r="F245" s="4"/>
      <c r="G245" s="7"/>
      <c r="H245" s="12"/>
      <c r="I245" s="12"/>
      <c r="J245" s="12"/>
      <c r="K245" s="12"/>
      <c r="L245" s="12"/>
      <c r="M245" s="12"/>
      <c r="N245" s="4"/>
      <c r="O245" s="4"/>
    </row>
    <row r="246" spans="1:15" ht="13.9">
      <c r="A246" s="4" t="s">
        <v>115</v>
      </c>
      <c r="B246" s="12"/>
      <c r="C246" s="12"/>
      <c r="D246" s="12"/>
      <c r="E246" s="12"/>
      <c r="F246" s="4"/>
      <c r="G246" s="7"/>
      <c r="H246" s="12"/>
      <c r="I246" s="11">
        <f t="shared" ref="I246:N251" si="28">+I226-H226</f>
        <v>-25</v>
      </c>
      <c r="J246" s="11">
        <f t="shared" si="28"/>
        <v>-3</v>
      </c>
      <c r="K246" s="11">
        <f t="shared" si="28"/>
        <v>-5</v>
      </c>
      <c r="L246" s="11">
        <f t="shared" si="28"/>
        <v>-32</v>
      </c>
      <c r="M246" s="11">
        <f t="shared" si="28"/>
        <v>-4</v>
      </c>
      <c r="N246" s="11">
        <f t="shared" si="28"/>
        <v>18</v>
      </c>
      <c r="O246" s="11" t="e">
        <f t="shared" ref="O246:O251" si="29">+O226-N226</f>
        <v>#REF!</v>
      </c>
    </row>
    <row r="247" spans="1:15" ht="13.9">
      <c r="A247" s="14" t="s">
        <v>116</v>
      </c>
      <c r="B247" s="12"/>
      <c r="C247" s="12"/>
      <c r="D247" s="12"/>
      <c r="E247" s="12"/>
      <c r="F247" s="4"/>
      <c r="G247" s="7"/>
      <c r="H247" s="12"/>
      <c r="I247" s="11">
        <f t="shared" si="28"/>
        <v>-6</v>
      </c>
      <c r="J247" s="11">
        <f t="shared" si="28"/>
        <v>-19</v>
      </c>
      <c r="K247" s="11">
        <f t="shared" si="28"/>
        <v>2</v>
      </c>
      <c r="L247" s="11">
        <f t="shared" si="28"/>
        <v>-5</v>
      </c>
      <c r="M247" s="11">
        <f t="shared" si="28"/>
        <v>-3</v>
      </c>
      <c r="N247" s="11">
        <f t="shared" si="28"/>
        <v>10</v>
      </c>
      <c r="O247" s="11" t="e">
        <f t="shared" si="29"/>
        <v>#REF!</v>
      </c>
    </row>
    <row r="248" spans="1:15" ht="13.9">
      <c r="A248" s="4" t="s">
        <v>118</v>
      </c>
      <c r="B248" s="12"/>
      <c r="C248" s="12"/>
      <c r="D248" s="12"/>
      <c r="E248" s="12"/>
      <c r="F248" s="4"/>
      <c r="G248" s="7"/>
      <c r="H248" s="12"/>
      <c r="I248" s="11">
        <f t="shared" si="28"/>
        <v>1</v>
      </c>
      <c r="J248" s="11">
        <f t="shared" si="28"/>
        <v>2</v>
      </c>
      <c r="K248" s="11">
        <f t="shared" si="28"/>
        <v>11</v>
      </c>
      <c r="L248" s="11">
        <f t="shared" si="28"/>
        <v>1</v>
      </c>
      <c r="M248" s="11">
        <f t="shared" si="28"/>
        <v>-3</v>
      </c>
      <c r="N248" s="11">
        <f t="shared" si="28"/>
        <v>1</v>
      </c>
      <c r="O248" s="11" t="e">
        <f t="shared" si="29"/>
        <v>#REF!</v>
      </c>
    </row>
    <row r="249" spans="1:15" ht="13.9">
      <c r="A249" s="4" t="s">
        <v>117</v>
      </c>
      <c r="B249" s="12"/>
      <c r="C249" s="12"/>
      <c r="D249" s="12"/>
      <c r="E249" s="12"/>
      <c r="F249" s="4"/>
      <c r="G249" s="7"/>
      <c r="H249" s="12"/>
      <c r="I249" s="11">
        <f t="shared" si="28"/>
        <v>7</v>
      </c>
      <c r="J249" s="11">
        <f t="shared" si="28"/>
        <v>9</v>
      </c>
      <c r="K249" s="11">
        <f t="shared" si="28"/>
        <v>12</v>
      </c>
      <c r="L249" s="11">
        <f t="shared" si="28"/>
        <v>9</v>
      </c>
      <c r="M249" s="11">
        <f t="shared" si="28"/>
        <v>7</v>
      </c>
      <c r="N249" s="11">
        <f t="shared" si="28"/>
        <v>7</v>
      </c>
      <c r="O249" s="11" t="e">
        <f t="shared" si="29"/>
        <v>#REF!</v>
      </c>
    </row>
    <row r="250" spans="1:15" ht="13.9">
      <c r="A250" s="4" t="s">
        <v>153</v>
      </c>
      <c r="B250" s="12"/>
      <c r="C250" s="12"/>
      <c r="D250" s="12"/>
      <c r="E250" s="12"/>
      <c r="F250" s="4"/>
      <c r="G250" s="7"/>
      <c r="H250" s="12"/>
      <c r="I250" s="11">
        <f t="shared" si="28"/>
        <v>7</v>
      </c>
      <c r="J250" s="11">
        <f t="shared" si="28"/>
        <v>8</v>
      </c>
      <c r="K250" s="11">
        <f t="shared" si="28"/>
        <v>10</v>
      </c>
      <c r="L250" s="11">
        <f t="shared" si="28"/>
        <v>8</v>
      </c>
      <c r="M250" s="11">
        <f t="shared" si="28"/>
        <v>6</v>
      </c>
      <c r="N250" s="11">
        <f t="shared" si="28"/>
        <v>6</v>
      </c>
      <c r="O250" s="11" t="e">
        <f t="shared" si="29"/>
        <v>#REF!</v>
      </c>
    </row>
    <row r="251" spans="1:15" ht="13.9">
      <c r="A251" s="7" t="s">
        <v>119</v>
      </c>
      <c r="B251" s="12"/>
      <c r="C251" s="12"/>
      <c r="D251" s="12"/>
      <c r="E251" s="12"/>
      <c r="F251" s="4"/>
      <c r="G251" s="7"/>
      <c r="H251" s="12"/>
      <c r="I251" s="11">
        <f t="shared" si="28"/>
        <v>-9</v>
      </c>
      <c r="J251" s="11">
        <f t="shared" si="28"/>
        <v>15</v>
      </c>
      <c r="K251" s="11">
        <f t="shared" si="28"/>
        <v>28</v>
      </c>
      <c r="L251" s="11">
        <f t="shared" si="28"/>
        <v>-14</v>
      </c>
      <c r="M251" s="11">
        <f t="shared" si="28"/>
        <v>6</v>
      </c>
      <c r="N251" s="11">
        <f t="shared" si="28"/>
        <v>32</v>
      </c>
      <c r="O251" s="11" t="e">
        <f t="shared" si="29"/>
        <v>#REF!</v>
      </c>
    </row>
    <row r="252" spans="1:15" ht="13.9">
      <c r="A252" s="7" t="s">
        <v>231</v>
      </c>
      <c r="B252" s="12"/>
      <c r="C252" s="12"/>
      <c r="D252" s="12"/>
      <c r="E252" s="12"/>
      <c r="F252" s="4"/>
      <c r="G252" s="7"/>
      <c r="H252" s="12"/>
      <c r="I252" s="11">
        <f t="shared" ref="I252:N252" si="30">+I233-H233</f>
        <v>-11</v>
      </c>
      <c r="J252" s="11">
        <f t="shared" si="30"/>
        <v>14</v>
      </c>
      <c r="K252" s="11">
        <f t="shared" si="30"/>
        <v>17</v>
      </c>
      <c r="L252" s="11">
        <f t="shared" si="30"/>
        <v>-15</v>
      </c>
      <c r="M252" s="11">
        <f t="shared" si="30"/>
        <v>9</v>
      </c>
      <c r="N252" s="11">
        <f t="shared" si="30"/>
        <v>31</v>
      </c>
      <c r="O252" s="4"/>
    </row>
    <row r="253" spans="1:15" ht="13.9">
      <c r="A253" s="4"/>
      <c r="B253" s="12"/>
      <c r="C253" s="12"/>
      <c r="D253" s="12"/>
      <c r="E253" s="12"/>
      <c r="F253" s="4"/>
      <c r="G253" s="7"/>
      <c r="H253" s="12"/>
      <c r="I253" s="12"/>
      <c r="J253" s="12"/>
      <c r="K253" s="12"/>
      <c r="L253" s="12"/>
      <c r="M253" s="12"/>
      <c r="N253" s="4"/>
      <c r="O253" s="4"/>
    </row>
    <row r="254" spans="1:15" ht="13.9">
      <c r="A254" s="7" t="s">
        <v>67</v>
      </c>
      <c r="B254" s="7"/>
      <c r="C254" s="7"/>
      <c r="D254" s="7"/>
      <c r="E254" s="7"/>
      <c r="F254" s="4"/>
      <c r="G254" s="7"/>
      <c r="H254" s="7"/>
      <c r="I254" s="7"/>
      <c r="J254" s="7"/>
      <c r="K254" s="7"/>
      <c r="L254" s="7"/>
      <c r="M254" s="7"/>
      <c r="N254" s="4"/>
      <c r="O254" s="4"/>
    </row>
    <row r="255" spans="1:15" ht="13.9">
      <c r="A255" s="4" t="s">
        <v>63</v>
      </c>
      <c r="B255" s="35">
        <v>0.622</v>
      </c>
      <c r="C255" s="35">
        <v>0.57799999999999996</v>
      </c>
      <c r="D255" s="35"/>
      <c r="E255" s="35"/>
      <c r="F255" s="4"/>
      <c r="G255" s="7"/>
      <c r="H255" s="35">
        <v>0.56299999999999994</v>
      </c>
      <c r="I255" s="35">
        <v>0.57799999999999996</v>
      </c>
      <c r="J255" s="35">
        <v>0.58499999999999996</v>
      </c>
      <c r="K255" s="35">
        <v>0.59499999999999997</v>
      </c>
      <c r="L255" s="35">
        <v>0.61299999999999999</v>
      </c>
      <c r="M255" s="35">
        <v>0.622</v>
      </c>
      <c r="N255" s="35">
        <f>+N209/N206</f>
        <v>0.62093023255813951</v>
      </c>
      <c r="O255" s="35" t="e">
        <f>+O209/O206</f>
        <v>#REF!</v>
      </c>
    </row>
    <row r="256" spans="1:15" ht="13.9">
      <c r="A256" s="4" t="s">
        <v>64</v>
      </c>
      <c r="B256" s="35">
        <v>0.77900000000000003</v>
      </c>
      <c r="C256" s="35">
        <v>0.72499999999999998</v>
      </c>
      <c r="D256" s="35"/>
      <c r="E256" s="35"/>
      <c r="F256" s="4"/>
      <c r="G256" s="7"/>
      <c r="H256" s="35">
        <v>0.71699999999999997</v>
      </c>
      <c r="I256" s="35">
        <v>0.72499999999999998</v>
      </c>
      <c r="J256" s="35">
        <v>0.73499999999999999</v>
      </c>
      <c r="K256" s="35">
        <v>0.745</v>
      </c>
      <c r="L256" s="35">
        <v>0.75900000000000001</v>
      </c>
      <c r="M256" s="35">
        <v>0.77900000000000003</v>
      </c>
      <c r="N256" s="35">
        <f>+N210/N207</f>
        <v>0.78096984924623114</v>
      </c>
      <c r="O256" s="35" t="e">
        <f>+O210/O207</f>
        <v>#REF!</v>
      </c>
    </row>
    <row r="257" spans="1:15" ht="13.9">
      <c r="A257" s="4" t="s">
        <v>65</v>
      </c>
      <c r="B257" s="35">
        <v>0.17899999999999999</v>
      </c>
      <c r="C257" s="35">
        <v>0.151</v>
      </c>
      <c r="D257" s="35"/>
      <c r="E257" s="35"/>
      <c r="F257" s="4"/>
      <c r="G257" s="7"/>
      <c r="H257" s="35">
        <v>0.14299999999999999</v>
      </c>
      <c r="I257" s="35">
        <v>0.151</v>
      </c>
      <c r="J257" s="35">
        <v>0.159</v>
      </c>
      <c r="K257" s="35">
        <v>0.16700000000000001</v>
      </c>
      <c r="L257" s="35">
        <v>0.17399999999999999</v>
      </c>
      <c r="M257" s="35">
        <v>0.17899999999999999</v>
      </c>
      <c r="N257" s="35">
        <f>+N229/N209</f>
        <v>0.18445692883895132</v>
      </c>
      <c r="O257" s="35" t="e">
        <f>+O229/O209</f>
        <v>#REF!</v>
      </c>
    </row>
    <row r="258" spans="1:15" ht="13.9">
      <c r="A258" s="4" t="s">
        <v>66</v>
      </c>
      <c r="B258" s="35">
        <v>0.19500000000000001</v>
      </c>
      <c r="C258" s="35">
        <v>0.16700000000000001</v>
      </c>
      <c r="D258" s="35"/>
      <c r="E258" s="35"/>
      <c r="F258" s="4"/>
      <c r="G258" s="7"/>
      <c r="H258" s="35">
        <v>0.159</v>
      </c>
      <c r="I258" s="35">
        <v>0.16700000000000001</v>
      </c>
      <c r="J258" s="35">
        <v>0.17599999999999999</v>
      </c>
      <c r="K258" s="35">
        <v>0.185</v>
      </c>
      <c r="L258" s="35">
        <v>0.192</v>
      </c>
      <c r="M258" s="35">
        <v>0.19500000000000001</v>
      </c>
      <c r="N258" s="35">
        <v>0.20100000000000001</v>
      </c>
      <c r="O258" s="35"/>
    </row>
    <row r="259" spans="1:15" ht="13.9">
      <c r="A259" s="4" t="s">
        <v>155</v>
      </c>
      <c r="B259" s="35">
        <v>0.17899999999999999</v>
      </c>
      <c r="C259" s="35">
        <v>0.161</v>
      </c>
      <c r="D259" s="35"/>
      <c r="E259" s="35"/>
      <c r="F259" s="4"/>
      <c r="G259" s="7"/>
      <c r="H259" s="35">
        <v>0.159</v>
      </c>
      <c r="I259" s="35">
        <v>0.161</v>
      </c>
      <c r="J259" s="35">
        <v>0.16700000000000001</v>
      </c>
      <c r="K259" s="35">
        <v>0.17899999999999999</v>
      </c>
      <c r="L259" s="35">
        <v>0.18099999999999999</v>
      </c>
      <c r="M259" s="35">
        <v>0.17899999999999999</v>
      </c>
      <c r="N259" s="35">
        <f>+N228/N227</f>
        <v>0.17736670293797607</v>
      </c>
      <c r="O259" s="35" t="e">
        <f>+O228/O227</f>
        <v>#REF!</v>
      </c>
    </row>
    <row r="260" spans="1:15" ht="13.9">
      <c r="A260" s="4" t="s">
        <v>194</v>
      </c>
      <c r="B260" s="35">
        <v>0.73</v>
      </c>
      <c r="C260" s="35">
        <v>0.70599999999999996</v>
      </c>
      <c r="D260" s="35"/>
      <c r="E260" s="35"/>
      <c r="F260" s="4"/>
      <c r="G260" s="7"/>
      <c r="H260" s="35">
        <v>0.69699999999999995</v>
      </c>
      <c r="I260" s="35">
        <v>0.70599999999999996</v>
      </c>
      <c r="J260" s="35">
        <v>0.71299999999999997</v>
      </c>
      <c r="K260" s="35">
        <v>0.71899999999999997</v>
      </c>
      <c r="L260" s="35">
        <v>0.72599999999999998</v>
      </c>
      <c r="M260" s="35">
        <v>0.73</v>
      </c>
      <c r="N260" s="35">
        <v>0.73</v>
      </c>
      <c r="O260" s="35"/>
    </row>
    <row r="261" spans="1:15" ht="13.9">
      <c r="A261" s="4" t="s">
        <v>607</v>
      </c>
      <c r="B261" s="35">
        <f>+B229/B222</f>
        <v>0.11778290993071594</v>
      </c>
      <c r="C261" s="35">
        <f>+C229/C222</f>
        <v>0.14913657770800628</v>
      </c>
      <c r="D261" s="35"/>
      <c r="E261" s="35"/>
      <c r="F261" s="4"/>
      <c r="G261" s="7"/>
      <c r="H261" s="35">
        <f>+H229/H222</f>
        <v>0.1105223315669947</v>
      </c>
      <c r="I261" s="35">
        <f t="shared" ref="I261:O261" si="31">+I229/I222</f>
        <v>0.11778290993071594</v>
      </c>
      <c r="J261" s="35">
        <f t="shared" si="31"/>
        <v>0.12432847275518036</v>
      </c>
      <c r="K261" s="35">
        <f t="shared" si="31"/>
        <v>0.13364055299539171</v>
      </c>
      <c r="L261" s="35">
        <f t="shared" si="31"/>
        <v>0.14386792452830188</v>
      </c>
      <c r="M261" s="35">
        <f t="shared" si="31"/>
        <v>0.14913657770800628</v>
      </c>
      <c r="N261" s="35">
        <f t="shared" si="31"/>
        <v>0.15259488768396592</v>
      </c>
      <c r="O261" s="35" t="e">
        <f t="shared" si="31"/>
        <v>#REF!</v>
      </c>
    </row>
    <row r="262" spans="1:15" ht="13.9">
      <c r="A262" s="4" t="s">
        <v>608</v>
      </c>
      <c r="B262" s="35">
        <f>+B230/B222</f>
        <v>9.853733641262509E-2</v>
      </c>
      <c r="C262" s="35">
        <f>+C230/C222</f>
        <v>0.12558869701726844</v>
      </c>
      <c r="D262" s="35"/>
      <c r="E262" s="35"/>
      <c r="F262" s="4"/>
      <c r="G262" s="7"/>
      <c r="H262" s="35">
        <f>+H230/H222</f>
        <v>9.1597274791824376E-2</v>
      </c>
      <c r="I262" s="35">
        <f t="shared" ref="I262:O262" si="32">+I230/I222</f>
        <v>9.853733641262509E-2</v>
      </c>
      <c r="J262" s="35">
        <f t="shared" si="32"/>
        <v>0.10437452033768227</v>
      </c>
      <c r="K262" s="35">
        <f t="shared" si="32"/>
        <v>0.11213517665130568</v>
      </c>
      <c r="L262" s="35">
        <f t="shared" si="32"/>
        <v>0.12106918238993711</v>
      </c>
      <c r="M262" s="35">
        <f t="shared" si="32"/>
        <v>0.12558869701726844</v>
      </c>
      <c r="N262" s="35">
        <f t="shared" si="32"/>
        <v>0.12858249419054996</v>
      </c>
      <c r="O262" s="35" t="e">
        <f t="shared" si="32"/>
        <v>#REF!</v>
      </c>
    </row>
    <row r="263" spans="1:15" ht="13.9">
      <c r="A263" s="4"/>
      <c r="B263" s="7"/>
      <c r="C263" s="7"/>
      <c r="D263" s="7"/>
      <c r="E263" s="7"/>
      <c r="F263" s="4"/>
      <c r="G263" s="7"/>
      <c r="H263" s="7"/>
      <c r="I263" s="7"/>
      <c r="J263" s="7"/>
      <c r="K263" s="7"/>
      <c r="L263" s="7"/>
      <c r="M263" s="7"/>
      <c r="N263" s="4"/>
      <c r="O263" s="4"/>
    </row>
    <row r="264" spans="1:15" ht="13.9">
      <c r="A264" s="7" t="s">
        <v>120</v>
      </c>
      <c r="B264" s="7"/>
      <c r="C264" s="7"/>
      <c r="D264" s="7"/>
      <c r="E264" s="7"/>
      <c r="F264" s="4"/>
      <c r="G264" s="7"/>
      <c r="H264" s="7"/>
      <c r="I264" s="7"/>
      <c r="J264" s="7"/>
      <c r="K264" s="7"/>
      <c r="L264" s="7"/>
      <c r="M264" s="7"/>
      <c r="N264" s="4"/>
      <c r="O264" s="4"/>
    </row>
    <row r="265" spans="1:15" ht="13.9">
      <c r="A265" s="4" t="s">
        <v>74</v>
      </c>
      <c r="B265" s="36">
        <v>9.6</v>
      </c>
      <c r="C265" s="36">
        <v>9.5</v>
      </c>
      <c r="D265" s="36"/>
      <c r="E265" s="36"/>
      <c r="F265" s="4"/>
      <c r="G265" s="7"/>
      <c r="H265" s="36">
        <v>9.4</v>
      </c>
      <c r="I265" s="36">
        <v>9.5</v>
      </c>
      <c r="J265" s="36">
        <v>9.5</v>
      </c>
      <c r="K265" s="36">
        <v>9.5</v>
      </c>
      <c r="L265" s="36">
        <v>9.6</v>
      </c>
      <c r="M265" s="36">
        <v>9.6</v>
      </c>
      <c r="N265" s="36">
        <v>9.6999999999999993</v>
      </c>
      <c r="O265" s="4"/>
    </row>
    <row r="266" spans="1:15" ht="13.9">
      <c r="A266" s="4" t="s">
        <v>73</v>
      </c>
      <c r="B266" s="36">
        <v>22.3</v>
      </c>
      <c r="C266" s="36">
        <v>22.2</v>
      </c>
      <c r="D266" s="36"/>
      <c r="E266" s="36"/>
      <c r="F266" s="4"/>
      <c r="G266" s="7"/>
      <c r="H266" s="36">
        <v>22.2</v>
      </c>
      <c r="I266" s="36">
        <v>22.2</v>
      </c>
      <c r="J266" s="36">
        <v>22.6</v>
      </c>
      <c r="K266" s="36">
        <v>22.5</v>
      </c>
      <c r="L266" s="36">
        <v>22.3</v>
      </c>
      <c r="M266" s="36">
        <v>22.3</v>
      </c>
      <c r="N266" s="36">
        <v>21.8</v>
      </c>
      <c r="O266" s="4"/>
    </row>
    <row r="267" spans="1:15" ht="13.9">
      <c r="A267" s="7" t="s">
        <v>154</v>
      </c>
      <c r="B267" s="37">
        <v>14.1</v>
      </c>
      <c r="C267" s="37">
        <v>13.2</v>
      </c>
      <c r="D267" s="37"/>
      <c r="E267" s="37"/>
      <c r="F267" s="4"/>
      <c r="G267" s="7"/>
      <c r="H267" s="37">
        <v>13</v>
      </c>
      <c r="I267" s="37">
        <v>13.1</v>
      </c>
      <c r="J267" s="37">
        <v>13.3</v>
      </c>
      <c r="K267" s="37">
        <v>13.5</v>
      </c>
      <c r="L267" s="37">
        <v>13.7</v>
      </c>
      <c r="M267" s="37">
        <v>13.9</v>
      </c>
      <c r="N267" s="37">
        <v>14</v>
      </c>
      <c r="O267" s="4"/>
    </row>
    <row r="268" spans="1:15" ht="13.9">
      <c r="A268" s="4"/>
      <c r="B268" s="4"/>
      <c r="C268" s="4"/>
      <c r="D268" s="4"/>
      <c r="E268" s="4"/>
      <c r="F268" s="7"/>
      <c r="G268" s="7"/>
      <c r="H268" s="7"/>
      <c r="I268" s="7"/>
      <c r="J268" s="7"/>
      <c r="K268" s="7"/>
      <c r="L268" s="4"/>
      <c r="M268" s="4"/>
      <c r="N268" s="4"/>
      <c r="O268" s="4"/>
    </row>
    <row r="269" spans="1:15" ht="13.9">
      <c r="A269" s="17" t="s">
        <v>193</v>
      </c>
      <c r="B269" s="7"/>
      <c r="C269" s="7"/>
      <c r="D269" s="7"/>
      <c r="E269" s="7"/>
      <c r="F269" s="7"/>
      <c r="G269" s="7"/>
      <c r="H269" s="207">
        <v>9.4</v>
      </c>
      <c r="I269" s="207">
        <v>9.5</v>
      </c>
      <c r="J269" s="207">
        <v>9.5</v>
      </c>
      <c r="K269" s="207">
        <v>9.5</v>
      </c>
      <c r="L269" s="4"/>
      <c r="M269" s="4"/>
      <c r="N269" s="4"/>
      <c r="O269" s="4"/>
    </row>
    <row r="270" spans="1:15">
      <c r="H270" s="207">
        <v>22.2</v>
      </c>
      <c r="I270" s="207">
        <v>22.2</v>
      </c>
      <c r="J270" s="207">
        <v>22.6</v>
      </c>
      <c r="K270" s="207">
        <v>22.5</v>
      </c>
    </row>
    <row r="271" spans="1:15" ht="13.15">
      <c r="H271" s="206">
        <v>13</v>
      </c>
      <c r="I271" s="206">
        <v>13.2</v>
      </c>
      <c r="J271" s="206">
        <v>13.4</v>
      </c>
      <c r="K271" s="206">
        <v>13.5</v>
      </c>
    </row>
    <row r="280" spans="1:9" s="221" customFormat="1"/>
    <row r="282" spans="1:9" s="212" customFormat="1" ht="13.9">
      <c r="A282" s="212" t="s">
        <v>726</v>
      </c>
    </row>
    <row r="283" spans="1:9" s="212" customFormat="1" ht="13.9"/>
    <row r="284" spans="1:9" s="212" customFormat="1" ht="13.9">
      <c r="A284" s="208" t="s">
        <v>568</v>
      </c>
      <c r="B284" s="209" t="s">
        <v>727</v>
      </c>
      <c r="C284" s="209" t="s">
        <v>638</v>
      </c>
      <c r="D284" s="209" t="s">
        <v>725</v>
      </c>
      <c r="E284" s="209" t="s">
        <v>728</v>
      </c>
      <c r="F284" s="209" t="s">
        <v>729</v>
      </c>
      <c r="G284" s="209" t="s">
        <v>601</v>
      </c>
      <c r="H284" s="209" t="s">
        <v>717</v>
      </c>
      <c r="I284" s="212" t="s">
        <v>718</v>
      </c>
    </row>
    <row r="285" spans="1:9" s="212" customFormat="1" ht="13.9">
      <c r="A285" s="212" t="str">
        <f>+A206</f>
        <v>Homes connected ('000)</v>
      </c>
      <c r="B285" s="11">
        <f>+H206</f>
        <v>1814</v>
      </c>
      <c r="C285" s="11">
        <f t="shared" ref="C285:I286" si="33">+I206</f>
        <v>1760</v>
      </c>
      <c r="D285" s="11">
        <f t="shared" si="33"/>
        <v>1750</v>
      </c>
      <c r="E285" s="11">
        <f t="shared" si="33"/>
        <v>1749</v>
      </c>
      <c r="F285" s="11">
        <f t="shared" si="33"/>
        <v>1710</v>
      </c>
      <c r="G285" s="11">
        <f t="shared" si="33"/>
        <v>1704</v>
      </c>
      <c r="H285" s="11">
        <f t="shared" si="33"/>
        <v>1720</v>
      </c>
      <c r="I285" s="212" t="e">
        <f t="shared" si="33"/>
        <v>#REF!</v>
      </c>
    </row>
    <row r="286" spans="1:9" s="212" customFormat="1" ht="13.9">
      <c r="A286" s="212" t="str">
        <f t="shared" ref="A286:A297" si="34">+A207</f>
        <v>Homes connected - own network ('000)</v>
      </c>
      <c r="B286" s="11">
        <f t="shared" ref="B286:B297" si="35">+H207</f>
        <v>1204</v>
      </c>
      <c r="C286" s="11">
        <f t="shared" si="33"/>
        <v>1195</v>
      </c>
      <c r="D286" s="11">
        <f t="shared" si="33"/>
        <v>1189</v>
      </c>
      <c r="E286" s="11">
        <f t="shared" si="33"/>
        <v>1197</v>
      </c>
      <c r="F286" s="11">
        <f t="shared" si="33"/>
        <v>1188</v>
      </c>
      <c r="G286" s="11">
        <f t="shared" si="33"/>
        <v>1187</v>
      </c>
      <c r="H286" s="11">
        <f t="shared" si="33"/>
        <v>1194</v>
      </c>
    </row>
    <row r="287" spans="1:9" s="212" customFormat="1" ht="13.9">
      <c r="A287" s="212" t="str">
        <f t="shared" si="34"/>
        <v>Homes connected - foreign network ('000)</v>
      </c>
      <c r="B287" s="11">
        <f t="shared" si="35"/>
        <v>610</v>
      </c>
      <c r="C287" s="11">
        <f t="shared" ref="C287:C297" si="36">+I208</f>
        <v>565</v>
      </c>
      <c r="D287" s="11">
        <f t="shared" ref="D287:D297" si="37">+J208</f>
        <v>561</v>
      </c>
      <c r="E287" s="11">
        <f t="shared" ref="E287:E297" si="38">+K208</f>
        <v>552</v>
      </c>
      <c r="F287" s="11">
        <f t="shared" ref="F287:F297" si="39">+L208</f>
        <v>522</v>
      </c>
      <c r="G287" s="11">
        <f t="shared" ref="G287:G297" si="40">+M208</f>
        <v>517</v>
      </c>
      <c r="H287" s="11">
        <f t="shared" ref="H287:H297" si="41">+N208</f>
        <v>525.25</v>
      </c>
    </row>
    <row r="288" spans="1:9" s="212" customFormat="1" ht="13.9">
      <c r="A288" s="212" t="str">
        <f t="shared" si="34"/>
        <v>Homes connected - two-way upgraded ('000)</v>
      </c>
      <c r="B288" s="11">
        <f t="shared" si="35"/>
        <v>1021</v>
      </c>
      <c r="C288" s="11">
        <f t="shared" si="36"/>
        <v>1017</v>
      </c>
      <c r="D288" s="11">
        <f t="shared" si="37"/>
        <v>1023</v>
      </c>
      <c r="E288" s="11">
        <f t="shared" si="38"/>
        <v>1040</v>
      </c>
      <c r="F288" s="11">
        <f t="shared" si="39"/>
        <v>1048</v>
      </c>
      <c r="G288" s="11">
        <f t="shared" si="40"/>
        <v>1060</v>
      </c>
      <c r="H288" s="11">
        <f t="shared" si="41"/>
        <v>1068</v>
      </c>
    </row>
    <row r="289" spans="1:8" s="212" customFormat="1" ht="13.9">
      <c r="A289" s="212" t="str">
        <f t="shared" si="34"/>
        <v>Homes connected - own network - two-way upgraded ('000)</v>
      </c>
      <c r="B289" s="11">
        <f t="shared" si="35"/>
        <v>862</v>
      </c>
      <c r="C289" s="11">
        <f t="shared" si="36"/>
        <v>866</v>
      </c>
      <c r="D289" s="11">
        <f t="shared" si="37"/>
        <v>873</v>
      </c>
      <c r="E289" s="11">
        <f t="shared" si="38"/>
        <v>891</v>
      </c>
      <c r="F289" s="11">
        <f t="shared" si="39"/>
        <v>901</v>
      </c>
      <c r="G289" s="11">
        <f t="shared" si="40"/>
        <v>925</v>
      </c>
      <c r="H289" s="11">
        <f t="shared" si="41"/>
        <v>932.47799999999995</v>
      </c>
    </row>
    <row r="290" spans="1:8" s="212" customFormat="1" ht="13.9">
      <c r="A290" s="212" t="str">
        <f t="shared" si="34"/>
        <v>Homes connected - foreign network - two-way upgraded ('000)</v>
      </c>
      <c r="B290" s="11">
        <f t="shared" si="35"/>
        <v>158</v>
      </c>
      <c r="C290" s="11">
        <f t="shared" si="36"/>
        <v>151</v>
      </c>
      <c r="D290" s="11">
        <f t="shared" si="37"/>
        <v>150</v>
      </c>
      <c r="E290" s="11">
        <f t="shared" si="38"/>
        <v>148</v>
      </c>
      <c r="F290" s="11">
        <f t="shared" si="39"/>
        <v>147</v>
      </c>
      <c r="G290" s="11">
        <f t="shared" si="40"/>
        <v>135</v>
      </c>
      <c r="H290" s="11">
        <f t="shared" si="41"/>
        <v>135.5</v>
      </c>
    </row>
    <row r="291" spans="1:8" s="212" customFormat="1" ht="13.9"/>
    <row r="292" spans="1:8" s="212" customFormat="1" ht="13.9">
      <c r="A292" s="212" t="str">
        <f t="shared" si="34"/>
        <v>Homes connected - own network %</v>
      </c>
      <c r="B292" s="222">
        <f t="shared" si="35"/>
        <v>0.66372657111356115</v>
      </c>
      <c r="C292" s="222">
        <f t="shared" si="36"/>
        <v>0.67897727272727271</v>
      </c>
      <c r="D292" s="222">
        <f t="shared" si="37"/>
        <v>0.67942857142857138</v>
      </c>
      <c r="E292" s="222">
        <f t="shared" si="38"/>
        <v>0.68439108061749576</v>
      </c>
      <c r="F292" s="222">
        <f t="shared" si="39"/>
        <v>0.69473684210526321</v>
      </c>
      <c r="G292" s="222">
        <f t="shared" si="40"/>
        <v>0.69659624413145538</v>
      </c>
      <c r="H292" s="222">
        <f t="shared" si="41"/>
        <v>0.69418604651162785</v>
      </c>
    </row>
    <row r="293" spans="1:8" s="212" customFormat="1" ht="13.9">
      <c r="A293" s="212" t="str">
        <f t="shared" si="34"/>
        <v>Homes connected - foreign network %</v>
      </c>
      <c r="B293" s="222">
        <f t="shared" si="35"/>
        <v>0.3362734288864388</v>
      </c>
      <c r="C293" s="222">
        <f t="shared" si="36"/>
        <v>0.32102272727272729</v>
      </c>
      <c r="D293" s="222">
        <f t="shared" si="37"/>
        <v>0.32057142857142856</v>
      </c>
      <c r="E293" s="222">
        <f t="shared" si="38"/>
        <v>0.31560891938250429</v>
      </c>
      <c r="F293" s="222">
        <f t="shared" si="39"/>
        <v>0.30526315789473685</v>
      </c>
      <c r="G293" s="222">
        <f t="shared" si="40"/>
        <v>0.30340375586854462</v>
      </c>
      <c r="H293" s="222">
        <f t="shared" si="41"/>
        <v>0.30537790697674416</v>
      </c>
    </row>
    <row r="294" spans="1:8" s="212" customFormat="1" ht="13.9">
      <c r="A294" s="212" t="str">
        <f t="shared" si="34"/>
        <v>Homes connected - own network - two-way upgraded / Homes connected</v>
      </c>
      <c r="B294" s="222">
        <f t="shared" si="35"/>
        <v>0.48</v>
      </c>
      <c r="C294" s="222">
        <f t="shared" si="36"/>
        <v>0.49</v>
      </c>
      <c r="D294" s="222">
        <f t="shared" si="37"/>
        <v>0.5</v>
      </c>
      <c r="E294" s="222">
        <f t="shared" si="38"/>
        <v>0.51</v>
      </c>
      <c r="F294" s="222">
        <f t="shared" si="39"/>
        <v>0.53</v>
      </c>
      <c r="G294" s="222">
        <f t="shared" si="40"/>
        <v>0.54</v>
      </c>
      <c r="H294" s="222">
        <f t="shared" si="41"/>
        <v>0.54213837209302318</v>
      </c>
    </row>
    <row r="295" spans="1:8" s="212" customFormat="1" ht="13.9">
      <c r="A295" s="212" t="str">
        <f t="shared" si="34"/>
        <v>Homes connected - foreign network - two-way upgraded / Homes connected</v>
      </c>
      <c r="B295" s="222">
        <f t="shared" si="35"/>
        <v>0.09</v>
      </c>
      <c r="C295" s="222">
        <f t="shared" si="36"/>
        <v>0.09</v>
      </c>
      <c r="D295" s="222">
        <f t="shared" si="37"/>
        <v>0.09</v>
      </c>
      <c r="E295" s="222">
        <f t="shared" si="38"/>
        <v>0.09</v>
      </c>
      <c r="F295" s="222">
        <f t="shared" si="39"/>
        <v>0.09</v>
      </c>
      <c r="G295" s="222">
        <f t="shared" si="40"/>
        <v>0.08</v>
      </c>
      <c r="H295" s="222">
        <f t="shared" si="41"/>
        <v>7.8779069767441867E-2</v>
      </c>
    </row>
    <row r="296" spans="1:8" s="212" customFormat="1" ht="13.9">
      <c r="A296" s="212" t="str">
        <f t="shared" si="34"/>
        <v>Homes connected - own network - not upgraded / Homes connected</v>
      </c>
      <c r="B296" s="222">
        <f t="shared" si="35"/>
        <v>0.19</v>
      </c>
      <c r="C296" s="222">
        <f t="shared" si="36"/>
        <v>0.19</v>
      </c>
      <c r="D296" s="222">
        <f t="shared" si="37"/>
        <v>0.18</v>
      </c>
      <c r="E296" s="222">
        <f t="shared" si="38"/>
        <v>0.18</v>
      </c>
      <c r="F296" s="222">
        <f t="shared" si="39"/>
        <v>0.17</v>
      </c>
      <c r="G296" s="222">
        <f t="shared" si="40"/>
        <v>0.15</v>
      </c>
      <c r="H296" s="222">
        <f t="shared" si="41"/>
        <v>0.15204767441860467</v>
      </c>
    </row>
    <row r="297" spans="1:8" s="212" customFormat="1" ht="13.9">
      <c r="A297" s="212" t="str">
        <f t="shared" si="34"/>
        <v>Homes connected - foreign network - not upgraded / Homes connected</v>
      </c>
      <c r="B297" s="222">
        <f t="shared" si="35"/>
        <v>0.25</v>
      </c>
      <c r="C297" s="222">
        <f t="shared" si="36"/>
        <v>0.24</v>
      </c>
      <c r="D297" s="222">
        <f t="shared" si="37"/>
        <v>0.24</v>
      </c>
      <c r="E297" s="222">
        <f t="shared" si="38"/>
        <v>0.23</v>
      </c>
      <c r="F297" s="222">
        <f t="shared" si="39"/>
        <v>0.22</v>
      </c>
      <c r="G297" s="222">
        <f t="shared" si="40"/>
        <v>0.22</v>
      </c>
      <c r="H297" s="222">
        <f t="shared" si="41"/>
        <v>0.22659883720930232</v>
      </c>
    </row>
    <row r="298" spans="1:8" s="212" customFormat="1" ht="13.9"/>
    <row r="299" spans="1:8" s="212" customFormat="1" ht="13.9">
      <c r="A299" s="212" t="str">
        <f>+A222</f>
        <v>Unique subscribers</v>
      </c>
      <c r="B299" s="11">
        <f t="shared" ref="B299:H300" si="42">+H222</f>
        <v>1321</v>
      </c>
      <c r="C299" s="11">
        <f t="shared" si="42"/>
        <v>1299</v>
      </c>
      <c r="D299" s="11">
        <f t="shared" si="42"/>
        <v>1303</v>
      </c>
      <c r="E299" s="11">
        <f t="shared" si="42"/>
        <v>1302</v>
      </c>
      <c r="F299" s="11">
        <f t="shared" si="42"/>
        <v>1272</v>
      </c>
      <c r="G299" s="11">
        <f t="shared" si="42"/>
        <v>1274</v>
      </c>
      <c r="H299" s="11">
        <f t="shared" si="42"/>
        <v>1291</v>
      </c>
    </row>
    <row r="300" spans="1:8" s="212" customFormat="1" ht="13.9">
      <c r="A300" s="212" t="str">
        <f>+A223</f>
        <v>% HC</v>
      </c>
      <c r="B300" s="222">
        <f t="shared" si="42"/>
        <v>0.72822491730981254</v>
      </c>
      <c r="C300" s="222">
        <f t="shared" si="42"/>
        <v>0.73806818181818179</v>
      </c>
      <c r="D300" s="222">
        <f t="shared" si="42"/>
        <v>0.74457142857142855</v>
      </c>
      <c r="E300" s="222">
        <f t="shared" si="42"/>
        <v>0.74442538593481988</v>
      </c>
      <c r="F300" s="222">
        <f t="shared" si="42"/>
        <v>0.743859649122807</v>
      </c>
      <c r="G300" s="222">
        <f t="shared" si="42"/>
        <v>0.74765258215962438</v>
      </c>
      <c r="H300" s="222">
        <f t="shared" si="42"/>
        <v>0.75058139534883717</v>
      </c>
    </row>
    <row r="301" spans="1:8" s="212" customFormat="1" ht="13.9">
      <c r="A301" s="208" t="str">
        <f t="shared" ref="A301:A310" si="43">+A225</f>
        <v>RGUs</v>
      </c>
      <c r="B301" s="209" t="str">
        <f>+B284</f>
        <v>Q1 13</v>
      </c>
      <c r="C301" s="209" t="str">
        <f t="shared" ref="C301:H301" si="44">+C284</f>
        <v>Q2 13</v>
      </c>
      <c r="D301" s="209" t="str">
        <f t="shared" si="44"/>
        <v>Q3 13</v>
      </c>
      <c r="E301" s="209" t="str">
        <f t="shared" si="44"/>
        <v>Q4 13</v>
      </c>
      <c r="F301" s="209" t="str">
        <f t="shared" si="44"/>
        <v>Q1 14</v>
      </c>
      <c r="G301" s="209" t="str">
        <f t="shared" si="44"/>
        <v>Q2 14</v>
      </c>
      <c r="H301" s="209" t="str">
        <f t="shared" si="44"/>
        <v>Q3 14</v>
      </c>
    </row>
    <row r="302" spans="1:8" s="212" customFormat="1" ht="13.9">
      <c r="A302" s="212" t="str">
        <f t="shared" si="43"/>
        <v>CATV ('000)</v>
      </c>
      <c r="B302" s="11">
        <f t="shared" ref="B302:B310" si="45">+H226</f>
        <v>1371</v>
      </c>
      <c r="C302" s="11">
        <f t="shared" ref="C302:C310" si="46">+I226</f>
        <v>1346</v>
      </c>
      <c r="D302" s="11">
        <f t="shared" ref="D302:D310" si="47">+J226</f>
        <v>1343</v>
      </c>
      <c r="E302" s="11">
        <f t="shared" ref="E302:E310" si="48">+K226</f>
        <v>1338</v>
      </c>
      <c r="F302" s="11">
        <f t="shared" ref="F302:F310" si="49">+L226</f>
        <v>1306</v>
      </c>
      <c r="G302" s="11">
        <f t="shared" ref="G302:G310" si="50">+M226</f>
        <v>1302</v>
      </c>
      <c r="H302" s="11">
        <f t="shared" ref="H302:H310" si="51">+N226</f>
        <v>1320</v>
      </c>
    </row>
    <row r="303" spans="1:8" s="212" customFormat="1" ht="13.9">
      <c r="A303" s="212" t="str">
        <f t="shared" si="43"/>
        <v>CATV - own infrastructure ('000)</v>
      </c>
      <c r="B303" s="11">
        <f t="shared" si="45"/>
        <v>940</v>
      </c>
      <c r="C303" s="11">
        <f t="shared" si="46"/>
        <v>934</v>
      </c>
      <c r="D303" s="11">
        <f t="shared" si="47"/>
        <v>915</v>
      </c>
      <c r="E303" s="11">
        <f t="shared" si="48"/>
        <v>917</v>
      </c>
      <c r="F303" s="11">
        <f t="shared" si="49"/>
        <v>912</v>
      </c>
      <c r="G303" s="11">
        <f t="shared" si="50"/>
        <v>909</v>
      </c>
      <c r="H303" s="11">
        <f t="shared" si="51"/>
        <v>919</v>
      </c>
    </row>
    <row r="304" spans="1:8" s="212" customFormat="1" ht="13.9">
      <c r="A304" s="212" t="str">
        <f t="shared" si="43"/>
        <v>Premium TV ('000)</v>
      </c>
      <c r="B304" s="11">
        <f t="shared" si="45"/>
        <v>150</v>
      </c>
      <c r="C304" s="11">
        <f t="shared" si="46"/>
        <v>151</v>
      </c>
      <c r="D304" s="11">
        <f t="shared" si="47"/>
        <v>153</v>
      </c>
      <c r="E304" s="11">
        <f t="shared" si="48"/>
        <v>164</v>
      </c>
      <c r="F304" s="11">
        <f t="shared" si="49"/>
        <v>165</v>
      </c>
      <c r="G304" s="11">
        <f t="shared" si="50"/>
        <v>162</v>
      </c>
      <c r="H304" s="11">
        <f t="shared" si="51"/>
        <v>163</v>
      </c>
    </row>
    <row r="305" spans="1:9" s="212" customFormat="1" ht="13.9">
      <c r="A305" s="212" t="str">
        <f t="shared" si="43"/>
        <v>Internet ('000)</v>
      </c>
      <c r="B305" s="11">
        <f t="shared" si="45"/>
        <v>146</v>
      </c>
      <c r="C305" s="11">
        <f t="shared" si="46"/>
        <v>153</v>
      </c>
      <c r="D305" s="11">
        <f t="shared" si="47"/>
        <v>162</v>
      </c>
      <c r="E305" s="11">
        <f t="shared" si="48"/>
        <v>174</v>
      </c>
      <c r="F305" s="11">
        <f t="shared" si="49"/>
        <v>183</v>
      </c>
      <c r="G305" s="11">
        <f t="shared" si="50"/>
        <v>190</v>
      </c>
      <c r="H305" s="11">
        <f t="shared" si="51"/>
        <v>197</v>
      </c>
    </row>
    <row r="306" spans="1:9" s="212" customFormat="1" ht="13.9">
      <c r="A306" s="212" t="str">
        <f t="shared" si="43"/>
        <v>Telephony ('000)</v>
      </c>
      <c r="B306" s="11">
        <f t="shared" si="45"/>
        <v>121</v>
      </c>
      <c r="C306" s="11">
        <f t="shared" si="46"/>
        <v>128</v>
      </c>
      <c r="D306" s="11">
        <f t="shared" si="47"/>
        <v>136</v>
      </c>
      <c r="E306" s="11">
        <f t="shared" si="48"/>
        <v>146</v>
      </c>
      <c r="F306" s="11">
        <f t="shared" si="49"/>
        <v>154</v>
      </c>
      <c r="G306" s="11">
        <f t="shared" si="50"/>
        <v>160</v>
      </c>
      <c r="H306" s="11">
        <f t="shared" si="51"/>
        <v>166</v>
      </c>
    </row>
    <row r="307" spans="1:9" s="212" customFormat="1" ht="13.9">
      <c r="A307" s="212" t="str">
        <f t="shared" si="43"/>
        <v>Total RGUs ('000)</v>
      </c>
      <c r="B307" s="11">
        <f t="shared" si="45"/>
        <v>1788</v>
      </c>
      <c r="C307" s="11">
        <f t="shared" si="46"/>
        <v>1779</v>
      </c>
      <c r="D307" s="11">
        <f t="shared" si="47"/>
        <v>1794</v>
      </c>
      <c r="E307" s="11">
        <f t="shared" si="48"/>
        <v>1822</v>
      </c>
      <c r="F307" s="11">
        <f t="shared" si="49"/>
        <v>1808</v>
      </c>
      <c r="G307" s="11">
        <f t="shared" si="50"/>
        <v>1814</v>
      </c>
      <c r="H307" s="11">
        <f t="shared" si="51"/>
        <v>1846</v>
      </c>
    </row>
    <row r="308" spans="1:9" s="212" customFormat="1" ht="13.9">
      <c r="A308" s="212" t="str">
        <f t="shared" si="43"/>
        <v>RGU / Unique subscriber</v>
      </c>
      <c r="B308" s="224">
        <f t="shared" si="45"/>
        <v>1.35</v>
      </c>
      <c r="C308" s="224">
        <f t="shared" si="46"/>
        <v>1.37</v>
      </c>
      <c r="D308" s="224">
        <f t="shared" si="47"/>
        <v>1.38</v>
      </c>
      <c r="E308" s="224">
        <f t="shared" si="48"/>
        <v>1.4</v>
      </c>
      <c r="F308" s="224">
        <f t="shared" si="49"/>
        <v>1.42</v>
      </c>
      <c r="G308" s="224">
        <f t="shared" si="50"/>
        <v>1.42</v>
      </c>
      <c r="H308" s="224">
        <f t="shared" si="51"/>
        <v>1.43</v>
      </c>
    </row>
    <row r="309" spans="1:9" s="212" customFormat="1" ht="13.9">
      <c r="A309" s="212" t="str">
        <f t="shared" si="43"/>
        <v>NSR RGUs</v>
      </c>
      <c r="B309" s="11">
        <f t="shared" si="45"/>
        <v>1638</v>
      </c>
      <c r="C309" s="11">
        <f t="shared" si="46"/>
        <v>1627</v>
      </c>
      <c r="D309" s="11">
        <f t="shared" si="47"/>
        <v>1641</v>
      </c>
      <c r="E309" s="11">
        <f t="shared" si="48"/>
        <v>1658</v>
      </c>
      <c r="F309" s="11">
        <f t="shared" si="49"/>
        <v>1643</v>
      </c>
      <c r="G309" s="11">
        <f t="shared" si="50"/>
        <v>1652</v>
      </c>
      <c r="H309" s="11">
        <f t="shared" si="51"/>
        <v>1683</v>
      </c>
    </row>
    <row r="310" spans="1:9" s="212" customFormat="1" ht="13.9">
      <c r="A310" s="212" t="str">
        <f t="shared" si="43"/>
        <v>NSR RGU / sub</v>
      </c>
      <c r="B310" s="224">
        <f t="shared" si="45"/>
        <v>1.2399697199091597</v>
      </c>
      <c r="C310" s="224">
        <f t="shared" si="46"/>
        <v>1.2525019245573519</v>
      </c>
      <c r="D310" s="224">
        <f t="shared" si="47"/>
        <v>1.2594013814274752</v>
      </c>
      <c r="E310" s="224">
        <f t="shared" si="48"/>
        <v>1.2734254992319509</v>
      </c>
      <c r="F310" s="224">
        <f t="shared" si="49"/>
        <v>1.2916666666666667</v>
      </c>
      <c r="G310" s="224">
        <f t="shared" si="50"/>
        <v>1.2967032967032968</v>
      </c>
      <c r="H310" s="224">
        <f t="shared" si="51"/>
        <v>1.3036405886909372</v>
      </c>
    </row>
    <row r="311" spans="1:9" s="212" customFormat="1" ht="13.9">
      <c r="A311" s="208" t="str">
        <f t="shared" ref="A311:A317" si="52">+A237</f>
        <v>Net adds</v>
      </c>
      <c r="B311" s="209" t="str">
        <f>+B301</f>
        <v>Q1 13</v>
      </c>
      <c r="C311" s="209" t="str">
        <f t="shared" ref="C311:I311" si="53">+C301</f>
        <v>Q2 13</v>
      </c>
      <c r="D311" s="209" t="str">
        <f t="shared" si="53"/>
        <v>Q3 13</v>
      </c>
      <c r="E311" s="209" t="str">
        <f t="shared" si="53"/>
        <v>Q4 13</v>
      </c>
      <c r="F311" s="209" t="str">
        <f t="shared" si="53"/>
        <v>Q1 14</v>
      </c>
      <c r="G311" s="209" t="str">
        <f t="shared" si="53"/>
        <v>Q2 14</v>
      </c>
      <c r="H311" s="209" t="str">
        <f t="shared" si="53"/>
        <v>Q3 14</v>
      </c>
      <c r="I311" s="209">
        <f t="shared" si="53"/>
        <v>0</v>
      </c>
    </row>
    <row r="312" spans="1:9" s="212" customFormat="1" ht="13.9">
      <c r="A312" s="212" t="str">
        <f t="shared" si="52"/>
        <v>Homes connected ('000)</v>
      </c>
      <c r="C312" s="11">
        <f t="shared" ref="C312:H317" si="54">+I238</f>
        <v>-54</v>
      </c>
      <c r="D312" s="11">
        <f t="shared" si="54"/>
        <v>-10</v>
      </c>
      <c r="E312" s="11">
        <f t="shared" si="54"/>
        <v>-1</v>
      </c>
      <c r="F312" s="11">
        <f t="shared" si="54"/>
        <v>-39</v>
      </c>
      <c r="G312" s="11">
        <f t="shared" si="54"/>
        <v>-6</v>
      </c>
      <c r="H312" s="11">
        <f t="shared" si="54"/>
        <v>16</v>
      </c>
    </row>
    <row r="313" spans="1:9" s="212" customFormat="1" ht="13.9">
      <c r="A313" s="212" t="str">
        <f t="shared" si="52"/>
        <v>Homes connected - own network ('000)</v>
      </c>
      <c r="C313" s="11">
        <f t="shared" si="54"/>
        <v>-9</v>
      </c>
      <c r="D313" s="11">
        <f t="shared" si="54"/>
        <v>-6</v>
      </c>
      <c r="E313" s="11">
        <f t="shared" si="54"/>
        <v>8</v>
      </c>
      <c r="F313" s="11">
        <f t="shared" si="54"/>
        <v>-9</v>
      </c>
      <c r="G313" s="11">
        <f t="shared" si="54"/>
        <v>-1</v>
      </c>
      <c r="H313" s="11">
        <f t="shared" si="54"/>
        <v>7</v>
      </c>
    </row>
    <row r="314" spans="1:9" s="212" customFormat="1" ht="13.9">
      <c r="A314" s="212" t="str">
        <f t="shared" si="52"/>
        <v>Homes connected - foreign network ('000)</v>
      </c>
      <c r="C314" s="11">
        <f t="shared" si="54"/>
        <v>-45</v>
      </c>
      <c r="D314" s="11">
        <f t="shared" si="54"/>
        <v>-4</v>
      </c>
      <c r="E314" s="11">
        <f t="shared" si="54"/>
        <v>-9</v>
      </c>
      <c r="F314" s="11">
        <f t="shared" si="54"/>
        <v>-30</v>
      </c>
      <c r="G314" s="11">
        <f t="shared" si="54"/>
        <v>-5</v>
      </c>
      <c r="H314" s="11">
        <f t="shared" si="54"/>
        <v>8.25</v>
      </c>
    </row>
    <row r="315" spans="1:9" s="212" customFormat="1" ht="13.9">
      <c r="A315" s="212" t="str">
        <f t="shared" si="52"/>
        <v>Homes connected - two-way upgraded ('000)</v>
      </c>
      <c r="C315" s="11">
        <f t="shared" si="54"/>
        <v>-4</v>
      </c>
      <c r="D315" s="11">
        <f t="shared" si="54"/>
        <v>6</v>
      </c>
      <c r="E315" s="11">
        <f t="shared" si="54"/>
        <v>17</v>
      </c>
      <c r="F315" s="11">
        <f t="shared" si="54"/>
        <v>8</v>
      </c>
      <c r="G315" s="11">
        <f t="shared" si="54"/>
        <v>12</v>
      </c>
      <c r="H315" s="11">
        <f t="shared" si="54"/>
        <v>8</v>
      </c>
    </row>
    <row r="316" spans="1:9" s="212" customFormat="1" ht="13.9">
      <c r="A316" s="212" t="str">
        <f t="shared" si="52"/>
        <v>Homes connected - own network - two-way upgraded ('000)</v>
      </c>
      <c r="C316" s="11">
        <f t="shared" si="54"/>
        <v>4</v>
      </c>
      <c r="D316" s="11">
        <f t="shared" si="54"/>
        <v>7</v>
      </c>
      <c r="E316" s="11">
        <f t="shared" si="54"/>
        <v>18</v>
      </c>
      <c r="F316" s="11">
        <f t="shared" si="54"/>
        <v>10</v>
      </c>
      <c r="G316" s="11">
        <f t="shared" si="54"/>
        <v>24</v>
      </c>
      <c r="H316" s="11">
        <f t="shared" si="54"/>
        <v>7.4779999999999518</v>
      </c>
    </row>
    <row r="317" spans="1:9" s="212" customFormat="1" ht="13.9">
      <c r="A317" s="212" t="str">
        <f t="shared" si="52"/>
        <v>Homes connected - foreign network - two-way upgraded ('000)</v>
      </c>
      <c r="C317" s="11">
        <f t="shared" si="54"/>
        <v>-7</v>
      </c>
      <c r="D317" s="11">
        <f t="shared" si="54"/>
        <v>-1</v>
      </c>
      <c r="E317" s="11">
        <f t="shared" si="54"/>
        <v>-2</v>
      </c>
      <c r="F317" s="11">
        <f t="shared" si="54"/>
        <v>-1</v>
      </c>
      <c r="G317" s="11">
        <f t="shared" si="54"/>
        <v>-12</v>
      </c>
      <c r="H317" s="11">
        <f t="shared" si="54"/>
        <v>0.5</v>
      </c>
    </row>
    <row r="318" spans="1:9" s="212" customFormat="1" ht="13.9">
      <c r="A318" s="7" t="str">
        <f t="shared" ref="A318:A325" si="55">+A245</f>
        <v>RGUs</v>
      </c>
      <c r="C318" s="11"/>
      <c r="D318" s="11"/>
      <c r="E318" s="11"/>
      <c r="F318" s="11"/>
      <c r="G318" s="11"/>
      <c r="H318" s="11"/>
    </row>
    <row r="319" spans="1:9" s="212" customFormat="1" ht="13.9">
      <c r="A319" s="212" t="str">
        <f t="shared" si="55"/>
        <v>CATV ('000)</v>
      </c>
      <c r="C319" s="11">
        <f t="shared" ref="C319:H325" si="56">+I246</f>
        <v>-25</v>
      </c>
      <c r="D319" s="11">
        <f t="shared" si="56"/>
        <v>-3</v>
      </c>
      <c r="E319" s="11">
        <f t="shared" si="56"/>
        <v>-5</v>
      </c>
      <c r="F319" s="11">
        <f t="shared" si="56"/>
        <v>-32</v>
      </c>
      <c r="G319" s="11">
        <f t="shared" si="56"/>
        <v>-4</v>
      </c>
      <c r="H319" s="11">
        <f t="shared" si="56"/>
        <v>18</v>
      </c>
    </row>
    <row r="320" spans="1:9" s="212" customFormat="1" ht="13.9">
      <c r="A320" s="212" t="str">
        <f t="shared" si="55"/>
        <v>CATV - own infrastructure ('000)</v>
      </c>
      <c r="C320" s="11">
        <f t="shared" si="56"/>
        <v>-6</v>
      </c>
      <c r="D320" s="11">
        <f t="shared" si="56"/>
        <v>-19</v>
      </c>
      <c r="E320" s="11">
        <f t="shared" si="56"/>
        <v>2</v>
      </c>
      <c r="F320" s="11">
        <f t="shared" si="56"/>
        <v>-5</v>
      </c>
      <c r="G320" s="11">
        <f t="shared" si="56"/>
        <v>-3</v>
      </c>
      <c r="H320" s="11">
        <f t="shared" si="56"/>
        <v>10</v>
      </c>
    </row>
    <row r="321" spans="1:9" s="212" customFormat="1" ht="13.9">
      <c r="A321" s="212" t="str">
        <f t="shared" si="55"/>
        <v>Premium TV ('000)</v>
      </c>
      <c r="C321" s="11">
        <f t="shared" si="56"/>
        <v>1</v>
      </c>
      <c r="D321" s="11">
        <f t="shared" si="56"/>
        <v>2</v>
      </c>
      <c r="E321" s="11">
        <f t="shared" si="56"/>
        <v>11</v>
      </c>
      <c r="F321" s="11">
        <f t="shared" si="56"/>
        <v>1</v>
      </c>
      <c r="G321" s="11">
        <f t="shared" si="56"/>
        <v>-3</v>
      </c>
      <c r="H321" s="11">
        <f t="shared" si="56"/>
        <v>1</v>
      </c>
    </row>
    <row r="322" spans="1:9" s="212" customFormat="1" ht="13.9">
      <c r="A322" s="212" t="str">
        <f t="shared" si="55"/>
        <v>Internet ('000)</v>
      </c>
      <c r="C322" s="11">
        <f t="shared" si="56"/>
        <v>7</v>
      </c>
      <c r="D322" s="11">
        <f t="shared" si="56"/>
        <v>9</v>
      </c>
      <c r="E322" s="11">
        <f t="shared" si="56"/>
        <v>12</v>
      </c>
      <c r="F322" s="11">
        <f t="shared" si="56"/>
        <v>9</v>
      </c>
      <c r="G322" s="11">
        <f t="shared" si="56"/>
        <v>7</v>
      </c>
      <c r="H322" s="11">
        <f t="shared" si="56"/>
        <v>7</v>
      </c>
    </row>
    <row r="323" spans="1:9" s="212" customFormat="1" ht="13.9">
      <c r="A323" s="212" t="str">
        <f t="shared" si="55"/>
        <v>Telephony ('000)</v>
      </c>
      <c r="C323" s="11">
        <f t="shared" si="56"/>
        <v>7</v>
      </c>
      <c r="D323" s="11">
        <f t="shared" si="56"/>
        <v>8</v>
      </c>
      <c r="E323" s="11">
        <f t="shared" si="56"/>
        <v>10</v>
      </c>
      <c r="F323" s="11">
        <f t="shared" si="56"/>
        <v>8</v>
      </c>
      <c r="G323" s="11">
        <f t="shared" si="56"/>
        <v>6</v>
      </c>
      <c r="H323" s="11">
        <f t="shared" si="56"/>
        <v>6</v>
      </c>
    </row>
    <row r="324" spans="1:9" s="212" customFormat="1" ht="13.9">
      <c r="A324" s="212" t="str">
        <f t="shared" si="55"/>
        <v>Total RGUs ('000)</v>
      </c>
      <c r="C324" s="11">
        <f t="shared" si="56"/>
        <v>-9</v>
      </c>
      <c r="D324" s="11">
        <f t="shared" si="56"/>
        <v>15</v>
      </c>
      <c r="E324" s="11">
        <f t="shared" si="56"/>
        <v>28</v>
      </c>
      <c r="F324" s="11">
        <f t="shared" si="56"/>
        <v>-14</v>
      </c>
      <c r="G324" s="11">
        <f t="shared" si="56"/>
        <v>6</v>
      </c>
      <c r="H324" s="11">
        <f t="shared" si="56"/>
        <v>32</v>
      </c>
    </row>
    <row r="325" spans="1:9" s="212" customFormat="1" ht="13.9">
      <c r="A325" s="212" t="str">
        <f t="shared" si="55"/>
        <v>Total RGUs NSR</v>
      </c>
      <c r="C325" s="11">
        <f t="shared" si="56"/>
        <v>-11</v>
      </c>
      <c r="D325" s="11">
        <f t="shared" si="56"/>
        <v>14</v>
      </c>
      <c r="E325" s="11">
        <f t="shared" si="56"/>
        <v>17</v>
      </c>
      <c r="F325" s="11">
        <f t="shared" si="56"/>
        <v>-15</v>
      </c>
      <c r="G325" s="11">
        <f t="shared" si="56"/>
        <v>9</v>
      </c>
      <c r="H325" s="11">
        <f t="shared" si="56"/>
        <v>31</v>
      </c>
    </row>
    <row r="326" spans="1:9" s="212" customFormat="1" ht="13.9">
      <c r="A326" s="208" t="str">
        <f t="shared" ref="A326:A334" si="57">+A254</f>
        <v>Penetration</v>
      </c>
      <c r="B326" s="209" t="str">
        <f>+B284</f>
        <v>Q1 13</v>
      </c>
      <c r="C326" s="209" t="str">
        <f t="shared" ref="C326:H326" si="58">+C284</f>
        <v>Q2 13</v>
      </c>
      <c r="D326" s="209" t="str">
        <f t="shared" si="58"/>
        <v>Q3 13</v>
      </c>
      <c r="E326" s="209" t="str">
        <f t="shared" si="58"/>
        <v>Q4 13</v>
      </c>
      <c r="F326" s="209" t="str">
        <f t="shared" si="58"/>
        <v>Q1 14</v>
      </c>
      <c r="G326" s="209" t="str">
        <f t="shared" si="58"/>
        <v>Q2 14</v>
      </c>
      <c r="H326" s="209" t="str">
        <f t="shared" si="58"/>
        <v>Q3 14</v>
      </c>
      <c r="I326" s="209"/>
    </row>
    <row r="327" spans="1:9" s="212" customFormat="1" ht="13.9">
      <c r="A327" s="212" t="str">
        <f t="shared" si="57"/>
        <v>Two-way upgraded homes (as % of homes connected)</v>
      </c>
      <c r="B327" s="222">
        <f t="shared" ref="B327:H334" si="59">+H255</f>
        <v>0.56299999999999994</v>
      </c>
      <c r="C327" s="222">
        <f t="shared" si="59"/>
        <v>0.57799999999999996</v>
      </c>
      <c r="D327" s="222">
        <f t="shared" si="59"/>
        <v>0.58499999999999996</v>
      </c>
      <c r="E327" s="222">
        <f t="shared" si="59"/>
        <v>0.59499999999999997</v>
      </c>
      <c r="F327" s="222">
        <f t="shared" si="59"/>
        <v>0.61299999999999999</v>
      </c>
      <c r="G327" s="222">
        <f t="shared" si="59"/>
        <v>0.622</v>
      </c>
      <c r="H327" s="222">
        <f t="shared" si="59"/>
        <v>0.62093023255813951</v>
      </c>
    </row>
    <row r="328" spans="1:9" s="212" customFormat="1" ht="13.9">
      <c r="A328" s="212" t="str">
        <f t="shared" si="57"/>
        <v>Two-way upgraded homes - own network (as % of homes connected - own network)</v>
      </c>
      <c r="B328" s="222">
        <f t="shared" si="59"/>
        <v>0.71699999999999997</v>
      </c>
      <c r="C328" s="222">
        <f t="shared" si="59"/>
        <v>0.72499999999999998</v>
      </c>
      <c r="D328" s="222">
        <f t="shared" si="59"/>
        <v>0.73499999999999999</v>
      </c>
      <c r="E328" s="222">
        <f t="shared" si="59"/>
        <v>0.745</v>
      </c>
      <c r="F328" s="222">
        <f t="shared" si="59"/>
        <v>0.75900000000000001</v>
      </c>
      <c r="G328" s="222">
        <f t="shared" si="59"/>
        <v>0.77900000000000003</v>
      </c>
      <c r="H328" s="222">
        <f t="shared" si="59"/>
        <v>0.78096984924623114</v>
      </c>
    </row>
    <row r="329" spans="1:9" s="212" customFormat="1" ht="13.9">
      <c r="A329" s="212" t="str">
        <f t="shared" si="57"/>
        <v>Internet (RGUs as % of two-way upgraded homes connected)</v>
      </c>
      <c r="B329" s="222">
        <f t="shared" si="59"/>
        <v>0.14299999999999999</v>
      </c>
      <c r="C329" s="222">
        <f t="shared" si="59"/>
        <v>0.151</v>
      </c>
      <c r="D329" s="222">
        <f t="shared" si="59"/>
        <v>0.159</v>
      </c>
      <c r="E329" s="222">
        <f t="shared" si="59"/>
        <v>0.16700000000000001</v>
      </c>
      <c r="F329" s="222">
        <f t="shared" si="59"/>
        <v>0.17399999999999999</v>
      </c>
      <c r="G329" s="222">
        <f t="shared" si="59"/>
        <v>0.17899999999999999</v>
      </c>
      <c r="H329" s="222">
        <f t="shared" si="59"/>
        <v>0.18445692883895132</v>
      </c>
    </row>
    <row r="330" spans="1:9" s="212" customFormat="1" ht="13.9">
      <c r="A330" s="212" t="str">
        <f t="shared" si="57"/>
        <v>Internet (RGUs on own network as % of two-way upgraded homes connected - own network)</v>
      </c>
      <c r="B330" s="222">
        <f t="shared" si="59"/>
        <v>0.159</v>
      </c>
      <c r="C330" s="222">
        <f t="shared" si="59"/>
        <v>0.16700000000000001</v>
      </c>
      <c r="D330" s="222">
        <f t="shared" si="59"/>
        <v>0.17599999999999999</v>
      </c>
      <c r="E330" s="222">
        <f t="shared" si="59"/>
        <v>0.185</v>
      </c>
      <c r="F330" s="222">
        <f t="shared" si="59"/>
        <v>0.192</v>
      </c>
      <c r="G330" s="222">
        <f t="shared" si="59"/>
        <v>0.19500000000000001</v>
      </c>
      <c r="H330" s="222">
        <f t="shared" si="59"/>
        <v>0.20100000000000001</v>
      </c>
    </row>
    <row r="331" spans="1:9" s="212" customFormat="1" ht="13.9">
      <c r="A331" s="212" t="str">
        <f t="shared" si="57"/>
        <v>Premium TV Services (as % of CATV - own infrastructure)</v>
      </c>
      <c r="B331" s="222">
        <f t="shared" si="59"/>
        <v>0.159</v>
      </c>
      <c r="C331" s="222">
        <f t="shared" si="59"/>
        <v>0.161</v>
      </c>
      <c r="D331" s="222">
        <f t="shared" si="59"/>
        <v>0.16700000000000001</v>
      </c>
      <c r="E331" s="222">
        <f t="shared" si="59"/>
        <v>0.17899999999999999</v>
      </c>
      <c r="F331" s="222">
        <f t="shared" si="59"/>
        <v>0.18099999999999999</v>
      </c>
      <c r="G331" s="222">
        <f t="shared" si="59"/>
        <v>0.17899999999999999</v>
      </c>
      <c r="H331" s="222">
        <f t="shared" si="59"/>
        <v>0.17736670293797607</v>
      </c>
    </row>
    <row r="332" spans="1:9" s="212" customFormat="1" ht="13.9">
      <c r="A332" s="212" t="str">
        <f t="shared" si="57"/>
        <v>% of bundles¹</v>
      </c>
      <c r="B332" s="222">
        <f t="shared" si="59"/>
        <v>0.69699999999999995</v>
      </c>
      <c r="C332" s="222">
        <f t="shared" si="59"/>
        <v>0.70599999999999996</v>
      </c>
      <c r="D332" s="222">
        <f t="shared" si="59"/>
        <v>0.71299999999999997</v>
      </c>
      <c r="E332" s="222">
        <f t="shared" si="59"/>
        <v>0.71899999999999997</v>
      </c>
      <c r="F332" s="222">
        <f t="shared" si="59"/>
        <v>0.72599999999999998</v>
      </c>
      <c r="G332" s="222">
        <f t="shared" si="59"/>
        <v>0.73</v>
      </c>
      <c r="H332" s="222">
        <f t="shared" si="59"/>
        <v>0.73</v>
      </c>
    </row>
    <row r="333" spans="1:9" s="212" customFormat="1" ht="13.9">
      <c r="A333" s="212" t="str">
        <f t="shared" si="57"/>
        <v>Internet % customers</v>
      </c>
      <c r="B333" s="222">
        <f t="shared" si="59"/>
        <v>0.1105223315669947</v>
      </c>
      <c r="C333" s="222">
        <f t="shared" si="59"/>
        <v>0.11778290993071594</v>
      </c>
      <c r="D333" s="222">
        <f t="shared" si="59"/>
        <v>0.12432847275518036</v>
      </c>
      <c r="E333" s="222">
        <f t="shared" si="59"/>
        <v>0.13364055299539171</v>
      </c>
      <c r="F333" s="222">
        <f t="shared" si="59"/>
        <v>0.14386792452830188</v>
      </c>
      <c r="G333" s="222">
        <f t="shared" si="59"/>
        <v>0.14913657770800628</v>
      </c>
      <c r="H333" s="222">
        <f t="shared" si="59"/>
        <v>0.15259488768396592</v>
      </c>
    </row>
    <row r="334" spans="1:9" s="212" customFormat="1" ht="13.9">
      <c r="A334" s="212" t="str">
        <f t="shared" si="57"/>
        <v>Telephony % customers</v>
      </c>
      <c r="B334" s="222">
        <f t="shared" si="59"/>
        <v>9.1597274791824376E-2</v>
      </c>
      <c r="C334" s="222">
        <f t="shared" si="59"/>
        <v>9.853733641262509E-2</v>
      </c>
      <c r="D334" s="222">
        <f t="shared" si="59"/>
        <v>0.10437452033768227</v>
      </c>
      <c r="E334" s="222">
        <f t="shared" si="59"/>
        <v>0.11213517665130568</v>
      </c>
      <c r="F334" s="222">
        <f t="shared" si="59"/>
        <v>0.12106918238993711</v>
      </c>
      <c r="G334" s="222">
        <f t="shared" si="59"/>
        <v>0.12558869701726844</v>
      </c>
      <c r="H334" s="222">
        <f t="shared" si="59"/>
        <v>0.12858249419054996</v>
      </c>
    </row>
    <row r="335" spans="1:9" s="212" customFormat="1" ht="13.9">
      <c r="A335" s="208" t="str">
        <f>+A264</f>
        <v>ARPU (€/month)</v>
      </c>
      <c r="B335" s="209" t="str">
        <f>+B284</f>
        <v>Q1 13</v>
      </c>
      <c r="C335" s="209" t="str">
        <f t="shared" ref="C335:H335" si="60">+C284</f>
        <v>Q2 13</v>
      </c>
      <c r="D335" s="209" t="str">
        <f t="shared" si="60"/>
        <v>Q3 13</v>
      </c>
      <c r="E335" s="209" t="str">
        <f t="shared" si="60"/>
        <v>Q4 13</v>
      </c>
      <c r="F335" s="209" t="str">
        <f t="shared" si="60"/>
        <v>Q1 14</v>
      </c>
      <c r="G335" s="209" t="str">
        <f t="shared" si="60"/>
        <v>Q2 14</v>
      </c>
      <c r="H335" s="209" t="str">
        <f t="shared" si="60"/>
        <v>Q3 14</v>
      </c>
    </row>
    <row r="336" spans="1:9" s="212" customFormat="1" ht="13.9">
      <c r="A336" s="212" t="str">
        <f>+A265</f>
        <v>Blended TV ARPU per subscriber</v>
      </c>
      <c r="B336" s="223">
        <f t="shared" ref="B336:H338" si="61">+H265</f>
        <v>9.4</v>
      </c>
      <c r="C336" s="223">
        <f t="shared" si="61"/>
        <v>9.5</v>
      </c>
      <c r="D336" s="223">
        <f t="shared" si="61"/>
        <v>9.5</v>
      </c>
      <c r="E336" s="223">
        <f t="shared" si="61"/>
        <v>9.5</v>
      </c>
      <c r="F336" s="223">
        <f t="shared" si="61"/>
        <v>9.6</v>
      </c>
      <c r="G336" s="223">
        <f t="shared" si="61"/>
        <v>9.6</v>
      </c>
      <c r="H336" s="223">
        <f t="shared" si="61"/>
        <v>9.6999999999999993</v>
      </c>
    </row>
    <row r="337" spans="1:14" s="212" customFormat="1" ht="13.9">
      <c r="A337" s="212" t="str">
        <f>+A266</f>
        <v>Blended Internet &amp; telephony ARPU per subscriber</v>
      </c>
      <c r="B337" s="223">
        <f t="shared" si="61"/>
        <v>22.2</v>
      </c>
      <c r="C337" s="223">
        <f t="shared" si="61"/>
        <v>22.2</v>
      </c>
      <c r="D337" s="223">
        <f t="shared" si="61"/>
        <v>22.6</v>
      </c>
      <c r="E337" s="223">
        <f t="shared" si="61"/>
        <v>22.5</v>
      </c>
      <c r="F337" s="223">
        <f t="shared" si="61"/>
        <v>22.3</v>
      </c>
      <c r="G337" s="223">
        <f t="shared" si="61"/>
        <v>22.3</v>
      </c>
      <c r="H337" s="223">
        <f t="shared" si="61"/>
        <v>21.8</v>
      </c>
    </row>
    <row r="338" spans="1:14" s="212" customFormat="1" ht="13.9">
      <c r="A338" s="212" t="str">
        <f>+A267</f>
        <v xml:space="preserve">Total blended ARPU </v>
      </c>
      <c r="B338" s="223">
        <f t="shared" si="61"/>
        <v>13</v>
      </c>
      <c r="C338" s="223">
        <f t="shared" si="61"/>
        <v>13.1</v>
      </c>
      <c r="D338" s="223">
        <f t="shared" si="61"/>
        <v>13.3</v>
      </c>
      <c r="E338" s="223">
        <f t="shared" si="61"/>
        <v>13.5</v>
      </c>
      <c r="F338" s="223">
        <f t="shared" si="61"/>
        <v>13.7</v>
      </c>
      <c r="G338" s="223">
        <f t="shared" si="61"/>
        <v>13.9</v>
      </c>
      <c r="H338" s="223">
        <f t="shared" si="61"/>
        <v>14</v>
      </c>
    </row>
    <row r="339" spans="1:14" s="212" customFormat="1" ht="13.9"/>
    <row r="340" spans="1:14" s="212" customFormat="1" ht="13.9">
      <c r="A340" s="208" t="s">
        <v>250</v>
      </c>
      <c r="B340" s="209" t="s">
        <v>731</v>
      </c>
      <c r="C340" s="209" t="s">
        <v>624</v>
      </c>
      <c r="D340" s="227" t="s">
        <v>610</v>
      </c>
      <c r="E340" s="209"/>
      <c r="F340" s="209" t="str">
        <f>+G3</f>
        <v>9M 13</v>
      </c>
      <c r="G340" s="209" t="str">
        <f>+H3</f>
        <v>9M 14</v>
      </c>
      <c r="H340" s="227" t="s">
        <v>610</v>
      </c>
      <c r="I340" s="209"/>
      <c r="J340" s="209" t="s">
        <v>725</v>
      </c>
      <c r="K340" s="209" t="s">
        <v>717</v>
      </c>
      <c r="L340" s="227" t="s">
        <v>610</v>
      </c>
      <c r="M340" s="209"/>
      <c r="N340" s="209"/>
    </row>
    <row r="341" spans="1:14" s="212" customFormat="1" ht="13.9">
      <c r="A341" s="7" t="str">
        <f>+A4</f>
        <v>Revenue</v>
      </c>
      <c r="B341" s="4"/>
      <c r="C341" s="4"/>
      <c r="E341" s="4"/>
      <c r="F341" s="4"/>
      <c r="G341" s="4"/>
      <c r="I341" s="4"/>
      <c r="J341" s="4"/>
      <c r="K341" s="4"/>
      <c r="M341" s="4"/>
      <c r="N341" s="4"/>
    </row>
    <row r="342" spans="1:14" s="212" customFormat="1" ht="13.9">
      <c r="A342" s="4" t="str">
        <f t="shared" ref="A342:B381" si="62">+A5</f>
        <v>TV</v>
      </c>
      <c r="B342" s="5">
        <f t="shared" si="62"/>
        <v>72.8</v>
      </c>
      <c r="C342" s="5">
        <f t="shared" ref="C342:C348" si="63">+D5</f>
        <v>71</v>
      </c>
      <c r="D342" s="226">
        <f>+C342/B342-1</f>
        <v>-2.4725274725274637E-2</v>
      </c>
      <c r="E342" s="5"/>
      <c r="F342" s="5">
        <f t="shared" ref="F342:G348" si="64">+G5</f>
        <v>108.518</v>
      </c>
      <c r="G342" s="5">
        <f t="shared" si="64"/>
        <v>106.922</v>
      </c>
      <c r="H342" s="226">
        <f>+G342/F342-1</f>
        <v>-1.4707237508984727E-2</v>
      </c>
      <c r="I342" s="5"/>
      <c r="J342" s="5">
        <f t="shared" ref="J342:K344" si="65">+F342-B342</f>
        <v>35.718000000000004</v>
      </c>
      <c r="K342" s="5">
        <f t="shared" si="65"/>
        <v>35.921999999999997</v>
      </c>
      <c r="L342" s="226">
        <f>+K342/J342-1</f>
        <v>5.7114060137744005E-3</v>
      </c>
      <c r="M342" s="5"/>
      <c r="N342" s="5"/>
    </row>
    <row r="343" spans="1:14" s="212" customFormat="1" ht="13.9">
      <c r="A343" s="4" t="str">
        <f t="shared" si="62"/>
        <v>Internet &amp; Telephony</v>
      </c>
      <c r="B343" s="5">
        <f t="shared" si="62"/>
        <v>19.600000000000001</v>
      </c>
      <c r="C343" s="5">
        <f t="shared" si="63"/>
        <v>24.5</v>
      </c>
      <c r="D343" s="226">
        <f t="shared" ref="D343:D381" si="66">+C343/B343-1</f>
        <v>0.25</v>
      </c>
      <c r="E343" s="5"/>
      <c r="F343" s="5">
        <f t="shared" si="64"/>
        <v>30.295786809999978</v>
      </c>
      <c r="G343" s="5">
        <f t="shared" si="64"/>
        <v>37.371897409999995</v>
      </c>
      <c r="H343" s="226">
        <f t="shared" ref="H343:H381" si="67">+G343/F343-1</f>
        <v>0.23356748066580502</v>
      </c>
      <c r="I343" s="5"/>
      <c r="J343" s="5">
        <f t="shared" si="65"/>
        <v>10.695786809999976</v>
      </c>
      <c r="K343" s="5">
        <f t="shared" si="65"/>
        <v>12.871897409999995</v>
      </c>
      <c r="L343" s="226">
        <f t="shared" ref="L343:L381" si="68">+K343/J343-1</f>
        <v>0.20345493404613069</v>
      </c>
      <c r="M343" s="5"/>
      <c r="N343" s="5"/>
    </row>
    <row r="344" spans="1:14" s="212" customFormat="1" ht="13.9">
      <c r="A344" s="4" t="str">
        <f t="shared" si="62"/>
        <v>Other revenue</v>
      </c>
      <c r="B344" s="5">
        <f t="shared" si="62"/>
        <v>10</v>
      </c>
      <c r="C344" s="5">
        <f t="shared" si="63"/>
        <v>9.8000000000000007</v>
      </c>
      <c r="D344" s="226">
        <f t="shared" si="66"/>
        <v>-1.9999999999999907E-2</v>
      </c>
      <c r="E344" s="5"/>
      <c r="F344" s="5">
        <f t="shared" si="64"/>
        <v>14.69</v>
      </c>
      <c r="G344" s="5">
        <f t="shared" si="64"/>
        <v>15.028</v>
      </c>
      <c r="H344" s="226">
        <f t="shared" si="67"/>
        <v>2.3008849557522248E-2</v>
      </c>
      <c r="I344" s="5"/>
      <c r="J344" s="5">
        <f t="shared" si="65"/>
        <v>4.6899999999999995</v>
      </c>
      <c r="K344" s="5">
        <f t="shared" si="65"/>
        <v>5.2279999999999998</v>
      </c>
      <c r="L344" s="226">
        <f t="shared" si="68"/>
        <v>0.11471215351812369</v>
      </c>
      <c r="M344" s="5"/>
      <c r="N344" s="5"/>
    </row>
    <row r="345" spans="1:14" s="212" customFormat="1" ht="13.9">
      <c r="A345" s="7" t="str">
        <f t="shared" si="62"/>
        <v>Total revenue</v>
      </c>
      <c r="B345" s="9">
        <f t="shared" si="62"/>
        <v>102.4</v>
      </c>
      <c r="C345" s="9">
        <f t="shared" si="63"/>
        <v>105.4</v>
      </c>
      <c r="D345" s="226">
        <f t="shared" si="66"/>
        <v>2.9296875E-2</v>
      </c>
      <c r="E345" s="9"/>
      <c r="F345" s="9">
        <f t="shared" si="64"/>
        <v>153.50378680999998</v>
      </c>
      <c r="G345" s="9">
        <f t="shared" si="64"/>
        <v>159.32189740999999</v>
      </c>
      <c r="H345" s="226">
        <f t="shared" si="67"/>
        <v>3.7902065616149283E-2</v>
      </c>
      <c r="I345" s="5"/>
      <c r="J345" s="9">
        <f>+J344+J343+J342</f>
        <v>51.103786809999981</v>
      </c>
      <c r="K345" s="9">
        <f>+K344+K343+K342</f>
        <v>54.021897409999994</v>
      </c>
      <c r="L345" s="226">
        <f t="shared" si="68"/>
        <v>5.71016510155955E-2</v>
      </c>
      <c r="M345" s="5"/>
      <c r="N345" s="5"/>
    </row>
    <row r="346" spans="1:14" s="212" customFormat="1" ht="13.9">
      <c r="A346" s="4" t="str">
        <f t="shared" si="62"/>
        <v>Own work capitalised</v>
      </c>
      <c r="B346" s="5">
        <f t="shared" si="62"/>
        <v>2</v>
      </c>
      <c r="C346" s="5">
        <f t="shared" si="63"/>
        <v>2.9</v>
      </c>
      <c r="D346" s="226">
        <f t="shared" si="66"/>
        <v>0.44999999999999996</v>
      </c>
      <c r="E346" s="5"/>
      <c r="F346" s="5">
        <f t="shared" si="64"/>
        <v>3.4887209599999993</v>
      </c>
      <c r="G346" s="5">
        <f t="shared" si="64"/>
        <v>4.6742467599999999</v>
      </c>
      <c r="H346" s="226">
        <f t="shared" si="67"/>
        <v>0.33981674475908807</v>
      </c>
      <c r="I346" s="5"/>
      <c r="J346" s="5">
        <f>+F346-B346</f>
        <v>1.4887209599999993</v>
      </c>
      <c r="K346" s="5">
        <f>+G346-C346</f>
        <v>1.77424676</v>
      </c>
      <c r="L346" s="226">
        <f t="shared" si="68"/>
        <v>0.19179269162704671</v>
      </c>
      <c r="M346" s="5"/>
      <c r="N346" s="5"/>
    </row>
    <row r="347" spans="1:14" s="212" customFormat="1" ht="13.9">
      <c r="A347" s="4" t="str">
        <f t="shared" si="62"/>
        <v>Normalised other income</v>
      </c>
      <c r="B347" s="5">
        <f t="shared" si="62"/>
        <v>4.3</v>
      </c>
      <c r="C347" s="5">
        <f t="shared" si="63"/>
        <v>4.8</v>
      </c>
      <c r="D347" s="226">
        <f t="shared" si="66"/>
        <v>0.11627906976744184</v>
      </c>
      <c r="E347" s="5"/>
      <c r="F347" s="5">
        <f t="shared" si="64"/>
        <v>6.2138058000000065</v>
      </c>
      <c r="G347" s="5">
        <f t="shared" si="64"/>
        <v>6.2283287899999991</v>
      </c>
      <c r="H347" s="226">
        <f t="shared" si="67"/>
        <v>2.3372133709091969E-3</v>
      </c>
      <c r="I347" s="5"/>
      <c r="J347" s="5">
        <f>+F347-B347</f>
        <v>1.9138058000000067</v>
      </c>
      <c r="K347" s="5">
        <f>+G347-C347</f>
        <v>1.4283287899999992</v>
      </c>
      <c r="L347" s="226">
        <f t="shared" si="68"/>
        <v>-0.25367098897913554</v>
      </c>
      <c r="M347" s="5"/>
      <c r="N347" s="5"/>
    </row>
    <row r="348" spans="1:14" s="212" customFormat="1" ht="13.9">
      <c r="A348" s="7" t="str">
        <f t="shared" si="62"/>
        <v>Normalised total operating performance</v>
      </c>
      <c r="B348" s="9">
        <f t="shared" si="62"/>
        <v>109.5</v>
      </c>
      <c r="C348" s="9">
        <f t="shared" si="63"/>
        <v>114.7</v>
      </c>
      <c r="D348" s="226">
        <f t="shared" si="66"/>
        <v>4.7488584474885798E-2</v>
      </c>
      <c r="E348" s="9"/>
      <c r="F348" s="9">
        <f t="shared" si="64"/>
        <v>163.20631356999999</v>
      </c>
      <c r="G348" s="9">
        <f t="shared" si="64"/>
        <v>170.22447295999999</v>
      </c>
      <c r="H348" s="226">
        <f t="shared" si="67"/>
        <v>4.3001764064659609E-2</v>
      </c>
      <c r="I348" s="5"/>
      <c r="J348" s="9">
        <f>+J345+J346+J347</f>
        <v>54.506313569999989</v>
      </c>
      <c r="K348" s="9">
        <f>+K345+K346+K347</f>
        <v>57.224472959999993</v>
      </c>
      <c r="L348" s="226">
        <f t="shared" si="68"/>
        <v>4.9868707163789328E-2</v>
      </c>
      <c r="M348" s="5"/>
      <c r="N348" s="5"/>
    </row>
    <row r="349" spans="1:14" s="212" customFormat="1" ht="13.9">
      <c r="A349" s="4"/>
      <c r="B349" s="4"/>
      <c r="C349" s="4"/>
      <c r="D349" s="226"/>
      <c r="E349" s="4"/>
      <c r="F349" s="4"/>
      <c r="G349" s="4"/>
      <c r="H349" s="226"/>
      <c r="I349" s="5"/>
      <c r="J349" s="4"/>
      <c r="K349" s="4"/>
      <c r="L349" s="226"/>
      <c r="M349" s="5"/>
      <c r="N349" s="5"/>
    </row>
    <row r="350" spans="1:14" s="212" customFormat="1" ht="13.9">
      <c r="A350" s="4" t="str">
        <f t="shared" si="62"/>
        <v>Basic CaTV signal fee</v>
      </c>
      <c r="B350" s="5">
        <f t="shared" si="62"/>
        <v>-15.7</v>
      </c>
      <c r="C350" s="5">
        <f>+D13</f>
        <v>-16.2</v>
      </c>
      <c r="D350" s="226">
        <f t="shared" si="66"/>
        <v>3.1847133757961776E-2</v>
      </c>
      <c r="E350" s="5"/>
      <c r="F350" s="5">
        <f t="shared" ref="F350:G353" si="69">+G13</f>
        <v>-23.257999999999999</v>
      </c>
      <c r="G350" s="5">
        <f t="shared" si="69"/>
        <v>-24.440999999999999</v>
      </c>
      <c r="H350" s="226">
        <f t="shared" si="67"/>
        <v>5.0864218763436275E-2</v>
      </c>
      <c r="I350" s="5"/>
      <c r="J350" s="5">
        <f t="shared" ref="J350:K352" si="70">+F350-B350</f>
        <v>-7.5579999999999998</v>
      </c>
      <c r="K350" s="5">
        <f t="shared" si="70"/>
        <v>-8.2409999999999997</v>
      </c>
      <c r="L350" s="226">
        <f t="shared" si="68"/>
        <v>9.0367822175178691E-2</v>
      </c>
      <c r="M350" s="5"/>
      <c r="N350" s="5"/>
    </row>
    <row r="351" spans="1:14" s="212" customFormat="1" ht="13.9">
      <c r="A351" s="4" t="str">
        <f t="shared" si="62"/>
        <v>Other direct costs</v>
      </c>
      <c r="B351" s="5">
        <f t="shared" si="62"/>
        <v>-22.6</v>
      </c>
      <c r="C351" s="5">
        <f>+D14</f>
        <v>-20</v>
      </c>
      <c r="D351" s="226">
        <f t="shared" si="66"/>
        <v>-0.11504424778761069</v>
      </c>
      <c r="E351" s="5"/>
      <c r="F351" s="5">
        <f t="shared" si="69"/>
        <v>-33.472000000000001</v>
      </c>
      <c r="G351" s="5">
        <f t="shared" si="69"/>
        <v>-28.888000000000002</v>
      </c>
      <c r="H351" s="226">
        <f t="shared" si="67"/>
        <v>-0.13695028680688337</v>
      </c>
      <c r="I351" s="5"/>
      <c r="J351" s="5">
        <f t="shared" si="70"/>
        <v>-10.872</v>
      </c>
      <c r="K351" s="5">
        <f t="shared" si="70"/>
        <v>-8.8880000000000017</v>
      </c>
      <c r="L351" s="226">
        <f t="shared" si="68"/>
        <v>-0.18248712288447366</v>
      </c>
      <c r="M351" s="5"/>
      <c r="N351" s="5"/>
    </row>
    <row r="352" spans="1:14" s="212" customFormat="1" ht="13.9">
      <c r="A352" s="7" t="str">
        <f t="shared" si="62"/>
        <v>Normalised contribution margin</v>
      </c>
      <c r="B352" s="9">
        <f t="shared" si="62"/>
        <v>70.400000000000006</v>
      </c>
      <c r="C352" s="9">
        <f>+D15</f>
        <v>76.900000000000006</v>
      </c>
      <c r="D352" s="226">
        <f t="shared" si="66"/>
        <v>9.2329545454545414E-2</v>
      </c>
      <c r="E352" s="9"/>
      <c r="F352" s="9">
        <f t="shared" si="69"/>
        <v>106.47631356999997</v>
      </c>
      <c r="G352" s="9">
        <f t="shared" si="69"/>
        <v>116.89547295999998</v>
      </c>
      <c r="H352" s="226">
        <f t="shared" si="67"/>
        <v>9.7854246082159868E-2</v>
      </c>
      <c r="I352" s="5"/>
      <c r="J352" s="9">
        <f t="shared" si="70"/>
        <v>36.076313569999968</v>
      </c>
      <c r="K352" s="9">
        <f t="shared" si="70"/>
        <v>39.995472959999972</v>
      </c>
      <c r="L352" s="226">
        <f t="shared" si="68"/>
        <v>0.10863525128185669</v>
      </c>
      <c r="M352" s="5"/>
      <c r="N352" s="5"/>
    </row>
    <row r="353" spans="1:14" s="212" customFormat="1" ht="13.9">
      <c r="A353" s="14" t="str">
        <f t="shared" si="62"/>
        <v>% margin</v>
      </c>
      <c r="B353" s="15">
        <f t="shared" si="62"/>
        <v>0.69</v>
      </c>
      <c r="C353" s="15">
        <f>+D16</f>
        <v>0.73299999999999998</v>
      </c>
      <c r="D353" s="228">
        <f t="shared" si="66"/>
        <v>6.2318840579710155E-2</v>
      </c>
      <c r="E353" s="15"/>
      <c r="F353" s="15">
        <f t="shared" si="69"/>
        <v>0.69363965399623351</v>
      </c>
      <c r="G353" s="15">
        <f t="shared" si="69"/>
        <v>0.73370625670607237</v>
      </c>
      <c r="H353" s="228">
        <f t="shared" si="67"/>
        <v>5.7762849166717922E-2</v>
      </c>
      <c r="I353" s="15"/>
      <c r="J353" s="15">
        <f>+J352/J345</f>
        <v>0.70594208026362071</v>
      </c>
      <c r="K353" s="15">
        <f>+K352/K345</f>
        <v>0.74035668640910068</v>
      </c>
      <c r="L353" s="228">
        <f t="shared" si="68"/>
        <v>4.8749900462979223E-2</v>
      </c>
      <c r="M353" s="15"/>
      <c r="N353" s="15"/>
    </row>
    <row r="354" spans="1:14" s="212" customFormat="1" ht="13.9">
      <c r="A354" s="4"/>
      <c r="B354" s="4"/>
      <c r="C354" s="4"/>
      <c r="D354" s="226"/>
      <c r="E354" s="4"/>
      <c r="F354" s="4"/>
      <c r="G354" s="4"/>
      <c r="H354" s="226"/>
      <c r="I354" s="5"/>
      <c r="J354" s="4"/>
      <c r="K354" s="4"/>
      <c r="L354" s="226"/>
      <c r="M354" s="5"/>
      <c r="N354" s="5"/>
    </row>
    <row r="355" spans="1:14" s="212" customFormat="1" ht="13.9">
      <c r="A355" s="4" t="str">
        <f t="shared" si="62"/>
        <v>Employee benefits</v>
      </c>
      <c r="B355" s="5">
        <f t="shared" si="62"/>
        <v>-14.7</v>
      </c>
      <c r="C355" s="5">
        <f>+D18</f>
        <v>-15.4</v>
      </c>
      <c r="D355" s="226">
        <f t="shared" si="66"/>
        <v>4.7619047619047672E-2</v>
      </c>
      <c r="E355" s="5"/>
      <c r="F355" s="5">
        <f t="shared" ref="F355:G357" si="71">+G18</f>
        <v>-21.196999999999999</v>
      </c>
      <c r="G355" s="5">
        <f t="shared" si="71"/>
        <v>-23.151</v>
      </c>
      <c r="H355" s="226">
        <f t="shared" si="67"/>
        <v>9.2182856064537466E-2</v>
      </c>
      <c r="I355" s="5"/>
      <c r="J355" s="5">
        <f t="shared" ref="J355:K357" si="72">+F355-B355</f>
        <v>-6.4969999999999999</v>
      </c>
      <c r="K355" s="5">
        <f t="shared" si="72"/>
        <v>-7.7509999999999994</v>
      </c>
      <c r="L355" s="226">
        <f t="shared" si="68"/>
        <v>0.19301215945821149</v>
      </c>
      <c r="M355" s="5"/>
      <c r="N355" s="5"/>
    </row>
    <row r="356" spans="1:14" s="212" customFormat="1" ht="13.9">
      <c r="A356" s="4" t="str">
        <f t="shared" si="62"/>
        <v>Advertising</v>
      </c>
      <c r="B356" s="5">
        <f t="shared" si="62"/>
        <v>-3.2</v>
      </c>
      <c r="C356" s="5">
        <f>+D19</f>
        <v>-4.5999999999999996</v>
      </c>
      <c r="D356" s="226">
        <f t="shared" si="66"/>
        <v>0.43749999999999978</v>
      </c>
      <c r="E356" s="5"/>
      <c r="F356" s="5">
        <f t="shared" si="71"/>
        <v>-5.2160000000000002</v>
      </c>
      <c r="G356" s="5">
        <f t="shared" si="71"/>
        <v>-6.2519999999999998</v>
      </c>
      <c r="H356" s="226">
        <f t="shared" si="67"/>
        <v>0.19861963190184051</v>
      </c>
      <c r="I356" s="5"/>
      <c r="J356" s="5">
        <f t="shared" si="72"/>
        <v>-2.016</v>
      </c>
      <c r="K356" s="5">
        <f t="shared" si="72"/>
        <v>-1.6520000000000001</v>
      </c>
      <c r="L356" s="226">
        <f t="shared" si="68"/>
        <v>-0.18055555555555547</v>
      </c>
      <c r="M356" s="5"/>
      <c r="N356" s="5"/>
    </row>
    <row r="357" spans="1:14" s="212" customFormat="1" ht="13.9">
      <c r="A357" s="4" t="str">
        <f t="shared" si="62"/>
        <v>Other operating income and expenses</v>
      </c>
      <c r="B357" s="5">
        <f>+B20</f>
        <v>-9.5</v>
      </c>
      <c r="C357" s="5">
        <f>+D20</f>
        <v>-9.6</v>
      </c>
      <c r="D357" s="226">
        <f t="shared" si="66"/>
        <v>1.0526315789473717E-2</v>
      </c>
      <c r="E357" s="5"/>
      <c r="F357" s="5">
        <f t="shared" si="71"/>
        <v>-13.77</v>
      </c>
      <c r="G357" s="5">
        <f t="shared" si="71"/>
        <v>-14.545999999999999</v>
      </c>
      <c r="H357" s="226">
        <f t="shared" si="67"/>
        <v>5.6354393609295617E-2</v>
      </c>
      <c r="I357" s="5"/>
      <c r="J357" s="5">
        <f t="shared" si="72"/>
        <v>-4.2699999999999996</v>
      </c>
      <c r="K357" s="5">
        <f t="shared" si="72"/>
        <v>-4.9459999999999997</v>
      </c>
      <c r="L357" s="226">
        <f t="shared" si="68"/>
        <v>0.15831381733021077</v>
      </c>
      <c r="M357" s="5"/>
      <c r="N357" s="5"/>
    </row>
    <row r="358" spans="1:14" s="212" customFormat="1" ht="13.9">
      <c r="A358" s="4"/>
      <c r="B358" s="4"/>
      <c r="C358" s="4"/>
      <c r="D358" s="226"/>
      <c r="E358" s="4"/>
      <c r="F358" s="4"/>
      <c r="G358" s="4"/>
      <c r="H358" s="226"/>
      <c r="I358" s="5"/>
      <c r="J358" s="4"/>
      <c r="K358" s="4"/>
      <c r="L358" s="226"/>
      <c r="M358" s="5"/>
      <c r="N358" s="5"/>
    </row>
    <row r="359" spans="1:14" s="212" customFormat="1" ht="13.9">
      <c r="A359" s="7" t="str">
        <f t="shared" si="62"/>
        <v>Normalised EBITDA</v>
      </c>
      <c r="B359" s="9">
        <f>+B22</f>
        <v>42.9</v>
      </c>
      <c r="C359" s="9">
        <f>+D22</f>
        <v>47.2</v>
      </c>
      <c r="D359" s="226">
        <f t="shared" si="66"/>
        <v>0.10023310023310028</v>
      </c>
      <c r="E359" s="9"/>
      <c r="F359" s="9">
        <f>+G22</f>
        <v>66.293313569999981</v>
      </c>
      <c r="G359" s="9">
        <f>+H22</f>
        <v>72.94647295999998</v>
      </c>
      <c r="H359" s="226">
        <f t="shared" si="67"/>
        <v>0.10035943342875497</v>
      </c>
      <c r="I359" s="5"/>
      <c r="J359" s="9">
        <f>+F359-B359</f>
        <v>23.393313569999982</v>
      </c>
      <c r="K359" s="9">
        <f>+G359-C359</f>
        <v>25.746472959999977</v>
      </c>
      <c r="L359" s="226">
        <f t="shared" si="68"/>
        <v>0.10059111048798708</v>
      </c>
      <c r="M359" s="5"/>
      <c r="N359" s="5"/>
    </row>
    <row r="360" spans="1:14" s="212" customFormat="1" ht="13.9">
      <c r="A360" s="14" t="str">
        <f t="shared" si="62"/>
        <v>% margin</v>
      </c>
      <c r="B360" s="15">
        <f>+B23</f>
        <v>0.42399999999999999</v>
      </c>
      <c r="C360" s="15">
        <f>+D23</f>
        <v>0.45600000000000002</v>
      </c>
      <c r="D360" s="228">
        <f>+C360-B360</f>
        <v>3.2000000000000028E-2</v>
      </c>
      <c r="E360" s="15"/>
      <c r="F360" s="15">
        <f>+G23</f>
        <v>0.43186761022420139</v>
      </c>
      <c r="G360" s="15">
        <f>+H23</f>
        <v>0.4578559140070938</v>
      </c>
      <c r="H360" s="228">
        <f>+G360-F360</f>
        <v>2.5988303782892408E-2</v>
      </c>
      <c r="I360" s="15"/>
      <c r="J360" s="15">
        <f>+J359/J345</f>
        <v>0.45776086333826016</v>
      </c>
      <c r="K360" s="15">
        <f>+K359/K345</f>
        <v>0.47659327410506774</v>
      </c>
      <c r="L360" s="228">
        <f>+K360-J360</f>
        <v>1.8832410766807584E-2</v>
      </c>
      <c r="M360" s="15"/>
      <c r="N360" s="15"/>
    </row>
    <row r="361" spans="1:14" s="212" customFormat="1" ht="13.9">
      <c r="A361" s="4"/>
      <c r="B361" s="4"/>
      <c r="C361" s="4"/>
      <c r="D361" s="226"/>
      <c r="E361" s="4"/>
      <c r="F361" s="4"/>
      <c r="G361" s="4"/>
      <c r="H361" s="226"/>
      <c r="I361" s="5"/>
      <c r="J361" s="4"/>
      <c r="K361" s="4"/>
      <c r="L361" s="226"/>
      <c r="M361" s="5"/>
      <c r="N361" s="5"/>
    </row>
    <row r="362" spans="1:14" s="212" customFormat="1" ht="13.9">
      <c r="A362" s="4" t="str">
        <f t="shared" si="62"/>
        <v>Non-recurring items</v>
      </c>
      <c r="B362" s="5">
        <f>+B25</f>
        <v>-1.5</v>
      </c>
      <c r="C362" s="5">
        <f>+D25</f>
        <v>-3.3</v>
      </c>
      <c r="D362" s="226">
        <f t="shared" si="66"/>
        <v>1.1999999999999997</v>
      </c>
      <c r="E362" s="5"/>
      <c r="F362" s="5">
        <f t="shared" ref="F362:G364" si="73">+G25</f>
        <v>-3.5720000000000001</v>
      </c>
      <c r="G362" s="5">
        <f t="shared" si="73"/>
        <v>-8.0259999999999998</v>
      </c>
      <c r="H362" s="226">
        <f t="shared" si="67"/>
        <v>1.2469204927211646</v>
      </c>
      <c r="I362" s="5"/>
      <c r="J362" s="5">
        <f>+F362-B362</f>
        <v>-2.0720000000000001</v>
      </c>
      <c r="K362" s="5">
        <f>+G362-C362</f>
        <v>-4.726</v>
      </c>
      <c r="L362" s="226">
        <f t="shared" si="68"/>
        <v>1.2808880308880308</v>
      </c>
      <c r="M362" s="5"/>
      <c r="N362" s="5"/>
    </row>
    <row r="363" spans="1:14" s="212" customFormat="1" ht="13.9">
      <c r="A363" s="7" t="str">
        <f t="shared" si="62"/>
        <v>Reported EBITDA</v>
      </c>
      <c r="B363" s="9">
        <f>+B26</f>
        <v>41.4</v>
      </c>
      <c r="C363" s="9">
        <f>+D26</f>
        <v>43.9</v>
      </c>
      <c r="D363" s="226">
        <f t="shared" si="66"/>
        <v>6.0386473429951737E-2</v>
      </c>
      <c r="E363" s="9"/>
      <c r="F363" s="9">
        <f t="shared" si="73"/>
        <v>62.721313569999978</v>
      </c>
      <c r="G363" s="9">
        <f t="shared" si="73"/>
        <v>64.920472959999984</v>
      </c>
      <c r="H363" s="226">
        <f t="shared" si="67"/>
        <v>3.5062393703627404E-2</v>
      </c>
      <c r="I363" s="5"/>
      <c r="J363" s="9">
        <f>+F363-B363</f>
        <v>21.32131356999998</v>
      </c>
      <c r="K363" s="9">
        <f>+G363-C363</f>
        <v>21.020472959999985</v>
      </c>
      <c r="L363" s="226">
        <f t="shared" si="68"/>
        <v>-1.4109853457776156E-2</v>
      </c>
      <c r="M363" s="5"/>
      <c r="N363" s="5"/>
    </row>
    <row r="364" spans="1:14" s="212" customFormat="1" ht="13.9">
      <c r="A364" s="14" t="str">
        <f t="shared" si="62"/>
        <v>% margin</v>
      </c>
      <c r="B364" s="15">
        <f>+B27</f>
        <v>0.40899999999999997</v>
      </c>
      <c r="C364" s="15">
        <f>+D27</f>
        <v>0.42499999999999999</v>
      </c>
      <c r="D364" s="228">
        <f>+C364-B364</f>
        <v>1.6000000000000014E-2</v>
      </c>
      <c r="E364" s="15"/>
      <c r="F364" s="15">
        <f t="shared" si="73"/>
        <v>0.40859782597828398</v>
      </c>
      <c r="G364" s="15">
        <f t="shared" si="73"/>
        <v>0.40747991340407669</v>
      </c>
      <c r="H364" s="228">
        <f>+G364-F364</f>
        <v>-1.1179125742072915E-3</v>
      </c>
      <c r="I364" s="15"/>
      <c r="J364" s="15">
        <f>+J363/J345</f>
        <v>0.41721592275091107</v>
      </c>
      <c r="K364" s="15">
        <f>+K27</f>
        <v>-1.2019924241815638E-2</v>
      </c>
      <c r="L364" s="228">
        <f>+K364-J364</f>
        <v>-0.42923584699272671</v>
      </c>
      <c r="M364" s="5"/>
      <c r="N364" s="5"/>
    </row>
    <row r="365" spans="1:14" s="212" customFormat="1" ht="13.9">
      <c r="A365" s="4"/>
      <c r="B365" s="4"/>
      <c r="C365" s="4"/>
      <c r="D365" s="226"/>
      <c r="E365" s="4"/>
      <c r="F365" s="4"/>
      <c r="G365" s="4"/>
      <c r="H365" s="226"/>
      <c r="I365" s="5"/>
      <c r="J365" s="4"/>
      <c r="K365" s="4"/>
      <c r="L365" s="226"/>
      <c r="M365" s="5"/>
      <c r="N365" s="5"/>
    </row>
    <row r="366" spans="1:14" s="212" customFormat="1" ht="13.9">
      <c r="A366" s="4" t="str">
        <f t="shared" si="62"/>
        <v>Depreciation and Amortization</v>
      </c>
      <c r="B366" s="5">
        <f>+B29</f>
        <v>-31.8</v>
      </c>
      <c r="C366" s="5">
        <f>+D29</f>
        <v>-26.5</v>
      </c>
      <c r="D366" s="226">
        <f t="shared" si="66"/>
        <v>-0.16666666666666674</v>
      </c>
      <c r="E366" s="5"/>
      <c r="F366" s="5">
        <f t="shared" ref="F366:G368" si="74">+G29</f>
        <v>-46.668999999999997</v>
      </c>
      <c r="G366" s="5">
        <f t="shared" si="74"/>
        <v>-40.177</v>
      </c>
      <c r="H366" s="226">
        <f t="shared" si="67"/>
        <v>-0.13910733034776823</v>
      </c>
      <c r="I366" s="5"/>
      <c r="J366" s="5">
        <f>+F366-B366</f>
        <v>-14.868999999999996</v>
      </c>
      <c r="K366" s="5">
        <f>+G366-C366</f>
        <v>-13.677</v>
      </c>
      <c r="L366" s="226">
        <f t="shared" si="68"/>
        <v>-8.0166789965700258E-2</v>
      </c>
      <c r="M366" s="5"/>
      <c r="N366" s="5"/>
    </row>
    <row r="367" spans="1:14" s="212" customFormat="1" ht="13.9">
      <c r="A367" s="7" t="str">
        <f t="shared" si="62"/>
        <v>Reported Operating Profit (EBIT)</v>
      </c>
      <c r="B367" s="9">
        <f>+B30</f>
        <v>9.6999999999999993</v>
      </c>
      <c r="C367" s="9">
        <f>+D30</f>
        <v>17.3</v>
      </c>
      <c r="D367" s="226">
        <f t="shared" si="66"/>
        <v>0.78350515463917536</v>
      </c>
      <c r="E367" s="9"/>
      <c r="F367" s="9">
        <f t="shared" si="74"/>
        <v>16.052313569999981</v>
      </c>
      <c r="G367" s="9">
        <f t="shared" si="74"/>
        <v>24.743472959999984</v>
      </c>
      <c r="H367" s="226">
        <f t="shared" si="67"/>
        <v>0.54142721247626446</v>
      </c>
      <c r="I367" s="5"/>
      <c r="J367" s="9">
        <f>+F367-B367</f>
        <v>6.352313569999982</v>
      </c>
      <c r="K367" s="9">
        <f>+G367-C367</f>
        <v>7.4434729599999834</v>
      </c>
      <c r="L367" s="226">
        <f t="shared" si="68"/>
        <v>0.17177354014027446</v>
      </c>
      <c r="M367" s="5"/>
      <c r="N367" s="5"/>
    </row>
    <row r="368" spans="1:14" s="212" customFormat="1" ht="13.9">
      <c r="A368" s="14" t="str">
        <f t="shared" si="62"/>
        <v>% margin</v>
      </c>
      <c r="B368" s="15">
        <f>+B31</f>
        <v>0.10199999999999999</v>
      </c>
      <c r="C368" s="15">
        <f>+D31</f>
        <v>0.17699999999999999</v>
      </c>
      <c r="D368" s="228">
        <f>+C368-B368</f>
        <v>7.4999999999999997E-2</v>
      </c>
      <c r="E368" s="15"/>
      <c r="F368" s="15">
        <f t="shared" si="74"/>
        <v>0.10457275291761242</v>
      </c>
      <c r="G368" s="15">
        <f t="shared" si="74"/>
        <v>0.15530491013626943</v>
      </c>
      <c r="H368" s="228">
        <f>+G368-F368</f>
        <v>5.0732157218657009E-2</v>
      </c>
      <c r="I368" s="15"/>
      <c r="J368" s="15">
        <f>+J367/J345</f>
        <v>0.12430220863313719</v>
      </c>
      <c r="K368" s="15">
        <f>+K367/K345</f>
        <v>0.13778621849409758</v>
      </c>
      <c r="L368" s="228">
        <f>+K368-J368</f>
        <v>1.3484009860960391E-2</v>
      </c>
      <c r="M368" s="5"/>
      <c r="N368" s="5"/>
    </row>
    <row r="369" spans="1:14" s="212" customFormat="1" ht="13.9">
      <c r="A369" s="4"/>
      <c r="B369" s="4"/>
      <c r="C369" s="4"/>
      <c r="D369" s="226"/>
      <c r="E369" s="4"/>
      <c r="F369" s="4"/>
      <c r="G369" s="4"/>
      <c r="H369" s="226"/>
      <c r="I369" s="5"/>
      <c r="J369" s="4"/>
      <c r="K369" s="4"/>
      <c r="L369" s="226"/>
      <c r="M369" s="5"/>
      <c r="N369" s="5"/>
    </row>
    <row r="370" spans="1:14" s="212" customFormat="1" ht="13.9">
      <c r="A370" s="4" t="str">
        <f t="shared" si="62"/>
        <v>Profit from investments in associates</v>
      </c>
      <c r="B370" s="5">
        <f>+B33</f>
        <v>0</v>
      </c>
      <c r="C370" s="5">
        <f t="shared" ref="C370:C375" si="75">+D33</f>
        <v>0</v>
      </c>
      <c r="D370" s="226"/>
      <c r="E370" s="5"/>
      <c r="F370" s="5">
        <f t="shared" ref="F370:G375" si="76">+G33</f>
        <v>0</v>
      </c>
      <c r="G370" s="5">
        <f t="shared" si="76"/>
        <v>1.7999999999999999E-2</v>
      </c>
      <c r="H370" s="226"/>
      <c r="I370" s="5"/>
      <c r="J370" s="5">
        <f t="shared" ref="J370:K374" si="77">+F370-B370</f>
        <v>0</v>
      </c>
      <c r="K370" s="5">
        <f t="shared" si="77"/>
        <v>1.7999999999999999E-2</v>
      </c>
      <c r="L370" s="226"/>
      <c r="M370" s="5"/>
      <c r="N370" s="5"/>
    </row>
    <row r="371" spans="1:14" s="212" customFormat="1" ht="13.9">
      <c r="A371" s="4" t="str">
        <f t="shared" si="62"/>
        <v>Interest and similar income</v>
      </c>
      <c r="B371" s="5">
        <f>+B34</f>
        <v>0.1</v>
      </c>
      <c r="C371" s="5">
        <f t="shared" si="75"/>
        <v>0.1</v>
      </c>
      <c r="D371" s="226">
        <f t="shared" si="66"/>
        <v>0</v>
      </c>
      <c r="E371" s="5"/>
      <c r="F371" s="5">
        <f t="shared" si="76"/>
        <v>0.129</v>
      </c>
      <c r="G371" s="5">
        <f t="shared" si="76"/>
        <v>4.5999999999999999E-2</v>
      </c>
      <c r="H371" s="226">
        <f t="shared" si="67"/>
        <v>-0.64341085271317833</v>
      </c>
      <c r="I371" s="5"/>
      <c r="J371" s="5">
        <f t="shared" si="77"/>
        <v>2.8999999999999998E-2</v>
      </c>
      <c r="K371" s="5">
        <f t="shared" si="77"/>
        <v>-5.4000000000000006E-2</v>
      </c>
      <c r="L371" s="226">
        <f t="shared" si="68"/>
        <v>-2.862068965517242</v>
      </c>
      <c r="M371" s="5"/>
      <c r="N371" s="5"/>
    </row>
    <row r="372" spans="1:14" s="212" customFormat="1" ht="13.9">
      <c r="A372" s="4" t="str">
        <f t="shared" si="62"/>
        <v>Interest and similar expenses</v>
      </c>
      <c r="B372" s="5">
        <f t="shared" ref="B372:B381" si="78">+B35</f>
        <v>-13.5</v>
      </c>
      <c r="C372" s="5">
        <f t="shared" si="75"/>
        <v>-20.5</v>
      </c>
      <c r="D372" s="226">
        <f t="shared" si="66"/>
        <v>0.5185185185185186</v>
      </c>
      <c r="E372" s="5"/>
      <c r="F372" s="5">
        <f t="shared" si="76"/>
        <v>-21.334</v>
      </c>
      <c r="G372" s="5">
        <f t="shared" si="76"/>
        <v>-33.24</v>
      </c>
      <c r="H372" s="226">
        <f t="shared" si="67"/>
        <v>0.558076310115309</v>
      </c>
      <c r="I372" s="5"/>
      <c r="J372" s="5">
        <f t="shared" si="77"/>
        <v>-7.8339999999999996</v>
      </c>
      <c r="K372" s="5">
        <f t="shared" si="77"/>
        <v>-12.740000000000002</v>
      </c>
      <c r="L372" s="226">
        <f t="shared" si="68"/>
        <v>0.62624457492979357</v>
      </c>
      <c r="M372" s="5"/>
      <c r="N372" s="5"/>
    </row>
    <row r="373" spans="1:14" s="212" customFormat="1" ht="13.9">
      <c r="A373" s="4" t="str">
        <f t="shared" si="62"/>
        <v>Other finance income/costs</v>
      </c>
      <c r="B373" s="5">
        <f t="shared" si="78"/>
        <v>-0.1</v>
      </c>
      <c r="C373" s="5">
        <f t="shared" si="75"/>
        <v>-0.8</v>
      </c>
      <c r="D373" s="226">
        <f t="shared" si="66"/>
        <v>7</v>
      </c>
      <c r="E373" s="5"/>
      <c r="F373" s="5">
        <f t="shared" si="76"/>
        <v>-7.1999999999999995E-2</v>
      </c>
      <c r="G373" s="5">
        <f t="shared" si="76"/>
        <v>-1.1479999999999999</v>
      </c>
      <c r="H373" s="226">
        <f t="shared" si="67"/>
        <v>14.944444444444445</v>
      </c>
      <c r="I373" s="5"/>
      <c r="J373" s="5">
        <f t="shared" si="77"/>
        <v>2.8000000000000011E-2</v>
      </c>
      <c r="K373" s="5">
        <f t="shared" si="77"/>
        <v>-0.34799999999999986</v>
      </c>
      <c r="L373" s="226">
        <f t="shared" si="68"/>
        <v>-13.428571428571418</v>
      </c>
      <c r="M373" s="5"/>
      <c r="N373" s="5"/>
    </row>
    <row r="374" spans="1:14" s="212" customFormat="1" ht="13.9">
      <c r="A374" s="7" t="str">
        <f t="shared" si="62"/>
        <v>Reported Profit before tax</v>
      </c>
      <c r="B374" s="9">
        <f t="shared" si="78"/>
        <v>-3.8</v>
      </c>
      <c r="C374" s="9">
        <f t="shared" si="75"/>
        <v>-3.8</v>
      </c>
      <c r="D374" s="226">
        <f t="shared" si="66"/>
        <v>0</v>
      </c>
      <c r="E374" s="9"/>
      <c r="F374" s="9">
        <f t="shared" si="76"/>
        <v>-5.2246864300000162</v>
      </c>
      <c r="G374" s="9">
        <f t="shared" si="76"/>
        <v>-9.5805270400000211</v>
      </c>
      <c r="H374" s="226">
        <f t="shared" si="67"/>
        <v>0.83370373865671232</v>
      </c>
      <c r="I374" s="5"/>
      <c r="J374" s="9">
        <f t="shared" si="77"/>
        <v>-1.4246864300000164</v>
      </c>
      <c r="K374" s="9">
        <f t="shared" si="77"/>
        <v>-5.7805270400000213</v>
      </c>
      <c r="L374" s="226">
        <f t="shared" si="68"/>
        <v>3.0574030314866931</v>
      </c>
      <c r="M374" s="5"/>
      <c r="N374" s="5"/>
    </row>
    <row r="375" spans="1:14" s="212" customFormat="1" ht="13.9">
      <c r="A375" s="14" t="str">
        <f t="shared" si="62"/>
        <v>% margin</v>
      </c>
      <c r="B375" s="15">
        <f t="shared" si="78"/>
        <v>-2.9000000000000001E-2</v>
      </c>
      <c r="C375" s="15">
        <f t="shared" si="75"/>
        <v>-2.1000000000000001E-2</v>
      </c>
      <c r="D375" s="228">
        <f>+C375-B375</f>
        <v>8.0000000000000002E-3</v>
      </c>
      <c r="E375" s="15"/>
      <c r="F375" s="15">
        <f t="shared" si="76"/>
        <v>-3.4036205481151389E-2</v>
      </c>
      <c r="G375" s="15">
        <f t="shared" si="76"/>
        <v>-6.0133146766043283E-2</v>
      </c>
      <c r="H375" s="228">
        <f>+G375-F375</f>
        <v>-2.6096941284891893E-2</v>
      </c>
      <c r="I375" s="15"/>
      <c r="J375" s="15">
        <f>+J374/J345</f>
        <v>-2.7878294720054559E-2</v>
      </c>
      <c r="K375" s="15">
        <f>+K374/K345</f>
        <v>-0.10700340634333196</v>
      </c>
      <c r="L375" s="228">
        <f>+K375-J375</f>
        <v>-7.91251116232774E-2</v>
      </c>
      <c r="M375" s="5"/>
      <c r="N375" s="5"/>
    </row>
    <row r="376" spans="1:14" s="212" customFormat="1" ht="13.9">
      <c r="A376" s="4"/>
      <c r="B376" s="4"/>
      <c r="C376" s="4"/>
      <c r="D376" s="226"/>
      <c r="E376" s="4"/>
      <c r="F376" s="4"/>
      <c r="G376" s="4"/>
      <c r="H376" s="226"/>
      <c r="I376" s="5"/>
      <c r="J376" s="4"/>
      <c r="K376" s="4"/>
      <c r="L376" s="226"/>
      <c r="M376" s="5"/>
      <c r="N376" s="5"/>
    </row>
    <row r="377" spans="1:14" s="212" customFormat="1" ht="13.9">
      <c r="A377" s="4" t="str">
        <f t="shared" si="62"/>
        <v>Income tax expenses</v>
      </c>
      <c r="B377" s="5">
        <f t="shared" si="78"/>
        <v>-1.3</v>
      </c>
      <c r="C377" s="5">
        <f>+D40</f>
        <v>-1.9</v>
      </c>
      <c r="D377" s="226">
        <f t="shared" si="66"/>
        <v>0.46153846153846145</v>
      </c>
      <c r="E377" s="5"/>
      <c r="F377" s="5">
        <f t="shared" ref="F377:G381" si="79">+G40</f>
        <v>-7.6059999999999999</v>
      </c>
      <c r="G377" s="5">
        <f t="shared" si="79"/>
        <v>-4.734</v>
      </c>
      <c r="H377" s="226">
        <f t="shared" si="67"/>
        <v>-0.37759663423612932</v>
      </c>
      <c r="I377" s="5"/>
      <c r="J377" s="5">
        <f>+F377-B377</f>
        <v>-6.306</v>
      </c>
      <c r="K377" s="5">
        <f>+G377-C377</f>
        <v>-2.8340000000000001</v>
      </c>
      <c r="L377" s="226">
        <f t="shared" si="68"/>
        <v>-0.55058674278464959</v>
      </c>
      <c r="M377" s="5"/>
      <c r="N377" s="5"/>
    </row>
    <row r="378" spans="1:14" s="212" customFormat="1" ht="13.9">
      <c r="A378" s="7" t="str">
        <f t="shared" si="62"/>
        <v>Reported Profit/loss for the period</v>
      </c>
      <c r="B378" s="9">
        <f t="shared" si="78"/>
        <v>-5.0999999999999996</v>
      </c>
      <c r="C378" s="9">
        <f>+D41</f>
        <v>-5.7</v>
      </c>
      <c r="D378" s="226">
        <f t="shared" si="66"/>
        <v>0.11764705882352944</v>
      </c>
      <c r="E378" s="9"/>
      <c r="F378" s="9">
        <f t="shared" si="79"/>
        <v>-12.830686430000016</v>
      </c>
      <c r="G378" s="9">
        <f t="shared" si="79"/>
        <v>-14.314527040000021</v>
      </c>
      <c r="H378" s="226">
        <f t="shared" si="67"/>
        <v>0.1156477962496667</v>
      </c>
      <c r="I378" s="5"/>
      <c r="J378" s="9">
        <f>+F378-B378</f>
        <v>-7.7306864300000164</v>
      </c>
      <c r="K378" s="9">
        <f>+G378-C378</f>
        <v>-8.61452704000002</v>
      </c>
      <c r="L378" s="226">
        <f t="shared" si="68"/>
        <v>0.11432886561924649</v>
      </c>
      <c r="M378" s="5"/>
      <c r="N378" s="5"/>
    </row>
    <row r="379" spans="1:14" s="212" customFormat="1" ht="13.9">
      <c r="A379" s="14" t="str">
        <f t="shared" si="62"/>
        <v>% margin</v>
      </c>
      <c r="B379" s="15">
        <f t="shared" si="78"/>
        <v>-4.2000000000000003E-2</v>
      </c>
      <c r="C379" s="15">
        <f>+D42</f>
        <v>-3.7999999999999999E-2</v>
      </c>
      <c r="D379" s="226">
        <f t="shared" si="66"/>
        <v>-9.5238095238095344E-2</v>
      </c>
      <c r="E379" s="15"/>
      <c r="F379" s="15">
        <f t="shared" si="79"/>
        <v>-8.3585471711399906E-2</v>
      </c>
      <c r="G379" s="15">
        <f t="shared" si="79"/>
        <v>-8.98465764763203E-2</v>
      </c>
      <c r="H379" s="226">
        <f t="shared" si="67"/>
        <v>7.4906615189520576E-2</v>
      </c>
      <c r="I379" s="15"/>
      <c r="J379" s="15">
        <f>+J378/J345</f>
        <v>-0.15127423841881082</v>
      </c>
      <c r="K379" s="15">
        <f>+K378/K345</f>
        <v>-0.15946361481197038</v>
      </c>
      <c r="L379" s="226">
        <f t="shared" si="68"/>
        <v>5.4135961805253485E-2</v>
      </c>
      <c r="M379" s="5"/>
      <c r="N379" s="5"/>
    </row>
    <row r="380" spans="1:14" s="212" customFormat="1" ht="13.9">
      <c r="A380" s="4" t="str">
        <f t="shared" si="62"/>
        <v>Profit/loss attributable to owners of Tele Columbus Group</v>
      </c>
      <c r="B380" s="5">
        <f t="shared" si="78"/>
        <v>-6.7</v>
      </c>
      <c r="C380" s="5">
        <f>+D43</f>
        <v>-7.5</v>
      </c>
      <c r="D380" s="226">
        <f t="shared" si="66"/>
        <v>0.11940298507462677</v>
      </c>
      <c r="E380" s="5"/>
      <c r="F380" s="5">
        <f t="shared" si="79"/>
        <v>-15.038686430000016</v>
      </c>
      <c r="G380" s="5">
        <f t="shared" si="79"/>
        <v>-16.011527040000022</v>
      </c>
      <c r="H380" s="226">
        <f t="shared" si="67"/>
        <v>6.4689201050121659E-2</v>
      </c>
      <c r="I380" s="5"/>
      <c r="J380" s="5">
        <f>+F380-B380</f>
        <v>-8.338686430000017</v>
      </c>
      <c r="K380" s="5">
        <f>+G380-C380</f>
        <v>-8.511527040000022</v>
      </c>
      <c r="L380" s="226">
        <f t="shared" si="68"/>
        <v>2.0727558405143842E-2</v>
      </c>
      <c r="M380" s="5"/>
      <c r="N380" s="5"/>
    </row>
    <row r="381" spans="1:14" s="212" customFormat="1" ht="13.9">
      <c r="A381" s="4" t="str">
        <f t="shared" si="62"/>
        <v>Profit/loss attributable to non-controlling interests</v>
      </c>
      <c r="B381" s="5">
        <f t="shared" si="78"/>
        <v>1.6</v>
      </c>
      <c r="C381" s="5">
        <f>+D44</f>
        <v>1.8</v>
      </c>
      <c r="D381" s="226">
        <f t="shared" si="66"/>
        <v>0.125</v>
      </c>
      <c r="E381" s="5"/>
      <c r="F381" s="5">
        <f t="shared" si="79"/>
        <v>2.2080000000000002</v>
      </c>
      <c r="G381" s="5">
        <f t="shared" si="79"/>
        <v>1.6970000000000001</v>
      </c>
      <c r="H381" s="226">
        <f t="shared" si="67"/>
        <v>-0.23143115942028991</v>
      </c>
      <c r="I381" s="5"/>
      <c r="J381" s="5">
        <f>+F381-B381</f>
        <v>0.6080000000000001</v>
      </c>
      <c r="K381" s="5">
        <f>+G381-C381</f>
        <v>-0.10299999999999998</v>
      </c>
      <c r="L381" s="226">
        <f t="shared" si="68"/>
        <v>-1.169407894736842</v>
      </c>
      <c r="M381" s="5"/>
      <c r="N381" s="5"/>
    </row>
    <row r="382" spans="1:14" s="212" customFormat="1" ht="13.9">
      <c r="A382" s="4"/>
      <c r="B382" s="4"/>
      <c r="C382" s="4"/>
      <c r="D382" s="4"/>
      <c r="E382" s="4"/>
      <c r="F382" s="4"/>
      <c r="G382"/>
      <c r="H382"/>
      <c r="I382" s="4"/>
      <c r="J382" s="4"/>
      <c r="K382" s="4"/>
      <c r="L382" s="4"/>
      <c r="M382" s="4"/>
      <c r="N382" s="4"/>
    </row>
    <row r="383" spans="1:14" s="212" customFormat="1" ht="13.9">
      <c r="A383" s="208" t="s">
        <v>732</v>
      </c>
      <c r="B383" s="209" t="str">
        <f>+B340</f>
        <v>H1 13</v>
      </c>
      <c r="C383" s="209" t="str">
        <f t="shared" ref="C383:L383" si="80">+C340</f>
        <v>H1 14</v>
      </c>
      <c r="D383" s="227" t="str">
        <f t="shared" si="80"/>
        <v>YoY</v>
      </c>
      <c r="E383" s="209"/>
      <c r="F383" s="209" t="str">
        <f t="shared" si="80"/>
        <v>9M 13</v>
      </c>
      <c r="G383" s="209" t="str">
        <f t="shared" si="80"/>
        <v>9M 14</v>
      </c>
      <c r="H383" s="227" t="str">
        <f t="shared" si="80"/>
        <v>YoY</v>
      </c>
      <c r="I383" s="209"/>
      <c r="J383" s="209" t="str">
        <f t="shared" si="80"/>
        <v>Q3 13</v>
      </c>
      <c r="K383" s="209" t="str">
        <f t="shared" si="80"/>
        <v>Q3 14</v>
      </c>
      <c r="L383" s="227" t="str">
        <f t="shared" si="80"/>
        <v>YoY</v>
      </c>
      <c r="M383" s="209"/>
      <c r="N383" s="209"/>
    </row>
    <row r="384" spans="1:14" s="212" customFormat="1" ht="13.9">
      <c r="A384" s="7" t="str">
        <f t="shared" ref="A384:A390" si="81">+A51</f>
        <v>TV</v>
      </c>
      <c r="B384" s="4"/>
      <c r="C384" s="4"/>
      <c r="D384" s="4"/>
      <c r="E384" s="4"/>
      <c r="F384" s="4"/>
      <c r="G384" s="4"/>
      <c r="H384" s="4"/>
      <c r="I384" s="4"/>
      <c r="J384" s="4"/>
      <c r="K384" s="4"/>
      <c r="L384" s="4"/>
      <c r="M384" s="4"/>
      <c r="N384" s="4"/>
    </row>
    <row r="385" spans="1:14" s="212" customFormat="1" ht="13.9">
      <c r="A385" s="4" t="str">
        <f t="shared" si="81"/>
        <v>Revenue</v>
      </c>
      <c r="B385" s="5">
        <f t="shared" ref="B385:C390" si="82">+B52</f>
        <v>79.8</v>
      </c>
      <c r="C385" s="5">
        <f t="shared" si="82"/>
        <v>78</v>
      </c>
      <c r="D385" s="226">
        <f t="shared" ref="D385:D397" si="83">+C385/B385-1</f>
        <v>-2.2556390977443552E-2</v>
      </c>
      <c r="E385" s="5"/>
      <c r="F385" s="5">
        <f t="shared" ref="F385:G390" si="84">+G52</f>
        <v>119</v>
      </c>
      <c r="G385" s="5">
        <f t="shared" si="84"/>
        <v>117.6</v>
      </c>
      <c r="H385" s="226">
        <f t="shared" ref="H385:H397" si="85">+G385/F385-1</f>
        <v>-1.176470588235301E-2</v>
      </c>
      <c r="I385" s="4"/>
      <c r="J385" s="5">
        <f t="shared" ref="J385:K389" si="86">+F385-B385</f>
        <v>39.200000000000003</v>
      </c>
      <c r="K385" s="5">
        <f t="shared" si="86"/>
        <v>39.599999999999994</v>
      </c>
      <c r="L385" s="226">
        <f t="shared" ref="L385:L395" si="87">+K385/J385-1</f>
        <v>1.0204081632652739E-2</v>
      </c>
      <c r="M385" s="4"/>
      <c r="N385" s="4"/>
    </row>
    <row r="386" spans="1:14" s="212" customFormat="1" ht="13.9">
      <c r="A386" s="4" t="str">
        <f t="shared" si="81"/>
        <v>Normalised other income</v>
      </c>
      <c r="B386" s="5">
        <f t="shared" si="82"/>
        <v>2.4</v>
      </c>
      <c r="C386" s="5">
        <f t="shared" si="82"/>
        <v>2.6</v>
      </c>
      <c r="D386" s="226">
        <f t="shared" si="83"/>
        <v>8.3333333333333481E-2</v>
      </c>
      <c r="E386" s="5"/>
      <c r="F386" s="5">
        <f t="shared" si="84"/>
        <v>3.5</v>
      </c>
      <c r="G386" s="5">
        <f t="shared" si="84"/>
        <v>3.3</v>
      </c>
      <c r="H386" s="226">
        <f t="shared" si="85"/>
        <v>-5.7142857142857162E-2</v>
      </c>
      <c r="I386" s="4"/>
      <c r="J386" s="5">
        <f t="shared" si="86"/>
        <v>1.1000000000000001</v>
      </c>
      <c r="K386" s="5">
        <f t="shared" si="86"/>
        <v>0.69999999999999973</v>
      </c>
      <c r="L386" s="226">
        <f t="shared" si="87"/>
        <v>-0.36363636363636398</v>
      </c>
      <c r="M386" s="4"/>
      <c r="N386" s="4"/>
    </row>
    <row r="387" spans="1:14" s="212" customFormat="1" ht="13.9">
      <c r="A387" s="4" t="str">
        <f t="shared" si="81"/>
        <v>Own work capitalised</v>
      </c>
      <c r="B387" s="5">
        <f t="shared" si="82"/>
        <v>1</v>
      </c>
      <c r="C387" s="5">
        <f t="shared" si="82"/>
        <v>1.4</v>
      </c>
      <c r="D387" s="226">
        <f t="shared" si="83"/>
        <v>0.39999999999999991</v>
      </c>
      <c r="E387" s="5"/>
      <c r="F387" s="5">
        <f t="shared" si="84"/>
        <v>1.7</v>
      </c>
      <c r="G387" s="5">
        <f t="shared" si="84"/>
        <v>2.2999999999999998</v>
      </c>
      <c r="H387" s="226">
        <f t="shared" si="85"/>
        <v>0.35294117647058809</v>
      </c>
      <c r="I387" s="4"/>
      <c r="J387" s="5">
        <f t="shared" si="86"/>
        <v>0.7</v>
      </c>
      <c r="K387" s="5">
        <f t="shared" si="86"/>
        <v>0.89999999999999991</v>
      </c>
      <c r="L387" s="226">
        <f t="shared" si="87"/>
        <v>0.28571428571428559</v>
      </c>
      <c r="M387" s="4"/>
      <c r="N387" s="4"/>
    </row>
    <row r="388" spans="1:14" s="212" customFormat="1" ht="13.9">
      <c r="A388" s="18" t="str">
        <f t="shared" si="81"/>
        <v>Normalised total operating performance</v>
      </c>
      <c r="B388" s="10">
        <f t="shared" si="82"/>
        <v>83.2</v>
      </c>
      <c r="C388" s="10">
        <f t="shared" si="82"/>
        <v>82</v>
      </c>
      <c r="D388" s="226">
        <f t="shared" si="83"/>
        <v>-1.4423076923076983E-2</v>
      </c>
      <c r="E388" s="5"/>
      <c r="F388" s="10">
        <f t="shared" si="84"/>
        <v>124.2</v>
      </c>
      <c r="G388" s="10">
        <f t="shared" si="84"/>
        <v>123.19999999999999</v>
      </c>
      <c r="H388" s="226">
        <f t="shared" si="85"/>
        <v>-8.0515297906603722E-3</v>
      </c>
      <c r="I388" s="4"/>
      <c r="J388" s="5">
        <f t="shared" si="86"/>
        <v>41</v>
      </c>
      <c r="K388" s="5">
        <f t="shared" si="86"/>
        <v>41.199999999999989</v>
      </c>
      <c r="L388" s="226">
        <f t="shared" si="87"/>
        <v>4.8780487804875872E-3</v>
      </c>
      <c r="M388" s="4"/>
      <c r="N388" s="4"/>
    </row>
    <row r="389" spans="1:14" s="212" customFormat="1" ht="13.9">
      <c r="A389" s="4" t="str">
        <f t="shared" si="81"/>
        <v>Contribution margin</v>
      </c>
      <c r="B389" s="11">
        <f t="shared" si="82"/>
        <v>53.1</v>
      </c>
      <c r="C389" s="11">
        <f t="shared" si="82"/>
        <v>50.7</v>
      </c>
      <c r="D389" s="226">
        <f t="shared" si="83"/>
        <v>-4.5197740112994267E-2</v>
      </c>
      <c r="E389" s="5"/>
      <c r="F389" s="11">
        <f t="shared" si="84"/>
        <v>79.3</v>
      </c>
      <c r="G389" s="11">
        <f t="shared" si="84"/>
        <v>77.099999999999994</v>
      </c>
      <c r="H389" s="226">
        <f t="shared" si="85"/>
        <v>-2.7742749054224469E-2</v>
      </c>
      <c r="I389" s="4"/>
      <c r="J389" s="5">
        <f t="shared" si="86"/>
        <v>26.199999999999996</v>
      </c>
      <c r="K389" s="5">
        <f t="shared" si="86"/>
        <v>26.399999999999991</v>
      </c>
      <c r="L389" s="226">
        <f t="shared" si="87"/>
        <v>7.6335877862594437E-3</v>
      </c>
      <c r="M389" s="4"/>
      <c r="N389" s="4"/>
    </row>
    <row r="390" spans="1:14" s="212" customFormat="1" ht="13.9">
      <c r="A390" s="14" t="str">
        <f t="shared" si="81"/>
        <v>% of revenue</v>
      </c>
      <c r="B390" s="15">
        <f t="shared" si="82"/>
        <v>0.66541353383458646</v>
      </c>
      <c r="C390" s="15">
        <f t="shared" si="82"/>
        <v>0.65</v>
      </c>
      <c r="D390" s="228">
        <f>+C390-B390</f>
        <v>-1.5413533834586435E-2</v>
      </c>
      <c r="E390" s="5"/>
      <c r="F390" s="15">
        <f t="shared" si="84"/>
        <v>0.6663865546218487</v>
      </c>
      <c r="G390" s="15">
        <f t="shared" si="84"/>
        <v>0.65561224489795922</v>
      </c>
      <c r="H390" s="228">
        <f>+G390-F390</f>
        <v>-1.0774309723889486E-2</v>
      </c>
      <c r="I390" s="4"/>
      <c r="J390" s="15">
        <f>+J389/J388</f>
        <v>0.63902439024390234</v>
      </c>
      <c r="K390" s="15">
        <f>+K389/K388</f>
        <v>0.64077669902912615</v>
      </c>
      <c r="L390" s="228">
        <f>+K390-J390</f>
        <v>1.7523087852238106E-3</v>
      </c>
      <c r="M390" s="4"/>
      <c r="N390" s="4"/>
    </row>
    <row r="391" spans="1:14" s="212" customFormat="1" ht="13.9">
      <c r="A391" s="7" t="str">
        <f>+A59</f>
        <v>Internet &amp; Telephony</v>
      </c>
      <c r="B391" s="4"/>
      <c r="C391" s="4"/>
      <c r="D391" s="226"/>
      <c r="E391" s="5"/>
      <c r="F391" s="4"/>
      <c r="G391" s="4"/>
      <c r="H391" s="226"/>
      <c r="I391" s="4"/>
      <c r="J391" s="4"/>
      <c r="K391" s="4"/>
      <c r="L391" s="226"/>
      <c r="M391" s="4"/>
      <c r="N391" s="4"/>
    </row>
    <row r="392" spans="1:14" s="212" customFormat="1" ht="13.9">
      <c r="A392" s="4" t="str">
        <f>+A60</f>
        <v>Revenue</v>
      </c>
      <c r="B392" s="5">
        <f t="shared" ref="B392:C395" si="88">+B60</f>
        <v>20.399999999999999</v>
      </c>
      <c r="C392" s="5">
        <f t="shared" si="88"/>
        <v>25.2</v>
      </c>
      <c r="D392" s="226">
        <f t="shared" si="83"/>
        <v>0.23529411764705888</v>
      </c>
      <c r="E392" s="5"/>
      <c r="F392" s="5">
        <f t="shared" ref="F392:G395" si="89">+G60</f>
        <v>31.5</v>
      </c>
      <c r="G392" s="5">
        <f t="shared" si="89"/>
        <v>38.5</v>
      </c>
      <c r="H392" s="226">
        <f t="shared" si="85"/>
        <v>0.22222222222222232</v>
      </c>
      <c r="I392" s="4"/>
      <c r="J392" s="5">
        <f t="shared" ref="J392:K396" si="90">+F392-B392</f>
        <v>11.100000000000001</v>
      </c>
      <c r="K392" s="5">
        <f t="shared" si="90"/>
        <v>13.3</v>
      </c>
      <c r="L392" s="226">
        <f t="shared" si="87"/>
        <v>0.19819819819819817</v>
      </c>
      <c r="M392" s="4"/>
      <c r="N392" s="4"/>
    </row>
    <row r="393" spans="1:14" s="212" customFormat="1" ht="13.9">
      <c r="A393" s="4" t="str">
        <f>+A61</f>
        <v>Normalised other income</v>
      </c>
      <c r="B393" s="5">
        <f t="shared" si="88"/>
        <v>0.4</v>
      </c>
      <c r="C393" s="5">
        <f t="shared" si="88"/>
        <v>0.7</v>
      </c>
      <c r="D393" s="226">
        <f t="shared" si="83"/>
        <v>0.74999999999999978</v>
      </c>
      <c r="E393" s="5"/>
      <c r="F393" s="5">
        <f t="shared" si="89"/>
        <v>0.6</v>
      </c>
      <c r="G393" s="5">
        <f t="shared" si="89"/>
        <v>0.9</v>
      </c>
      <c r="H393" s="226">
        <f t="shared" si="85"/>
        <v>0.5</v>
      </c>
      <c r="I393" s="4"/>
      <c r="J393" s="5">
        <f t="shared" si="90"/>
        <v>0.19999999999999996</v>
      </c>
      <c r="K393" s="5">
        <f t="shared" si="90"/>
        <v>0.20000000000000007</v>
      </c>
      <c r="L393" s="226">
        <f t="shared" si="87"/>
        <v>0</v>
      </c>
      <c r="M393" s="4"/>
      <c r="N393" s="4"/>
    </row>
    <row r="394" spans="1:14" s="212" customFormat="1" ht="13.9">
      <c r="A394" s="4" t="str">
        <f>+A62</f>
        <v>Own work capitalised</v>
      </c>
      <c r="B394" s="5">
        <f t="shared" si="88"/>
        <v>1</v>
      </c>
      <c r="C394" s="5">
        <f t="shared" si="88"/>
        <v>1.4</v>
      </c>
      <c r="D394" s="226">
        <f t="shared" si="83"/>
        <v>0.39999999999999991</v>
      </c>
      <c r="E394" s="5"/>
      <c r="F394" s="5">
        <f t="shared" si="89"/>
        <v>1.7</v>
      </c>
      <c r="G394" s="5">
        <f t="shared" si="89"/>
        <v>2.2999999999999998</v>
      </c>
      <c r="H394" s="226">
        <f t="shared" si="85"/>
        <v>0.35294117647058809</v>
      </c>
      <c r="I394" s="4"/>
      <c r="J394" s="5">
        <f t="shared" si="90"/>
        <v>0.7</v>
      </c>
      <c r="K394" s="5">
        <f t="shared" si="90"/>
        <v>0.89999999999999991</v>
      </c>
      <c r="L394" s="226">
        <f t="shared" si="87"/>
        <v>0.28571428571428559</v>
      </c>
      <c r="M394" s="4"/>
      <c r="N394" s="4"/>
    </row>
    <row r="395" spans="1:14" s="212" customFormat="1" ht="13.9">
      <c r="A395" s="18" t="str">
        <f>+A63</f>
        <v>Normalised total operating performance</v>
      </c>
      <c r="B395" s="10">
        <f t="shared" si="88"/>
        <v>21.799999999999997</v>
      </c>
      <c r="C395" s="10">
        <f t="shared" si="88"/>
        <v>27.299999999999997</v>
      </c>
      <c r="D395" s="226">
        <f t="shared" si="83"/>
        <v>0.25229357798165131</v>
      </c>
      <c r="E395" s="5"/>
      <c r="F395" s="10">
        <f t="shared" si="89"/>
        <v>33.799999999999997</v>
      </c>
      <c r="G395" s="10">
        <f t="shared" si="89"/>
        <v>41.7</v>
      </c>
      <c r="H395" s="226">
        <f t="shared" si="85"/>
        <v>0.23372781065088777</v>
      </c>
      <c r="I395" s="4"/>
      <c r="J395" s="5">
        <f t="shared" si="90"/>
        <v>12</v>
      </c>
      <c r="K395" s="5">
        <f t="shared" si="90"/>
        <v>14.400000000000006</v>
      </c>
      <c r="L395" s="226">
        <f t="shared" si="87"/>
        <v>0.2000000000000004</v>
      </c>
      <c r="M395" s="4"/>
      <c r="N395" s="4"/>
    </row>
    <row r="396" spans="1:14" s="212" customFormat="1" ht="13.9">
      <c r="A396" s="4" t="str">
        <f t="shared" ref="A396:C397" si="91">+A65</f>
        <v>Contribution margin</v>
      </c>
      <c r="B396" s="215">
        <f t="shared" si="91"/>
        <v>14.6</v>
      </c>
      <c r="C396" s="215">
        <f t="shared" si="91"/>
        <v>22.6</v>
      </c>
      <c r="D396" s="226">
        <f t="shared" si="83"/>
        <v>0.54794520547945225</v>
      </c>
      <c r="E396" s="5"/>
      <c r="F396" s="215">
        <f>+G65</f>
        <v>23.3</v>
      </c>
      <c r="G396" s="215">
        <f>+H65</f>
        <v>34.700000000000003</v>
      </c>
      <c r="H396" s="226">
        <f t="shared" si="85"/>
        <v>0.48927038626609454</v>
      </c>
      <c r="I396" s="4"/>
      <c r="J396" s="5">
        <f t="shared" si="90"/>
        <v>8.7000000000000011</v>
      </c>
      <c r="K396" s="5">
        <f t="shared" si="90"/>
        <v>12.100000000000001</v>
      </c>
      <c r="L396" s="226">
        <f>+K396/J396-1</f>
        <v>0.39080459770114939</v>
      </c>
      <c r="M396" s="4"/>
      <c r="N396" s="4"/>
    </row>
    <row r="397" spans="1:14" s="212" customFormat="1" ht="13.9">
      <c r="A397" s="14" t="str">
        <f t="shared" si="91"/>
        <v>% of revenue</v>
      </c>
      <c r="B397" s="15">
        <f t="shared" si="91"/>
        <v>0.71568627450980393</v>
      </c>
      <c r="C397" s="15">
        <f t="shared" si="91"/>
        <v>0.89682539682539686</v>
      </c>
      <c r="D397" s="228">
        <f t="shared" si="83"/>
        <v>0.25309849967384213</v>
      </c>
      <c r="E397" s="5"/>
      <c r="F397" s="15">
        <f>+G66</f>
        <v>0.73968253968253972</v>
      </c>
      <c r="G397" s="15">
        <f>+H66</f>
        <v>0.90129870129870138</v>
      </c>
      <c r="H397" s="228">
        <f t="shared" si="85"/>
        <v>0.21849395239953195</v>
      </c>
      <c r="I397" s="4"/>
      <c r="J397" s="15">
        <f>+J396/J395</f>
        <v>0.72500000000000009</v>
      </c>
      <c r="K397" s="15">
        <f>+K396/K395</f>
        <v>0.84027777777777757</v>
      </c>
      <c r="L397" s="228">
        <f>+K397/J397-1</f>
        <v>0.15900383141762409</v>
      </c>
      <c r="M397" s="4"/>
      <c r="N397" s="4"/>
    </row>
    <row r="398" spans="1:14" s="212" customFormat="1" ht="13.9">
      <c r="A398" s="4"/>
      <c r="B398" s="4"/>
      <c r="C398" s="4"/>
      <c r="D398" s="4"/>
      <c r="E398" s="5"/>
      <c r="F398" s="4"/>
      <c r="G398" s="4"/>
      <c r="H398" s="4"/>
      <c r="I398" s="4"/>
      <c r="J398" s="4"/>
      <c r="K398" s="4"/>
      <c r="L398" s="4"/>
      <c r="M398" s="4"/>
      <c r="N398" s="4"/>
    </row>
    <row r="399" spans="1:14" ht="13.9">
      <c r="A399" s="18" t="str">
        <f t="shared" ref="A399:A406" si="92">+A122</f>
        <v>Cash flow statement €m</v>
      </c>
      <c r="B399" s="209" t="str">
        <f>+B383</f>
        <v>H1 13</v>
      </c>
      <c r="C399" s="209" t="str">
        <f t="shared" ref="C399:L399" si="93">+C383</f>
        <v>H1 14</v>
      </c>
      <c r="D399" s="227" t="str">
        <f t="shared" si="93"/>
        <v>YoY</v>
      </c>
      <c r="E399" s="209"/>
      <c r="F399" s="209" t="str">
        <f t="shared" si="93"/>
        <v>9M 13</v>
      </c>
      <c r="G399" s="209" t="str">
        <f t="shared" si="93"/>
        <v>9M 14</v>
      </c>
      <c r="H399" s="227" t="str">
        <f t="shared" si="93"/>
        <v>YoY</v>
      </c>
      <c r="I399" s="209"/>
      <c r="J399" s="209" t="str">
        <f t="shared" si="93"/>
        <v>Q3 13</v>
      </c>
      <c r="K399" s="209" t="str">
        <f t="shared" si="93"/>
        <v>Q3 14</v>
      </c>
      <c r="L399" s="227" t="str">
        <f t="shared" si="93"/>
        <v>YoY</v>
      </c>
      <c r="M399" s="4"/>
      <c r="N399" s="4"/>
    </row>
    <row r="400" spans="1:14" ht="13.9">
      <c r="A400" s="7" t="str">
        <f t="shared" si="92"/>
        <v>Cash flow from operating activities</v>
      </c>
      <c r="B400" s="4"/>
      <c r="C400" s="4"/>
      <c r="D400" s="4"/>
      <c r="E400" s="4"/>
      <c r="F400" s="4"/>
      <c r="G400" s="4"/>
      <c r="H400" s="4"/>
      <c r="I400" s="4"/>
      <c r="J400" s="4"/>
      <c r="K400" s="4"/>
      <c r="L400" s="4"/>
      <c r="M400" s="4"/>
      <c r="N400" s="4"/>
    </row>
    <row r="401" spans="1:14" ht="13.9">
      <c r="A401" s="4" t="str">
        <f t="shared" si="92"/>
        <v>Operating Profit (EBIT)</v>
      </c>
      <c r="B401" s="5">
        <f t="shared" ref="B401:C406" si="94">+B124</f>
        <v>9.6999999999999993</v>
      </c>
      <c r="C401" s="5">
        <f t="shared" si="94"/>
        <v>17.399999999999999</v>
      </c>
      <c r="D401" s="226">
        <f t="shared" ref="D401:D428" si="95">+C401/B401-1</f>
        <v>0.79381443298969079</v>
      </c>
      <c r="E401" s="5"/>
      <c r="F401" s="5">
        <f t="shared" ref="F401:G406" si="96">+G124</f>
        <v>16.100000000000001</v>
      </c>
      <c r="G401" s="5">
        <f t="shared" si="96"/>
        <v>24.7</v>
      </c>
      <c r="H401" s="226">
        <f t="shared" ref="H401:H428" si="97">+G401/F401-1</f>
        <v>0.53416149068322971</v>
      </c>
      <c r="I401" s="4"/>
      <c r="J401" s="5">
        <f>+F401-B401</f>
        <v>6.4000000000000021</v>
      </c>
      <c r="K401" s="5">
        <f>+G401-C401</f>
        <v>7.3000000000000007</v>
      </c>
      <c r="L401" s="226">
        <f t="shared" ref="L401:L428" si="98">+K401/J401-1</f>
        <v>0.14062499999999978</v>
      </c>
      <c r="M401" s="4"/>
      <c r="N401" s="4"/>
    </row>
    <row r="402" spans="1:14" ht="13.9">
      <c r="A402" s="4" t="str">
        <f t="shared" si="92"/>
        <v>Depreciation and Amortization</v>
      </c>
      <c r="B402" s="5">
        <f t="shared" si="94"/>
        <v>31.8</v>
      </c>
      <c r="C402" s="5">
        <f t="shared" si="94"/>
        <v>26.5</v>
      </c>
      <c r="D402" s="226">
        <f t="shared" si="95"/>
        <v>-0.16666666666666674</v>
      </c>
      <c r="E402" s="5"/>
      <c r="F402" s="5">
        <f t="shared" si="96"/>
        <v>46.7</v>
      </c>
      <c r="G402" s="5">
        <f t="shared" si="96"/>
        <v>40.200000000000003</v>
      </c>
      <c r="H402" s="226">
        <f t="shared" si="97"/>
        <v>-0.13918629550321193</v>
      </c>
      <c r="I402" s="4"/>
      <c r="J402" s="5">
        <f t="shared" ref="J402:J428" si="99">+F402-B402</f>
        <v>14.900000000000002</v>
      </c>
      <c r="K402" s="5">
        <f t="shared" ref="K402:K427" si="100">+G402-C402</f>
        <v>13.700000000000003</v>
      </c>
      <c r="L402" s="226">
        <f t="shared" si="98"/>
        <v>-8.0536912751677847E-2</v>
      </c>
      <c r="M402" s="4"/>
      <c r="N402" s="4"/>
    </row>
    <row r="403" spans="1:14" ht="13.9">
      <c r="A403" s="4" t="str">
        <f t="shared" si="92"/>
        <v>Losses/(gain) on sale of property, plant and equipment</v>
      </c>
      <c r="B403" s="5">
        <f t="shared" si="94"/>
        <v>-1</v>
      </c>
      <c r="C403" s="5">
        <f t="shared" si="94"/>
        <v>0</v>
      </c>
      <c r="D403" s="226">
        <f t="shared" si="95"/>
        <v>-1</v>
      </c>
      <c r="E403" s="5"/>
      <c r="F403" s="5">
        <f t="shared" si="96"/>
        <v>-0.6</v>
      </c>
      <c r="G403" s="5">
        <f t="shared" si="96"/>
        <v>-0.5</v>
      </c>
      <c r="H403" s="226">
        <f t="shared" si="97"/>
        <v>-0.16666666666666663</v>
      </c>
      <c r="I403" s="4"/>
      <c r="J403" s="5">
        <f t="shared" si="99"/>
        <v>0.4</v>
      </c>
      <c r="K403" s="5">
        <f t="shared" si="100"/>
        <v>-0.5</v>
      </c>
      <c r="L403" s="226">
        <f t="shared" si="98"/>
        <v>-2.25</v>
      </c>
      <c r="M403" s="4"/>
      <c r="N403" s="4"/>
    </row>
    <row r="404" spans="1:14" ht="27.75">
      <c r="A404" s="26" t="str">
        <f t="shared" si="92"/>
        <v>(Increase)/decrease in inventories, trade receivables and other assets not classified as investing or financing activities</v>
      </c>
      <c r="B404" s="5">
        <f t="shared" si="94"/>
        <v>-9.1</v>
      </c>
      <c r="C404" s="5">
        <f t="shared" si="94"/>
        <v>-14.4</v>
      </c>
      <c r="D404" s="226">
        <f t="shared" si="95"/>
        <v>0.58241758241758257</v>
      </c>
      <c r="E404" s="5"/>
      <c r="F404" s="5">
        <f t="shared" si="96"/>
        <v>-12.7</v>
      </c>
      <c r="G404" s="5">
        <f t="shared" si="96"/>
        <v>-10</v>
      </c>
      <c r="H404" s="226">
        <f t="shared" si="97"/>
        <v>-0.21259842519685035</v>
      </c>
      <c r="I404" s="4"/>
      <c r="J404" s="5">
        <f t="shared" si="99"/>
        <v>-3.5999999999999996</v>
      </c>
      <c r="K404" s="5">
        <f t="shared" si="100"/>
        <v>4.4000000000000004</v>
      </c>
      <c r="L404" s="226">
        <f t="shared" si="98"/>
        <v>-2.2222222222222223</v>
      </c>
      <c r="M404" s="4"/>
      <c r="N404" s="4"/>
    </row>
    <row r="405" spans="1:14" ht="27.75">
      <c r="A405" s="26" t="str">
        <f t="shared" si="92"/>
        <v>Increase/(decrease)in provisions, trade and other payables not classified as investing or financing activities</v>
      </c>
      <c r="B405" s="5">
        <f t="shared" si="94"/>
        <v>-1.7</v>
      </c>
      <c r="C405" s="5">
        <f t="shared" si="94"/>
        <v>-9.8000000000000007</v>
      </c>
      <c r="D405" s="226">
        <f t="shared" si="95"/>
        <v>4.764705882352942</v>
      </c>
      <c r="E405" s="5"/>
      <c r="F405" s="5">
        <f t="shared" si="96"/>
        <v>-9.6999999999999993</v>
      </c>
      <c r="G405" s="5">
        <f t="shared" si="96"/>
        <v>-4.3</v>
      </c>
      <c r="H405" s="226">
        <f t="shared" si="97"/>
        <v>-0.55670103092783507</v>
      </c>
      <c r="I405" s="4"/>
      <c r="J405" s="5">
        <f t="shared" si="99"/>
        <v>-7.9999999999999991</v>
      </c>
      <c r="K405" s="5">
        <f t="shared" si="100"/>
        <v>5.5000000000000009</v>
      </c>
      <c r="L405" s="226">
        <f t="shared" si="98"/>
        <v>-1.6875000000000002</v>
      </c>
      <c r="M405" s="4"/>
      <c r="N405" s="4"/>
    </row>
    <row r="406" spans="1:14" ht="13.9">
      <c r="A406" s="26" t="str">
        <f t="shared" si="92"/>
        <v>Income tax paid</v>
      </c>
      <c r="B406" s="5">
        <f t="shared" si="94"/>
        <v>-0.9</v>
      </c>
      <c r="C406" s="5">
        <f t="shared" si="94"/>
        <v>-4.2</v>
      </c>
      <c r="D406" s="226">
        <f t="shared" si="95"/>
        <v>3.666666666666667</v>
      </c>
      <c r="E406" s="5"/>
      <c r="F406" s="5">
        <f t="shared" si="96"/>
        <v>-6.8</v>
      </c>
      <c r="G406" s="5">
        <f t="shared" si="96"/>
        <v>-3.6</v>
      </c>
      <c r="H406" s="226">
        <f t="shared" si="97"/>
        <v>-0.47058823529411764</v>
      </c>
      <c r="I406" s="4"/>
      <c r="J406" s="5">
        <f t="shared" si="99"/>
        <v>-5.8999999999999995</v>
      </c>
      <c r="K406" s="5">
        <f t="shared" si="100"/>
        <v>0.60000000000000009</v>
      </c>
      <c r="L406" s="226">
        <f t="shared" si="98"/>
        <v>-1.1016949152542372</v>
      </c>
      <c r="M406" s="4"/>
      <c r="N406" s="4"/>
    </row>
    <row r="407" spans="1:14" ht="13.9">
      <c r="A407" s="7" t="str">
        <f>+A131</f>
        <v>Net cash from operating activities</v>
      </c>
      <c r="B407" s="9">
        <f>+B131</f>
        <v>28.8</v>
      </c>
      <c r="C407" s="9">
        <f>+C131</f>
        <v>15.4</v>
      </c>
      <c r="D407" s="226">
        <f t="shared" si="95"/>
        <v>-0.46527777777777779</v>
      </c>
      <c r="E407" s="9"/>
      <c r="F407" s="9">
        <f>+G131</f>
        <v>33</v>
      </c>
      <c r="G407" s="9">
        <f>+H131</f>
        <v>46.6</v>
      </c>
      <c r="H407" s="226">
        <f t="shared" si="97"/>
        <v>0.41212121212121211</v>
      </c>
      <c r="I407" s="4"/>
      <c r="J407" s="9">
        <f t="shared" si="99"/>
        <v>4.1999999999999993</v>
      </c>
      <c r="K407" s="9">
        <f t="shared" si="100"/>
        <v>31.200000000000003</v>
      </c>
      <c r="L407" s="226">
        <f t="shared" si="98"/>
        <v>6.4285714285714306</v>
      </c>
      <c r="M407" s="4"/>
      <c r="N407" s="4"/>
    </row>
    <row r="408" spans="1:14" ht="13.9">
      <c r="A408" s="4"/>
      <c r="B408" s="5"/>
      <c r="C408" s="5"/>
      <c r="D408" s="226"/>
      <c r="E408" s="5"/>
      <c r="F408" s="5"/>
      <c r="G408" s="5"/>
      <c r="H408" s="226"/>
      <c r="I408" s="4"/>
      <c r="J408" s="5"/>
      <c r="K408" s="5"/>
      <c r="L408" s="226"/>
      <c r="M408" s="4"/>
      <c r="N408" s="4"/>
    </row>
    <row r="409" spans="1:14" ht="13.9">
      <c r="A409" s="7" t="str">
        <f t="shared" ref="A409:A414" si="101">+A133</f>
        <v>Cash flow from investing activities</v>
      </c>
      <c r="B409" s="5"/>
      <c r="C409" s="5"/>
      <c r="D409" s="226"/>
      <c r="E409" s="5"/>
      <c r="F409" s="5"/>
      <c r="G409" s="5"/>
      <c r="H409" s="226"/>
      <c r="I409" s="4"/>
      <c r="J409" s="5"/>
      <c r="K409" s="5"/>
      <c r="L409" s="226"/>
      <c r="M409" s="4"/>
      <c r="N409" s="4"/>
    </row>
    <row r="410" spans="1:14" ht="13.9">
      <c r="A410" s="4" t="str">
        <f t="shared" si="101"/>
        <v>Proceeds from sale of property, plant and equipment</v>
      </c>
      <c r="B410" s="5">
        <f t="shared" ref="B410:C414" si="102">+B134</f>
        <v>1.9</v>
      </c>
      <c r="C410" s="5">
        <f t="shared" si="102"/>
        <v>0.4</v>
      </c>
      <c r="D410" s="226">
        <f t="shared" si="95"/>
        <v>-0.78947368421052633</v>
      </c>
      <c r="E410" s="5"/>
      <c r="F410" s="5">
        <f t="shared" ref="F410:G414" si="103">+G134</f>
        <v>2</v>
      </c>
      <c r="G410" s="5">
        <f t="shared" si="103"/>
        <v>1.5</v>
      </c>
      <c r="H410" s="226">
        <f t="shared" si="97"/>
        <v>-0.25</v>
      </c>
      <c r="I410" s="4"/>
      <c r="J410" s="5">
        <f t="shared" si="99"/>
        <v>0.10000000000000009</v>
      </c>
      <c r="K410" s="5">
        <f t="shared" si="100"/>
        <v>1.1000000000000001</v>
      </c>
      <c r="L410" s="226">
        <f t="shared" si="98"/>
        <v>9.9999999999999911</v>
      </c>
      <c r="M410" s="4"/>
      <c r="N410" s="4"/>
    </row>
    <row r="411" spans="1:14" ht="13.9">
      <c r="A411" s="4" t="str">
        <f t="shared" si="101"/>
        <v>Acquisition of property, plant and equipment</v>
      </c>
      <c r="B411" s="5">
        <f t="shared" si="102"/>
        <v>-17.7</v>
      </c>
      <c r="C411" s="5">
        <f t="shared" si="102"/>
        <v>-11.5</v>
      </c>
      <c r="D411" s="226">
        <f t="shared" si="95"/>
        <v>-0.35028248587570621</v>
      </c>
      <c r="E411" s="5"/>
      <c r="F411" s="5">
        <f t="shared" si="103"/>
        <v>-21.2</v>
      </c>
      <c r="G411" s="5">
        <f t="shared" si="103"/>
        <v>-21.2</v>
      </c>
      <c r="H411" s="226">
        <f t="shared" si="97"/>
        <v>0</v>
      </c>
      <c r="I411" s="4"/>
      <c r="J411" s="5">
        <f t="shared" si="99"/>
        <v>-3.5</v>
      </c>
      <c r="K411" s="5">
        <f t="shared" si="100"/>
        <v>-9.6999999999999993</v>
      </c>
      <c r="L411" s="226">
        <f t="shared" si="98"/>
        <v>1.7714285714285714</v>
      </c>
      <c r="M411" s="4"/>
      <c r="N411" s="4"/>
    </row>
    <row r="412" spans="1:14" ht="13.9">
      <c r="A412" s="4" t="str">
        <f t="shared" si="101"/>
        <v>Acquisition of intangible assets</v>
      </c>
      <c r="B412" s="5">
        <f t="shared" si="102"/>
        <v>-2.9</v>
      </c>
      <c r="C412" s="5">
        <f t="shared" si="102"/>
        <v>-3.4</v>
      </c>
      <c r="D412" s="226">
        <f t="shared" si="95"/>
        <v>0.17241379310344818</v>
      </c>
      <c r="E412" s="5"/>
      <c r="F412" s="5">
        <f t="shared" si="103"/>
        <v>-5</v>
      </c>
      <c r="G412" s="5">
        <f t="shared" si="103"/>
        <v>-3.9</v>
      </c>
      <c r="H412" s="226">
        <f t="shared" si="97"/>
        <v>-0.21999999999999997</v>
      </c>
      <c r="I412" s="4"/>
      <c r="J412" s="5">
        <f t="shared" si="99"/>
        <v>-2.1</v>
      </c>
      <c r="K412" s="5">
        <f t="shared" si="100"/>
        <v>-0.5</v>
      </c>
      <c r="L412" s="226">
        <f t="shared" si="98"/>
        <v>-0.76190476190476186</v>
      </c>
      <c r="M412" s="4"/>
      <c r="N412" s="4"/>
    </row>
    <row r="413" spans="1:14" ht="13.9">
      <c r="A413" s="4" t="str">
        <f t="shared" si="101"/>
        <v>Acquisition of investment property</v>
      </c>
      <c r="B413" s="5">
        <f t="shared" si="102"/>
        <v>0</v>
      </c>
      <c r="C413" s="5">
        <f t="shared" si="102"/>
        <v>0</v>
      </c>
      <c r="D413" s="226"/>
      <c r="E413" s="5"/>
      <c r="F413" s="5">
        <f t="shared" si="103"/>
        <v>0</v>
      </c>
      <c r="G413" s="5">
        <f t="shared" si="103"/>
        <v>-10.5</v>
      </c>
      <c r="H413" s="226"/>
      <c r="I413" s="4"/>
      <c r="J413" s="5">
        <f t="shared" si="99"/>
        <v>0</v>
      </c>
      <c r="K413" s="5">
        <f t="shared" si="100"/>
        <v>-10.5</v>
      </c>
      <c r="L413" s="226"/>
      <c r="M413" s="4"/>
      <c r="N413" s="4"/>
    </row>
    <row r="414" spans="1:14" ht="13.9">
      <c r="A414" s="4" t="str">
        <f t="shared" si="101"/>
        <v>Interest received</v>
      </c>
      <c r="B414" s="5">
        <f t="shared" si="102"/>
        <v>0</v>
      </c>
      <c r="C414" s="5">
        <f t="shared" si="102"/>
        <v>0</v>
      </c>
      <c r="D414" s="226"/>
      <c r="E414" s="5"/>
      <c r="F414" s="5">
        <f t="shared" si="103"/>
        <v>0.1</v>
      </c>
      <c r="G414" s="5">
        <f t="shared" si="103"/>
        <v>0</v>
      </c>
      <c r="H414" s="226"/>
      <c r="I414" s="4"/>
      <c r="J414" s="5">
        <f t="shared" si="99"/>
        <v>0.1</v>
      </c>
      <c r="K414" s="5">
        <f t="shared" si="100"/>
        <v>0</v>
      </c>
      <c r="L414" s="226"/>
      <c r="M414" s="4"/>
      <c r="N414" s="4"/>
    </row>
    <row r="415" spans="1:14" ht="13.9">
      <c r="A415" s="7" t="str">
        <f>+A140</f>
        <v>Net cash used in investing activities</v>
      </c>
      <c r="B415" s="9">
        <f>+B140</f>
        <v>-18.600000000000001</v>
      </c>
      <c r="C415" s="9">
        <f>+C140</f>
        <v>-14.5</v>
      </c>
      <c r="D415" s="226">
        <f t="shared" si="95"/>
        <v>-0.22043010752688175</v>
      </c>
      <c r="E415" s="9"/>
      <c r="F415" s="9">
        <f>+G140</f>
        <v>-24.2</v>
      </c>
      <c r="G415" s="9">
        <f>+H140</f>
        <v>-34.099999999999994</v>
      </c>
      <c r="H415" s="226">
        <f t="shared" si="97"/>
        <v>0.40909090909090895</v>
      </c>
      <c r="I415" s="4"/>
      <c r="J415" s="9">
        <f t="shared" si="99"/>
        <v>-5.5999999999999979</v>
      </c>
      <c r="K415" s="9">
        <f t="shared" si="100"/>
        <v>-19.599999999999994</v>
      </c>
      <c r="L415" s="226">
        <f t="shared" si="98"/>
        <v>2.5000000000000004</v>
      </c>
      <c r="M415" s="4"/>
      <c r="N415" s="4"/>
    </row>
    <row r="416" spans="1:14" ht="13.9">
      <c r="A416" s="4"/>
      <c r="B416" s="5"/>
      <c r="C416" s="5"/>
      <c r="D416" s="226"/>
      <c r="E416" s="5"/>
      <c r="F416" s="5"/>
      <c r="G416" s="5"/>
      <c r="H416" s="226"/>
      <c r="I416" s="4"/>
      <c r="J416" s="5"/>
      <c r="K416" s="5"/>
      <c r="L416" s="226"/>
      <c r="M416" s="4"/>
      <c r="N416" s="4"/>
    </row>
    <row r="417" spans="1:14" ht="13.9">
      <c r="A417" s="7" t="str">
        <f>+A142</f>
        <v>Cash flow from financing activities</v>
      </c>
      <c r="B417" s="5"/>
      <c r="C417" s="5"/>
      <c r="D417" s="226"/>
      <c r="E417" s="5"/>
      <c r="F417" s="5"/>
      <c r="G417" s="5"/>
      <c r="H417" s="226"/>
      <c r="I417" s="4"/>
      <c r="J417" s="5"/>
      <c r="K417" s="5"/>
      <c r="L417" s="226"/>
      <c r="M417" s="4"/>
      <c r="N417" s="4"/>
    </row>
    <row r="418" spans="1:14" ht="13.9">
      <c r="A418" s="4" t="str">
        <f t="shared" ref="A418:C425" si="104">+A144</f>
        <v>Withdrawals/deposits</v>
      </c>
      <c r="B418" s="5">
        <f t="shared" si="104"/>
        <v>6.1</v>
      </c>
      <c r="C418" s="5">
        <f t="shared" si="104"/>
        <v>-0.1</v>
      </c>
      <c r="D418" s="226">
        <f t="shared" si="95"/>
        <v>-1.0163934426229508</v>
      </c>
      <c r="E418" s="5"/>
      <c r="F418" s="5">
        <f t="shared" ref="F418:G425" si="105">+G144</f>
        <v>32.700000000000003</v>
      </c>
      <c r="G418" s="5">
        <f t="shared" si="105"/>
        <v>-1.7</v>
      </c>
      <c r="H418" s="226">
        <f t="shared" si="97"/>
        <v>-1.0519877675840978</v>
      </c>
      <c r="I418" s="4"/>
      <c r="J418" s="5">
        <f t="shared" si="99"/>
        <v>26.6</v>
      </c>
      <c r="K418" s="5">
        <f t="shared" si="100"/>
        <v>-1.5999999999999999</v>
      </c>
      <c r="L418" s="226">
        <f t="shared" si="98"/>
        <v>-1.0601503759398496</v>
      </c>
      <c r="M418" s="4"/>
      <c r="N418" s="4"/>
    </row>
    <row r="419" spans="1:14" ht="13.9">
      <c r="A419" s="4" t="str">
        <f t="shared" si="104"/>
        <v>Payment of financial lease liabilities</v>
      </c>
      <c r="B419" s="5">
        <f t="shared" si="104"/>
        <v>-2.2000000000000002</v>
      </c>
      <c r="C419" s="5">
        <f t="shared" si="104"/>
        <v>-2.9</v>
      </c>
      <c r="D419" s="226">
        <f t="shared" si="95"/>
        <v>0.31818181818181812</v>
      </c>
      <c r="E419" s="5"/>
      <c r="F419" s="5">
        <f t="shared" si="105"/>
        <v>-3.3</v>
      </c>
      <c r="G419" s="5">
        <f t="shared" si="105"/>
        <v>-4.3</v>
      </c>
      <c r="H419" s="226">
        <f t="shared" si="97"/>
        <v>0.30303030303030298</v>
      </c>
      <c r="I419" s="4"/>
      <c r="J419" s="5">
        <f t="shared" si="99"/>
        <v>-1.0999999999999996</v>
      </c>
      <c r="K419" s="5">
        <f t="shared" si="100"/>
        <v>-1.4</v>
      </c>
      <c r="L419" s="226">
        <f t="shared" si="98"/>
        <v>0.27272727272727315</v>
      </c>
      <c r="M419" s="4"/>
      <c r="N419" s="4"/>
    </row>
    <row r="420" spans="1:14" ht="13.9">
      <c r="A420" s="4" t="str">
        <f t="shared" si="104"/>
        <v>Distributions of dividends</v>
      </c>
      <c r="B420" s="5">
        <f t="shared" si="104"/>
        <v>0</v>
      </c>
      <c r="C420" s="5">
        <f t="shared" si="104"/>
        <v>-1.2</v>
      </c>
      <c r="D420" s="226"/>
      <c r="E420" s="5"/>
      <c r="F420" s="5">
        <f t="shared" si="105"/>
        <v>-2.8</v>
      </c>
      <c r="G420" s="5">
        <f t="shared" si="105"/>
        <v>-3.1</v>
      </c>
      <c r="H420" s="226"/>
      <c r="I420" s="4"/>
      <c r="J420" s="5">
        <f t="shared" si="99"/>
        <v>-2.8</v>
      </c>
      <c r="K420" s="5">
        <f t="shared" si="100"/>
        <v>-1.9000000000000001</v>
      </c>
      <c r="L420" s="226"/>
      <c r="M420" s="4"/>
      <c r="N420" s="4"/>
    </row>
    <row r="421" spans="1:14" ht="13.9">
      <c r="A421" s="4" t="str">
        <f t="shared" si="104"/>
        <v>Proceeds from loans, bonds or short-term or long-term borrowings from banks</v>
      </c>
      <c r="B421" s="5">
        <f t="shared" si="104"/>
        <v>7.3</v>
      </c>
      <c r="C421" s="5">
        <f t="shared" si="104"/>
        <v>0</v>
      </c>
      <c r="D421" s="226">
        <f t="shared" si="95"/>
        <v>-1</v>
      </c>
      <c r="E421" s="5"/>
      <c r="F421" s="5">
        <f t="shared" si="105"/>
        <v>7.3</v>
      </c>
      <c r="G421" s="5">
        <f t="shared" si="105"/>
        <v>0</v>
      </c>
      <c r="H421" s="226">
        <f t="shared" si="97"/>
        <v>-1</v>
      </c>
      <c r="I421" s="4"/>
      <c r="J421" s="5">
        <f t="shared" si="99"/>
        <v>0</v>
      </c>
      <c r="K421" s="5">
        <f t="shared" si="100"/>
        <v>0</v>
      </c>
      <c r="L421" s="226"/>
      <c r="M421" s="4"/>
      <c r="N421" s="4"/>
    </row>
    <row r="422" spans="1:14" ht="13.9">
      <c r="A422" s="4" t="str">
        <f t="shared" si="104"/>
        <v>Repayment of borrowings and short-term or long-term borrowings</v>
      </c>
      <c r="B422" s="5">
        <f t="shared" si="104"/>
        <v>-1.9</v>
      </c>
      <c r="C422" s="5">
        <f t="shared" si="104"/>
        <v>-1</v>
      </c>
      <c r="D422" s="226">
        <f t="shared" si="95"/>
        <v>-0.47368421052631582</v>
      </c>
      <c r="E422" s="5"/>
      <c r="F422" s="5">
        <f t="shared" si="105"/>
        <v>-2.7</v>
      </c>
      <c r="G422" s="5">
        <f t="shared" si="105"/>
        <v>-2</v>
      </c>
      <c r="H422" s="226">
        <f t="shared" si="97"/>
        <v>-0.2592592592592593</v>
      </c>
      <c r="I422" s="4"/>
      <c r="J422" s="5">
        <f t="shared" si="99"/>
        <v>-0.80000000000000027</v>
      </c>
      <c r="K422" s="5">
        <f t="shared" si="100"/>
        <v>-1</v>
      </c>
      <c r="L422" s="226">
        <f t="shared" si="98"/>
        <v>0.24999999999999956</v>
      </c>
      <c r="M422" s="4"/>
      <c r="N422" s="4"/>
    </row>
    <row r="423" spans="1:14" ht="13.9">
      <c r="A423" s="212" t="str">
        <f t="shared" si="104"/>
        <v>Purchase of minorities</v>
      </c>
      <c r="B423">
        <f t="shared" si="104"/>
        <v>0</v>
      </c>
      <c r="C423">
        <f t="shared" si="104"/>
        <v>0</v>
      </c>
      <c r="D423" s="226"/>
      <c r="E423" s="5"/>
      <c r="F423">
        <f t="shared" si="105"/>
        <v>0</v>
      </c>
      <c r="G423">
        <f t="shared" si="105"/>
        <v>-19.899999999999999</v>
      </c>
      <c r="H423" s="226"/>
      <c r="I423" s="4"/>
      <c r="J423">
        <f t="shared" si="99"/>
        <v>0</v>
      </c>
      <c r="K423">
        <f t="shared" si="100"/>
        <v>-19.899999999999999</v>
      </c>
      <c r="L423" s="226"/>
      <c r="M423" s="4"/>
      <c r="N423" s="4"/>
    </row>
    <row r="424" spans="1:14" ht="13.9">
      <c r="A424" s="4" t="str">
        <f t="shared" si="104"/>
        <v>Interest paid</v>
      </c>
      <c r="B424" s="5">
        <f t="shared" si="104"/>
        <v>-11.8</v>
      </c>
      <c r="C424" s="5">
        <f t="shared" si="104"/>
        <v>-15.8</v>
      </c>
      <c r="D424" s="226">
        <f t="shared" si="95"/>
        <v>0.33898305084745761</v>
      </c>
      <c r="E424" s="5"/>
      <c r="F424" s="5">
        <f t="shared" si="105"/>
        <v>-22</v>
      </c>
      <c r="G424" s="5">
        <f t="shared" si="105"/>
        <v>-16.399999999999999</v>
      </c>
      <c r="H424" s="226">
        <f t="shared" si="97"/>
        <v>-0.25454545454545463</v>
      </c>
      <c r="I424" s="4"/>
      <c r="J424" s="5">
        <f t="shared" si="99"/>
        <v>-10.199999999999999</v>
      </c>
      <c r="K424" s="5">
        <f t="shared" si="100"/>
        <v>-0.59999999999999787</v>
      </c>
      <c r="L424" s="226">
        <f t="shared" si="98"/>
        <v>-0.9411764705882355</v>
      </c>
      <c r="M424" s="4"/>
      <c r="N424" s="4"/>
    </row>
    <row r="425" spans="1:14" ht="13.9">
      <c r="A425" s="7" t="str">
        <f t="shared" si="104"/>
        <v>Cash flow from (used in) financing activities</v>
      </c>
      <c r="B425" s="9">
        <f t="shared" si="104"/>
        <v>-2.6</v>
      </c>
      <c r="C425" s="9">
        <f t="shared" si="104"/>
        <v>-20.9</v>
      </c>
      <c r="D425" s="226">
        <f t="shared" si="95"/>
        <v>7.0384615384615383</v>
      </c>
      <c r="E425" s="9"/>
      <c r="F425" s="9">
        <f t="shared" si="105"/>
        <v>9.1999999999999993</v>
      </c>
      <c r="G425" s="9">
        <f t="shared" si="105"/>
        <v>-47.4</v>
      </c>
      <c r="H425" s="226">
        <f t="shared" si="97"/>
        <v>-6.1521739130434785</v>
      </c>
      <c r="I425" s="4"/>
      <c r="J425" s="9">
        <f t="shared" si="99"/>
        <v>11.799999999999999</v>
      </c>
      <c r="K425" s="9">
        <f t="shared" si="100"/>
        <v>-26.5</v>
      </c>
      <c r="L425" s="226">
        <f t="shared" si="98"/>
        <v>-3.245762711864407</v>
      </c>
      <c r="M425" s="4"/>
      <c r="N425" s="4"/>
    </row>
    <row r="426" spans="1:14" ht="13.9">
      <c r="A426" s="4"/>
      <c r="B426" s="5"/>
      <c r="C426" s="5"/>
      <c r="D426" s="226"/>
      <c r="E426" s="5"/>
      <c r="F426" s="5"/>
      <c r="G426" s="5"/>
      <c r="H426" s="226"/>
      <c r="I426" s="4"/>
      <c r="J426" s="5"/>
      <c r="K426" s="5"/>
      <c r="L426" s="226"/>
      <c r="M426" s="4"/>
      <c r="N426" s="4"/>
    </row>
    <row r="427" spans="1:14" ht="13.9">
      <c r="A427" s="7" t="str">
        <f t="shared" ref="A427:C428" si="106">+A153</f>
        <v>Net increase/decrease in cash and cash equivalents</v>
      </c>
      <c r="B427" s="9">
        <f t="shared" si="106"/>
        <v>7.6</v>
      </c>
      <c r="C427" s="9">
        <f t="shared" si="106"/>
        <v>-20</v>
      </c>
      <c r="D427" s="226">
        <f t="shared" si="95"/>
        <v>-3.6315789473684212</v>
      </c>
      <c r="E427" s="9"/>
      <c r="F427" s="9">
        <f>+G153</f>
        <v>18</v>
      </c>
      <c r="G427" s="9">
        <f>+H153</f>
        <v>-34.799999999999997</v>
      </c>
      <c r="H427" s="226">
        <f t="shared" si="97"/>
        <v>-2.9333333333333331</v>
      </c>
      <c r="I427" s="4"/>
      <c r="J427" s="9">
        <f t="shared" si="99"/>
        <v>10.4</v>
      </c>
      <c r="K427" s="9">
        <f t="shared" si="100"/>
        <v>-14.799999999999997</v>
      </c>
      <c r="L427" s="226">
        <f t="shared" si="98"/>
        <v>-2.4230769230769225</v>
      </c>
      <c r="M427" s="4"/>
      <c r="N427" s="4"/>
    </row>
    <row r="428" spans="1:14" ht="13.9">
      <c r="A428" s="11" t="str">
        <f t="shared" si="106"/>
        <v>Less/plus release of restricted cash and cash equivalents in the financial year</v>
      </c>
      <c r="B428" s="5">
        <f t="shared" si="106"/>
        <v>0.2</v>
      </c>
      <c r="C428" s="5">
        <f t="shared" si="106"/>
        <v>0.4</v>
      </c>
      <c r="D428" s="226">
        <f t="shared" si="95"/>
        <v>1</v>
      </c>
      <c r="E428" s="5"/>
      <c r="F428" s="4">
        <f>+G154</f>
        <v>14.4</v>
      </c>
      <c r="G428" s="4">
        <f>+H154</f>
        <v>0.4</v>
      </c>
      <c r="H428" s="226">
        <f t="shared" si="97"/>
        <v>-0.97222222222222221</v>
      </c>
      <c r="I428" s="4"/>
      <c r="J428" s="4">
        <f t="shared" si="99"/>
        <v>14.200000000000001</v>
      </c>
      <c r="K428" s="36">
        <f>+G428-C428</f>
        <v>0</v>
      </c>
      <c r="L428" s="226">
        <f t="shared" si="98"/>
        <v>-1</v>
      </c>
      <c r="M428" s="4"/>
      <c r="N428" s="4"/>
    </row>
    <row r="429" spans="1:14" ht="13.9">
      <c r="A429" s="11"/>
      <c r="B429" s="5"/>
      <c r="C429" s="5"/>
      <c r="D429" s="5"/>
      <c r="E429" s="5"/>
      <c r="F429" s="4"/>
      <c r="G429" s="4"/>
      <c r="I429" s="4"/>
      <c r="J429" s="36"/>
      <c r="K429" s="36"/>
      <c r="L429" s="4"/>
      <c r="M429" s="4"/>
      <c r="N429" s="4"/>
    </row>
    <row r="430" spans="1:14" ht="13.9">
      <c r="A430" s="18" t="str">
        <f>+A156</f>
        <v>Capital Expenditures € millions</v>
      </c>
      <c r="B430" s="209" t="str">
        <f>+B340</f>
        <v>H1 13</v>
      </c>
      <c r="C430" s="209" t="str">
        <f t="shared" ref="C430:L430" si="107">+C340</f>
        <v>H1 14</v>
      </c>
      <c r="D430" s="227" t="str">
        <f t="shared" si="107"/>
        <v>YoY</v>
      </c>
      <c r="E430" s="209"/>
      <c r="F430" s="209" t="str">
        <f t="shared" si="107"/>
        <v>9M 13</v>
      </c>
      <c r="G430" s="209" t="str">
        <f t="shared" si="107"/>
        <v>9M 14</v>
      </c>
      <c r="H430" s="227" t="str">
        <f t="shared" si="107"/>
        <v>YoY</v>
      </c>
      <c r="I430" s="209"/>
      <c r="J430" s="209" t="str">
        <f t="shared" si="107"/>
        <v>Q3 13</v>
      </c>
      <c r="K430" s="209" t="str">
        <f t="shared" si="107"/>
        <v>Q3 14</v>
      </c>
      <c r="L430" s="227" t="str">
        <f t="shared" si="107"/>
        <v>YoY</v>
      </c>
      <c r="M430" s="4"/>
      <c r="N430" s="4"/>
    </row>
    <row r="431" spans="1:14" ht="13.9">
      <c r="A431" s="4" t="str">
        <f t="shared" ref="A431:C436" si="108">+A159</f>
        <v>Customer Projects</v>
      </c>
      <c r="B431" s="5">
        <f t="shared" si="108"/>
        <v>8.9</v>
      </c>
      <c r="C431" s="5">
        <f t="shared" si="108"/>
        <v>8.1999999999999993</v>
      </c>
      <c r="D431" s="226">
        <f t="shared" ref="D431:D436" si="109">+C431/B431-1</f>
        <v>-7.8651685393258508E-2</v>
      </c>
      <c r="E431" s="5"/>
      <c r="F431" s="5">
        <f t="shared" ref="F431:G436" si="110">+G159</f>
        <v>15.3</v>
      </c>
      <c r="G431" s="5">
        <f t="shared" si="110"/>
        <v>22</v>
      </c>
      <c r="H431" s="226">
        <f t="shared" ref="H431:H436" si="111">+G431/F431-1</f>
        <v>0.43790849673202614</v>
      </c>
      <c r="I431" s="4"/>
      <c r="J431" s="5">
        <f t="shared" ref="J431:K436" si="112">+F431-B431</f>
        <v>6.4</v>
      </c>
      <c r="K431" s="5">
        <f t="shared" si="112"/>
        <v>13.8</v>
      </c>
      <c r="L431" s="226">
        <f t="shared" ref="L431:L436" si="113">+K431/J431-1</f>
        <v>1.15625</v>
      </c>
      <c r="M431" s="4"/>
      <c r="N431" s="4"/>
    </row>
    <row r="432" spans="1:14" ht="13.9">
      <c r="A432" s="4" t="str">
        <f t="shared" si="108"/>
        <v>Network Architecture</v>
      </c>
      <c r="B432" s="5">
        <f t="shared" si="108"/>
        <v>3.4</v>
      </c>
      <c r="C432" s="5">
        <f t="shared" si="108"/>
        <v>6.1</v>
      </c>
      <c r="D432" s="226">
        <f t="shared" si="109"/>
        <v>0.79411764705882337</v>
      </c>
      <c r="E432" s="5"/>
      <c r="F432" s="5">
        <f t="shared" si="110"/>
        <v>6.6</v>
      </c>
      <c r="G432" s="5">
        <f t="shared" si="110"/>
        <v>11</v>
      </c>
      <c r="H432" s="226">
        <f t="shared" si="111"/>
        <v>0.66666666666666674</v>
      </c>
      <c r="I432" s="4"/>
      <c r="J432" s="5">
        <f t="shared" si="112"/>
        <v>3.1999999999999997</v>
      </c>
      <c r="K432" s="5">
        <f t="shared" si="112"/>
        <v>4.9000000000000004</v>
      </c>
      <c r="L432" s="226">
        <f t="shared" si="113"/>
        <v>0.53125000000000022</v>
      </c>
      <c r="M432" s="4"/>
      <c r="N432" s="4"/>
    </row>
    <row r="433" spans="1:14" ht="13.9">
      <c r="A433" s="4" t="str">
        <f t="shared" si="108"/>
        <v>IT Capex</v>
      </c>
      <c r="B433" s="5">
        <f t="shared" si="108"/>
        <v>0.7</v>
      </c>
      <c r="C433" s="5">
        <f t="shared" si="108"/>
        <v>0.6</v>
      </c>
      <c r="D433" s="226">
        <f t="shared" si="109"/>
        <v>-0.14285714285714279</v>
      </c>
      <c r="E433" s="5"/>
      <c r="F433" s="5">
        <f t="shared" si="110"/>
        <v>0.6</v>
      </c>
      <c r="G433" s="5">
        <f t="shared" si="110"/>
        <v>0.9</v>
      </c>
      <c r="H433" s="226">
        <f t="shared" si="111"/>
        <v>0.5</v>
      </c>
      <c r="I433" s="4"/>
      <c r="J433" s="5">
        <f t="shared" si="112"/>
        <v>-9.9999999999999978E-2</v>
      </c>
      <c r="K433" s="5">
        <f t="shared" si="112"/>
        <v>0.30000000000000004</v>
      </c>
      <c r="L433" s="226">
        <f t="shared" si="113"/>
        <v>-4.0000000000000009</v>
      </c>
      <c r="M433" s="4"/>
      <c r="N433" s="4"/>
    </row>
    <row r="434" spans="1:14" ht="13.9">
      <c r="A434" s="4" t="str">
        <f t="shared" si="108"/>
        <v>Other Capex</v>
      </c>
      <c r="B434" s="5">
        <f t="shared" si="108"/>
        <v>0.4</v>
      </c>
      <c r="C434" s="5">
        <f t="shared" si="108"/>
        <v>0.7</v>
      </c>
      <c r="D434" s="226">
        <f t="shared" si="109"/>
        <v>0.74999999999999978</v>
      </c>
      <c r="E434" s="5"/>
      <c r="F434" s="5">
        <f t="shared" si="110"/>
        <v>0.7</v>
      </c>
      <c r="G434" s="5">
        <f t="shared" si="110"/>
        <v>1.5</v>
      </c>
      <c r="H434" s="226">
        <f t="shared" si="111"/>
        <v>1.1428571428571428</v>
      </c>
      <c r="I434" s="4"/>
      <c r="J434" s="5">
        <f t="shared" si="112"/>
        <v>0.29999999999999993</v>
      </c>
      <c r="K434" s="5">
        <f t="shared" si="112"/>
        <v>0.8</v>
      </c>
      <c r="L434" s="226">
        <f t="shared" si="113"/>
        <v>1.6666666666666674</v>
      </c>
      <c r="M434" s="4"/>
      <c r="N434" s="4"/>
    </row>
    <row r="435" spans="1:14" ht="13.9">
      <c r="A435" s="4" t="str">
        <f t="shared" si="108"/>
        <v>Own work capitalised</v>
      </c>
      <c r="B435" s="5">
        <f t="shared" si="108"/>
        <v>2</v>
      </c>
      <c r="C435" s="5">
        <f t="shared" si="108"/>
        <v>2.9</v>
      </c>
      <c r="D435" s="226">
        <f t="shared" si="109"/>
        <v>0.44999999999999996</v>
      </c>
      <c r="E435" s="5"/>
      <c r="F435" s="5">
        <f t="shared" si="110"/>
        <v>3.5</v>
      </c>
      <c r="G435" s="5">
        <f t="shared" si="110"/>
        <v>4.5999999999999996</v>
      </c>
      <c r="H435" s="226">
        <f t="shared" si="111"/>
        <v>0.31428571428571428</v>
      </c>
      <c r="I435" s="4"/>
      <c r="J435" s="5">
        <f t="shared" si="112"/>
        <v>1.5</v>
      </c>
      <c r="K435" s="5">
        <f t="shared" si="112"/>
        <v>1.6999999999999997</v>
      </c>
      <c r="L435" s="226">
        <f t="shared" si="113"/>
        <v>0.13333333333333308</v>
      </c>
      <c r="M435" s="4"/>
      <c r="N435" s="4"/>
    </row>
    <row r="436" spans="1:14" ht="13.9">
      <c r="A436" s="7" t="str">
        <f t="shared" si="108"/>
        <v>Total capital expenditures</v>
      </c>
      <c r="B436" s="59">
        <f t="shared" si="108"/>
        <v>15.5</v>
      </c>
      <c r="C436" s="59">
        <f t="shared" si="108"/>
        <v>18.5</v>
      </c>
      <c r="D436" s="226">
        <f t="shared" si="109"/>
        <v>0.19354838709677424</v>
      </c>
      <c r="E436" s="9"/>
      <c r="F436" s="59">
        <f t="shared" si="110"/>
        <v>26.6</v>
      </c>
      <c r="G436" s="59">
        <f t="shared" si="110"/>
        <v>40</v>
      </c>
      <c r="H436" s="226">
        <f t="shared" si="111"/>
        <v>0.50375939849624052</v>
      </c>
      <c r="I436" s="4"/>
      <c r="J436" s="59">
        <f t="shared" si="112"/>
        <v>11.100000000000001</v>
      </c>
      <c r="K436" s="59">
        <f t="shared" si="112"/>
        <v>21.5</v>
      </c>
      <c r="L436" s="226">
        <f t="shared" si="113"/>
        <v>0.93693693693693669</v>
      </c>
      <c r="M436" s="4"/>
      <c r="N436" s="4"/>
    </row>
    <row r="437" spans="1:14" ht="13.9">
      <c r="A437" s="4"/>
      <c r="B437" s="11"/>
      <c r="C437" s="11"/>
      <c r="D437" s="11"/>
      <c r="E437" s="11"/>
      <c r="F437" s="4"/>
      <c r="G437" s="4"/>
      <c r="I437" s="4"/>
      <c r="J437" s="4"/>
      <c r="K437" s="4"/>
      <c r="L437" s="4"/>
      <c r="M437" s="4"/>
      <c r="N437" s="4"/>
    </row>
    <row r="438" spans="1:14" ht="13.9">
      <c r="A438" s="18" t="str">
        <f>+A169</f>
        <v>Normalisation bridges € millions</v>
      </c>
      <c r="B438" s="209" t="str">
        <f>+B430</f>
        <v>H1 13</v>
      </c>
      <c r="C438" s="209" t="str">
        <f t="shared" ref="C438:K438" si="114">+C430</f>
        <v>H1 14</v>
      </c>
      <c r="D438" s="227"/>
      <c r="E438" s="209"/>
      <c r="F438" s="209" t="str">
        <f t="shared" si="114"/>
        <v>9M 13</v>
      </c>
      <c r="G438" s="209" t="str">
        <f t="shared" si="114"/>
        <v>9M 14</v>
      </c>
      <c r="H438" s="227"/>
      <c r="I438" s="209"/>
      <c r="J438" s="209" t="str">
        <f t="shared" si="114"/>
        <v>Q3 13</v>
      </c>
      <c r="K438" s="209" t="str">
        <f t="shared" si="114"/>
        <v>Q3 14</v>
      </c>
      <c r="L438" s="227"/>
      <c r="M438" s="4"/>
      <c r="N438" s="4"/>
    </row>
    <row r="439" spans="1:14" ht="13.9">
      <c r="A439" s="27" t="str">
        <f>+A170</f>
        <v xml:space="preserve">Normalised total operating performance </v>
      </c>
      <c r="B439" s="9">
        <f t="shared" ref="B439:C441" si="115">+B170</f>
        <v>108.6</v>
      </c>
      <c r="C439" s="9">
        <f t="shared" si="115"/>
        <v>113.1</v>
      </c>
      <c r="D439" s="9"/>
      <c r="E439" s="9"/>
      <c r="F439" s="9">
        <f t="shared" ref="F439:G441" si="116">+G170</f>
        <v>163.19999999999999</v>
      </c>
      <c r="G439" s="9">
        <f t="shared" si="116"/>
        <v>170.2</v>
      </c>
      <c r="I439" s="4"/>
      <c r="J439" s="9">
        <f t="shared" ref="J439:J450" si="117">+F439-B439</f>
        <v>54.599999999999994</v>
      </c>
      <c r="K439" s="9">
        <f t="shared" ref="K439:K450" si="118">+G439-C439</f>
        <v>57.099999999999994</v>
      </c>
      <c r="L439" s="4"/>
      <c r="M439" s="4"/>
      <c r="N439" s="4"/>
    </row>
    <row r="440" spans="1:14" ht="13.9">
      <c r="A440" s="4" t="str">
        <f>+A171</f>
        <v>Non-recurring revenue and other income</v>
      </c>
      <c r="B440" s="5">
        <f t="shared" si="115"/>
        <v>1.9</v>
      </c>
      <c r="C440" s="5">
        <f t="shared" si="115"/>
        <v>0.4</v>
      </c>
      <c r="D440" s="5"/>
      <c r="E440" s="5"/>
      <c r="F440" s="5">
        <f t="shared" si="116"/>
        <v>2.1</v>
      </c>
      <c r="G440" s="5">
        <f t="shared" si="116"/>
        <v>1</v>
      </c>
      <c r="I440" s="4"/>
      <c r="J440" s="5">
        <f t="shared" si="117"/>
        <v>0.20000000000000018</v>
      </c>
      <c r="K440" s="5">
        <f t="shared" si="118"/>
        <v>0.6</v>
      </c>
      <c r="L440" s="4"/>
      <c r="M440" s="4"/>
      <c r="N440" s="4"/>
    </row>
    <row r="441" spans="1:14" ht="13.9">
      <c r="A441" s="27" t="str">
        <f>+A172</f>
        <v xml:space="preserve">Reported total operating performance </v>
      </c>
      <c r="B441" s="59">
        <f t="shared" si="115"/>
        <v>110.7</v>
      </c>
      <c r="C441" s="59">
        <f t="shared" si="115"/>
        <v>113.5</v>
      </c>
      <c r="D441" s="79"/>
      <c r="E441" s="9"/>
      <c r="F441" s="59">
        <f t="shared" si="116"/>
        <v>165.4</v>
      </c>
      <c r="G441" s="59">
        <f t="shared" si="116"/>
        <v>171.2</v>
      </c>
      <c r="I441" s="4"/>
      <c r="J441" s="59">
        <f t="shared" si="117"/>
        <v>54.7</v>
      </c>
      <c r="K441" s="59">
        <f t="shared" si="118"/>
        <v>57.699999999999989</v>
      </c>
      <c r="L441" s="4"/>
      <c r="M441" s="4"/>
      <c r="N441" s="4"/>
    </row>
    <row r="442" spans="1:14" ht="13.9">
      <c r="A442" s="4"/>
      <c r="B442" s="4"/>
      <c r="C442" s="4"/>
      <c r="D442" s="4"/>
      <c r="E442" s="4"/>
      <c r="F442" s="4"/>
      <c r="G442" s="4"/>
      <c r="I442" s="4"/>
      <c r="J442" s="4"/>
      <c r="K442" s="4"/>
      <c r="L442" s="4"/>
      <c r="M442" s="4"/>
      <c r="N442" s="4"/>
    </row>
    <row r="443" spans="1:14" ht="13.9">
      <c r="A443" s="27" t="str">
        <f>+A174</f>
        <v>Normalised EBITDA</v>
      </c>
      <c r="B443" s="28">
        <f>+B174</f>
        <v>42.9</v>
      </c>
      <c r="C443" s="28">
        <f>+C174</f>
        <v>47.2</v>
      </c>
      <c r="D443" s="28"/>
      <c r="E443" s="28"/>
      <c r="F443" s="28">
        <f>+G174</f>
        <v>66.3</v>
      </c>
      <c r="G443" s="28">
        <f>+H174</f>
        <v>72.900000000000006</v>
      </c>
      <c r="I443" s="4"/>
      <c r="J443" s="28">
        <f t="shared" si="117"/>
        <v>23.4</v>
      </c>
      <c r="K443" s="28">
        <f t="shared" si="118"/>
        <v>25.700000000000003</v>
      </c>
      <c r="L443" s="4"/>
      <c r="M443" s="4"/>
      <c r="N443" s="4"/>
    </row>
    <row r="444" spans="1:14" ht="13.9">
      <c r="A444" s="6" t="str">
        <f>+A175</f>
        <v>Adjustments for non-recurring:</v>
      </c>
      <c r="B444" s="29"/>
      <c r="C444" s="29"/>
      <c r="D444" s="29"/>
      <c r="E444" s="29"/>
      <c r="F444" s="29"/>
      <c r="G444" s="29"/>
      <c r="I444" s="4"/>
      <c r="J444" s="29"/>
      <c r="K444" s="29"/>
      <c r="L444" s="4"/>
      <c r="M444" s="4"/>
      <c r="N444" s="4"/>
    </row>
    <row r="445" spans="1:14" ht="13.9">
      <c r="A445" s="4" t="str">
        <f>+A176</f>
        <v>Revenue</v>
      </c>
      <c r="B445" s="30">
        <f t="shared" ref="B445:C450" si="119">+B176</f>
        <v>0</v>
      </c>
      <c r="C445" s="30">
        <f t="shared" si="119"/>
        <v>0.1</v>
      </c>
      <c r="D445" s="30"/>
      <c r="E445" s="30"/>
      <c r="F445" s="30">
        <f t="shared" ref="F445:G450" si="120">+G176</f>
        <v>0</v>
      </c>
      <c r="G445" s="30">
        <f t="shared" si="120"/>
        <v>0.1</v>
      </c>
      <c r="I445" s="4"/>
      <c r="J445" s="30">
        <f t="shared" si="117"/>
        <v>0</v>
      </c>
      <c r="K445" s="30">
        <f t="shared" si="118"/>
        <v>0</v>
      </c>
      <c r="L445" s="4"/>
      <c r="M445" s="4"/>
      <c r="N445" s="4"/>
    </row>
    <row r="446" spans="1:14" ht="13.9">
      <c r="A446" s="4" t="s">
        <v>128</v>
      </c>
      <c r="B446" s="30">
        <f t="shared" si="119"/>
        <v>1.9</v>
      </c>
      <c r="C446" s="30">
        <f t="shared" si="119"/>
        <v>0.3</v>
      </c>
      <c r="D446" s="30"/>
      <c r="E446" s="30"/>
      <c r="F446" s="30">
        <f t="shared" si="120"/>
        <v>2.1</v>
      </c>
      <c r="G446" s="30">
        <f t="shared" si="120"/>
        <v>0.9</v>
      </c>
      <c r="I446" s="4"/>
      <c r="J446" s="30">
        <f t="shared" si="117"/>
        <v>0.20000000000000018</v>
      </c>
      <c r="K446" s="30">
        <f t="shared" si="118"/>
        <v>0.60000000000000009</v>
      </c>
      <c r="L446" s="4"/>
      <c r="M446" s="4"/>
      <c r="N446" s="4"/>
    </row>
    <row r="447" spans="1:14" ht="13.9">
      <c r="A447" s="4" t="s">
        <v>129</v>
      </c>
      <c r="B447" s="30">
        <f t="shared" si="119"/>
        <v>0</v>
      </c>
      <c r="C447" s="30">
        <f t="shared" si="119"/>
        <v>-0.2</v>
      </c>
      <c r="D447" s="30"/>
      <c r="E447" s="30"/>
      <c r="F447" s="30">
        <f t="shared" si="120"/>
        <v>-0.1</v>
      </c>
      <c r="G447" s="30">
        <f t="shared" si="120"/>
        <v>-1.2</v>
      </c>
      <c r="I447" s="4"/>
      <c r="J447" s="30">
        <f t="shared" si="117"/>
        <v>-0.1</v>
      </c>
      <c r="K447" s="30">
        <f t="shared" si="118"/>
        <v>-1</v>
      </c>
      <c r="L447" s="4"/>
      <c r="M447" s="4"/>
      <c r="N447" s="4"/>
    </row>
    <row r="448" spans="1:14" ht="13.9">
      <c r="A448" s="4" t="s">
        <v>130</v>
      </c>
      <c r="B448" s="30">
        <f t="shared" si="119"/>
        <v>-2.1</v>
      </c>
      <c r="C448" s="30">
        <f t="shared" si="119"/>
        <v>-0.3</v>
      </c>
      <c r="D448" s="30"/>
      <c r="E448" s="30"/>
      <c r="F448" s="30">
        <f t="shared" si="120"/>
        <v>-2.2999999999999998</v>
      </c>
      <c r="G448" s="30">
        <f t="shared" si="120"/>
        <v>-0.7</v>
      </c>
      <c r="I448" s="4"/>
      <c r="J448" s="30">
        <f t="shared" si="117"/>
        <v>-0.19999999999999973</v>
      </c>
      <c r="K448" s="30">
        <f t="shared" si="118"/>
        <v>-0.39999999999999997</v>
      </c>
      <c r="L448" s="4"/>
      <c r="M448" s="4"/>
      <c r="N448" s="4"/>
    </row>
    <row r="449" spans="1:14" ht="13.9">
      <c r="A449" s="4" t="s">
        <v>733</v>
      </c>
      <c r="B449" s="30">
        <f t="shared" si="119"/>
        <v>-1.3</v>
      </c>
      <c r="C449" s="30">
        <f t="shared" si="119"/>
        <v>-3.2</v>
      </c>
      <c r="D449" s="30"/>
      <c r="E449" s="30"/>
      <c r="F449" s="30">
        <f t="shared" si="120"/>
        <v>-3.2</v>
      </c>
      <c r="G449" s="30">
        <f t="shared" si="120"/>
        <v>-7.1</v>
      </c>
      <c r="I449" s="4"/>
      <c r="J449" s="30">
        <f t="shared" si="117"/>
        <v>-1.9000000000000001</v>
      </c>
      <c r="K449" s="30">
        <f t="shared" si="118"/>
        <v>-3.8999999999999995</v>
      </c>
      <c r="L449" s="4"/>
      <c r="M449" s="4"/>
      <c r="N449" s="4"/>
    </row>
    <row r="450" spans="1:14" ht="13.9">
      <c r="A450" s="27" t="str">
        <f>+A181</f>
        <v>Reported EBITDA</v>
      </c>
      <c r="B450" s="229">
        <f t="shared" si="119"/>
        <v>41.4</v>
      </c>
      <c r="C450" s="229">
        <f t="shared" si="119"/>
        <v>43.9</v>
      </c>
      <c r="D450" s="28"/>
      <c r="E450" s="28"/>
      <c r="F450" s="229">
        <f t="shared" si="120"/>
        <v>62.7</v>
      </c>
      <c r="G450" s="229">
        <f t="shared" si="120"/>
        <v>64.900000000000006</v>
      </c>
      <c r="I450" s="28"/>
      <c r="J450" s="229">
        <f t="shared" si="117"/>
        <v>21.300000000000004</v>
      </c>
      <c r="K450" s="229">
        <f t="shared" si="118"/>
        <v>21.000000000000007</v>
      </c>
      <c r="L450" s="4"/>
      <c r="M450" s="4"/>
      <c r="N450" s="4"/>
    </row>
    <row r="451" spans="1:14" ht="13.9">
      <c r="A451" s="7"/>
      <c r="B451" s="7"/>
      <c r="C451" s="7"/>
      <c r="D451" s="7"/>
      <c r="E451" s="7"/>
      <c r="F451" s="4"/>
      <c r="G451" s="4"/>
      <c r="H451" s="4"/>
      <c r="I451" s="4"/>
      <c r="J451" s="4"/>
      <c r="K451" s="4"/>
      <c r="L451" s="4"/>
      <c r="M451" s="4"/>
      <c r="N451" s="4"/>
    </row>
    <row r="452" spans="1:14" ht="13.9">
      <c r="A452" s="18" t="str">
        <f t="shared" ref="A452:A464" si="121">+A189</f>
        <v>€m</v>
      </c>
      <c r="B452" s="209" t="str">
        <f>+B438</f>
        <v>H1 13</v>
      </c>
      <c r="C452" s="209" t="str">
        <f t="shared" ref="C452:K452" si="122">+C438</f>
        <v>H1 14</v>
      </c>
      <c r="D452" s="227"/>
      <c r="E452" s="209"/>
      <c r="F452" s="209" t="str">
        <f t="shared" si="122"/>
        <v>9M 13</v>
      </c>
      <c r="G452" s="209" t="str">
        <f t="shared" si="122"/>
        <v>9M 14</v>
      </c>
      <c r="H452" s="227"/>
      <c r="I452" s="209"/>
      <c r="J452" s="209" t="str">
        <f t="shared" si="122"/>
        <v>Q3 13</v>
      </c>
      <c r="K452" s="209" t="str">
        <f t="shared" si="122"/>
        <v>Q3 14</v>
      </c>
      <c r="L452" s="4"/>
      <c r="M452" s="4"/>
      <c r="N452" s="4"/>
    </row>
    <row r="453" spans="1:14" ht="13.9">
      <c r="A453" s="27" t="str">
        <f t="shared" si="121"/>
        <v>Normalised EBITDA</v>
      </c>
      <c r="B453" s="9">
        <f t="shared" ref="B453:C464" si="123">+B190</f>
        <v>42.9</v>
      </c>
      <c r="C453" s="9">
        <f t="shared" si="123"/>
        <v>47.2</v>
      </c>
      <c r="D453" s="9"/>
      <c r="E453" s="9"/>
      <c r="F453" s="9">
        <f t="shared" ref="F453:G464" si="124">+G190</f>
        <v>66.3</v>
      </c>
      <c r="G453" s="9">
        <f t="shared" si="124"/>
        <v>72.900000000000006</v>
      </c>
      <c r="I453" s="4"/>
      <c r="J453" s="9">
        <f>+F453-B453</f>
        <v>23.4</v>
      </c>
      <c r="K453" s="9">
        <f>+G453-C453</f>
        <v>25.700000000000003</v>
      </c>
      <c r="L453" s="4"/>
      <c r="M453" s="4"/>
      <c r="N453" s="4"/>
    </row>
    <row r="454" spans="1:14" ht="13.9">
      <c r="A454" s="31" t="str">
        <f t="shared" si="121"/>
        <v>KD/Brenda Award</v>
      </c>
      <c r="B454" s="5">
        <f t="shared" si="123"/>
        <v>0</v>
      </c>
      <c r="C454" s="5">
        <f t="shared" si="123"/>
        <v>0</v>
      </c>
      <c r="D454" s="5"/>
      <c r="E454" s="5"/>
      <c r="F454" s="5">
        <f t="shared" si="124"/>
        <v>0</v>
      </c>
      <c r="G454" s="5">
        <f t="shared" si="124"/>
        <v>0</v>
      </c>
      <c r="I454" s="4"/>
      <c r="J454" s="5">
        <f t="shared" ref="J454:J464" si="125">+F454-B454</f>
        <v>0</v>
      </c>
      <c r="K454" s="5">
        <f t="shared" ref="K454:K464" si="126">+G454-C454</f>
        <v>0</v>
      </c>
      <c r="L454" s="4"/>
      <c r="M454" s="4"/>
      <c r="N454" s="4"/>
    </row>
    <row r="455" spans="1:14" ht="13.9">
      <c r="A455" s="31" t="str">
        <f t="shared" si="121"/>
        <v>Gains/losses from asset sales</v>
      </c>
      <c r="B455" s="5">
        <f t="shared" si="123"/>
        <v>1</v>
      </c>
      <c r="C455" s="5">
        <f t="shared" si="123"/>
        <v>0</v>
      </c>
      <c r="D455" s="5"/>
      <c r="E455" s="5"/>
      <c r="F455" s="5">
        <f t="shared" si="124"/>
        <v>0.6</v>
      </c>
      <c r="G455" s="5">
        <f t="shared" si="124"/>
        <v>0.5</v>
      </c>
      <c r="I455" s="4"/>
      <c r="J455" s="5">
        <f t="shared" si="125"/>
        <v>-0.4</v>
      </c>
      <c r="K455" s="5">
        <f t="shared" si="126"/>
        <v>0.5</v>
      </c>
      <c r="L455" s="4"/>
      <c r="M455" s="4"/>
      <c r="N455" s="4"/>
    </row>
    <row r="456" spans="1:14" ht="13.9">
      <c r="A456" s="31" t="str">
        <f t="shared" si="121"/>
        <v>Eutelsat contract provisions</v>
      </c>
      <c r="B456" s="5">
        <f t="shared" si="123"/>
        <v>0</v>
      </c>
      <c r="C456" s="5">
        <f t="shared" si="123"/>
        <v>0</v>
      </c>
      <c r="D456" s="5"/>
      <c r="E456" s="5"/>
      <c r="F456" s="5">
        <f t="shared" si="124"/>
        <v>0</v>
      </c>
      <c r="G456" s="5">
        <f t="shared" si="124"/>
        <v>-1</v>
      </c>
      <c r="I456" s="4"/>
      <c r="J456" s="5">
        <f t="shared" si="125"/>
        <v>0</v>
      </c>
      <c r="K456" s="5">
        <f t="shared" si="126"/>
        <v>-1</v>
      </c>
      <c r="L456" s="4"/>
      <c r="M456" s="4"/>
      <c r="N456" s="4"/>
    </row>
    <row r="457" spans="1:14" ht="13.9">
      <c r="A457" s="31" t="str">
        <f t="shared" si="121"/>
        <v>Other provisions</v>
      </c>
      <c r="B457" s="5">
        <f t="shared" si="123"/>
        <v>0</v>
      </c>
      <c r="C457" s="5">
        <f t="shared" si="123"/>
        <v>0.1</v>
      </c>
      <c r="D457" s="5"/>
      <c r="E457" s="5"/>
      <c r="F457" s="5">
        <f t="shared" si="124"/>
        <v>0</v>
      </c>
      <c r="G457" s="5">
        <f t="shared" si="124"/>
        <v>0</v>
      </c>
      <c r="I457" s="4"/>
      <c r="J457" s="5">
        <f t="shared" si="125"/>
        <v>0</v>
      </c>
      <c r="K457" s="5">
        <f t="shared" si="126"/>
        <v>-0.1</v>
      </c>
      <c r="L457" s="4"/>
      <c r="M457" s="4"/>
      <c r="N457" s="4"/>
    </row>
    <row r="458" spans="1:14" ht="13.9">
      <c r="A458" s="31" t="str">
        <f t="shared" si="121"/>
        <v xml:space="preserve">Empire I and Empire II </v>
      </c>
      <c r="B458" s="5">
        <f t="shared" si="123"/>
        <v>0</v>
      </c>
      <c r="C458" s="5">
        <f t="shared" si="123"/>
        <v>0</v>
      </c>
      <c r="D458" s="5"/>
      <c r="E458" s="5"/>
      <c r="F458" s="5">
        <f t="shared" si="124"/>
        <v>0</v>
      </c>
      <c r="G458" s="5">
        <f t="shared" si="124"/>
        <v>-0.1</v>
      </c>
      <c r="I458" s="4"/>
      <c r="J458" s="5">
        <f t="shared" si="125"/>
        <v>0</v>
      </c>
      <c r="K458" s="5">
        <f t="shared" si="126"/>
        <v>-0.1</v>
      </c>
      <c r="L458" s="4"/>
      <c r="M458" s="4"/>
      <c r="N458" s="4"/>
    </row>
    <row r="459" spans="1:14" ht="13.9">
      <c r="A459" s="31" t="str">
        <f t="shared" si="121"/>
        <v xml:space="preserve">Redundancy payments </v>
      </c>
      <c r="B459" s="5">
        <f t="shared" si="123"/>
        <v>-1.7</v>
      </c>
      <c r="C459" s="5">
        <f t="shared" si="123"/>
        <v>-0.1</v>
      </c>
      <c r="D459" s="5"/>
      <c r="E459" s="5"/>
      <c r="F459" s="5">
        <f t="shared" si="124"/>
        <v>-2.2999999999999998</v>
      </c>
      <c r="G459" s="5">
        <f t="shared" si="124"/>
        <v>-0.7</v>
      </c>
      <c r="I459" s="4"/>
      <c r="J459" s="5">
        <f t="shared" si="125"/>
        <v>-0.59999999999999987</v>
      </c>
      <c r="K459" s="5">
        <f t="shared" si="126"/>
        <v>-0.6</v>
      </c>
      <c r="L459" s="4"/>
      <c r="M459" s="4"/>
      <c r="N459" s="4"/>
    </row>
    <row r="460" spans="1:14" ht="13.9">
      <c r="A460" s="31" t="str">
        <f t="shared" si="121"/>
        <v>Financial restructuring costs</v>
      </c>
      <c r="B460" s="5">
        <f t="shared" si="123"/>
        <v>-0.8</v>
      </c>
      <c r="C460" s="5">
        <f t="shared" si="123"/>
        <v>-1.9</v>
      </c>
      <c r="D460" s="5"/>
      <c r="E460" s="5"/>
      <c r="F460" s="5">
        <f t="shared" si="124"/>
        <v>-1.5</v>
      </c>
      <c r="G460" s="5">
        <f t="shared" si="124"/>
        <v>-5.5</v>
      </c>
      <c r="I460" s="4"/>
      <c r="J460" s="5">
        <f t="shared" si="125"/>
        <v>-0.7</v>
      </c>
      <c r="K460" s="5">
        <f t="shared" si="126"/>
        <v>-3.6</v>
      </c>
      <c r="L460" s="4"/>
      <c r="M460" s="4"/>
      <c r="N460" s="4"/>
    </row>
    <row r="461" spans="1:14" ht="13.9">
      <c r="A461" s="31" t="str">
        <f t="shared" si="121"/>
        <v xml:space="preserve">Financial restructuring (pass-through of costs / release of provisions) </v>
      </c>
      <c r="B461" s="5">
        <f t="shared" si="123"/>
        <v>0.8</v>
      </c>
      <c r="C461" s="5">
        <f t="shared" si="123"/>
        <v>0</v>
      </c>
      <c r="D461" s="5"/>
      <c r="E461" s="5"/>
      <c r="F461" s="5">
        <f t="shared" si="124"/>
        <v>0.8</v>
      </c>
      <c r="G461" s="5">
        <f t="shared" si="124"/>
        <v>0</v>
      </c>
      <c r="I461" s="4"/>
      <c r="J461" s="5">
        <f t="shared" si="125"/>
        <v>0</v>
      </c>
      <c r="K461" s="5">
        <f t="shared" si="126"/>
        <v>0</v>
      </c>
      <c r="L461" s="4"/>
      <c r="M461" s="4"/>
      <c r="N461" s="4"/>
    </row>
    <row r="462" spans="1:14" ht="13.9">
      <c r="A462" s="31" t="str">
        <f t="shared" si="121"/>
        <v xml:space="preserve">Other net-legal and consultancy fees </v>
      </c>
      <c r="B462" s="5">
        <f t="shared" si="123"/>
        <v>-0.2</v>
      </c>
      <c r="C462" s="5">
        <f t="shared" si="123"/>
        <v>-0.3</v>
      </c>
      <c r="D462" s="5"/>
      <c r="E462" s="5"/>
      <c r="F462" s="5">
        <f t="shared" si="124"/>
        <v>-0.6</v>
      </c>
      <c r="G462" s="5">
        <f t="shared" si="124"/>
        <v>-0.5</v>
      </c>
      <c r="I462" s="4"/>
      <c r="J462" s="5">
        <f t="shared" si="125"/>
        <v>-0.39999999999999997</v>
      </c>
      <c r="K462" s="5">
        <f t="shared" si="126"/>
        <v>-0.2</v>
      </c>
      <c r="L462" s="4"/>
      <c r="M462" s="4"/>
      <c r="N462" s="4"/>
    </row>
    <row r="463" spans="1:14" ht="13.9">
      <c r="A463" s="31" t="str">
        <f t="shared" si="121"/>
        <v xml:space="preserve">Other non-recurring items1 </v>
      </c>
      <c r="B463" s="5">
        <f t="shared" si="123"/>
        <v>-0.6</v>
      </c>
      <c r="C463" s="5">
        <f t="shared" si="123"/>
        <v>-1.1000000000000001</v>
      </c>
      <c r="D463" s="5"/>
      <c r="E463" s="5"/>
      <c r="F463" s="5">
        <f t="shared" si="124"/>
        <v>-0.6</v>
      </c>
      <c r="G463" s="5">
        <f t="shared" si="124"/>
        <v>-0.8</v>
      </c>
      <c r="I463" s="4"/>
      <c r="J463" s="5">
        <f t="shared" si="125"/>
        <v>0</v>
      </c>
      <c r="K463" s="5">
        <f t="shared" si="126"/>
        <v>0.30000000000000004</v>
      </c>
      <c r="L463" s="4"/>
      <c r="M463" s="4"/>
      <c r="N463" s="4"/>
    </row>
    <row r="464" spans="1:14" ht="13.9">
      <c r="A464" s="27" t="str">
        <f t="shared" si="121"/>
        <v>Reported EBITDA</v>
      </c>
      <c r="B464" s="59">
        <f t="shared" si="123"/>
        <v>41.4</v>
      </c>
      <c r="C464" s="59">
        <f t="shared" si="123"/>
        <v>43.9</v>
      </c>
      <c r="D464" s="9"/>
      <c r="E464" s="9"/>
      <c r="F464" s="59">
        <f t="shared" si="124"/>
        <v>62.699999999999989</v>
      </c>
      <c r="G464" s="59">
        <f t="shared" si="124"/>
        <v>64.900000000000006</v>
      </c>
      <c r="I464" s="4"/>
      <c r="J464" s="59">
        <f t="shared" si="125"/>
        <v>21.29999999999999</v>
      </c>
      <c r="K464" s="59">
        <f t="shared" si="126"/>
        <v>21.000000000000007</v>
      </c>
      <c r="L464" s="4"/>
      <c r="M464" s="4"/>
      <c r="N464" s="4"/>
    </row>
    <row r="465" spans="1:14" ht="13.9">
      <c r="A465" s="212"/>
      <c r="B465" s="212"/>
      <c r="C465" s="212"/>
      <c r="D465" s="212"/>
      <c r="E465" s="212"/>
      <c r="F465" s="212"/>
      <c r="G465" s="212"/>
      <c r="H465" s="212"/>
      <c r="I465" s="212"/>
      <c r="J465" s="212"/>
      <c r="K465" s="212"/>
      <c r="L465" s="212"/>
      <c r="M465" s="212"/>
      <c r="N465" s="212"/>
    </row>
    <row r="466" spans="1:14" ht="13.9">
      <c r="A466" s="17" t="s">
        <v>131</v>
      </c>
      <c r="B466" s="212"/>
      <c r="C466" s="212"/>
      <c r="D466" s="212"/>
      <c r="E466" s="212"/>
      <c r="F466" s="212"/>
      <c r="G466" s="212"/>
      <c r="H466" s="212"/>
      <c r="I466" s="212"/>
      <c r="J466" s="212"/>
      <c r="K466" s="212"/>
      <c r="L466" s="212"/>
      <c r="M466" s="212"/>
      <c r="N466" s="212"/>
    </row>
    <row r="467" spans="1:14" ht="13.9">
      <c r="A467" s="17" t="s">
        <v>132</v>
      </c>
      <c r="B467" s="212"/>
      <c r="C467" s="212"/>
      <c r="D467" s="212"/>
      <c r="E467" s="212"/>
      <c r="F467" s="212"/>
      <c r="G467" s="212"/>
      <c r="H467" s="212"/>
      <c r="I467" s="212"/>
      <c r="J467" s="212"/>
      <c r="K467" s="212"/>
      <c r="L467" s="212"/>
      <c r="M467" s="212"/>
      <c r="N467" s="212"/>
    </row>
    <row r="468" spans="1:14" ht="13.9">
      <c r="A468" s="17" t="s">
        <v>133</v>
      </c>
      <c r="B468" s="212"/>
      <c r="C468" s="212"/>
      <c r="D468" s="212"/>
      <c r="E468" s="212"/>
      <c r="F468" s="212"/>
      <c r="G468" s="212"/>
      <c r="H468" s="212"/>
      <c r="I468" s="212"/>
      <c r="J468" s="212"/>
      <c r="K468" s="212"/>
      <c r="L468" s="212"/>
      <c r="M468" s="212"/>
      <c r="N468" s="212"/>
    </row>
    <row r="469" spans="1:14" ht="13.9">
      <c r="A469" s="17" t="s">
        <v>134</v>
      </c>
      <c r="B469" s="212"/>
      <c r="C469" s="212"/>
      <c r="D469" s="212"/>
      <c r="E469" s="212"/>
      <c r="F469" s="212"/>
      <c r="G469" s="212"/>
      <c r="H469" s="212"/>
      <c r="I469" s="212"/>
      <c r="J469" s="212"/>
      <c r="K469" s="212"/>
      <c r="L469" s="212"/>
      <c r="M469" s="212"/>
      <c r="N469" s="212"/>
    </row>
    <row r="470" spans="1:14" ht="13.9">
      <c r="A470" s="212"/>
      <c r="B470" s="212"/>
      <c r="C470" s="212"/>
      <c r="D470" s="212"/>
      <c r="E470" s="212"/>
      <c r="F470" s="212"/>
      <c r="G470" s="212"/>
      <c r="H470" s="212"/>
      <c r="I470" s="212"/>
      <c r="J470" s="212"/>
      <c r="K470" s="212"/>
      <c r="L470" s="212"/>
      <c r="M470" s="212"/>
      <c r="N470" s="212"/>
    </row>
    <row r="471" spans="1:14" ht="13.9">
      <c r="A471" s="212"/>
      <c r="B471" s="212"/>
      <c r="C471" s="212"/>
      <c r="D471" s="212"/>
      <c r="E471" s="212"/>
      <c r="F471" s="212"/>
      <c r="G471" s="212"/>
      <c r="H471" s="212"/>
      <c r="I471" s="212"/>
      <c r="J471" s="212"/>
      <c r="K471" s="212"/>
      <c r="L471" s="212"/>
      <c r="M471" s="212"/>
      <c r="N471" s="212"/>
    </row>
    <row r="472" spans="1:14" ht="13.9">
      <c r="A472" s="212"/>
    </row>
    <row r="473" spans="1:14" ht="13.9">
      <c r="A473" s="212"/>
    </row>
    <row r="474" spans="1:14" ht="13.9">
      <c r="A474" s="212"/>
    </row>
    <row r="475" spans="1:14" ht="13.9">
      <c r="A475" s="212"/>
    </row>
    <row r="476" spans="1:14" ht="13.9">
      <c r="A476" s="212"/>
    </row>
    <row r="477" spans="1:14" ht="13.9">
      <c r="A477" s="212"/>
    </row>
    <row r="478" spans="1:14" ht="13.9">
      <c r="A478" s="212"/>
    </row>
    <row r="479" spans="1:14" ht="13.9">
      <c r="A479" s="212"/>
    </row>
    <row r="480" spans="1:14" ht="13.9">
      <c r="A480" s="212"/>
    </row>
    <row r="481" spans="1:1" ht="13.9">
      <c r="A481" s="212"/>
    </row>
    <row r="482" spans="1:1" ht="13.9">
      <c r="A482" s="212"/>
    </row>
    <row r="483" spans="1:1" ht="13.9">
      <c r="A483" s="212"/>
    </row>
    <row r="484" spans="1:1" ht="13.9">
      <c r="A484" s="212"/>
    </row>
    <row r="485" spans="1:1" ht="13.9">
      <c r="A485" s="212"/>
    </row>
    <row r="486" spans="1:1" ht="13.9">
      <c r="A486" s="212"/>
    </row>
    <row r="487" spans="1:1" ht="13.9">
      <c r="A487" s="212"/>
    </row>
    <row r="488" spans="1:1" ht="13.9">
      <c r="A488" s="212"/>
    </row>
    <row r="489" spans="1:1" ht="13.9">
      <c r="A489" s="212"/>
    </row>
    <row r="490" spans="1:1" ht="13.9">
      <c r="A490" s="212"/>
    </row>
    <row r="491" spans="1:1" ht="13.9">
      <c r="A491" s="212"/>
    </row>
    <row r="492" spans="1:1" ht="13.9">
      <c r="A492" s="212"/>
    </row>
    <row r="493" spans="1:1" ht="13.9">
      <c r="A493" s="21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2:XFD413"/>
  <sheetViews>
    <sheetView zoomScale="60" zoomScaleNormal="60" workbookViewId="0">
      <pane xSplit="2" ySplit="3" topLeftCell="C345" activePane="bottomRight" state="frozen"/>
      <selection pane="topRight" activeCell="C1" sqref="C1"/>
      <selection pane="bottomLeft" activeCell="A4" sqref="A4"/>
      <selection pane="bottomRight" activeCell="O359" sqref="O359"/>
    </sheetView>
  </sheetViews>
  <sheetFormatPr defaultColWidth="9.1328125" defaultRowHeight="15.4" outlineLevelRow="1" outlineLevelCol="1"/>
  <cols>
    <col min="1" max="1" width="2.86328125" style="489" customWidth="1"/>
    <col min="2" max="2" width="53.1328125" style="489" customWidth="1"/>
    <col min="3" max="7" width="11.46484375" style="489" hidden="1" customWidth="1" outlineLevel="1"/>
    <col min="8" max="8" width="11.46484375" style="489" customWidth="1" collapsed="1"/>
    <col min="9" max="20" width="11.46484375" style="489" customWidth="1"/>
    <col min="21" max="21" width="10.86328125" style="489" bestFit="1" customWidth="1"/>
    <col min="22" max="26" width="11.86328125" style="489" bestFit="1" customWidth="1"/>
    <col min="27" max="16384" width="9.1328125" style="489"/>
  </cols>
  <sheetData>
    <row r="2" spans="1:26">
      <c r="H2" s="724" t="s">
        <v>1380</v>
      </c>
      <c r="I2" s="724" t="s">
        <v>1381</v>
      </c>
    </row>
    <row r="3" spans="1:26" s="513" customFormat="1">
      <c r="A3" s="722"/>
      <c r="B3" s="513" t="s">
        <v>1386</v>
      </c>
      <c r="C3" s="513">
        <v>2013</v>
      </c>
      <c r="D3" s="513">
        <v>2014</v>
      </c>
      <c r="E3" s="513">
        <v>2015</v>
      </c>
      <c r="F3" s="513">
        <v>2016</v>
      </c>
      <c r="G3" s="513">
        <v>2017</v>
      </c>
      <c r="H3" s="513">
        <v>2018</v>
      </c>
      <c r="I3" s="513">
        <v>2019</v>
      </c>
      <c r="J3" s="513">
        <f>I3+1</f>
        <v>2020</v>
      </c>
      <c r="K3" s="513">
        <f t="shared" ref="K3:T3" si="0">J3+1</f>
        <v>2021</v>
      </c>
      <c r="L3" s="513">
        <f t="shared" si="0"/>
        <v>2022</v>
      </c>
      <c r="M3" s="513">
        <f t="shared" si="0"/>
        <v>2023</v>
      </c>
      <c r="N3" s="513">
        <f t="shared" si="0"/>
        <v>2024</v>
      </c>
      <c r="O3" s="513">
        <f t="shared" si="0"/>
        <v>2025</v>
      </c>
      <c r="P3" s="513">
        <f t="shared" si="0"/>
        <v>2026</v>
      </c>
      <c r="Q3" s="513">
        <f t="shared" si="0"/>
        <v>2027</v>
      </c>
      <c r="R3" s="513">
        <f t="shared" si="0"/>
        <v>2028</v>
      </c>
      <c r="S3" s="513">
        <f t="shared" si="0"/>
        <v>2029</v>
      </c>
      <c r="T3" s="513">
        <f t="shared" si="0"/>
        <v>2030</v>
      </c>
      <c r="U3" s="513">
        <f t="shared" ref="U3" si="1">T3+1</f>
        <v>2031</v>
      </c>
      <c r="V3" s="513">
        <f t="shared" ref="V3" si="2">U3+1</f>
        <v>2032</v>
      </c>
      <c r="W3" s="513">
        <f t="shared" ref="W3" si="3">V3+1</f>
        <v>2033</v>
      </c>
      <c r="X3" s="513">
        <f t="shared" ref="X3" si="4">W3+1</f>
        <v>2034</v>
      </c>
      <c r="Y3" s="513">
        <f t="shared" ref="Y3" si="5">X3+1</f>
        <v>2035</v>
      </c>
      <c r="Z3" s="513">
        <f t="shared" ref="Z3" si="6">Y3+1</f>
        <v>2036</v>
      </c>
    </row>
    <row r="4" spans="1:26" s="486" customFormat="1"/>
    <row r="5" spans="1:26" s="516" customFormat="1">
      <c r="B5" s="516" t="s">
        <v>0</v>
      </c>
      <c r="C5" s="516">
        <f>C187</f>
        <v>206.22200000000001</v>
      </c>
      <c r="D5" s="516">
        <f t="shared" ref="D5:O5" si="7">D187</f>
        <v>212.99453461000002</v>
      </c>
      <c r="E5" s="516">
        <f t="shared" si="7"/>
        <v>279.16592631999998</v>
      </c>
      <c r="F5" s="516">
        <f t="shared" si="7"/>
        <v>478.20000000000005</v>
      </c>
      <c r="G5" s="516">
        <f t="shared" si="7"/>
        <v>496.9</v>
      </c>
      <c r="H5" s="516">
        <f t="shared" si="7"/>
        <v>494.33764154200037</v>
      </c>
      <c r="I5" s="516">
        <f t="shared" si="7"/>
        <v>499.40475365999998</v>
      </c>
      <c r="J5" s="516">
        <f t="shared" si="7"/>
        <v>480</v>
      </c>
      <c r="K5" s="516">
        <f t="shared" si="7"/>
        <v>462.84366304999998</v>
      </c>
      <c r="L5" s="516">
        <f t="shared" si="7"/>
        <v>446.53620129000001</v>
      </c>
      <c r="M5" s="516">
        <f t="shared" si="7"/>
        <v>452.06121155999995</v>
      </c>
      <c r="N5" s="516">
        <f t="shared" ca="1" si="7"/>
        <v>433.864620545663</v>
      </c>
      <c r="O5" s="516">
        <f t="shared" ca="1" si="7"/>
        <v>434.14953674314319</v>
      </c>
      <c r="P5" s="516">
        <f ca="1">P187</f>
        <v>462.82185958200859</v>
      </c>
      <c r="Q5" s="516">
        <f ca="1">Q187</f>
        <v>489.86188981053959</v>
      </c>
      <c r="R5" s="516">
        <f ca="1">R187</f>
        <v>518.46892095649071</v>
      </c>
      <c r="S5" s="516">
        <f ca="1">S187</f>
        <v>551.96824567876729</v>
      </c>
      <c r="T5" s="516">
        <f ca="1">T187</f>
        <v>585.33632681154836</v>
      </c>
      <c r="U5" s="516">
        <f t="shared" ref="U5:Z5" ca="1" si="8">U187</f>
        <v>620.30673546738274</v>
      </c>
      <c r="V5" s="516">
        <f t="shared" ca="1" si="8"/>
        <v>656.09150612176188</v>
      </c>
      <c r="W5" s="516">
        <f t="shared" ca="1" si="8"/>
        <v>692.69894464381446</v>
      </c>
      <c r="X5" s="516">
        <f t="shared" ca="1" si="8"/>
        <v>730.13758281561479</v>
      </c>
      <c r="Y5" s="516">
        <f t="shared" ca="1" si="8"/>
        <v>768.41620699852081</v>
      </c>
      <c r="Z5" s="516">
        <f t="shared" ca="1" si="8"/>
        <v>807.5438893862264</v>
      </c>
    </row>
    <row r="6" spans="1:26" s="486" customFormat="1">
      <c r="B6" s="486" t="s">
        <v>1185</v>
      </c>
      <c r="D6" s="490">
        <f t="shared" ref="D6:T6" si="9">D5/C5-1</f>
        <v>3.2840989855592584E-2</v>
      </c>
      <c r="E6" s="490">
        <f t="shared" si="9"/>
        <v>0.31067178240588178</v>
      </c>
      <c r="F6" s="490">
        <f t="shared" si="9"/>
        <v>0.71295976662944516</v>
      </c>
      <c r="G6" s="490">
        <f t="shared" si="9"/>
        <v>3.9104976997072161E-2</v>
      </c>
      <c r="H6" s="490">
        <f t="shared" si="9"/>
        <v>-5.1566883839798683E-3</v>
      </c>
      <c r="I6" s="490">
        <f t="shared" si="9"/>
        <v>1.0250306050321401E-2</v>
      </c>
      <c r="J6" s="490">
        <f t="shared" si="9"/>
        <v>-3.8855764823598316E-2</v>
      </c>
      <c r="K6" s="490">
        <f t="shared" si="9"/>
        <v>-3.5742368645833356E-2</v>
      </c>
      <c r="L6" s="490">
        <f t="shared" si="9"/>
        <v>-3.5233196566933023E-2</v>
      </c>
      <c r="M6" s="490">
        <f t="shared" si="9"/>
        <v>1.2373039977584543E-2</v>
      </c>
      <c r="N6" s="490">
        <f t="shared" ca="1" si="9"/>
        <v>-4.0252493576131143E-2</v>
      </c>
      <c r="O6" s="490">
        <f t="shared" ca="1" si="9"/>
        <v>6.5669377955246411E-4</v>
      </c>
      <c r="P6" s="490">
        <f t="shared" ca="1" si="9"/>
        <v>6.6042504741468555E-2</v>
      </c>
      <c r="Q6" s="490">
        <f t="shared" ca="1" si="9"/>
        <v>5.8424272036225355E-2</v>
      </c>
      <c r="R6" s="490">
        <f t="shared" ca="1" si="9"/>
        <v>5.8398156176254545E-2</v>
      </c>
      <c r="S6" s="490">
        <f t="shared" ca="1" si="9"/>
        <v>6.4612020833333172E-2</v>
      </c>
      <c r="T6" s="490">
        <f t="shared" ca="1" si="9"/>
        <v>6.0452899952147865E-2</v>
      </c>
      <c r="U6" s="490">
        <f t="shared" ref="U6" ca="1" si="10">U5/T5-1</f>
        <v>5.9744128382268169E-2</v>
      </c>
      <c r="V6" s="490">
        <f t="shared" ref="V6" ca="1" si="11">V5/U5-1</f>
        <v>5.768883136085301E-2</v>
      </c>
      <c r="W6" s="490">
        <f t="shared" ref="W6" ca="1" si="12">W5/V5-1</f>
        <v>5.5796239061901121E-2</v>
      </c>
      <c r="X6" s="490">
        <f t="shared" ref="X6" ca="1" si="13">X5/W5-1</f>
        <v>5.4047488394906251E-2</v>
      </c>
      <c r="Y6" s="490">
        <f t="shared" ref="Y6" ca="1" si="14">Y5/X5-1</f>
        <v>5.242659066431421E-2</v>
      </c>
      <c r="Z6" s="490">
        <f t="shared" ref="Z6" ca="1" si="15">Z5/Y5-1</f>
        <v>5.0919907767875694E-2</v>
      </c>
    </row>
    <row r="7" spans="1:26" s="486" customFormat="1"/>
    <row r="8" spans="1:26" s="516" customFormat="1">
      <c r="B8" s="516" t="s">
        <v>28</v>
      </c>
      <c r="C8" s="516">
        <f t="shared" ref="C8:T8" si="16">C262</f>
        <v>88.077000000000055</v>
      </c>
      <c r="D8" s="516">
        <f t="shared" si="16"/>
        <v>98.936668599896052</v>
      </c>
      <c r="E8" s="516">
        <f t="shared" si="16"/>
        <v>140.88094095</v>
      </c>
      <c r="F8" s="516">
        <f t="shared" si="16"/>
        <v>250.1</v>
      </c>
      <c r="G8" s="516">
        <f t="shared" si="16"/>
        <v>264.7</v>
      </c>
      <c r="H8" s="516">
        <f t="shared" si="16"/>
        <v>235.99661195000004</v>
      </c>
      <c r="I8" s="516">
        <f t="shared" si="16"/>
        <v>239.45407107999998</v>
      </c>
      <c r="J8" s="516">
        <f t="shared" si="16"/>
        <v>242.18396066</v>
      </c>
      <c r="K8" s="516">
        <f t="shared" si="16"/>
        <v>226.45299999999997</v>
      </c>
      <c r="L8" s="516">
        <f t="shared" si="16"/>
        <v>181.58300000000003</v>
      </c>
      <c r="M8" s="516">
        <f t="shared" ca="1" si="16"/>
        <v>190.85454653151407</v>
      </c>
      <c r="N8" s="516">
        <f t="shared" ca="1" si="16"/>
        <v>184.97974954401991</v>
      </c>
      <c r="O8" s="516">
        <f t="shared" ca="1" si="16"/>
        <v>192.26576222893047</v>
      </c>
      <c r="P8" s="516">
        <f t="shared" ca="1" si="16"/>
        <v>209.68398168306288</v>
      </c>
      <c r="Q8" s="516">
        <f t="shared" ca="1" si="16"/>
        <v>228.62711092244257</v>
      </c>
      <c r="R8" s="516">
        <f t="shared" ca="1" si="16"/>
        <v>249.10503433769716</v>
      </c>
      <c r="S8" s="516">
        <f t="shared" ca="1" si="16"/>
        <v>273.47661400054051</v>
      </c>
      <c r="T8" s="516">
        <f t="shared" ca="1" si="16"/>
        <v>298.79495662173173</v>
      </c>
      <c r="U8" s="516">
        <f t="shared" ref="U8:Z8" ca="1" si="17">U262</f>
        <v>325.85744290204622</v>
      </c>
      <c r="V8" s="516">
        <f t="shared" ca="1" si="17"/>
        <v>352.81269762450358</v>
      </c>
      <c r="W8" s="516">
        <f t="shared" ca="1" si="17"/>
        <v>380.78171492757747</v>
      </c>
      <c r="X8" s="516">
        <f t="shared" ca="1" si="17"/>
        <v>409.78440490838074</v>
      </c>
      <c r="Y8" s="516">
        <f t="shared" ca="1" si="17"/>
        <v>439.84128577463719</v>
      </c>
      <c r="Z8" s="516">
        <f t="shared" ca="1" si="17"/>
        <v>470.97351969960295</v>
      </c>
    </row>
    <row r="9" spans="1:26" s="486" customFormat="1">
      <c r="B9" s="486" t="s">
        <v>1185</v>
      </c>
      <c r="D9" s="490">
        <f t="shared" ref="D9:T9" si="18">D8/C8-1</f>
        <v>0.1232974397390465</v>
      </c>
      <c r="E9" s="490">
        <f t="shared" si="18"/>
        <v>0.42395072467750361</v>
      </c>
      <c r="F9" s="490">
        <f t="shared" si="18"/>
        <v>0.77525787600157292</v>
      </c>
      <c r="G9" s="490">
        <f t="shared" si="18"/>
        <v>5.8376649340263764E-2</v>
      </c>
      <c r="H9" s="490">
        <f t="shared" si="18"/>
        <v>-0.10843743124291627</v>
      </c>
      <c r="I9" s="490">
        <f t="shared" si="18"/>
        <v>1.4650460874974236E-2</v>
      </c>
      <c r="J9" s="490">
        <f t="shared" si="18"/>
        <v>1.1400472615426871E-2</v>
      </c>
      <c r="K9" s="490">
        <f t="shared" si="18"/>
        <v>-6.4954593265094784E-2</v>
      </c>
      <c r="L9" s="490">
        <f t="shared" si="18"/>
        <v>-0.19814266094951249</v>
      </c>
      <c r="M9" s="490">
        <f t="shared" ca="1" si="18"/>
        <v>5.1059551453131791E-2</v>
      </c>
      <c r="N9" s="490">
        <f t="shared" ca="1" si="18"/>
        <v>-3.0781540677230379E-2</v>
      </c>
      <c r="O9" s="490">
        <f t="shared" ca="1" si="18"/>
        <v>3.938816385507482E-2</v>
      </c>
      <c r="P9" s="490">
        <f t="shared" ca="1" si="18"/>
        <v>9.0594494059699437E-2</v>
      </c>
      <c r="Q9" s="490">
        <f t="shared" ca="1" si="18"/>
        <v>9.0341327398161475E-2</v>
      </c>
      <c r="R9" s="490">
        <f t="shared" ca="1" si="18"/>
        <v>8.9569094988919851E-2</v>
      </c>
      <c r="S9" s="490">
        <f t="shared" ca="1" si="18"/>
        <v>9.7836560098597758E-2</v>
      </c>
      <c r="T9" s="490">
        <f t="shared" ca="1" si="18"/>
        <v>9.2579552784506802E-2</v>
      </c>
      <c r="U9" s="490">
        <f t="shared" ref="U9" ca="1" si="19">U8/T8-1</f>
        <v>9.0572098626734876E-2</v>
      </c>
      <c r="V9" s="490">
        <f t="shared" ref="V9" ca="1" si="20">V8/U8-1</f>
        <v>8.2721003646248459E-2</v>
      </c>
      <c r="W9" s="490">
        <f t="shared" ref="W9" ca="1" si="21">W8/V8-1</f>
        <v>7.9274406764240579E-2</v>
      </c>
      <c r="X9" s="490">
        <f t="shared" ref="X9" ca="1" si="22">X8/W8-1</f>
        <v>7.6166183521494402E-2</v>
      </c>
      <c r="Y9" s="490">
        <f t="shared" ref="Y9" ca="1" si="23">Y8/X8-1</f>
        <v>7.334803498189868E-2</v>
      </c>
      <c r="Z9" s="490">
        <f t="shared" ref="Z9" ca="1" si="24">Z8/Y8-1</f>
        <v>7.0780608669184897E-2</v>
      </c>
    </row>
    <row r="10" spans="1:26" s="486" customFormat="1">
      <c r="B10" s="486" t="s">
        <v>1182</v>
      </c>
      <c r="C10" s="490">
        <f>C8/C$5</f>
        <v>0.42709798178661856</v>
      </c>
      <c r="D10" s="490">
        <f t="shared" ref="D10:O10" si="25">D8/D$5</f>
        <v>0.46450332061830762</v>
      </c>
      <c r="E10" s="490">
        <f t="shared" si="25"/>
        <v>0.50464948501097573</v>
      </c>
      <c r="F10" s="490">
        <f t="shared" si="25"/>
        <v>0.52300292764533662</v>
      </c>
      <c r="G10" s="490">
        <f t="shared" si="25"/>
        <v>0.53270275709398274</v>
      </c>
      <c r="H10" s="490">
        <f t="shared" si="25"/>
        <v>0.47739963967512089</v>
      </c>
      <c r="I10" s="490">
        <f t="shared" si="25"/>
        <v>0.47947895835012982</v>
      </c>
      <c r="J10" s="490">
        <f t="shared" si="25"/>
        <v>0.50454991804166671</v>
      </c>
      <c r="K10" s="490">
        <f t="shared" si="25"/>
        <v>0.48926455751331471</v>
      </c>
      <c r="L10" s="490">
        <f t="shared" si="25"/>
        <v>0.40664788090063975</v>
      </c>
      <c r="M10" s="490">
        <f t="shared" ca="1" si="25"/>
        <v>0.4221873977484194</v>
      </c>
      <c r="N10" s="490">
        <f t="shared" ca="1" si="25"/>
        <v>0.42635361535442673</v>
      </c>
      <c r="O10" s="490">
        <f t="shared" ca="1" si="25"/>
        <v>0.44285608058285475</v>
      </c>
      <c r="P10" s="490">
        <f ca="1">P8/P$5</f>
        <v>0.45305548418226438</v>
      </c>
      <c r="Q10" s="490">
        <f ca="1">Q8/Q$5</f>
        <v>0.46671748849633321</v>
      </c>
      <c r="R10" s="490">
        <f ca="1">R8/R$5</f>
        <v>0.48046280937753982</v>
      </c>
      <c r="S10" s="490">
        <f ca="1">S8/S$5</f>
        <v>0.49545715019211006</v>
      </c>
      <c r="T10" s="490">
        <f ca="1">T8/T$5</f>
        <v>0.51046713305721425</v>
      </c>
      <c r="U10" s="490">
        <f t="shared" ref="U10:Z10" ca="1" si="26">U8/U$5</f>
        <v>0.52531662848465166</v>
      </c>
      <c r="V10" s="490">
        <f t="shared" ca="1" si="26"/>
        <v>0.53774922298571293</v>
      </c>
      <c r="W10" s="490">
        <f t="shared" ca="1" si="26"/>
        <v>0.5497073698060494</v>
      </c>
      <c r="X10" s="490">
        <f t="shared" ca="1" si="26"/>
        <v>0.56124272267719388</v>
      </c>
      <c r="Y10" s="490">
        <f t="shared" ca="1" si="26"/>
        <v>0.5723998033470471</v>
      </c>
      <c r="Z10" s="490">
        <f t="shared" ca="1" si="26"/>
        <v>0.58321724167533018</v>
      </c>
    </row>
    <row r="11" spans="1:26" s="486" customFormat="1"/>
    <row r="12" spans="1:26" s="516" customFormat="1">
      <c r="B12" s="516" t="s">
        <v>161</v>
      </c>
      <c r="C12" s="516">
        <f>C273</f>
        <v>51.5</v>
      </c>
      <c r="D12" s="516">
        <f t="shared" ref="D12:O12" si="27">D273</f>
        <v>84.1</v>
      </c>
      <c r="E12" s="516">
        <f t="shared" si="27"/>
        <v>113.2</v>
      </c>
      <c r="F12" s="516">
        <f t="shared" si="27"/>
        <v>152.30000000000001</v>
      </c>
      <c r="G12" s="516">
        <f t="shared" si="27"/>
        <v>155.9</v>
      </c>
      <c r="H12" s="516">
        <f t="shared" si="27"/>
        <v>159.03177321999999</v>
      </c>
      <c r="I12" s="516">
        <f t="shared" si="27"/>
        <v>162.0818753543538</v>
      </c>
      <c r="J12" s="516">
        <f t="shared" si="27"/>
        <v>109.13800000000001</v>
      </c>
      <c r="K12" s="516">
        <f t="shared" si="27"/>
        <v>134.16900000000001</v>
      </c>
      <c r="L12" s="516">
        <f t="shared" si="27"/>
        <v>186</v>
      </c>
      <c r="M12" s="516">
        <f t="shared" si="27"/>
        <v>187</v>
      </c>
      <c r="N12" s="516">
        <f t="shared" ca="1" si="27"/>
        <v>193.26969502103239</v>
      </c>
      <c r="O12" s="516">
        <f t="shared" ca="1" si="27"/>
        <v>187.46621537875632</v>
      </c>
      <c r="P12" s="516">
        <f ca="1">P273</f>
        <v>190.60693133023656</v>
      </c>
      <c r="Q12" s="516">
        <f ca="1">Q273</f>
        <v>202.94415147376913</v>
      </c>
      <c r="R12" s="516">
        <f ca="1">R273</f>
        <v>202.99840863051455</v>
      </c>
      <c r="S12" s="516">
        <f ca="1">S273</f>
        <v>231.88698917188097</v>
      </c>
      <c r="T12" s="516">
        <f ca="1">T273</f>
        <v>230.4678702221118</v>
      </c>
      <c r="U12" s="516">
        <f t="shared" ref="U12:Z12" ca="1" si="28">U273</f>
        <v>267.77608347685418</v>
      </c>
      <c r="V12" s="516">
        <f t="shared" ca="1" si="28"/>
        <v>268.85975693610794</v>
      </c>
      <c r="W12" s="516">
        <f t="shared" ca="1" si="28"/>
        <v>269.94989059987319</v>
      </c>
      <c r="X12" s="516">
        <f t="shared" ca="1" si="28"/>
        <v>271.0464844681498</v>
      </c>
      <c r="Y12" s="516">
        <f t="shared" ca="1" si="28"/>
        <v>272.14953854093795</v>
      </c>
      <c r="Z12" s="516">
        <f t="shared" ca="1" si="28"/>
        <v>137.90305281823746</v>
      </c>
    </row>
    <row r="13" spans="1:26" s="486" customFormat="1">
      <c r="B13" s="486" t="s">
        <v>1224</v>
      </c>
      <c r="C13" s="490">
        <f t="shared" ref="C13:H13" si="29">C12/C$5</f>
        <v>0.24973087255481954</v>
      </c>
      <c r="D13" s="490">
        <f t="shared" si="29"/>
        <v>0.39484581214250336</v>
      </c>
      <c r="E13" s="490">
        <f t="shared" si="29"/>
        <v>0.40549361267765199</v>
      </c>
      <c r="F13" s="490">
        <f t="shared" si="29"/>
        <v>0.31848598912588877</v>
      </c>
      <c r="G13" s="490">
        <f t="shared" si="29"/>
        <v>0.31374522036627089</v>
      </c>
      <c r="H13" s="490">
        <f t="shared" si="29"/>
        <v>0.32170678470676034</v>
      </c>
      <c r="I13" s="490">
        <f>I12/I$5</f>
        <v>0.32455012525711929</v>
      </c>
      <c r="J13" s="490">
        <f t="shared" ref="J13:O13" si="30">J12/J$5</f>
        <v>0.22737083333333336</v>
      </c>
      <c r="K13" s="490">
        <f t="shared" si="30"/>
        <v>0.28987973847555093</v>
      </c>
      <c r="L13" s="490">
        <f t="shared" si="30"/>
        <v>0.41653957610304371</v>
      </c>
      <c r="M13" s="490">
        <f t="shared" si="30"/>
        <v>0.41366079464037442</v>
      </c>
      <c r="N13" s="490">
        <f t="shared" ca="1" si="30"/>
        <v>0.44546083240887652</v>
      </c>
      <c r="O13" s="490">
        <f t="shared" ca="1" si="30"/>
        <v>0.4318010259438958</v>
      </c>
      <c r="P13" s="490">
        <f ca="1">P12/P$5</f>
        <v>0.41183649255975219</v>
      </c>
      <c r="Q13" s="490">
        <f ca="1">Q12/Q$5</f>
        <v>0.41428850803694978</v>
      </c>
      <c r="R13" s="490">
        <f ca="1">R12/R$5</f>
        <v>0.39153438214968711</v>
      </c>
      <c r="S13" s="490">
        <f ca="1">S12/S$5</f>
        <v>0.42010929249512263</v>
      </c>
      <c r="T13" s="490">
        <f ca="1">T12/T$5</f>
        <v>0.39373580566495742</v>
      </c>
      <c r="U13" s="490">
        <f t="shared" ref="U13:Z13" ca="1" si="31">U12/U$5</f>
        <v>0.43168334013831533</v>
      </c>
      <c r="V13" s="490">
        <f t="shared" ca="1" si="31"/>
        <v>0.40979002841443757</v>
      </c>
      <c r="W13" s="490">
        <f t="shared" ca="1" si="31"/>
        <v>0.38970737964482005</v>
      </c>
      <c r="X13" s="490">
        <f t="shared" ca="1" si="31"/>
        <v>0.37122658913532258</v>
      </c>
      <c r="Y13" s="490">
        <f t="shared" ca="1" si="31"/>
        <v>0.35416944106888398</v>
      </c>
      <c r="Z13" s="490">
        <f t="shared" ca="1" si="31"/>
        <v>0.17076849274786865</v>
      </c>
    </row>
    <row r="14" spans="1:26" s="486" customFormat="1"/>
    <row r="15" spans="1:26" s="516" customFormat="1">
      <c r="B15" s="516" t="s">
        <v>351</v>
      </c>
      <c r="C15" s="516">
        <f>C8-C12</f>
        <v>36.577000000000055</v>
      </c>
      <c r="D15" s="516">
        <f t="shared" ref="D15:O15" si="32">D8-D12</f>
        <v>14.836668599896058</v>
      </c>
      <c r="E15" s="516">
        <f t="shared" si="32"/>
        <v>27.680940949999993</v>
      </c>
      <c r="F15" s="516">
        <f t="shared" si="32"/>
        <v>97.799999999999983</v>
      </c>
      <c r="G15" s="516">
        <f t="shared" si="32"/>
        <v>108.79999999999998</v>
      </c>
      <c r="H15" s="516">
        <f t="shared" si="32"/>
        <v>76.964838730000054</v>
      </c>
      <c r="I15" s="516">
        <f t="shared" si="32"/>
        <v>77.372195725646179</v>
      </c>
      <c r="J15" s="516">
        <f t="shared" si="32"/>
        <v>133.04596065999999</v>
      </c>
      <c r="K15" s="516">
        <f t="shared" si="32"/>
        <v>92.283999999999963</v>
      </c>
      <c r="L15" s="516">
        <f t="shared" si="32"/>
        <v>-4.4169999999999732</v>
      </c>
      <c r="M15" s="516">
        <f t="shared" ca="1" si="32"/>
        <v>3.8545465315140746</v>
      </c>
      <c r="N15" s="516">
        <f t="shared" ca="1" si="32"/>
        <v>-8.2899454770124805</v>
      </c>
      <c r="O15" s="516">
        <f t="shared" ca="1" si="32"/>
        <v>4.7995468501741527</v>
      </c>
      <c r="P15" s="516">
        <f ca="1">P8-P12</f>
        <v>19.077050352826319</v>
      </c>
      <c r="Q15" s="516">
        <f ca="1">Q8-Q12</f>
        <v>25.682959448673444</v>
      </c>
      <c r="R15" s="516">
        <f ca="1">R8-R12</f>
        <v>46.106625707182616</v>
      </c>
      <c r="S15" s="516">
        <f ca="1">S8-S12</f>
        <v>41.589624828659538</v>
      </c>
      <c r="T15" s="516">
        <f ca="1">T8-T12</f>
        <v>68.32708639961993</v>
      </c>
      <c r="U15" s="516">
        <f t="shared" ref="U15:Z15" ca="1" si="33">U8-U12</f>
        <v>58.081359425192034</v>
      </c>
      <c r="V15" s="516">
        <f t="shared" ca="1" si="33"/>
        <v>83.952940688395643</v>
      </c>
      <c r="W15" s="516">
        <f t="shared" ca="1" si="33"/>
        <v>110.83182432770428</v>
      </c>
      <c r="X15" s="516">
        <f t="shared" ca="1" si="33"/>
        <v>138.73792044023094</v>
      </c>
      <c r="Y15" s="516">
        <f t="shared" ca="1" si="33"/>
        <v>167.69174723369923</v>
      </c>
      <c r="Z15" s="516">
        <f t="shared" ca="1" si="33"/>
        <v>333.07046688136552</v>
      </c>
    </row>
    <row r="16" spans="1:26" s="486" customFormat="1">
      <c r="B16" s="486" t="s">
        <v>1185</v>
      </c>
      <c r="D16" s="490">
        <f t="shared" ref="D16:T16" si="34">D15/C15-1</f>
        <v>-0.59437163791737879</v>
      </c>
      <c r="E16" s="490">
        <f t="shared" si="34"/>
        <v>0.86571134642677938</v>
      </c>
      <c r="F16" s="490">
        <f t="shared" si="34"/>
        <v>2.5331168899444516</v>
      </c>
      <c r="G16" s="490">
        <f t="shared" si="34"/>
        <v>0.11247443762781195</v>
      </c>
      <c r="H16" s="490">
        <f t="shared" si="34"/>
        <v>-0.29260258520220528</v>
      </c>
      <c r="I16" s="490">
        <f t="shared" si="34"/>
        <v>5.292767481462235E-3</v>
      </c>
      <c r="J16" s="490">
        <f t="shared" si="34"/>
        <v>0.71955777411005939</v>
      </c>
      <c r="K16" s="490">
        <f t="shared" si="34"/>
        <v>-0.30637503354323958</v>
      </c>
      <c r="L16" s="490">
        <f t="shared" si="34"/>
        <v>-1.0478631182003377</v>
      </c>
      <c r="M16" s="490">
        <f t="shared" ca="1" si="34"/>
        <v>-1.8726616553122251</v>
      </c>
      <c r="N16" s="490">
        <f t="shared" ca="1" si="34"/>
        <v>-3.1506928011467465</v>
      </c>
      <c r="O16" s="490">
        <f t="shared" ca="1" si="34"/>
        <v>-1.5789600020269141</v>
      </c>
      <c r="P16" s="490">
        <f t="shared" ca="1" si="34"/>
        <v>2.9747607322833205</v>
      </c>
      <c r="Q16" s="490">
        <f t="shared" ca="1" si="34"/>
        <v>0.34627518267615409</v>
      </c>
      <c r="R16" s="490">
        <f t="shared" ca="1" si="34"/>
        <v>0.79522246255635776</v>
      </c>
      <c r="S16" s="490">
        <f t="shared" ca="1" si="34"/>
        <v>-9.7968584975399953E-2</v>
      </c>
      <c r="T16" s="490">
        <f t="shared" ca="1" si="34"/>
        <v>0.64288777985165968</v>
      </c>
      <c r="U16" s="490">
        <f t="shared" ref="U16" ca="1" si="35">U15/T15-1</f>
        <v>-0.14995117623638188</v>
      </c>
      <c r="V16" s="490">
        <f t="shared" ref="V16" ca="1" si="36">V15/U15-1</f>
        <v>0.44543690986650963</v>
      </c>
      <c r="W16" s="490">
        <f t="shared" ref="W16" ca="1" si="37">W15/V15-1</f>
        <v>0.3201660766008636</v>
      </c>
      <c r="X16" s="490">
        <f t="shared" ref="X16" ca="1" si="38">X15/W15-1</f>
        <v>0.25178775393983166</v>
      </c>
      <c r="Y16" s="490">
        <f t="shared" ref="Y16" ca="1" si="39">Y15/X15-1</f>
        <v>0.20869439805349943</v>
      </c>
      <c r="Z16" s="490">
        <f t="shared" ref="Z16" ca="1" si="40">Z15/Y15-1</f>
        <v>0.98620667013022745</v>
      </c>
    </row>
    <row r="17" spans="2:26" s="486" customFormat="1">
      <c r="B17" s="486" t="s">
        <v>1182</v>
      </c>
      <c r="C17" s="490">
        <f>C15/C$5</f>
        <v>0.17736710923179899</v>
      </c>
      <c r="D17" s="490">
        <f t="shared" ref="D17:O17" si="41">D15/D$5</f>
        <v>6.965750847580425E-2</v>
      </c>
      <c r="E17" s="490">
        <f t="shared" si="41"/>
        <v>9.9155872333323791E-2</v>
      </c>
      <c r="F17" s="490">
        <f t="shared" si="41"/>
        <v>0.20451693851944788</v>
      </c>
      <c r="G17" s="490">
        <f t="shared" si="41"/>
        <v>0.21895753672771179</v>
      </c>
      <c r="H17" s="490">
        <f t="shared" si="41"/>
        <v>0.15569285496836052</v>
      </c>
      <c r="I17" s="490">
        <f t="shared" si="41"/>
        <v>0.15492883309301053</v>
      </c>
      <c r="J17" s="490">
        <f t="shared" si="41"/>
        <v>0.2771790847083333</v>
      </c>
      <c r="K17" s="490">
        <f t="shared" si="41"/>
        <v>0.19938481903776378</v>
      </c>
      <c r="L17" s="490">
        <f t="shared" si="41"/>
        <v>-9.8916952024039398E-3</v>
      </c>
      <c r="M17" s="490">
        <f t="shared" ca="1" si="41"/>
        <v>8.5266031080449799E-3</v>
      </c>
      <c r="N17" s="490">
        <f t="shared" ca="1" si="41"/>
        <v>-1.9107217054449795E-2</v>
      </c>
      <c r="O17" s="490">
        <f t="shared" ca="1" si="41"/>
        <v>1.1055054638958924E-2</v>
      </c>
      <c r="P17" s="490">
        <f ca="1">P15/P$5</f>
        <v>4.1218991622512177E-2</v>
      </c>
      <c r="Q17" s="490">
        <f ca="1">Q15/Q$5</f>
        <v>5.2428980459383483E-2</v>
      </c>
      <c r="R17" s="490">
        <f ca="1">R15/R$5</f>
        <v>8.8928427227852741E-2</v>
      </c>
      <c r="S17" s="490">
        <f ca="1">S15/S$5</f>
        <v>7.5347857696987403E-2</v>
      </c>
      <c r="T17" s="490">
        <f ca="1">T15/T$5</f>
        <v>0.11673132739225689</v>
      </c>
      <c r="U17" s="490">
        <f t="shared" ref="U17:Z17" ca="1" si="42">U15/U$5</f>
        <v>9.3633288346336357E-2</v>
      </c>
      <c r="V17" s="490">
        <f t="shared" ca="1" si="42"/>
        <v>0.12795919457127539</v>
      </c>
      <c r="W17" s="490">
        <f t="shared" ca="1" si="42"/>
        <v>0.15999999016122937</v>
      </c>
      <c r="X17" s="490">
        <f t="shared" ca="1" si="42"/>
        <v>0.19001613354187125</v>
      </c>
      <c r="Y17" s="490">
        <f t="shared" ca="1" si="42"/>
        <v>0.2182303622781632</v>
      </c>
      <c r="Z17" s="490">
        <f t="shared" ca="1" si="42"/>
        <v>0.41244874892746158</v>
      </c>
    </row>
    <row r="18" spans="2:26" s="486" customFormat="1"/>
    <row r="19" spans="2:26" s="486" customFormat="1"/>
    <row r="20" spans="2:26" s="496" customFormat="1">
      <c r="B20" s="522" t="s">
        <v>1208</v>
      </c>
      <c r="C20" s="522"/>
      <c r="D20" s="522"/>
      <c r="E20" s="522"/>
      <c r="F20" s="522"/>
      <c r="G20" s="522"/>
      <c r="H20" s="522"/>
      <c r="I20" s="522"/>
      <c r="J20" s="522"/>
      <c r="K20" s="522"/>
      <c r="L20" s="522"/>
      <c r="M20" s="522"/>
      <c r="N20" s="522"/>
      <c r="O20" s="522"/>
      <c r="P20" s="522"/>
      <c r="Q20" s="522"/>
      <c r="R20" s="522"/>
      <c r="S20" s="522"/>
      <c r="T20" s="522"/>
      <c r="U20" s="522"/>
      <c r="V20" s="522"/>
      <c r="W20" s="522"/>
      <c r="X20" s="522"/>
      <c r="Y20" s="522"/>
      <c r="Z20" s="522"/>
    </row>
    <row r="21" spans="2:26" s="486" customFormat="1"/>
    <row r="22" spans="2:26" s="516" customFormat="1">
      <c r="B22" s="516" t="s">
        <v>1202</v>
      </c>
      <c r="C22" s="742">
        <f>82132753/1000</f>
        <v>82132.752999999997</v>
      </c>
      <c r="D22" s="742">
        <f>80970732/1000</f>
        <v>80970.732000000004</v>
      </c>
      <c r="E22" s="742">
        <f>80930000/1000</f>
        <v>80930</v>
      </c>
      <c r="F22" s="742">
        <f>80858000/1000</f>
        <v>80858</v>
      </c>
      <c r="G22" s="516">
        <f t="shared" ref="G22:T22" si="43">F22*(1+G23)</f>
        <v>80786.064055356488</v>
      </c>
      <c r="H22" s="516">
        <f t="shared" si="43"/>
        <v>80714.192109082112</v>
      </c>
      <c r="I22" s="516">
        <f t="shared" si="43"/>
        <v>80642.384104240235</v>
      </c>
      <c r="J22" s="516">
        <f t="shared" si="43"/>
        <v>80570.639983944857</v>
      </c>
      <c r="K22" s="516">
        <f t="shared" si="43"/>
        <v>80498.959691360607</v>
      </c>
      <c r="L22" s="516">
        <f t="shared" si="43"/>
        <v>80427.343169702654</v>
      </c>
      <c r="M22" s="516">
        <f t="shared" si="43"/>
        <v>80355.790362236716</v>
      </c>
      <c r="N22" s="516">
        <f t="shared" si="43"/>
        <v>80284.301212278966</v>
      </c>
      <c r="O22" s="516">
        <f t="shared" si="43"/>
        <v>80212.875663196013</v>
      </c>
      <c r="P22" s="516">
        <f t="shared" si="43"/>
        <v>80141.51365840483</v>
      </c>
      <c r="Q22" s="516">
        <f t="shared" si="43"/>
        <v>80070.21514137277</v>
      </c>
      <c r="R22" s="516">
        <f t="shared" si="43"/>
        <v>79998.980055617445</v>
      </c>
      <c r="S22" s="516">
        <f t="shared" si="43"/>
        <v>79927.808344706733</v>
      </c>
      <c r="T22" s="516">
        <f t="shared" si="43"/>
        <v>79856.699952258714</v>
      </c>
      <c r="U22" s="516">
        <f t="shared" ref="U22" si="44">T22*(1+U23)</f>
        <v>79785.654821941615</v>
      </c>
      <c r="V22" s="516">
        <f t="shared" ref="V22" si="45">U22*(1+V23)</f>
        <v>79714.672897473807</v>
      </c>
      <c r="W22" s="516">
        <f t="shared" ref="W22" si="46">V22*(1+W23)</f>
        <v>79643.754122623723</v>
      </c>
      <c r="X22" s="516">
        <f t="shared" ref="X22" si="47">W22*(1+X23)</f>
        <v>79572.898441209807</v>
      </c>
      <c r="Y22" s="516">
        <f t="shared" ref="Y22" si="48">X22*(1+Y23)</f>
        <v>79502.105797100492</v>
      </c>
      <c r="Z22" s="516">
        <f t="shared" ref="Z22" si="49">Y22*(1+Z23)</f>
        <v>79431.376134214152</v>
      </c>
    </row>
    <row r="23" spans="2:26" s="486" customFormat="1">
      <c r="B23" s="486" t="s">
        <v>1185</v>
      </c>
      <c r="D23" s="490">
        <f>D22/C22-1</f>
        <v>-1.4148082921316307E-2</v>
      </c>
      <c r="E23" s="490">
        <f>E22/D22-1</f>
        <v>-5.0304596480621466E-4</v>
      </c>
      <c r="F23" s="490">
        <f>F22/E22-1</f>
        <v>-8.8965772890148287E-4</v>
      </c>
      <c r="G23" s="515">
        <f t="shared" ref="G23:T23" si="50">F23</f>
        <v>-8.8965772890148287E-4</v>
      </c>
      <c r="H23" s="515">
        <f t="shared" si="50"/>
        <v>-8.8965772890148287E-4</v>
      </c>
      <c r="I23" s="515">
        <f t="shared" si="50"/>
        <v>-8.8965772890148287E-4</v>
      </c>
      <c r="J23" s="515">
        <f t="shared" si="50"/>
        <v>-8.8965772890148287E-4</v>
      </c>
      <c r="K23" s="515">
        <f t="shared" si="50"/>
        <v>-8.8965772890148287E-4</v>
      </c>
      <c r="L23" s="515">
        <f t="shared" si="50"/>
        <v>-8.8965772890148287E-4</v>
      </c>
      <c r="M23" s="515">
        <f t="shared" si="50"/>
        <v>-8.8965772890148287E-4</v>
      </c>
      <c r="N23" s="515">
        <f t="shared" si="50"/>
        <v>-8.8965772890148287E-4</v>
      </c>
      <c r="O23" s="515">
        <f t="shared" si="50"/>
        <v>-8.8965772890148287E-4</v>
      </c>
      <c r="P23" s="515">
        <f t="shared" si="50"/>
        <v>-8.8965772890148287E-4</v>
      </c>
      <c r="Q23" s="515">
        <f t="shared" si="50"/>
        <v>-8.8965772890148287E-4</v>
      </c>
      <c r="R23" s="515">
        <f t="shared" si="50"/>
        <v>-8.8965772890148287E-4</v>
      </c>
      <c r="S23" s="515">
        <f t="shared" si="50"/>
        <v>-8.8965772890148287E-4</v>
      </c>
      <c r="T23" s="515">
        <f t="shared" si="50"/>
        <v>-8.8965772890148287E-4</v>
      </c>
      <c r="U23" s="515">
        <f t="shared" ref="U23" si="51">T23</f>
        <v>-8.8965772890148287E-4</v>
      </c>
      <c r="V23" s="515">
        <f t="shared" ref="V23" si="52">U23</f>
        <v>-8.8965772890148287E-4</v>
      </c>
      <c r="W23" s="515">
        <f t="shared" ref="W23" si="53">V23</f>
        <v>-8.8965772890148287E-4</v>
      </c>
      <c r="X23" s="515">
        <f t="shared" ref="X23" si="54">W23</f>
        <v>-8.8965772890148287E-4</v>
      </c>
      <c r="Y23" s="515">
        <f t="shared" ref="Y23" si="55">X23</f>
        <v>-8.8965772890148287E-4</v>
      </c>
      <c r="Z23" s="515">
        <f t="shared" ref="Z23" si="56">Y23</f>
        <v>-8.8965772890148287E-4</v>
      </c>
    </row>
    <row r="24" spans="2:26" s="486" customFormat="1"/>
    <row r="25" spans="2:26" s="516" customFormat="1">
      <c r="B25" s="516" t="s">
        <v>1203</v>
      </c>
      <c r="C25" s="742">
        <f>39933000/1000</f>
        <v>39933</v>
      </c>
      <c r="D25" s="742">
        <f>40223000/1000</f>
        <v>40223</v>
      </c>
      <c r="E25" s="742">
        <f>40381375/1000</f>
        <v>40381.375</v>
      </c>
      <c r="F25" s="742">
        <f>40539750/1000</f>
        <v>40539.75</v>
      </c>
      <c r="G25" s="516">
        <f t="shared" ref="G25:N25" si="57">F25*(1+G26)</f>
        <v>40698.746143797725</v>
      </c>
      <c r="H25" s="516">
        <f t="shared" si="57"/>
        <v>40858.365867507571</v>
      </c>
      <c r="I25" s="516">
        <f t="shared" si="57"/>
        <v>41018.611616798335</v>
      </c>
      <c r="J25" s="516">
        <f t="shared" si="57"/>
        <v>41179.485846930671</v>
      </c>
      <c r="K25" s="516">
        <f t="shared" si="57"/>
        <v>41340.991022794726</v>
      </c>
      <c r="L25" s="516">
        <f t="shared" si="57"/>
        <v>41503.129618947904</v>
      </c>
      <c r="M25" s="516">
        <f t="shared" si="57"/>
        <v>41665.904119652761</v>
      </c>
      <c r="N25" s="516">
        <f t="shared" si="57"/>
        <v>41829.317018915106</v>
      </c>
      <c r="O25" s="516">
        <f t="shared" ref="O25:T25" si="58">N25*(1+O26)</f>
        <v>41993.37082052217</v>
      </c>
      <c r="P25" s="516">
        <f t="shared" si="58"/>
        <v>42158.068038081008</v>
      </c>
      <c r="Q25" s="516">
        <f t="shared" si="58"/>
        <v>42323.411195056986</v>
      </c>
      <c r="R25" s="516">
        <f t="shared" si="58"/>
        <v>42489.40282481246</v>
      </c>
      <c r="S25" s="516">
        <f t="shared" si="58"/>
        <v>42656.045470645578</v>
      </c>
      <c r="T25" s="516">
        <f t="shared" si="58"/>
        <v>42823.341685829269</v>
      </c>
      <c r="U25" s="516">
        <f t="shared" ref="U25" si="59">T25*(1+U26)</f>
        <v>42991.294033650338</v>
      </c>
      <c r="V25" s="516">
        <f t="shared" ref="V25" si="60">U25*(1+V26)</f>
        <v>43159.905087448758</v>
      </c>
      <c r="W25" s="516">
        <f t="shared" ref="W25" si="61">V25*(1+W26)</f>
        <v>43329.177430657095</v>
      </c>
      <c r="X25" s="516">
        <f t="shared" ref="X25" si="62">W25*(1+X26)</f>
        <v>43499.113656840083</v>
      </c>
      <c r="Y25" s="516">
        <f t="shared" ref="Y25" si="63">X25*(1+Y26)</f>
        <v>43669.716369734379</v>
      </c>
      <c r="Z25" s="516">
        <f t="shared" ref="Z25" si="64">Y25*(1+Z26)</f>
        <v>43840.988183288435</v>
      </c>
    </row>
    <row r="26" spans="2:26" s="486" customFormat="1">
      <c r="B26" s="486" t="s">
        <v>1185</v>
      </c>
      <c r="D26" s="490">
        <f>D25/C25-1</f>
        <v>7.2621641249093205E-3</v>
      </c>
      <c r="E26" s="490">
        <f>E25/D25-1</f>
        <v>3.9374238619696023E-3</v>
      </c>
      <c r="F26" s="490">
        <f>F25/E25-1</f>
        <v>3.9219813589803643E-3</v>
      </c>
      <c r="G26" s="515">
        <f t="shared" ref="G26:T26" si="65">F26</f>
        <v>3.9219813589803643E-3</v>
      </c>
      <c r="H26" s="515">
        <f t="shared" si="65"/>
        <v>3.9219813589803643E-3</v>
      </c>
      <c r="I26" s="515">
        <f t="shared" si="65"/>
        <v>3.9219813589803643E-3</v>
      </c>
      <c r="J26" s="515">
        <f t="shared" si="65"/>
        <v>3.9219813589803643E-3</v>
      </c>
      <c r="K26" s="515">
        <f t="shared" si="65"/>
        <v>3.9219813589803643E-3</v>
      </c>
      <c r="L26" s="515">
        <f t="shared" si="65"/>
        <v>3.9219813589803643E-3</v>
      </c>
      <c r="M26" s="515">
        <f t="shared" si="65"/>
        <v>3.9219813589803643E-3</v>
      </c>
      <c r="N26" s="515">
        <f t="shared" si="65"/>
        <v>3.9219813589803643E-3</v>
      </c>
      <c r="O26" s="515">
        <f t="shared" si="65"/>
        <v>3.9219813589803643E-3</v>
      </c>
      <c r="P26" s="515">
        <f t="shared" si="65"/>
        <v>3.9219813589803643E-3</v>
      </c>
      <c r="Q26" s="515">
        <f t="shared" si="65"/>
        <v>3.9219813589803643E-3</v>
      </c>
      <c r="R26" s="515">
        <f t="shared" si="65"/>
        <v>3.9219813589803643E-3</v>
      </c>
      <c r="S26" s="515">
        <f t="shared" si="65"/>
        <v>3.9219813589803643E-3</v>
      </c>
      <c r="T26" s="515">
        <f t="shared" si="65"/>
        <v>3.9219813589803643E-3</v>
      </c>
      <c r="U26" s="515">
        <f t="shared" ref="U26" si="66">T26</f>
        <v>3.9219813589803643E-3</v>
      </c>
      <c r="V26" s="515">
        <f t="shared" ref="V26" si="67">U26</f>
        <v>3.9219813589803643E-3</v>
      </c>
      <c r="W26" s="515">
        <f t="shared" ref="W26" si="68">V26</f>
        <v>3.9219813589803643E-3</v>
      </c>
      <c r="X26" s="515">
        <f t="shared" ref="X26" si="69">W26</f>
        <v>3.9219813589803643E-3</v>
      </c>
      <c r="Y26" s="515">
        <f t="shared" ref="Y26" si="70">X26</f>
        <v>3.9219813589803643E-3</v>
      </c>
      <c r="Z26" s="515">
        <f t="shared" ref="Z26" si="71">Y26</f>
        <v>3.9219813589803643E-3</v>
      </c>
    </row>
    <row r="27" spans="2:26" s="486" customFormat="1"/>
    <row r="28" spans="2:26" s="516" customFormat="1">
      <c r="B28" s="516" t="s">
        <v>1204</v>
      </c>
      <c r="C28" s="517">
        <f>C22/C25</f>
        <v>2.0567639045401047</v>
      </c>
      <c r="D28" s="517">
        <f t="shared" ref="D28:O28" si="72">D22/D25</f>
        <v>2.0130455709419985</v>
      </c>
      <c r="E28" s="517">
        <f t="shared" si="72"/>
        <v>2.0041417608984342</v>
      </c>
      <c r="F28" s="517">
        <f t="shared" si="72"/>
        <v>1.9945362267897557</v>
      </c>
      <c r="G28" s="517">
        <f t="shared" si="72"/>
        <v>1.9849767304850461</v>
      </c>
      <c r="H28" s="517">
        <f t="shared" si="72"/>
        <v>1.9754630513324005</v>
      </c>
      <c r="I28" s="517">
        <f t="shared" si="72"/>
        <v>1.9659949697374641</v>
      </c>
      <c r="J28" s="517">
        <f t="shared" si="72"/>
        <v>1.9565722671583627</v>
      </c>
      <c r="K28" s="517">
        <f t="shared" si="72"/>
        <v>1.9471947261006597</v>
      </c>
      <c r="L28" s="517">
        <f t="shared" si="72"/>
        <v>1.9378621301123333</v>
      </c>
      <c r="M28" s="517">
        <f t="shared" si="72"/>
        <v>1.9285742637787837</v>
      </c>
      <c r="N28" s="517">
        <f t="shared" si="72"/>
        <v>1.9193309127178582</v>
      </c>
      <c r="O28" s="517">
        <f t="shared" si="72"/>
        <v>1.9101318635749041</v>
      </c>
      <c r="P28" s="517">
        <f>P22/P25</f>
        <v>1.9009769040178432</v>
      </c>
      <c r="Q28" s="517">
        <f>Q22/Q25</f>
        <v>1.8918658227322729</v>
      </c>
      <c r="R28" s="517">
        <f>R22/R25</f>
        <v>1.8827984094165848</v>
      </c>
      <c r="S28" s="517">
        <f>S22/S25</f>
        <v>1.8737744547771147</v>
      </c>
      <c r="T28" s="517">
        <f>T22/T25</f>
        <v>1.8647937505233088</v>
      </c>
      <c r="U28" s="517">
        <f t="shared" ref="U28:Z28" si="73">U22/U25</f>
        <v>1.8558560893629168</v>
      </c>
      <c r="V28" s="517">
        <f t="shared" si="73"/>
        <v>1.8469612649972083</v>
      </c>
      <c r="W28" s="517">
        <f t="shared" si="73"/>
        <v>1.8381090721162097</v>
      </c>
      <c r="X28" s="517">
        <f t="shared" si="73"/>
        <v>1.8292993063939649</v>
      </c>
      <c r="Y28" s="517">
        <f t="shared" si="73"/>
        <v>1.8205317644838201</v>
      </c>
      <c r="Z28" s="517">
        <f t="shared" si="73"/>
        <v>1.8118062440137304</v>
      </c>
    </row>
    <row r="29" spans="2:26" s="486" customFormat="1">
      <c r="B29" s="486" t="s">
        <v>1185</v>
      </c>
      <c r="D29" s="490">
        <f>D28/C28-1</f>
        <v>-2.1255883332842562E-2</v>
      </c>
      <c r="E29" s="490">
        <f t="shared" ref="E29:T29" si="74">E28/D28-1</f>
        <v>-4.4230543868899463E-3</v>
      </c>
      <c r="F29" s="490">
        <f t="shared" si="74"/>
        <v>-4.792841652265345E-3</v>
      </c>
      <c r="G29" s="490">
        <f t="shared" si="74"/>
        <v>-4.7928416522651229E-3</v>
      </c>
      <c r="H29" s="490">
        <f t="shared" si="74"/>
        <v>-4.7928416522650119E-3</v>
      </c>
      <c r="I29" s="490">
        <f t="shared" si="74"/>
        <v>-4.7928416522650119E-3</v>
      </c>
      <c r="J29" s="490">
        <f t="shared" si="74"/>
        <v>-4.7928416522651229E-3</v>
      </c>
      <c r="K29" s="490">
        <f t="shared" si="74"/>
        <v>-4.7928416522649009E-3</v>
      </c>
      <c r="L29" s="490">
        <f t="shared" si="74"/>
        <v>-4.792841652265234E-3</v>
      </c>
      <c r="M29" s="490">
        <f t="shared" si="74"/>
        <v>-4.7928416522651229E-3</v>
      </c>
      <c r="N29" s="490">
        <f t="shared" si="74"/>
        <v>-4.7928416522651229E-3</v>
      </c>
      <c r="O29" s="490">
        <f t="shared" si="74"/>
        <v>-4.7928416522651229E-3</v>
      </c>
      <c r="P29" s="490">
        <f t="shared" si="74"/>
        <v>-4.792841652265234E-3</v>
      </c>
      <c r="Q29" s="490">
        <f t="shared" si="74"/>
        <v>-4.7928416522649009E-3</v>
      </c>
      <c r="R29" s="490">
        <f t="shared" si="74"/>
        <v>-4.7928416522651229E-3</v>
      </c>
      <c r="S29" s="490">
        <f t="shared" si="74"/>
        <v>-4.7928416522650119E-3</v>
      </c>
      <c r="T29" s="490">
        <f t="shared" si="74"/>
        <v>-4.7928416522650119E-3</v>
      </c>
      <c r="U29" s="490">
        <f t="shared" ref="U29" si="75">U28/T28-1</f>
        <v>-4.792841652265234E-3</v>
      </c>
      <c r="V29" s="490">
        <f t="shared" ref="V29" si="76">V28/U28-1</f>
        <v>-4.7928416522651229E-3</v>
      </c>
      <c r="W29" s="490">
        <f t="shared" ref="W29" si="77">W28/V28-1</f>
        <v>-4.7928416522649009E-3</v>
      </c>
      <c r="X29" s="490">
        <f t="shared" ref="X29" si="78">X28/W28-1</f>
        <v>-4.7928416522650119E-3</v>
      </c>
      <c r="Y29" s="490">
        <f t="shared" ref="Y29" si="79">Y28/X28-1</f>
        <v>-4.7928416522651229E-3</v>
      </c>
      <c r="Z29" s="490">
        <f t="shared" ref="Z29" si="80">Z28/Y28-1</f>
        <v>-4.7928416522651229E-3</v>
      </c>
    </row>
    <row r="30" spans="2:26" s="486" customFormat="1"/>
    <row r="31" spans="2:26" s="486" customFormat="1"/>
    <row r="32" spans="2:26" s="521" customFormat="1">
      <c r="B32" s="520" t="s">
        <v>1205</v>
      </c>
    </row>
    <row r="33" spans="2:26" s="486" customFormat="1">
      <c r="B33" s="516"/>
    </row>
    <row r="34" spans="2:26" s="486" customFormat="1">
      <c r="B34" s="486" t="s">
        <v>171</v>
      </c>
      <c r="C34" s="739">
        <v>1749</v>
      </c>
      <c r="D34" s="739">
        <v>1697.4514740094269</v>
      </c>
      <c r="E34" s="739">
        <v>3604.8150000000001</v>
      </c>
      <c r="F34" s="739">
        <v>3608</v>
      </c>
      <c r="G34" s="739">
        <v>3592</v>
      </c>
      <c r="H34" s="739">
        <f>Interims!AI5</f>
        <v>3336.7130000000002</v>
      </c>
      <c r="I34" s="739">
        <f>Interims!AN5</f>
        <v>3379.4270000000001</v>
      </c>
      <c r="J34" s="739">
        <f>Interims!AS5</f>
        <v>3334.1379999999999</v>
      </c>
      <c r="K34" s="739">
        <f>Interims!AW5</f>
        <v>3269</v>
      </c>
      <c r="L34" s="739">
        <f>Interims!BC5</f>
        <v>3164.877</v>
      </c>
      <c r="M34" s="739">
        <v>3097</v>
      </c>
      <c r="N34" s="725">
        <f t="shared" ref="N34:Z34" si="81">N40+N36</f>
        <v>2966.7550000000001</v>
      </c>
      <c r="O34" s="725">
        <f t="shared" si="81"/>
        <v>2936.7550000000001</v>
      </c>
      <c r="P34" s="725">
        <f t="shared" si="81"/>
        <v>2906.7550000000001</v>
      </c>
      <c r="Q34" s="725">
        <f t="shared" si="81"/>
        <v>2886.7550000000001</v>
      </c>
      <c r="R34" s="725">
        <f t="shared" si="81"/>
        <v>2876.7550000000001</v>
      </c>
      <c r="S34" s="725">
        <f t="shared" si="81"/>
        <v>2876.7550000000001</v>
      </c>
      <c r="T34" s="725">
        <f t="shared" si="81"/>
        <v>2876.7550000000001</v>
      </c>
      <c r="U34" s="725">
        <f t="shared" si="81"/>
        <v>2876.7550000000001</v>
      </c>
      <c r="V34" s="725">
        <f t="shared" si="81"/>
        <v>2876.7550000000001</v>
      </c>
      <c r="W34" s="725">
        <f t="shared" si="81"/>
        <v>2876.7550000000001</v>
      </c>
      <c r="X34" s="725">
        <f t="shared" si="81"/>
        <v>2876.7550000000001</v>
      </c>
      <c r="Y34" s="725">
        <f t="shared" si="81"/>
        <v>2876.7550000000001</v>
      </c>
      <c r="Z34" s="725">
        <f t="shared" si="81"/>
        <v>2876.7550000000001</v>
      </c>
    </row>
    <row r="35" spans="2:26" s="486" customFormat="1">
      <c r="B35" s="912" t="s">
        <v>223</v>
      </c>
      <c r="C35" s="725"/>
      <c r="D35" s="725">
        <f t="shared" ref="D35:L35" si="82">D34-C34</f>
        <v>-51.548525990573125</v>
      </c>
      <c r="E35" s="725">
        <f t="shared" si="82"/>
        <v>1907.3635259905732</v>
      </c>
      <c r="F35" s="725">
        <f t="shared" si="82"/>
        <v>3.1849999999999454</v>
      </c>
      <c r="G35" s="725">
        <f t="shared" si="82"/>
        <v>-16</v>
      </c>
      <c r="H35" s="725">
        <f t="shared" si="82"/>
        <v>-255.28699999999981</v>
      </c>
      <c r="I35" s="725">
        <f t="shared" si="82"/>
        <v>42.713999999999942</v>
      </c>
      <c r="J35" s="725">
        <f t="shared" si="82"/>
        <v>-45.289000000000215</v>
      </c>
      <c r="K35" s="725">
        <f t="shared" si="82"/>
        <v>-65.13799999999992</v>
      </c>
      <c r="L35" s="725">
        <f t="shared" si="82"/>
        <v>-104.12300000000005</v>
      </c>
      <c r="M35" s="725">
        <f>M34-L34</f>
        <v>-67.876999999999953</v>
      </c>
      <c r="N35" s="725">
        <f>N34-M34</f>
        <v>-130.24499999999989</v>
      </c>
      <c r="O35" s="725">
        <f t="shared" ref="O35:Z35" si="83">O34-N34</f>
        <v>-30</v>
      </c>
      <c r="P35" s="725">
        <f t="shared" si="83"/>
        <v>-30</v>
      </c>
      <c r="Q35" s="725">
        <f t="shared" si="83"/>
        <v>-20</v>
      </c>
      <c r="R35" s="725">
        <f t="shared" si="83"/>
        <v>-10</v>
      </c>
      <c r="S35" s="725">
        <f t="shared" si="83"/>
        <v>0</v>
      </c>
      <c r="T35" s="725">
        <f t="shared" si="83"/>
        <v>0</v>
      </c>
      <c r="U35" s="725">
        <f t="shared" si="83"/>
        <v>0</v>
      </c>
      <c r="V35" s="725">
        <f t="shared" si="83"/>
        <v>0</v>
      </c>
      <c r="W35" s="725">
        <f t="shared" si="83"/>
        <v>0</v>
      </c>
      <c r="X35" s="725">
        <f t="shared" si="83"/>
        <v>0</v>
      </c>
      <c r="Y35" s="725">
        <f t="shared" si="83"/>
        <v>0</v>
      </c>
      <c r="Z35" s="725">
        <f t="shared" si="83"/>
        <v>0</v>
      </c>
    </row>
    <row r="36" spans="2:26" s="486" customFormat="1">
      <c r="B36" s="912" t="s">
        <v>1749</v>
      </c>
      <c r="C36" s="725"/>
      <c r="D36" s="725"/>
      <c r="E36" s="739">
        <v>2872</v>
      </c>
      <c r="F36" s="739">
        <v>2883</v>
      </c>
      <c r="G36" s="739">
        <v>2866</v>
      </c>
      <c r="H36" s="739">
        <v>2728</v>
      </c>
      <c r="I36" s="739">
        <f>Interims!AN6</f>
        <v>2736.864</v>
      </c>
      <c r="J36" s="739">
        <f>Interims!AS6</f>
        <v>2741.527</v>
      </c>
      <c r="K36" s="739">
        <f>Interims!AW6</f>
        <v>2695.9059999999999</v>
      </c>
      <c r="L36" s="739">
        <f>Interims!BC6</f>
        <v>2640.4229999999998</v>
      </c>
      <c r="M36" s="739">
        <f>Interims!BG6</f>
        <v>2672.7550000000001</v>
      </c>
      <c r="N36" s="725">
        <f>M36+N37</f>
        <v>2572.7550000000001</v>
      </c>
      <c r="O36" s="725">
        <f t="shared" ref="O36" si="84">N36+O37</f>
        <v>2572.7550000000001</v>
      </c>
      <c r="P36" s="725">
        <f t="shared" ref="P36" si="85">O36+P37</f>
        <v>2572.7550000000001</v>
      </c>
      <c r="Q36" s="725">
        <f t="shared" ref="Q36" si="86">P36+Q37</f>
        <v>2572.7550000000001</v>
      </c>
      <c r="R36" s="725">
        <f t="shared" ref="R36" si="87">Q36+R37</f>
        <v>2572.7550000000001</v>
      </c>
      <c r="S36" s="725">
        <f t="shared" ref="S36" si="88">R36+S37</f>
        <v>2572.7550000000001</v>
      </c>
      <c r="T36" s="725">
        <f t="shared" ref="T36" si="89">S36+T37</f>
        <v>2572.7550000000001</v>
      </c>
      <c r="U36" s="725">
        <f t="shared" ref="U36" si="90">T36+U37</f>
        <v>2572.7550000000001</v>
      </c>
      <c r="V36" s="725">
        <f t="shared" ref="V36" si="91">U36+V37</f>
        <v>2572.7550000000001</v>
      </c>
      <c r="W36" s="725">
        <f t="shared" ref="W36" si="92">V36+W37</f>
        <v>2572.7550000000001</v>
      </c>
      <c r="X36" s="725">
        <f t="shared" ref="X36" si="93">W36+X37</f>
        <v>2572.7550000000001</v>
      </c>
      <c r="Y36" s="725">
        <f t="shared" ref="Y36" si="94">X36+Y37</f>
        <v>2572.7550000000001</v>
      </c>
      <c r="Z36" s="725">
        <f t="shared" ref="Z36" si="95">Y36+Z37</f>
        <v>2572.7550000000001</v>
      </c>
    </row>
    <row r="37" spans="2:26" s="486" customFormat="1">
      <c r="B37" s="912" t="s">
        <v>223</v>
      </c>
      <c r="C37" s="725"/>
      <c r="D37" s="725"/>
      <c r="E37" s="725"/>
      <c r="F37" s="725">
        <f t="shared" ref="F37" si="96">F36-E36</f>
        <v>11</v>
      </c>
      <c r="G37" s="725">
        <f t="shared" ref="G37" si="97">G36-F36</f>
        <v>-17</v>
      </c>
      <c r="H37" s="725">
        <f t="shared" ref="H37" si="98">H36-G36</f>
        <v>-138</v>
      </c>
      <c r="I37" s="725">
        <f t="shared" ref="I37" si="99">I36-H36</f>
        <v>8.8640000000000327</v>
      </c>
      <c r="J37" s="725">
        <f t="shared" ref="J37" si="100">J36-I36</f>
        <v>4.6630000000000109</v>
      </c>
      <c r="K37" s="725">
        <f t="shared" ref="K37" si="101">K36-J36</f>
        <v>-45.621000000000095</v>
      </c>
      <c r="L37" s="725">
        <f t="shared" ref="L37" si="102">L36-K36</f>
        <v>-55.483000000000175</v>
      </c>
      <c r="M37" s="725">
        <f>M36-L36</f>
        <v>32.332000000000335</v>
      </c>
      <c r="N37" s="726">
        <v>-100</v>
      </c>
      <c r="O37" s="726">
        <v>0</v>
      </c>
      <c r="P37" s="726">
        <v>0</v>
      </c>
      <c r="Q37" s="726">
        <v>0</v>
      </c>
      <c r="R37" s="726">
        <v>0</v>
      </c>
      <c r="S37" s="726">
        <v>0</v>
      </c>
      <c r="T37" s="726">
        <v>0</v>
      </c>
      <c r="U37" s="726">
        <v>0</v>
      </c>
      <c r="V37" s="726">
        <v>0</v>
      </c>
      <c r="W37" s="726">
        <v>0</v>
      </c>
      <c r="X37" s="726">
        <v>0</v>
      </c>
      <c r="Y37" s="726">
        <v>0</v>
      </c>
      <c r="Z37" s="726">
        <v>0</v>
      </c>
    </row>
    <row r="38" spans="2:26" s="486" customFormat="1">
      <c r="B38" s="486" t="s">
        <v>1312</v>
      </c>
      <c r="C38" s="739">
        <v>891</v>
      </c>
      <c r="D38" s="739">
        <v>933.16899999999998</v>
      </c>
      <c r="E38" s="739">
        <v>2192.7669999999998</v>
      </c>
      <c r="F38" s="739">
        <v>2282</v>
      </c>
      <c r="G38" s="739">
        <v>2327</v>
      </c>
      <c r="H38" s="739">
        <f>Interims!AI9</f>
        <v>2298.29</v>
      </c>
      <c r="I38" s="739">
        <f>Interims!AN9</f>
        <v>2350.4050000000002</v>
      </c>
      <c r="J38" s="739">
        <f>Interims!AS9</f>
        <v>2367.09</v>
      </c>
      <c r="K38" s="739">
        <f>Interims!AX9</f>
        <v>2337.5970000000002</v>
      </c>
      <c r="L38" s="739">
        <f>Interims!BC9</f>
        <v>2305.1010000000001</v>
      </c>
      <c r="M38" s="739">
        <v>2359</v>
      </c>
      <c r="N38" s="725">
        <f>M38+N39</f>
        <v>2379</v>
      </c>
      <c r="O38" s="725">
        <f t="shared" ref="O38:Z38" si="103">N38+O39</f>
        <v>2389</v>
      </c>
      <c r="P38" s="725">
        <f t="shared" si="103"/>
        <v>2399</v>
      </c>
      <c r="Q38" s="725">
        <f t="shared" si="103"/>
        <v>2409</v>
      </c>
      <c r="R38" s="725">
        <f t="shared" si="103"/>
        <v>2419</v>
      </c>
      <c r="S38" s="725">
        <f t="shared" si="103"/>
        <v>2429</v>
      </c>
      <c r="T38" s="725">
        <f t="shared" si="103"/>
        <v>2439</v>
      </c>
      <c r="U38" s="725">
        <f t="shared" si="103"/>
        <v>2449</v>
      </c>
      <c r="V38" s="725">
        <f t="shared" si="103"/>
        <v>2459</v>
      </c>
      <c r="W38" s="725">
        <f t="shared" si="103"/>
        <v>2469</v>
      </c>
      <c r="X38" s="725">
        <f t="shared" si="103"/>
        <v>2479</v>
      </c>
      <c r="Y38" s="725">
        <f t="shared" si="103"/>
        <v>2489</v>
      </c>
      <c r="Z38" s="725">
        <f t="shared" si="103"/>
        <v>2499</v>
      </c>
    </row>
    <row r="39" spans="2:26" s="486" customFormat="1">
      <c r="B39" s="912" t="s">
        <v>223</v>
      </c>
      <c r="C39" s="739"/>
      <c r="D39" s="725">
        <f t="shared" ref="D39" si="104">D38-C38</f>
        <v>42.168999999999983</v>
      </c>
      <c r="E39" s="725">
        <f t="shared" ref="E39" si="105">E38-D38</f>
        <v>1259.598</v>
      </c>
      <c r="F39" s="725">
        <f t="shared" ref="F39" si="106">F38-E38</f>
        <v>89.233000000000175</v>
      </c>
      <c r="G39" s="725">
        <f t="shared" ref="G39" si="107">G38-F38</f>
        <v>45</v>
      </c>
      <c r="H39" s="725">
        <f t="shared" ref="H39" si="108">H38-G38</f>
        <v>-28.710000000000036</v>
      </c>
      <c r="I39" s="725">
        <f t="shared" ref="I39" si="109">I38-H38</f>
        <v>52.115000000000236</v>
      </c>
      <c r="J39" s="725">
        <f t="shared" ref="J39" si="110">J38-I38</f>
        <v>16.684999999999945</v>
      </c>
      <c r="K39" s="725">
        <f t="shared" ref="K39" si="111">K38-J38</f>
        <v>-29.492999999999938</v>
      </c>
      <c r="L39" s="725">
        <f t="shared" ref="L39" si="112">L38-K38</f>
        <v>-32.496000000000095</v>
      </c>
      <c r="M39" s="725">
        <f>M38-L38</f>
        <v>53.898999999999887</v>
      </c>
      <c r="N39" s="726">
        <v>20</v>
      </c>
      <c r="O39" s="726">
        <v>10</v>
      </c>
      <c r="P39" s="726">
        <v>10</v>
      </c>
      <c r="Q39" s="726">
        <v>10</v>
      </c>
      <c r="R39" s="726">
        <v>10</v>
      </c>
      <c r="S39" s="726">
        <v>10</v>
      </c>
      <c r="T39" s="726">
        <v>10</v>
      </c>
      <c r="U39" s="726">
        <v>10</v>
      </c>
      <c r="V39" s="726">
        <v>10</v>
      </c>
      <c r="W39" s="726">
        <v>10</v>
      </c>
      <c r="X39" s="726">
        <v>10</v>
      </c>
      <c r="Y39" s="726">
        <v>10</v>
      </c>
      <c r="Z39" s="726">
        <v>10</v>
      </c>
    </row>
    <row r="40" spans="2:26" s="486" customFormat="1">
      <c r="B40" s="912" t="s">
        <v>1594</v>
      </c>
      <c r="C40" s="739">
        <v>148</v>
      </c>
      <c r="D40" s="739">
        <v>514</v>
      </c>
      <c r="E40" s="739">
        <v>733</v>
      </c>
      <c r="F40" s="739">
        <v>725</v>
      </c>
      <c r="G40" s="739">
        <v>725</v>
      </c>
      <c r="H40" s="739">
        <v>609</v>
      </c>
      <c r="I40" s="739">
        <f>Interims!AN7</f>
        <v>642.56299999999999</v>
      </c>
      <c r="J40" s="739">
        <f>Interims!AS7</f>
        <v>592.61099999999999</v>
      </c>
      <c r="K40" s="739">
        <f>Interims!AX7</f>
        <v>573.57500000000005</v>
      </c>
      <c r="L40" s="739">
        <f>Interims!BC7</f>
        <v>524.45399999999995</v>
      </c>
      <c r="M40" s="739">
        <v>424</v>
      </c>
      <c r="N40" s="725">
        <f>M40+N41</f>
        <v>394</v>
      </c>
      <c r="O40" s="725">
        <f t="shared" ref="O40:Z40" si="113">N40+O41</f>
        <v>364</v>
      </c>
      <c r="P40" s="725">
        <f t="shared" si="113"/>
        <v>334</v>
      </c>
      <c r="Q40" s="725">
        <f t="shared" si="113"/>
        <v>314</v>
      </c>
      <c r="R40" s="725">
        <f t="shared" si="113"/>
        <v>304</v>
      </c>
      <c r="S40" s="725">
        <f t="shared" si="113"/>
        <v>304</v>
      </c>
      <c r="T40" s="725">
        <f t="shared" si="113"/>
        <v>304</v>
      </c>
      <c r="U40" s="725">
        <f t="shared" si="113"/>
        <v>304</v>
      </c>
      <c r="V40" s="725">
        <f t="shared" si="113"/>
        <v>304</v>
      </c>
      <c r="W40" s="725">
        <f t="shared" si="113"/>
        <v>304</v>
      </c>
      <c r="X40" s="725">
        <f t="shared" si="113"/>
        <v>304</v>
      </c>
      <c r="Y40" s="725">
        <f t="shared" si="113"/>
        <v>304</v>
      </c>
      <c r="Z40" s="725">
        <f t="shared" si="113"/>
        <v>304</v>
      </c>
    </row>
    <row r="41" spans="2:26" s="486" customFormat="1">
      <c r="B41" s="912" t="s">
        <v>223</v>
      </c>
      <c r="C41" s="725"/>
      <c r="D41" s="725">
        <f t="shared" ref="D41" si="114">D40-C40</f>
        <v>366</v>
      </c>
      <c r="E41" s="725">
        <f t="shared" ref="E41" si="115">E40-D40</f>
        <v>219</v>
      </c>
      <c r="F41" s="725">
        <f t="shared" ref="F41" si="116">F40-E40</f>
        <v>-8</v>
      </c>
      <c r="G41" s="725">
        <f t="shared" ref="G41" si="117">G40-F40</f>
        <v>0</v>
      </c>
      <c r="H41" s="725">
        <f t="shared" ref="H41" si="118">H40-G40</f>
        <v>-116</v>
      </c>
      <c r="I41" s="725">
        <f t="shared" ref="I41" si="119">I40-H40</f>
        <v>33.562999999999988</v>
      </c>
      <c r="J41" s="725">
        <f t="shared" ref="J41" si="120">J40-I40</f>
        <v>-49.951999999999998</v>
      </c>
      <c r="K41" s="725">
        <f t="shared" ref="K41" si="121">K40-J40</f>
        <v>-19.035999999999945</v>
      </c>
      <c r="L41" s="725">
        <f t="shared" ref="L41" si="122">L40-K40</f>
        <v>-49.121000000000095</v>
      </c>
      <c r="M41" s="725">
        <f>M40-L40</f>
        <v>-100.45399999999995</v>
      </c>
      <c r="N41" s="726">
        <v>-30</v>
      </c>
      <c r="O41" s="726">
        <v>-30</v>
      </c>
      <c r="P41" s="726">
        <v>-30</v>
      </c>
      <c r="Q41" s="726">
        <v>-20</v>
      </c>
      <c r="R41" s="726">
        <v>-10</v>
      </c>
      <c r="S41" s="726">
        <v>0</v>
      </c>
      <c r="T41" s="726">
        <v>0</v>
      </c>
      <c r="U41" s="726">
        <v>0</v>
      </c>
      <c r="V41" s="726">
        <v>0</v>
      </c>
      <c r="W41" s="726">
        <v>0</v>
      </c>
      <c r="X41" s="726">
        <v>0</v>
      </c>
      <c r="Y41" s="726">
        <v>0</v>
      </c>
      <c r="Z41" s="726">
        <v>0</v>
      </c>
    </row>
    <row r="42" spans="2:26" s="486" customFormat="1">
      <c r="B42" s="912" t="s">
        <v>1748</v>
      </c>
      <c r="D42" s="486">
        <f t="shared" ref="D42:L42" si="123">(D45-D38)</f>
        <v>132.83100000000002</v>
      </c>
      <c r="E42" s="486">
        <f t="shared" si="123"/>
        <v>156.23300000000017</v>
      </c>
      <c r="F42" s="486">
        <f t="shared" si="123"/>
        <v>149</v>
      </c>
      <c r="G42" s="486">
        <f t="shared" si="123"/>
        <v>169</v>
      </c>
      <c r="H42" s="486">
        <f t="shared" si="123"/>
        <v>150.71000000000004</v>
      </c>
      <c r="I42" s="486">
        <f t="shared" si="123"/>
        <v>168.5949999999998</v>
      </c>
      <c r="J42" s="486">
        <f t="shared" si="123"/>
        <v>128.90999999999985</v>
      </c>
      <c r="K42" s="486">
        <f t="shared" si="123"/>
        <v>121.40299999999979</v>
      </c>
      <c r="L42" s="486">
        <f t="shared" si="123"/>
        <v>118.89899999999989</v>
      </c>
      <c r="M42" s="486">
        <f>(M45-M38)</f>
        <v>70</v>
      </c>
      <c r="N42" s="486">
        <f>M42+N43</f>
        <v>65</v>
      </c>
      <c r="O42" s="486">
        <f t="shared" ref="O42:Z42" si="124">N42+O43</f>
        <v>60</v>
      </c>
      <c r="P42" s="486">
        <f t="shared" si="124"/>
        <v>55</v>
      </c>
      <c r="Q42" s="486">
        <f t="shared" si="124"/>
        <v>50</v>
      </c>
      <c r="R42" s="486">
        <f t="shared" si="124"/>
        <v>45</v>
      </c>
      <c r="S42" s="486">
        <f t="shared" si="124"/>
        <v>45</v>
      </c>
      <c r="T42" s="486">
        <f t="shared" si="124"/>
        <v>45</v>
      </c>
      <c r="U42" s="486">
        <f t="shared" si="124"/>
        <v>45</v>
      </c>
      <c r="V42" s="486">
        <f t="shared" si="124"/>
        <v>45</v>
      </c>
      <c r="W42" s="486">
        <f t="shared" si="124"/>
        <v>45</v>
      </c>
      <c r="X42" s="486">
        <f t="shared" si="124"/>
        <v>45</v>
      </c>
      <c r="Y42" s="486">
        <f t="shared" si="124"/>
        <v>45</v>
      </c>
      <c r="Z42" s="486">
        <f t="shared" si="124"/>
        <v>45</v>
      </c>
    </row>
    <row r="43" spans="2:26" s="486" customFormat="1">
      <c r="B43" s="912" t="s">
        <v>223</v>
      </c>
      <c r="E43" s="486">
        <f t="shared" ref="E43:L43" si="125">E42-D42</f>
        <v>23.402000000000157</v>
      </c>
      <c r="F43" s="486">
        <f t="shared" si="125"/>
        <v>-7.2330000000001746</v>
      </c>
      <c r="G43" s="486">
        <f t="shared" si="125"/>
        <v>20</v>
      </c>
      <c r="H43" s="486">
        <f t="shared" si="125"/>
        <v>-18.289999999999964</v>
      </c>
      <c r="I43" s="486">
        <f t="shared" si="125"/>
        <v>17.884999999999764</v>
      </c>
      <c r="J43" s="486">
        <f t="shared" si="125"/>
        <v>-39.684999999999945</v>
      </c>
      <c r="K43" s="486">
        <f t="shared" si="125"/>
        <v>-7.5070000000000618</v>
      </c>
      <c r="L43" s="486">
        <f t="shared" si="125"/>
        <v>-2.5039999999999054</v>
      </c>
      <c r="M43" s="486">
        <f>M42-L42</f>
        <v>-48.898999999999887</v>
      </c>
      <c r="N43" s="726">
        <v>-5</v>
      </c>
      <c r="O43" s="726">
        <v>-5</v>
      </c>
      <c r="P43" s="726">
        <v>-5</v>
      </c>
      <c r="Q43" s="726">
        <v>-5</v>
      </c>
      <c r="R43" s="726">
        <v>-5</v>
      </c>
      <c r="S43" s="726">
        <v>0</v>
      </c>
      <c r="T43" s="726">
        <v>0</v>
      </c>
      <c r="U43" s="726">
        <v>0</v>
      </c>
      <c r="V43" s="726">
        <v>0</v>
      </c>
      <c r="W43" s="726">
        <v>0</v>
      </c>
      <c r="X43" s="726">
        <v>0</v>
      </c>
      <c r="Y43" s="726">
        <v>0</v>
      </c>
      <c r="Z43" s="726">
        <v>0</v>
      </c>
    </row>
    <row r="44" spans="2:26" s="486" customFormat="1">
      <c r="B44" s="912"/>
    </row>
    <row r="45" spans="2:26" s="486" customFormat="1">
      <c r="B45" s="912" t="s">
        <v>1692</v>
      </c>
      <c r="C45" s="739">
        <v>1040</v>
      </c>
      <c r="D45" s="739">
        <v>1066</v>
      </c>
      <c r="E45" s="739">
        <v>2349</v>
      </c>
      <c r="F45" s="739">
        <v>2431</v>
      </c>
      <c r="G45" s="739">
        <v>2496</v>
      </c>
      <c r="H45" s="739">
        <v>2449</v>
      </c>
      <c r="I45" s="739">
        <v>2519</v>
      </c>
      <c r="J45" s="739">
        <v>2496</v>
      </c>
      <c r="K45" s="739">
        <v>2459</v>
      </c>
      <c r="L45" s="739">
        <v>2424</v>
      </c>
      <c r="M45" s="739">
        <v>2429</v>
      </c>
      <c r="N45" s="725">
        <f>N42+N38</f>
        <v>2444</v>
      </c>
      <c r="O45" s="725">
        <f t="shared" ref="O45:Z45" si="126">O42+O38</f>
        <v>2449</v>
      </c>
      <c r="P45" s="725">
        <f t="shared" si="126"/>
        <v>2454</v>
      </c>
      <c r="Q45" s="725">
        <f t="shared" si="126"/>
        <v>2459</v>
      </c>
      <c r="R45" s="725">
        <f t="shared" si="126"/>
        <v>2464</v>
      </c>
      <c r="S45" s="725">
        <f t="shared" si="126"/>
        <v>2474</v>
      </c>
      <c r="T45" s="725">
        <f t="shared" si="126"/>
        <v>2484</v>
      </c>
      <c r="U45" s="725">
        <f t="shared" si="126"/>
        <v>2494</v>
      </c>
      <c r="V45" s="725">
        <f t="shared" si="126"/>
        <v>2504</v>
      </c>
      <c r="W45" s="725">
        <f t="shared" si="126"/>
        <v>2514</v>
      </c>
      <c r="X45" s="725">
        <f t="shared" si="126"/>
        <v>2524</v>
      </c>
      <c r="Y45" s="725">
        <f t="shared" si="126"/>
        <v>2534</v>
      </c>
      <c r="Z45" s="725">
        <f t="shared" si="126"/>
        <v>2544</v>
      </c>
    </row>
    <row r="46" spans="2:26" s="486" customFormat="1"/>
    <row r="47" spans="2:26" s="486" customFormat="1">
      <c r="B47" s="486" t="s">
        <v>1206</v>
      </c>
      <c r="C47" s="490">
        <f t="shared" ref="C47:Z47" si="127">C34/C25</f>
        <v>4.3798362256780105E-2</v>
      </c>
      <c r="D47" s="490">
        <f t="shared" si="127"/>
        <v>4.220101618500427E-2</v>
      </c>
      <c r="E47" s="490">
        <f t="shared" si="127"/>
        <v>8.9269248508749399E-2</v>
      </c>
      <c r="F47" s="490">
        <f t="shared" si="127"/>
        <v>8.8999068815175233E-2</v>
      </c>
      <c r="G47" s="490">
        <f t="shared" si="127"/>
        <v>8.8258247251860406E-2</v>
      </c>
      <c r="H47" s="490">
        <f t="shared" si="127"/>
        <v>8.166535614322025E-2</v>
      </c>
      <c r="I47" s="490">
        <f t="shared" si="127"/>
        <v>8.2387649576516259E-2</v>
      </c>
      <c r="J47" s="490">
        <f t="shared" si="127"/>
        <v>8.0965993902726477E-2</v>
      </c>
      <c r="K47" s="490">
        <f t="shared" si="127"/>
        <v>7.9074059888828707E-2</v>
      </c>
      <c r="L47" s="490">
        <f t="shared" si="127"/>
        <v>7.6256345703508158E-2</v>
      </c>
      <c r="M47" s="490">
        <f t="shared" si="127"/>
        <v>7.4329360311162024E-2</v>
      </c>
      <c r="N47" s="490">
        <f t="shared" si="127"/>
        <v>7.0925255572746773E-2</v>
      </c>
      <c r="O47" s="490">
        <f t="shared" si="127"/>
        <v>6.9933776275106913E-2</v>
      </c>
      <c r="P47" s="490">
        <f t="shared" si="127"/>
        <v>6.8948961261088959E-2</v>
      </c>
      <c r="Q47" s="490">
        <f t="shared" si="127"/>
        <v>6.8207049443527568E-2</v>
      </c>
      <c r="R47" s="490">
        <f t="shared" si="127"/>
        <v>6.7705234923190458E-2</v>
      </c>
      <c r="S47" s="490">
        <f t="shared" si="127"/>
        <v>6.7440733623084767E-2</v>
      </c>
      <c r="T47" s="490">
        <f t="shared" si="127"/>
        <v>6.7177265639499384E-2</v>
      </c>
      <c r="U47" s="490">
        <f t="shared" si="127"/>
        <v>6.6914826935618496E-2</v>
      </c>
      <c r="V47" s="490">
        <f t="shared" si="127"/>
        <v>6.6653413490396746E-2</v>
      </c>
      <c r="W47" s="490">
        <f t="shared" si="127"/>
        <v>6.6393021298497654E-2</v>
      </c>
      <c r="X47" s="490">
        <f t="shared" si="127"/>
        <v>6.6133646370232196E-2</v>
      </c>
      <c r="Y47" s="490">
        <f t="shared" si="127"/>
        <v>6.5875284731497744E-2</v>
      </c>
      <c r="Z47" s="490">
        <f t="shared" si="127"/>
        <v>6.5617932423717093E-2</v>
      </c>
    </row>
    <row r="48" spans="2:26" s="486" customFormat="1"/>
    <row r="49" spans="2:26" s="486" customFormat="1">
      <c r="B49" s="486" t="s">
        <v>1432</v>
      </c>
      <c r="C49" s="518"/>
      <c r="D49" s="518"/>
      <c r="E49" s="518">
        <f t="shared" ref="E49:Z49" si="128">E38/E36</f>
        <v>0.76349825905292468</v>
      </c>
      <c r="F49" s="518">
        <f t="shared" si="128"/>
        <v>0.79153659382587582</v>
      </c>
      <c r="G49" s="518">
        <f t="shared" si="128"/>
        <v>0.8119330076762038</v>
      </c>
      <c r="H49" s="518">
        <f t="shared" si="128"/>
        <v>0.84248167155425213</v>
      </c>
      <c r="I49" s="518">
        <f t="shared" si="128"/>
        <v>0.85879495656342453</v>
      </c>
      <c r="J49" s="518">
        <f t="shared" si="128"/>
        <v>0.86342027636423058</v>
      </c>
      <c r="K49" s="518">
        <f t="shared" si="128"/>
        <v>0.86709143419688972</v>
      </c>
      <c r="L49" s="518">
        <f t="shared" si="128"/>
        <v>0.87300443906146863</v>
      </c>
      <c r="M49" s="518">
        <f t="shared" si="128"/>
        <v>0.882609891291944</v>
      </c>
      <c r="N49" s="518">
        <f t="shared" si="128"/>
        <v>0.9246896809062658</v>
      </c>
      <c r="O49" s="518">
        <f t="shared" si="128"/>
        <v>0.92857656481087392</v>
      </c>
      <c r="P49" s="518">
        <f t="shared" si="128"/>
        <v>0.93246344871548204</v>
      </c>
      <c r="Q49" s="518">
        <f t="shared" si="128"/>
        <v>0.93635033262009004</v>
      </c>
      <c r="R49" s="518">
        <f t="shared" si="128"/>
        <v>0.94023721652469816</v>
      </c>
      <c r="S49" s="518">
        <f t="shared" si="128"/>
        <v>0.94412410042930628</v>
      </c>
      <c r="T49" s="518">
        <f t="shared" si="128"/>
        <v>0.9480109843339144</v>
      </c>
      <c r="U49" s="518">
        <f t="shared" si="128"/>
        <v>0.95189786823852252</v>
      </c>
      <c r="V49" s="518">
        <f t="shared" si="128"/>
        <v>0.95578475214313052</v>
      </c>
      <c r="W49" s="518">
        <f t="shared" si="128"/>
        <v>0.95967163604773864</v>
      </c>
      <c r="X49" s="518">
        <f t="shared" si="128"/>
        <v>0.96355851995234676</v>
      </c>
      <c r="Y49" s="518">
        <f t="shared" si="128"/>
        <v>0.96744540385695488</v>
      </c>
      <c r="Z49" s="518">
        <f t="shared" si="128"/>
        <v>0.971332287761563</v>
      </c>
    </row>
    <row r="50" spans="2:26" s="486" customFormat="1">
      <c r="B50" s="486" t="s">
        <v>1433</v>
      </c>
      <c r="C50" s="518"/>
      <c r="D50" s="518">
        <f t="shared" ref="D50:Z50" si="129">D42/D40</f>
        <v>0.25842607003891055</v>
      </c>
      <c r="E50" s="518">
        <f t="shared" si="129"/>
        <v>0.21314188267394293</v>
      </c>
      <c r="F50" s="518">
        <f t="shared" si="129"/>
        <v>0.20551724137931035</v>
      </c>
      <c r="G50" s="518">
        <f t="shared" si="129"/>
        <v>0.23310344827586207</v>
      </c>
      <c r="H50" s="518">
        <f t="shared" si="129"/>
        <v>0.24747126436781616</v>
      </c>
      <c r="I50" s="518">
        <f t="shared" si="129"/>
        <v>0.26237894183138433</v>
      </c>
      <c r="J50" s="518">
        <f t="shared" si="129"/>
        <v>0.21752886800953722</v>
      </c>
      <c r="K50" s="518">
        <f t="shared" si="129"/>
        <v>0.21166020136860877</v>
      </c>
      <c r="L50" s="518">
        <f t="shared" si="129"/>
        <v>0.22671006418103379</v>
      </c>
      <c r="M50" s="518">
        <f t="shared" si="129"/>
        <v>0.1650943396226415</v>
      </c>
      <c r="N50" s="518">
        <f t="shared" si="129"/>
        <v>0.1649746192893401</v>
      </c>
      <c r="O50" s="518">
        <f t="shared" si="129"/>
        <v>0.16483516483516483</v>
      </c>
      <c r="P50" s="518">
        <f t="shared" si="129"/>
        <v>0.16467065868263472</v>
      </c>
      <c r="Q50" s="518">
        <f t="shared" si="129"/>
        <v>0.15923566878980891</v>
      </c>
      <c r="R50" s="518">
        <f t="shared" si="129"/>
        <v>0.14802631578947367</v>
      </c>
      <c r="S50" s="518">
        <f t="shared" si="129"/>
        <v>0.14802631578947367</v>
      </c>
      <c r="T50" s="518">
        <f t="shared" si="129"/>
        <v>0.14802631578947367</v>
      </c>
      <c r="U50" s="518">
        <f t="shared" si="129"/>
        <v>0.14802631578947367</v>
      </c>
      <c r="V50" s="518">
        <f t="shared" si="129"/>
        <v>0.14802631578947367</v>
      </c>
      <c r="W50" s="518">
        <f t="shared" si="129"/>
        <v>0.14802631578947367</v>
      </c>
      <c r="X50" s="518">
        <f t="shared" si="129"/>
        <v>0.14802631578947367</v>
      </c>
      <c r="Y50" s="518">
        <f t="shared" si="129"/>
        <v>0.14802631578947367</v>
      </c>
      <c r="Z50" s="518">
        <f t="shared" si="129"/>
        <v>0.14802631578947367</v>
      </c>
    </row>
    <row r="51" spans="2:26" s="486" customFormat="1"/>
    <row r="52" spans="2:26" s="486" customFormat="1">
      <c r="B52" s="912" t="s">
        <v>1750</v>
      </c>
      <c r="C52" s="725">
        <f t="shared" ref="C52:Z52" si="130">C38+C40</f>
        <v>1039</v>
      </c>
      <c r="D52" s="725">
        <f t="shared" si="130"/>
        <v>1447.1689999999999</v>
      </c>
      <c r="E52" s="725">
        <f t="shared" si="130"/>
        <v>2925.7669999999998</v>
      </c>
      <c r="F52" s="725">
        <f t="shared" si="130"/>
        <v>3007</v>
      </c>
      <c r="G52" s="725">
        <f t="shared" si="130"/>
        <v>3052</v>
      </c>
      <c r="H52" s="725">
        <f t="shared" si="130"/>
        <v>2907.29</v>
      </c>
      <c r="I52" s="725">
        <f t="shared" si="130"/>
        <v>2992.9680000000003</v>
      </c>
      <c r="J52" s="725">
        <f t="shared" si="130"/>
        <v>2959.701</v>
      </c>
      <c r="K52" s="725">
        <f t="shared" si="130"/>
        <v>2911.1720000000005</v>
      </c>
      <c r="L52" s="725">
        <f t="shared" si="130"/>
        <v>2829.5550000000003</v>
      </c>
      <c r="M52" s="725">
        <f t="shared" si="130"/>
        <v>2783</v>
      </c>
      <c r="N52" s="725">
        <f t="shared" si="130"/>
        <v>2773</v>
      </c>
      <c r="O52" s="725">
        <f t="shared" si="130"/>
        <v>2753</v>
      </c>
      <c r="P52" s="725">
        <f t="shared" si="130"/>
        <v>2733</v>
      </c>
      <c r="Q52" s="725">
        <f t="shared" si="130"/>
        <v>2723</v>
      </c>
      <c r="R52" s="725">
        <f t="shared" si="130"/>
        <v>2723</v>
      </c>
      <c r="S52" s="725">
        <f t="shared" si="130"/>
        <v>2733</v>
      </c>
      <c r="T52" s="725">
        <f t="shared" si="130"/>
        <v>2743</v>
      </c>
      <c r="U52" s="725">
        <f t="shared" si="130"/>
        <v>2753</v>
      </c>
      <c r="V52" s="725">
        <f t="shared" si="130"/>
        <v>2763</v>
      </c>
      <c r="W52" s="725">
        <f t="shared" si="130"/>
        <v>2773</v>
      </c>
      <c r="X52" s="725">
        <f t="shared" si="130"/>
        <v>2783</v>
      </c>
      <c r="Y52" s="725">
        <f t="shared" si="130"/>
        <v>2793</v>
      </c>
      <c r="Z52" s="725">
        <f t="shared" si="130"/>
        <v>2803</v>
      </c>
    </row>
    <row r="53" spans="2:26" s="486" customFormat="1">
      <c r="C53" s="725"/>
      <c r="D53" s="725"/>
      <c r="E53" s="725"/>
      <c r="F53" s="725"/>
      <c r="G53" s="725"/>
      <c r="H53" s="725"/>
      <c r="I53" s="727"/>
      <c r="J53" s="727"/>
      <c r="K53" s="727"/>
      <c r="L53" s="725"/>
      <c r="M53" s="725"/>
      <c r="N53" s="725"/>
      <c r="O53" s="725"/>
      <c r="P53" s="725"/>
      <c r="Q53" s="725"/>
      <c r="R53" s="725"/>
      <c r="S53" s="725"/>
      <c r="T53" s="725"/>
      <c r="U53" s="725"/>
      <c r="V53" s="725"/>
      <c r="W53" s="725"/>
      <c r="X53" s="725"/>
      <c r="Y53" s="725"/>
      <c r="Z53" s="725"/>
    </row>
    <row r="54" spans="2:26" s="516" customFormat="1">
      <c r="B54" s="516" t="s">
        <v>34</v>
      </c>
      <c r="C54" s="742">
        <v>1302</v>
      </c>
      <c r="D54" s="742">
        <v>1282.3218599999998</v>
      </c>
      <c r="E54" s="742">
        <v>2435.3780000000002</v>
      </c>
      <c r="F54" s="742">
        <v>2416</v>
      </c>
      <c r="G54" s="742">
        <v>2373</v>
      </c>
      <c r="H54" s="742">
        <f>Interims!AI15</f>
        <v>2292.0929999999998</v>
      </c>
      <c r="I54" s="742">
        <f>Interims!AN15</f>
        <v>2268.3629999999998</v>
      </c>
      <c r="J54" s="742">
        <f>Interims!AS15</f>
        <v>2225.9465</v>
      </c>
      <c r="K54" s="742">
        <f>Interims!AX15</f>
        <v>2141.6855</v>
      </c>
      <c r="L54" s="742">
        <f>Interims!BC15</f>
        <v>2034.6155000000001</v>
      </c>
      <c r="M54" s="742">
        <v>1948</v>
      </c>
      <c r="N54" s="516">
        <f t="shared" ref="N54:Z54" si="131">N55*N34</f>
        <v>1364.7073</v>
      </c>
      <c r="O54" s="516">
        <f t="shared" si="131"/>
        <v>1439.0099500000001</v>
      </c>
      <c r="P54" s="516">
        <f t="shared" si="131"/>
        <v>1453.3775000000001</v>
      </c>
      <c r="Q54" s="516">
        <f t="shared" si="131"/>
        <v>1472.24505</v>
      </c>
      <c r="R54" s="516">
        <f t="shared" si="131"/>
        <v>1495.9126000000001</v>
      </c>
      <c r="S54" s="516">
        <f t="shared" si="131"/>
        <v>1553.4477000000002</v>
      </c>
      <c r="T54" s="516">
        <f t="shared" si="131"/>
        <v>1610.9828000000002</v>
      </c>
      <c r="U54" s="516">
        <f t="shared" si="131"/>
        <v>1668.5179000000003</v>
      </c>
      <c r="V54" s="516">
        <f t="shared" si="131"/>
        <v>1726.0530000000003</v>
      </c>
      <c r="W54" s="516">
        <f t="shared" si="131"/>
        <v>1783.5881000000004</v>
      </c>
      <c r="X54" s="516">
        <f t="shared" si="131"/>
        <v>1841.1232000000005</v>
      </c>
      <c r="Y54" s="516">
        <f t="shared" si="131"/>
        <v>1898.6583000000005</v>
      </c>
      <c r="Z54" s="516">
        <f t="shared" si="131"/>
        <v>1956.1934000000006</v>
      </c>
    </row>
    <row r="55" spans="2:26">
      <c r="B55" s="489" t="s">
        <v>1209</v>
      </c>
      <c r="C55" s="490">
        <f t="shared" ref="C55:M55" si="132">C54/C34</f>
        <v>0.74442538593481988</v>
      </c>
      <c r="D55" s="490">
        <f t="shared" si="132"/>
        <v>0.75543948067694711</v>
      </c>
      <c r="E55" s="490">
        <f t="shared" si="132"/>
        <v>0.67559028688018663</v>
      </c>
      <c r="F55" s="490">
        <f t="shared" si="132"/>
        <v>0.66962305986696236</v>
      </c>
      <c r="G55" s="490">
        <f t="shared" si="132"/>
        <v>0.66063474387527843</v>
      </c>
      <c r="H55" s="490">
        <f t="shared" si="132"/>
        <v>0.68693142023302567</v>
      </c>
      <c r="I55" s="490">
        <f t="shared" si="132"/>
        <v>0.67122710447658718</v>
      </c>
      <c r="J55" s="490">
        <f t="shared" si="132"/>
        <v>0.66762278585949353</v>
      </c>
      <c r="K55" s="490">
        <f t="shared" si="132"/>
        <v>0.65515004588559189</v>
      </c>
      <c r="L55" s="490">
        <f t="shared" si="132"/>
        <v>0.64287348291892554</v>
      </c>
      <c r="M55" s="490">
        <f t="shared" si="132"/>
        <v>0.62899580238940911</v>
      </c>
      <c r="N55" s="515">
        <v>0.46</v>
      </c>
      <c r="O55" s="515">
        <v>0.49</v>
      </c>
      <c r="P55" s="515">
        <f>O55+1%</f>
        <v>0.5</v>
      </c>
      <c r="Q55" s="515">
        <f t="shared" ref="Q55:R55" si="133">P55+1%</f>
        <v>0.51</v>
      </c>
      <c r="R55" s="515">
        <f t="shared" si="133"/>
        <v>0.52</v>
      </c>
      <c r="S55" s="515">
        <f>R55+2%</f>
        <v>0.54</v>
      </c>
      <c r="T55" s="515">
        <f t="shared" ref="T55:Z55" si="134">S55+2%</f>
        <v>0.56000000000000005</v>
      </c>
      <c r="U55" s="515">
        <f t="shared" si="134"/>
        <v>0.58000000000000007</v>
      </c>
      <c r="V55" s="515">
        <f t="shared" si="134"/>
        <v>0.60000000000000009</v>
      </c>
      <c r="W55" s="515">
        <f t="shared" si="134"/>
        <v>0.62000000000000011</v>
      </c>
      <c r="X55" s="515">
        <f t="shared" si="134"/>
        <v>0.64000000000000012</v>
      </c>
      <c r="Y55" s="515">
        <f t="shared" si="134"/>
        <v>0.66000000000000014</v>
      </c>
      <c r="Z55" s="515">
        <f t="shared" si="134"/>
        <v>0.68000000000000016</v>
      </c>
    </row>
    <row r="56" spans="2:26">
      <c r="B56" s="618" t="s">
        <v>222</v>
      </c>
      <c r="C56" s="486"/>
      <c r="D56" s="486"/>
      <c r="E56" s="486"/>
      <c r="F56" s="486"/>
      <c r="G56" s="486"/>
      <c r="H56" s="486"/>
      <c r="I56" s="486"/>
      <c r="J56" s="486">
        <f t="shared" ref="J56:P56" si="135">J54-I54</f>
        <v>-42.416499999999814</v>
      </c>
      <c r="K56" s="486">
        <f t="shared" si="135"/>
        <v>-84.260999999999967</v>
      </c>
      <c r="L56" s="486">
        <f t="shared" si="135"/>
        <v>-107.06999999999994</v>
      </c>
      <c r="M56" s="486">
        <f t="shared" si="135"/>
        <v>-86.615500000000111</v>
      </c>
      <c r="N56" s="486">
        <f t="shared" si="135"/>
        <v>-583.29269999999997</v>
      </c>
      <c r="O56" s="486">
        <f t="shared" si="135"/>
        <v>74.302650000000085</v>
      </c>
      <c r="P56" s="486">
        <f t="shared" si="135"/>
        <v>14.367549999999937</v>
      </c>
      <c r="Q56" s="486">
        <f>Q54-P54</f>
        <v>18.867549999999937</v>
      </c>
      <c r="R56" s="486">
        <f>R54-Q54</f>
        <v>23.667550000000119</v>
      </c>
      <c r="S56" s="486">
        <f>S54-R54</f>
        <v>57.535100000000057</v>
      </c>
      <c r="T56" s="486">
        <f>T54-S54</f>
        <v>57.535100000000057</v>
      </c>
      <c r="U56" s="486">
        <f t="shared" ref="U56:Z56" si="136">U54-T54</f>
        <v>57.535100000000057</v>
      </c>
      <c r="V56" s="486">
        <f t="shared" si="136"/>
        <v>57.535100000000057</v>
      </c>
      <c r="W56" s="486">
        <f t="shared" si="136"/>
        <v>57.535100000000057</v>
      </c>
      <c r="X56" s="486">
        <f t="shared" si="136"/>
        <v>57.535100000000057</v>
      </c>
      <c r="Y56" s="486">
        <f t="shared" si="136"/>
        <v>57.535100000000057</v>
      </c>
      <c r="Z56" s="486">
        <f t="shared" si="136"/>
        <v>57.535100000000057</v>
      </c>
    </row>
    <row r="57" spans="2:26">
      <c r="B57" s="618" t="s">
        <v>1660</v>
      </c>
      <c r="C57" s="486"/>
      <c r="D57" s="486"/>
      <c r="E57" s="486"/>
      <c r="F57" s="486"/>
      <c r="G57" s="486"/>
      <c r="H57" s="486"/>
      <c r="I57" s="486"/>
      <c r="J57" s="486"/>
      <c r="K57" s="486">
        <f t="shared" ref="K57:T57" si="137">K67-J67</f>
        <v>-103.23599999999988</v>
      </c>
      <c r="L57" s="486">
        <f t="shared" ca="1" si="137"/>
        <v>-132</v>
      </c>
      <c r="M57" s="486">
        <f t="shared" ca="1" si="137"/>
        <v>-112</v>
      </c>
      <c r="N57" s="486">
        <f t="shared" si="137"/>
        <v>-618.13177499999983</v>
      </c>
      <c r="O57" s="486">
        <f t="shared" si="137"/>
        <v>32.20132499999977</v>
      </c>
      <c r="P57" s="486">
        <f t="shared" si="137"/>
        <v>-41.367549999999937</v>
      </c>
      <c r="Q57" s="486">
        <f t="shared" si="137"/>
        <v>-36.867550000000165</v>
      </c>
      <c r="R57" s="486">
        <f t="shared" si="137"/>
        <v>-32.667549999999892</v>
      </c>
      <c r="S57" s="486">
        <f t="shared" si="137"/>
        <v>-28.767550000000028</v>
      </c>
      <c r="T57" s="486">
        <f t="shared" si="137"/>
        <v>-28.767550000000028</v>
      </c>
      <c r="U57" s="486">
        <f t="shared" ref="U57" si="138">U67-T67</f>
        <v>-28.767550000000028</v>
      </c>
      <c r="V57" s="486">
        <f t="shared" ref="V57" si="139">V67-U67</f>
        <v>-28.767550000000028</v>
      </c>
      <c r="W57" s="486">
        <f t="shared" ref="W57" si="140">W67-V67</f>
        <v>-28.767550000000028</v>
      </c>
      <c r="X57" s="486">
        <f t="shared" ref="X57" si="141">X67-W67</f>
        <v>-28.767550000000028</v>
      </c>
      <c r="Y57" s="486">
        <f t="shared" ref="Y57" si="142">Y67-X67</f>
        <v>-28.767550000000028</v>
      </c>
      <c r="Z57" s="486">
        <f t="shared" ref="Z57" si="143">Z67-Y67</f>
        <v>-28.767550000000028</v>
      </c>
    </row>
    <row r="58" spans="2:26">
      <c r="B58" s="618" t="s">
        <v>1751</v>
      </c>
      <c r="C58" s="486"/>
      <c r="D58" s="486"/>
      <c r="E58" s="486"/>
      <c r="F58" s="486"/>
      <c r="G58" s="486"/>
      <c r="H58" s="486"/>
      <c r="I58" s="486"/>
      <c r="J58" s="486"/>
      <c r="K58" s="486">
        <f t="shared" ref="K58:M58" si="144">K56-K57</f>
        <v>18.974999999999909</v>
      </c>
      <c r="L58" s="486">
        <f t="shared" ca="1" si="144"/>
        <v>24.930000000000064</v>
      </c>
      <c r="M58" s="486">
        <f t="shared" ca="1" si="144"/>
        <v>25.384499999999889</v>
      </c>
      <c r="N58" s="486">
        <f>N56-N57</f>
        <v>34.839074999999866</v>
      </c>
      <c r="O58" s="486">
        <f t="shared" ref="O58:Z58" si="145">O56-O57</f>
        <v>42.101325000000315</v>
      </c>
      <c r="P58" s="486">
        <f t="shared" si="145"/>
        <v>55.735099999999875</v>
      </c>
      <c r="Q58" s="486">
        <f t="shared" si="145"/>
        <v>55.735100000000102</v>
      </c>
      <c r="R58" s="486">
        <f t="shared" si="145"/>
        <v>56.335100000000011</v>
      </c>
      <c r="S58" s="486">
        <f t="shared" si="145"/>
        <v>86.302650000000085</v>
      </c>
      <c r="T58" s="486">
        <f t="shared" si="145"/>
        <v>86.302650000000085</v>
      </c>
      <c r="U58" s="486">
        <f t="shared" si="145"/>
        <v>86.302650000000085</v>
      </c>
      <c r="V58" s="486">
        <f t="shared" si="145"/>
        <v>86.302650000000085</v>
      </c>
      <c r="W58" s="486">
        <f t="shared" si="145"/>
        <v>86.302650000000085</v>
      </c>
      <c r="X58" s="486">
        <f t="shared" si="145"/>
        <v>86.302650000000085</v>
      </c>
      <c r="Y58" s="486">
        <f t="shared" si="145"/>
        <v>86.302650000000085</v>
      </c>
      <c r="Z58" s="486">
        <f t="shared" si="145"/>
        <v>86.302650000000085</v>
      </c>
    </row>
    <row r="59" spans="2:26">
      <c r="B59" s="618" t="s">
        <v>2186</v>
      </c>
      <c r="C59" s="486"/>
      <c r="D59" s="486"/>
      <c r="E59" s="486"/>
      <c r="F59" s="486"/>
      <c r="G59" s="486"/>
      <c r="H59" s="486"/>
      <c r="I59" s="486"/>
      <c r="J59" s="486"/>
      <c r="K59" s="486"/>
      <c r="L59" s="486">
        <f>L54-L71</f>
        <v>2022.6155000000001</v>
      </c>
      <c r="M59" s="486">
        <f ca="1">M54-M71</f>
        <v>1923.9615384615386</v>
      </c>
      <c r="N59" s="486">
        <f ca="1">N54-N71</f>
        <v>1332.4706793980502</v>
      </c>
      <c r="O59" s="486">
        <f t="shared" ref="O59:Z59" ca="1" si="146">O54-O71</f>
        <v>1387.1153788649037</v>
      </c>
      <c r="P59" s="486">
        <f t="shared" ca="1" si="146"/>
        <v>1376.8369783317573</v>
      </c>
      <c r="Q59" s="486">
        <f t="shared" ca="1" si="146"/>
        <v>1358.663577798611</v>
      </c>
      <c r="R59" s="486">
        <f t="shared" ca="1" si="146"/>
        <v>1332.8201772654647</v>
      </c>
      <c r="S59" s="486">
        <f t="shared" ca="1" si="146"/>
        <v>1315.473376199172</v>
      </c>
      <c r="T59" s="486">
        <f t="shared" ca="1" si="146"/>
        <v>1297.5265751328793</v>
      </c>
      <c r="U59" s="486">
        <f t="shared" ca="1" si="146"/>
        <v>1278.9797740665865</v>
      </c>
      <c r="V59" s="486">
        <f t="shared" ca="1" si="146"/>
        <v>1259.8329730002938</v>
      </c>
      <c r="W59" s="486">
        <f t="shared" ca="1" si="146"/>
        <v>1240.086171934001</v>
      </c>
      <c r="X59" s="486">
        <f t="shared" ca="1" si="146"/>
        <v>1219.7393708677084</v>
      </c>
      <c r="Y59" s="486">
        <f t="shared" ca="1" si="146"/>
        <v>1198.7925698014155</v>
      </c>
      <c r="Z59" s="486">
        <f t="shared" ca="1" si="146"/>
        <v>1177.245768735123</v>
      </c>
    </row>
    <row r="60" spans="2:26">
      <c r="C60" s="514"/>
      <c r="D60" s="514"/>
      <c r="E60" s="514"/>
      <c r="F60" s="514"/>
      <c r="G60" s="514"/>
      <c r="H60" s="514"/>
      <c r="I60" s="514"/>
      <c r="J60" s="514"/>
      <c r="K60" s="514"/>
      <c r="L60" s="514"/>
      <c r="M60" s="514"/>
      <c r="N60" s="514"/>
      <c r="O60" s="514"/>
      <c r="P60" s="514"/>
      <c r="Q60" s="514"/>
      <c r="R60" s="514"/>
      <c r="S60" s="514"/>
      <c r="T60" s="514"/>
      <c r="U60" s="514"/>
      <c r="V60" s="514"/>
      <c r="W60" s="514"/>
      <c r="X60" s="514"/>
      <c r="Y60" s="514"/>
      <c r="Z60" s="514"/>
    </row>
    <row r="61" spans="2:26">
      <c r="B61" s="618" t="s">
        <v>1796</v>
      </c>
      <c r="C61" s="514"/>
      <c r="D61" s="514"/>
      <c r="E61" s="514"/>
      <c r="F61" s="514"/>
      <c r="G61" s="514"/>
      <c r="H61" s="514"/>
      <c r="I61" s="514"/>
      <c r="J61" s="514"/>
      <c r="K61" s="629">
        <f t="shared" ref="K61:M61" si="147">K54-K67</f>
        <v>107.68550000000005</v>
      </c>
      <c r="L61" s="629">
        <f t="shared" ca="1" si="147"/>
        <v>132.61550000000011</v>
      </c>
      <c r="M61" s="629">
        <f t="shared" si="147"/>
        <v>158</v>
      </c>
      <c r="N61" s="629">
        <f>N54-N67</f>
        <v>192.83907499999987</v>
      </c>
      <c r="O61" s="629">
        <f t="shared" ref="O61:Z61" si="148">O54-O67</f>
        <v>234.94040000000018</v>
      </c>
      <c r="P61" s="629">
        <f t="shared" si="148"/>
        <v>290.67550000000006</v>
      </c>
      <c r="Q61" s="629">
        <f t="shared" si="148"/>
        <v>346.41060000000016</v>
      </c>
      <c r="R61" s="629">
        <f t="shared" si="148"/>
        <v>402.74570000000017</v>
      </c>
      <c r="S61" s="629">
        <f t="shared" si="148"/>
        <v>489.04835000000026</v>
      </c>
      <c r="T61" s="629">
        <f t="shared" si="148"/>
        <v>575.35100000000034</v>
      </c>
      <c r="U61" s="629">
        <f t="shared" si="148"/>
        <v>661.65365000000043</v>
      </c>
      <c r="V61" s="629">
        <f t="shared" si="148"/>
        <v>747.95630000000051</v>
      </c>
      <c r="W61" s="629">
        <f t="shared" si="148"/>
        <v>834.2589500000006</v>
      </c>
      <c r="X61" s="629">
        <f t="shared" si="148"/>
        <v>920.56160000000068</v>
      </c>
      <c r="Y61" s="629">
        <f t="shared" si="148"/>
        <v>1006.8642500000008</v>
      </c>
      <c r="Z61" s="629">
        <f t="shared" si="148"/>
        <v>1093.1669000000009</v>
      </c>
    </row>
    <row r="62" spans="2:26">
      <c r="B62" s="618" t="s">
        <v>1798</v>
      </c>
      <c r="C62" s="514"/>
      <c r="D62" s="514"/>
      <c r="E62" s="514"/>
      <c r="F62" s="514"/>
      <c r="G62" s="514"/>
      <c r="H62" s="514"/>
      <c r="I62" s="514"/>
      <c r="J62" s="514"/>
      <c r="K62" s="629">
        <f>K54-K72</f>
        <v>1512.6855</v>
      </c>
      <c r="L62" s="629">
        <f t="shared" ref="L62:Z62" ca="1" si="149">L54-L72</f>
        <v>1375.6155000000001</v>
      </c>
      <c r="M62" s="629">
        <f t="shared" si="149"/>
        <v>1230</v>
      </c>
      <c r="N62" s="629">
        <f t="shared" ca="1" si="149"/>
        <v>613.50416816447648</v>
      </c>
      <c r="O62" s="629">
        <f t="shared" ca="1" si="149"/>
        <v>610.35098688003393</v>
      </c>
      <c r="P62" s="629">
        <f t="shared" ca="1" si="149"/>
        <v>544.49870559559133</v>
      </c>
      <c r="Q62" s="629">
        <f t="shared" ca="1" si="149"/>
        <v>475.44942431114862</v>
      </c>
      <c r="R62" s="629">
        <f t="shared" ca="1" si="149"/>
        <v>410.85014302670606</v>
      </c>
      <c r="S62" s="629">
        <f t="shared" ca="1" si="149"/>
        <v>365.02158045782107</v>
      </c>
      <c r="T62" s="629">
        <f t="shared" ca="1" si="149"/>
        <v>330.81301788893597</v>
      </c>
      <c r="U62" s="629">
        <f t="shared" ca="1" si="149"/>
        <v>295.90445532005106</v>
      </c>
      <c r="V62" s="629">
        <f t="shared" ca="1" si="149"/>
        <v>260.29589275116587</v>
      </c>
      <c r="W62" s="629">
        <f t="shared" ca="1" si="149"/>
        <v>223.98733018228086</v>
      </c>
      <c r="X62" s="629">
        <f t="shared" ca="1" si="149"/>
        <v>186.9787676133958</v>
      </c>
      <c r="Y62" s="629">
        <f t="shared" ca="1" si="149"/>
        <v>149.27020504451048</v>
      </c>
      <c r="Z62" s="629">
        <f t="shared" ca="1" si="149"/>
        <v>110.86164247562556</v>
      </c>
    </row>
    <row r="63" spans="2:26">
      <c r="B63" s="618" t="s">
        <v>1797</v>
      </c>
      <c r="C63" s="514"/>
      <c r="D63" s="514"/>
      <c r="E63" s="514"/>
      <c r="F63" s="514"/>
      <c r="G63" s="514"/>
      <c r="H63" s="514"/>
      <c r="I63" s="514"/>
      <c r="J63" s="514"/>
      <c r="K63" s="1186">
        <f>K72/K54</f>
        <v>0.293693915376464</v>
      </c>
      <c r="L63" s="1186">
        <f t="shared" ref="L63:Z63" ca="1" si="150">L72/L54</f>
        <v>0.32389412151829178</v>
      </c>
      <c r="M63" s="1186">
        <f t="shared" si="150"/>
        <v>0.36858316221765913</v>
      </c>
      <c r="N63" s="1186">
        <f t="shared" ca="1" si="150"/>
        <v>0.55044999893788471</v>
      </c>
      <c r="O63" s="1186">
        <f t="shared" ca="1" si="150"/>
        <v>0.57585353257631477</v>
      </c>
      <c r="P63" s="1186">
        <f t="shared" ca="1" si="150"/>
        <v>0.62535631272976822</v>
      </c>
      <c r="Q63" s="1186">
        <f t="shared" ca="1" si="150"/>
        <v>0.67705822864804432</v>
      </c>
      <c r="R63" s="1186">
        <f t="shared" ca="1" si="150"/>
        <v>0.72535150581210028</v>
      </c>
      <c r="S63" s="1186">
        <f t="shared" ca="1" si="150"/>
        <v>0.76502486665124225</v>
      </c>
      <c r="T63" s="1186">
        <f t="shared" ca="1" si="150"/>
        <v>0.79465142775643793</v>
      </c>
      <c r="U63" s="1186">
        <f t="shared" ca="1" si="150"/>
        <v>0.82265431175772763</v>
      </c>
      <c r="V63" s="1186">
        <f t="shared" ca="1" si="150"/>
        <v>0.84919588636550225</v>
      </c>
      <c r="W63" s="1186">
        <f t="shared" ca="1" si="150"/>
        <v>0.87441756861784359</v>
      </c>
      <c r="X63" s="1186">
        <f t="shared" ca="1" si="150"/>
        <v>0.89844309842307357</v>
      </c>
      <c r="Y63" s="1186">
        <f t="shared" ca="1" si="150"/>
        <v>0.9213812169127481</v>
      </c>
      <c r="Z63" s="1186">
        <f t="shared" ca="1" si="150"/>
        <v>0.94332787214412162</v>
      </c>
    </row>
    <row r="64" spans="2:26">
      <c r="C64" s="514"/>
      <c r="D64" s="514"/>
      <c r="E64" s="514"/>
      <c r="F64" s="514"/>
      <c r="G64" s="514"/>
      <c r="H64" s="514"/>
      <c r="I64" s="514"/>
      <c r="J64" s="514"/>
      <c r="K64" s="514"/>
      <c r="L64" s="514"/>
      <c r="M64" s="514"/>
      <c r="N64" s="514"/>
      <c r="O64" s="514"/>
      <c r="P64" s="514"/>
      <c r="Q64" s="514"/>
      <c r="R64" s="514"/>
      <c r="S64" s="514"/>
      <c r="T64" s="514"/>
      <c r="U64" s="514"/>
      <c r="V64" s="514"/>
      <c r="W64" s="514"/>
      <c r="X64" s="514"/>
      <c r="Y64" s="514"/>
      <c r="Z64" s="514"/>
    </row>
    <row r="65" spans="2:36" s="496" customFormat="1">
      <c r="B65" s="520" t="s">
        <v>1207</v>
      </c>
      <c r="T65" s="521"/>
      <c r="U65" s="521"/>
      <c r="V65" s="521"/>
      <c r="W65" s="521"/>
      <c r="X65" s="521"/>
      <c r="Y65" s="521"/>
      <c r="Z65" s="521"/>
    </row>
    <row r="66" spans="2:36">
      <c r="B66" s="516"/>
      <c r="L66" s="909"/>
      <c r="O66" s="486"/>
      <c r="P66" s="486"/>
      <c r="Q66" s="486"/>
      <c r="AD66" s="489" t="s">
        <v>1588</v>
      </c>
      <c r="AF66" s="618" t="s">
        <v>1639</v>
      </c>
      <c r="AG66" s="618" t="s">
        <v>1640</v>
      </c>
    </row>
    <row r="67" spans="2:36">
      <c r="B67" s="58" t="s">
        <v>999</v>
      </c>
      <c r="C67" s="742">
        <v>1338</v>
      </c>
      <c r="D67" s="742">
        <v>1310.5260000000001</v>
      </c>
      <c r="E67" s="742">
        <v>2458.1689997225999</v>
      </c>
      <c r="F67" s="742">
        <v>2434</v>
      </c>
      <c r="G67" s="742">
        <v>2367</v>
      </c>
      <c r="H67" s="742">
        <f>Interims!AI19</f>
        <v>2261.88</v>
      </c>
      <c r="I67" s="742">
        <f>Interims!AN19</f>
        <v>2218.0740000000001</v>
      </c>
      <c r="J67" s="742">
        <f>Interims!AS19</f>
        <v>2137.2359999999999</v>
      </c>
      <c r="K67" s="742">
        <f>Interims!AX19</f>
        <v>2034</v>
      </c>
      <c r="L67" s="742">
        <f ca="1">Interims!BC19</f>
        <v>1902</v>
      </c>
      <c r="M67" s="742">
        <v>1790</v>
      </c>
      <c r="N67" s="516">
        <f t="shared" ref="N67:Z67" si="151">N95*N34</f>
        <v>1171.8682250000002</v>
      </c>
      <c r="O67" s="516">
        <f>O95*O34</f>
        <v>1204.0695499999999</v>
      </c>
      <c r="P67" s="516">
        <f t="shared" si="151"/>
        <v>1162.702</v>
      </c>
      <c r="Q67" s="516">
        <f t="shared" si="151"/>
        <v>1125.8344499999998</v>
      </c>
      <c r="R67" s="516">
        <f t="shared" si="151"/>
        <v>1093.1668999999999</v>
      </c>
      <c r="S67" s="516">
        <f t="shared" si="151"/>
        <v>1064.3993499999999</v>
      </c>
      <c r="T67" s="516">
        <f t="shared" si="151"/>
        <v>1035.6317999999999</v>
      </c>
      <c r="U67" s="516">
        <f t="shared" si="151"/>
        <v>1006.8642499999999</v>
      </c>
      <c r="V67" s="516">
        <f t="shared" si="151"/>
        <v>978.09669999999983</v>
      </c>
      <c r="W67" s="516">
        <f t="shared" si="151"/>
        <v>949.3291499999998</v>
      </c>
      <c r="X67" s="516">
        <f t="shared" si="151"/>
        <v>920.56159999999977</v>
      </c>
      <c r="Y67" s="516">
        <f t="shared" si="151"/>
        <v>891.79404999999974</v>
      </c>
      <c r="Z67" s="516">
        <f t="shared" si="151"/>
        <v>863.02649999999971</v>
      </c>
      <c r="AD67" s="995">
        <f>P67/K67-1</f>
        <v>-0.42836676499508353</v>
      </c>
      <c r="AF67" s="531">
        <f>M67*0.42</f>
        <v>751.8</v>
      </c>
      <c r="AG67" s="909">
        <f>(M67-P67)/AF67</f>
        <v>0.83439478584729987</v>
      </c>
      <c r="AJ67" s="528">
        <f ca="1">(R67/L67)^(1/6)-1</f>
        <v>-8.8172554464046038E-2</v>
      </c>
    </row>
    <row r="68" spans="2:36">
      <c r="B68" s="489" t="s">
        <v>627</v>
      </c>
      <c r="C68" s="738">
        <v>164</v>
      </c>
      <c r="D68" s="738">
        <v>160.58839878661843</v>
      </c>
      <c r="E68" s="738">
        <v>426.47508522002079</v>
      </c>
      <c r="F68" s="738">
        <v>429</v>
      </c>
      <c r="G68" s="738">
        <v>430</v>
      </c>
      <c r="H68" s="738">
        <f>Interims!AI20</f>
        <v>558.178</v>
      </c>
      <c r="I68" s="738">
        <f>Interims!AN20</f>
        <v>543.31299999999999</v>
      </c>
      <c r="J68" s="738">
        <f>Interims!AS20</f>
        <v>540.64800029999992</v>
      </c>
      <c r="K68" s="738">
        <f>Interims!AX20</f>
        <v>539</v>
      </c>
      <c r="L68" s="738">
        <f ca="1">Interims!BC20</f>
        <v>496</v>
      </c>
      <c r="M68" s="738">
        <v>506</v>
      </c>
      <c r="N68" s="486">
        <f>N100*N67</f>
        <v>512.90511780796101</v>
      </c>
      <c r="O68" s="486">
        <f t="shared" ref="O68:Z68" si="152">O100*O67</f>
        <v>551.08043510474863</v>
      </c>
      <c r="P68" s="486">
        <f t="shared" si="152"/>
        <v>555.40131011173185</v>
      </c>
      <c r="Q68" s="486">
        <f t="shared" si="152"/>
        <v>560.30705015782121</v>
      </c>
      <c r="R68" s="486">
        <f t="shared" si="152"/>
        <v>565.91235077374301</v>
      </c>
      <c r="S68" s="486">
        <f t="shared" si="152"/>
        <v>572.30790749022356</v>
      </c>
      <c r="T68" s="486">
        <f t="shared" si="152"/>
        <v>577.55276220670396</v>
      </c>
      <c r="U68" s="486">
        <f t="shared" si="152"/>
        <v>581.64691492318445</v>
      </c>
      <c r="V68" s="486">
        <f t="shared" si="152"/>
        <v>584.59036563966481</v>
      </c>
      <c r="W68" s="486">
        <f t="shared" si="152"/>
        <v>586.38311435614526</v>
      </c>
      <c r="X68" s="486">
        <f t="shared" si="152"/>
        <v>587.02516107262568</v>
      </c>
      <c r="Y68" s="486">
        <f t="shared" si="152"/>
        <v>586.51650578910619</v>
      </c>
      <c r="Z68" s="486">
        <f t="shared" si="152"/>
        <v>584.85714850558657</v>
      </c>
      <c r="AF68" s="489">
        <f>AF67*0.5</f>
        <v>375.9</v>
      </c>
    </row>
    <row r="69" spans="2:36">
      <c r="T69" s="486"/>
    </row>
    <row r="70" spans="2:36">
      <c r="B70" s="618" t="s">
        <v>1766</v>
      </c>
      <c r="C70" s="738">
        <v>174</v>
      </c>
      <c r="D70" s="738">
        <v>202.00899999999999</v>
      </c>
      <c r="E70" s="738">
        <v>462.16800000000001</v>
      </c>
      <c r="F70" s="738">
        <v>520</v>
      </c>
      <c r="G70" s="738">
        <v>578</v>
      </c>
      <c r="H70" s="738">
        <v>573.98599999999999</v>
      </c>
      <c r="I70" s="738">
        <v>584.0044633898998</v>
      </c>
      <c r="J70" s="738">
        <v>601.65100010000003</v>
      </c>
      <c r="K70" s="738">
        <v>629</v>
      </c>
      <c r="L70" s="738">
        <f>659-L71</f>
        <v>647</v>
      </c>
      <c r="M70" s="738">
        <f ca="1">718-M71</f>
        <v>693.96153846153845</v>
      </c>
      <c r="N70" s="486">
        <f ca="1">N110*N45</f>
        <v>718.96651123357356</v>
      </c>
      <c r="O70" s="486">
        <f t="shared" ref="O70:Z70" ca="1" si="153">O110*O45</f>
        <v>776.7643919848698</v>
      </c>
      <c r="P70" s="486">
        <f t="shared" ca="1" si="153"/>
        <v>832.338272736166</v>
      </c>
      <c r="Q70" s="486">
        <f t="shared" ca="1" si="153"/>
        <v>883.21415348746223</v>
      </c>
      <c r="R70" s="486">
        <f t="shared" ca="1" si="153"/>
        <v>921.97003423875844</v>
      </c>
      <c r="S70" s="486">
        <f t="shared" ca="1" si="153"/>
        <v>950.45179574135091</v>
      </c>
      <c r="T70" s="486">
        <f t="shared" ca="1" si="153"/>
        <v>966.71355724394323</v>
      </c>
      <c r="U70" s="486">
        <f t="shared" ca="1" si="153"/>
        <v>983.07531874653557</v>
      </c>
      <c r="V70" s="486">
        <f t="shared" ca="1" si="153"/>
        <v>999.53708024912794</v>
      </c>
      <c r="W70" s="486">
        <f t="shared" ca="1" si="153"/>
        <v>1016.0988417517203</v>
      </c>
      <c r="X70" s="486">
        <f t="shared" ca="1" si="153"/>
        <v>1032.7606032543126</v>
      </c>
      <c r="Y70" s="486">
        <f t="shared" ca="1" si="153"/>
        <v>1049.5223647569051</v>
      </c>
      <c r="Z70" s="486">
        <f t="shared" ca="1" si="153"/>
        <v>1066.3841262594974</v>
      </c>
    </row>
    <row r="71" spans="2:36">
      <c r="B71" s="618" t="s">
        <v>1767</v>
      </c>
      <c r="C71" s="738">
        <v>0</v>
      </c>
      <c r="D71" s="738">
        <v>0</v>
      </c>
      <c r="E71" s="738">
        <v>0</v>
      </c>
      <c r="F71" s="738">
        <v>0</v>
      </c>
      <c r="G71" s="738">
        <v>0</v>
      </c>
      <c r="H71" s="738">
        <v>0</v>
      </c>
      <c r="I71" s="738">
        <v>0</v>
      </c>
      <c r="J71" s="738">
        <v>0</v>
      </c>
      <c r="K71" s="738">
        <v>0</v>
      </c>
      <c r="L71" s="738">
        <v>12</v>
      </c>
      <c r="M71" s="738">
        <f ca="1">M168*0.04</f>
        <v>24.03846153846154</v>
      </c>
      <c r="N71" s="486">
        <f ca="1">N115*N45</f>
        <v>32.23662060194998</v>
      </c>
      <c r="O71" s="486">
        <f t="shared" ref="O71:Z71" ca="1" si="154">O115*O45</f>
        <v>51.894571135096363</v>
      </c>
      <c r="P71" s="486">
        <f t="shared" ca="1" si="154"/>
        <v>76.540521668242747</v>
      </c>
      <c r="Q71" s="486">
        <f t="shared" ca="1" si="154"/>
        <v>113.58147220138912</v>
      </c>
      <c r="R71" s="486">
        <f t="shared" ca="1" si="154"/>
        <v>163.09242273453549</v>
      </c>
      <c r="S71" s="486">
        <f t="shared" ca="1" si="154"/>
        <v>237.97432380082824</v>
      </c>
      <c r="T71" s="486">
        <f t="shared" ca="1" si="154"/>
        <v>313.45622486712102</v>
      </c>
      <c r="U71" s="486">
        <f t="shared" ca="1" si="154"/>
        <v>389.53812593341377</v>
      </c>
      <c r="V71" s="486">
        <f t="shared" ca="1" si="154"/>
        <v>466.22002699970653</v>
      </c>
      <c r="W71" s="486">
        <f t="shared" ca="1" si="154"/>
        <v>543.50192806599932</v>
      </c>
      <c r="X71" s="486">
        <f t="shared" ca="1" si="154"/>
        <v>621.38382913229202</v>
      </c>
      <c r="Y71" s="486">
        <f t="shared" ca="1" si="154"/>
        <v>699.86573019858486</v>
      </c>
      <c r="Z71" s="486">
        <f t="shared" ca="1" si="154"/>
        <v>778.94763126487771</v>
      </c>
    </row>
    <row r="72" spans="2:36">
      <c r="B72" s="58" t="s">
        <v>628</v>
      </c>
      <c r="C72" s="516">
        <v>174</v>
      </c>
      <c r="D72" s="516">
        <v>202.00899999999999</v>
      </c>
      <c r="E72" s="516">
        <v>462.16800000000001</v>
      </c>
      <c r="F72" s="516">
        <v>520</v>
      </c>
      <c r="G72" s="516">
        <v>578</v>
      </c>
      <c r="H72" s="516">
        <f>Interims!AI21</f>
        <v>573.98599999999999</v>
      </c>
      <c r="I72" s="516">
        <f>Interims!AN21</f>
        <v>584.0044633898998</v>
      </c>
      <c r="J72" s="516">
        <f>Interims!AS21</f>
        <v>601.65100010000003</v>
      </c>
      <c r="K72" s="516">
        <f>Interims!AX21</f>
        <v>629</v>
      </c>
      <c r="L72" s="516">
        <f ca="1">Interims!BC21</f>
        <v>659</v>
      </c>
      <c r="M72" s="516">
        <v>718</v>
      </c>
      <c r="N72" s="516">
        <f ca="1">N70+N71</f>
        <v>751.20313183552355</v>
      </c>
      <c r="O72" s="516">
        <f t="shared" ref="O72:Z72" ca="1" si="155">O70+O71</f>
        <v>828.65896311996619</v>
      </c>
      <c r="P72" s="516">
        <f t="shared" ca="1" si="155"/>
        <v>908.87879440440872</v>
      </c>
      <c r="Q72" s="516">
        <f t="shared" ca="1" si="155"/>
        <v>996.79562568885137</v>
      </c>
      <c r="R72" s="516">
        <f t="shared" ca="1" si="155"/>
        <v>1085.062456973294</v>
      </c>
      <c r="S72" s="516">
        <f t="shared" ca="1" si="155"/>
        <v>1188.4261195421791</v>
      </c>
      <c r="T72" s="516">
        <f t="shared" ca="1" si="155"/>
        <v>1280.1697821110643</v>
      </c>
      <c r="U72" s="516">
        <f t="shared" ca="1" si="155"/>
        <v>1372.6134446799492</v>
      </c>
      <c r="V72" s="516">
        <f t="shared" ca="1" si="155"/>
        <v>1465.7571072488345</v>
      </c>
      <c r="W72" s="516">
        <f t="shared" ca="1" si="155"/>
        <v>1559.6007698177195</v>
      </c>
      <c r="X72" s="516">
        <f t="shared" ca="1" si="155"/>
        <v>1654.1444323866046</v>
      </c>
      <c r="Y72" s="516">
        <f t="shared" ca="1" si="155"/>
        <v>1749.38809495549</v>
      </c>
      <c r="Z72" s="516">
        <f t="shared" ca="1" si="155"/>
        <v>1845.331757524375</v>
      </c>
      <c r="AF72" s="486">
        <f>M67-AF68</f>
        <v>1414.1</v>
      </c>
    </row>
    <row r="73" spans="2:36">
      <c r="B73" s="489" t="s">
        <v>620</v>
      </c>
      <c r="C73" s="738">
        <v>146</v>
      </c>
      <c r="D73" s="738">
        <v>169.953</v>
      </c>
      <c r="E73" s="738">
        <v>427.01799999999997</v>
      </c>
      <c r="F73" s="738">
        <v>495</v>
      </c>
      <c r="G73" s="738">
        <v>555</v>
      </c>
      <c r="H73" s="738">
        <f>Interims!AI23</f>
        <v>439.07600000000002</v>
      </c>
      <c r="I73" s="738">
        <f>Interims!AN23</f>
        <v>432.35300000000001</v>
      </c>
      <c r="J73" s="738">
        <f>Interims!AS23</f>
        <v>439.33199999999999</v>
      </c>
      <c r="K73" s="738">
        <f>Interims!AX23</f>
        <v>454</v>
      </c>
      <c r="L73" s="738">
        <f ca="1">Interims!BC23</f>
        <v>475</v>
      </c>
      <c r="M73" s="738">
        <v>532</v>
      </c>
      <c r="N73" s="486">
        <f>N107*N$38</f>
        <v>607.88038575667656</v>
      </c>
      <c r="O73" s="486">
        <f t="shared" ref="O73:Z73" si="156">O107*O$38</f>
        <v>658.21557863501482</v>
      </c>
      <c r="P73" s="486">
        <f t="shared" si="156"/>
        <v>708.95077151335317</v>
      </c>
      <c r="Q73" s="486">
        <f t="shared" si="156"/>
        <v>735.99596439169147</v>
      </c>
      <c r="R73" s="486">
        <f t="shared" si="156"/>
        <v>763.24115727002982</v>
      </c>
      <c r="S73" s="486">
        <f t="shared" si="156"/>
        <v>790.68635014836809</v>
      </c>
      <c r="T73" s="486">
        <f t="shared" si="156"/>
        <v>818.33154302670641</v>
      </c>
      <c r="U73" s="486">
        <f t="shared" si="156"/>
        <v>846.17673590504467</v>
      </c>
      <c r="V73" s="486">
        <f t="shared" si="156"/>
        <v>874.22192878338296</v>
      </c>
      <c r="W73" s="486">
        <f t="shared" si="156"/>
        <v>902.46712166172131</v>
      </c>
      <c r="X73" s="486">
        <f t="shared" si="156"/>
        <v>930.91231454005958</v>
      </c>
      <c r="Y73" s="486">
        <f t="shared" si="156"/>
        <v>959.5575074183979</v>
      </c>
      <c r="Z73" s="486">
        <f t="shared" si="156"/>
        <v>988.40270029673616</v>
      </c>
    </row>
    <row r="74" spans="2:36">
      <c r="B74" s="58" t="s">
        <v>1387</v>
      </c>
      <c r="C74" s="494">
        <f t="shared" ref="C74:O74" si="157">SUM(C67:C73)</f>
        <v>1996</v>
      </c>
      <c r="D74" s="494">
        <f t="shared" si="157"/>
        <v>2045.0853987866185</v>
      </c>
      <c r="E74" s="494">
        <f t="shared" si="157"/>
        <v>4235.9980849426211</v>
      </c>
      <c r="F74" s="494">
        <f t="shared" si="157"/>
        <v>4398</v>
      </c>
      <c r="G74" s="494">
        <f t="shared" si="157"/>
        <v>4508</v>
      </c>
      <c r="H74" s="494">
        <f t="shared" si="157"/>
        <v>4407.1059999999998</v>
      </c>
      <c r="I74" s="494">
        <f t="shared" si="157"/>
        <v>4361.7489267797991</v>
      </c>
      <c r="J74" s="494">
        <f>SUM(J67:J73)</f>
        <v>4320.5180005000002</v>
      </c>
      <c r="K74" s="494">
        <f>SUM(K67:K73)</f>
        <v>4285</v>
      </c>
      <c r="L74" s="494">
        <f t="shared" ca="1" si="157"/>
        <v>4191</v>
      </c>
      <c r="M74" s="494">
        <f t="shared" ca="1" si="157"/>
        <v>4264</v>
      </c>
      <c r="N74" s="494">
        <f t="shared" ca="1" si="157"/>
        <v>3795.0599922356851</v>
      </c>
      <c r="O74" s="494">
        <f t="shared" ca="1" si="157"/>
        <v>4070.6834899796959</v>
      </c>
      <c r="P74" s="494">
        <f ca="1">SUM(P67:P73)</f>
        <v>4244.8116704339027</v>
      </c>
      <c r="Q74" s="494">
        <f ca="1">SUM(Q67:Q73)</f>
        <v>4415.7287159272155</v>
      </c>
      <c r="R74" s="494">
        <f ca="1">SUM(R67:R73)</f>
        <v>4592.4453219903608</v>
      </c>
      <c r="S74" s="494">
        <f ca="1">SUM(S67:S73)</f>
        <v>4804.2458467229499</v>
      </c>
      <c r="T74" s="494">
        <f ca="1">SUM(T67:T73)</f>
        <v>4991.8556694555391</v>
      </c>
      <c r="U74" s="494">
        <f t="shared" ref="U74:Z74" ca="1" si="158">SUM(U67:U73)</f>
        <v>5179.9147901881279</v>
      </c>
      <c r="V74" s="494">
        <f t="shared" ca="1" si="158"/>
        <v>5368.4232089207162</v>
      </c>
      <c r="W74" s="494">
        <f t="shared" ca="1" si="158"/>
        <v>5557.3809256533059</v>
      </c>
      <c r="X74" s="494">
        <f t="shared" ca="1" si="158"/>
        <v>5746.7879403858942</v>
      </c>
      <c r="Y74" s="494">
        <f t="shared" ca="1" si="158"/>
        <v>5936.6442531184839</v>
      </c>
      <c r="Z74" s="494">
        <f t="shared" ca="1" si="158"/>
        <v>6126.9498638510722</v>
      </c>
    </row>
    <row r="75" spans="2:36">
      <c r="C75" s="486"/>
      <c r="D75" s="486"/>
      <c r="E75" s="486"/>
      <c r="F75" s="486"/>
      <c r="G75" s="486"/>
      <c r="H75" s="486"/>
      <c r="I75" s="486"/>
      <c r="J75" s="486"/>
      <c r="K75" s="486"/>
      <c r="L75" s="909"/>
      <c r="M75" s="486"/>
      <c r="N75" s="486"/>
      <c r="O75" s="486"/>
      <c r="P75" s="486"/>
      <c r="Q75" s="486"/>
      <c r="R75" s="486"/>
      <c r="S75" s="486"/>
      <c r="T75" s="486"/>
      <c r="U75" s="486"/>
      <c r="V75" s="486"/>
      <c r="W75" s="486"/>
      <c r="X75" s="486"/>
      <c r="Y75" s="486"/>
      <c r="Z75" s="486"/>
    </row>
    <row r="76" spans="2:36">
      <c r="B76" s="489" t="s">
        <v>999</v>
      </c>
      <c r="C76" s="486"/>
      <c r="D76" s="490">
        <f t="shared" ref="D76:T76" si="159">D67/C67-1</f>
        <v>-2.0533632286995451E-2</v>
      </c>
      <c r="E76" s="490">
        <f t="shared" si="159"/>
        <v>0.87571173690762327</v>
      </c>
      <c r="F76" s="490">
        <f t="shared" si="159"/>
        <v>-9.8321147672626452E-3</v>
      </c>
      <c r="G76" s="490">
        <f t="shared" si="159"/>
        <v>-2.7526705012325348E-2</v>
      </c>
      <c r="H76" s="490">
        <f t="shared" si="159"/>
        <v>-4.4410646387832653E-2</v>
      </c>
      <c r="I76" s="490">
        <f t="shared" si="159"/>
        <v>-1.9367075176401904E-2</v>
      </c>
      <c r="J76" s="490">
        <f t="shared" si="159"/>
        <v>-3.6445132128143709E-2</v>
      </c>
      <c r="K76" s="490">
        <f t="shared" si="159"/>
        <v>-4.8303509766820296E-2</v>
      </c>
      <c r="L76" s="490">
        <f t="shared" ca="1" si="159"/>
        <v>-6.4896755162241915E-2</v>
      </c>
      <c r="M76" s="490">
        <f t="shared" ca="1" si="159"/>
        <v>-5.888538380651942E-2</v>
      </c>
      <c r="N76" s="490">
        <f t="shared" si="159"/>
        <v>-0.34532501396648041</v>
      </c>
      <c r="O76" s="490">
        <f t="shared" si="159"/>
        <v>2.7478622863078117E-2</v>
      </c>
      <c r="P76" s="490">
        <f t="shared" si="159"/>
        <v>-3.435644560565454E-2</v>
      </c>
      <c r="Q76" s="490">
        <f t="shared" si="159"/>
        <v>-3.1708511725274557E-2</v>
      </c>
      <c r="R76" s="490">
        <f t="shared" si="159"/>
        <v>-2.9016299865401995E-2</v>
      </c>
      <c r="S76" s="490">
        <f t="shared" si="159"/>
        <v>-2.6315789473684292E-2</v>
      </c>
      <c r="T76" s="490">
        <f t="shared" si="159"/>
        <v>-2.7027027027027084E-2</v>
      </c>
      <c r="U76" s="490">
        <f t="shared" ref="U76:Z77" si="160">U67/T67-1</f>
        <v>-2.777777777777779E-2</v>
      </c>
      <c r="V76" s="490">
        <f t="shared" si="160"/>
        <v>-2.8571428571428581E-2</v>
      </c>
      <c r="W76" s="490">
        <f t="shared" si="160"/>
        <v>-2.9411764705882359E-2</v>
      </c>
      <c r="X76" s="490">
        <f t="shared" si="160"/>
        <v>-3.0303030303030387E-2</v>
      </c>
      <c r="Y76" s="490">
        <f t="shared" si="160"/>
        <v>-3.125E-2</v>
      </c>
      <c r="Z76" s="490">
        <f t="shared" si="160"/>
        <v>-3.2258064516129115E-2</v>
      </c>
    </row>
    <row r="77" spans="2:36">
      <c r="B77" s="489" t="s">
        <v>627</v>
      </c>
      <c r="C77" s="486"/>
      <c r="D77" s="490">
        <f t="shared" ref="D77:T77" si="161">D68/C68-1</f>
        <v>-2.0802446423058396E-2</v>
      </c>
      <c r="E77" s="490">
        <f t="shared" si="161"/>
        <v>1.6557029551474565</v>
      </c>
      <c r="F77" s="490">
        <f t="shared" si="161"/>
        <v>5.9204274000592694E-3</v>
      </c>
      <c r="G77" s="490">
        <f t="shared" si="161"/>
        <v>2.3310023310023631E-3</v>
      </c>
      <c r="H77" s="490">
        <f t="shared" si="161"/>
        <v>0.29808837209302319</v>
      </c>
      <c r="I77" s="490">
        <f t="shared" si="161"/>
        <v>-2.6631289660287605E-2</v>
      </c>
      <c r="J77" s="490">
        <f t="shared" si="161"/>
        <v>-4.9050909880677951E-3</v>
      </c>
      <c r="K77" s="490">
        <f t="shared" si="161"/>
        <v>-3.0481945722271586E-3</v>
      </c>
      <c r="L77" s="490">
        <f t="shared" ca="1" si="161"/>
        <v>-7.9777365491651153E-2</v>
      </c>
      <c r="M77" s="490">
        <f t="shared" ca="1" si="161"/>
        <v>2.0161290322580738E-2</v>
      </c>
      <c r="N77" s="490">
        <f t="shared" si="161"/>
        <v>1.3646477881345875E-2</v>
      </c>
      <c r="O77" s="490">
        <f t="shared" si="161"/>
        <v>7.4429589355513137E-2</v>
      </c>
      <c r="P77" s="490">
        <f t="shared" si="161"/>
        <v>7.8407338234787183E-3</v>
      </c>
      <c r="Q77" s="490">
        <f t="shared" si="161"/>
        <v>8.8327844331199667E-3</v>
      </c>
      <c r="R77" s="490">
        <f t="shared" si="161"/>
        <v>1.0003980164702497E-2</v>
      </c>
      <c r="S77" s="490">
        <f t="shared" si="161"/>
        <v>1.1301320262291803E-2</v>
      </c>
      <c r="T77" s="490">
        <f t="shared" si="161"/>
        <v>9.1643932362930336E-3</v>
      </c>
      <c r="U77" s="490">
        <f t="shared" si="160"/>
        <v>7.0887942788770975E-3</v>
      </c>
      <c r="V77" s="490">
        <f t="shared" si="160"/>
        <v>5.0605455663237375E-3</v>
      </c>
      <c r="W77" s="490">
        <f t="shared" si="160"/>
        <v>3.0666750973886714E-3</v>
      </c>
      <c r="X77" s="490">
        <f t="shared" si="160"/>
        <v>1.0949270208528983E-3</v>
      </c>
      <c r="Y77" s="490">
        <f t="shared" si="160"/>
        <v>-8.6649656139115017E-4</v>
      </c>
      <c r="Z77" s="490">
        <f t="shared" si="160"/>
        <v>-2.8291740592826242E-3</v>
      </c>
    </row>
    <row r="78" spans="2:36">
      <c r="B78" s="489" t="s">
        <v>628</v>
      </c>
      <c r="C78" s="486"/>
      <c r="D78" s="490">
        <f t="shared" ref="D78:T78" si="162">D72/C72-1</f>
        <v>0.16097126436781606</v>
      </c>
      <c r="E78" s="490">
        <f t="shared" si="162"/>
        <v>1.2878584617517044</v>
      </c>
      <c r="F78" s="490">
        <f t="shared" si="162"/>
        <v>0.12513198663689384</v>
      </c>
      <c r="G78" s="490">
        <f t="shared" si="162"/>
        <v>0.11153846153846159</v>
      </c>
      <c r="H78" s="490">
        <f t="shared" si="162"/>
        <v>-6.9446366782006663E-3</v>
      </c>
      <c r="I78" s="490">
        <f t="shared" si="162"/>
        <v>1.7454194684016322E-2</v>
      </c>
      <c r="J78" s="490">
        <f t="shared" si="162"/>
        <v>3.0216441510856784E-2</v>
      </c>
      <c r="K78" s="490">
        <f t="shared" si="162"/>
        <v>4.5456585122362059E-2</v>
      </c>
      <c r="L78" s="490">
        <f t="shared" ca="1" si="162"/>
        <v>4.7694753577106619E-2</v>
      </c>
      <c r="M78" s="490">
        <f t="shared" ca="1" si="162"/>
        <v>8.952959028831553E-2</v>
      </c>
      <c r="N78" s="490">
        <f t="shared" ca="1" si="162"/>
        <v>4.6243916205464641E-2</v>
      </c>
      <c r="O78" s="490">
        <f t="shared" ca="1" si="162"/>
        <v>0.10310903669315596</v>
      </c>
      <c r="P78" s="490">
        <f t="shared" ca="1" si="162"/>
        <v>9.6806810587565018E-2</v>
      </c>
      <c r="Q78" s="490">
        <f t="shared" ca="1" si="162"/>
        <v>9.6731084304871207E-2</v>
      </c>
      <c r="R78" s="490">
        <f t="shared" ca="1" si="162"/>
        <v>8.8550580489801467E-2</v>
      </c>
      <c r="S78" s="490">
        <f t="shared" ca="1" si="162"/>
        <v>9.5260564868506092E-2</v>
      </c>
      <c r="T78" s="490">
        <f t="shared" ca="1" si="162"/>
        <v>7.7197615451457535E-2</v>
      </c>
      <c r="U78" s="490">
        <f t="shared" ref="U78:U80" ca="1" si="163">U72/T72-1</f>
        <v>7.2212033013652865E-2</v>
      </c>
      <c r="V78" s="490">
        <f t="shared" ref="V78:V80" ca="1" si="164">V72/U72-1</f>
        <v>6.7858626133888267E-2</v>
      </c>
      <c r="W78" s="490">
        <f t="shared" ref="W78:W80" ca="1" si="165">W72/V72-1</f>
        <v>6.4024020149576977E-2</v>
      </c>
      <c r="X78" s="490">
        <f t="shared" ref="X78:X80" ca="1" si="166">X72/W72-1</f>
        <v>6.062042568748871E-2</v>
      </c>
      <c r="Y78" s="490">
        <f t="shared" ref="Y78:Y80" ca="1" si="167">Y72/X72-1</f>
        <v>5.7578806725762988E-2</v>
      </c>
      <c r="Z78" s="490">
        <f t="shared" ref="Z78:Z80" ca="1" si="168">Z72/Y72-1</f>
        <v>5.48441268381481E-2</v>
      </c>
    </row>
    <row r="79" spans="2:36">
      <c r="B79" s="489" t="s">
        <v>620</v>
      </c>
      <c r="C79" s="486"/>
      <c r="D79" s="490">
        <f t="shared" ref="D79:T79" si="169">D73/C73-1</f>
        <v>0.16406164383561639</v>
      </c>
      <c r="E79" s="490">
        <f t="shared" si="169"/>
        <v>1.5125652386247959</v>
      </c>
      <c r="F79" s="490">
        <f t="shared" si="169"/>
        <v>0.15920171983382447</v>
      </c>
      <c r="G79" s="490">
        <f t="shared" si="169"/>
        <v>0.1212121212121211</v>
      </c>
      <c r="H79" s="490">
        <f t="shared" si="169"/>
        <v>-0.20887207207207203</v>
      </c>
      <c r="I79" s="490">
        <f t="shared" si="169"/>
        <v>-1.5311700024597141E-2</v>
      </c>
      <c r="J79" s="490">
        <f t="shared" si="169"/>
        <v>1.6141902565727451E-2</v>
      </c>
      <c r="K79" s="490">
        <f t="shared" si="169"/>
        <v>3.3387051250534983E-2</v>
      </c>
      <c r="L79" s="490">
        <f t="shared" ca="1" si="169"/>
        <v>4.6255506607929542E-2</v>
      </c>
      <c r="M79" s="490">
        <f t="shared" ca="1" si="169"/>
        <v>0.12000000000000011</v>
      </c>
      <c r="N79" s="490">
        <f t="shared" si="169"/>
        <v>0.14263230405390326</v>
      </c>
      <c r="O79" s="490">
        <f t="shared" si="169"/>
        <v>8.2804436625607103E-2</v>
      </c>
      <c r="P79" s="490">
        <f t="shared" si="169"/>
        <v>7.7079902884631402E-2</v>
      </c>
      <c r="Q79" s="490">
        <f t="shared" si="169"/>
        <v>3.814819584807938E-2</v>
      </c>
      <c r="R79" s="490">
        <f t="shared" si="169"/>
        <v>3.7018128082885404E-2</v>
      </c>
      <c r="S79" s="490">
        <f t="shared" si="169"/>
        <v>3.5958743336777843E-2</v>
      </c>
      <c r="T79" s="490">
        <f t="shared" si="169"/>
        <v>3.4963538795314886E-2</v>
      </c>
      <c r="U79" s="490">
        <f t="shared" si="163"/>
        <v>3.4026786716969459E-2</v>
      </c>
      <c r="V79" s="490">
        <f t="shared" si="164"/>
        <v>3.3143422276129986E-2</v>
      </c>
      <c r="W79" s="490">
        <f t="shared" si="165"/>
        <v>3.230895033443737E-2</v>
      </c>
      <c r="X79" s="490">
        <f t="shared" si="166"/>
        <v>3.1519367515529861E-2</v>
      </c>
      <c r="Y79" s="490">
        <f t="shared" si="167"/>
        <v>3.0771096730513481E-2</v>
      </c>
      <c r="Z79" s="490">
        <f t="shared" si="168"/>
        <v>3.0060931893434617E-2</v>
      </c>
    </row>
    <row r="80" spans="2:36">
      <c r="B80" s="58" t="s">
        <v>1382</v>
      </c>
      <c r="C80" s="486"/>
      <c r="D80" s="526">
        <f t="shared" ref="D80:T80" si="170">D74/C74-1</f>
        <v>2.4591883159628569E-2</v>
      </c>
      <c r="E80" s="526">
        <f t="shared" si="170"/>
        <v>1.0713062092448098</v>
      </c>
      <c r="F80" s="526">
        <f t="shared" si="170"/>
        <v>3.8244095443110471E-2</v>
      </c>
      <c r="G80" s="526">
        <f t="shared" si="170"/>
        <v>2.5011368804001899E-2</v>
      </c>
      <c r="H80" s="526">
        <f t="shared" si="170"/>
        <v>-2.2381100266193443E-2</v>
      </c>
      <c r="I80" s="526">
        <f t="shared" si="170"/>
        <v>-1.0291804467648547E-2</v>
      </c>
      <c r="J80" s="526">
        <f t="shared" si="170"/>
        <v>-9.4528426491157225E-3</v>
      </c>
      <c r="K80" s="526">
        <f t="shared" si="170"/>
        <v>-8.2207736423942634E-3</v>
      </c>
      <c r="L80" s="526">
        <f t="shared" ca="1" si="170"/>
        <v>-2.1936989498249737E-2</v>
      </c>
      <c r="M80" s="526">
        <f t="shared" ca="1" si="170"/>
        <v>1.7418277260796922E-2</v>
      </c>
      <c r="N80" s="526">
        <f t="shared" ca="1" si="170"/>
        <v>-0.10997654966330084</v>
      </c>
      <c r="O80" s="526">
        <f t="shared" ca="1" si="170"/>
        <v>7.2626914543619581E-2</v>
      </c>
      <c r="P80" s="526">
        <f t="shared" ca="1" si="170"/>
        <v>4.2776153165147157E-2</v>
      </c>
      <c r="Q80" s="526">
        <f t="shared" ca="1" si="170"/>
        <v>4.0264930169644497E-2</v>
      </c>
      <c r="R80" s="526">
        <f t="shared" ca="1" si="170"/>
        <v>4.0019805887472559E-2</v>
      </c>
      <c r="S80" s="526">
        <f t="shared" ca="1" si="170"/>
        <v>4.6119335099845005E-2</v>
      </c>
      <c r="T80" s="526">
        <f t="shared" ca="1" si="170"/>
        <v>3.9050837263159721E-2</v>
      </c>
      <c r="U80" s="526">
        <f t="shared" ca="1" si="163"/>
        <v>3.7673188726848883E-2</v>
      </c>
      <c r="V80" s="526">
        <f t="shared" ca="1" si="164"/>
        <v>3.63921852710134E-2</v>
      </c>
      <c r="W80" s="526">
        <f t="shared" ca="1" si="165"/>
        <v>3.5197991920346006E-2</v>
      </c>
      <c r="X80" s="526">
        <f t="shared" ca="1" si="166"/>
        <v>3.4082064423237801E-2</v>
      </c>
      <c r="Y80" s="526">
        <f t="shared" ca="1" si="167"/>
        <v>3.3036944237730292E-2</v>
      </c>
      <c r="Z80" s="526">
        <f t="shared" ca="1" si="168"/>
        <v>3.2056091390792352E-2</v>
      </c>
    </row>
    <row r="81" spans="2:26">
      <c r="C81" s="486"/>
      <c r="D81" s="486"/>
      <c r="E81" s="486"/>
      <c r="F81" s="486"/>
      <c r="G81" s="486"/>
      <c r="H81" s="486"/>
      <c r="I81" s="486"/>
      <c r="J81" s="486"/>
      <c r="K81" s="486"/>
      <c r="L81" s="486"/>
      <c r="M81" s="486"/>
      <c r="N81" s="486"/>
      <c r="O81" s="486"/>
      <c r="P81" s="486"/>
      <c r="Q81" s="486"/>
      <c r="R81" s="486"/>
      <c r="S81" s="486"/>
      <c r="T81" s="486"/>
      <c r="U81" s="486"/>
      <c r="V81" s="486"/>
      <c r="W81" s="486"/>
      <c r="X81" s="486"/>
      <c r="Y81" s="486"/>
      <c r="Z81" s="486"/>
    </row>
    <row r="82" spans="2:26">
      <c r="B82" s="489" t="s">
        <v>999</v>
      </c>
      <c r="C82" s="725"/>
      <c r="D82" s="725">
        <f t="shared" ref="D82:H83" si="171">D67-C67</f>
        <v>-27.473999999999933</v>
      </c>
      <c r="E82" s="725">
        <f t="shared" si="171"/>
        <v>1147.6429997225998</v>
      </c>
      <c r="F82" s="725">
        <f t="shared" si="171"/>
        <v>-24.168999722599892</v>
      </c>
      <c r="G82" s="725">
        <f t="shared" si="171"/>
        <v>-67</v>
      </c>
      <c r="H82" s="725">
        <f t="shared" si="171"/>
        <v>-105.11999999999989</v>
      </c>
      <c r="I82" s="726">
        <v>-91</v>
      </c>
      <c r="J82" s="725">
        <f t="shared" ref="J82:Z82" si="172">J67-I67</f>
        <v>-80.838000000000193</v>
      </c>
      <c r="K82" s="725">
        <f t="shared" si="172"/>
        <v>-103.23599999999988</v>
      </c>
      <c r="L82" s="725">
        <f t="shared" ca="1" si="172"/>
        <v>-132</v>
      </c>
      <c r="M82" s="725">
        <f t="shared" ca="1" si="172"/>
        <v>-112</v>
      </c>
      <c r="N82" s="725">
        <f t="shared" si="172"/>
        <v>-618.13177499999983</v>
      </c>
      <c r="O82" s="725">
        <f t="shared" si="172"/>
        <v>32.20132499999977</v>
      </c>
      <c r="P82" s="725">
        <f t="shared" si="172"/>
        <v>-41.367549999999937</v>
      </c>
      <c r="Q82" s="725">
        <f t="shared" si="172"/>
        <v>-36.867550000000165</v>
      </c>
      <c r="R82" s="725">
        <f t="shared" si="172"/>
        <v>-32.667549999999892</v>
      </c>
      <c r="S82" s="725">
        <f t="shared" si="172"/>
        <v>-28.767550000000028</v>
      </c>
      <c r="T82" s="725">
        <f t="shared" si="172"/>
        <v>-28.767550000000028</v>
      </c>
      <c r="U82" s="725">
        <f t="shared" si="172"/>
        <v>-28.767550000000028</v>
      </c>
      <c r="V82" s="725">
        <f t="shared" si="172"/>
        <v>-28.767550000000028</v>
      </c>
      <c r="W82" s="725">
        <f t="shared" si="172"/>
        <v>-28.767550000000028</v>
      </c>
      <c r="X82" s="725">
        <f t="shared" si="172"/>
        <v>-28.767550000000028</v>
      </c>
      <c r="Y82" s="725">
        <f t="shared" si="172"/>
        <v>-28.767550000000028</v>
      </c>
      <c r="Z82" s="725">
        <f t="shared" si="172"/>
        <v>-28.767550000000028</v>
      </c>
    </row>
    <row r="83" spans="2:26">
      <c r="B83" s="489" t="s">
        <v>627</v>
      </c>
      <c r="C83" s="725"/>
      <c r="D83" s="725">
        <f t="shared" si="171"/>
        <v>-3.411601213381573</v>
      </c>
      <c r="E83" s="725">
        <f t="shared" si="171"/>
        <v>265.88668643340236</v>
      </c>
      <c r="F83" s="725">
        <f t="shared" si="171"/>
        <v>2.5249147799792127</v>
      </c>
      <c r="G83" s="725">
        <f t="shared" si="171"/>
        <v>1</v>
      </c>
      <c r="H83" s="725">
        <f t="shared" si="171"/>
        <v>128.178</v>
      </c>
      <c r="I83" s="725">
        <f>I68-H68</f>
        <v>-14.865000000000009</v>
      </c>
      <c r="J83" s="725">
        <f t="shared" ref="J83:Z83" si="173">J68-I68</f>
        <v>-2.6649997000000667</v>
      </c>
      <c r="K83" s="725">
        <f t="shared" si="173"/>
        <v>-1.6480002999999215</v>
      </c>
      <c r="L83" s="725">
        <f t="shared" ca="1" si="173"/>
        <v>-43</v>
      </c>
      <c r="M83" s="725">
        <f t="shared" ca="1" si="173"/>
        <v>10</v>
      </c>
      <c r="N83" s="725">
        <f t="shared" si="173"/>
        <v>6.9051178079610054</v>
      </c>
      <c r="O83" s="725">
        <f t="shared" si="173"/>
        <v>38.175317296787625</v>
      </c>
      <c r="P83" s="725">
        <f t="shared" si="173"/>
        <v>4.3208750069832149</v>
      </c>
      <c r="Q83" s="725">
        <f t="shared" si="173"/>
        <v>4.9057400460893632</v>
      </c>
      <c r="R83" s="725">
        <f t="shared" si="173"/>
        <v>5.6053006159218057</v>
      </c>
      <c r="S83" s="725">
        <f t="shared" si="173"/>
        <v>6.3955567164805416</v>
      </c>
      <c r="T83" s="725">
        <f t="shared" si="173"/>
        <v>5.244854716480404</v>
      </c>
      <c r="U83" s="725">
        <f t="shared" si="173"/>
        <v>4.0941527164804938</v>
      </c>
      <c r="V83" s="725">
        <f t="shared" si="173"/>
        <v>2.9434507164803563</v>
      </c>
      <c r="W83" s="725">
        <f t="shared" si="173"/>
        <v>1.7927487164804461</v>
      </c>
      <c r="X83" s="725">
        <f t="shared" si="173"/>
        <v>0.64204671648042222</v>
      </c>
      <c r="Y83" s="725">
        <f t="shared" si="173"/>
        <v>-0.50865528351948797</v>
      </c>
      <c r="Z83" s="725">
        <f t="shared" si="173"/>
        <v>-1.6593572835196255</v>
      </c>
    </row>
    <row r="84" spans="2:26">
      <c r="C84" s="725"/>
      <c r="D84" s="725"/>
      <c r="E84" s="725"/>
      <c r="F84" s="725"/>
      <c r="G84" s="725"/>
      <c r="H84" s="725"/>
      <c r="I84" s="725"/>
      <c r="J84" s="725"/>
      <c r="K84" s="725"/>
      <c r="L84" s="725"/>
      <c r="M84" s="725"/>
      <c r="N84" s="725"/>
      <c r="O84" s="725"/>
      <c r="P84" s="725"/>
      <c r="Q84" s="725"/>
      <c r="R84" s="725"/>
      <c r="S84" s="725"/>
      <c r="T84" s="725"/>
      <c r="U84" s="725"/>
      <c r="V84" s="725"/>
      <c r="W84" s="725"/>
      <c r="X84" s="725"/>
      <c r="Y84" s="725"/>
      <c r="Z84" s="725"/>
    </row>
    <row r="85" spans="2:26">
      <c r="B85" s="618" t="s">
        <v>1994</v>
      </c>
      <c r="C85" s="725"/>
      <c r="D85" s="725"/>
      <c r="E85" s="725"/>
      <c r="F85" s="725"/>
      <c r="G85" s="725"/>
      <c r="H85" s="725"/>
      <c r="I85" s="725">
        <f>I70-H70</f>
        <v>10.018463389899807</v>
      </c>
      <c r="J85" s="725">
        <f t="shared" ref="J85:Z85" si="174">J70-I70</f>
        <v>17.646536710100236</v>
      </c>
      <c r="K85" s="725">
        <f t="shared" si="174"/>
        <v>27.348999899999967</v>
      </c>
      <c r="L85" s="725">
        <f t="shared" si="174"/>
        <v>18</v>
      </c>
      <c r="M85" s="725">
        <f t="shared" ca="1" si="174"/>
        <v>46.961538461538453</v>
      </c>
      <c r="N85" s="739">
        <f ca="1">N70-M70+46</f>
        <v>71.004972772035103</v>
      </c>
      <c r="O85" s="725">
        <f t="shared" ca="1" si="174"/>
        <v>57.797880751296248</v>
      </c>
      <c r="P85" s="725">
        <f t="shared" ca="1" si="174"/>
        <v>55.573880751296201</v>
      </c>
      <c r="Q85" s="725">
        <f t="shared" ca="1" si="174"/>
        <v>50.875880751296222</v>
      </c>
      <c r="R85" s="725">
        <f t="shared" ca="1" si="174"/>
        <v>38.755880751296218</v>
      </c>
      <c r="S85" s="725">
        <f t="shared" ca="1" si="174"/>
        <v>28.481761502592462</v>
      </c>
      <c r="T85" s="725">
        <f t="shared" ca="1" si="174"/>
        <v>16.261761502592321</v>
      </c>
      <c r="U85" s="725">
        <f t="shared" ca="1" si="174"/>
        <v>16.361761502592344</v>
      </c>
      <c r="V85" s="725">
        <f t="shared" ca="1" si="174"/>
        <v>16.461761502592367</v>
      </c>
      <c r="W85" s="725">
        <f t="shared" ca="1" si="174"/>
        <v>16.56176150259239</v>
      </c>
      <c r="X85" s="725">
        <f t="shared" ca="1" si="174"/>
        <v>16.661761502592299</v>
      </c>
      <c r="Y85" s="725">
        <f t="shared" ca="1" si="174"/>
        <v>16.761761502592435</v>
      </c>
      <c r="Z85" s="725">
        <f t="shared" ca="1" si="174"/>
        <v>16.861761502592344</v>
      </c>
    </row>
    <row r="86" spans="2:26">
      <c r="B86" s="618" t="s">
        <v>1995</v>
      </c>
      <c r="C86" s="725"/>
      <c r="D86" s="725"/>
      <c r="E86" s="725"/>
      <c r="F86" s="725"/>
      <c r="G86" s="725"/>
      <c r="H86" s="725"/>
      <c r="I86" s="725">
        <f t="shared" ref="I86:Z86" si="175">I71-H71</f>
        <v>0</v>
      </c>
      <c r="J86" s="725">
        <f t="shared" si="175"/>
        <v>0</v>
      </c>
      <c r="K86" s="725">
        <f t="shared" si="175"/>
        <v>0</v>
      </c>
      <c r="L86" s="725">
        <f t="shared" si="175"/>
        <v>12</v>
      </c>
      <c r="M86" s="725">
        <f t="shared" ca="1" si="175"/>
        <v>12.03846153846154</v>
      </c>
      <c r="N86" s="725">
        <f t="shared" ca="1" si="175"/>
        <v>8.1981590634884398</v>
      </c>
      <c r="O86" s="725">
        <f t="shared" ca="1" si="175"/>
        <v>19.657950533146384</v>
      </c>
      <c r="P86" s="725">
        <f t="shared" ca="1" si="175"/>
        <v>24.645950533146383</v>
      </c>
      <c r="Q86" s="725">
        <f t="shared" ca="1" si="175"/>
        <v>37.040950533146372</v>
      </c>
      <c r="R86" s="725">
        <f t="shared" ca="1" si="175"/>
        <v>49.510950533146371</v>
      </c>
      <c r="S86" s="725">
        <f t="shared" ca="1" si="175"/>
        <v>74.881901066292755</v>
      </c>
      <c r="T86" s="725">
        <f t="shared" ca="1" si="175"/>
        <v>75.481901066292778</v>
      </c>
      <c r="U86" s="725">
        <f t="shared" ca="1" si="175"/>
        <v>76.081901066292744</v>
      </c>
      <c r="V86" s="725">
        <f t="shared" ca="1" si="175"/>
        <v>76.681901066292767</v>
      </c>
      <c r="W86" s="725">
        <f t="shared" ca="1" si="175"/>
        <v>77.281901066292789</v>
      </c>
      <c r="X86" s="725">
        <f t="shared" ca="1" si="175"/>
        <v>77.881901066292698</v>
      </c>
      <c r="Y86" s="725">
        <f t="shared" ca="1" si="175"/>
        <v>78.481901066292835</v>
      </c>
      <c r="Z86" s="725">
        <f t="shared" ca="1" si="175"/>
        <v>79.081901066292858</v>
      </c>
    </row>
    <row r="87" spans="2:26">
      <c r="B87" s="489" t="s">
        <v>628</v>
      </c>
      <c r="C87" s="725"/>
      <c r="D87" s="725">
        <f t="shared" ref="D87:H87" si="176">D72-C72</f>
        <v>28.008999999999986</v>
      </c>
      <c r="E87" s="725">
        <f t="shared" si="176"/>
        <v>260.15899999999999</v>
      </c>
      <c r="F87" s="725">
        <f t="shared" si="176"/>
        <v>57.831999999999994</v>
      </c>
      <c r="G87" s="725">
        <f t="shared" si="176"/>
        <v>58</v>
      </c>
      <c r="H87" s="725">
        <f t="shared" si="176"/>
        <v>-4.01400000000001</v>
      </c>
      <c r="I87" s="725">
        <f t="shared" ref="I87:K89" si="177">I72-H72</f>
        <v>10.018463389899807</v>
      </c>
      <c r="J87" s="725">
        <f t="shared" si="177"/>
        <v>17.646536710100236</v>
      </c>
      <c r="K87" s="725">
        <f t="shared" si="177"/>
        <v>27.348999899999967</v>
      </c>
      <c r="L87" s="725">
        <f t="shared" ref="L87:T87" ca="1" si="178">L72-K72</f>
        <v>30</v>
      </c>
      <c r="M87" s="725">
        <f t="shared" ca="1" si="178"/>
        <v>59</v>
      </c>
      <c r="N87" s="725">
        <f t="shared" ca="1" si="178"/>
        <v>33.20313183552355</v>
      </c>
      <c r="O87" s="725">
        <f t="shared" ca="1" si="178"/>
        <v>77.455831284442638</v>
      </c>
      <c r="P87" s="725">
        <f t="shared" ca="1" si="178"/>
        <v>80.219831284442535</v>
      </c>
      <c r="Q87" s="725">
        <f t="shared" ca="1" si="178"/>
        <v>87.916831284442651</v>
      </c>
      <c r="R87" s="725">
        <f t="shared" ca="1" si="178"/>
        <v>88.266831284442674</v>
      </c>
      <c r="S87" s="725">
        <f t="shared" ca="1" si="178"/>
        <v>103.36366256888505</v>
      </c>
      <c r="T87" s="725">
        <f t="shared" ca="1" si="178"/>
        <v>91.743662568885156</v>
      </c>
      <c r="U87" s="725">
        <f t="shared" ref="U87:Z89" ca="1" si="179">U72-T72</f>
        <v>92.443662568884974</v>
      </c>
      <c r="V87" s="725">
        <f t="shared" ca="1" si="179"/>
        <v>93.143662568885247</v>
      </c>
      <c r="W87" s="725">
        <f t="shared" ca="1" si="179"/>
        <v>93.843662568885065</v>
      </c>
      <c r="X87" s="725">
        <f t="shared" ca="1" si="179"/>
        <v>94.543662568885111</v>
      </c>
      <c r="Y87" s="725">
        <f t="shared" ca="1" si="179"/>
        <v>95.243662568885384</v>
      </c>
      <c r="Z87" s="725">
        <f t="shared" ca="1" si="179"/>
        <v>95.943662568884974</v>
      </c>
    </row>
    <row r="88" spans="2:26">
      <c r="B88" s="489" t="s">
        <v>620</v>
      </c>
      <c r="C88" s="725"/>
      <c r="D88" s="725">
        <f t="shared" ref="D88:H89" si="180">D73-C73</f>
        <v>23.953000000000003</v>
      </c>
      <c r="E88" s="725">
        <f t="shared" si="180"/>
        <v>257.06499999999994</v>
      </c>
      <c r="F88" s="725">
        <f t="shared" si="180"/>
        <v>67.982000000000028</v>
      </c>
      <c r="G88" s="725">
        <f t="shared" si="180"/>
        <v>60</v>
      </c>
      <c r="H88" s="725">
        <f t="shared" si="180"/>
        <v>-115.92399999999998</v>
      </c>
      <c r="I88" s="725">
        <f t="shared" si="177"/>
        <v>-6.7230000000000132</v>
      </c>
      <c r="J88" s="725">
        <f t="shared" si="177"/>
        <v>6.978999999999985</v>
      </c>
      <c r="K88" s="725">
        <f t="shared" si="177"/>
        <v>14.668000000000006</v>
      </c>
      <c r="L88" s="725">
        <f t="shared" ref="L88:T88" ca="1" si="181">L73-K73</f>
        <v>21</v>
      </c>
      <c r="M88" s="725">
        <f t="shared" ca="1" si="181"/>
        <v>57</v>
      </c>
      <c r="N88" s="725">
        <f t="shared" si="181"/>
        <v>75.88038575667656</v>
      </c>
      <c r="O88" s="725">
        <f t="shared" si="181"/>
        <v>50.335192878338262</v>
      </c>
      <c r="P88" s="725">
        <f t="shared" si="181"/>
        <v>50.735192878338353</v>
      </c>
      <c r="Q88" s="725">
        <f t="shared" si="181"/>
        <v>27.045192878338298</v>
      </c>
      <c r="R88" s="725">
        <f t="shared" si="181"/>
        <v>27.245192878338344</v>
      </c>
      <c r="S88" s="725">
        <f t="shared" si="181"/>
        <v>27.445192878338275</v>
      </c>
      <c r="T88" s="725">
        <f t="shared" si="181"/>
        <v>27.645192878338321</v>
      </c>
      <c r="U88" s="725">
        <f t="shared" si="179"/>
        <v>27.845192878338253</v>
      </c>
      <c r="V88" s="725">
        <f t="shared" si="179"/>
        <v>28.045192878338298</v>
      </c>
      <c r="W88" s="725">
        <f t="shared" si="179"/>
        <v>28.245192878338344</v>
      </c>
      <c r="X88" s="725">
        <f t="shared" si="179"/>
        <v>28.445192878338275</v>
      </c>
      <c r="Y88" s="725">
        <f t="shared" si="179"/>
        <v>28.645192878338321</v>
      </c>
      <c r="Z88" s="725">
        <f t="shared" si="179"/>
        <v>28.845192878338253</v>
      </c>
    </row>
    <row r="89" spans="2:26">
      <c r="B89" s="58" t="s">
        <v>1212</v>
      </c>
      <c r="C89" s="725"/>
      <c r="D89" s="728">
        <f t="shared" si="180"/>
        <v>49.085398786618498</v>
      </c>
      <c r="E89" s="728">
        <f t="shared" si="180"/>
        <v>2190.9126861560026</v>
      </c>
      <c r="F89" s="728">
        <f t="shared" si="180"/>
        <v>162.00191505737894</v>
      </c>
      <c r="G89" s="728">
        <f t="shared" si="180"/>
        <v>110</v>
      </c>
      <c r="H89" s="728">
        <f t="shared" si="180"/>
        <v>-100.89400000000023</v>
      </c>
      <c r="I89" s="728">
        <f t="shared" si="177"/>
        <v>-45.357073220200618</v>
      </c>
      <c r="J89" s="728">
        <f t="shared" si="177"/>
        <v>-41.23092627979895</v>
      </c>
      <c r="K89" s="728">
        <f t="shared" si="177"/>
        <v>-35.518000500000198</v>
      </c>
      <c r="L89" s="728">
        <f t="shared" ref="L89:T89" ca="1" si="182">L74-K74</f>
        <v>-94</v>
      </c>
      <c r="M89" s="728">
        <f t="shared" ca="1" si="182"/>
        <v>73</v>
      </c>
      <c r="N89" s="728">
        <f t="shared" ca="1" si="182"/>
        <v>-468.94000776431494</v>
      </c>
      <c r="O89" s="728">
        <f t="shared" ca="1" si="182"/>
        <v>275.62349774401082</v>
      </c>
      <c r="P89" s="728">
        <f t="shared" ca="1" si="182"/>
        <v>174.12818045420681</v>
      </c>
      <c r="Q89" s="728">
        <f t="shared" ca="1" si="182"/>
        <v>170.9170454933128</v>
      </c>
      <c r="R89" s="728">
        <f t="shared" ca="1" si="182"/>
        <v>176.71660606314526</v>
      </c>
      <c r="S89" s="728">
        <f t="shared" ca="1" si="182"/>
        <v>211.80052473258911</v>
      </c>
      <c r="T89" s="728">
        <f t="shared" ca="1" si="182"/>
        <v>187.60982273258924</v>
      </c>
      <c r="U89" s="728">
        <f t="shared" ca="1" si="179"/>
        <v>188.05912073258878</v>
      </c>
      <c r="V89" s="728">
        <f t="shared" ca="1" si="179"/>
        <v>188.50841873258832</v>
      </c>
      <c r="W89" s="728">
        <f t="shared" ca="1" si="179"/>
        <v>188.95771673258969</v>
      </c>
      <c r="X89" s="728">
        <f t="shared" ca="1" si="179"/>
        <v>189.40701473258832</v>
      </c>
      <c r="Y89" s="728">
        <f t="shared" ca="1" si="179"/>
        <v>189.85631273258969</v>
      </c>
      <c r="Z89" s="728">
        <f t="shared" ca="1" si="179"/>
        <v>190.30561073258832</v>
      </c>
    </row>
    <row r="90" spans="2:26">
      <c r="C90" s="486"/>
      <c r="D90" s="486"/>
      <c r="E90" s="486"/>
      <c r="F90" s="486"/>
      <c r="G90" s="486"/>
      <c r="H90" s="486"/>
      <c r="I90" s="486"/>
      <c r="J90" s="486"/>
      <c r="K90" s="486"/>
      <c r="L90" s="486"/>
      <c r="M90" s="486"/>
      <c r="N90" s="486"/>
      <c r="O90" s="486"/>
      <c r="P90" s="486"/>
      <c r="Q90" s="486"/>
      <c r="R90" s="486"/>
      <c r="S90" s="486"/>
      <c r="T90" s="486"/>
      <c r="U90" s="486"/>
      <c r="V90" s="486"/>
      <c r="W90" s="486"/>
      <c r="X90" s="486"/>
      <c r="Y90" s="486"/>
      <c r="Z90" s="486"/>
    </row>
    <row r="91" spans="2:26">
      <c r="B91" s="489" t="s">
        <v>1210</v>
      </c>
      <c r="C91" s="525">
        <f t="shared" ref="C91:O91" si="183">C74/C54</f>
        <v>1.5330261136712751</v>
      </c>
      <c r="D91" s="525">
        <f t="shared" si="183"/>
        <v>1.5948300209017874</v>
      </c>
      <c r="E91" s="525">
        <f t="shared" si="183"/>
        <v>1.7393595922040113</v>
      </c>
      <c r="F91" s="525">
        <f t="shared" si="183"/>
        <v>1.820364238410596</v>
      </c>
      <c r="G91" s="525">
        <f t="shared" si="183"/>
        <v>1.8997050147492625</v>
      </c>
      <c r="H91" s="525">
        <f t="shared" si="183"/>
        <v>1.9227430998654942</v>
      </c>
      <c r="I91" s="525">
        <f t="shared" si="183"/>
        <v>1.9228619611498687</v>
      </c>
      <c r="J91" s="525">
        <f t="shared" si="183"/>
        <v>1.9409801630452486</v>
      </c>
      <c r="K91" s="525">
        <f>K74/K54</f>
        <v>2.0007606158794089</v>
      </c>
      <c r="L91" s="525">
        <f t="shared" ca="1" si="183"/>
        <v>2.0598486544509269</v>
      </c>
      <c r="M91" s="525">
        <f t="shared" ca="1" si="183"/>
        <v>2.1889117043121149</v>
      </c>
      <c r="N91" s="525">
        <f t="shared" ca="1" si="183"/>
        <v>2.7808600366068865</v>
      </c>
      <c r="O91" s="525">
        <f t="shared" ca="1" si="183"/>
        <v>2.8288084387322656</v>
      </c>
      <c r="P91" s="525">
        <f ca="1">P74/P54</f>
        <v>2.9206532166858938</v>
      </c>
      <c r="Q91" s="525">
        <f ca="1">Q74/Q54</f>
        <v>2.9993163950031385</v>
      </c>
      <c r="R91" s="525">
        <f ca="1">R74/R54</f>
        <v>3.0699957484082696</v>
      </c>
      <c r="S91" s="525">
        <f ca="1">S74/S54</f>
        <v>3.0926344328959057</v>
      </c>
      <c r="T91" s="525">
        <f ca="1">T74/T54</f>
        <v>3.098639954104748</v>
      </c>
      <c r="U91" s="525">
        <f t="shared" ref="U91:Z91" ca="1" si="184">U74/U54</f>
        <v>3.1045005811373838</v>
      </c>
      <c r="V91" s="525">
        <f t="shared" ca="1" si="184"/>
        <v>3.1102308034114334</v>
      </c>
      <c r="W91" s="525">
        <f t="shared" ca="1" si="184"/>
        <v>3.1158432407422456</v>
      </c>
      <c r="X91" s="525">
        <f t="shared" ca="1" si="184"/>
        <v>3.1213489354682471</v>
      </c>
      <c r="Y91" s="525">
        <f t="shared" ca="1" si="184"/>
        <v>3.1267575914626042</v>
      </c>
      <c r="Z91" s="525">
        <f t="shared" ca="1" si="184"/>
        <v>3.1320777709663421</v>
      </c>
    </row>
    <row r="92" spans="2:26">
      <c r="B92" s="489" t="s">
        <v>1185</v>
      </c>
      <c r="C92" s="525"/>
      <c r="D92" s="490">
        <f>D91/C91-1</f>
        <v>4.0314973554171907E-2</v>
      </c>
      <c r="E92" s="490">
        <f t="shared" ref="E92:T92" si="185">E91/D91-1</f>
        <v>9.0623809063050231E-2</v>
      </c>
      <c r="F92" s="490">
        <f t="shared" si="185"/>
        <v>4.657153504637912E-2</v>
      </c>
      <c r="G92" s="490">
        <f t="shared" si="185"/>
        <v>4.3585110421604734E-2</v>
      </c>
      <c r="H92" s="490">
        <f t="shared" si="185"/>
        <v>1.2127190767705853E-2</v>
      </c>
      <c r="I92" s="490">
        <f t="shared" si="185"/>
        <v>6.1818598846130612E-5</v>
      </c>
      <c r="J92" s="490">
        <f t="shared" si="185"/>
        <v>9.4225182365899052E-3</v>
      </c>
      <c r="K92" s="490">
        <f t="shared" si="185"/>
        <v>3.0799105509851987E-2</v>
      </c>
      <c r="L92" s="490">
        <f t="shared" ca="1" si="185"/>
        <v>2.9532787732102772E-2</v>
      </c>
      <c r="M92" s="490">
        <f t="shared" ca="1" si="185"/>
        <v>6.2656569249545768E-2</v>
      </c>
      <c r="N92" s="490">
        <f t="shared" ca="1" si="185"/>
        <v>0.27043042948175788</v>
      </c>
      <c r="O92" s="490">
        <f t="shared" ca="1" si="185"/>
        <v>1.7242292490162292E-2</v>
      </c>
      <c r="P92" s="490">
        <f t="shared" ca="1" si="185"/>
        <v>3.246765553159503E-2</v>
      </c>
      <c r="Q92" s="490">
        <f t="shared" ca="1" si="185"/>
        <v>2.6933419506238065E-2</v>
      </c>
      <c r="R92" s="490">
        <f t="shared" ca="1" si="185"/>
        <v>2.3565154220769324E-2</v>
      </c>
      <c r="S92" s="490">
        <f t="shared" ca="1" si="185"/>
        <v>7.3741745405913051E-3</v>
      </c>
      <c r="T92" s="490">
        <f t="shared" ca="1" si="185"/>
        <v>1.941878789475604E-3</v>
      </c>
      <c r="U92" s="490">
        <f t="shared" ref="U92" ca="1" si="186">U91/T91-1</f>
        <v>1.8913546328196418E-3</v>
      </c>
      <c r="V92" s="490">
        <f t="shared" ref="V92" ca="1" si="187">V91/U91-1</f>
        <v>1.845779095312805E-3</v>
      </c>
      <c r="W92" s="490">
        <f t="shared" ref="W92" ca="1" si="188">W91/V91-1</f>
        <v>1.8045083100122206E-3</v>
      </c>
      <c r="X92" s="490">
        <f t="shared" ref="X92" ca="1" si="189">X91/W91-1</f>
        <v>1.7669999100113909E-3</v>
      </c>
      <c r="Y92" s="490">
        <f t="shared" ref="Y92" ca="1" si="190">Y91/X91-1</f>
        <v>1.7327944123446404E-3</v>
      </c>
      <c r="Z92" s="490">
        <f t="shared" ref="Z92" ca="1" si="191">Z91/Y91-1</f>
        <v>1.7015004675335899E-3</v>
      </c>
    </row>
    <row r="93" spans="2:26">
      <c r="C93" s="486"/>
      <c r="D93" s="486"/>
      <c r="E93" s="486"/>
      <c r="F93" s="486"/>
      <c r="G93" s="486"/>
      <c r="H93" s="486"/>
      <c r="I93" s="486"/>
      <c r="J93" s="486"/>
      <c r="K93" s="486"/>
      <c r="L93" s="486"/>
      <c r="M93" s="486"/>
      <c r="N93" s="486"/>
      <c r="O93" s="486"/>
      <c r="P93" s="486"/>
      <c r="Q93" s="486"/>
      <c r="R93" s="486"/>
      <c r="S93" s="486"/>
      <c r="T93" s="486"/>
      <c r="U93" s="486"/>
      <c r="V93" s="486"/>
      <c r="W93" s="486"/>
      <c r="X93" s="486"/>
      <c r="Y93" s="486"/>
      <c r="Z93" s="486"/>
    </row>
    <row r="94" spans="2:26">
      <c r="B94" s="58" t="s">
        <v>1211</v>
      </c>
      <c r="C94" s="486"/>
      <c r="D94" s="486"/>
      <c r="E94" s="486"/>
      <c r="F94" s="486"/>
      <c r="G94" s="486"/>
      <c r="H94" s="486"/>
      <c r="I94" s="486"/>
      <c r="J94" s="486"/>
      <c r="K94" s="486"/>
      <c r="L94" s="486"/>
      <c r="M94" s="486"/>
      <c r="N94" s="486"/>
      <c r="O94" s="486"/>
      <c r="P94" s="486"/>
      <c r="Q94" s="486"/>
      <c r="R94" s="486"/>
      <c r="S94" s="486"/>
      <c r="T94" s="486"/>
      <c r="U94" s="486"/>
      <c r="V94" s="486"/>
      <c r="W94" s="486"/>
      <c r="X94" s="486"/>
      <c r="Y94" s="486"/>
      <c r="Z94" s="486"/>
    </row>
    <row r="95" spans="2:26">
      <c r="B95" s="489" t="s">
        <v>999</v>
      </c>
      <c r="C95" s="490">
        <f t="shared" ref="C95:H95" si="192">C67/C$34</f>
        <v>0.76500857632933106</v>
      </c>
      <c r="D95" s="490">
        <f t="shared" si="192"/>
        <v>0.77205506022773174</v>
      </c>
      <c r="E95" s="490">
        <f t="shared" si="192"/>
        <v>0.68191266395712402</v>
      </c>
      <c r="F95" s="490">
        <f t="shared" si="192"/>
        <v>0.67461197339246115</v>
      </c>
      <c r="G95" s="490">
        <f t="shared" si="192"/>
        <v>0.65896436525612467</v>
      </c>
      <c r="H95" s="490">
        <f t="shared" si="192"/>
        <v>0.67787670081304563</v>
      </c>
      <c r="I95" s="490">
        <f>I67/I34</f>
        <v>0.65634617939668471</v>
      </c>
      <c r="J95" s="490">
        <f>J67/J34</f>
        <v>0.64101605872342415</v>
      </c>
      <c r="K95" s="490">
        <f>K67/K34</f>
        <v>0.62220862649128172</v>
      </c>
      <c r="L95" s="490">
        <f ca="1">L67/L34</f>
        <v>0.60097122257831825</v>
      </c>
      <c r="M95" s="490">
        <f>M67/M34</f>
        <v>0.57797868905392313</v>
      </c>
      <c r="N95" s="515">
        <v>0.39500000000000002</v>
      </c>
      <c r="O95" s="515">
        <v>0.41</v>
      </c>
      <c r="P95" s="515">
        <f>O95-0.01</f>
        <v>0.39999999999999997</v>
      </c>
      <c r="Q95" s="515">
        <f t="shared" ref="Q95:Z95" si="193">P95-0.01</f>
        <v>0.38999999999999996</v>
      </c>
      <c r="R95" s="515">
        <f t="shared" si="193"/>
        <v>0.37999999999999995</v>
      </c>
      <c r="S95" s="515">
        <f t="shared" si="193"/>
        <v>0.36999999999999994</v>
      </c>
      <c r="T95" s="515">
        <f t="shared" si="193"/>
        <v>0.35999999999999993</v>
      </c>
      <c r="U95" s="515">
        <f t="shared" si="193"/>
        <v>0.34999999999999992</v>
      </c>
      <c r="V95" s="515">
        <f t="shared" si="193"/>
        <v>0.33999999999999991</v>
      </c>
      <c r="W95" s="515">
        <f t="shared" si="193"/>
        <v>0.3299999999999999</v>
      </c>
      <c r="X95" s="515">
        <f t="shared" si="193"/>
        <v>0.3199999999999999</v>
      </c>
      <c r="Y95" s="515">
        <f t="shared" si="193"/>
        <v>0.30999999999999989</v>
      </c>
      <c r="Z95" s="515">
        <f t="shared" si="193"/>
        <v>0.29999999999999988</v>
      </c>
    </row>
    <row r="96" spans="2:26">
      <c r="C96" s="490"/>
      <c r="D96" s="490"/>
      <c r="E96" s="490"/>
      <c r="F96" s="486"/>
      <c r="G96" s="486"/>
      <c r="H96" s="486"/>
      <c r="I96" s="486"/>
      <c r="J96" s="486"/>
      <c r="K96" s="486"/>
      <c r="L96" s="486"/>
      <c r="M96" s="486"/>
      <c r="N96" s="486"/>
      <c r="O96" s="486"/>
      <c r="P96" s="486"/>
      <c r="Q96" s="486"/>
      <c r="R96" s="486"/>
      <c r="S96" s="486"/>
      <c r="T96" s="486"/>
      <c r="U96" s="486"/>
      <c r="V96" s="486"/>
      <c r="W96" s="486"/>
      <c r="X96" s="486"/>
      <c r="Y96" s="486"/>
      <c r="Z96" s="486"/>
    </row>
    <row r="97" spans="1:26">
      <c r="B97" s="618" t="s">
        <v>1752</v>
      </c>
      <c r="C97" s="490"/>
      <c r="D97" s="490"/>
      <c r="E97" s="490"/>
      <c r="F97" s="486"/>
      <c r="G97" s="486"/>
      <c r="H97" s="486"/>
      <c r="I97" s="486"/>
      <c r="J97" s="486"/>
      <c r="K97" s="738">
        <v>1416</v>
      </c>
      <c r="L97" s="738">
        <v>1315</v>
      </c>
      <c r="M97" s="738">
        <v>1192</v>
      </c>
      <c r="N97" s="486">
        <f>M97-150-425</f>
        <v>617</v>
      </c>
      <c r="O97" s="486">
        <f>N97</f>
        <v>617</v>
      </c>
      <c r="P97" s="486">
        <f t="shared" ref="P97:Q97" si="194">O97</f>
        <v>617</v>
      </c>
      <c r="Q97" s="486">
        <f t="shared" si="194"/>
        <v>617</v>
      </c>
      <c r="R97" s="486">
        <f t="shared" ref="R97:Z97" si="195">Q97</f>
        <v>617</v>
      </c>
      <c r="S97" s="486">
        <f t="shared" si="195"/>
        <v>617</v>
      </c>
      <c r="T97" s="486">
        <f t="shared" si="195"/>
        <v>617</v>
      </c>
      <c r="U97" s="486">
        <f t="shared" si="195"/>
        <v>617</v>
      </c>
      <c r="V97" s="486">
        <f t="shared" si="195"/>
        <v>617</v>
      </c>
      <c r="W97" s="486">
        <f t="shared" si="195"/>
        <v>617</v>
      </c>
      <c r="X97" s="486">
        <f t="shared" si="195"/>
        <v>617</v>
      </c>
      <c r="Y97" s="486">
        <f t="shared" si="195"/>
        <v>617</v>
      </c>
      <c r="Z97" s="486">
        <f t="shared" si="195"/>
        <v>617</v>
      </c>
    </row>
    <row r="98" spans="1:26">
      <c r="B98" s="618" t="s">
        <v>1753</v>
      </c>
      <c r="C98" s="490"/>
      <c r="D98" s="490"/>
      <c r="E98" s="490"/>
      <c r="F98" s="486"/>
      <c r="G98" s="486"/>
      <c r="H98" s="486"/>
      <c r="I98" s="486"/>
      <c r="J98" s="486"/>
      <c r="K98" s="486">
        <f>K67-K97</f>
        <v>618</v>
      </c>
      <c r="L98" s="486">
        <f ca="1">L67-L97</f>
        <v>587</v>
      </c>
      <c r="M98" s="486">
        <f>M67-M97</f>
        <v>598</v>
      </c>
      <c r="N98" s="486">
        <f>N67-N97</f>
        <v>554.86822500000017</v>
      </c>
      <c r="O98" s="486">
        <f t="shared" ref="O98:Q98" si="196">O67-O97</f>
        <v>587.06954999999994</v>
      </c>
      <c r="P98" s="486">
        <f t="shared" si="196"/>
        <v>545.702</v>
      </c>
      <c r="Q98" s="486">
        <f t="shared" si="196"/>
        <v>508.83444999999983</v>
      </c>
      <c r="R98" s="486">
        <f t="shared" ref="R98" si="197">R67-R97</f>
        <v>476.16689999999994</v>
      </c>
      <c r="S98" s="486">
        <f t="shared" ref="S98" si="198">S67-S97</f>
        <v>447.39934999999991</v>
      </c>
      <c r="T98" s="486">
        <f t="shared" ref="T98" si="199">T67-T97</f>
        <v>418.63179999999988</v>
      </c>
      <c r="U98" s="486">
        <f t="shared" ref="U98" si="200">U67-U97</f>
        <v>389.86424999999986</v>
      </c>
      <c r="V98" s="486">
        <f t="shared" ref="V98" si="201">V67-V97</f>
        <v>361.09669999999983</v>
      </c>
      <c r="W98" s="486">
        <f t="shared" ref="W98" si="202">W67-W97</f>
        <v>332.3291499999998</v>
      </c>
      <c r="X98" s="486">
        <f t="shared" ref="X98" si="203">X67-X97</f>
        <v>303.56159999999977</v>
      </c>
      <c r="Y98" s="486">
        <f t="shared" ref="Y98" si="204">Y67-Y97</f>
        <v>274.79404999999974</v>
      </c>
      <c r="Z98" s="486">
        <f t="shared" ref="Z98" si="205">Z67-Z97</f>
        <v>246.02649999999971</v>
      </c>
    </row>
    <row r="99" spans="1:26">
      <c r="C99" s="490"/>
      <c r="D99" s="490"/>
      <c r="E99" s="490"/>
      <c r="F99" s="486"/>
      <c r="G99" s="486"/>
      <c r="H99" s="486"/>
      <c r="I99" s="486"/>
      <c r="J99" s="486"/>
      <c r="K99" s="486"/>
      <c r="L99" s="486"/>
      <c r="M99" s="486"/>
      <c r="N99" s="486"/>
      <c r="O99" s="486"/>
      <c r="P99" s="486"/>
      <c r="Q99" s="486"/>
      <c r="R99" s="486"/>
      <c r="S99" s="486"/>
      <c r="T99" s="486"/>
      <c r="U99" s="486"/>
      <c r="V99" s="486"/>
      <c r="W99" s="486"/>
      <c r="X99" s="486"/>
      <c r="Y99" s="486"/>
      <c r="Z99" s="486"/>
    </row>
    <row r="100" spans="1:26">
      <c r="B100" s="618" t="s">
        <v>1754</v>
      </c>
      <c r="C100" s="852">
        <f t="shared" ref="C100:L100" si="206">C68/C67</f>
        <v>0.12257100149476831</v>
      </c>
      <c r="D100" s="852">
        <f t="shared" si="206"/>
        <v>0.122537361934535</v>
      </c>
      <c r="E100" s="852">
        <f t="shared" si="206"/>
        <v>0.17349298818272779</v>
      </c>
      <c r="F100" s="852">
        <f t="shared" si="206"/>
        <v>0.176253081347576</v>
      </c>
      <c r="G100" s="852">
        <f t="shared" si="206"/>
        <v>0.18166455428812844</v>
      </c>
      <c r="H100" s="852">
        <f t="shared" si="206"/>
        <v>0.24677613312819424</v>
      </c>
      <c r="I100" s="852">
        <f t="shared" si="206"/>
        <v>0.24494809460820513</v>
      </c>
      <c r="J100" s="852">
        <f t="shared" si="206"/>
        <v>0.2529659805000477</v>
      </c>
      <c r="K100" s="852">
        <f t="shared" si="206"/>
        <v>0.26499508357915436</v>
      </c>
      <c r="L100" s="852">
        <f t="shared" ca="1" si="206"/>
        <v>0.26077812828601471</v>
      </c>
      <c r="M100" s="852">
        <f>M68/M67</f>
        <v>0.28268156424581004</v>
      </c>
      <c r="N100" s="852">
        <f>M100+N101</f>
        <v>0.43768156424581006</v>
      </c>
      <c r="O100" s="852">
        <f t="shared" ref="O100:Z100" si="207">N100+O101</f>
        <v>0.45768156424581008</v>
      </c>
      <c r="P100" s="852">
        <f t="shared" si="207"/>
        <v>0.4776815642458101</v>
      </c>
      <c r="Q100" s="852">
        <f t="shared" si="207"/>
        <v>0.49768156424581012</v>
      </c>
      <c r="R100" s="852">
        <f t="shared" si="207"/>
        <v>0.51768156424581013</v>
      </c>
      <c r="S100" s="852">
        <f t="shared" si="207"/>
        <v>0.53768156424581015</v>
      </c>
      <c r="T100" s="852">
        <f t="shared" si="207"/>
        <v>0.55768156424581017</v>
      </c>
      <c r="U100" s="852">
        <f t="shared" si="207"/>
        <v>0.57768156424581019</v>
      </c>
      <c r="V100" s="852">
        <f t="shared" si="207"/>
        <v>0.5976815642458102</v>
      </c>
      <c r="W100" s="852">
        <f t="shared" si="207"/>
        <v>0.61768156424581022</v>
      </c>
      <c r="X100" s="852">
        <f t="shared" si="207"/>
        <v>0.63768156424581024</v>
      </c>
      <c r="Y100" s="852">
        <f t="shared" si="207"/>
        <v>0.65768156424581026</v>
      </c>
      <c r="Z100" s="852">
        <f t="shared" si="207"/>
        <v>0.67768156424581028</v>
      </c>
    </row>
    <row r="101" spans="1:26">
      <c r="B101" s="618" t="s">
        <v>222</v>
      </c>
      <c r="C101" s="852"/>
      <c r="D101" s="852">
        <f t="shared" ref="D101:L101" si="208">D100-C100</f>
        <v>-3.3639560233306165E-5</v>
      </c>
      <c r="E101" s="852">
        <f t="shared" si="208"/>
        <v>5.095562624819279E-2</v>
      </c>
      <c r="F101" s="852">
        <f t="shared" si="208"/>
        <v>2.7600931648482097E-3</v>
      </c>
      <c r="G101" s="852">
        <f t="shared" si="208"/>
        <v>5.411472940552442E-3</v>
      </c>
      <c r="H101" s="852">
        <f t="shared" si="208"/>
        <v>6.5111578840065798E-2</v>
      </c>
      <c r="I101" s="852">
        <f t="shared" si="208"/>
        <v>-1.8280385199891114E-3</v>
      </c>
      <c r="J101" s="852">
        <f t="shared" si="208"/>
        <v>8.0178858918425744E-3</v>
      </c>
      <c r="K101" s="852">
        <f t="shared" si="208"/>
        <v>1.2029103079106651E-2</v>
      </c>
      <c r="L101" s="852">
        <f t="shared" ca="1" si="208"/>
        <v>-4.2169552931396459E-3</v>
      </c>
      <c r="M101" s="852">
        <f ca="1">M100-L100</f>
        <v>2.1903435959795325E-2</v>
      </c>
      <c r="N101" s="854">
        <v>0.155</v>
      </c>
      <c r="O101" s="854">
        <v>0.02</v>
      </c>
      <c r="P101" s="854">
        <v>0.02</v>
      </c>
      <c r="Q101" s="854">
        <v>0.02</v>
      </c>
      <c r="R101" s="854">
        <v>0.02</v>
      </c>
      <c r="S101" s="854">
        <v>0.02</v>
      </c>
      <c r="T101" s="854">
        <v>0.02</v>
      </c>
      <c r="U101" s="854">
        <v>0.02</v>
      </c>
      <c r="V101" s="854">
        <v>0.02</v>
      </c>
      <c r="W101" s="854">
        <v>0.02</v>
      </c>
      <c r="X101" s="854">
        <v>0.02</v>
      </c>
      <c r="Y101" s="854">
        <v>0.02</v>
      </c>
      <c r="Z101" s="854">
        <v>0.02</v>
      </c>
    </row>
    <row r="102" spans="1:26" s="852" customFormat="1">
      <c r="A102" s="489"/>
      <c r="B102" s="489"/>
      <c r="H102" s="853"/>
    </row>
    <row r="103" spans="1:26" s="852" customFormat="1">
      <c r="A103" s="489"/>
      <c r="B103" s="58" t="s">
        <v>1990</v>
      </c>
    </row>
    <row r="104" spans="1:26">
      <c r="B104" s="489" t="s">
        <v>628</v>
      </c>
      <c r="C104" s="852">
        <f>C72/C$52</f>
        <v>0.16746871992300288</v>
      </c>
      <c r="D104" s="852">
        <f>D72/D$52</f>
        <v>0.13958908738371262</v>
      </c>
      <c r="E104" s="852">
        <f>E72/E$52</f>
        <v>0.15796473198310051</v>
      </c>
      <c r="F104" s="852">
        <f>F72/F$52</f>
        <v>0.17292983039574328</v>
      </c>
      <c r="G104" s="852">
        <f>G72/G$52</f>
        <v>0.18938401048492792</v>
      </c>
      <c r="H104" s="853">
        <f>H72/H$38</f>
        <v>0.24974481027198484</v>
      </c>
      <c r="I104" s="853">
        <f t="shared" ref="I104:Z104" si="209">I72/I$38</f>
        <v>0.24846971623609537</v>
      </c>
      <c r="J104" s="853">
        <f t="shared" si="209"/>
        <v>0.25417326764085862</v>
      </c>
      <c r="K104" s="853">
        <f t="shared" si="209"/>
        <v>0.2690797430010391</v>
      </c>
      <c r="L104" s="853">
        <f t="shared" ca="1" si="209"/>
        <v>0.28588768995371566</v>
      </c>
      <c r="M104" s="853">
        <f t="shared" si="209"/>
        <v>0.3043662568885121</v>
      </c>
      <c r="N104" s="853">
        <f t="shared" ca="1" si="209"/>
        <v>0.3157642420494004</v>
      </c>
      <c r="O104" s="853">
        <f t="shared" ca="1" si="209"/>
        <v>0.34686436296356893</v>
      </c>
      <c r="P104" s="853">
        <f t="shared" ca="1" si="209"/>
        <v>0.37885735489971184</v>
      </c>
      <c r="Q104" s="853">
        <f t="shared" ca="1" si="209"/>
        <v>0.41377983631749743</v>
      </c>
      <c r="R104" s="853">
        <f t="shared" ca="1" si="209"/>
        <v>0.44855827076200666</v>
      </c>
      <c r="S104" s="853">
        <f t="shared" ca="1" si="209"/>
        <v>0.48926559058961677</v>
      </c>
      <c r="T104" s="853">
        <f t="shared" ca="1" si="209"/>
        <v>0.52487485941413048</v>
      </c>
      <c r="U104" s="853">
        <f t="shared" ca="1" si="209"/>
        <v>0.56047915258470771</v>
      </c>
      <c r="V104" s="853">
        <f t="shared" ca="1" si="209"/>
        <v>0.59607853080473139</v>
      </c>
      <c r="W104" s="853">
        <f t="shared" ca="1" si="209"/>
        <v>0.63167305379413508</v>
      </c>
      <c r="X104" s="853">
        <f t="shared" ca="1" si="209"/>
        <v>0.66726278030923947</v>
      </c>
      <c r="Y104" s="853">
        <f t="shared" ca="1" si="209"/>
        <v>0.70284776816210925</v>
      </c>
      <c r="Z104" s="853">
        <f t="shared" ca="1" si="209"/>
        <v>0.73842807423944579</v>
      </c>
    </row>
    <row r="105" spans="1:26">
      <c r="B105" s="749" t="s">
        <v>1471</v>
      </c>
      <c r="C105" s="852">
        <f t="shared" ref="C105:G105" si="210">C104</f>
        <v>0.16746871992300288</v>
      </c>
      <c r="D105" s="852">
        <f t="shared" si="210"/>
        <v>0.13958908738371262</v>
      </c>
      <c r="E105" s="852">
        <f t="shared" si="210"/>
        <v>0.15796473198310051</v>
      </c>
      <c r="F105" s="852">
        <f t="shared" si="210"/>
        <v>0.17292983039574328</v>
      </c>
      <c r="G105" s="852">
        <f t="shared" si="210"/>
        <v>0.18938401048492792</v>
      </c>
      <c r="H105" s="852">
        <f t="shared" ref="H105:L105" si="211">H70/H38</f>
        <v>0.24974481027198484</v>
      </c>
      <c r="I105" s="852">
        <f t="shared" si="211"/>
        <v>0.24846971623609537</v>
      </c>
      <c r="J105" s="852">
        <f t="shared" si="211"/>
        <v>0.25417326764085862</v>
      </c>
      <c r="K105" s="852">
        <f t="shared" si="211"/>
        <v>0.2690797430010391</v>
      </c>
      <c r="L105" s="852">
        <f t="shared" si="211"/>
        <v>0.28068184430964194</v>
      </c>
      <c r="M105" s="852">
        <f ca="1">M70/M38</f>
        <v>0.29417615025923632</v>
      </c>
      <c r="N105" s="852">
        <f t="shared" ref="N105:Z105" ca="1" si="212">N70/N38</f>
        <v>0.30221374999309525</v>
      </c>
      <c r="O105" s="852">
        <f t="shared" ca="1" si="212"/>
        <v>0.32514206445578475</v>
      </c>
      <c r="P105" s="852">
        <f t="shared" ca="1" si="212"/>
        <v>0.34695217704717218</v>
      </c>
      <c r="Q105" s="852">
        <f t="shared" ca="1" si="212"/>
        <v>0.36663103092049076</v>
      </c>
      <c r="R105" s="852">
        <f t="shared" ca="1" si="212"/>
        <v>0.38113684755632843</v>
      </c>
      <c r="S105" s="852">
        <f t="shared" ca="1" si="212"/>
        <v>0.39129345234308394</v>
      </c>
      <c r="T105" s="852">
        <f t="shared" ca="1" si="212"/>
        <v>0.39635652203523708</v>
      </c>
      <c r="U105" s="852">
        <f t="shared" ca="1" si="212"/>
        <v>0.40141907666252985</v>
      </c>
      <c r="V105" s="852">
        <f t="shared" ca="1" si="212"/>
        <v>0.40648112250879542</v>
      </c>
      <c r="W105" s="852">
        <f t="shared" ca="1" si="212"/>
        <v>0.4115426657560633</v>
      </c>
      <c r="X105" s="852">
        <f t="shared" ca="1" si="212"/>
        <v>0.4166037124866126</v>
      </c>
      <c r="Y105" s="852">
        <f t="shared" ca="1" si="212"/>
        <v>0.42166426868497592</v>
      </c>
      <c r="Z105" s="852">
        <f t="shared" ca="1" si="212"/>
        <v>0.42672434023989492</v>
      </c>
    </row>
    <row r="106" spans="1:26" outlineLevel="1">
      <c r="B106" s="749" t="s">
        <v>1472</v>
      </c>
      <c r="C106" s="514">
        <f>C71/C52</f>
        <v>0</v>
      </c>
      <c r="D106" s="514">
        <f>D71/D52</f>
        <v>0</v>
      </c>
      <c r="E106" s="514">
        <f>E71/E52</f>
        <v>0</v>
      </c>
      <c r="F106" s="514">
        <f>F71/F52</f>
        <v>0</v>
      </c>
      <c r="G106" s="514">
        <f>G71/G52</f>
        <v>0</v>
      </c>
      <c r="H106" s="490">
        <f t="shared" ref="H106:Z106" si="213">H71/H38</f>
        <v>0</v>
      </c>
      <c r="I106" s="490">
        <f t="shared" si="213"/>
        <v>0</v>
      </c>
      <c r="J106" s="490">
        <f t="shared" si="213"/>
        <v>0</v>
      </c>
      <c r="K106" s="490">
        <f t="shared" si="213"/>
        <v>0</v>
      </c>
      <c r="L106" s="490">
        <f t="shared" si="213"/>
        <v>5.2058456440737299E-3</v>
      </c>
      <c r="M106" s="490">
        <f t="shared" ca="1" si="213"/>
        <v>1.019010662927577E-2</v>
      </c>
      <c r="N106" s="490">
        <f t="shared" ca="1" si="213"/>
        <v>1.3550492056305161E-2</v>
      </c>
      <c r="O106" s="490">
        <f t="shared" ca="1" si="213"/>
        <v>2.1722298507784163E-2</v>
      </c>
      <c r="P106" s="490">
        <f t="shared" ca="1" si="213"/>
        <v>3.1905177852539705E-2</v>
      </c>
      <c r="Q106" s="490">
        <f t="shared" ca="1" si="213"/>
        <v>4.7148805397006693E-2</v>
      </c>
      <c r="R106" s="490">
        <f t="shared" ca="1" si="213"/>
        <v>6.7421423205678163E-2</v>
      </c>
      <c r="S106" s="490">
        <f t="shared" ca="1" si="213"/>
        <v>9.7972138246532836E-2</v>
      </c>
      <c r="T106" s="490">
        <f t="shared" ca="1" si="213"/>
        <v>0.1285183373788934</v>
      </c>
      <c r="U106" s="490">
        <f t="shared" ca="1" si="213"/>
        <v>0.15906007592217794</v>
      </c>
      <c r="V106" s="490">
        <f t="shared" ca="1" si="213"/>
        <v>0.18959740829593597</v>
      </c>
      <c r="W106" s="490">
        <f t="shared" ca="1" si="213"/>
        <v>0.22013038803807181</v>
      </c>
      <c r="X106" s="490">
        <f t="shared" ca="1" si="213"/>
        <v>0.25065906782262687</v>
      </c>
      <c r="Y106" s="490">
        <f t="shared" ca="1" si="213"/>
        <v>0.28118349947713334</v>
      </c>
      <c r="Z106" s="490">
        <f t="shared" ca="1" si="213"/>
        <v>0.31170373399955092</v>
      </c>
    </row>
    <row r="107" spans="1:26">
      <c r="B107" s="489" t="s">
        <v>620</v>
      </c>
      <c r="C107" s="852">
        <f t="shared" ref="C107:G107" si="214">C73/C$52</f>
        <v>0.14051973051010588</v>
      </c>
      <c r="D107" s="852">
        <f t="shared" si="214"/>
        <v>0.11743825358337555</v>
      </c>
      <c r="E107" s="852">
        <f t="shared" si="214"/>
        <v>0.14595078828901958</v>
      </c>
      <c r="F107" s="852">
        <f t="shared" si="214"/>
        <v>0.16461589624210177</v>
      </c>
      <c r="G107" s="852">
        <f t="shared" si="214"/>
        <v>0.18184796854521626</v>
      </c>
      <c r="H107" s="853">
        <f t="shared" ref="H107:M107" si="215">H73/H$38</f>
        <v>0.19104464623698489</v>
      </c>
      <c r="I107" s="852">
        <f t="shared" si="215"/>
        <v>0.18394829827199993</v>
      </c>
      <c r="J107" s="852">
        <f t="shared" si="215"/>
        <v>0.18560004055612586</v>
      </c>
      <c r="K107" s="852">
        <f t="shared" si="215"/>
        <v>0.1942165394633891</v>
      </c>
      <c r="L107" s="852">
        <f t="shared" ca="1" si="215"/>
        <v>0.20606472341125182</v>
      </c>
      <c r="M107" s="852">
        <f t="shared" si="215"/>
        <v>0.22551928783382788</v>
      </c>
      <c r="N107" s="854">
        <f>M107+3%</f>
        <v>0.25551928783382788</v>
      </c>
      <c r="O107" s="854">
        <f>N107+2%</f>
        <v>0.2755192878338279</v>
      </c>
      <c r="P107" s="854">
        <f>O107+2%</f>
        <v>0.29551928783382791</v>
      </c>
      <c r="Q107" s="854">
        <f>P107+1%</f>
        <v>0.30551928783382792</v>
      </c>
      <c r="R107" s="854">
        <f>Q107+1%</f>
        <v>0.31551928783382793</v>
      </c>
      <c r="S107" s="854">
        <f>R107+1%</f>
        <v>0.32551928783382794</v>
      </c>
      <c r="T107" s="854">
        <f>S107+1%</f>
        <v>0.33551928783382795</v>
      </c>
      <c r="U107" s="854">
        <f t="shared" ref="U107:Z107" si="216">T107+1%</f>
        <v>0.34551928783382796</v>
      </c>
      <c r="V107" s="854">
        <f t="shared" si="216"/>
        <v>0.35551928783382797</v>
      </c>
      <c r="W107" s="854">
        <f t="shared" si="216"/>
        <v>0.36551928783382798</v>
      </c>
      <c r="X107" s="854">
        <f t="shared" si="216"/>
        <v>0.37551928783382799</v>
      </c>
      <c r="Y107" s="854">
        <f t="shared" si="216"/>
        <v>0.38551928783382799</v>
      </c>
      <c r="Z107" s="854">
        <f t="shared" si="216"/>
        <v>0.395519287833828</v>
      </c>
    </row>
    <row r="108" spans="1:26">
      <c r="C108" s="486"/>
      <c r="D108" s="486"/>
      <c r="E108" s="486"/>
      <c r="F108" s="486"/>
      <c r="G108" s="486"/>
      <c r="H108" s="486"/>
      <c r="I108" s="486"/>
      <c r="J108" s="486"/>
      <c r="K108" s="486"/>
      <c r="L108" s="486"/>
      <c r="M108" s="486"/>
      <c r="N108" s="486"/>
      <c r="O108" s="486"/>
      <c r="P108" s="486"/>
      <c r="Q108" s="486"/>
      <c r="R108" s="486"/>
      <c r="S108" s="486"/>
      <c r="T108" s="486"/>
      <c r="U108" s="486"/>
      <c r="V108" s="486"/>
      <c r="W108" s="486"/>
      <c r="X108" s="486"/>
      <c r="Y108" s="486"/>
      <c r="Z108" s="486"/>
    </row>
    <row r="109" spans="1:26">
      <c r="B109" s="58" t="s">
        <v>1991</v>
      </c>
      <c r="C109" s="1172">
        <f t="shared" ref="C109:F109" si="217">C72/C$45</f>
        <v>0.1673076923076923</v>
      </c>
      <c r="D109" s="1172">
        <f t="shared" si="217"/>
        <v>0.18950187617260786</v>
      </c>
      <c r="E109" s="1172">
        <f t="shared" si="217"/>
        <v>0.19675095785440613</v>
      </c>
      <c r="F109" s="1172">
        <f t="shared" si="217"/>
        <v>0.21390374331550802</v>
      </c>
      <c r="G109" s="1172">
        <f>G72/G$45</f>
        <v>0.23157051282051283</v>
      </c>
      <c r="H109" s="1172">
        <f t="shared" ref="H109:Z109" si="218">H72/H$38</f>
        <v>0.24974481027198484</v>
      </c>
      <c r="I109" s="1172">
        <f t="shared" si="218"/>
        <v>0.24846971623609537</v>
      </c>
      <c r="J109" s="1172">
        <f t="shared" si="218"/>
        <v>0.25417326764085862</v>
      </c>
      <c r="K109" s="1172">
        <f t="shared" si="218"/>
        <v>0.2690797430010391</v>
      </c>
      <c r="L109" s="1172">
        <f t="shared" ca="1" si="218"/>
        <v>0.28588768995371566</v>
      </c>
      <c r="M109" s="1172">
        <f t="shared" si="218"/>
        <v>0.3043662568885121</v>
      </c>
      <c r="N109" s="1172">
        <f t="shared" ca="1" si="218"/>
        <v>0.3157642420494004</v>
      </c>
      <c r="O109" s="1172">
        <f t="shared" ca="1" si="218"/>
        <v>0.34686436296356893</v>
      </c>
      <c r="P109" s="1172">
        <f t="shared" ca="1" si="218"/>
        <v>0.37885735489971184</v>
      </c>
      <c r="Q109" s="1172">
        <f t="shared" ca="1" si="218"/>
        <v>0.41377983631749743</v>
      </c>
      <c r="R109" s="1172">
        <f t="shared" ca="1" si="218"/>
        <v>0.44855827076200666</v>
      </c>
      <c r="S109" s="1172">
        <f t="shared" ca="1" si="218"/>
        <v>0.48926559058961677</v>
      </c>
      <c r="T109" s="1172">
        <f t="shared" ca="1" si="218"/>
        <v>0.52487485941413048</v>
      </c>
      <c r="U109" s="1172">
        <f t="shared" ca="1" si="218"/>
        <v>0.56047915258470771</v>
      </c>
      <c r="V109" s="1172">
        <f t="shared" ca="1" si="218"/>
        <v>0.59607853080473139</v>
      </c>
      <c r="W109" s="1172">
        <f t="shared" ca="1" si="218"/>
        <v>0.63167305379413508</v>
      </c>
      <c r="X109" s="1172">
        <f t="shared" ca="1" si="218"/>
        <v>0.66726278030923947</v>
      </c>
      <c r="Y109" s="1172">
        <f t="shared" ca="1" si="218"/>
        <v>0.70284776816210925</v>
      </c>
      <c r="Z109" s="1172">
        <f t="shared" ca="1" si="218"/>
        <v>0.73842807423944579</v>
      </c>
    </row>
    <row r="110" spans="1:26">
      <c r="B110" s="618" t="s">
        <v>1772</v>
      </c>
      <c r="C110" s="528">
        <f t="shared" ref="C110:F110" si="219">C70/C45</f>
        <v>0.1673076923076923</v>
      </c>
      <c r="D110" s="528">
        <f t="shared" si="219"/>
        <v>0.18950187617260786</v>
      </c>
      <c r="E110" s="528">
        <f t="shared" si="219"/>
        <v>0.19675095785440613</v>
      </c>
      <c r="F110" s="528">
        <f t="shared" si="219"/>
        <v>0.21390374331550802</v>
      </c>
      <c r="G110" s="528">
        <f>G70/G45</f>
        <v>0.23157051282051283</v>
      </c>
      <c r="H110" s="528">
        <f t="shared" ref="H110:M110" si="220">H70/H38</f>
        <v>0.24974481027198484</v>
      </c>
      <c r="I110" s="528">
        <f t="shared" si="220"/>
        <v>0.24846971623609537</v>
      </c>
      <c r="J110" s="528">
        <f t="shared" si="220"/>
        <v>0.25417326764085862</v>
      </c>
      <c r="K110" s="528">
        <f t="shared" si="220"/>
        <v>0.2690797430010391</v>
      </c>
      <c r="L110" s="528">
        <f t="shared" si="220"/>
        <v>0.28068184430964194</v>
      </c>
      <c r="M110" s="528">
        <f t="shared" ca="1" si="220"/>
        <v>0.29417615025923632</v>
      </c>
      <c r="N110" s="528">
        <f ca="1">M110+N121</f>
        <v>0.29417615025923632</v>
      </c>
      <c r="O110" s="528">
        <f t="shared" ref="O110:Z110" ca="1" si="221">N110+O121</f>
        <v>0.31717615025923634</v>
      </c>
      <c r="P110" s="528">
        <f t="shared" ca="1" si="221"/>
        <v>0.33917615025923636</v>
      </c>
      <c r="Q110" s="528">
        <f t="shared" ca="1" si="221"/>
        <v>0.35917615025923638</v>
      </c>
      <c r="R110" s="528">
        <f t="shared" ca="1" si="221"/>
        <v>0.3741761502592364</v>
      </c>
      <c r="S110" s="528">
        <f t="shared" ca="1" si="221"/>
        <v>0.3841761502592364</v>
      </c>
      <c r="T110" s="528">
        <f t="shared" ca="1" si="221"/>
        <v>0.38917615025923641</v>
      </c>
      <c r="U110" s="528">
        <f t="shared" ca="1" si="221"/>
        <v>0.39417615025923641</v>
      </c>
      <c r="V110" s="528">
        <f t="shared" ca="1" si="221"/>
        <v>0.39917615025923642</v>
      </c>
      <c r="W110" s="528">
        <f t="shared" ca="1" si="221"/>
        <v>0.40417615025923642</v>
      </c>
      <c r="X110" s="528">
        <f t="shared" ca="1" si="221"/>
        <v>0.40917615025923643</v>
      </c>
      <c r="Y110" s="528">
        <f t="shared" ca="1" si="221"/>
        <v>0.41417615025923643</v>
      </c>
      <c r="Z110" s="528">
        <f t="shared" ca="1" si="221"/>
        <v>0.41917615025923644</v>
      </c>
    </row>
    <row r="111" spans="1:26">
      <c r="B111" s="618"/>
      <c r="C111" s="528"/>
      <c r="D111" s="528"/>
      <c r="E111" s="528"/>
      <c r="F111" s="528"/>
      <c r="G111" s="528"/>
      <c r="H111" s="528"/>
      <c r="I111" s="528"/>
      <c r="J111" s="528"/>
      <c r="K111" s="528"/>
      <c r="L111" s="528"/>
      <c r="M111" s="528"/>
      <c r="N111" s="528"/>
      <c r="O111" s="528"/>
      <c r="P111" s="528"/>
      <c r="Q111" s="528"/>
      <c r="R111" s="528"/>
      <c r="S111" s="528"/>
      <c r="T111" s="528"/>
      <c r="U111" s="528"/>
      <c r="V111" s="528"/>
      <c r="W111" s="528"/>
      <c r="X111" s="528"/>
      <c r="Y111" s="528"/>
      <c r="Z111" s="528"/>
    </row>
    <row r="112" spans="1:26">
      <c r="B112" s="536" t="s">
        <v>1997</v>
      </c>
      <c r="C112" s="528"/>
      <c r="D112" s="528"/>
      <c r="E112" s="528"/>
      <c r="F112" s="528"/>
      <c r="G112" s="528"/>
      <c r="H112" s="528"/>
      <c r="I112" s="1173">
        <f t="shared" ref="I112:Z112" si="222">I168/I38</f>
        <v>0.20890206725645144</v>
      </c>
      <c r="J112" s="1173">
        <f t="shared" si="222"/>
        <v>0.2148845206984103</v>
      </c>
      <c r="K112" s="1173">
        <f t="shared" si="222"/>
        <v>0.22929529769245938</v>
      </c>
      <c r="L112" s="1173">
        <f t="shared" si="222"/>
        <v>0.24033654056807055</v>
      </c>
      <c r="M112" s="1173">
        <f t="shared" ca="1" si="222"/>
        <v>0.2547526657318942</v>
      </c>
      <c r="N112" s="1173">
        <f t="shared" ca="1" si="222"/>
        <v>0.28245754990902627</v>
      </c>
      <c r="O112" s="1173">
        <f t="shared" ca="1" si="222"/>
        <v>0.30546856089781071</v>
      </c>
      <c r="P112" s="1173">
        <f t="shared" ca="1" si="222"/>
        <v>0.32736068059031515</v>
      </c>
      <c r="Q112" s="1173">
        <f t="shared" ca="1" si="222"/>
        <v>0.34712086072538906</v>
      </c>
      <c r="R112" s="1173">
        <f t="shared" ca="1" si="222"/>
        <v>0.36170733122726684</v>
      </c>
      <c r="S112" s="1173">
        <f t="shared" ca="1" si="222"/>
        <v>0.37194392578894642</v>
      </c>
      <c r="T112" s="1173">
        <f t="shared" ca="1" si="222"/>
        <v>0.37708632933331004</v>
      </c>
      <c r="U112" s="1173">
        <f t="shared" ca="1" si="222"/>
        <v>0.382227569925086</v>
      </c>
      <c r="V112" s="1173">
        <f t="shared" ca="1" si="222"/>
        <v>0.3873676617523904</v>
      </c>
      <c r="W112" s="1173">
        <f t="shared" ca="1" si="222"/>
        <v>0.39250661877347925</v>
      </c>
      <c r="X112" s="1173">
        <f t="shared" ca="1" si="222"/>
        <v>0.39764445472138465</v>
      </c>
      <c r="Y112" s="1173">
        <f t="shared" ca="1" si="222"/>
        <v>0.40278118310843913</v>
      </c>
      <c r="Z112" s="1173">
        <f t="shared" ca="1" si="222"/>
        <v>0.40791681723069123</v>
      </c>
    </row>
    <row r="113" spans="2:26">
      <c r="B113" s="536" t="s">
        <v>1998</v>
      </c>
      <c r="C113" s="528"/>
      <c r="D113" s="528"/>
      <c r="E113" s="528"/>
      <c r="F113" s="528"/>
      <c r="G113" s="528"/>
      <c r="H113" s="528"/>
      <c r="I113" s="528"/>
      <c r="J113" s="1173"/>
      <c r="K113" s="1173">
        <f>K112-J112</f>
        <v>1.4410776994049079E-2</v>
      </c>
      <c r="L113" s="1173">
        <f t="shared" ref="L113:Z113" si="223">L112-K112</f>
        <v>1.1041242875611174E-2</v>
      </c>
      <c r="M113" s="1173">
        <f t="shared" ca="1" si="223"/>
        <v>1.4416125163823651E-2</v>
      </c>
      <c r="N113" s="1173">
        <f t="shared" ca="1" si="223"/>
        <v>2.7704884177132072E-2</v>
      </c>
      <c r="O113" s="1173">
        <f t="shared" ca="1" si="223"/>
        <v>2.3011010988784442E-2</v>
      </c>
      <c r="P113" s="1173">
        <f t="shared" ca="1" si="223"/>
        <v>2.189211969250443E-2</v>
      </c>
      <c r="Q113" s="1173">
        <f t="shared" ca="1" si="223"/>
        <v>1.9760180135073913E-2</v>
      </c>
      <c r="R113" s="1173">
        <f t="shared" ca="1" si="223"/>
        <v>1.458647050187778E-2</v>
      </c>
      <c r="S113" s="1173">
        <f t="shared" ca="1" si="223"/>
        <v>1.0236594561679579E-2</v>
      </c>
      <c r="T113" s="1173">
        <f t="shared" ca="1" si="223"/>
        <v>5.1424035443636273E-3</v>
      </c>
      <c r="U113" s="1173">
        <f t="shared" ca="1" si="223"/>
        <v>5.1412405917759529E-3</v>
      </c>
      <c r="V113" s="1173">
        <f t="shared" ca="1" si="223"/>
        <v>5.1400918273044049E-3</v>
      </c>
      <c r="W113" s="1173">
        <f t="shared" ca="1" si="223"/>
        <v>5.1389570210888524E-3</v>
      </c>
      <c r="X113" s="1173">
        <f t="shared" ca="1" si="223"/>
        <v>5.1378359479054003E-3</v>
      </c>
      <c r="Y113" s="1173">
        <f t="shared" ca="1" si="223"/>
        <v>5.1367283870544789E-3</v>
      </c>
      <c r="Z113" s="1173">
        <f t="shared" ca="1" si="223"/>
        <v>5.1356341222520974E-3</v>
      </c>
    </row>
    <row r="114" spans="2:26">
      <c r="B114" s="536"/>
      <c r="C114" s="528"/>
      <c r="D114" s="528"/>
      <c r="E114" s="528"/>
      <c r="F114" s="528"/>
      <c r="G114" s="528"/>
      <c r="H114" s="528"/>
      <c r="I114" s="528"/>
      <c r="J114" s="528"/>
      <c r="K114" s="528"/>
      <c r="L114" s="528"/>
      <c r="M114" s="528"/>
      <c r="N114" s="528"/>
      <c r="O114" s="528"/>
      <c r="P114" s="528"/>
      <c r="Q114" s="528"/>
      <c r="R114" s="528"/>
      <c r="S114" s="528"/>
      <c r="T114" s="528"/>
      <c r="U114" s="528"/>
      <c r="V114" s="528"/>
      <c r="W114" s="528"/>
      <c r="X114" s="528"/>
      <c r="Y114" s="528"/>
      <c r="Z114" s="528"/>
    </row>
    <row r="115" spans="2:26">
      <c r="B115" s="618" t="s">
        <v>1773</v>
      </c>
      <c r="C115" s="528">
        <f t="shared" ref="C115:F115" si="224">C71/C45</f>
        <v>0</v>
      </c>
      <c r="D115" s="528">
        <f t="shared" si="224"/>
        <v>0</v>
      </c>
      <c r="E115" s="528">
        <f t="shared" si="224"/>
        <v>0</v>
      </c>
      <c r="F115" s="528">
        <f t="shared" si="224"/>
        <v>0</v>
      </c>
      <c r="G115" s="528">
        <f>G71/G45</f>
        <v>0</v>
      </c>
      <c r="H115" s="528">
        <f t="shared" ref="H115:M115" si="225">H71/H38</f>
        <v>0</v>
      </c>
      <c r="I115" s="528">
        <f t="shared" si="225"/>
        <v>0</v>
      </c>
      <c r="J115" s="528">
        <f t="shared" si="225"/>
        <v>0</v>
      </c>
      <c r="K115" s="528">
        <f t="shared" si="225"/>
        <v>0</v>
      </c>
      <c r="L115" s="528">
        <f t="shared" si="225"/>
        <v>5.2058456440737299E-3</v>
      </c>
      <c r="M115" s="528">
        <f t="shared" ca="1" si="225"/>
        <v>1.019010662927577E-2</v>
      </c>
      <c r="N115" s="528">
        <f ca="1">M115+N122</f>
        <v>1.319010662927577E-2</v>
      </c>
      <c r="O115" s="528">
        <f t="shared" ref="O115:Z115" ca="1" si="226">N115+O122</f>
        <v>2.1190106629275771E-2</v>
      </c>
      <c r="P115" s="528">
        <f t="shared" ca="1" si="226"/>
        <v>3.1190106629275773E-2</v>
      </c>
      <c r="Q115" s="528">
        <f t="shared" ca="1" si="226"/>
        <v>4.6190106629275772E-2</v>
      </c>
      <c r="R115" s="528">
        <f t="shared" ca="1" si="226"/>
        <v>6.6190106629275769E-2</v>
      </c>
      <c r="S115" s="528">
        <f t="shared" ca="1" si="226"/>
        <v>9.6190106629275768E-2</v>
      </c>
      <c r="T115" s="528">
        <f t="shared" ca="1" si="226"/>
        <v>0.12619010662927577</v>
      </c>
      <c r="U115" s="528">
        <f t="shared" ca="1" si="226"/>
        <v>0.15619010662927577</v>
      </c>
      <c r="V115" s="528">
        <f t="shared" ca="1" si="226"/>
        <v>0.18619010662927576</v>
      </c>
      <c r="W115" s="528">
        <f t="shared" ca="1" si="226"/>
        <v>0.21619010662927576</v>
      </c>
      <c r="X115" s="528">
        <f t="shared" ca="1" si="226"/>
        <v>0.24619010662927576</v>
      </c>
      <c r="Y115" s="528">
        <f t="shared" ca="1" si="226"/>
        <v>0.27619010662927579</v>
      </c>
      <c r="Z115" s="528">
        <f t="shared" ca="1" si="226"/>
        <v>0.30619010662927582</v>
      </c>
    </row>
    <row r="116" spans="2:26">
      <c r="B116" s="618" t="s">
        <v>1992</v>
      </c>
      <c r="C116" s="528"/>
      <c r="D116" s="528"/>
      <c r="E116" s="528"/>
      <c r="F116" s="528"/>
      <c r="G116" s="528"/>
      <c r="H116" s="528"/>
      <c r="I116" s="528"/>
      <c r="J116" s="528"/>
      <c r="K116" s="528"/>
      <c r="L116" s="1169">
        <f>L71</f>
        <v>12</v>
      </c>
      <c r="M116" s="1169">
        <f ca="1">M71</f>
        <v>24.03846153846154</v>
      </c>
      <c r="N116" s="629">
        <f ca="1">($Z$116-$M$116)/13+M116</f>
        <v>33.723195266272192</v>
      </c>
      <c r="O116" s="629">
        <f t="shared" ref="O116:Y116" ca="1" si="227">($Z$116-$M$116)/13+N116</f>
        <v>43.407928994082845</v>
      </c>
      <c r="P116" s="629">
        <f t="shared" ca="1" si="227"/>
        <v>53.092662721893497</v>
      </c>
      <c r="Q116" s="629">
        <f t="shared" ca="1" si="227"/>
        <v>62.777396449704149</v>
      </c>
      <c r="R116" s="629">
        <f t="shared" ca="1" si="227"/>
        <v>72.462130177514794</v>
      </c>
      <c r="S116" s="629">
        <f t="shared" ca="1" si="227"/>
        <v>82.146863905325446</v>
      </c>
      <c r="T116" s="629">
        <f t="shared" ca="1" si="227"/>
        <v>91.831597633136099</v>
      </c>
      <c r="U116" s="629">
        <f t="shared" ca="1" si="227"/>
        <v>101.51633136094675</v>
      </c>
      <c r="V116" s="629">
        <f t="shared" ca="1" si="227"/>
        <v>111.2010650887574</v>
      </c>
      <c r="W116" s="629">
        <f t="shared" ca="1" si="227"/>
        <v>120.88579881656806</v>
      </c>
      <c r="X116" s="629">
        <f t="shared" ca="1" si="227"/>
        <v>130.57053254437869</v>
      </c>
      <c r="Y116" s="629">
        <f t="shared" ca="1" si="227"/>
        <v>140.25526627218935</v>
      </c>
      <c r="Z116" s="996">
        <f>Z38*0.06</f>
        <v>149.94</v>
      </c>
    </row>
    <row r="117" spans="2:26">
      <c r="B117" s="618" t="s">
        <v>1999</v>
      </c>
      <c r="C117" s="528"/>
      <c r="D117" s="528"/>
      <c r="E117" s="528"/>
      <c r="F117" s="528"/>
      <c r="G117" s="528"/>
      <c r="H117" s="528"/>
      <c r="I117" s="528"/>
      <c r="J117" s="528"/>
      <c r="K117" s="528"/>
      <c r="L117" s="1258">
        <v>0</v>
      </c>
      <c r="M117" s="1258">
        <v>0</v>
      </c>
      <c r="N117" s="1186">
        <f>($Z$117-$M$117)/13+M117</f>
        <v>6.1538461538461542E-2</v>
      </c>
      <c r="O117" s="1186">
        <f t="shared" ref="O117:Y117" si="228">($Z$117-$M$117)/13+N117</f>
        <v>0.12307692307692308</v>
      </c>
      <c r="P117" s="1186">
        <f t="shared" si="228"/>
        <v>0.18461538461538463</v>
      </c>
      <c r="Q117" s="1186">
        <f t="shared" si="228"/>
        <v>0.24615384615384617</v>
      </c>
      <c r="R117" s="1186">
        <f t="shared" si="228"/>
        <v>0.30769230769230771</v>
      </c>
      <c r="S117" s="1186">
        <f t="shared" si="228"/>
        <v>0.36923076923076925</v>
      </c>
      <c r="T117" s="1186">
        <f t="shared" si="228"/>
        <v>0.43076923076923079</v>
      </c>
      <c r="U117" s="1186">
        <f t="shared" si="228"/>
        <v>0.49230769230769234</v>
      </c>
      <c r="V117" s="1186">
        <f t="shared" si="228"/>
        <v>0.55384615384615388</v>
      </c>
      <c r="W117" s="1186">
        <f t="shared" si="228"/>
        <v>0.61538461538461542</v>
      </c>
      <c r="X117" s="1186">
        <f t="shared" si="228"/>
        <v>0.67692307692307696</v>
      </c>
      <c r="Y117" s="1186">
        <f t="shared" si="228"/>
        <v>0.7384615384615385</v>
      </c>
      <c r="Z117" s="1259">
        <v>0.8</v>
      </c>
    </row>
    <row r="118" spans="2:26">
      <c r="B118" s="618" t="s">
        <v>1996</v>
      </c>
      <c r="C118" s="528"/>
      <c r="D118" s="528"/>
      <c r="E118" s="528"/>
      <c r="F118" s="528"/>
      <c r="G118" s="528"/>
      <c r="H118" s="528"/>
      <c r="I118" s="528"/>
      <c r="J118" s="528"/>
      <c r="K118" s="528"/>
      <c r="L118" s="1186">
        <f>L116/L38</f>
        <v>5.2058456440737299E-3</v>
      </c>
      <c r="M118" s="1186">
        <f t="shared" ref="M118:Z118" ca="1" si="229">M116/M38</f>
        <v>1.019010662927577E-2</v>
      </c>
      <c r="N118" s="1186">
        <f t="shared" ca="1" si="229"/>
        <v>1.4175365811799998E-2</v>
      </c>
      <c r="O118" s="1186">
        <f t="shared" ca="1" si="229"/>
        <v>1.8169915861901566E-2</v>
      </c>
      <c r="P118" s="1186">
        <f t="shared" ca="1" si="229"/>
        <v>2.2131164119171945E-2</v>
      </c>
      <c r="Q118" s="1186">
        <f t="shared" ca="1" si="229"/>
        <v>2.6059525300831943E-2</v>
      </c>
      <c r="R118" s="1186">
        <f t="shared" ca="1" si="229"/>
        <v>2.9955407266438527E-2</v>
      </c>
      <c r="S118" s="1186">
        <f t="shared" ca="1" si="229"/>
        <v>3.3819211159047118E-2</v>
      </c>
      <c r="T118" s="1186">
        <f t="shared" ca="1" si="229"/>
        <v>3.7651331542901227E-2</v>
      </c>
      <c r="U118" s="1186">
        <f t="shared" ca="1" si="229"/>
        <v>4.1452156537748773E-2</v>
      </c>
      <c r="V118" s="1186">
        <f t="shared" ca="1" si="229"/>
        <v>4.5222067949881012E-2</v>
      </c>
      <c r="W118" s="1186">
        <f t="shared" ca="1" si="229"/>
        <v>4.8961441399987059E-2</v>
      </c>
      <c r="X118" s="1186">
        <f t="shared" ca="1" si="229"/>
        <v>5.2670646447913957E-2</v>
      </c>
      <c r="Y118" s="1186">
        <f t="shared" ca="1" si="229"/>
        <v>5.6350046714419184E-2</v>
      </c>
      <c r="Z118" s="1186">
        <f t="shared" si="229"/>
        <v>0.06</v>
      </c>
    </row>
    <row r="119" spans="2:26">
      <c r="B119" s="536" t="s">
        <v>1993</v>
      </c>
      <c r="C119" s="528"/>
      <c r="D119" s="528"/>
      <c r="E119" s="528"/>
      <c r="F119" s="528"/>
      <c r="G119" s="528"/>
      <c r="H119" s="528"/>
      <c r="I119" s="528"/>
      <c r="J119" s="528"/>
      <c r="K119" s="528"/>
      <c r="L119" s="528"/>
      <c r="M119" s="528"/>
      <c r="N119" s="1173">
        <f t="shared" ref="N119:Z119" ca="1" si="230">(N71-N116)/N302</f>
        <v>-8.2587481351234018E-3</v>
      </c>
      <c r="O119" s="1173">
        <f t="shared" ca="1" si="230"/>
        <v>3.264093131159046E-2</v>
      </c>
      <c r="P119" s="1173">
        <f t="shared" ca="1" si="230"/>
        <v>6.8964291018674267E-2</v>
      </c>
      <c r="Q119" s="1173">
        <f t="shared" ca="1" si="230"/>
        <v>0.10315548375976644</v>
      </c>
      <c r="R119" s="1173">
        <f t="shared" ca="1" si="230"/>
        <v>0.14051208148375302</v>
      </c>
      <c r="S119" s="1173">
        <f t="shared" ca="1" si="230"/>
        <v>0.19539493403824801</v>
      </c>
      <c r="T119" s="1173">
        <f t="shared" ca="1" si="230"/>
        <v>0.23328908129893153</v>
      </c>
      <c r="U119" s="1173">
        <f t="shared" ca="1" si="230"/>
        <v>0.24867194585963789</v>
      </c>
      <c r="V119" s="1173">
        <f t="shared" ca="1" si="230"/>
        <v>0.25980545775346081</v>
      </c>
      <c r="W119" s="1173">
        <f t="shared" ca="1" si="230"/>
        <v>0.26837541229515804</v>
      </c>
      <c r="X119" s="1173">
        <f t="shared" ca="1" si="230"/>
        <v>0.27528003801987333</v>
      </c>
      <c r="Y119" s="1173">
        <f t="shared" ca="1" si="230"/>
        <v>0.28104181595339267</v>
      </c>
      <c r="Z119" s="1173">
        <f t="shared" ca="1" si="230"/>
        <v>0.3158937481241853</v>
      </c>
    </row>
    <row r="120" spans="2:26">
      <c r="B120" s="618"/>
      <c r="C120" s="528"/>
      <c r="D120" s="528"/>
      <c r="E120" s="528"/>
      <c r="F120" s="528"/>
      <c r="G120" s="528"/>
      <c r="H120" s="528"/>
      <c r="I120" s="528"/>
      <c r="J120" s="528"/>
      <c r="K120" s="528"/>
      <c r="L120" s="528"/>
      <c r="M120" s="528"/>
      <c r="N120" s="528"/>
      <c r="O120" s="528"/>
      <c r="P120" s="528"/>
      <c r="Q120" s="528"/>
      <c r="R120" s="528"/>
      <c r="S120" s="528"/>
      <c r="T120" s="528"/>
      <c r="U120" s="528"/>
      <c r="V120" s="528"/>
      <c r="W120" s="528"/>
      <c r="X120" s="528"/>
      <c r="Y120" s="528"/>
      <c r="Z120" s="528"/>
    </row>
    <row r="121" spans="2:26">
      <c r="B121" s="618" t="s">
        <v>1774</v>
      </c>
      <c r="C121" s="528"/>
      <c r="D121" s="528"/>
      <c r="E121" s="528"/>
      <c r="F121" s="528"/>
      <c r="G121" s="528"/>
      <c r="H121" s="528">
        <f>H110-G110</f>
        <v>1.8174297451472005E-2</v>
      </c>
      <c r="I121" s="528">
        <f t="shared" ref="I121:M121" si="231">I110-H110</f>
        <v>-1.2750940358894625E-3</v>
      </c>
      <c r="J121" s="528">
        <f t="shared" si="231"/>
        <v>5.7035514047632518E-3</v>
      </c>
      <c r="K121" s="528">
        <f t="shared" si="231"/>
        <v>1.4906475360180471E-2</v>
      </c>
      <c r="L121" s="528">
        <f t="shared" si="231"/>
        <v>1.1602101308602841E-2</v>
      </c>
      <c r="M121" s="528">
        <f t="shared" ca="1" si="231"/>
        <v>1.3494305949594387E-2</v>
      </c>
      <c r="N121" s="854">
        <v>0</v>
      </c>
      <c r="O121" s="854">
        <v>2.3E-2</v>
      </c>
      <c r="P121" s="854">
        <v>2.1999999999999999E-2</v>
      </c>
      <c r="Q121" s="854">
        <v>0.02</v>
      </c>
      <c r="R121" s="854">
        <v>1.4999999999999999E-2</v>
      </c>
      <c r="S121" s="854">
        <v>0.01</v>
      </c>
      <c r="T121" s="854">
        <v>5.0000000000000001E-3</v>
      </c>
      <c r="U121" s="854">
        <v>5.0000000000000001E-3</v>
      </c>
      <c r="V121" s="854">
        <v>5.0000000000000001E-3</v>
      </c>
      <c r="W121" s="854">
        <v>5.0000000000000001E-3</v>
      </c>
      <c r="X121" s="854">
        <v>5.0000000000000001E-3</v>
      </c>
      <c r="Y121" s="854">
        <v>5.0000000000000001E-3</v>
      </c>
      <c r="Z121" s="854">
        <v>5.0000000000000001E-3</v>
      </c>
    </row>
    <row r="122" spans="2:26">
      <c r="B122" s="618" t="s">
        <v>1775</v>
      </c>
      <c r="C122" s="528"/>
      <c r="D122" s="528"/>
      <c r="E122" s="528"/>
      <c r="F122" s="528"/>
      <c r="G122" s="528"/>
      <c r="H122" s="528">
        <f t="shared" ref="H122:M122" si="232">H115-G115</f>
        <v>0</v>
      </c>
      <c r="I122" s="528">
        <f t="shared" si="232"/>
        <v>0</v>
      </c>
      <c r="J122" s="528">
        <f t="shared" si="232"/>
        <v>0</v>
      </c>
      <c r="K122" s="528">
        <f t="shared" si="232"/>
        <v>0</v>
      </c>
      <c r="L122" s="528">
        <f t="shared" si="232"/>
        <v>5.2058456440737299E-3</v>
      </c>
      <c r="M122" s="528">
        <f t="shared" ca="1" si="232"/>
        <v>4.9842609852020396E-3</v>
      </c>
      <c r="N122" s="854">
        <v>3.0000000000000001E-3</v>
      </c>
      <c r="O122" s="854">
        <v>8.0000000000000002E-3</v>
      </c>
      <c r="P122" s="854">
        <v>0.01</v>
      </c>
      <c r="Q122" s="854">
        <v>1.4999999999999999E-2</v>
      </c>
      <c r="R122" s="854">
        <v>0.02</v>
      </c>
      <c r="S122" s="854">
        <v>0.03</v>
      </c>
      <c r="T122" s="854">
        <v>0.03</v>
      </c>
      <c r="U122" s="854">
        <v>0.03</v>
      </c>
      <c r="V122" s="854">
        <v>0.03</v>
      </c>
      <c r="W122" s="854">
        <v>0.03</v>
      </c>
      <c r="X122" s="854">
        <v>0.03</v>
      </c>
      <c r="Y122" s="854">
        <v>0.03</v>
      </c>
      <c r="Z122" s="854">
        <v>0.03</v>
      </c>
    </row>
    <row r="124" spans="2:26">
      <c r="B124" s="58" t="s">
        <v>1214</v>
      </c>
    </row>
    <row r="125" spans="2:26">
      <c r="B125" s="489" t="s">
        <v>999</v>
      </c>
      <c r="C125" s="514">
        <f t="shared" ref="C125:Z125" si="233">C67/C$54</f>
        <v>1.0276497695852536</v>
      </c>
      <c r="D125" s="514">
        <f t="shared" si="233"/>
        <v>1.0219945872247707</v>
      </c>
      <c r="E125" s="514">
        <f t="shared" si="233"/>
        <v>1.0093583007330278</v>
      </c>
      <c r="F125" s="514">
        <f t="shared" si="233"/>
        <v>1.0074503311258278</v>
      </c>
      <c r="G125" s="514">
        <f t="shared" si="233"/>
        <v>0.9974715549936789</v>
      </c>
      <c r="H125" s="514">
        <f t="shared" si="233"/>
        <v>0.98681859767470181</v>
      </c>
      <c r="I125" s="514">
        <f t="shared" si="233"/>
        <v>0.97783026790685623</v>
      </c>
      <c r="J125" s="514">
        <f t="shared" si="233"/>
        <v>0.96014706552920293</v>
      </c>
      <c r="K125" s="514">
        <f t="shared" si="233"/>
        <v>0.94971927484217455</v>
      </c>
      <c r="L125" s="514">
        <f t="shared" ca="1" si="233"/>
        <v>0.93482036286462966</v>
      </c>
      <c r="M125" s="514">
        <f t="shared" si="233"/>
        <v>0.91889117043121149</v>
      </c>
      <c r="N125" s="514">
        <f t="shared" si="233"/>
        <v>0.85869565217391319</v>
      </c>
      <c r="O125" s="514">
        <f t="shared" si="233"/>
        <v>0.83673469387755095</v>
      </c>
      <c r="P125" s="514">
        <f t="shared" si="233"/>
        <v>0.79999999999999993</v>
      </c>
      <c r="Q125" s="514">
        <f t="shared" si="233"/>
        <v>0.76470588235294101</v>
      </c>
      <c r="R125" s="514">
        <f t="shared" si="233"/>
        <v>0.73076923076923073</v>
      </c>
      <c r="S125" s="514">
        <f t="shared" si="233"/>
        <v>0.68518518518518501</v>
      </c>
      <c r="T125" s="514">
        <f t="shared" si="233"/>
        <v>0.64285714285714268</v>
      </c>
      <c r="U125" s="514">
        <f t="shared" si="233"/>
        <v>0.60344827586206873</v>
      </c>
      <c r="V125" s="514">
        <f t="shared" si="233"/>
        <v>0.56666666666666643</v>
      </c>
      <c r="W125" s="514">
        <f t="shared" si="233"/>
        <v>0.53225806451612878</v>
      </c>
      <c r="X125" s="514">
        <f t="shared" si="233"/>
        <v>0.49999999999999978</v>
      </c>
      <c r="Y125" s="514">
        <f t="shared" si="233"/>
        <v>0.46969696969696945</v>
      </c>
      <c r="Z125" s="514">
        <f t="shared" si="233"/>
        <v>0.441176470588235</v>
      </c>
    </row>
    <row r="126" spans="2:26">
      <c r="B126" s="489" t="s">
        <v>627</v>
      </c>
      <c r="C126" s="514">
        <f t="shared" ref="C126:Z126" si="234">C68/C$54</f>
        <v>0.1259600614439324</v>
      </c>
      <c r="D126" s="514">
        <f t="shared" si="234"/>
        <v>0.12523252062989743</v>
      </c>
      <c r="E126" s="514">
        <f t="shared" si="234"/>
        <v>0.17511658774121339</v>
      </c>
      <c r="F126" s="514">
        <f t="shared" si="234"/>
        <v>0.17756622516556292</v>
      </c>
      <c r="G126" s="514">
        <f t="shared" si="234"/>
        <v>0.18120522545301307</v>
      </c>
      <c r="H126" s="514">
        <f t="shared" si="234"/>
        <v>0.24352327763315015</v>
      </c>
      <c r="I126" s="514">
        <f t="shared" si="234"/>
        <v>0.2395176609740152</v>
      </c>
      <c r="J126" s="514">
        <f t="shared" si="234"/>
        <v>0.24288454385583838</v>
      </c>
      <c r="K126" s="514">
        <f t="shared" si="234"/>
        <v>0.2516709386135359</v>
      </c>
      <c r="L126" s="514">
        <f t="shared" ca="1" si="234"/>
        <v>0.24378070451149123</v>
      </c>
      <c r="M126" s="514">
        <f t="shared" si="234"/>
        <v>0.2597535934291581</v>
      </c>
      <c r="N126" s="514">
        <f t="shared" si="234"/>
        <v>0.37583525625455438</v>
      </c>
      <c r="O126" s="514">
        <f t="shared" si="234"/>
        <v>0.38295804355261659</v>
      </c>
      <c r="P126" s="514">
        <f t="shared" si="234"/>
        <v>0.38214525139664801</v>
      </c>
      <c r="Q126" s="514">
        <f t="shared" si="234"/>
        <v>0.38058001971738414</v>
      </c>
      <c r="R126" s="514">
        <f t="shared" si="234"/>
        <v>0.37830575848732273</v>
      </c>
      <c r="S126" s="514">
        <f t="shared" si="234"/>
        <v>0.36841144216842542</v>
      </c>
      <c r="T126" s="514">
        <f t="shared" si="234"/>
        <v>0.35850957701516356</v>
      </c>
      <c r="U126" s="514">
        <f t="shared" si="234"/>
        <v>0.34860094394143709</v>
      </c>
      <c r="V126" s="514">
        <f t="shared" si="234"/>
        <v>0.3386862197392923</v>
      </c>
      <c r="W126" s="514">
        <f t="shared" si="234"/>
        <v>0.32876599387276978</v>
      </c>
      <c r="X126" s="514">
        <f t="shared" si="234"/>
        <v>0.31884078212290495</v>
      </c>
      <c r="Y126" s="514">
        <f t="shared" si="234"/>
        <v>0.30891103775181983</v>
      </c>
      <c r="Z126" s="514">
        <f t="shared" si="234"/>
        <v>0.29897716069668079</v>
      </c>
    </row>
    <row r="127" spans="2:26">
      <c r="B127" s="489" t="s">
        <v>628</v>
      </c>
      <c r="C127" s="514">
        <f t="shared" ref="C127:Z127" si="235">C72/C$54</f>
        <v>0.13364055299539171</v>
      </c>
      <c r="D127" s="514">
        <f t="shared" si="235"/>
        <v>0.15753377237131402</v>
      </c>
      <c r="E127" s="514">
        <f t="shared" si="235"/>
        <v>0.18977259382321757</v>
      </c>
      <c r="F127" s="514">
        <f t="shared" si="235"/>
        <v>0.21523178807947019</v>
      </c>
      <c r="G127" s="514">
        <f t="shared" si="235"/>
        <v>0.24357353560893383</v>
      </c>
      <c r="H127" s="514">
        <f t="shared" si="235"/>
        <v>0.25042003094987858</v>
      </c>
      <c r="I127" s="514">
        <f t="shared" si="235"/>
        <v>0.25745635217551155</v>
      </c>
      <c r="J127" s="514">
        <f t="shared" si="235"/>
        <v>0.27028996433651931</v>
      </c>
      <c r="K127" s="514">
        <f t="shared" si="235"/>
        <v>0.293693915376464</v>
      </c>
      <c r="L127" s="514">
        <f t="shared" ca="1" si="235"/>
        <v>0.32389412151829178</v>
      </c>
      <c r="M127" s="514">
        <f t="shared" si="235"/>
        <v>0.36858316221765913</v>
      </c>
      <c r="N127" s="514">
        <f t="shared" ca="1" si="235"/>
        <v>0.55044999893788471</v>
      </c>
      <c r="O127" s="514">
        <f t="shared" ca="1" si="235"/>
        <v>0.57585353257631477</v>
      </c>
      <c r="P127" s="514">
        <f t="shared" ca="1" si="235"/>
        <v>0.62535631272976822</v>
      </c>
      <c r="Q127" s="514">
        <f t="shared" ca="1" si="235"/>
        <v>0.67705822864804432</v>
      </c>
      <c r="R127" s="514">
        <f t="shared" ca="1" si="235"/>
        <v>0.72535150581210028</v>
      </c>
      <c r="S127" s="514">
        <f t="shared" ca="1" si="235"/>
        <v>0.76502486665124225</v>
      </c>
      <c r="T127" s="514">
        <f t="shared" ca="1" si="235"/>
        <v>0.79465142775643793</v>
      </c>
      <c r="U127" s="514">
        <f t="shared" ca="1" si="235"/>
        <v>0.82265431175772763</v>
      </c>
      <c r="V127" s="514">
        <f t="shared" ca="1" si="235"/>
        <v>0.84919588636550225</v>
      </c>
      <c r="W127" s="514">
        <f t="shared" ca="1" si="235"/>
        <v>0.87441756861784359</v>
      </c>
      <c r="X127" s="514">
        <f t="shared" ca="1" si="235"/>
        <v>0.89844309842307357</v>
      </c>
      <c r="Y127" s="514">
        <f t="shared" ca="1" si="235"/>
        <v>0.9213812169127481</v>
      </c>
      <c r="Z127" s="514">
        <f t="shared" ca="1" si="235"/>
        <v>0.94332787214412162</v>
      </c>
    </row>
    <row r="128" spans="2:26">
      <c r="B128" s="489" t="s">
        <v>620</v>
      </c>
      <c r="C128" s="514">
        <f t="shared" ref="C128:Z128" si="236">C73/C$54</f>
        <v>0.11213517665130568</v>
      </c>
      <c r="D128" s="514">
        <f t="shared" si="236"/>
        <v>0.13253536830449106</v>
      </c>
      <c r="E128" s="514">
        <f t="shared" si="236"/>
        <v>0.1753395160833349</v>
      </c>
      <c r="F128" s="514">
        <f t="shared" si="236"/>
        <v>0.20488410596026491</v>
      </c>
      <c r="G128" s="514">
        <f t="shared" si="236"/>
        <v>0.23388116308470291</v>
      </c>
      <c r="H128" s="514">
        <f t="shared" si="236"/>
        <v>0.1915611626578852</v>
      </c>
      <c r="I128" s="514">
        <f t="shared" si="236"/>
        <v>0.19060132791797435</v>
      </c>
      <c r="J128" s="514">
        <f t="shared" si="236"/>
        <v>0.19736862498716837</v>
      </c>
      <c r="K128" s="514">
        <f t="shared" si="236"/>
        <v>0.2119825716707705</v>
      </c>
      <c r="L128" s="514">
        <f t="shared" ca="1" si="236"/>
        <v>0.23345934403822244</v>
      </c>
      <c r="M128" s="514">
        <f t="shared" si="236"/>
        <v>0.2731006160164271</v>
      </c>
      <c r="N128" s="514">
        <f t="shared" si="236"/>
        <v>0.44542913030264919</v>
      </c>
      <c r="O128" s="514">
        <f t="shared" si="236"/>
        <v>0.45740863614946842</v>
      </c>
      <c r="P128" s="514">
        <f t="shared" si="236"/>
        <v>0.48779533982970918</v>
      </c>
      <c r="Q128" s="514">
        <f t="shared" si="236"/>
        <v>0.49991403563672465</v>
      </c>
      <c r="R128" s="514">
        <f t="shared" si="236"/>
        <v>0.51021774752751581</v>
      </c>
      <c r="S128" s="514">
        <f t="shared" si="236"/>
        <v>0.5089880722398108</v>
      </c>
      <c r="T128" s="514">
        <f t="shared" si="236"/>
        <v>0.50797037871956563</v>
      </c>
      <c r="U128" s="514">
        <f t="shared" si="236"/>
        <v>0.50714273781842223</v>
      </c>
      <c r="V128" s="514">
        <f t="shared" si="236"/>
        <v>0.50648614427447058</v>
      </c>
      <c r="W128" s="514">
        <f t="shared" si="236"/>
        <v>0.50598404511765982</v>
      </c>
      <c r="X128" s="514">
        <f t="shared" si="236"/>
        <v>0.50562195649919539</v>
      </c>
      <c r="Y128" s="514">
        <f t="shared" si="236"/>
        <v>0.50538715018831859</v>
      </c>
      <c r="Z128" s="514">
        <f t="shared" si="236"/>
        <v>0.50526839539318347</v>
      </c>
    </row>
    <row r="130" spans="2:26">
      <c r="B130" s="618" t="s">
        <v>1805</v>
      </c>
      <c r="M130" s="898">
        <v>50</v>
      </c>
      <c r="N130" s="531">
        <f t="shared" ref="N130:Y130" ca="1" si="237">N131*N70</f>
        <v>73.800848507248631</v>
      </c>
      <c r="O130" s="531">
        <f t="shared" ca="1" si="237"/>
        <v>103.75222691052291</v>
      </c>
      <c r="P130" s="531">
        <f t="shared" ca="1" si="237"/>
        <v>136.68197185299869</v>
      </c>
      <c r="Q130" s="531">
        <f t="shared" ca="1" si="237"/>
        <v>198.44191182427258</v>
      </c>
      <c r="R130" s="531">
        <f t="shared" ca="1" si="237"/>
        <v>262.42041567028502</v>
      </c>
      <c r="S130" s="531">
        <f t="shared" ca="1" si="237"/>
        <v>327.01864668985536</v>
      </c>
      <c r="T130" s="531">
        <f t="shared" ca="1" si="237"/>
        <v>389.5827927170568</v>
      </c>
      <c r="U130" s="531">
        <f t="shared" ca="1" si="237"/>
        <v>475.99368963453207</v>
      </c>
      <c r="V130" s="531">
        <f t="shared" ca="1" si="237"/>
        <v>564.4396525621554</v>
      </c>
      <c r="W130" s="531">
        <f t="shared" ca="1" si="237"/>
        <v>654.91969872727395</v>
      </c>
      <c r="X130" s="531">
        <f t="shared" ca="1" si="237"/>
        <v>747.43285032876713</v>
      </c>
      <c r="Y130" s="531">
        <f t="shared" ca="1" si="237"/>
        <v>841.97813443717678</v>
      </c>
      <c r="Z130" s="531">
        <f ca="1">Z131*Z70</f>
        <v>849.69350628567872</v>
      </c>
    </row>
    <row r="131" spans="2:26">
      <c r="B131" s="618" t="s">
        <v>1807</v>
      </c>
      <c r="M131" s="528">
        <f ca="1">M130/M70</f>
        <v>7.2050102532838223E-2</v>
      </c>
      <c r="N131" s="528">
        <f ca="1">N134+N132</f>
        <v>0.1026485202775636</v>
      </c>
      <c r="O131" s="528">
        <f t="shared" ref="O131:Z131" ca="1" si="238">O134+O132</f>
        <v>0.13356975162752291</v>
      </c>
      <c r="P131" s="528">
        <f t="shared" ca="1" si="238"/>
        <v>0.16421445021827566</v>
      </c>
      <c r="Q131" s="528">
        <f t="shared" ca="1" si="238"/>
        <v>0.22468153509622124</v>
      </c>
      <c r="R131" s="528">
        <f t="shared" ca="1" si="238"/>
        <v>0.28463009200397416</v>
      </c>
      <c r="S131" s="528">
        <f t="shared" ca="1" si="238"/>
        <v>0.34406652515689273</v>
      </c>
      <c r="T131" s="528">
        <f t="shared" ca="1" si="238"/>
        <v>0.40299713374015339</v>
      </c>
      <c r="U131" s="528">
        <f t="shared" ca="1" si="238"/>
        <v>0.48418842438384585</v>
      </c>
      <c r="V131" s="528">
        <f t="shared" ca="1" si="238"/>
        <v>0.56470106383794449</v>
      </c>
      <c r="W131" s="528">
        <f t="shared" ca="1" si="238"/>
        <v>0.64454329816793643</v>
      </c>
      <c r="X131" s="528">
        <f t="shared" ca="1" si="238"/>
        <v>0.72372324038460167</v>
      </c>
      <c r="Y131" s="528">
        <f t="shared" ca="1" si="238"/>
        <v>0.80224887311686721</v>
      </c>
      <c r="Z131" s="528">
        <f t="shared" si="238"/>
        <v>0.79679871948779513</v>
      </c>
    </row>
    <row r="132" spans="2:26">
      <c r="B132" s="618" t="s">
        <v>1808</v>
      </c>
      <c r="M132" s="528">
        <f ca="1">M131-M134</f>
        <v>2.9235350519273152E-2</v>
      </c>
      <c r="N132" s="528">
        <f ca="1">M132-($M$132-$Z$132)/13</f>
        <v>2.6986477402405985E-2</v>
      </c>
      <c r="O132" s="528">
        <f t="shared" ref="O132:Y132" ca="1" si="239">N132-($M$132-$Z$132)/13</f>
        <v>2.4737604285538818E-2</v>
      </c>
      <c r="P132" s="528">
        <f t="shared" ca="1" si="239"/>
        <v>2.2488731168671651E-2</v>
      </c>
      <c r="Q132" s="528">
        <f t="shared" ca="1" si="239"/>
        <v>2.0239858051804484E-2</v>
      </c>
      <c r="R132" s="528">
        <f t="shared" ca="1" si="239"/>
        <v>1.7990984934937317E-2</v>
      </c>
      <c r="S132" s="528">
        <f t="shared" ca="1" si="239"/>
        <v>1.5742111818070149E-2</v>
      </c>
      <c r="T132" s="528">
        <f t="shared" ca="1" si="239"/>
        <v>1.3493238701202984E-2</v>
      </c>
      <c r="U132" s="528">
        <f t="shared" ca="1" si="239"/>
        <v>1.1244365584335819E-2</v>
      </c>
      <c r="V132" s="528">
        <f t="shared" ca="1" si="239"/>
        <v>8.9954924674686531E-3</v>
      </c>
      <c r="W132" s="528">
        <f t="shared" ca="1" si="239"/>
        <v>6.7466193506014877E-3</v>
      </c>
      <c r="X132" s="528">
        <f t="shared" ca="1" si="239"/>
        <v>4.4977462337343222E-3</v>
      </c>
      <c r="Y132" s="528">
        <f t="shared" ca="1" si="239"/>
        <v>2.2488731168671568E-3</v>
      </c>
      <c r="Z132" s="530">
        <v>0</v>
      </c>
    </row>
    <row r="133" spans="2:26">
      <c r="B133" s="618" t="s">
        <v>1756</v>
      </c>
      <c r="M133" s="938">
        <f>M302</f>
        <v>101</v>
      </c>
      <c r="N133" s="938">
        <f t="shared" ref="N133:Z133" si="240">N302</f>
        <v>180</v>
      </c>
      <c r="O133" s="938">
        <f t="shared" si="240"/>
        <v>260</v>
      </c>
      <c r="P133" s="938">
        <f t="shared" si="240"/>
        <v>340</v>
      </c>
      <c r="Q133" s="938">
        <f t="shared" si="240"/>
        <v>492.5</v>
      </c>
      <c r="R133" s="938">
        <f t="shared" si="240"/>
        <v>645</v>
      </c>
      <c r="S133" s="938">
        <f t="shared" si="240"/>
        <v>797.5</v>
      </c>
      <c r="T133" s="938">
        <f t="shared" si="240"/>
        <v>950</v>
      </c>
      <c r="U133" s="938">
        <f t="shared" si="240"/>
        <v>1158.24</v>
      </c>
      <c r="V133" s="938">
        <f t="shared" si="240"/>
        <v>1366.48</v>
      </c>
      <c r="W133" s="938">
        <f t="shared" si="240"/>
        <v>1574.72</v>
      </c>
      <c r="X133" s="938">
        <f t="shared" si="240"/>
        <v>1782.96</v>
      </c>
      <c r="Y133" s="938">
        <f t="shared" si="240"/>
        <v>1991.2</v>
      </c>
      <c r="Z133" s="938">
        <f t="shared" si="240"/>
        <v>1991.2</v>
      </c>
    </row>
    <row r="134" spans="2:26">
      <c r="B134" s="618" t="s">
        <v>1806</v>
      </c>
      <c r="M134" s="528">
        <f>M133/M38</f>
        <v>4.281475201356507E-2</v>
      </c>
      <c r="N134" s="528">
        <f t="shared" ref="N134:Z134" si="241">N133/N38</f>
        <v>7.5662042875157626E-2</v>
      </c>
      <c r="O134" s="528">
        <f t="shared" si="241"/>
        <v>0.1088321473419841</v>
      </c>
      <c r="P134" s="528">
        <f t="shared" si="241"/>
        <v>0.14172571904960402</v>
      </c>
      <c r="Q134" s="528">
        <f t="shared" si="241"/>
        <v>0.20444167704441676</v>
      </c>
      <c r="R134" s="528">
        <f t="shared" si="241"/>
        <v>0.26663910706903682</v>
      </c>
      <c r="S134" s="528">
        <f t="shared" si="241"/>
        <v>0.32832441333882256</v>
      </c>
      <c r="T134" s="528">
        <f t="shared" si="241"/>
        <v>0.38950389503895039</v>
      </c>
      <c r="U134" s="528">
        <f t="shared" si="241"/>
        <v>0.47294405879951001</v>
      </c>
      <c r="V134" s="528">
        <f t="shared" si="241"/>
        <v>0.55570557137047583</v>
      </c>
      <c r="W134" s="528">
        <f t="shared" si="241"/>
        <v>0.63779667881733493</v>
      </c>
      <c r="X134" s="528">
        <f t="shared" si="241"/>
        <v>0.71922549415086734</v>
      </c>
      <c r="Y134" s="528">
        <f t="shared" si="241"/>
        <v>0.8</v>
      </c>
      <c r="Z134" s="528">
        <f t="shared" si="241"/>
        <v>0.79679871948779513</v>
      </c>
    </row>
    <row r="136" spans="2:26" s="618" customFormat="1">
      <c r="B136" s="58" t="s">
        <v>1473</v>
      </c>
    </row>
    <row r="137" spans="2:26" hidden="1" outlineLevel="1">
      <c r="B137" s="489" t="s">
        <v>1478</v>
      </c>
      <c r="C137" s="739">
        <v>2244</v>
      </c>
      <c r="D137" s="739">
        <v>2144</v>
      </c>
      <c r="E137" s="739">
        <v>2098</v>
      </c>
      <c r="F137" s="739">
        <v>2104</v>
      </c>
      <c r="G137" s="739">
        <v>2072</v>
      </c>
      <c r="H137" s="739">
        <v>2080</v>
      </c>
      <c r="I137" s="739">
        <v>2207</v>
      </c>
      <c r="J137" s="739">
        <v>2383.56</v>
      </c>
      <c r="K137" s="739">
        <v>2526.5736000000002</v>
      </c>
      <c r="L137" s="739">
        <v>2627.6365440000004</v>
      </c>
      <c r="M137" s="739">
        <v>2732.7420057600007</v>
      </c>
      <c r="N137" s="739">
        <v>2842.051685990401</v>
      </c>
      <c r="O137" s="739">
        <v>2955.7337534300173</v>
      </c>
      <c r="P137" s="739">
        <v>2955.7337534300173</v>
      </c>
      <c r="Q137" s="739">
        <v>2955.7337534300173</v>
      </c>
      <c r="R137" s="739">
        <v>2955.7337534300173</v>
      </c>
      <c r="S137" s="739">
        <v>2955.7337534300173</v>
      </c>
      <c r="T137" s="739">
        <v>2955.7337534300173</v>
      </c>
      <c r="U137" s="739">
        <v>2955.7337534300173</v>
      </c>
      <c r="V137" s="739">
        <v>2955.7337534300173</v>
      </c>
      <c r="W137" s="739">
        <v>2955.7337534300173</v>
      </c>
      <c r="X137" s="739">
        <v>2955.7337534300173</v>
      </c>
      <c r="Y137" s="739">
        <v>2955.7337534300173</v>
      </c>
      <c r="Z137" s="739">
        <v>2955.7337534300173</v>
      </c>
    </row>
    <row r="138" spans="2:26" hidden="1" outlineLevel="1">
      <c r="B138" s="489" t="s">
        <v>223</v>
      </c>
      <c r="D138" s="725">
        <f>D137-C137</f>
        <v>-100</v>
      </c>
      <c r="E138" s="725">
        <f t="shared" ref="E138:T138" si="242">E137-D137</f>
        <v>-46</v>
      </c>
      <c r="F138" s="725">
        <f t="shared" si="242"/>
        <v>6</v>
      </c>
      <c r="G138" s="725">
        <f t="shared" si="242"/>
        <v>-32</v>
      </c>
      <c r="H138" s="725">
        <f t="shared" si="242"/>
        <v>8</v>
      </c>
      <c r="I138" s="725">
        <f t="shared" si="242"/>
        <v>127</v>
      </c>
      <c r="J138" s="725">
        <f t="shared" si="242"/>
        <v>176.55999999999995</v>
      </c>
      <c r="K138" s="725">
        <f t="shared" si="242"/>
        <v>143.01360000000022</v>
      </c>
      <c r="L138" s="725">
        <f t="shared" si="242"/>
        <v>101.06294400000024</v>
      </c>
      <c r="M138" s="725">
        <f t="shared" si="242"/>
        <v>105.10546176000025</v>
      </c>
      <c r="N138" s="725">
        <f t="shared" si="242"/>
        <v>109.30968023040032</v>
      </c>
      <c r="O138" s="725">
        <f t="shared" si="242"/>
        <v>113.68206743961628</v>
      </c>
      <c r="P138" s="725">
        <f t="shared" si="242"/>
        <v>0</v>
      </c>
      <c r="Q138" s="725">
        <f t="shared" si="242"/>
        <v>0</v>
      </c>
      <c r="R138" s="725">
        <f t="shared" si="242"/>
        <v>0</v>
      </c>
      <c r="S138" s="725">
        <f t="shared" si="242"/>
        <v>0</v>
      </c>
      <c r="T138" s="725">
        <f t="shared" si="242"/>
        <v>0</v>
      </c>
      <c r="U138" s="725">
        <f t="shared" ref="U138" si="243">U137-T137</f>
        <v>0</v>
      </c>
      <c r="V138" s="725">
        <f t="shared" ref="V138" si="244">V137-U137</f>
        <v>0</v>
      </c>
      <c r="W138" s="725">
        <f t="shared" ref="W138" si="245">W137-V137</f>
        <v>0</v>
      </c>
      <c r="X138" s="725">
        <f t="shared" ref="X138" si="246">X137-W137</f>
        <v>0</v>
      </c>
      <c r="Y138" s="725">
        <f t="shared" ref="Y138" si="247">Y137-X137</f>
        <v>0</v>
      </c>
      <c r="Z138" s="725">
        <f t="shared" ref="Z138" si="248">Z137-Y137</f>
        <v>0</v>
      </c>
    </row>
    <row r="139" spans="2:26" hidden="1" outlineLevel="1">
      <c r="B139" s="536" t="s">
        <v>1477</v>
      </c>
      <c r="C139" s="725"/>
      <c r="D139" s="723">
        <f t="shared" ref="D139:Z139" si="249">D137/D25</f>
        <v>5.3302836685478458E-2</v>
      </c>
      <c r="E139" s="723">
        <f t="shared" si="249"/>
        <v>5.1954644932224327E-2</v>
      </c>
      <c r="F139" s="723">
        <f t="shared" si="249"/>
        <v>5.189967871040152E-2</v>
      </c>
      <c r="G139" s="723">
        <f t="shared" si="249"/>
        <v>5.0910659327910571E-2</v>
      </c>
      <c r="H139" s="723">
        <f t="shared" si="249"/>
        <v>5.090756705113629E-2</v>
      </c>
      <c r="I139" s="723">
        <f t="shared" si="249"/>
        <v>5.3804844021004557E-2</v>
      </c>
      <c r="J139" s="723">
        <f t="shared" si="249"/>
        <v>5.7882218560474319E-2</v>
      </c>
      <c r="K139" s="723">
        <f t="shared" si="249"/>
        <v>6.1115457987131708E-2</v>
      </c>
      <c r="L139" s="723">
        <f t="shared" si="249"/>
        <v>6.3311768729854417E-2</v>
      </c>
      <c r="M139" s="723">
        <f t="shared" si="249"/>
        <v>6.558700845449876E-2</v>
      </c>
      <c r="N139" s="723">
        <f t="shared" si="249"/>
        <v>6.7944013637737208E-2</v>
      </c>
      <c r="O139" s="723">
        <f t="shared" si="249"/>
        <v>7.0385722690914573E-2</v>
      </c>
      <c r="P139" s="723">
        <f t="shared" si="249"/>
        <v>7.01107496377711E-2</v>
      </c>
      <c r="Q139" s="723">
        <f t="shared" si="249"/>
        <v>6.9836850810721551E-2</v>
      </c>
      <c r="R139" s="723">
        <f t="shared" si="249"/>
        <v>6.9564022013130361E-2</v>
      </c>
      <c r="S139" s="723">
        <f t="shared" si="249"/>
        <v>6.929225906475675E-2</v>
      </c>
      <c r="T139" s="723">
        <f t="shared" si="249"/>
        <v>6.9021557801690739E-2</v>
      </c>
      <c r="U139" s="723">
        <f t="shared" si="249"/>
        <v>6.8751914076289306E-2</v>
      </c>
      <c r="V139" s="723">
        <f t="shared" si="249"/>
        <v>6.8483323757112899E-2</v>
      </c>
      <c r="W139" s="723">
        <f t="shared" si="249"/>
        <v>6.8215782728862043E-2</v>
      </c>
      <c r="X139" s="723">
        <f t="shared" si="249"/>
        <v>6.7949286892314373E-2</v>
      </c>
      <c r="Y139" s="723">
        <f t="shared" si="249"/>
        <v>6.7683832164261784E-2</v>
      </c>
      <c r="Z139" s="723">
        <f t="shared" si="249"/>
        <v>6.741941447744787E-2</v>
      </c>
    </row>
    <row r="140" spans="2:26" hidden="1" outlineLevel="1">
      <c r="B140" s="489" t="s">
        <v>1479</v>
      </c>
      <c r="C140" s="725"/>
      <c r="D140" s="725"/>
      <c r="E140" s="725"/>
      <c r="F140" s="725"/>
      <c r="G140" s="725"/>
      <c r="H140" s="725"/>
      <c r="I140" s="725"/>
      <c r="J140" s="725">
        <f t="shared" ref="J140:Z140" si="250">J106*J52</f>
        <v>0</v>
      </c>
      <c r="K140" s="725">
        <f t="shared" si="250"/>
        <v>0</v>
      </c>
      <c r="L140" s="725">
        <f t="shared" si="250"/>
        <v>14.730226571417044</v>
      </c>
      <c r="M140" s="725">
        <f t="shared" ca="1" si="250"/>
        <v>28.359066749274465</v>
      </c>
      <c r="N140" s="725">
        <f t="shared" ca="1" si="250"/>
        <v>37.575514472134209</v>
      </c>
      <c r="O140" s="725">
        <f t="shared" ca="1" si="250"/>
        <v>59.801487791929802</v>
      </c>
      <c r="P140" s="725">
        <f t="shared" ca="1" si="250"/>
        <v>87.196851070991016</v>
      </c>
      <c r="Q140" s="725">
        <f t="shared" ca="1" si="250"/>
        <v>128.38619709604922</v>
      </c>
      <c r="R140" s="725">
        <f t="shared" ca="1" si="250"/>
        <v>183.58853538906163</v>
      </c>
      <c r="S140" s="725">
        <f t="shared" ca="1" si="250"/>
        <v>267.75785382777423</v>
      </c>
      <c r="T140" s="725">
        <f t="shared" ca="1" si="250"/>
        <v>352.52579943030457</v>
      </c>
      <c r="U140" s="725">
        <f t="shared" ca="1" si="250"/>
        <v>437.89238901375586</v>
      </c>
      <c r="V140" s="725">
        <f t="shared" ca="1" si="250"/>
        <v>523.85763912167113</v>
      </c>
      <c r="W140" s="725">
        <f t="shared" ca="1" si="250"/>
        <v>610.42156602957311</v>
      </c>
      <c r="X140" s="725">
        <f t="shared" ca="1" si="250"/>
        <v>697.58418575037058</v>
      </c>
      <c r="Y140" s="725">
        <f t="shared" ca="1" si="250"/>
        <v>785.34551403963337</v>
      </c>
      <c r="Z140" s="725">
        <f t="shared" ca="1" si="250"/>
        <v>873.70556640074119</v>
      </c>
    </row>
    <row r="141" spans="2:26" hidden="1" outlineLevel="1">
      <c r="B141" s="489" t="s">
        <v>223</v>
      </c>
      <c r="C141" s="725"/>
      <c r="D141" s="725"/>
      <c r="E141" s="725"/>
      <c r="F141" s="725"/>
      <c r="G141" s="725"/>
      <c r="H141" s="725"/>
      <c r="I141" s="725"/>
      <c r="J141" s="725">
        <f>J140-I140</f>
        <v>0</v>
      </c>
      <c r="K141" s="725">
        <f>K140-J140</f>
        <v>0</v>
      </c>
      <c r="L141" s="725">
        <f>L140-K140</f>
        <v>14.730226571417044</v>
      </c>
      <c r="M141" s="725">
        <f ca="1">M140-L140</f>
        <v>13.628840177857422</v>
      </c>
      <c r="N141" s="725">
        <f ca="1">N140-M140</f>
        <v>9.2164477228597441</v>
      </c>
      <c r="O141" s="725">
        <f t="shared" ref="O141:T141" ca="1" si="251">O140-N140</f>
        <v>22.225973319795592</v>
      </c>
      <c r="P141" s="725">
        <f t="shared" ca="1" si="251"/>
        <v>27.395363279061215</v>
      </c>
      <c r="Q141" s="725">
        <f t="shared" ca="1" si="251"/>
        <v>41.1893460250582</v>
      </c>
      <c r="R141" s="725">
        <f t="shared" ca="1" si="251"/>
        <v>55.202338293012417</v>
      </c>
      <c r="S141" s="725">
        <f t="shared" ca="1" si="251"/>
        <v>84.169318438712594</v>
      </c>
      <c r="T141" s="725">
        <f t="shared" ca="1" si="251"/>
        <v>84.767945602530347</v>
      </c>
      <c r="U141" s="725">
        <f t="shared" ref="U141" ca="1" si="252">U140-T140</f>
        <v>85.366589583451287</v>
      </c>
      <c r="V141" s="725">
        <f t="shared" ref="V141" ca="1" si="253">V140-U140</f>
        <v>85.965250107915267</v>
      </c>
      <c r="W141" s="725">
        <f t="shared" ref="W141" ca="1" si="254">W140-V140</f>
        <v>86.563926907901987</v>
      </c>
      <c r="X141" s="725">
        <f t="shared" ref="X141" ca="1" si="255">X140-W140</f>
        <v>87.162619720797466</v>
      </c>
      <c r="Y141" s="725">
        <f t="shared" ref="Y141" ca="1" si="256">Y140-X140</f>
        <v>87.761328289262792</v>
      </c>
      <c r="Z141" s="725">
        <f t="shared" ref="Z141" ca="1" si="257">Z140-Y140</f>
        <v>88.360052361107819</v>
      </c>
    </row>
    <row r="142" spans="2:26" hidden="1" outlineLevel="1">
      <c r="B142" s="536" t="s">
        <v>1477</v>
      </c>
      <c r="C142" s="725"/>
      <c r="D142" s="723"/>
      <c r="E142" s="723"/>
      <c r="F142" s="723"/>
      <c r="G142" s="723"/>
      <c r="H142" s="723"/>
      <c r="I142" s="723"/>
      <c r="J142" s="723">
        <f t="shared" ref="J142:Z142" si="258">J140/J52</f>
        <v>0</v>
      </c>
      <c r="K142" s="723">
        <f t="shared" si="258"/>
        <v>0</v>
      </c>
      <c r="L142" s="723">
        <f t="shared" si="258"/>
        <v>5.2058456440737299E-3</v>
      </c>
      <c r="M142" s="723">
        <f t="shared" ca="1" si="258"/>
        <v>1.019010662927577E-2</v>
      </c>
      <c r="N142" s="723">
        <f t="shared" ca="1" si="258"/>
        <v>1.3550492056305161E-2</v>
      </c>
      <c r="O142" s="723">
        <f t="shared" ca="1" si="258"/>
        <v>2.1722298507784163E-2</v>
      </c>
      <c r="P142" s="723">
        <f t="shared" ca="1" si="258"/>
        <v>3.1905177852539705E-2</v>
      </c>
      <c r="Q142" s="723">
        <f t="shared" ca="1" si="258"/>
        <v>4.7148805397006686E-2</v>
      </c>
      <c r="R142" s="723">
        <f t="shared" ca="1" si="258"/>
        <v>6.7421423205678163E-2</v>
      </c>
      <c r="S142" s="723">
        <f t="shared" ca="1" si="258"/>
        <v>9.7972138246532836E-2</v>
      </c>
      <c r="T142" s="723">
        <f t="shared" ca="1" si="258"/>
        <v>0.1285183373788934</v>
      </c>
      <c r="U142" s="723">
        <f t="shared" ca="1" si="258"/>
        <v>0.15906007592217794</v>
      </c>
      <c r="V142" s="723">
        <f t="shared" ca="1" si="258"/>
        <v>0.18959740829593599</v>
      </c>
      <c r="W142" s="723">
        <f t="shared" ca="1" si="258"/>
        <v>0.22013038803807181</v>
      </c>
      <c r="X142" s="723">
        <f t="shared" ca="1" si="258"/>
        <v>0.25065906782262687</v>
      </c>
      <c r="Y142" s="723">
        <f t="shared" ca="1" si="258"/>
        <v>0.28118349947713334</v>
      </c>
      <c r="Z142" s="723">
        <f t="shared" ca="1" si="258"/>
        <v>0.31170373399955092</v>
      </c>
    </row>
    <row r="143" spans="2:26" hidden="1" outlineLevel="1"/>
    <row r="144" spans="2:26" collapsed="1"/>
    <row r="145" spans="2:26" s="496" customFormat="1">
      <c r="B145" s="520" t="s">
        <v>1215</v>
      </c>
    </row>
    <row r="147" spans="2:26">
      <c r="B147" s="489" t="s">
        <v>1220</v>
      </c>
      <c r="C147" s="743">
        <v>9.4798627935450437</v>
      </c>
      <c r="D147" s="743">
        <v>9.5995632356025737</v>
      </c>
      <c r="E147" s="743">
        <v>9.5256649925934589</v>
      </c>
      <c r="F147" s="743">
        <v>9.1999999999999993</v>
      </c>
      <c r="G147" s="743">
        <v>9.3000000000000007</v>
      </c>
      <c r="H147" s="743">
        <f>Interims!AI49</f>
        <v>9.4225177846109052</v>
      </c>
      <c r="I147" s="743">
        <f>Interims!AN49</f>
        <v>8.8276039332310337</v>
      </c>
      <c r="J147" s="743">
        <f>Interims!AS49</f>
        <v>8.7129431922885132</v>
      </c>
      <c r="K147" s="743">
        <f>Interims!AX49</f>
        <v>8.8000000000000007</v>
      </c>
      <c r="L147" s="743">
        <f>Interims!BC49</f>
        <v>8.4</v>
      </c>
      <c r="M147" s="743">
        <f>Interims!BH49</f>
        <v>8.3307723311365312</v>
      </c>
      <c r="N147" s="529">
        <f t="shared" ref="N147:T147" si="259">N158</f>
        <v>8.0865343946392674</v>
      </c>
      <c r="O147" s="529">
        <f t="shared" si="259"/>
        <v>8.3547192123272112</v>
      </c>
      <c r="P147" s="529">
        <f t="shared" si="259"/>
        <v>8.4131238092423004</v>
      </c>
      <c r="Q147" s="529">
        <f t="shared" si="259"/>
        <v>8.4754857962861916</v>
      </c>
      <c r="R147" s="529">
        <f t="shared" si="259"/>
        <v>8.541862520801768</v>
      </c>
      <c r="S147" s="529">
        <f t="shared" si="259"/>
        <v>8.6123120813397573</v>
      </c>
      <c r="T147" s="529">
        <f t="shared" si="259"/>
        <v>8.6868933369481596</v>
      </c>
      <c r="U147" s="529">
        <f t="shared" ref="U147:Z147" si="260">U158</f>
        <v>8.7656659165723276</v>
      </c>
      <c r="V147" s="529">
        <f t="shared" si="260"/>
        <v>8.8486902285670155</v>
      </c>
      <c r="W147" s="529">
        <f t="shared" si="260"/>
        <v>8.9360274703216724</v>
      </c>
      <c r="X147" s="529">
        <f t="shared" si="260"/>
        <v>9.0277396380002966</v>
      </c>
      <c r="Y147" s="529">
        <f t="shared" si="260"/>
        <v>9.1238895363971935</v>
      </c>
      <c r="Z147" s="529">
        <f t="shared" si="260"/>
        <v>9.2245407889099607</v>
      </c>
    </row>
    <row r="148" spans="2:26">
      <c r="B148" s="489" t="s">
        <v>1217</v>
      </c>
      <c r="C148" s="743">
        <v>22.385711569262373</v>
      </c>
      <c r="D148" s="743">
        <v>22.036586746890276</v>
      </c>
      <c r="E148" s="743">
        <v>22.873857127875318</v>
      </c>
      <c r="F148" s="743">
        <v>22.9</v>
      </c>
      <c r="G148" s="743">
        <v>24.3</v>
      </c>
      <c r="H148" s="743">
        <f>Interims!AI50</f>
        <v>23.975270002061201</v>
      </c>
      <c r="I148" s="743">
        <f>Interims!AN50</f>
        <v>24.264368192428883</v>
      </c>
      <c r="J148" s="743">
        <f>Interims!AS50</f>
        <v>24.424507311488387</v>
      </c>
      <c r="K148" s="743">
        <f>Interims!AX50</f>
        <v>24.1</v>
      </c>
      <c r="L148" s="743">
        <f>Interims!BC50</f>
        <v>24.2</v>
      </c>
      <c r="M148" s="743">
        <f>Interims!BH50</f>
        <v>24.290818524144427</v>
      </c>
      <c r="N148" s="529">
        <f t="shared" ref="N148:T148" ca="1" si="261">N165</f>
        <v>24.054141760271975</v>
      </c>
      <c r="O148" s="529">
        <f t="shared" ca="1" si="261"/>
        <v>24.200143507822283</v>
      </c>
      <c r="P148" s="529">
        <f t="shared" ca="1" si="261"/>
        <v>24.555591684566821</v>
      </c>
      <c r="Q148" s="529">
        <f t="shared" ca="1" si="261"/>
        <v>24.870224961588455</v>
      </c>
      <c r="R148" s="529">
        <f t="shared" ca="1" si="261"/>
        <v>25.120870949313144</v>
      </c>
      <c r="S148" s="529">
        <f t="shared" ca="1" si="261"/>
        <v>25.490476868934739</v>
      </c>
      <c r="T148" s="529">
        <f t="shared" ca="1" si="261"/>
        <v>25.774191387612184</v>
      </c>
      <c r="U148" s="529">
        <f t="shared" ref="U148:Z148" ca="1" si="262">U165</f>
        <v>26.228595114433553</v>
      </c>
      <c r="V148" s="529">
        <f t="shared" ca="1" si="262"/>
        <v>26.656533252864193</v>
      </c>
      <c r="W148" s="529">
        <f t="shared" ca="1" si="262"/>
        <v>27.0630759098905</v>
      </c>
      <c r="X148" s="529">
        <f t="shared" ca="1" si="262"/>
        <v>27.452155457405677</v>
      </c>
      <c r="Y148" s="529">
        <f t="shared" ca="1" si="262"/>
        <v>27.826872804809543</v>
      </c>
      <c r="Z148" s="529">
        <f t="shared" ca="1" si="262"/>
        <v>28.189710260413715</v>
      </c>
    </row>
    <row r="149" spans="2:26">
      <c r="B149" s="58" t="s">
        <v>154</v>
      </c>
      <c r="C149" s="744">
        <v>13.175993329082313</v>
      </c>
      <c r="D149" s="744">
        <v>13.91206058787386</v>
      </c>
      <c r="E149" s="745">
        <v>14.894551276655523</v>
      </c>
      <c r="F149" s="745">
        <v>16.399999999999999</v>
      </c>
      <c r="G149" s="745">
        <v>17.399999999999999</v>
      </c>
      <c r="H149" s="745">
        <f>Interims!AI51</f>
        <v>17.809211571098999</v>
      </c>
      <c r="I149" s="745">
        <f>Interims!AN51</f>
        <v>18.048956625210312</v>
      </c>
      <c r="J149" s="745">
        <f>Interims!AS51</f>
        <v>17.768507903520447</v>
      </c>
      <c r="K149" s="745">
        <f>Interims!AX51</f>
        <v>17.5</v>
      </c>
      <c r="L149" s="745">
        <f>Interims!BC51</f>
        <v>17.7</v>
      </c>
      <c r="M149" s="745">
        <f>Interims!BH51</f>
        <v>18.247097654515112</v>
      </c>
      <c r="N149" s="519">
        <f t="shared" ref="N149:T149" ca="1" si="263">N173</f>
        <v>21.82830040279859</v>
      </c>
      <c r="O149" s="519">
        <f t="shared" ca="1" si="263"/>
        <v>25.807971942911575</v>
      </c>
      <c r="P149" s="519">
        <f t="shared" ca="1" si="263"/>
        <v>26.668963937387236</v>
      </c>
      <c r="Q149" s="519">
        <f t="shared" ca="1" si="263"/>
        <v>27.906418858357721</v>
      </c>
      <c r="R149" s="519">
        <f t="shared" ca="1" si="263"/>
        <v>29.112835979612395</v>
      </c>
      <c r="S149" s="519">
        <f t="shared" ca="1" si="263"/>
        <v>30.168526694968733</v>
      </c>
      <c r="T149" s="519">
        <f t="shared" ca="1" si="263"/>
        <v>30.828945198382897</v>
      </c>
      <c r="U149" s="519">
        <f t="shared" ref="U149:Z149" ca="1" si="264">U173</f>
        <v>31.524450021074987</v>
      </c>
      <c r="V149" s="519">
        <f t="shared" ca="1" si="264"/>
        <v>32.212785525742582</v>
      </c>
      <c r="W149" s="519">
        <f t="shared" ca="1" si="264"/>
        <v>32.895051322285461</v>
      </c>
      <c r="X149" s="519">
        <f t="shared" ca="1" si="264"/>
        <v>33.572217775229653</v>
      </c>
      <c r="Y149" s="519">
        <f t="shared" ca="1" si="264"/>
        <v>34.245147165171751</v>
      </c>
      <c r="Z149" s="519">
        <f t="shared" ca="1" si="264"/>
        <v>34.914611171951883</v>
      </c>
    </row>
    <row r="150" spans="2:26">
      <c r="B150" s="514" t="s">
        <v>1185</v>
      </c>
      <c r="D150" s="490">
        <f t="shared" ref="D150:T150" si="265">D149/C149-1</f>
        <v>5.5864270754212075E-2</v>
      </c>
      <c r="E150" s="490">
        <f t="shared" si="265"/>
        <v>7.0621507329980293E-2</v>
      </c>
      <c r="F150" s="490">
        <f t="shared" si="265"/>
        <v>0.1010737883526569</v>
      </c>
      <c r="G150" s="490">
        <f t="shared" si="265"/>
        <v>6.0975609756097615E-2</v>
      </c>
      <c r="H150" s="490">
        <f t="shared" si="265"/>
        <v>2.3517906384999954E-2</v>
      </c>
      <c r="I150" s="490">
        <f t="shared" si="265"/>
        <v>1.3461856700067276E-2</v>
      </c>
      <c r="J150" s="490">
        <f t="shared" si="265"/>
        <v>-1.5538223483685609E-2</v>
      </c>
      <c r="K150" s="490">
        <f t="shared" si="265"/>
        <v>-1.5111449142403699E-2</v>
      </c>
      <c r="L150" s="490">
        <f t="shared" si="265"/>
        <v>1.1428571428571344E-2</v>
      </c>
      <c r="M150" s="490">
        <f t="shared" si="265"/>
        <v>3.0909472006503513E-2</v>
      </c>
      <c r="N150" s="490">
        <f t="shared" ca="1" si="265"/>
        <v>0.1962614995594838</v>
      </c>
      <c r="O150" s="490">
        <f t="shared" ca="1" si="265"/>
        <v>0.18231705935303855</v>
      </c>
      <c r="P150" s="490">
        <f t="shared" ca="1" si="265"/>
        <v>3.3361474368470923E-2</v>
      </c>
      <c r="Q150" s="490">
        <f t="shared" ca="1" si="265"/>
        <v>4.6400562236903919E-2</v>
      </c>
      <c r="R150" s="490">
        <f t="shared" ca="1" si="265"/>
        <v>4.3230811068162733E-2</v>
      </c>
      <c r="S150" s="490">
        <f t="shared" ca="1" si="265"/>
        <v>3.6262036309194778E-2</v>
      </c>
      <c r="T150" s="490">
        <f t="shared" ca="1" si="265"/>
        <v>2.1890976317524347E-2</v>
      </c>
      <c r="U150" s="490">
        <f t="shared" ref="U150" ca="1" si="266">U149/T149-1</f>
        <v>2.2560123877626959E-2</v>
      </c>
      <c r="V150" s="490">
        <f t="shared" ref="V150" ca="1" si="267">V149/U149-1</f>
        <v>2.1834972670654818E-2</v>
      </c>
      <c r="W150" s="490">
        <f t="shared" ref="W150" ca="1" si="268">W149/V149-1</f>
        <v>2.117996892872398E-2</v>
      </c>
      <c r="X150" s="490">
        <f t="shared" ref="X150" ca="1" si="269">X149/W149-1</f>
        <v>2.0585663366496476E-2</v>
      </c>
      <c r="Y150" s="490">
        <f t="shared" ref="Y150" ca="1" si="270">Y149/X149-1</f>
        <v>2.0044234028488983E-2</v>
      </c>
      <c r="Z150" s="490">
        <f t="shared" ref="Z150" ca="1" si="271">Z149/Y149-1</f>
        <v>1.9549164252416817E-2</v>
      </c>
    </row>
    <row r="153" spans="2:26">
      <c r="B153" s="489" t="s">
        <v>1218</v>
      </c>
      <c r="C153" s="535">
        <v>8.5</v>
      </c>
      <c r="D153" s="529">
        <f>C153*(1+D154)</f>
        <v>8.5850000000000009</v>
      </c>
      <c r="E153" s="529">
        <f>D153*(1+E154)</f>
        <v>7.898200000000001</v>
      </c>
      <c r="F153" s="529">
        <f t="shared" ref="F153:T153" si="272">E153*(1+F154)</f>
        <v>7.5427810000000006</v>
      </c>
      <c r="G153" s="529">
        <f t="shared" si="272"/>
        <v>7.3164975700000001</v>
      </c>
      <c r="H153" s="529">
        <f t="shared" si="272"/>
        <v>7.2433325943</v>
      </c>
      <c r="I153" s="529">
        <f t="shared" si="272"/>
        <v>7.1708992683570001</v>
      </c>
      <c r="J153" s="529">
        <f t="shared" si="272"/>
        <v>7.0633357793316449</v>
      </c>
      <c r="K153" s="529">
        <f t="shared" si="272"/>
        <v>6.9573857426416703</v>
      </c>
      <c r="L153" s="529">
        <f t="shared" si="272"/>
        <v>6.5399425980831696</v>
      </c>
      <c r="M153" s="743">
        <v>8</v>
      </c>
      <c r="N153" s="529">
        <f t="shared" si="272"/>
        <v>7.6</v>
      </c>
      <c r="O153" s="529">
        <f t="shared" si="272"/>
        <v>7.9799999999999995</v>
      </c>
      <c r="P153" s="529">
        <f t="shared" si="272"/>
        <v>7.9799999999999995</v>
      </c>
      <c r="Q153" s="529">
        <f t="shared" si="272"/>
        <v>7.9799999999999995</v>
      </c>
      <c r="R153" s="529">
        <f t="shared" si="272"/>
        <v>7.9799999999999995</v>
      </c>
      <c r="S153" s="529">
        <f t="shared" si="272"/>
        <v>7.9799999999999995</v>
      </c>
      <c r="T153" s="529">
        <f t="shared" si="272"/>
        <v>7.9799999999999995</v>
      </c>
      <c r="U153" s="529">
        <f t="shared" ref="U153" si="273">T153*(1+U154)</f>
        <v>7.9799999999999995</v>
      </c>
      <c r="V153" s="529">
        <f t="shared" ref="V153" si="274">U153*(1+V154)</f>
        <v>7.9799999999999995</v>
      </c>
      <c r="W153" s="529">
        <f t="shared" ref="W153" si="275">V153*(1+W154)</f>
        <v>7.9799999999999995</v>
      </c>
      <c r="X153" s="529">
        <f t="shared" ref="X153" si="276">W153*(1+X154)</f>
        <v>7.9799999999999995</v>
      </c>
      <c r="Y153" s="529">
        <f t="shared" ref="Y153" si="277">X153*(1+Y154)</f>
        <v>7.9799999999999995</v>
      </c>
      <c r="Z153" s="529">
        <f t="shared" ref="Z153" si="278">Y153*(1+Z154)</f>
        <v>7.9799999999999995</v>
      </c>
    </row>
    <row r="154" spans="2:26">
      <c r="B154" s="748" t="s">
        <v>1382</v>
      </c>
      <c r="D154" s="530">
        <v>0.01</v>
      </c>
      <c r="E154" s="530">
        <v>-0.08</v>
      </c>
      <c r="F154" s="530">
        <v>-4.4999999999999998E-2</v>
      </c>
      <c r="G154" s="530">
        <v>-0.03</v>
      </c>
      <c r="H154" s="530">
        <v>-0.01</v>
      </c>
      <c r="I154" s="530">
        <v>-0.01</v>
      </c>
      <c r="J154" s="530">
        <v>-1.4999999999999999E-2</v>
      </c>
      <c r="K154" s="530">
        <v>-1.4999999999999999E-2</v>
      </c>
      <c r="L154" s="530">
        <v>-0.06</v>
      </c>
      <c r="M154" s="530">
        <v>-0.04</v>
      </c>
      <c r="N154" s="530">
        <v>-0.05</v>
      </c>
      <c r="O154" s="530">
        <v>0.05</v>
      </c>
      <c r="P154" s="530">
        <v>0</v>
      </c>
      <c r="Q154" s="530">
        <v>0</v>
      </c>
      <c r="R154" s="530">
        <v>0</v>
      </c>
      <c r="S154" s="530">
        <v>0</v>
      </c>
      <c r="T154" s="530">
        <v>0</v>
      </c>
      <c r="U154" s="530">
        <v>0</v>
      </c>
      <c r="V154" s="530">
        <v>0</v>
      </c>
      <c r="W154" s="530">
        <v>0</v>
      </c>
      <c r="X154" s="530">
        <v>0</v>
      </c>
      <c r="Y154" s="530">
        <v>0</v>
      </c>
      <c r="Z154" s="530">
        <v>0</v>
      </c>
    </row>
    <row r="155" spans="2:26">
      <c r="B155" s="489" t="s">
        <v>1219</v>
      </c>
      <c r="C155" s="535">
        <f t="shared" ref="C155:I155" si="279">(C158-(C153*(1-C157)))/C157</f>
        <v>16.494246449776025</v>
      </c>
      <c r="D155" s="535">
        <f t="shared" si="279"/>
        <v>16.864623615078305</v>
      </c>
      <c r="E155" s="535">
        <f t="shared" si="279"/>
        <v>17.278780792575695</v>
      </c>
      <c r="F155" s="535">
        <f t="shared" si="279"/>
        <v>16.945277610722602</v>
      </c>
      <c r="G155" s="535">
        <f t="shared" si="279"/>
        <v>18.234986527697679</v>
      </c>
      <c r="H155" s="535">
        <f t="shared" si="279"/>
        <v>16.07394827291942</v>
      </c>
      <c r="I155" s="535">
        <f t="shared" si="279"/>
        <v>13.934392030053862</v>
      </c>
      <c r="J155" s="535">
        <f>(J158-(J153*(1-J157)))/J157</f>
        <v>13.584400033489556</v>
      </c>
      <c r="K155" s="535">
        <f>(K158-(K153*(1-K157)))/K157</f>
        <v>13.910776094157153</v>
      </c>
      <c r="L155" s="535">
        <f ca="1">(L158-(L153*(1-L157)))/L157</f>
        <v>13.672662715917468</v>
      </c>
      <c r="M155" s="535">
        <f>(M158-(M153*(1-M157)))/M157</f>
        <v>9.1701234639019589</v>
      </c>
      <c r="N155" s="529">
        <f>M155*(1+N156)</f>
        <v>8.7116172907068599</v>
      </c>
      <c r="O155" s="529">
        <f t="shared" ref="O155:T155" si="280">N155*(1+O156)</f>
        <v>8.7987334636139281</v>
      </c>
      <c r="P155" s="529">
        <f t="shared" si="280"/>
        <v>8.8867207982500673</v>
      </c>
      <c r="Q155" s="529">
        <f t="shared" si="280"/>
        <v>8.9755880062325684</v>
      </c>
      <c r="R155" s="529">
        <f t="shared" si="280"/>
        <v>9.0653438862948938</v>
      </c>
      <c r="S155" s="529">
        <f t="shared" si="280"/>
        <v>9.155997325157843</v>
      </c>
      <c r="T155" s="529">
        <f t="shared" si="280"/>
        <v>9.2475572984094221</v>
      </c>
      <c r="U155" s="529">
        <f t="shared" ref="U155" si="281">T155*(1+U156)</f>
        <v>9.3400328713935163</v>
      </c>
      <c r="V155" s="529">
        <f t="shared" ref="V155" si="282">U155*(1+V156)</f>
        <v>9.4334332001074515</v>
      </c>
      <c r="W155" s="529">
        <f t="shared" ref="W155" si="283">V155*(1+W156)</f>
        <v>9.5277675321085269</v>
      </c>
      <c r="X155" s="529">
        <f t="shared" ref="X155" si="284">W155*(1+X156)</f>
        <v>9.6230452074296124</v>
      </c>
      <c r="Y155" s="529">
        <f t="shared" ref="Y155" si="285">X155*(1+Y156)</f>
        <v>9.7192756595039089</v>
      </c>
      <c r="Z155" s="529">
        <f t="shared" ref="Z155" si="286">Y155*(1+Z156)</f>
        <v>9.8164684160989477</v>
      </c>
    </row>
    <row r="156" spans="2:26">
      <c r="B156" s="748" t="s">
        <v>1382</v>
      </c>
      <c r="D156" s="490">
        <f t="shared" ref="D156:M156" si="287">D155/C155-1</f>
        <v>2.2454930962142239E-2</v>
      </c>
      <c r="E156" s="490">
        <f t="shared" si="287"/>
        <v>2.4557748038153804E-2</v>
      </c>
      <c r="F156" s="490">
        <f t="shared" si="287"/>
        <v>-1.9301314476794063E-2</v>
      </c>
      <c r="G156" s="490">
        <f t="shared" si="287"/>
        <v>7.6110226495137212E-2</v>
      </c>
      <c r="H156" s="490">
        <f t="shared" si="287"/>
        <v>-0.11851054847206999</v>
      </c>
      <c r="I156" s="490">
        <f t="shared" si="287"/>
        <v>-0.13310707528343702</v>
      </c>
      <c r="J156" s="490">
        <f t="shared" si="287"/>
        <v>-2.5117134339943892E-2</v>
      </c>
      <c r="K156" s="490">
        <f t="shared" si="287"/>
        <v>2.4025798700199053E-2</v>
      </c>
      <c r="L156" s="490">
        <f t="shared" ca="1" si="287"/>
        <v>-1.7117188618951173E-2</v>
      </c>
      <c r="M156" s="490">
        <f t="shared" ca="1" si="287"/>
        <v>-0.32930961185590679</v>
      </c>
      <c r="N156" s="530">
        <v>-0.05</v>
      </c>
      <c r="O156" s="530">
        <v>0.01</v>
      </c>
      <c r="P156" s="530">
        <v>0.01</v>
      </c>
      <c r="Q156" s="530">
        <v>0.01</v>
      </c>
      <c r="R156" s="530">
        <v>0.01</v>
      </c>
      <c r="S156" s="530">
        <v>0.01</v>
      </c>
      <c r="T156" s="530">
        <v>0.01</v>
      </c>
      <c r="U156" s="530">
        <v>0.01</v>
      </c>
      <c r="V156" s="530">
        <v>0.01</v>
      </c>
      <c r="W156" s="530">
        <v>0.01</v>
      </c>
      <c r="X156" s="530">
        <v>0.01</v>
      </c>
      <c r="Y156" s="530">
        <v>0.01</v>
      </c>
      <c r="Z156" s="530">
        <v>0.01</v>
      </c>
    </row>
    <row r="157" spans="2:26">
      <c r="B157" s="536" t="s">
        <v>1213</v>
      </c>
      <c r="C157" s="528">
        <f>C100</f>
        <v>0.12257100149476831</v>
      </c>
      <c r="D157" s="528">
        <f t="shared" ref="D157:Z157" si="288">D100</f>
        <v>0.122537361934535</v>
      </c>
      <c r="E157" s="528">
        <f t="shared" si="288"/>
        <v>0.17349298818272779</v>
      </c>
      <c r="F157" s="528">
        <f t="shared" si="288"/>
        <v>0.176253081347576</v>
      </c>
      <c r="G157" s="528">
        <f t="shared" si="288"/>
        <v>0.18166455428812844</v>
      </c>
      <c r="H157" s="528">
        <f t="shared" si="288"/>
        <v>0.24677613312819424</v>
      </c>
      <c r="I157" s="528">
        <f t="shared" si="288"/>
        <v>0.24494809460820513</v>
      </c>
      <c r="J157" s="528">
        <f t="shared" si="288"/>
        <v>0.2529659805000477</v>
      </c>
      <c r="K157" s="528">
        <f t="shared" si="288"/>
        <v>0.26499508357915436</v>
      </c>
      <c r="L157" s="528">
        <f t="shared" ca="1" si="288"/>
        <v>0.26077812828601471</v>
      </c>
      <c r="M157" s="528">
        <f t="shared" si="288"/>
        <v>0.28268156424581004</v>
      </c>
      <c r="N157" s="528">
        <f t="shared" si="288"/>
        <v>0.43768156424581006</v>
      </c>
      <c r="O157" s="528">
        <f t="shared" si="288"/>
        <v>0.45768156424581008</v>
      </c>
      <c r="P157" s="528">
        <f t="shared" si="288"/>
        <v>0.4776815642458101</v>
      </c>
      <c r="Q157" s="528">
        <f t="shared" si="288"/>
        <v>0.49768156424581012</v>
      </c>
      <c r="R157" s="528">
        <f t="shared" si="288"/>
        <v>0.51768156424581013</v>
      </c>
      <c r="S157" s="528">
        <f t="shared" si="288"/>
        <v>0.53768156424581015</v>
      </c>
      <c r="T157" s="528">
        <f t="shared" si="288"/>
        <v>0.55768156424581017</v>
      </c>
      <c r="U157" s="528">
        <f t="shared" si="288"/>
        <v>0.57768156424581019</v>
      </c>
      <c r="V157" s="528">
        <f t="shared" si="288"/>
        <v>0.5976815642458102</v>
      </c>
      <c r="W157" s="528">
        <f t="shared" si="288"/>
        <v>0.61768156424581022</v>
      </c>
      <c r="X157" s="528">
        <f t="shared" si="288"/>
        <v>0.63768156424581024</v>
      </c>
      <c r="Y157" s="528">
        <f t="shared" si="288"/>
        <v>0.65768156424581026</v>
      </c>
      <c r="Z157" s="528">
        <f t="shared" si="288"/>
        <v>0.67768156424581028</v>
      </c>
    </row>
    <row r="158" spans="2:26">
      <c r="B158" s="489" t="s">
        <v>1474</v>
      </c>
      <c r="C158" s="745">
        <f t="shared" ref="C158:I158" si="289">C147</f>
        <v>9.4798627935450437</v>
      </c>
      <c r="D158" s="745">
        <f t="shared" si="289"/>
        <v>9.5995632356025737</v>
      </c>
      <c r="E158" s="745">
        <f t="shared" si="289"/>
        <v>9.5256649925934589</v>
      </c>
      <c r="F158" s="745">
        <f t="shared" si="289"/>
        <v>9.1999999999999993</v>
      </c>
      <c r="G158" s="745">
        <f t="shared" si="289"/>
        <v>9.3000000000000007</v>
      </c>
      <c r="H158" s="745">
        <f t="shared" si="289"/>
        <v>9.4225177846109052</v>
      </c>
      <c r="I158" s="745">
        <f t="shared" si="289"/>
        <v>8.8276039332310337</v>
      </c>
      <c r="J158" s="745">
        <f>J147</f>
        <v>8.7129431922885132</v>
      </c>
      <c r="K158" s="745">
        <f>K147</f>
        <v>8.8000000000000007</v>
      </c>
      <c r="L158" s="745">
        <f>L147</f>
        <v>8.4</v>
      </c>
      <c r="M158" s="745">
        <f>M147</f>
        <v>8.3307723311365312</v>
      </c>
      <c r="N158" s="519">
        <f t="shared" ref="N158:T158" si="290">(N153*(1-N157))+(N155*N157)</f>
        <v>8.0865343946392674</v>
      </c>
      <c r="O158" s="519">
        <f t="shared" si="290"/>
        <v>8.3547192123272112</v>
      </c>
      <c r="P158" s="519">
        <f t="shared" si="290"/>
        <v>8.4131238092423004</v>
      </c>
      <c r="Q158" s="519">
        <f t="shared" si="290"/>
        <v>8.4754857962861916</v>
      </c>
      <c r="R158" s="519">
        <f t="shared" si="290"/>
        <v>8.541862520801768</v>
      </c>
      <c r="S158" s="519">
        <f t="shared" si="290"/>
        <v>8.6123120813397573</v>
      </c>
      <c r="T158" s="519">
        <f t="shared" si="290"/>
        <v>8.6868933369481596</v>
      </c>
      <c r="U158" s="519">
        <f t="shared" ref="U158:Z158" si="291">(U153*(1-U157))+(U155*U157)</f>
        <v>8.7656659165723276</v>
      </c>
      <c r="V158" s="519">
        <f t="shared" si="291"/>
        <v>8.8486902285670155</v>
      </c>
      <c r="W158" s="519">
        <f t="shared" si="291"/>
        <v>8.9360274703216724</v>
      </c>
      <c r="X158" s="519">
        <f t="shared" si="291"/>
        <v>9.0277396380002966</v>
      </c>
      <c r="Y158" s="519">
        <f t="shared" si="291"/>
        <v>9.1238895363971935</v>
      </c>
      <c r="Z158" s="519">
        <f t="shared" si="291"/>
        <v>9.2245407889099607</v>
      </c>
    </row>
    <row r="159" spans="2:26">
      <c r="B159" s="748" t="s">
        <v>1382</v>
      </c>
      <c r="D159" s="490">
        <f t="shared" ref="D159:T159" si="292">D158/C158-1</f>
        <v>1.2626811660083836E-2</v>
      </c>
      <c r="E159" s="490">
        <f t="shared" si="292"/>
        <v>-7.6980838810503105E-3</v>
      </c>
      <c r="F159" s="490">
        <f t="shared" si="292"/>
        <v>-3.4188163539939254E-2</v>
      </c>
      <c r="G159" s="490">
        <f t="shared" si="292"/>
        <v>1.0869565217391353E-2</v>
      </c>
      <c r="H159" s="490">
        <f t="shared" si="292"/>
        <v>1.3173955334505827E-2</v>
      </c>
      <c r="I159" s="490">
        <f t="shared" si="292"/>
        <v>-6.3137461236900005E-2</v>
      </c>
      <c r="J159" s="490">
        <f t="shared" si="292"/>
        <v>-1.2988885977415321E-2</v>
      </c>
      <c r="K159" s="490">
        <f t="shared" si="292"/>
        <v>9.9916647899802591E-3</v>
      </c>
      <c r="L159" s="490">
        <f t="shared" si="292"/>
        <v>-4.5454545454545525E-2</v>
      </c>
      <c r="M159" s="490">
        <f t="shared" si="292"/>
        <v>-8.2413891504129477E-3</v>
      </c>
      <c r="N159" s="490">
        <f t="shared" si="292"/>
        <v>-2.93175622606342E-2</v>
      </c>
      <c r="O159" s="490">
        <f t="shared" si="292"/>
        <v>3.3164369877129118E-2</v>
      </c>
      <c r="P159" s="490">
        <f t="shared" si="292"/>
        <v>6.9906115849966977E-3</v>
      </c>
      <c r="Q159" s="490">
        <f t="shared" si="292"/>
        <v>7.4124651506237704E-3</v>
      </c>
      <c r="R159" s="490">
        <f t="shared" si="292"/>
        <v>7.8316129731066386E-3</v>
      </c>
      <c r="S159" s="490">
        <f t="shared" si="292"/>
        <v>8.2475643182531311E-3</v>
      </c>
      <c r="T159" s="490">
        <f t="shared" si="292"/>
        <v>8.6598412718923434E-3</v>
      </c>
      <c r="U159" s="490">
        <f t="shared" ref="U159" si="293">U158/T158-1</f>
        <v>9.067980527529107E-3</v>
      </c>
      <c r="V159" s="490">
        <f t="shared" ref="V159" si="294">V158/U158-1</f>
        <v>9.4715350533405296E-3</v>
      </c>
      <c r="W159" s="490">
        <f t="shared" ref="W159" si="295">W158/V158-1</f>
        <v>9.870075626864816E-3</v>
      </c>
      <c r="X159" s="490">
        <f t="shared" ref="X159" si="296">X158/W158-1</f>
        <v>1.0263192227555118E-2</v>
      </c>
      <c r="Y159" s="490">
        <f t="shared" ref="Y159" si="297">Y158/X158-1</f>
        <v>1.0650495279258543E-2</v>
      </c>
      <c r="Z159" s="490">
        <f t="shared" ref="Z159" si="298">Z158/Y158-1</f>
        <v>1.1031616736617345E-2</v>
      </c>
    </row>
    <row r="161" spans="2:26">
      <c r="B161" s="618" t="s">
        <v>2038</v>
      </c>
      <c r="C161" s="529">
        <f>C165</f>
        <v>22.385711569262373</v>
      </c>
      <c r="D161" s="529">
        <f t="shared" ref="D161:G161" si="299">D165</f>
        <v>22.036586746890276</v>
      </c>
      <c r="E161" s="529">
        <f t="shared" si="299"/>
        <v>22.873857127875318</v>
      </c>
      <c r="F161" s="529">
        <f t="shared" si="299"/>
        <v>22.9</v>
      </c>
      <c r="G161" s="529">
        <f t="shared" si="299"/>
        <v>24.3</v>
      </c>
      <c r="H161" s="743">
        <f t="shared" ref="H161:L161" si="300">H148</f>
        <v>23.975270002061201</v>
      </c>
      <c r="I161" s="743">
        <f t="shared" si="300"/>
        <v>24.264368192428883</v>
      </c>
      <c r="J161" s="743">
        <f t="shared" si="300"/>
        <v>24.424507311488387</v>
      </c>
      <c r="K161" s="743">
        <f t="shared" si="300"/>
        <v>24.1</v>
      </c>
      <c r="L161" s="743">
        <f t="shared" si="300"/>
        <v>24.2</v>
      </c>
      <c r="M161" s="743">
        <f>M148</f>
        <v>24.290818524144427</v>
      </c>
      <c r="N161" s="529">
        <f>M161*(1+N162)</f>
        <v>24.533726709385871</v>
      </c>
      <c r="O161" s="529">
        <f t="shared" ref="O161:T161" si="301">N161*(1+O162)</f>
        <v>24.77906397647973</v>
      </c>
      <c r="P161" s="529">
        <f t="shared" si="301"/>
        <v>25.274645256009325</v>
      </c>
      <c r="Q161" s="529">
        <f t="shared" si="301"/>
        <v>25.780138161129511</v>
      </c>
      <c r="R161" s="529">
        <f t="shared" si="301"/>
        <v>26.295740924352103</v>
      </c>
      <c r="S161" s="529">
        <f t="shared" si="301"/>
        <v>27.084613152082667</v>
      </c>
      <c r="T161" s="529">
        <f t="shared" si="301"/>
        <v>27.897151546645148</v>
      </c>
      <c r="U161" s="529">
        <f t="shared" ref="U161" si="302">T161*(1+U162)</f>
        <v>29.013037608510956</v>
      </c>
      <c r="V161" s="529">
        <f t="shared" ref="V161" si="303">U161*(1+V162)</f>
        <v>30.173559112851397</v>
      </c>
      <c r="W161" s="529">
        <f t="shared" ref="W161" si="304">V161*(1+W162)</f>
        <v>31.380501477365453</v>
      </c>
      <c r="X161" s="529">
        <f t="shared" ref="X161" si="305">W161*(1+X162)</f>
        <v>32.635721536460075</v>
      </c>
      <c r="Y161" s="529">
        <f t="shared" ref="Y161" si="306">X161*(1+Y162)</f>
        <v>33.941150397918477</v>
      </c>
      <c r="Z161" s="529">
        <f t="shared" ref="Z161" si="307">Y161*(1+Z162)</f>
        <v>35.29879641383522</v>
      </c>
    </row>
    <row r="162" spans="2:26">
      <c r="B162" s="748" t="s">
        <v>1382</v>
      </c>
      <c r="C162" s="490"/>
      <c r="D162" s="490">
        <f t="shared" ref="D162:M162" si="308">D161/C161-1</f>
        <v>-1.5595877812143222E-2</v>
      </c>
      <c r="E162" s="490">
        <f t="shared" si="308"/>
        <v>3.7994558349795149E-2</v>
      </c>
      <c r="F162" s="490">
        <f t="shared" si="308"/>
        <v>1.1429148996835448E-3</v>
      </c>
      <c r="G162" s="490">
        <f t="shared" si="308"/>
        <v>6.1135371179039444E-2</v>
      </c>
      <c r="H162" s="490">
        <f t="shared" si="308"/>
        <v>-1.336337440077362E-2</v>
      </c>
      <c r="I162" s="490">
        <f t="shared" si="308"/>
        <v>1.2058182883563973E-2</v>
      </c>
      <c r="J162" s="490">
        <f t="shared" si="308"/>
        <v>6.5997646338664673E-3</v>
      </c>
      <c r="K162" s="490">
        <f t="shared" si="308"/>
        <v>-1.3286135411040623E-2</v>
      </c>
      <c r="L162" s="490">
        <f t="shared" si="308"/>
        <v>4.1493775933609811E-3</v>
      </c>
      <c r="M162" s="490">
        <f t="shared" si="308"/>
        <v>3.7528315762160869E-3</v>
      </c>
      <c r="N162" s="530">
        <v>0.01</v>
      </c>
      <c r="O162" s="530">
        <v>0.01</v>
      </c>
      <c r="P162" s="530">
        <v>0.02</v>
      </c>
      <c r="Q162" s="530">
        <v>0.02</v>
      </c>
      <c r="R162" s="530">
        <v>0.02</v>
      </c>
      <c r="S162" s="530">
        <v>0.03</v>
      </c>
      <c r="T162" s="530">
        <v>0.03</v>
      </c>
      <c r="U162" s="530">
        <v>0.04</v>
      </c>
      <c r="V162" s="530">
        <v>0.04</v>
      </c>
      <c r="W162" s="530">
        <v>0.04</v>
      </c>
      <c r="X162" s="530">
        <v>0.04</v>
      </c>
      <c r="Y162" s="530">
        <v>0.04</v>
      </c>
      <c r="Z162" s="530">
        <v>0.04</v>
      </c>
    </row>
    <row r="163" spans="2:26" outlineLevel="1">
      <c r="B163" s="489" t="s">
        <v>1476</v>
      </c>
      <c r="L163" s="529">
        <f>L344</f>
        <v>13</v>
      </c>
      <c r="M163" s="529">
        <f ca="1">M344</f>
        <v>13</v>
      </c>
      <c r="N163" s="529">
        <f ca="1">N344</f>
        <v>13.206052149038902</v>
      </c>
      <c r="O163" s="529">
        <f t="shared" ref="O163:Z163" ca="1" si="309">O344</f>
        <v>14.55460426526424</v>
      </c>
      <c r="P163" s="529">
        <f t="shared" ca="1" si="309"/>
        <v>16.073174937004897</v>
      </c>
      <c r="Q163" s="529">
        <f t="shared" ca="1" si="309"/>
        <v>17.109565995532925</v>
      </c>
      <c r="R163" s="529">
        <f t="shared" ca="1" si="309"/>
        <v>17.854486369059977</v>
      </c>
      <c r="S163" s="529">
        <f t="shared" ca="1" si="309"/>
        <v>18.421711406815696</v>
      </c>
      <c r="T163" s="529">
        <f t="shared" ca="1" si="309"/>
        <v>18.75516167105631</v>
      </c>
      <c r="U163" s="529">
        <f t="shared" ca="1" si="309"/>
        <v>18.878127218838486</v>
      </c>
      <c r="V163" s="529">
        <f t="shared" ca="1" si="309"/>
        <v>18.894645593373411</v>
      </c>
      <c r="W163" s="529">
        <f t="shared" ca="1" si="309"/>
        <v>18.846437636946444</v>
      </c>
      <c r="X163" s="529">
        <f t="shared" ca="1" si="309"/>
        <v>18.753325511348169</v>
      </c>
      <c r="Y163" s="529">
        <f t="shared" ca="1" si="309"/>
        <v>18.625799537297716</v>
      </c>
      <c r="Z163" s="529">
        <f t="shared" ca="1" si="309"/>
        <v>18.46981739673749</v>
      </c>
    </row>
    <row r="164" spans="2:26" outlineLevel="1">
      <c r="B164" s="748" t="s">
        <v>1382</v>
      </c>
      <c r="C164" s="490"/>
      <c r="D164" s="490"/>
      <c r="E164" s="490"/>
      <c r="F164" s="490"/>
      <c r="G164" s="490"/>
      <c r="H164" s="490"/>
      <c r="I164" s="490"/>
      <c r="J164" s="490"/>
      <c r="K164" s="490"/>
      <c r="L164" s="490"/>
      <c r="M164" s="490">
        <f ca="1">M163/L163-1</f>
        <v>0</v>
      </c>
      <c r="N164" s="490">
        <f ca="1">N163/M163-1</f>
        <v>1.5850165310684838E-2</v>
      </c>
      <c r="O164" s="490">
        <f ca="1">O163/N163-1</f>
        <v>0.10211621921570879</v>
      </c>
      <c r="P164" s="490">
        <f t="shared" ref="P164:Z164" ca="1" si="310">P163/O163-1</f>
        <v>0.1043361017629898</v>
      </c>
      <c r="Q164" s="490">
        <f t="shared" ca="1" si="310"/>
        <v>6.4479548228021155E-2</v>
      </c>
      <c r="R164" s="490">
        <f t="shared" ca="1" si="310"/>
        <v>4.3538239001593704E-2</v>
      </c>
      <c r="S164" s="490">
        <f t="shared" ca="1" si="310"/>
        <v>3.1769328225462967E-2</v>
      </c>
      <c r="T164" s="490">
        <f t="shared" ca="1" si="310"/>
        <v>1.810093844577576E-2</v>
      </c>
      <c r="U164" s="490">
        <f t="shared" ca="1" si="310"/>
        <v>6.5563576544338531E-3</v>
      </c>
      <c r="V164" s="490">
        <f t="shared" ca="1" si="310"/>
        <v>8.7500070019874698E-4</v>
      </c>
      <c r="W164" s="490">
        <f t="shared" ca="1" si="310"/>
        <v>-2.551408344164674E-3</v>
      </c>
      <c r="X164" s="490">
        <f t="shared" ca="1" si="310"/>
        <v>-4.9405690025863258E-3</v>
      </c>
      <c r="Y164" s="490">
        <f t="shared" ca="1" si="310"/>
        <v>-6.8001791987923887E-3</v>
      </c>
      <c r="Z164" s="490">
        <f t="shared" ca="1" si="310"/>
        <v>-8.3745205271793521E-3</v>
      </c>
    </row>
    <row r="165" spans="2:26">
      <c r="B165" s="489" t="s">
        <v>1217</v>
      </c>
      <c r="C165" s="745">
        <f t="shared" ref="C165:I165" si="311">C148</f>
        <v>22.385711569262373</v>
      </c>
      <c r="D165" s="745">
        <f t="shared" si="311"/>
        <v>22.036586746890276</v>
      </c>
      <c r="E165" s="745">
        <f t="shared" si="311"/>
        <v>22.873857127875318</v>
      </c>
      <c r="F165" s="745">
        <f t="shared" si="311"/>
        <v>22.9</v>
      </c>
      <c r="G165" s="745">
        <f t="shared" si="311"/>
        <v>24.3</v>
      </c>
      <c r="H165" s="519">
        <f t="shared" si="311"/>
        <v>23.975270002061201</v>
      </c>
      <c r="I165" s="519">
        <f t="shared" si="311"/>
        <v>24.264368192428883</v>
      </c>
      <c r="J165" s="519">
        <f>J148</f>
        <v>24.424507311488387</v>
      </c>
      <c r="K165" s="519">
        <f>K148</f>
        <v>24.1</v>
      </c>
      <c r="L165" s="519">
        <f>L148</f>
        <v>24.2</v>
      </c>
      <c r="M165" s="519">
        <f>M148</f>
        <v>24.290818524144427</v>
      </c>
      <c r="N165" s="519" cm="1">
        <f t="array" aca="1" ref="N165" ca="1">N198/(AVERAGE(M71:N71+AVERAGE(M168:N168)))/12*1000</f>
        <v>24.054141760271975</v>
      </c>
      <c r="O165" s="519" cm="1">
        <f t="array" aca="1" ref="O165" ca="1">O198/(AVERAGE(N71:O71+AVERAGE(N168:O168)))/12*1000</f>
        <v>24.200143507822283</v>
      </c>
      <c r="P165" s="519" cm="1">
        <f t="array" aca="1" ref="P165" ca="1">P198/(AVERAGE(O71:P71+AVERAGE(O168:P168)))/12*1000</f>
        <v>24.555591684566821</v>
      </c>
      <c r="Q165" s="519" cm="1">
        <f t="array" aca="1" ref="Q165" ca="1">Q198/(AVERAGE(P71:Q71+AVERAGE(P168:Q168)))/12*1000</f>
        <v>24.870224961588455</v>
      </c>
      <c r="R165" s="519" cm="1">
        <f t="array" aca="1" ref="R165" ca="1">R198/(AVERAGE(Q71:R71+AVERAGE(Q168:R168)))/12*1000</f>
        <v>25.120870949313144</v>
      </c>
      <c r="S165" s="519" cm="1">
        <f t="array" aca="1" ref="S165" ca="1">S198/(AVERAGE(R71:S71+AVERAGE(R168:S168)))/12*1000</f>
        <v>25.490476868934739</v>
      </c>
      <c r="T165" s="519" cm="1">
        <f t="array" aca="1" ref="T165" ca="1">T198/(AVERAGE(S71:T71+AVERAGE(S168:T168)))/12*1000</f>
        <v>25.774191387612184</v>
      </c>
      <c r="U165" s="519" cm="1">
        <f t="array" aca="1" ref="U165" ca="1">U198/(AVERAGE(T71:U71+AVERAGE(T168:U168)))/12*1000</f>
        <v>26.228595114433553</v>
      </c>
      <c r="V165" s="519" cm="1">
        <f t="array" aca="1" ref="V165" ca="1">V198/(AVERAGE(U71:V71+AVERAGE(U168:V168)))/12*1000</f>
        <v>26.656533252864193</v>
      </c>
      <c r="W165" s="519" cm="1">
        <f t="array" aca="1" ref="W165" ca="1">W198/(AVERAGE(V71:W71+AVERAGE(V168:W168)))/12*1000</f>
        <v>27.0630759098905</v>
      </c>
      <c r="X165" s="519" cm="1">
        <f t="array" aca="1" ref="X165" ca="1">X198/(AVERAGE(W71:X71+AVERAGE(W168:X168)))/12*1000</f>
        <v>27.452155457405677</v>
      </c>
      <c r="Y165" s="519" cm="1">
        <f t="array" aca="1" ref="Y165" ca="1">Y198/(AVERAGE(X71:Y71+AVERAGE(X168:Y168)))/12*1000</f>
        <v>27.826872804809543</v>
      </c>
      <c r="Z165" s="519" cm="1">
        <f t="array" aca="1" ref="Z165" ca="1">Z198/(AVERAGE(Y71:Z71+AVERAGE(Y168:Z168)))/12*1000</f>
        <v>28.189710260413715</v>
      </c>
    </row>
    <row r="166" spans="2:26">
      <c r="B166" s="748" t="s">
        <v>1382</v>
      </c>
      <c r="D166" s="490">
        <f t="shared" ref="D166:M166" si="312">D165/C165-1</f>
        <v>-1.5595877812143222E-2</v>
      </c>
      <c r="E166" s="490">
        <f t="shared" si="312"/>
        <v>3.7994558349795149E-2</v>
      </c>
      <c r="F166" s="490">
        <f t="shared" si="312"/>
        <v>1.1429148996835448E-3</v>
      </c>
      <c r="G166" s="528">
        <f t="shared" si="312"/>
        <v>6.1135371179039444E-2</v>
      </c>
      <c r="H166" s="490">
        <f t="shared" si="312"/>
        <v>-1.336337440077362E-2</v>
      </c>
      <c r="I166" s="490">
        <f t="shared" si="312"/>
        <v>1.2058182883563973E-2</v>
      </c>
      <c r="J166" s="490">
        <f t="shared" si="312"/>
        <v>6.5997646338664673E-3</v>
      </c>
      <c r="K166" s="490">
        <f t="shared" si="312"/>
        <v>-1.3286135411040623E-2</v>
      </c>
      <c r="L166" s="490">
        <f t="shared" si="312"/>
        <v>4.1493775933609811E-3</v>
      </c>
      <c r="M166" s="490">
        <f t="shared" si="312"/>
        <v>3.7528315762160869E-3</v>
      </c>
      <c r="N166" s="490">
        <f ca="1">N165/M165-1</f>
        <v>-9.7434659781926447E-3</v>
      </c>
      <c r="O166" s="490">
        <f t="shared" ref="O166:T166" ca="1" si="313">O165/N165-1</f>
        <v>6.0697134408447262E-3</v>
      </c>
      <c r="P166" s="490">
        <f t="shared" ca="1" si="313"/>
        <v>1.4687854087710006E-2</v>
      </c>
      <c r="Q166" s="490">
        <f t="shared" ca="1" si="313"/>
        <v>1.281310102657307E-2</v>
      </c>
      <c r="R166" s="490">
        <f t="shared" ca="1" si="313"/>
        <v>1.0078155228262053E-2</v>
      </c>
      <c r="S166" s="490">
        <f t="shared" ca="1" si="313"/>
        <v>1.4713101323889477E-2</v>
      </c>
      <c r="T166" s="490">
        <f t="shared" ca="1" si="313"/>
        <v>1.113021620333865E-2</v>
      </c>
      <c r="U166" s="490">
        <f t="shared" ref="U166" ca="1" si="314">U165/T165-1</f>
        <v>1.7630183620028772E-2</v>
      </c>
      <c r="V166" s="490">
        <f t="shared" ref="V166" ca="1" si="315">V165/U165-1</f>
        <v>1.6315709498109898E-2</v>
      </c>
      <c r="W166" s="490">
        <f t="shared" ref="W166" ca="1" si="316">W165/V165-1</f>
        <v>1.5251145119653753E-2</v>
      </c>
      <c r="X166" s="490">
        <f t="shared" ref="X166" ca="1" si="317">X165/W165-1</f>
        <v>1.437676740111371E-2</v>
      </c>
      <c r="Y166" s="490">
        <f t="shared" ref="Y166" ca="1" si="318">Y165/X165-1</f>
        <v>1.3649833361364605E-2</v>
      </c>
      <c r="Z166" s="490">
        <f t="shared" ref="Z166" ca="1" si="319">Z165/Y165-1</f>
        <v>1.3039102817958836E-2</v>
      </c>
    </row>
    <row r="167" spans="2:26">
      <c r="B167" s="748"/>
      <c r="D167" s="490"/>
      <c r="E167" s="490"/>
      <c r="F167" s="490"/>
      <c r="G167" s="528"/>
      <c r="H167" s="490"/>
      <c r="I167" s="490"/>
      <c r="J167" s="490"/>
      <c r="K167" s="490"/>
      <c r="L167" s="490"/>
      <c r="M167" s="490"/>
      <c r="N167" s="490"/>
      <c r="O167" s="490"/>
      <c r="P167" s="490"/>
      <c r="Q167" s="490"/>
      <c r="R167" s="490"/>
      <c r="S167" s="490"/>
      <c r="T167" s="490"/>
      <c r="U167" s="490"/>
      <c r="V167" s="490"/>
      <c r="W167" s="490"/>
      <c r="X167" s="490"/>
      <c r="Y167" s="490"/>
      <c r="Z167" s="490"/>
    </row>
    <row r="168" spans="2:26">
      <c r="B168" s="748" t="s">
        <v>2037</v>
      </c>
      <c r="D168" s="490"/>
      <c r="E168" s="490"/>
      <c r="F168" s="490"/>
      <c r="G168" s="528"/>
      <c r="H168" s="1254">
        <f t="shared" ref="H168:M168" si="320">H70-93</f>
        <v>480.98599999999999</v>
      </c>
      <c r="I168" s="1254">
        <f t="shared" si="320"/>
        <v>491.0044633898998</v>
      </c>
      <c r="J168" s="1254">
        <f t="shared" si="320"/>
        <v>508.65100010000003</v>
      </c>
      <c r="K168" s="1254">
        <f t="shared" si="320"/>
        <v>536</v>
      </c>
      <c r="L168" s="1254">
        <f t="shared" si="320"/>
        <v>554</v>
      </c>
      <c r="M168" s="1254">
        <f t="shared" ca="1" si="320"/>
        <v>600.96153846153845</v>
      </c>
      <c r="N168" s="1254">
        <f t="shared" ref="N168:Z168" ca="1" si="321">N70-47</f>
        <v>671.96651123357356</v>
      </c>
      <c r="O168" s="1254">
        <f t="shared" ca="1" si="321"/>
        <v>729.7643919848698</v>
      </c>
      <c r="P168" s="1254">
        <f t="shared" ca="1" si="321"/>
        <v>785.338272736166</v>
      </c>
      <c r="Q168" s="1254">
        <f t="shared" ca="1" si="321"/>
        <v>836.21415348746223</v>
      </c>
      <c r="R168" s="1254">
        <f t="shared" ca="1" si="321"/>
        <v>874.97003423875844</v>
      </c>
      <c r="S168" s="1254">
        <f t="shared" ca="1" si="321"/>
        <v>903.45179574135091</v>
      </c>
      <c r="T168" s="1254">
        <f t="shared" ca="1" si="321"/>
        <v>919.71355724394323</v>
      </c>
      <c r="U168" s="1254">
        <f t="shared" ca="1" si="321"/>
        <v>936.07531874653557</v>
      </c>
      <c r="V168" s="1254">
        <f t="shared" ca="1" si="321"/>
        <v>952.53708024912794</v>
      </c>
      <c r="W168" s="1254">
        <f t="shared" ca="1" si="321"/>
        <v>969.09884175172033</v>
      </c>
      <c r="X168" s="1254">
        <f t="shared" ca="1" si="321"/>
        <v>985.76060325431263</v>
      </c>
      <c r="Y168" s="1254">
        <f t="shared" ca="1" si="321"/>
        <v>1002.5223647569051</v>
      </c>
      <c r="Z168" s="1254">
        <f t="shared" ca="1" si="321"/>
        <v>1019.3841262594974</v>
      </c>
    </row>
    <row r="169" spans="2:26">
      <c r="B169" s="748" t="s">
        <v>223</v>
      </c>
      <c r="D169" s="490"/>
      <c r="E169" s="490"/>
      <c r="F169" s="490"/>
      <c r="G169" s="528"/>
      <c r="H169" s="490"/>
      <c r="I169" s="1254">
        <f>I168-H168</f>
        <v>10.018463389899807</v>
      </c>
      <c r="J169" s="1254">
        <f>J168-I168</f>
        <v>17.646536710100236</v>
      </c>
      <c r="K169" s="1254">
        <f>K168-J168</f>
        <v>27.348999899999967</v>
      </c>
      <c r="L169" s="1254">
        <f t="shared" ref="L169:P169" si="322">L168-K168</f>
        <v>18</v>
      </c>
      <c r="M169" s="1254">
        <f t="shared" ca="1" si="322"/>
        <v>46.961538461538453</v>
      </c>
      <c r="N169" s="1254">
        <f t="shared" ca="1" si="322"/>
        <v>71.004972772035103</v>
      </c>
      <c r="O169" s="1254">
        <f t="shared" ca="1" si="322"/>
        <v>57.797880751296248</v>
      </c>
      <c r="P169" s="1254">
        <f t="shared" ca="1" si="322"/>
        <v>55.573880751296201</v>
      </c>
      <c r="Q169" s="1254">
        <f t="shared" ref="Q169" ca="1" si="323">Q168-P168</f>
        <v>50.875880751296222</v>
      </c>
      <c r="R169" s="1254">
        <f t="shared" ref="R169" ca="1" si="324">R168-Q168</f>
        <v>38.755880751296218</v>
      </c>
      <c r="S169" s="1254">
        <f t="shared" ref="S169" ca="1" si="325">S168-R168</f>
        <v>28.481761502592462</v>
      </c>
      <c r="T169" s="1254">
        <f t="shared" ref="T169" ca="1" si="326">T168-S168</f>
        <v>16.261761502592321</v>
      </c>
      <c r="U169" s="1254">
        <f t="shared" ref="U169" ca="1" si="327">U168-T168</f>
        <v>16.361761502592344</v>
      </c>
      <c r="V169" s="1254">
        <f t="shared" ref="V169" ca="1" si="328">V168-U168</f>
        <v>16.461761502592367</v>
      </c>
      <c r="W169" s="1254">
        <f t="shared" ref="W169" ca="1" si="329">W168-V168</f>
        <v>16.56176150259239</v>
      </c>
      <c r="X169" s="1254">
        <f t="shared" ref="X169" ca="1" si="330">X168-W168</f>
        <v>16.661761502592299</v>
      </c>
      <c r="Y169" s="1254">
        <f t="shared" ref="Y169" ca="1" si="331">Y168-X168</f>
        <v>16.761761502592435</v>
      </c>
      <c r="Z169" s="1254">
        <f t="shared" ref="Z169" ca="1" si="332">Z168-Y168</f>
        <v>16.861761502592344</v>
      </c>
    </row>
    <row r="170" spans="2:26">
      <c r="B170" s="748" t="s">
        <v>1961</v>
      </c>
      <c r="D170" s="490"/>
      <c r="E170" s="490"/>
      <c r="F170" s="490"/>
      <c r="G170" s="528"/>
      <c r="H170" s="490"/>
      <c r="I170" s="490"/>
      <c r="J170" s="490"/>
      <c r="K170" s="1252">
        <f t="shared" ref="K170" si="333">(K204*K200/K198)/AVERAGE(J168:K168)/12*1000</f>
        <v>24.068617197762507</v>
      </c>
      <c r="L170" s="1252">
        <f>(L204*L200/L198)/AVERAGE(K168:L168)/12*1000</f>
        <v>24.089177845565747</v>
      </c>
      <c r="M170" s="1252">
        <f ca="1">(M204*M200/M198)/AVERAGE(L168:M168)/12*1000</f>
        <v>24.262135202637449</v>
      </c>
      <c r="N170" s="1252">
        <f ca="1">(N204*N200/N198)/AVERAGE(M168:N168)/12*1000</f>
        <v>24.533726709385871</v>
      </c>
      <c r="O170" s="1252">
        <f t="shared" ref="O170:U170" ca="1" si="334">(O204*O200/O198)/AVERAGE(N168:O168)/12*1000</f>
        <v>24.779063976479733</v>
      </c>
      <c r="P170" s="1252">
        <f t="shared" ca="1" si="334"/>
        <v>25.274645256009322</v>
      </c>
      <c r="Q170" s="1252">
        <f t="shared" ca="1" si="334"/>
        <v>25.780138161129511</v>
      </c>
      <c r="R170" s="1252">
        <f t="shared" ca="1" si="334"/>
        <v>26.295740924352106</v>
      </c>
      <c r="S170" s="1252">
        <f t="shared" ca="1" si="334"/>
        <v>27.084613152082671</v>
      </c>
      <c r="T170" s="1252">
        <f t="shared" ca="1" si="334"/>
        <v>27.897151546645141</v>
      </c>
      <c r="U170" s="1252">
        <f t="shared" ca="1" si="334"/>
        <v>29.013037608510956</v>
      </c>
      <c r="V170" s="1252">
        <f t="shared" ref="V170:Z170" ca="1" si="335">(V204*V200/V198)/AVERAGE(U168:V168)/12*1000</f>
        <v>30.173559112851397</v>
      </c>
      <c r="W170" s="1252">
        <f t="shared" ca="1" si="335"/>
        <v>31.380501477365449</v>
      </c>
      <c r="X170" s="1252">
        <f t="shared" ca="1" si="335"/>
        <v>32.635721536460082</v>
      </c>
      <c r="Y170" s="1252">
        <f t="shared" ca="1" si="335"/>
        <v>33.941150397918477</v>
      </c>
      <c r="Z170" s="1252">
        <f t="shared" ca="1" si="335"/>
        <v>35.298796413835227</v>
      </c>
    </row>
    <row r="171" spans="2:26">
      <c r="B171" s="748"/>
      <c r="D171" s="490"/>
      <c r="E171" s="490"/>
      <c r="F171" s="490"/>
      <c r="G171" s="528"/>
      <c r="H171" s="490"/>
      <c r="I171" s="490"/>
      <c r="J171" s="490"/>
      <c r="K171" s="490"/>
      <c r="L171" s="490">
        <f>L170/K170-1</f>
        <v>8.5425131133631815E-4</v>
      </c>
      <c r="M171" s="490">
        <f ca="1">M170/L170-1</f>
        <v>7.1798779593277295E-3</v>
      </c>
      <c r="N171" s="490">
        <f ca="1">N170/M170-1</f>
        <v>1.1194048029165238E-2</v>
      </c>
      <c r="O171" s="490">
        <f ca="1">O170/N170-1</f>
        <v>1.0000000000000231E-2</v>
      </c>
      <c r="P171" s="490">
        <f ca="1">P170/O170-1</f>
        <v>1.9999999999999796E-2</v>
      </c>
      <c r="Q171" s="490">
        <f t="shared" ref="Q171:U171" ca="1" si="336">Q170/P170-1</f>
        <v>2.0000000000000018E-2</v>
      </c>
      <c r="R171" s="490">
        <f t="shared" ca="1" si="336"/>
        <v>2.000000000000024E-2</v>
      </c>
      <c r="S171" s="490">
        <f t="shared" ca="1" si="336"/>
        <v>3.0000000000000027E-2</v>
      </c>
      <c r="T171" s="490">
        <f t="shared" ca="1" si="336"/>
        <v>2.9999999999999583E-2</v>
      </c>
      <c r="U171" s="490">
        <f t="shared" ca="1" si="336"/>
        <v>4.0000000000000258E-2</v>
      </c>
      <c r="V171" s="490">
        <f t="shared" ref="V171" ca="1" si="337">V170/U170-1</f>
        <v>4.0000000000000036E-2</v>
      </c>
      <c r="W171" s="490">
        <f t="shared" ref="W171" ca="1" si="338">W170/V170-1</f>
        <v>3.9999999999999813E-2</v>
      </c>
      <c r="X171" s="490">
        <f t="shared" ref="X171" ca="1" si="339">X170/W170-1</f>
        <v>4.000000000000048E-2</v>
      </c>
      <c r="Y171" s="490">
        <f t="shared" ref="Y171" ca="1" si="340">Y170/X170-1</f>
        <v>3.9999999999999813E-2</v>
      </c>
      <c r="Z171" s="490">
        <f t="shared" ref="Z171" ca="1" si="341">Z170/Y170-1</f>
        <v>4.0000000000000258E-2</v>
      </c>
    </row>
    <row r="172" spans="2:26">
      <c r="H172" s="618"/>
      <c r="I172" s="618"/>
      <c r="J172" s="618"/>
    </row>
    <row r="173" spans="2:26" s="58" customFormat="1">
      <c r="B173" s="58" t="s">
        <v>154</v>
      </c>
      <c r="C173" s="533"/>
      <c r="D173" s="851">
        <f t="shared" ref="D173:Z173" si="342">(D187)/((D54+C54)/2000)/12</f>
        <v>13.736326597363792</v>
      </c>
      <c r="E173" s="851">
        <f t="shared" si="342"/>
        <v>12.515172321271429</v>
      </c>
      <c r="F173" s="851">
        <f t="shared" si="342"/>
        <v>16.428322014899685</v>
      </c>
      <c r="G173" s="851">
        <f t="shared" si="342"/>
        <v>17.293102248207699</v>
      </c>
      <c r="H173" s="851">
        <f t="shared" si="342"/>
        <v>17.660871267446701</v>
      </c>
      <c r="I173" s="851">
        <f t="shared" si="342"/>
        <v>18.251272594231803</v>
      </c>
      <c r="J173" s="851">
        <f t="shared" si="342"/>
        <v>17.800287229884816</v>
      </c>
      <c r="K173" s="851">
        <f t="shared" si="342"/>
        <v>17.661884176215704</v>
      </c>
      <c r="L173" s="851">
        <f t="shared" si="342"/>
        <v>17.820243372065374</v>
      </c>
      <c r="M173" s="851">
        <f t="shared" si="342"/>
        <v>18.918104260880817</v>
      </c>
      <c r="N173" s="851">
        <f t="shared" ca="1" si="342"/>
        <v>21.82830040279859</v>
      </c>
      <c r="O173" s="851">
        <f t="shared" ca="1" si="342"/>
        <v>25.807971942911575</v>
      </c>
      <c r="P173" s="851">
        <f t="shared" ca="1" si="342"/>
        <v>26.668963937387236</v>
      </c>
      <c r="Q173" s="851">
        <f t="shared" ca="1" si="342"/>
        <v>27.906418858357721</v>
      </c>
      <c r="R173" s="851">
        <f t="shared" ca="1" si="342"/>
        <v>29.112835979612395</v>
      </c>
      <c r="S173" s="851">
        <f t="shared" ca="1" si="342"/>
        <v>30.168526694968733</v>
      </c>
      <c r="T173" s="851">
        <f t="shared" ca="1" si="342"/>
        <v>30.828945198382897</v>
      </c>
      <c r="U173" s="851">
        <f t="shared" ca="1" si="342"/>
        <v>31.524450021074987</v>
      </c>
      <c r="V173" s="851">
        <f t="shared" ca="1" si="342"/>
        <v>32.212785525742582</v>
      </c>
      <c r="W173" s="851">
        <f t="shared" ca="1" si="342"/>
        <v>32.895051322285461</v>
      </c>
      <c r="X173" s="851">
        <f t="shared" ca="1" si="342"/>
        <v>33.572217775229653</v>
      </c>
      <c r="Y173" s="851">
        <f t="shared" ca="1" si="342"/>
        <v>34.245147165171751</v>
      </c>
      <c r="Z173" s="851">
        <f t="shared" ca="1" si="342"/>
        <v>34.914611171951883</v>
      </c>
    </row>
    <row r="174" spans="2:26">
      <c r="B174" s="748" t="s">
        <v>1382</v>
      </c>
      <c r="E174" s="490">
        <f>E173/D173-1</f>
        <v>-8.8899624469231942E-2</v>
      </c>
      <c r="F174" s="490">
        <f>F173/E173-1</f>
        <v>0.31267245813126099</v>
      </c>
      <c r="G174" s="490">
        <f t="shared" ref="G174:T174" si="343">G173/F173-1</f>
        <v>5.2639595968699826E-2</v>
      </c>
      <c r="H174" s="490">
        <f t="shared" si="343"/>
        <v>2.126680418356508E-2</v>
      </c>
      <c r="I174" s="490">
        <f t="shared" si="343"/>
        <v>3.3429909422042936E-2</v>
      </c>
      <c r="J174" s="490">
        <f t="shared" si="343"/>
        <v>-2.4709803769492722E-2</v>
      </c>
      <c r="K174" s="490">
        <f t="shared" si="343"/>
        <v>-7.7753269866762675E-3</v>
      </c>
      <c r="L174" s="490">
        <f t="shared" si="343"/>
        <v>8.9661552680162515E-3</v>
      </c>
      <c r="M174" s="490">
        <f t="shared" si="343"/>
        <v>6.1607513763612509E-2</v>
      </c>
      <c r="N174" s="490">
        <f t="shared" ca="1" si="343"/>
        <v>0.15383127726679913</v>
      </c>
      <c r="O174" s="490">
        <f t="shared" ca="1" si="343"/>
        <v>0.18231705935303855</v>
      </c>
      <c r="P174" s="490">
        <f t="shared" ca="1" si="343"/>
        <v>3.3361474368470923E-2</v>
      </c>
      <c r="Q174" s="490">
        <f t="shared" ca="1" si="343"/>
        <v>4.6400562236903919E-2</v>
      </c>
      <c r="R174" s="490">
        <f t="shared" ca="1" si="343"/>
        <v>4.3230811068162733E-2</v>
      </c>
      <c r="S174" s="490">
        <f t="shared" ca="1" si="343"/>
        <v>3.6262036309194778E-2</v>
      </c>
      <c r="T174" s="490">
        <f t="shared" ca="1" si="343"/>
        <v>2.1890976317524347E-2</v>
      </c>
      <c r="U174" s="490">
        <f t="shared" ref="U174" ca="1" si="344">U173/T173-1</f>
        <v>2.2560123877626959E-2</v>
      </c>
      <c r="V174" s="490">
        <f t="shared" ref="V174" ca="1" si="345">V173/U173-1</f>
        <v>2.1834972670654818E-2</v>
      </c>
      <c r="W174" s="490">
        <f t="shared" ref="W174" ca="1" si="346">W173/V173-1</f>
        <v>2.117996892872398E-2</v>
      </c>
      <c r="X174" s="490">
        <f t="shared" ref="X174" ca="1" si="347">X173/W173-1</f>
        <v>2.0585663366496476E-2</v>
      </c>
      <c r="Y174" s="490">
        <f t="shared" ref="Y174" ca="1" si="348">Y173/X173-1</f>
        <v>2.0044234028488983E-2</v>
      </c>
      <c r="Z174" s="490">
        <f t="shared" ref="Z174" ca="1" si="349">Z173/Y173-1</f>
        <v>1.9549164252416817E-2</v>
      </c>
    </row>
    <row r="177" spans="2:26" s="496" customFormat="1">
      <c r="B177" s="520" t="s">
        <v>1221</v>
      </c>
    </row>
    <row r="178" spans="2:26">
      <c r="N178" s="1167" t="s">
        <v>1755</v>
      </c>
      <c r="O178" s="1168">
        <f ca="1">M179-O179</f>
        <v>65.441510822817634</v>
      </c>
    </row>
    <row r="179" spans="2:26">
      <c r="B179" s="489" t="s">
        <v>93</v>
      </c>
      <c r="C179" s="746">
        <v>144.96100000000001</v>
      </c>
      <c r="D179" s="746">
        <v>142.54256278000003</v>
      </c>
      <c r="E179" s="746">
        <v>172.38632501999999</v>
      </c>
      <c r="F179" s="746">
        <v>259</v>
      </c>
      <c r="G179" s="746">
        <v>256.7</v>
      </c>
      <c r="H179" s="746">
        <f>Interims!AI62</f>
        <v>249.85536539200035</v>
      </c>
      <c r="I179" s="746">
        <f>Interims!AN62</f>
        <v>238.35053718228983</v>
      </c>
      <c r="J179" s="746">
        <f>Interims!AS62</f>
        <v>226.8</v>
      </c>
      <c r="K179" s="746">
        <f>Interims!AX62</f>
        <v>218.23881466958363</v>
      </c>
      <c r="L179" s="746">
        <f>Interims!BC62</f>
        <v>202.52998415548132</v>
      </c>
      <c r="M179" s="746">
        <f>Interims!BH62</f>
        <v>188.7110290691534</v>
      </c>
      <c r="N179" s="531">
        <f ca="1">N195</f>
        <v>147.8752560329269</v>
      </c>
      <c r="O179" s="531">
        <f t="shared" ref="O179:T179" ca="1" si="350">O195</f>
        <v>123.26951824633576</v>
      </c>
      <c r="P179" s="531">
        <f t="shared" ca="1" si="350"/>
        <v>123.63941285987076</v>
      </c>
      <c r="Q179" s="531">
        <f t="shared" ca="1" si="350"/>
        <v>120.54650944736628</v>
      </c>
      <c r="R179" s="531">
        <f t="shared" ca="1" si="350"/>
        <v>117.8941871808581</v>
      </c>
      <c r="S179" s="531">
        <f t="shared" ca="1" si="350"/>
        <v>115.65756367681243</v>
      </c>
      <c r="T179" s="531">
        <f t="shared" ca="1" si="350"/>
        <v>113.62424001572842</v>
      </c>
      <c r="U179" s="531">
        <f t="shared" ref="U179:Z179" ca="1" si="351">U195</f>
        <v>111.59078845112856</v>
      </c>
      <c r="V179" s="531">
        <f t="shared" ca="1" si="351"/>
        <v>109.55358776392953</v>
      </c>
      <c r="W179" s="531">
        <f t="shared" ca="1" si="351"/>
        <v>107.50894244546552</v>
      </c>
      <c r="X179" s="531">
        <f t="shared" ca="1" si="351"/>
        <v>105.45308144484754</v>
      </c>
      <c r="Y179" s="531">
        <f t="shared" ca="1" si="351"/>
        <v>103.38215689740892</v>
      </c>
      <c r="Z179" s="531">
        <f t="shared" ca="1" si="351"/>
        <v>101.29224283397139</v>
      </c>
    </row>
    <row r="180" spans="2:26">
      <c r="B180" s="748" t="s">
        <v>1382</v>
      </c>
      <c r="C180" s="784"/>
      <c r="D180" s="784">
        <f>D179/C179-1</f>
        <v>-1.6683364629107023E-2</v>
      </c>
      <c r="E180" s="784">
        <f>E179/D179-1</f>
        <v>0.20936737531554539</v>
      </c>
      <c r="F180" s="784">
        <f>F179/E179-1</f>
        <v>0.5024393609525073</v>
      </c>
      <c r="G180" s="784">
        <f>G179/F179-1</f>
        <v>-8.8803088803088848E-3</v>
      </c>
      <c r="H180" s="784">
        <f>H179/G179-1</f>
        <v>-2.6663944713672172E-2</v>
      </c>
      <c r="I180" s="784">
        <f t="shared" ref="I180:T180" si="352">I179/H179-1</f>
        <v>-4.6045952191823059E-2</v>
      </c>
      <c r="J180" s="784">
        <f t="shared" si="352"/>
        <v>-4.8460294316248986E-2</v>
      </c>
      <c r="K180" s="784">
        <f t="shared" si="352"/>
        <v>-3.7747730733758256E-2</v>
      </c>
      <c r="L180" s="784">
        <f t="shared" si="352"/>
        <v>-7.1980002905925322E-2</v>
      </c>
      <c r="M180" s="784">
        <f t="shared" si="352"/>
        <v>-6.8231650458823734E-2</v>
      </c>
      <c r="N180" s="784">
        <f t="shared" ca="1" si="352"/>
        <v>-0.21639314478679561</v>
      </c>
      <c r="O180" s="784">
        <f t="shared" ca="1" si="352"/>
        <v>-0.16639523370368503</v>
      </c>
      <c r="P180" s="784">
        <f t="shared" ca="1" si="352"/>
        <v>3.0006981352503903E-3</v>
      </c>
      <c r="Q180" s="784">
        <f t="shared" ca="1" si="352"/>
        <v>-2.501551358877685E-2</v>
      </c>
      <c r="R180" s="784">
        <f t="shared" ca="1" si="352"/>
        <v>-2.2002480857118867E-2</v>
      </c>
      <c r="S180" s="784">
        <f t="shared" ca="1" si="352"/>
        <v>-1.8971448529642276E-2</v>
      </c>
      <c r="T180" s="784">
        <f t="shared" ca="1" si="352"/>
        <v>-1.7580550691572827E-2</v>
      </c>
      <c r="U180" s="784">
        <f t="shared" ref="U180" ca="1" si="353">U179/T179-1</f>
        <v>-1.789628308465141E-2</v>
      </c>
      <c r="V180" s="784">
        <f t="shared" ref="V180" ca="1" si="354">V179/U179-1</f>
        <v>-1.825599330800709E-2</v>
      </c>
      <c r="W180" s="784">
        <f t="shared" ref="W180" ca="1" si="355">W179/V179-1</f>
        <v>-1.8663426366919977E-2</v>
      </c>
      <c r="X180" s="784">
        <f t="shared" ref="X180" ca="1" si="356">X179/W179-1</f>
        <v>-1.9122697645926778E-2</v>
      </c>
      <c r="Y180" s="784">
        <f t="shared" ref="Y180" ca="1" si="357">Y179/X179-1</f>
        <v>-1.9638350241303559E-2</v>
      </c>
      <c r="Z180" s="784">
        <f t="shared" ref="Z180" ca="1" si="358">Z179/Y179-1</f>
        <v>-2.0215423300864677E-2</v>
      </c>
    </row>
    <row r="181" spans="2:26">
      <c r="B181" s="618" t="s">
        <v>2078</v>
      </c>
      <c r="C181" s="746">
        <v>41.552999999999997</v>
      </c>
      <c r="D181" s="746">
        <v>50.386587310000003</v>
      </c>
      <c r="E181" s="746">
        <v>77.673945809999992</v>
      </c>
      <c r="F181" s="746">
        <v>133.80000000000001</v>
      </c>
      <c r="G181" s="746">
        <v>144.80000000000001</v>
      </c>
      <c r="H181" s="746">
        <f>Interims!AI63</f>
        <v>139.48227615000002</v>
      </c>
      <c r="I181" s="746">
        <f>Interims!AN63</f>
        <v>142.6829013</v>
      </c>
      <c r="J181" s="746">
        <f>Interims!AS63</f>
        <v>146.30000000000001</v>
      </c>
      <c r="K181" s="746">
        <f>Interims!AX63</f>
        <v>150.85983016</v>
      </c>
      <c r="L181" s="746">
        <f>Interims!BC63</f>
        <v>157.54322310999999</v>
      </c>
      <c r="M181" s="746">
        <f>Interims!BH63</f>
        <v>168.13099800000001</v>
      </c>
      <c r="N181" s="531">
        <f ca="1">N200</f>
        <v>187.37801335158861</v>
      </c>
      <c r="O181" s="531">
        <f t="shared" ref="O181:Z181" ca="1" si="359">O200</f>
        <v>208.40147837195119</v>
      </c>
      <c r="P181" s="531">
        <f t="shared" ca="1" si="359"/>
        <v>229.76209426355169</v>
      </c>
      <c r="Q181" s="531">
        <f t="shared" ca="1" si="359"/>
        <v>250.8230735013594</v>
      </c>
      <c r="R181" s="531">
        <f t="shared" ca="1" si="359"/>
        <v>269.98113644577961</v>
      </c>
      <c r="S181" s="531">
        <f t="shared" ca="1" si="359"/>
        <v>289.00720371738117</v>
      </c>
      <c r="T181" s="531">
        <f t="shared" ca="1" si="359"/>
        <v>305.16672088094123</v>
      </c>
      <c r="U181" s="531">
        <f t="shared" ca="1" si="359"/>
        <v>323.0524347154082</v>
      </c>
      <c r="V181" s="531">
        <f t="shared" ca="1" si="359"/>
        <v>341.91694717415845</v>
      </c>
      <c r="W181" s="531">
        <f t="shared" ca="1" si="359"/>
        <v>361.81139333583684</v>
      </c>
      <c r="X181" s="531">
        <f t="shared" ca="1" si="359"/>
        <v>382.78949094081474</v>
      </c>
      <c r="Y181" s="531">
        <f t="shared" ca="1" si="359"/>
        <v>404.90766750533083</v>
      </c>
      <c r="Z181" s="531">
        <f t="shared" ca="1" si="359"/>
        <v>428.22519356519967</v>
      </c>
    </row>
    <row r="182" spans="2:26">
      <c r="B182" s="748" t="s">
        <v>1382</v>
      </c>
      <c r="C182" s="784"/>
      <c r="D182" s="784">
        <f t="shared" ref="D182:N182" si="360">D181/C181-1</f>
        <v>0.21258603013019539</v>
      </c>
      <c r="E182" s="784">
        <f t="shared" si="360"/>
        <v>0.54155996579241217</v>
      </c>
      <c r="F182" s="784">
        <f t="shared" si="360"/>
        <v>0.72258533546488346</v>
      </c>
      <c r="G182" s="784">
        <f t="shared" si="360"/>
        <v>8.2212257100149566E-2</v>
      </c>
      <c r="H182" s="784">
        <f t="shared" si="360"/>
        <v>-3.6724612223756892E-2</v>
      </c>
      <c r="I182" s="784">
        <f t="shared" si="360"/>
        <v>2.2946464872411587E-2</v>
      </c>
      <c r="J182" s="784">
        <f t="shared" si="360"/>
        <v>2.5350610809313556E-2</v>
      </c>
      <c r="K182" s="784">
        <f t="shared" si="360"/>
        <v>3.116767026657552E-2</v>
      </c>
      <c r="L182" s="784">
        <f t="shared" si="360"/>
        <v>4.4302004999685174E-2</v>
      </c>
      <c r="M182" s="784">
        <f t="shared" si="360"/>
        <v>6.7205524179275056E-2</v>
      </c>
      <c r="N182" s="784">
        <f t="shared" ca="1" si="360"/>
        <v>0.11447630467041292</v>
      </c>
      <c r="O182" s="784">
        <f t="shared" ref="O182:T182" ca="1" si="361">O181/N181-1</f>
        <v>0.11219814237711545</v>
      </c>
      <c r="P182" s="784">
        <f t="shared" ca="1" si="361"/>
        <v>0.10249742976139764</v>
      </c>
      <c r="Q182" s="784">
        <f t="shared" ca="1" si="361"/>
        <v>9.1664289992279713E-2</v>
      </c>
      <c r="R182" s="784">
        <f t="shared" ca="1" si="361"/>
        <v>7.6380783781107686E-2</v>
      </c>
      <c r="S182" s="784">
        <f t="shared" ca="1" si="361"/>
        <v>7.0471839336903264E-2</v>
      </c>
      <c r="T182" s="784">
        <f t="shared" ca="1" si="361"/>
        <v>5.5913890573338065E-2</v>
      </c>
      <c r="U182" s="784">
        <f t="shared" ref="U182" ca="1" si="362">U181/T181-1</f>
        <v>5.8609647155611677E-2</v>
      </c>
      <c r="V182" s="784">
        <f t="shared" ref="V182" ca="1" si="363">V181/U181-1</f>
        <v>5.8394583762753083E-2</v>
      </c>
      <c r="W182" s="784">
        <f t="shared" ref="W182" ca="1" si="364">W181/V181-1</f>
        <v>5.8185025124083634E-2</v>
      </c>
      <c r="X182" s="784">
        <f t="shared" ref="X182" ca="1" si="365">X181/W181-1</f>
        <v>5.7980754590295058E-2</v>
      </c>
      <c r="Y182" s="784">
        <f t="shared" ref="Y182" ca="1" si="366">Y181/X181-1</f>
        <v>5.7781566861081712E-2</v>
      </c>
      <c r="Z182" s="784">
        <f t="shared" ref="Z182" ca="1" si="367">Z181/Y181-1</f>
        <v>5.7587267249173069E-2</v>
      </c>
    </row>
    <row r="183" spans="2:26">
      <c r="B183" s="748" t="s">
        <v>1513</v>
      </c>
      <c r="C183" s="784"/>
      <c r="D183" s="784"/>
      <c r="E183" s="784"/>
      <c r="F183" s="784"/>
      <c r="G183" s="784"/>
      <c r="H183" s="746">
        <f>Interims!AI64</f>
        <v>48</v>
      </c>
      <c r="I183" s="746">
        <f>Interims!AN64</f>
        <v>56.111999999999995</v>
      </c>
      <c r="J183" s="746">
        <f>Interims!AS64</f>
        <v>61.9</v>
      </c>
      <c r="K183" s="746">
        <f>Interims!AX64</f>
        <v>50.341374009999996</v>
      </c>
      <c r="L183" s="746">
        <f>Interims!BC64</f>
        <v>45.373768670000004</v>
      </c>
      <c r="M183" s="746">
        <f>Interims!BH64</f>
        <v>44.742804710000001</v>
      </c>
      <c r="N183" s="531">
        <f t="shared" ref="N183:T183" si="368">N207</f>
        <v>45.190232757099999</v>
      </c>
      <c r="O183" s="531">
        <f t="shared" si="368"/>
        <v>45.190232757099999</v>
      </c>
      <c r="P183" s="531">
        <f t="shared" si="368"/>
        <v>46.094037412242002</v>
      </c>
      <c r="Q183" s="531">
        <f t="shared" si="368"/>
        <v>47.015918160486841</v>
      </c>
      <c r="R183" s="531">
        <f t="shared" si="368"/>
        <v>47.956236523696582</v>
      </c>
      <c r="S183" s="531">
        <f t="shared" si="368"/>
        <v>48.915361254170513</v>
      </c>
      <c r="T183" s="531">
        <f t="shared" si="368"/>
        <v>49.893668479253925</v>
      </c>
      <c r="U183" s="531">
        <f t="shared" ref="U183:Z183" si="369">U207</f>
        <v>50.891541848839005</v>
      </c>
      <c r="V183" s="531">
        <f t="shared" si="369"/>
        <v>51.909372685815782</v>
      </c>
      <c r="W183" s="531">
        <f t="shared" si="369"/>
        <v>52.947560139532101</v>
      </c>
      <c r="X183" s="531">
        <f t="shared" si="369"/>
        <v>54.006511342322746</v>
      </c>
      <c r="Y183" s="531">
        <f t="shared" si="369"/>
        <v>55.086641569169203</v>
      </c>
      <c r="Z183" s="531">
        <f t="shared" si="369"/>
        <v>56.18837440055259</v>
      </c>
    </row>
    <row r="184" spans="2:26">
      <c r="B184" s="748" t="s">
        <v>1382</v>
      </c>
      <c r="C184" s="784"/>
      <c r="D184" s="784"/>
      <c r="E184" s="784"/>
      <c r="F184" s="784"/>
      <c r="G184" s="784"/>
      <c r="H184" s="784"/>
      <c r="I184" s="784">
        <f t="shared" ref="I184:T184" si="370">I183/H183-1</f>
        <v>0.16899999999999982</v>
      </c>
      <c r="J184" s="784">
        <f t="shared" si="370"/>
        <v>0.10315084117479345</v>
      </c>
      <c r="K184" s="784">
        <f t="shared" si="370"/>
        <v>-0.18673062988691447</v>
      </c>
      <c r="L184" s="784">
        <f t="shared" si="370"/>
        <v>-9.867838210004376E-2</v>
      </c>
      <c r="M184" s="784">
        <f t="shared" si="370"/>
        <v>-1.3905919179624582E-2</v>
      </c>
      <c r="N184" s="784">
        <f t="shared" si="370"/>
        <v>1.0000000000000009E-2</v>
      </c>
      <c r="O184" s="784">
        <f t="shared" si="370"/>
        <v>0</v>
      </c>
      <c r="P184" s="784">
        <f t="shared" si="370"/>
        <v>2.0000000000000018E-2</v>
      </c>
      <c r="Q184" s="784">
        <f t="shared" si="370"/>
        <v>2.0000000000000018E-2</v>
      </c>
      <c r="R184" s="784">
        <f t="shared" si="370"/>
        <v>2.0000000000000018E-2</v>
      </c>
      <c r="S184" s="784">
        <f t="shared" si="370"/>
        <v>2.0000000000000018E-2</v>
      </c>
      <c r="T184" s="784">
        <f t="shared" si="370"/>
        <v>2.0000000000000018E-2</v>
      </c>
      <c r="U184" s="784">
        <f t="shared" ref="U184" si="371">U183/T183-1</f>
        <v>2.0000000000000018E-2</v>
      </c>
      <c r="V184" s="784">
        <f t="shared" ref="V184" si="372">V183/U183-1</f>
        <v>2.0000000000000018E-2</v>
      </c>
      <c r="W184" s="784">
        <f t="shared" ref="W184" si="373">W183/V183-1</f>
        <v>2.0000000000000018E-2</v>
      </c>
      <c r="X184" s="784">
        <f t="shared" ref="X184" si="374">X183/W183-1</f>
        <v>2.0000000000000018E-2</v>
      </c>
      <c r="Y184" s="784">
        <f t="shared" ref="Y184" si="375">Y183/X183-1</f>
        <v>2.0000000000000018E-2</v>
      </c>
      <c r="Z184" s="784">
        <f t="shared" ref="Z184" si="376">Z183/Y183-1</f>
        <v>2.0000000000000018E-2</v>
      </c>
    </row>
    <row r="185" spans="2:26">
      <c r="B185" s="618" t="s">
        <v>2079</v>
      </c>
      <c r="C185" s="746">
        <v>19.707999999999998</v>
      </c>
      <c r="D185" s="746">
        <v>20.065384519999995</v>
      </c>
      <c r="E185" s="746">
        <v>29.10565549</v>
      </c>
      <c r="F185" s="746">
        <v>85.4</v>
      </c>
      <c r="G185" s="746">
        <f>95.4</f>
        <v>95.4</v>
      </c>
      <c r="H185" s="746">
        <f>Interims!AI65</f>
        <v>57</v>
      </c>
      <c r="I185" s="746">
        <f>Interims!AN65</f>
        <v>62.259315177710199</v>
      </c>
      <c r="J185" s="746">
        <f>Interims!AS65</f>
        <v>45.000000000000007</v>
      </c>
      <c r="K185" s="746">
        <f>Interims!AX65</f>
        <v>43.403644210416367</v>
      </c>
      <c r="L185" s="746">
        <f>Interims!BC65</f>
        <v>41.089225354518689</v>
      </c>
      <c r="M185" s="746">
        <f>Interims!BH65</f>
        <v>50.476379780846592</v>
      </c>
      <c r="N185" s="531">
        <f ca="1">N210+N201</f>
        <v>53.421118404047526</v>
      </c>
      <c r="O185" s="531">
        <f t="shared" ref="O185:Z185" ca="1" si="377">O210+O201</f>
        <v>57.288307367756289</v>
      </c>
      <c r="P185" s="531">
        <f t="shared" ca="1" si="377"/>
        <v>63.326315046344178</v>
      </c>
      <c r="Q185" s="531">
        <f t="shared" ca="1" si="377"/>
        <v>71.47638870132711</v>
      </c>
      <c r="R185" s="531">
        <f t="shared" ca="1" si="377"/>
        <v>82.637360806156437</v>
      </c>
      <c r="S185" s="531">
        <f t="shared" ca="1" si="377"/>
        <v>98.388117030403208</v>
      </c>
      <c r="T185" s="531">
        <f t="shared" ca="1" si="377"/>
        <v>116.65169743562477</v>
      </c>
      <c r="U185" s="531">
        <f t="shared" ca="1" si="377"/>
        <v>134.77197045200697</v>
      </c>
      <c r="V185" s="531">
        <f t="shared" ca="1" si="377"/>
        <v>152.71159849785812</v>
      </c>
      <c r="W185" s="531">
        <f t="shared" ca="1" si="377"/>
        <v>170.43104872297991</v>
      </c>
      <c r="X185" s="531">
        <f t="shared" ca="1" si="377"/>
        <v>187.8884990876299</v>
      </c>
      <c r="Y185" s="531">
        <f t="shared" ca="1" si="377"/>
        <v>205.03974102661186</v>
      </c>
      <c r="Z185" s="531">
        <f t="shared" ca="1" si="377"/>
        <v>221.83807858650275</v>
      </c>
    </row>
    <row r="186" spans="2:26">
      <c r="B186" s="748" t="s">
        <v>1382</v>
      </c>
      <c r="C186" s="784"/>
      <c r="D186" s="784">
        <f t="shared" ref="D186:N186" si="378">D185/C185-1</f>
        <v>1.8133982139232563E-2</v>
      </c>
      <c r="E186" s="784">
        <f t="shared" si="378"/>
        <v>0.45054062936043882</v>
      </c>
      <c r="F186" s="784">
        <f t="shared" si="378"/>
        <v>1.934137663703928</v>
      </c>
      <c r="G186" s="784">
        <f t="shared" si="378"/>
        <v>0.11709601873536291</v>
      </c>
      <c r="H186" s="784">
        <f t="shared" si="378"/>
        <v>-0.40251572327044027</v>
      </c>
      <c r="I186" s="784">
        <f t="shared" si="378"/>
        <v>9.2268687328249221E-2</v>
      </c>
      <c r="J186" s="784">
        <f t="shared" si="378"/>
        <v>-0.2772165920625046</v>
      </c>
      <c r="K186" s="784">
        <f t="shared" si="378"/>
        <v>-3.5474573101858642E-2</v>
      </c>
      <c r="L186" s="784">
        <f t="shared" si="378"/>
        <v>-5.332314597082255E-2</v>
      </c>
      <c r="M186" s="784">
        <f t="shared" si="378"/>
        <v>0.22845780968940987</v>
      </c>
      <c r="N186" s="784">
        <f t="shared" ca="1" si="378"/>
        <v>5.8338942610110189E-2</v>
      </c>
      <c r="O186" s="784">
        <f t="shared" ref="O186:T186" ca="1" si="379">O185/N185-1</f>
        <v>7.239064024192654E-2</v>
      </c>
      <c r="P186" s="784">
        <f t="shared" ca="1" si="379"/>
        <v>0.10539685942940391</v>
      </c>
      <c r="Q186" s="784">
        <f t="shared" ca="1" si="379"/>
        <v>0.1286996353572516</v>
      </c>
      <c r="R186" s="784">
        <f t="shared" ca="1" si="379"/>
        <v>0.15614907674570433</v>
      </c>
      <c r="S186" s="784">
        <f t="shared" ca="1" si="379"/>
        <v>0.19060091066065787</v>
      </c>
      <c r="T186" s="784">
        <f t="shared" ca="1" si="379"/>
        <v>0.1856279086993593</v>
      </c>
      <c r="U186" s="784">
        <f t="shared" ref="U186" ca="1" si="380">U185/T185-1</f>
        <v>0.15533655673019275</v>
      </c>
      <c r="V186" s="784">
        <f t="shared" ref="V186" ca="1" si="381">V185/U185-1</f>
        <v>0.13311097244986514</v>
      </c>
      <c r="W186" s="784">
        <f t="shared" ref="W186" ca="1" si="382">W185/V185-1</f>
        <v>0.11603211805402136</v>
      </c>
      <c r="X186" s="784">
        <f t="shared" ref="X186" ca="1" si="383">X185/W185-1</f>
        <v>0.10243116201805158</v>
      </c>
      <c r="Y186" s="784">
        <f t="shared" ref="Y186" ca="1" si="384">Y185/X185-1</f>
        <v>9.1284150026568422E-2</v>
      </c>
      <c r="Z186" s="784">
        <f t="shared" ref="Z186" ca="1" si="385">Z185/Y185-1</f>
        <v>8.1927227745135722E-2</v>
      </c>
    </row>
    <row r="187" spans="2:26" s="58" customFormat="1">
      <c r="B187" s="58" t="s">
        <v>7</v>
      </c>
      <c r="C187" s="534">
        <f>C185+C181+C179</f>
        <v>206.22200000000001</v>
      </c>
      <c r="D187" s="534">
        <f>D185+D181+D179</f>
        <v>212.99453461000002</v>
      </c>
      <c r="E187" s="534">
        <f>E185+E181+E179</f>
        <v>279.16592631999998</v>
      </c>
      <c r="F187" s="534">
        <f>F185+F181+F179</f>
        <v>478.20000000000005</v>
      </c>
      <c r="G187" s="534">
        <f>G185+G181+G179</f>
        <v>496.9</v>
      </c>
      <c r="H187" s="534">
        <f>H185+H181+H179+H183</f>
        <v>494.33764154200037</v>
      </c>
      <c r="I187" s="534">
        <f>I185+I181+I179+I183</f>
        <v>499.40475365999998</v>
      </c>
      <c r="J187" s="534">
        <f>J185+J181+J179+J183</f>
        <v>480</v>
      </c>
      <c r="K187" s="534">
        <f>K185+K181+K179+K183</f>
        <v>462.84366304999998</v>
      </c>
      <c r="L187" s="534">
        <f t="shared" ref="L187:T187" si="386">L185+L181+L179+L183</f>
        <v>446.53620129000001</v>
      </c>
      <c r="M187" s="534">
        <f>M185+M181+M179+M183</f>
        <v>452.06121155999995</v>
      </c>
      <c r="N187" s="534">
        <f t="shared" ca="1" si="386"/>
        <v>433.864620545663</v>
      </c>
      <c r="O187" s="534">
        <f t="shared" ca="1" si="386"/>
        <v>434.14953674314319</v>
      </c>
      <c r="P187" s="534">
        <f t="shared" ca="1" si="386"/>
        <v>462.82185958200859</v>
      </c>
      <c r="Q187" s="534">
        <f t="shared" ca="1" si="386"/>
        <v>489.86188981053959</v>
      </c>
      <c r="R187" s="534">
        <f t="shared" ca="1" si="386"/>
        <v>518.46892095649071</v>
      </c>
      <c r="S187" s="534">
        <f t="shared" ca="1" si="386"/>
        <v>551.96824567876729</v>
      </c>
      <c r="T187" s="534">
        <f t="shared" ca="1" si="386"/>
        <v>585.33632681154836</v>
      </c>
      <c r="U187" s="534">
        <f t="shared" ref="U187:Z187" ca="1" si="387">U185+U181+U179+U183</f>
        <v>620.30673546738274</v>
      </c>
      <c r="V187" s="534">
        <f t="shared" ca="1" si="387"/>
        <v>656.09150612176188</v>
      </c>
      <c r="W187" s="534">
        <f t="shared" ca="1" si="387"/>
        <v>692.69894464381446</v>
      </c>
      <c r="X187" s="534">
        <f t="shared" ca="1" si="387"/>
        <v>730.13758281561479</v>
      </c>
      <c r="Y187" s="534">
        <f t="shared" ca="1" si="387"/>
        <v>768.41620699852081</v>
      </c>
      <c r="Z187" s="534">
        <f t="shared" ca="1" si="387"/>
        <v>807.5438893862264</v>
      </c>
    </row>
    <row r="188" spans="2:26">
      <c r="B188" s="748" t="s">
        <v>1382</v>
      </c>
      <c r="C188" s="784"/>
      <c r="D188" s="784">
        <f t="shared" ref="D188:N188" si="388">D187/C187-1</f>
        <v>3.2840989855592584E-2</v>
      </c>
      <c r="E188" s="784">
        <f t="shared" si="388"/>
        <v>0.31067178240588178</v>
      </c>
      <c r="F188" s="784">
        <f t="shared" si="388"/>
        <v>0.71295976662944516</v>
      </c>
      <c r="G188" s="784">
        <f t="shared" si="388"/>
        <v>3.9104976997072161E-2</v>
      </c>
      <c r="H188" s="784">
        <f t="shared" si="388"/>
        <v>-5.1566883839798683E-3</v>
      </c>
      <c r="I188" s="784">
        <f t="shared" si="388"/>
        <v>1.0250306050321401E-2</v>
      </c>
      <c r="J188" s="784">
        <f t="shared" si="388"/>
        <v>-3.8855764823598316E-2</v>
      </c>
      <c r="K188" s="784">
        <f t="shared" si="388"/>
        <v>-3.5742368645833356E-2</v>
      </c>
      <c r="L188" s="784">
        <f t="shared" si="388"/>
        <v>-3.5233196566933023E-2</v>
      </c>
      <c r="M188" s="784">
        <f t="shared" si="388"/>
        <v>1.2373039977584543E-2</v>
      </c>
      <c r="N188" s="784">
        <f t="shared" ca="1" si="388"/>
        <v>-4.0252493576131143E-2</v>
      </c>
      <c r="O188" s="784">
        <f t="shared" ref="O188:T188" ca="1" si="389">O187/N187-1</f>
        <v>6.5669377955246411E-4</v>
      </c>
      <c r="P188" s="784">
        <f t="shared" ca="1" si="389"/>
        <v>6.6042504741468555E-2</v>
      </c>
      <c r="Q188" s="784">
        <f t="shared" ca="1" si="389"/>
        <v>5.8424272036225355E-2</v>
      </c>
      <c r="R188" s="784">
        <f t="shared" ca="1" si="389"/>
        <v>5.8398156176254545E-2</v>
      </c>
      <c r="S188" s="784">
        <f t="shared" ca="1" si="389"/>
        <v>6.4612020833333172E-2</v>
      </c>
      <c r="T188" s="784">
        <f t="shared" ca="1" si="389"/>
        <v>6.0452899952147865E-2</v>
      </c>
      <c r="U188" s="784">
        <f t="shared" ref="U188" ca="1" si="390">U187/T187-1</f>
        <v>5.9744128382268169E-2</v>
      </c>
      <c r="V188" s="784">
        <f t="shared" ref="V188" ca="1" si="391">V187/U187-1</f>
        <v>5.768883136085301E-2</v>
      </c>
      <c r="W188" s="784">
        <f t="shared" ref="W188" ca="1" si="392">W187/V187-1</f>
        <v>5.5796239061901121E-2</v>
      </c>
      <c r="X188" s="784">
        <f t="shared" ref="X188" ca="1" si="393">X187/W187-1</f>
        <v>5.4047488394906251E-2</v>
      </c>
      <c r="Y188" s="784">
        <f t="shared" ref="Y188" ca="1" si="394">Y187/X187-1</f>
        <v>5.242659066431421E-2</v>
      </c>
      <c r="Z188" s="784">
        <f t="shared" ref="Z188" ca="1" si="395">Z187/Y187-1</f>
        <v>5.0919907767875694E-2</v>
      </c>
    </row>
    <row r="191" spans="2:26">
      <c r="B191" s="618" t="s">
        <v>1475</v>
      </c>
      <c r="C191" s="618"/>
      <c r="D191" s="855">
        <f t="shared" ref="D191:Z191" si="396">AVERAGE(C67:D67)/1000*D158*12</f>
        <v>152.54815690882523</v>
      </c>
      <c r="E191" s="855">
        <f t="shared" si="396"/>
        <v>215.39595615971754</v>
      </c>
      <c r="F191" s="855">
        <f t="shared" si="396"/>
        <v>270.04772878468754</v>
      </c>
      <c r="G191" s="855">
        <f t="shared" si="396"/>
        <v>267.89580000000001</v>
      </c>
      <c r="H191" s="855">
        <f t="shared" si="396"/>
        <v>261.69422473697841</v>
      </c>
      <c r="I191" s="855">
        <f t="shared" si="396"/>
        <v>237.28355730656455</v>
      </c>
      <c r="J191" s="855">
        <f t="shared" si="396"/>
        <v>227.6854116888365</v>
      </c>
      <c r="K191" s="855">
        <f t="shared" si="396"/>
        <v>220.24126079999996</v>
      </c>
      <c r="L191" s="855">
        <f t="shared" ca="1" si="396"/>
        <v>198.37440000000004</v>
      </c>
      <c r="M191" s="855">
        <f t="shared" ca="1" si="396"/>
        <v>184.54326867933645</v>
      </c>
      <c r="N191" s="855">
        <f t="shared" si="396"/>
        <v>143.70749564310995</v>
      </c>
      <c r="O191" s="855">
        <f>AVERAGE(N67:O67)/1000*O158*12</f>
        <v>119.10175785651882</v>
      </c>
      <c r="P191" s="855">
        <f t="shared" si="396"/>
        <v>119.47165247005381</v>
      </c>
      <c r="Q191" s="855">
        <f t="shared" si="396"/>
        <v>116.37874905754933</v>
      </c>
      <c r="R191" s="855">
        <f t="shared" si="396"/>
        <v>113.72642679104115</v>
      </c>
      <c r="S191" s="855">
        <f t="shared" si="396"/>
        <v>111.48980328699548</v>
      </c>
      <c r="T191" s="855">
        <f t="shared" si="396"/>
        <v>109.45647962591147</v>
      </c>
      <c r="U191" s="855">
        <f t="shared" si="396"/>
        <v>107.42302806131161</v>
      </c>
      <c r="V191" s="855">
        <f t="shared" si="396"/>
        <v>105.38582737411258</v>
      </c>
      <c r="W191" s="855">
        <f t="shared" si="396"/>
        <v>103.34118205564857</v>
      </c>
      <c r="X191" s="855">
        <f t="shared" si="396"/>
        <v>101.28532105503059</v>
      </c>
      <c r="Y191" s="855">
        <f t="shared" si="396"/>
        <v>99.214396507591971</v>
      </c>
      <c r="Z191" s="855">
        <f t="shared" si="396"/>
        <v>97.124482444154438</v>
      </c>
    </row>
    <row r="192" spans="2:26">
      <c r="B192" s="748" t="s">
        <v>1382</v>
      </c>
      <c r="D192" s="490"/>
      <c r="E192" s="490">
        <f t="shared" ref="E192:N192" si="397">E191/D191-1</f>
        <v>0.41198661802551362</v>
      </c>
      <c r="F192" s="490">
        <f t="shared" si="397"/>
        <v>0.25372701326131364</v>
      </c>
      <c r="G192" s="490">
        <f t="shared" si="397"/>
        <v>-7.9686979571055305E-3</v>
      </c>
      <c r="H192" s="490">
        <f t="shared" si="397"/>
        <v>-2.314920675509502E-2</v>
      </c>
      <c r="I192" s="490">
        <f t="shared" si="397"/>
        <v>-9.3279350948414552E-2</v>
      </c>
      <c r="J192" s="490">
        <f t="shared" si="397"/>
        <v>-4.045010841323271E-2</v>
      </c>
      <c r="K192" s="490">
        <f t="shared" si="397"/>
        <v>-3.2694896144729646E-2</v>
      </c>
      <c r="L192" s="490">
        <f t="shared" ca="1" si="397"/>
        <v>-9.9285940883970469E-2</v>
      </c>
      <c r="M192" s="490">
        <f t="shared" ca="1" si="397"/>
        <v>-6.9722359944950463E-2</v>
      </c>
      <c r="N192" s="490">
        <f t="shared" ca="1" si="397"/>
        <v>-0.22128020885542565</v>
      </c>
      <c r="O192" s="490">
        <f t="shared" ref="O192:T192" si="398">O191/N191-1</f>
        <v>-0.17122097686329596</v>
      </c>
      <c r="P192" s="490">
        <f t="shared" si="398"/>
        <v>3.1057023858589439E-3</v>
      </c>
      <c r="Q192" s="490">
        <f t="shared" si="398"/>
        <v>-2.5888178061986178E-2</v>
      </c>
      <c r="R192" s="490">
        <f t="shared" si="398"/>
        <v>-2.2790434576647756E-2</v>
      </c>
      <c r="S192" s="490">
        <f t="shared" si="398"/>
        <v>-1.9666699879309468E-2</v>
      </c>
      <c r="T192" s="490">
        <f t="shared" si="398"/>
        <v>-1.8237754495358249E-2</v>
      </c>
      <c r="U192" s="490">
        <f t="shared" ref="U192" si="399">U191/T191-1</f>
        <v>-1.8577717569115748E-2</v>
      </c>
      <c r="V192" s="490">
        <f t="shared" ref="V192" si="400">V191/U191-1</f>
        <v>-1.896428283548568E-2</v>
      </c>
      <c r="W192" s="490">
        <f t="shared" ref="W192" si="401">W191/V191-1</f>
        <v>-1.9401520768116742E-2</v>
      </c>
      <c r="X192" s="490">
        <f t="shared" ref="X192" si="402">X191/W191-1</f>
        <v>-1.9893917988192844E-2</v>
      </c>
      <c r="Y192" s="490">
        <f t="shared" ref="Y192" si="403">Y191/X191-1</f>
        <v>-2.0446443037026474E-2</v>
      </c>
      <c r="Z192" s="490">
        <f t="shared" ref="Z192" si="404">Z191/Y191-1</f>
        <v>-2.1064625064545095E-2</v>
      </c>
    </row>
    <row r="193" spans="2:26">
      <c r="B193" s="489" t="s">
        <v>169</v>
      </c>
      <c r="D193" s="726">
        <f t="shared" ref="D193:I193" si="405">D179-D191</f>
        <v>-10.005594128825209</v>
      </c>
      <c r="E193" s="726">
        <f t="shared" si="405"/>
        <v>-43.009631139717555</v>
      </c>
      <c r="F193" s="726">
        <f t="shared" si="405"/>
        <v>-11.047728784687536</v>
      </c>
      <c r="G193" s="726">
        <f t="shared" si="405"/>
        <v>-11.19580000000002</v>
      </c>
      <c r="H193" s="726">
        <f t="shared" si="405"/>
        <v>-11.838859344978061</v>
      </c>
      <c r="I193" s="726">
        <f t="shared" si="405"/>
        <v>1.0669798757252806</v>
      </c>
      <c r="J193" s="726">
        <f>J179-J191</f>
        <v>-0.88541168883648425</v>
      </c>
      <c r="K193" s="726">
        <f>K179-K191</f>
        <v>-2.002446130416331</v>
      </c>
      <c r="L193" s="726">
        <f ca="1">L179-L191</f>
        <v>4.1555841554812787</v>
      </c>
      <c r="M193" s="726">
        <f ca="1">M179-M191</f>
        <v>4.167760389816948</v>
      </c>
      <c r="N193" s="725">
        <f t="shared" ref="N193:T193" ca="1" si="406">M193*(1+N194)</f>
        <v>4.167760389816948</v>
      </c>
      <c r="O193" s="725">
        <f t="shared" ca="1" si="406"/>
        <v>4.167760389816948</v>
      </c>
      <c r="P193" s="725">
        <f t="shared" ca="1" si="406"/>
        <v>4.167760389816948</v>
      </c>
      <c r="Q193" s="725">
        <f t="shared" ca="1" si="406"/>
        <v>4.167760389816948</v>
      </c>
      <c r="R193" s="725">
        <f t="shared" ca="1" si="406"/>
        <v>4.167760389816948</v>
      </c>
      <c r="S193" s="725">
        <f t="shared" ca="1" si="406"/>
        <v>4.167760389816948</v>
      </c>
      <c r="T193" s="725">
        <f t="shared" ca="1" si="406"/>
        <v>4.167760389816948</v>
      </c>
      <c r="U193" s="725">
        <f t="shared" ref="U193" ca="1" si="407">T193*(1+U194)</f>
        <v>4.167760389816948</v>
      </c>
      <c r="V193" s="725">
        <f t="shared" ref="V193" ca="1" si="408">U193*(1+V194)</f>
        <v>4.167760389816948</v>
      </c>
      <c r="W193" s="725">
        <f t="shared" ref="W193" ca="1" si="409">V193*(1+W194)</f>
        <v>4.167760389816948</v>
      </c>
      <c r="X193" s="725">
        <f t="shared" ref="X193" ca="1" si="410">W193*(1+X194)</f>
        <v>4.167760389816948</v>
      </c>
      <c r="Y193" s="725">
        <f t="shared" ref="Y193" ca="1" si="411">X193*(1+Y194)</f>
        <v>4.167760389816948</v>
      </c>
      <c r="Z193" s="725">
        <f t="shared" ref="Z193" ca="1" si="412">Y193*(1+Z194)</f>
        <v>4.167760389816948</v>
      </c>
    </row>
    <row r="194" spans="2:26">
      <c r="B194" s="748" t="s">
        <v>1382</v>
      </c>
      <c r="D194" s="723"/>
      <c r="E194" s="723">
        <f t="shared" ref="E194:M194" si="413">E193/D193-1</f>
        <v>3.298558445001353</v>
      </c>
      <c r="F194" s="723">
        <f t="shared" si="413"/>
        <v>-0.74313360770756698</v>
      </c>
      <c r="G194" s="723">
        <f t="shared" si="413"/>
        <v>1.340286480581554E-2</v>
      </c>
      <c r="H194" s="723">
        <f t="shared" si="413"/>
        <v>5.7437552026477823E-2</v>
      </c>
      <c r="I194" s="723">
        <f t="shared" si="413"/>
        <v>-1.0901252261416454</v>
      </c>
      <c r="J194" s="723">
        <f t="shared" si="413"/>
        <v>-1.8298297924641032</v>
      </c>
      <c r="K194" s="723">
        <f t="shared" si="413"/>
        <v>1.261598932636339</v>
      </c>
      <c r="L194" s="723">
        <f t="shared" ca="1" si="413"/>
        <v>-3.0752539068890137</v>
      </c>
      <c r="M194" s="723">
        <f t="shared" ca="1" si="413"/>
        <v>2.930089701013161E-3</v>
      </c>
      <c r="N194" s="747">
        <v>0</v>
      </c>
      <c r="O194" s="747">
        <v>0</v>
      </c>
      <c r="P194" s="747">
        <v>0</v>
      </c>
      <c r="Q194" s="747">
        <v>0</v>
      </c>
      <c r="R194" s="747">
        <v>0</v>
      </c>
      <c r="S194" s="747">
        <v>0</v>
      </c>
      <c r="T194" s="747">
        <v>0</v>
      </c>
      <c r="U194" s="747">
        <v>0</v>
      </c>
      <c r="V194" s="747">
        <v>0</v>
      </c>
      <c r="W194" s="747">
        <v>0</v>
      </c>
      <c r="X194" s="747">
        <v>0</v>
      </c>
      <c r="Y194" s="747">
        <v>0</v>
      </c>
      <c r="Z194" s="747">
        <v>0</v>
      </c>
    </row>
    <row r="195" spans="2:26">
      <c r="B195" s="58" t="s">
        <v>1222</v>
      </c>
      <c r="C195" s="533"/>
      <c r="D195" s="534">
        <f t="shared" ref="D195:O195" si="414">D191+D193</f>
        <v>142.54256278000003</v>
      </c>
      <c r="E195" s="534">
        <f t="shared" si="414"/>
        <v>172.38632501999999</v>
      </c>
      <c r="F195" s="534">
        <f t="shared" si="414"/>
        <v>259</v>
      </c>
      <c r="G195" s="534">
        <f t="shared" si="414"/>
        <v>256.7</v>
      </c>
      <c r="H195" s="534">
        <f t="shared" si="414"/>
        <v>249.85536539200035</v>
      </c>
      <c r="I195" s="534">
        <f t="shared" si="414"/>
        <v>238.35053718228983</v>
      </c>
      <c r="J195" s="534">
        <f>J191+J193</f>
        <v>226.8</v>
      </c>
      <c r="K195" s="534">
        <f>K191+K193</f>
        <v>218.23881466958363</v>
      </c>
      <c r="L195" s="534">
        <f t="shared" ca="1" si="414"/>
        <v>202.52998415548132</v>
      </c>
      <c r="M195" s="534">
        <f ca="1">M191+M193</f>
        <v>188.7110290691534</v>
      </c>
      <c r="N195" s="534">
        <f t="shared" ca="1" si="414"/>
        <v>147.8752560329269</v>
      </c>
      <c r="O195" s="534">
        <f t="shared" ca="1" si="414"/>
        <v>123.26951824633576</v>
      </c>
      <c r="P195" s="534">
        <f ca="1">P191+P193</f>
        <v>123.63941285987076</v>
      </c>
      <c r="Q195" s="534">
        <f ca="1">Q191+Q193</f>
        <v>120.54650944736628</v>
      </c>
      <c r="R195" s="534">
        <f ca="1">R191+R193</f>
        <v>117.8941871808581</v>
      </c>
      <c r="S195" s="534">
        <f ca="1">S191+S193</f>
        <v>115.65756367681243</v>
      </c>
      <c r="T195" s="534">
        <f ca="1">T191+T193</f>
        <v>113.62424001572842</v>
      </c>
      <c r="U195" s="534">
        <f t="shared" ref="U195:Z195" ca="1" si="415">U191+U193</f>
        <v>111.59078845112856</v>
      </c>
      <c r="V195" s="534">
        <f t="shared" ca="1" si="415"/>
        <v>109.55358776392953</v>
      </c>
      <c r="W195" s="534">
        <f t="shared" ca="1" si="415"/>
        <v>107.50894244546552</v>
      </c>
      <c r="X195" s="534">
        <f t="shared" ca="1" si="415"/>
        <v>105.45308144484754</v>
      </c>
      <c r="Y195" s="534">
        <f t="shared" ca="1" si="415"/>
        <v>103.38215689740892</v>
      </c>
      <c r="Z195" s="534">
        <f t="shared" ca="1" si="415"/>
        <v>101.29224283397139</v>
      </c>
    </row>
    <row r="196" spans="2:26">
      <c r="B196" s="748" t="s">
        <v>1382</v>
      </c>
      <c r="E196" s="490">
        <f t="shared" ref="E196:N196" si="416">E195/D195-1</f>
        <v>0.20936737531554539</v>
      </c>
      <c r="F196" s="490">
        <f t="shared" si="416"/>
        <v>0.5024393609525073</v>
      </c>
      <c r="G196" s="490">
        <f t="shared" si="416"/>
        <v>-8.8803088803088848E-3</v>
      </c>
      <c r="H196" s="490">
        <f t="shared" si="416"/>
        <v>-2.6663944713672172E-2</v>
      </c>
      <c r="I196" s="490">
        <f t="shared" si="416"/>
        <v>-4.6045952191823059E-2</v>
      </c>
      <c r="J196" s="490">
        <f t="shared" si="416"/>
        <v>-4.8460294316248986E-2</v>
      </c>
      <c r="K196" s="490">
        <f t="shared" si="416"/>
        <v>-3.7747730733758256E-2</v>
      </c>
      <c r="L196" s="490">
        <f t="shared" ca="1" si="416"/>
        <v>-7.1980002905925322E-2</v>
      </c>
      <c r="M196" s="490">
        <f t="shared" ca="1" si="416"/>
        <v>-6.8231650458823734E-2</v>
      </c>
      <c r="N196" s="490">
        <f t="shared" ca="1" si="416"/>
        <v>-0.21639314478679561</v>
      </c>
      <c r="O196" s="490">
        <f t="shared" ref="O196:T196" ca="1" si="417">O195/N195-1</f>
        <v>-0.16639523370368503</v>
      </c>
      <c r="P196" s="490">
        <f t="shared" ca="1" si="417"/>
        <v>3.0006981352503903E-3</v>
      </c>
      <c r="Q196" s="490">
        <f t="shared" ca="1" si="417"/>
        <v>-2.501551358877685E-2</v>
      </c>
      <c r="R196" s="490">
        <f t="shared" ca="1" si="417"/>
        <v>-2.2002480857118867E-2</v>
      </c>
      <c r="S196" s="490">
        <f t="shared" ca="1" si="417"/>
        <v>-1.8971448529642276E-2</v>
      </c>
      <c r="T196" s="490">
        <f t="shared" ca="1" si="417"/>
        <v>-1.7580550691572827E-2</v>
      </c>
      <c r="U196" s="490">
        <f t="shared" ref="U196" ca="1" si="418">U195/T195-1</f>
        <v>-1.789628308465141E-2</v>
      </c>
      <c r="V196" s="490">
        <f t="shared" ref="V196" ca="1" si="419">V195/U195-1</f>
        <v>-1.825599330800709E-2</v>
      </c>
      <c r="W196" s="490">
        <f t="shared" ref="W196" ca="1" si="420">W195/V195-1</f>
        <v>-1.8663426366919977E-2</v>
      </c>
      <c r="X196" s="490">
        <f t="shared" ref="X196" ca="1" si="421">X195/W195-1</f>
        <v>-1.9122697645926778E-2</v>
      </c>
      <c r="Y196" s="490">
        <f t="shared" ref="Y196" ca="1" si="422">Y195/X195-1</f>
        <v>-1.9638350241303559E-2</v>
      </c>
      <c r="Z196" s="490">
        <f t="shared" ref="Z196" ca="1" si="423">Z195/Y195-1</f>
        <v>-2.0215423300864677E-2</v>
      </c>
    </row>
    <row r="198" spans="2:26" s="618" customFormat="1">
      <c r="B198" s="618" t="s">
        <v>1475</v>
      </c>
      <c r="D198" s="855">
        <f>AVERAGE(C105*C52, D105*D52)/1000*D161*12 + AVERAGE(C106*C52, D106*D52)/1000*D163*12</f>
        <v>49.715729676668801</v>
      </c>
      <c r="E198" s="855">
        <f>AVERAGE(D105*D52, E105*E52)/1000*E161*12 + AVERAGE(D106*D52, E106*E52)/1000*E163*12</f>
        <v>91.153738833725072</v>
      </c>
      <c r="F198" s="855">
        <f>AVERAGE(E105*E52, F105*F52)/1000*F161*12 + AVERAGE(E106*E52, F106*F52)/1000*F163*12</f>
        <v>134.94988319999999</v>
      </c>
      <c r="G198" s="855">
        <f>AVERAGE(F105*F52, G105*G52)/1000*G161*12 + AVERAGE(F106*F52, G106*G52)/1000*G163*12</f>
        <v>160.08840000000004</v>
      </c>
      <c r="H198" s="855">
        <f>AVERAGE(G105*G38, H105*H38)/1000*H161*12 + AVERAGE(G106*G38, H106*H38)/1000*H163*12</f>
        <v>145.96373471486226</v>
      </c>
      <c r="I198" s="855">
        <f t="shared" ref="I198:L198" si="424">I200</f>
        <v>141.50840689933256</v>
      </c>
      <c r="J198" s="855">
        <f t="shared" si="424"/>
        <v>146.49655306187023</v>
      </c>
      <c r="K198" s="855">
        <f t="shared" si="424"/>
        <v>151.05653461446002</v>
      </c>
      <c r="L198" s="855">
        <f t="shared" si="424"/>
        <v>158.268</v>
      </c>
      <c r="M198" s="855">
        <f ca="1">M200</f>
        <v>168.32976679881531</v>
      </c>
      <c r="N198" s="855">
        <f ca="1">N200+N201</f>
        <v>191.83704336821495</v>
      </c>
      <c r="O198" s="855">
        <f t="shared" ref="O198:Z198" ca="1" si="425">O200+O201</f>
        <v>215.74845558453785</v>
      </c>
      <c r="P198" s="855">
        <f t="shared" ca="1" si="425"/>
        <v>242.14825255162285</v>
      </c>
      <c r="Q198" s="855">
        <f t="shared" ca="1" si="425"/>
        <v>270.34050230924805</v>
      </c>
      <c r="R198" s="855">
        <f t="shared" ca="1" si="425"/>
        <v>299.62035816062883</v>
      </c>
      <c r="S198" s="855">
        <f t="shared" ca="1" si="425"/>
        <v>333.337218874651</v>
      </c>
      <c r="T198" s="855">
        <f t="shared" ca="1" si="425"/>
        <v>367.2197354247013</v>
      </c>
      <c r="U198" s="855">
        <f t="shared" ca="1" si="425"/>
        <v>402.67973544663181</v>
      </c>
      <c r="V198" s="855">
        <f t="shared" ca="1" si="425"/>
        <v>438.93242925402535</v>
      </c>
      <c r="W198" s="855">
        <f t="shared" ca="1" si="425"/>
        <v>475.98936447664562</v>
      </c>
      <c r="X198" s="855">
        <f t="shared" ca="1" si="425"/>
        <v>513.86238167045178</v>
      </c>
      <c r="Y198" s="855">
        <f t="shared" ca="1" si="425"/>
        <v>552.56364409036996</v>
      </c>
      <c r="Z198" s="855">
        <f t="shared" ca="1" si="425"/>
        <v>592.10567006571387</v>
      </c>
    </row>
    <row r="199" spans="2:26">
      <c r="B199" s="748" t="s">
        <v>1382</v>
      </c>
      <c r="E199" s="490">
        <f t="shared" ref="E199:N199" si="426">E198/D198-1</f>
        <v>0.83349896353835073</v>
      </c>
      <c r="F199" s="490">
        <f t="shared" si="426"/>
        <v>0.48046459669815778</v>
      </c>
      <c r="G199" s="490">
        <f t="shared" si="426"/>
        <v>0.18628038945942604</v>
      </c>
      <c r="H199" s="490">
        <f t="shared" si="426"/>
        <v>-8.8230410730182673E-2</v>
      </c>
      <c r="I199" s="490">
        <f t="shared" si="426"/>
        <v>-3.052352575270223E-2</v>
      </c>
      <c r="J199" s="490">
        <f t="shared" si="426"/>
        <v>3.5249822055350988E-2</v>
      </c>
      <c r="K199" s="490">
        <f t="shared" si="426"/>
        <v>3.1126886314273738E-2</v>
      </c>
      <c r="L199" s="490">
        <f t="shared" si="426"/>
        <v>4.7740174921566458E-2</v>
      </c>
      <c r="M199" s="490">
        <f t="shared" ca="1" si="426"/>
        <v>6.3574233571001892E-2</v>
      </c>
      <c r="N199" s="490">
        <f t="shared" ca="1" si="426"/>
        <v>0.13965014635524975</v>
      </c>
      <c r="O199" s="490">
        <f t="shared" ref="O199:T199" ca="1" si="427">O198/N198-1</f>
        <v>0.12464439503702618</v>
      </c>
      <c r="P199" s="490">
        <f t="shared" ca="1" si="427"/>
        <v>0.12236378191240682</v>
      </c>
      <c r="Q199" s="490">
        <f t="shared" ca="1" si="427"/>
        <v>0.11642557590464131</v>
      </c>
      <c r="R199" s="490">
        <f t="shared" ca="1" si="427"/>
        <v>0.10830732206706828</v>
      </c>
      <c r="S199" s="490">
        <f t="shared" ca="1" si="427"/>
        <v>0.11253194182468174</v>
      </c>
      <c r="T199" s="490">
        <f t="shared" ca="1" si="427"/>
        <v>0.10164636479670031</v>
      </c>
      <c r="U199" s="490">
        <f t="shared" ref="U199" ca="1" si="428">U198/T198-1</f>
        <v>9.6563437640190708E-2</v>
      </c>
      <c r="V199" s="490">
        <f t="shared" ref="V199" ca="1" si="429">V198/U198-1</f>
        <v>9.0028602425656912E-2</v>
      </c>
      <c r="W199" s="490">
        <f t="shared" ref="W199" ca="1" si="430">W198/V198-1</f>
        <v>8.4425147819675361E-2</v>
      </c>
      <c r="X199" s="490">
        <f t="shared" ref="X199" ca="1" si="431">X198/W198-1</f>
        <v>7.9566939978686024E-2</v>
      </c>
      <c r="Y199" s="490">
        <f t="shared" ref="Y199" ca="1" si="432">Y198/X198-1</f>
        <v>7.5314449549914508E-2</v>
      </c>
      <c r="Z199" s="490">
        <f t="shared" ref="Z199" ca="1" si="433">Z198/Y198-1</f>
        <v>7.156103445864237E-2</v>
      </c>
    </row>
    <row r="200" spans="2:26">
      <c r="B200" s="1218" t="s">
        <v>1899</v>
      </c>
      <c r="E200" s="490"/>
      <c r="F200" s="490"/>
      <c r="G200" s="490"/>
      <c r="H200" s="490"/>
      <c r="I200" s="855">
        <f t="shared" ref="I200:Z200" si="434">I161*AVERAGE(H168:I168)*12/1000</f>
        <v>141.50840689933256</v>
      </c>
      <c r="J200" s="855">
        <f t="shared" si="434"/>
        <v>146.49655306187023</v>
      </c>
      <c r="K200" s="855">
        <f t="shared" si="434"/>
        <v>151.05653461446002</v>
      </c>
      <c r="L200" s="855">
        <f t="shared" si="434"/>
        <v>158.268</v>
      </c>
      <c r="M200" s="855">
        <f t="shared" ca="1" si="434"/>
        <v>168.32976679881531</v>
      </c>
      <c r="N200" s="855">
        <f ca="1">N161*AVERAGE(M168:N168)*12/1000</f>
        <v>187.37801335158861</v>
      </c>
      <c r="O200" s="855">
        <f t="shared" ca="1" si="434"/>
        <v>208.40147837195119</v>
      </c>
      <c r="P200" s="855">
        <f t="shared" ca="1" si="434"/>
        <v>229.76209426355169</v>
      </c>
      <c r="Q200" s="855">
        <f t="shared" ca="1" si="434"/>
        <v>250.8230735013594</v>
      </c>
      <c r="R200" s="855">
        <f t="shared" ca="1" si="434"/>
        <v>269.98113644577961</v>
      </c>
      <c r="S200" s="855">
        <f t="shared" ca="1" si="434"/>
        <v>289.00720371738117</v>
      </c>
      <c r="T200" s="855">
        <f t="shared" ca="1" si="434"/>
        <v>305.16672088094123</v>
      </c>
      <c r="U200" s="855">
        <f t="shared" ca="1" si="434"/>
        <v>323.0524347154082</v>
      </c>
      <c r="V200" s="855">
        <f t="shared" ca="1" si="434"/>
        <v>341.91694717415845</v>
      </c>
      <c r="W200" s="855">
        <f t="shared" ca="1" si="434"/>
        <v>361.81139333583684</v>
      </c>
      <c r="X200" s="855">
        <f t="shared" ca="1" si="434"/>
        <v>382.78949094081474</v>
      </c>
      <c r="Y200" s="855">
        <f t="shared" ca="1" si="434"/>
        <v>404.90766750533083</v>
      </c>
      <c r="Z200" s="855">
        <f t="shared" ca="1" si="434"/>
        <v>428.22519356519967</v>
      </c>
    </row>
    <row r="201" spans="2:26">
      <c r="B201" s="1218" t="s">
        <v>1900</v>
      </c>
      <c r="E201" s="490"/>
      <c r="F201" s="490"/>
      <c r="G201" s="490"/>
      <c r="H201" s="490"/>
      <c r="I201" s="490"/>
      <c r="J201" s="490"/>
      <c r="K201" s="855"/>
      <c r="L201" s="855">
        <f t="shared" ref="L201:Z201" si="435">L163*AVERAGE(K71:L71)*12/1000</f>
        <v>0.93600000000000005</v>
      </c>
      <c r="M201" s="855">
        <f t="shared" ca="1" si="435"/>
        <v>2.8109999999999999</v>
      </c>
      <c r="N201" s="855">
        <f ca="1">N163*AVERAGE(M71:N71)*12/1000</f>
        <v>4.4590300166263335</v>
      </c>
      <c r="O201" s="855">
        <f t="shared" ca="1" si="435"/>
        <v>7.3469772125866708</v>
      </c>
      <c r="P201" s="855">
        <f t="shared" ca="1" si="435"/>
        <v>12.386158288071169</v>
      </c>
      <c r="Q201" s="855">
        <f t="shared" ca="1" si="435"/>
        <v>19.517428807888635</v>
      </c>
      <c r="R201" s="855">
        <f t="shared" ca="1" si="435"/>
        <v>29.639221714849192</v>
      </c>
      <c r="S201" s="855">
        <f t="shared" ca="1" si="435"/>
        <v>44.33001515726982</v>
      </c>
      <c r="T201" s="855">
        <f t="shared" ca="1" si="435"/>
        <v>62.053014543760042</v>
      </c>
      <c r="U201" s="855">
        <f t="shared" ca="1" si="435"/>
        <v>79.627300731223599</v>
      </c>
      <c r="V201" s="855">
        <f t="shared" ca="1" si="435"/>
        <v>97.015482079866914</v>
      </c>
      <c r="W201" s="855">
        <f t="shared" ca="1" si="435"/>
        <v>114.17797114080878</v>
      </c>
      <c r="X201" s="855">
        <f t="shared" ca="1" si="435"/>
        <v>131.07289072963707</v>
      </c>
      <c r="Y201" s="855">
        <f t="shared" ca="1" si="435"/>
        <v>147.6559765850391</v>
      </c>
      <c r="Z201" s="855">
        <f t="shared" ca="1" si="435"/>
        <v>163.88047650051425</v>
      </c>
    </row>
    <row r="202" spans="2:26">
      <c r="B202" s="489" t="s">
        <v>169</v>
      </c>
      <c r="D202" s="726">
        <f t="shared" ref="D202:I202" si="436">D181-D198</f>
        <v>0.67085763333120241</v>
      </c>
      <c r="E202" s="726">
        <f t="shared" si="436"/>
        <v>-13.47979302372508</v>
      </c>
      <c r="F202" s="726">
        <f t="shared" si="436"/>
        <v>-1.1498831999999766</v>
      </c>
      <c r="G202" s="726">
        <f t="shared" si="436"/>
        <v>-15.288400000000024</v>
      </c>
      <c r="H202" s="726">
        <f t="shared" si="436"/>
        <v>-6.4814585648622369</v>
      </c>
      <c r="I202" s="726">
        <f t="shared" si="436"/>
        <v>1.1744944006674416</v>
      </c>
      <c r="J202" s="726">
        <f>J181-J198</f>
        <v>-0.19655306187021893</v>
      </c>
      <c r="K202" s="726">
        <f>K181-K198</f>
        <v>-0.1967044544600185</v>
      </c>
      <c r="L202" s="726">
        <f>L181-L198</f>
        <v>-0.72477689000001533</v>
      </c>
      <c r="M202" s="726">
        <f ca="1">M181-M198</f>
        <v>-0.1987687988153084</v>
      </c>
      <c r="N202" s="726">
        <v>0</v>
      </c>
      <c r="O202" s="725">
        <f t="shared" ref="O202:T202" ca="1" si="437">N202*(1+O203)</f>
        <v>0</v>
      </c>
      <c r="P202" s="725">
        <f t="shared" ca="1" si="437"/>
        <v>0</v>
      </c>
      <c r="Q202" s="725">
        <f t="shared" ca="1" si="437"/>
        <v>0</v>
      </c>
      <c r="R202" s="725">
        <f t="shared" ca="1" si="437"/>
        <v>0</v>
      </c>
      <c r="S202" s="725">
        <f t="shared" ca="1" si="437"/>
        <v>0</v>
      </c>
      <c r="T202" s="725">
        <f t="shared" ca="1" si="437"/>
        <v>0</v>
      </c>
      <c r="U202" s="725">
        <f t="shared" ref="U202" ca="1" si="438">T202*(1+U203)</f>
        <v>0</v>
      </c>
      <c r="V202" s="725">
        <f t="shared" ref="V202" ca="1" si="439">U202*(1+V203)</f>
        <v>0</v>
      </c>
      <c r="W202" s="725">
        <f t="shared" ref="W202" ca="1" si="440">V202*(1+W203)</f>
        <v>0</v>
      </c>
      <c r="X202" s="725">
        <f t="shared" ref="X202" ca="1" si="441">W202*(1+X203)</f>
        <v>0</v>
      </c>
      <c r="Y202" s="725">
        <f t="shared" ref="Y202" ca="1" si="442">X202*(1+Y203)</f>
        <v>0</v>
      </c>
      <c r="Z202" s="725">
        <f t="shared" ref="Z202" ca="1" si="443">Y202*(1+Z203)</f>
        <v>0</v>
      </c>
    </row>
    <row r="203" spans="2:26">
      <c r="B203" s="748" t="s">
        <v>1382</v>
      </c>
      <c r="E203" s="723">
        <f t="shared" ref="E203:M203" si="444">E202/D202-1</f>
        <v>-21.093373547514076</v>
      </c>
      <c r="F203" s="723">
        <f t="shared" si="444"/>
        <v>-0.91469578219961334</v>
      </c>
      <c r="G203" s="723">
        <f t="shared" si="444"/>
        <v>12.295611241211573</v>
      </c>
      <c r="H203" s="723">
        <f t="shared" si="444"/>
        <v>-0.57605383396155085</v>
      </c>
      <c r="I203" s="723">
        <f t="shared" si="444"/>
        <v>-1.1812083482311679</v>
      </c>
      <c r="J203" s="723">
        <f t="shared" si="444"/>
        <v>-1.1673512123672294</v>
      </c>
      <c r="K203" s="723">
        <f t="shared" si="444"/>
        <v>7.7023775849149878E-4</v>
      </c>
      <c r="L203" s="723">
        <f t="shared" si="444"/>
        <v>2.6845982567584969</v>
      </c>
      <c r="M203" s="723">
        <f t="shared" ca="1" si="444"/>
        <v>-0.72575174297389067</v>
      </c>
      <c r="N203" s="747">
        <f ca="1">M205</f>
        <v>6.7205524179275056E-2</v>
      </c>
      <c r="O203" s="747">
        <f t="shared" ref="O203:Z203" ca="1" si="445">N205</f>
        <v>0.14099747012870845</v>
      </c>
      <c r="P203" s="747">
        <f t="shared" ca="1" si="445"/>
        <v>0.12464439503702618</v>
      </c>
      <c r="Q203" s="747">
        <f t="shared" ca="1" si="445"/>
        <v>0.12236378191240682</v>
      </c>
      <c r="R203" s="747">
        <f t="shared" ca="1" si="445"/>
        <v>0.11642557590464131</v>
      </c>
      <c r="S203" s="747">
        <f t="shared" ca="1" si="445"/>
        <v>0.10830732206706828</v>
      </c>
      <c r="T203" s="747">
        <f t="shared" ca="1" si="445"/>
        <v>0.11253194182468174</v>
      </c>
      <c r="U203" s="747">
        <f t="shared" ca="1" si="445"/>
        <v>0.10164636479670031</v>
      </c>
      <c r="V203" s="747">
        <f t="shared" ca="1" si="445"/>
        <v>9.6563437640190708E-2</v>
      </c>
      <c r="W203" s="747">
        <f t="shared" ca="1" si="445"/>
        <v>9.0028602425656912E-2</v>
      </c>
      <c r="X203" s="747">
        <f t="shared" ca="1" si="445"/>
        <v>8.4425147819675361E-2</v>
      </c>
      <c r="Y203" s="747">
        <f t="shared" ca="1" si="445"/>
        <v>7.9566939978686024E-2</v>
      </c>
      <c r="Z203" s="747">
        <f t="shared" ca="1" si="445"/>
        <v>7.5314449549914508E-2</v>
      </c>
    </row>
    <row r="204" spans="2:26">
      <c r="B204" s="58" t="s">
        <v>1470</v>
      </c>
      <c r="C204" s="533"/>
      <c r="D204" s="534">
        <f t="shared" ref="D204:O204" si="446">D202+D198</f>
        <v>50.386587310000003</v>
      </c>
      <c r="E204" s="534">
        <f t="shared" si="446"/>
        <v>77.673945809999992</v>
      </c>
      <c r="F204" s="534">
        <f t="shared" si="446"/>
        <v>133.80000000000001</v>
      </c>
      <c r="G204" s="534">
        <f t="shared" si="446"/>
        <v>144.80000000000001</v>
      </c>
      <c r="H204" s="534">
        <f t="shared" si="446"/>
        <v>139.48227615000002</v>
      </c>
      <c r="I204" s="534">
        <f t="shared" si="446"/>
        <v>142.6829013</v>
      </c>
      <c r="J204" s="534">
        <f>J202+J198</f>
        <v>146.30000000000001</v>
      </c>
      <c r="K204" s="534">
        <f>K202+K198</f>
        <v>150.85983016</v>
      </c>
      <c r="L204" s="534">
        <f t="shared" si="446"/>
        <v>157.54322310999999</v>
      </c>
      <c r="M204" s="534">
        <f ca="1">M202+M198</f>
        <v>168.13099800000001</v>
      </c>
      <c r="N204" s="534">
        <f t="shared" ca="1" si="446"/>
        <v>191.83704336821495</v>
      </c>
      <c r="O204" s="534">
        <f t="shared" ca="1" si="446"/>
        <v>215.74845558453785</v>
      </c>
      <c r="P204" s="534">
        <f ca="1">P202+P198</f>
        <v>242.14825255162285</v>
      </c>
      <c r="Q204" s="534">
        <f ca="1">Q202+Q198</f>
        <v>270.34050230924805</v>
      </c>
      <c r="R204" s="534">
        <f ca="1">R202+R198</f>
        <v>299.62035816062883</v>
      </c>
      <c r="S204" s="534">
        <f ca="1">S202+S198</f>
        <v>333.337218874651</v>
      </c>
      <c r="T204" s="534">
        <f ca="1">T202+T198</f>
        <v>367.2197354247013</v>
      </c>
      <c r="U204" s="534">
        <f t="shared" ref="U204:Z204" ca="1" si="447">U202+U198</f>
        <v>402.67973544663181</v>
      </c>
      <c r="V204" s="534">
        <f t="shared" ca="1" si="447"/>
        <v>438.93242925402535</v>
      </c>
      <c r="W204" s="534">
        <f t="shared" ca="1" si="447"/>
        <v>475.98936447664562</v>
      </c>
      <c r="X204" s="534">
        <f t="shared" ca="1" si="447"/>
        <v>513.86238167045178</v>
      </c>
      <c r="Y204" s="534">
        <f t="shared" ca="1" si="447"/>
        <v>552.56364409036996</v>
      </c>
      <c r="Z204" s="534">
        <f t="shared" ca="1" si="447"/>
        <v>592.10567006571387</v>
      </c>
    </row>
    <row r="205" spans="2:26">
      <c r="B205" s="748" t="s">
        <v>1382</v>
      </c>
      <c r="E205" s="490">
        <f t="shared" ref="E205:N205" si="448">E204/D204-1</f>
        <v>0.54155996579241217</v>
      </c>
      <c r="F205" s="490">
        <f t="shared" si="448"/>
        <v>0.72258533546488346</v>
      </c>
      <c r="G205" s="490">
        <f t="shared" si="448"/>
        <v>8.2212257100149566E-2</v>
      </c>
      <c r="H205" s="490">
        <f t="shared" si="448"/>
        <v>-3.6724612223756892E-2</v>
      </c>
      <c r="I205" s="490">
        <f t="shared" si="448"/>
        <v>2.2946464872411587E-2</v>
      </c>
      <c r="J205" s="490">
        <f t="shared" si="448"/>
        <v>2.5350610809313556E-2</v>
      </c>
      <c r="K205" s="490">
        <f t="shared" si="448"/>
        <v>3.116767026657552E-2</v>
      </c>
      <c r="L205" s="490">
        <f t="shared" si="448"/>
        <v>4.4302004999685174E-2</v>
      </c>
      <c r="M205" s="490">
        <f t="shared" ca="1" si="448"/>
        <v>6.7205524179275056E-2</v>
      </c>
      <c r="N205" s="490">
        <f t="shared" ca="1" si="448"/>
        <v>0.14099747012870845</v>
      </c>
      <c r="O205" s="490">
        <f t="shared" ref="O205:T205" ca="1" si="449">O204/N204-1</f>
        <v>0.12464439503702618</v>
      </c>
      <c r="P205" s="490">
        <f t="shared" ca="1" si="449"/>
        <v>0.12236378191240682</v>
      </c>
      <c r="Q205" s="490">
        <f t="shared" ca="1" si="449"/>
        <v>0.11642557590464131</v>
      </c>
      <c r="R205" s="490">
        <f t="shared" ca="1" si="449"/>
        <v>0.10830732206706828</v>
      </c>
      <c r="S205" s="490">
        <f t="shared" ca="1" si="449"/>
        <v>0.11253194182468174</v>
      </c>
      <c r="T205" s="490">
        <f t="shared" ca="1" si="449"/>
        <v>0.10164636479670031</v>
      </c>
      <c r="U205" s="490">
        <f t="shared" ref="U205" ca="1" si="450">U204/T204-1</f>
        <v>9.6563437640190708E-2</v>
      </c>
      <c r="V205" s="490">
        <f t="shared" ref="V205" ca="1" si="451">V204/U204-1</f>
        <v>9.0028602425656912E-2</v>
      </c>
      <c r="W205" s="490">
        <f t="shared" ref="W205" ca="1" si="452">W204/V204-1</f>
        <v>8.4425147819675361E-2</v>
      </c>
      <c r="X205" s="490">
        <f t="shared" ref="X205" ca="1" si="453">X204/W204-1</f>
        <v>7.9566939978686024E-2</v>
      </c>
      <c r="Y205" s="490">
        <f t="shared" ref="Y205" ca="1" si="454">Y204/X204-1</f>
        <v>7.5314449549914508E-2</v>
      </c>
      <c r="Z205" s="490">
        <f t="shared" ref="Z205" ca="1" si="455">Z204/Y204-1</f>
        <v>7.156103445864237E-2</v>
      </c>
    </row>
    <row r="207" spans="2:26">
      <c r="B207" s="618" t="s">
        <v>1513</v>
      </c>
      <c r="H207" s="856">
        <f t="shared" ref="H207:M207" si="456">H183</f>
        <v>48</v>
      </c>
      <c r="I207" s="856">
        <f t="shared" si="456"/>
        <v>56.111999999999995</v>
      </c>
      <c r="J207" s="856">
        <f t="shared" si="456"/>
        <v>61.9</v>
      </c>
      <c r="K207" s="856">
        <f t="shared" si="456"/>
        <v>50.341374009999996</v>
      </c>
      <c r="L207" s="856">
        <f t="shared" si="456"/>
        <v>45.373768670000004</v>
      </c>
      <c r="M207" s="856">
        <f t="shared" si="456"/>
        <v>44.742804710000001</v>
      </c>
      <c r="N207" s="532">
        <f t="shared" ref="N207:T207" si="457">M207*(1+N208)</f>
        <v>45.190232757099999</v>
      </c>
      <c r="O207" s="532">
        <f t="shared" si="457"/>
        <v>45.190232757099999</v>
      </c>
      <c r="P207" s="532">
        <f t="shared" si="457"/>
        <v>46.094037412242002</v>
      </c>
      <c r="Q207" s="532">
        <f t="shared" si="457"/>
        <v>47.015918160486841</v>
      </c>
      <c r="R207" s="532">
        <f t="shared" si="457"/>
        <v>47.956236523696582</v>
      </c>
      <c r="S207" s="532">
        <f t="shared" si="457"/>
        <v>48.915361254170513</v>
      </c>
      <c r="T207" s="532">
        <f t="shared" si="457"/>
        <v>49.893668479253925</v>
      </c>
      <c r="U207" s="532">
        <f t="shared" ref="U207" si="458">T207*(1+U208)</f>
        <v>50.891541848839005</v>
      </c>
      <c r="V207" s="532">
        <f t="shared" ref="V207" si="459">U207*(1+V208)</f>
        <v>51.909372685815782</v>
      </c>
      <c r="W207" s="532">
        <f t="shared" ref="W207" si="460">V207*(1+W208)</f>
        <v>52.947560139532101</v>
      </c>
      <c r="X207" s="532">
        <f t="shared" ref="X207" si="461">W207*(1+X208)</f>
        <v>54.006511342322746</v>
      </c>
      <c r="Y207" s="532">
        <f t="shared" ref="Y207" si="462">X207*(1+Y208)</f>
        <v>55.086641569169203</v>
      </c>
      <c r="Z207" s="532">
        <f t="shared" ref="Z207" si="463">Y207*(1+Z208)</f>
        <v>56.18837440055259</v>
      </c>
    </row>
    <row r="208" spans="2:26">
      <c r="B208" s="748" t="s">
        <v>1382</v>
      </c>
      <c r="H208" s="490" t="e">
        <f t="shared" ref="H208:M208" si="464">H207/G207-1</f>
        <v>#DIV/0!</v>
      </c>
      <c r="I208" s="490">
        <f t="shared" si="464"/>
        <v>0.16899999999999982</v>
      </c>
      <c r="J208" s="490">
        <f t="shared" si="464"/>
        <v>0.10315084117479345</v>
      </c>
      <c r="K208" s="490">
        <f t="shared" si="464"/>
        <v>-0.18673062988691447</v>
      </c>
      <c r="L208" s="490">
        <f t="shared" si="464"/>
        <v>-9.867838210004376E-2</v>
      </c>
      <c r="M208" s="490">
        <f t="shared" si="464"/>
        <v>-1.3905919179624582E-2</v>
      </c>
      <c r="N208" s="530">
        <v>0.01</v>
      </c>
      <c r="O208" s="530">
        <v>0</v>
      </c>
      <c r="P208" s="530">
        <v>0.02</v>
      </c>
      <c r="Q208" s="530">
        <v>0.02</v>
      </c>
      <c r="R208" s="530">
        <v>0.02</v>
      </c>
      <c r="S208" s="530">
        <v>0.02</v>
      </c>
      <c r="T208" s="530">
        <v>0.02</v>
      </c>
      <c r="U208" s="530">
        <v>0.02</v>
      </c>
      <c r="V208" s="530">
        <v>0.02</v>
      </c>
      <c r="W208" s="530">
        <v>0.02</v>
      </c>
      <c r="X208" s="530">
        <v>0.02</v>
      </c>
      <c r="Y208" s="530">
        <v>0.02</v>
      </c>
      <c r="Z208" s="530">
        <v>0.02</v>
      </c>
    </row>
    <row r="210" spans="2:26">
      <c r="B210" s="58" t="s">
        <v>80</v>
      </c>
      <c r="C210" s="58"/>
      <c r="D210" s="856">
        <f t="shared" ref="D210:I210" si="465">D185</f>
        <v>20.065384519999995</v>
      </c>
      <c r="E210" s="856">
        <f t="shared" si="465"/>
        <v>29.10565549</v>
      </c>
      <c r="F210" s="856">
        <f t="shared" si="465"/>
        <v>85.4</v>
      </c>
      <c r="G210" s="856">
        <f t="shared" si="465"/>
        <v>95.4</v>
      </c>
      <c r="H210" s="856">
        <f t="shared" si="465"/>
        <v>57</v>
      </c>
      <c r="I210" s="856">
        <f t="shared" si="465"/>
        <v>62.259315177710199</v>
      </c>
      <c r="J210" s="856">
        <f>J185</f>
        <v>45.000000000000007</v>
      </c>
      <c r="K210" s="856">
        <f>K185</f>
        <v>43.403644210416367</v>
      </c>
      <c r="L210" s="856">
        <f>L185</f>
        <v>41.089225354518689</v>
      </c>
      <c r="M210" s="856">
        <f>M185</f>
        <v>50.476379780846592</v>
      </c>
      <c r="N210" s="532">
        <f>M210*(1+N211)</f>
        <v>48.96208838742119</v>
      </c>
      <c r="O210" s="532">
        <f t="shared" ref="O210:T210" si="466">N210*(1+O211)</f>
        <v>49.941330155169616</v>
      </c>
      <c r="P210" s="532">
        <f t="shared" si="466"/>
        <v>50.940156758273012</v>
      </c>
      <c r="Q210" s="532">
        <f t="shared" si="466"/>
        <v>51.958959893438475</v>
      </c>
      <c r="R210" s="532">
        <f t="shared" si="466"/>
        <v>52.998139091307245</v>
      </c>
      <c r="S210" s="532">
        <f t="shared" si="466"/>
        <v>54.058101873133388</v>
      </c>
      <c r="T210" s="532">
        <f t="shared" si="466"/>
        <v>54.598682891864726</v>
      </c>
      <c r="U210" s="532">
        <f t="shared" ref="U210" si="467">T210*(1+U211)</f>
        <v>55.144669720783376</v>
      </c>
      <c r="V210" s="532">
        <f t="shared" ref="V210" si="468">U210*(1+V211)</f>
        <v>55.696116417991213</v>
      </c>
      <c r="W210" s="532">
        <f t="shared" ref="W210" si="469">V210*(1+W211)</f>
        <v>56.253077582171123</v>
      </c>
      <c r="X210" s="532">
        <f t="shared" ref="X210" si="470">W210*(1+X211)</f>
        <v>56.815608357992836</v>
      </c>
      <c r="Y210" s="532">
        <f t="shared" ref="Y210" si="471">X210*(1+Y211)</f>
        <v>57.383764441572765</v>
      </c>
      <c r="Z210" s="532">
        <f t="shared" ref="Z210" si="472">Y210*(1+Z211)</f>
        <v>57.957602085988491</v>
      </c>
    </row>
    <row r="211" spans="2:26">
      <c r="B211" s="748" t="s">
        <v>1382</v>
      </c>
      <c r="E211" s="490">
        <f t="shared" ref="E211:M211" si="473">E210/D210-1</f>
        <v>0.45054062936043882</v>
      </c>
      <c r="F211" s="490">
        <f t="shared" si="473"/>
        <v>1.934137663703928</v>
      </c>
      <c r="G211" s="490">
        <f t="shared" si="473"/>
        <v>0.11709601873536291</v>
      </c>
      <c r="H211" s="490">
        <f t="shared" si="473"/>
        <v>-0.40251572327044027</v>
      </c>
      <c r="I211" s="490">
        <f t="shared" si="473"/>
        <v>9.2268687328249221E-2</v>
      </c>
      <c r="J211" s="490">
        <f t="shared" si="473"/>
        <v>-0.2772165920625046</v>
      </c>
      <c r="K211" s="490">
        <f t="shared" si="473"/>
        <v>-3.5474573101858642E-2</v>
      </c>
      <c r="L211" s="490">
        <f t="shared" si="473"/>
        <v>-5.332314597082255E-2</v>
      </c>
      <c r="M211" s="490">
        <f t="shared" si="473"/>
        <v>0.22845780968940987</v>
      </c>
      <c r="N211" s="530">
        <v>-0.03</v>
      </c>
      <c r="O211" s="530">
        <v>0.02</v>
      </c>
      <c r="P211" s="530">
        <v>0.02</v>
      </c>
      <c r="Q211" s="530">
        <v>0.02</v>
      </c>
      <c r="R211" s="530">
        <v>0.02</v>
      </c>
      <c r="S211" s="530">
        <v>0.02</v>
      </c>
      <c r="T211" s="530">
        <v>0.01</v>
      </c>
      <c r="U211" s="530">
        <v>0.01</v>
      </c>
      <c r="V211" s="530">
        <v>0.01</v>
      </c>
      <c r="W211" s="530">
        <v>0.01</v>
      </c>
      <c r="X211" s="530">
        <v>0.01</v>
      </c>
      <c r="Y211" s="530">
        <v>0.01</v>
      </c>
      <c r="Z211" s="530">
        <v>0.01</v>
      </c>
    </row>
    <row r="214" spans="2:26" s="496" customFormat="1">
      <c r="B214" s="520" t="s">
        <v>1223</v>
      </c>
    </row>
    <row r="216" spans="2:26">
      <c r="B216" s="58" t="s">
        <v>0</v>
      </c>
      <c r="C216" s="532">
        <f t="shared" ref="C216:O216" si="474">C187</f>
        <v>206.22200000000001</v>
      </c>
      <c r="D216" s="532">
        <f t="shared" si="474"/>
        <v>212.99453461000002</v>
      </c>
      <c r="E216" s="532">
        <f t="shared" si="474"/>
        <v>279.16592631999998</v>
      </c>
      <c r="F216" s="532">
        <f t="shared" si="474"/>
        <v>478.20000000000005</v>
      </c>
      <c r="G216" s="532">
        <f t="shared" si="474"/>
        <v>496.9</v>
      </c>
      <c r="H216" s="532">
        <f t="shared" si="474"/>
        <v>494.33764154200037</v>
      </c>
      <c r="I216" s="532">
        <f t="shared" si="474"/>
        <v>499.40475365999998</v>
      </c>
      <c r="J216" s="532">
        <f t="shared" si="474"/>
        <v>480</v>
      </c>
      <c r="K216" s="532">
        <f>K187</f>
        <v>462.84366304999998</v>
      </c>
      <c r="L216" s="532">
        <f t="shared" si="474"/>
        <v>446.53620129000001</v>
      </c>
      <c r="M216" s="532">
        <f t="shared" si="474"/>
        <v>452.06121155999995</v>
      </c>
      <c r="N216" s="532">
        <f t="shared" ca="1" si="474"/>
        <v>433.864620545663</v>
      </c>
      <c r="O216" s="532">
        <f t="shared" ca="1" si="474"/>
        <v>434.14953674314319</v>
      </c>
      <c r="P216" s="532">
        <f ca="1">P187</f>
        <v>462.82185958200859</v>
      </c>
      <c r="Q216" s="532">
        <f ca="1">Q187</f>
        <v>489.86188981053959</v>
      </c>
      <c r="R216" s="532">
        <f ca="1">R187</f>
        <v>518.46892095649071</v>
      </c>
      <c r="S216" s="532">
        <f ca="1">S187</f>
        <v>551.96824567876729</v>
      </c>
      <c r="T216" s="532">
        <f ca="1">T187</f>
        <v>585.33632681154836</v>
      </c>
      <c r="U216" s="532">
        <f t="shared" ref="U216:Z216" ca="1" si="475">U187</f>
        <v>620.30673546738274</v>
      </c>
      <c r="V216" s="532">
        <f t="shared" ca="1" si="475"/>
        <v>656.09150612176188</v>
      </c>
      <c r="W216" s="532">
        <f t="shared" ca="1" si="475"/>
        <v>692.69894464381446</v>
      </c>
      <c r="X216" s="532">
        <f t="shared" ca="1" si="475"/>
        <v>730.13758281561479</v>
      </c>
      <c r="Y216" s="532">
        <f t="shared" ca="1" si="475"/>
        <v>768.41620699852081</v>
      </c>
      <c r="Z216" s="532">
        <f t="shared" ca="1" si="475"/>
        <v>807.5438893862264</v>
      </c>
    </row>
    <row r="217" spans="2:26">
      <c r="B217" s="618" t="s">
        <v>1185</v>
      </c>
      <c r="D217" s="537">
        <f t="shared" ref="D217:K217" si="476">D216/C216-1</f>
        <v>3.2840989855592584E-2</v>
      </c>
      <c r="E217" s="537">
        <f t="shared" si="476"/>
        <v>0.31067178240588178</v>
      </c>
      <c r="F217" s="537">
        <f t="shared" si="476"/>
        <v>0.71295976662944516</v>
      </c>
      <c r="G217" s="537">
        <f t="shared" si="476"/>
        <v>3.9104976997072161E-2</v>
      </c>
      <c r="H217" s="537">
        <f t="shared" si="476"/>
        <v>-5.1566883839798683E-3</v>
      </c>
      <c r="I217" s="537">
        <f t="shared" si="476"/>
        <v>1.0250306050321401E-2</v>
      </c>
      <c r="J217" s="537">
        <f t="shared" si="476"/>
        <v>-3.8855764823598316E-2</v>
      </c>
      <c r="K217" s="537">
        <f t="shared" si="476"/>
        <v>-3.5742368645833356E-2</v>
      </c>
      <c r="L217" s="537">
        <f t="shared" ref="L217:T217" si="477">L216/K216-1</f>
        <v>-3.5233196566933023E-2</v>
      </c>
      <c r="M217" s="537">
        <f t="shared" si="477"/>
        <v>1.2373039977584543E-2</v>
      </c>
      <c r="N217" s="537">
        <f t="shared" ca="1" si="477"/>
        <v>-4.0252493576131143E-2</v>
      </c>
      <c r="O217" s="537">
        <f t="shared" ca="1" si="477"/>
        <v>6.5669377955246411E-4</v>
      </c>
      <c r="P217" s="537">
        <f t="shared" ca="1" si="477"/>
        <v>6.6042504741468555E-2</v>
      </c>
      <c r="Q217" s="537">
        <f t="shared" ca="1" si="477"/>
        <v>5.8424272036225355E-2</v>
      </c>
      <c r="R217" s="537">
        <f t="shared" ca="1" si="477"/>
        <v>5.8398156176254545E-2</v>
      </c>
      <c r="S217" s="537">
        <f t="shared" ca="1" si="477"/>
        <v>6.4612020833333172E-2</v>
      </c>
      <c r="T217" s="537">
        <f t="shared" ca="1" si="477"/>
        <v>6.0452899952147865E-2</v>
      </c>
      <c r="U217" s="537">
        <f t="shared" ref="U217" ca="1" si="478">U216/T216-1</f>
        <v>5.9744128382268169E-2</v>
      </c>
      <c r="V217" s="537">
        <f t="shared" ref="V217" ca="1" si="479">V216/U216-1</f>
        <v>5.768883136085301E-2</v>
      </c>
      <c r="W217" s="537">
        <f t="shared" ref="W217" ca="1" si="480">W216/V216-1</f>
        <v>5.5796239061901121E-2</v>
      </c>
      <c r="X217" s="537">
        <f t="shared" ref="X217" ca="1" si="481">X216/W216-1</f>
        <v>5.4047488394906251E-2</v>
      </c>
      <c r="Y217" s="537">
        <f t="shared" ref="Y217" ca="1" si="482">Y216/X216-1</f>
        <v>5.242659066431421E-2</v>
      </c>
      <c r="Z217" s="537">
        <f t="shared" ref="Z217" ca="1" si="483">Z216/Y216-1</f>
        <v>5.0919907767875694E-2</v>
      </c>
    </row>
    <row r="218" spans="2:26">
      <c r="B218" s="58"/>
      <c r="C218" s="532"/>
      <c r="D218" s="532"/>
      <c r="E218" s="532"/>
      <c r="F218" s="532"/>
      <c r="G218" s="532"/>
      <c r="H218" s="532"/>
      <c r="I218" s="532"/>
      <c r="J218" s="532"/>
      <c r="K218" s="532"/>
      <c r="L218" s="532"/>
      <c r="M218" s="532"/>
      <c r="N218" s="532"/>
      <c r="O218" s="532"/>
      <c r="P218" s="532"/>
      <c r="Q218" s="532"/>
      <c r="R218" s="532"/>
      <c r="S218" s="532"/>
      <c r="T218" s="532"/>
      <c r="U218" s="532"/>
      <c r="V218" s="532"/>
      <c r="W218" s="532"/>
      <c r="X218" s="532"/>
      <c r="Y218" s="532"/>
      <c r="Z218" s="532"/>
    </row>
    <row r="219" spans="2:26">
      <c r="B219" s="489" t="s">
        <v>122</v>
      </c>
      <c r="C219" s="739">
        <v>6.8769999999999998</v>
      </c>
      <c r="D219" s="739">
        <v>6.6485026500000002</v>
      </c>
      <c r="E219" s="739">
        <v>13.2</v>
      </c>
      <c r="F219" s="739">
        <v>18.399999999999999</v>
      </c>
      <c r="G219" s="739">
        <v>17.5</v>
      </c>
      <c r="H219" s="739">
        <v>20.775851980000002</v>
      </c>
      <c r="I219" s="739">
        <f>Interims!AN72</f>
        <v>22.59146801</v>
      </c>
      <c r="J219" s="739">
        <f>Interims!AS72</f>
        <v>24.625468220000002</v>
      </c>
      <c r="K219" s="739">
        <f>Interims!AX72</f>
        <v>22.36893603</v>
      </c>
      <c r="L219" s="739">
        <f>Interims!BC72</f>
        <v>21.609451550000003</v>
      </c>
      <c r="M219" s="739">
        <f>Interims!BH72</f>
        <v>27.15610985</v>
      </c>
      <c r="N219" s="725">
        <f t="shared" ref="N219:Z219" ca="1" si="484">N$216*N220</f>
        <v>26.063008712710165</v>
      </c>
      <c r="O219" s="725">
        <f t="shared" ca="1" si="484"/>
        <v>26.080124128408222</v>
      </c>
      <c r="P219" s="725">
        <f t="shared" ca="1" si="484"/>
        <v>27.802520849816709</v>
      </c>
      <c r="Q219" s="725">
        <f t="shared" ca="1" si="484"/>
        <v>29.426862891239232</v>
      </c>
      <c r="R219" s="725">
        <f t="shared" ca="1" si="484"/>
        <v>31.145337426139051</v>
      </c>
      <c r="S219" s="725">
        <f t="shared" ca="1" si="484"/>
        <v>33.157700616777937</v>
      </c>
      <c r="T219" s="725">
        <f t="shared" ca="1" si="484"/>
        <v>35.162179774807285</v>
      </c>
      <c r="U219" s="725">
        <f t="shared" ca="1" si="484"/>
        <v>37.262913557473766</v>
      </c>
      <c r="V219" s="725">
        <f t="shared" ca="1" si="484"/>
        <v>39.412567493704913</v>
      </c>
      <c r="W219" s="725">
        <f t="shared" ca="1" si="484"/>
        <v>41.611640531626989</v>
      </c>
      <c r="X219" s="725">
        <f t="shared" ca="1" si="484"/>
        <v>43.860645190353104</v>
      </c>
      <c r="Y219" s="725">
        <f t="shared" ca="1" si="484"/>
        <v>46.160109282020464</v>
      </c>
      <c r="Z219" s="725">
        <f t="shared" ca="1" si="484"/>
        <v>48.510577789216015</v>
      </c>
    </row>
    <row r="220" spans="2:26" s="536" customFormat="1">
      <c r="B220" s="536" t="s">
        <v>1379</v>
      </c>
      <c r="C220" s="537">
        <f t="shared" ref="C220:I220" si="485">C219/C$216</f>
        <v>3.3347557486592114E-2</v>
      </c>
      <c r="D220" s="537">
        <f t="shared" si="485"/>
        <v>3.1214428399177596E-2</v>
      </c>
      <c r="E220" s="537">
        <f t="shared" si="485"/>
        <v>4.7283707485379911E-2</v>
      </c>
      <c r="F220" s="537">
        <f t="shared" si="485"/>
        <v>3.8477624424926804E-2</v>
      </c>
      <c r="G220" s="537">
        <f t="shared" si="485"/>
        <v>3.5218353793519827E-2</v>
      </c>
      <c r="H220" s="537">
        <f t="shared" si="485"/>
        <v>4.2027655258445103E-2</v>
      </c>
      <c r="I220" s="537">
        <f t="shared" si="485"/>
        <v>4.5236790087465825E-2</v>
      </c>
      <c r="J220" s="537">
        <f>J219/J$216</f>
        <v>5.1303058791666668E-2</v>
      </c>
      <c r="K220" s="537">
        <f>K219/K$216</f>
        <v>4.8329355710728474E-2</v>
      </c>
      <c r="L220" s="537">
        <f>L219/L$216</f>
        <v>4.8393504239012161E-2</v>
      </c>
      <c r="M220" s="537">
        <f>M219/M$216</f>
        <v>6.007175390316738E-2</v>
      </c>
      <c r="N220" s="538">
        <f t="shared" ref="N220:T222" si="486">M220</f>
        <v>6.007175390316738E-2</v>
      </c>
      <c r="O220" s="538">
        <f t="shared" si="486"/>
        <v>6.007175390316738E-2</v>
      </c>
      <c r="P220" s="538">
        <f t="shared" si="486"/>
        <v>6.007175390316738E-2</v>
      </c>
      <c r="Q220" s="538">
        <f t="shared" si="486"/>
        <v>6.007175390316738E-2</v>
      </c>
      <c r="R220" s="538">
        <f t="shared" si="486"/>
        <v>6.007175390316738E-2</v>
      </c>
      <c r="S220" s="538">
        <f t="shared" si="486"/>
        <v>6.007175390316738E-2</v>
      </c>
      <c r="T220" s="538">
        <f t="shared" si="486"/>
        <v>6.007175390316738E-2</v>
      </c>
      <c r="U220" s="538">
        <f t="shared" ref="U220" si="487">T220</f>
        <v>6.007175390316738E-2</v>
      </c>
      <c r="V220" s="538">
        <f t="shared" ref="V220" si="488">U220</f>
        <v>6.007175390316738E-2</v>
      </c>
      <c r="W220" s="538">
        <f t="shared" ref="W220" si="489">V220</f>
        <v>6.007175390316738E-2</v>
      </c>
      <c r="X220" s="538">
        <f t="shared" ref="X220" si="490">W220</f>
        <v>6.007175390316738E-2</v>
      </c>
      <c r="Y220" s="538">
        <f t="shared" ref="Y220" si="491">X220</f>
        <v>6.007175390316738E-2</v>
      </c>
      <c r="Z220" s="538">
        <f t="shared" ref="Z220" si="492">Y220</f>
        <v>6.007175390316738E-2</v>
      </c>
    </row>
    <row r="221" spans="2:26">
      <c r="B221" s="489" t="s">
        <v>79</v>
      </c>
      <c r="C221" s="739">
        <v>10.366</v>
      </c>
      <c r="D221" s="739">
        <v>10.164001979999997</v>
      </c>
      <c r="E221" s="739">
        <v>18.3</v>
      </c>
      <c r="F221" s="739">
        <v>16.7</v>
      </c>
      <c r="G221" s="739">
        <v>15.8</v>
      </c>
      <c r="H221" s="739">
        <v>20.656354329999999</v>
      </c>
      <c r="I221" s="739">
        <f>Interims!AN73</f>
        <v>9.2774009000000017</v>
      </c>
      <c r="J221" s="739">
        <f>Interims!AS73</f>
        <v>7.1038025299999985</v>
      </c>
      <c r="K221" s="739">
        <f>Interims!AX73</f>
        <v>11.00581124</v>
      </c>
      <c r="L221" s="739">
        <f>Interims!BC73</f>
        <v>11.57725143</v>
      </c>
      <c r="M221" s="739">
        <f>Interims!BH73</f>
        <v>10.059191760000001</v>
      </c>
      <c r="N221" s="725">
        <f t="shared" ref="N221:Z221" ca="1" si="493">N$216*N222</f>
        <v>13.015938616369889</v>
      </c>
      <c r="O221" s="725">
        <f t="shared" ca="1" si="493"/>
        <v>9.55128980834915</v>
      </c>
      <c r="P221" s="725">
        <f t="shared" ca="1" si="493"/>
        <v>10.182080910804189</v>
      </c>
      <c r="Q221" s="725">
        <f t="shared" ca="1" si="493"/>
        <v>10.776961575831871</v>
      </c>
      <c r="R221" s="725">
        <f t="shared" ca="1" si="493"/>
        <v>11.406316261042795</v>
      </c>
      <c r="S221" s="725">
        <f t="shared" ca="1" si="493"/>
        <v>12.143301404932879</v>
      </c>
      <c r="T221" s="725">
        <f t="shared" ca="1" si="493"/>
        <v>12.877399189854064</v>
      </c>
      <c r="U221" s="725">
        <f t="shared" ca="1" si="493"/>
        <v>13.646748180282419</v>
      </c>
      <c r="V221" s="725">
        <f t="shared" ca="1" si="493"/>
        <v>14.434013134678761</v>
      </c>
      <c r="W221" s="725">
        <f t="shared" ca="1" si="493"/>
        <v>15.239376782163918</v>
      </c>
      <c r="X221" s="725">
        <f t="shared" ca="1" si="493"/>
        <v>16.063026821943524</v>
      </c>
      <c r="Y221" s="725">
        <f t="shared" ca="1" si="493"/>
        <v>16.905156553967458</v>
      </c>
      <c r="Z221" s="725">
        <f t="shared" ca="1" si="493"/>
        <v>17.76596556649698</v>
      </c>
    </row>
    <row r="222" spans="2:26" s="536" customFormat="1">
      <c r="B222" s="536" t="s">
        <v>1379</v>
      </c>
      <c r="C222" s="929">
        <f t="shared" ref="C222:I222" si="494">C221/C$216</f>
        <v>5.026621795928659E-2</v>
      </c>
      <c r="D222" s="929">
        <f t="shared" si="494"/>
        <v>4.7719543595851496E-2</v>
      </c>
      <c r="E222" s="929">
        <f t="shared" si="494"/>
        <v>6.5552412650185785E-2</v>
      </c>
      <c r="F222" s="929">
        <f t="shared" si="494"/>
        <v>3.4922626516102041E-2</v>
      </c>
      <c r="G222" s="929">
        <f t="shared" si="494"/>
        <v>3.1797142282149332E-2</v>
      </c>
      <c r="H222" s="929">
        <f t="shared" si="494"/>
        <v>4.1785922402279727E-2</v>
      </c>
      <c r="I222" s="929">
        <f t="shared" si="494"/>
        <v>1.8576917484282005E-2</v>
      </c>
      <c r="J222" s="929">
        <f>J221/J$216</f>
        <v>1.4799588604166664E-2</v>
      </c>
      <c r="K222" s="929">
        <f>K221/K$216</f>
        <v>2.3778679754358149E-2</v>
      </c>
      <c r="L222" s="929">
        <f>L221/L$216</f>
        <v>2.5926792489734177E-2</v>
      </c>
      <c r="M222" s="929">
        <f>M221/M$216</f>
        <v>2.225183559829683E-2</v>
      </c>
      <c r="N222" s="930">
        <v>0.03</v>
      </c>
      <c r="O222" s="930">
        <v>2.1999999999999999E-2</v>
      </c>
      <c r="P222" s="930">
        <f t="shared" si="486"/>
        <v>2.1999999999999999E-2</v>
      </c>
      <c r="Q222" s="930">
        <f t="shared" si="486"/>
        <v>2.1999999999999999E-2</v>
      </c>
      <c r="R222" s="930">
        <f t="shared" si="486"/>
        <v>2.1999999999999999E-2</v>
      </c>
      <c r="S222" s="930">
        <f t="shared" si="486"/>
        <v>2.1999999999999999E-2</v>
      </c>
      <c r="T222" s="930">
        <f t="shared" si="486"/>
        <v>2.1999999999999999E-2</v>
      </c>
      <c r="U222" s="930">
        <f t="shared" ref="U222" si="495">T222</f>
        <v>2.1999999999999999E-2</v>
      </c>
      <c r="V222" s="930">
        <f t="shared" ref="V222" si="496">U222</f>
        <v>2.1999999999999999E-2</v>
      </c>
      <c r="W222" s="930">
        <f t="shared" ref="W222" si="497">V222</f>
        <v>2.1999999999999999E-2</v>
      </c>
      <c r="X222" s="930">
        <f t="shared" ref="X222" si="498">W222</f>
        <v>2.1999999999999999E-2</v>
      </c>
      <c r="Y222" s="930">
        <f t="shared" ref="Y222" si="499">X222</f>
        <v>2.1999999999999999E-2</v>
      </c>
      <c r="Z222" s="930">
        <f t="shared" ref="Z222" si="500">Y222</f>
        <v>2.1999999999999999E-2</v>
      </c>
    </row>
    <row r="223" spans="2:26">
      <c r="B223" s="58" t="s">
        <v>123</v>
      </c>
      <c r="C223" s="532">
        <f t="shared" ref="C223:T223" si="501">C216+C219+C221</f>
        <v>223.46500000000003</v>
      </c>
      <c r="D223" s="532">
        <f t="shared" si="501"/>
        <v>229.80703924000002</v>
      </c>
      <c r="E223" s="532">
        <f t="shared" si="501"/>
        <v>310.66592631999998</v>
      </c>
      <c r="F223" s="532">
        <f t="shared" si="501"/>
        <v>513.30000000000007</v>
      </c>
      <c r="G223" s="532">
        <f t="shared" si="501"/>
        <v>530.19999999999993</v>
      </c>
      <c r="H223" s="532">
        <f t="shared" si="501"/>
        <v>535.76984785200034</v>
      </c>
      <c r="I223" s="532">
        <f t="shared" si="501"/>
        <v>531.27362256999993</v>
      </c>
      <c r="J223" s="532">
        <f t="shared" si="501"/>
        <v>511.72927075000001</v>
      </c>
      <c r="K223" s="532">
        <f t="shared" si="501"/>
        <v>496.21841031999998</v>
      </c>
      <c r="L223" s="532">
        <f>L216+L219+L221</f>
        <v>479.72290427000002</v>
      </c>
      <c r="M223" s="532">
        <f>M216+M219+M221</f>
        <v>489.27651316999993</v>
      </c>
      <c r="N223" s="532">
        <f t="shared" ca="1" si="501"/>
        <v>472.94356787474305</v>
      </c>
      <c r="O223" s="532">
        <f t="shared" ca="1" si="501"/>
        <v>469.78095067990057</v>
      </c>
      <c r="P223" s="532">
        <f t="shared" ca="1" si="501"/>
        <v>500.80646134262946</v>
      </c>
      <c r="Q223" s="532">
        <f t="shared" ca="1" si="501"/>
        <v>530.0657142776106</v>
      </c>
      <c r="R223" s="532">
        <f t="shared" ca="1" si="501"/>
        <v>561.02057464367249</v>
      </c>
      <c r="S223" s="532">
        <f t="shared" ca="1" si="501"/>
        <v>597.2692477004781</v>
      </c>
      <c r="T223" s="532">
        <f t="shared" ca="1" si="501"/>
        <v>633.37590577620972</v>
      </c>
      <c r="U223" s="532">
        <f t="shared" ref="U223:Z223" ca="1" si="502">U216+U219+U221</f>
        <v>671.21639720513895</v>
      </c>
      <c r="V223" s="532">
        <f t="shared" ca="1" si="502"/>
        <v>709.93808675014554</v>
      </c>
      <c r="W223" s="532">
        <f t="shared" ca="1" si="502"/>
        <v>749.54996195760543</v>
      </c>
      <c r="X223" s="532">
        <f t="shared" ca="1" si="502"/>
        <v>790.0612548279114</v>
      </c>
      <c r="Y223" s="532">
        <f t="shared" ca="1" si="502"/>
        <v>831.48147283450874</v>
      </c>
      <c r="Z223" s="532">
        <f t="shared" ca="1" si="502"/>
        <v>873.82043274193938</v>
      </c>
    </row>
    <row r="225" spans="2:26" hidden="1" outlineLevel="1">
      <c r="B225" s="489" t="s">
        <v>864</v>
      </c>
      <c r="C225" s="739">
        <v>-31.01</v>
      </c>
      <c r="D225" s="739">
        <v>-32.464546590000005</v>
      </c>
      <c r="E225" s="739">
        <v>-36.799999999999997</v>
      </c>
      <c r="F225" s="739">
        <v>-52.2</v>
      </c>
      <c r="G225" s="739">
        <v>-51.6</v>
      </c>
      <c r="H225" s="739">
        <v>-51.615925109999999</v>
      </c>
      <c r="I225" s="739">
        <f>Interims!AN77</f>
        <v>-51.372706000000001</v>
      </c>
      <c r="J225" s="739">
        <f>Interims!AS77</f>
        <v>-35.245298780000006</v>
      </c>
      <c r="K225" s="725">
        <f t="shared" ref="K225:Z225" si="503">K$216*K226</f>
        <v>-33.9855483179727</v>
      </c>
      <c r="L225" s="725">
        <f t="shared" si="503"/>
        <v>-32.788128813650566</v>
      </c>
      <c r="M225" s="725">
        <f t="shared" si="503"/>
        <v>-33.193817642252064</v>
      </c>
      <c r="N225" s="725">
        <f t="shared" ca="1" si="503"/>
        <v>-31.857683710840043</v>
      </c>
      <c r="O225" s="725">
        <f t="shared" ca="1" si="503"/>
        <v>-31.878604453563899</v>
      </c>
      <c r="P225" s="725">
        <f t="shared" ca="1" si="503"/>
        <v>-33.983947339339792</v>
      </c>
      <c r="Q225" s="725">
        <f t="shared" ca="1" si="503"/>
        <v>-35.969434723558138</v>
      </c>
      <c r="R225" s="725">
        <f t="shared" ca="1" si="503"/>
        <v>-38.069983390116086</v>
      </c>
      <c r="S225" s="725">
        <f t="shared" ca="1" si="503"/>
        <v>-40.529761950042911</v>
      </c>
      <c r="T225" s="725">
        <f t="shared" ca="1" si="503"/>
        <v>-42.979903594293226</v>
      </c>
      <c r="U225" s="725">
        <f t="shared" ca="1" si="503"/>
        <v>-45.547700472488188</v>
      </c>
      <c r="V225" s="725">
        <f t="shared" ca="1" si="503"/>
        <v>-48.175294083920207</v>
      </c>
      <c r="W225" s="725">
        <f t="shared" ca="1" si="503"/>
        <v>-50.863294309504006</v>
      </c>
      <c r="X225" s="725">
        <f t="shared" ca="1" si="503"/>
        <v>-53.61232761842362</v>
      </c>
      <c r="Y225" s="725">
        <f t="shared" ca="1" si="503"/>
        <v>-56.423039173035825</v>
      </c>
      <c r="Z225" s="725">
        <f t="shared" ca="1" si="503"/>
        <v>-59.296095123710046</v>
      </c>
    </row>
    <row r="226" spans="2:26" hidden="1" outlineLevel="1">
      <c r="B226" s="536" t="s">
        <v>1379</v>
      </c>
      <c r="C226" s="537">
        <f t="shared" ref="C226:I226" si="504">C225/C$216</f>
        <v>-0.15037192928009621</v>
      </c>
      <c r="D226" s="537">
        <f t="shared" si="504"/>
        <v>-0.15241962264169667</v>
      </c>
      <c r="E226" s="537">
        <f t="shared" si="504"/>
        <v>-0.1318212451107561</v>
      </c>
      <c r="F226" s="537">
        <f t="shared" si="504"/>
        <v>-0.10915934755332496</v>
      </c>
      <c r="G226" s="537">
        <f t="shared" si="504"/>
        <v>-0.10384383175689274</v>
      </c>
      <c r="H226" s="537">
        <f t="shared" si="504"/>
        <v>-0.10441431275391672</v>
      </c>
      <c r="I226" s="537">
        <f t="shared" si="504"/>
        <v>-0.10286787545273364</v>
      </c>
      <c r="J226" s="537">
        <f>J225/J$216</f>
        <v>-7.3427705791666673E-2</v>
      </c>
      <c r="K226" s="538">
        <f t="shared" ref="K226:T226" si="505">J226</f>
        <v>-7.3427705791666673E-2</v>
      </c>
      <c r="L226" s="538">
        <f t="shared" si="505"/>
        <v>-7.3427705791666673E-2</v>
      </c>
      <c r="M226" s="538">
        <f t="shared" si="505"/>
        <v>-7.3427705791666673E-2</v>
      </c>
      <c r="N226" s="538">
        <f t="shared" si="505"/>
        <v>-7.3427705791666673E-2</v>
      </c>
      <c r="O226" s="538">
        <f t="shared" si="505"/>
        <v>-7.3427705791666673E-2</v>
      </c>
      <c r="P226" s="538">
        <f t="shared" si="505"/>
        <v>-7.3427705791666673E-2</v>
      </c>
      <c r="Q226" s="538">
        <f t="shared" si="505"/>
        <v>-7.3427705791666673E-2</v>
      </c>
      <c r="R226" s="538">
        <f t="shared" si="505"/>
        <v>-7.3427705791666673E-2</v>
      </c>
      <c r="S226" s="538">
        <f t="shared" si="505"/>
        <v>-7.3427705791666673E-2</v>
      </c>
      <c r="T226" s="538">
        <f t="shared" si="505"/>
        <v>-7.3427705791666673E-2</v>
      </c>
      <c r="U226" s="538">
        <f t="shared" ref="U226" si="506">T226</f>
        <v>-7.3427705791666673E-2</v>
      </c>
      <c r="V226" s="538">
        <f t="shared" ref="V226" si="507">U226</f>
        <v>-7.3427705791666673E-2</v>
      </c>
      <c r="W226" s="538">
        <f t="shared" ref="W226" si="508">V226</f>
        <v>-7.3427705791666673E-2</v>
      </c>
      <c r="X226" s="538">
        <f t="shared" ref="X226" si="509">W226</f>
        <v>-7.3427705791666673E-2</v>
      </c>
      <c r="Y226" s="538">
        <f t="shared" ref="Y226" si="510">X226</f>
        <v>-7.3427705791666673E-2</v>
      </c>
      <c r="Z226" s="538">
        <f t="shared" ref="Z226" si="511">Y226</f>
        <v>-7.3427705791666673E-2</v>
      </c>
    </row>
    <row r="227" spans="2:26" hidden="1" outlineLevel="1">
      <c r="B227" s="489" t="s">
        <v>82</v>
      </c>
      <c r="C227" s="739">
        <v>-51.04</v>
      </c>
      <c r="D227" s="739">
        <v>-38.645773210103989</v>
      </c>
      <c r="E227" s="739">
        <v>-51.7</v>
      </c>
      <c r="F227" s="739">
        <v>-88.6</v>
      </c>
      <c r="G227" s="739">
        <v>-100</v>
      </c>
      <c r="H227" s="739">
        <v>-119.53266380999999</v>
      </c>
      <c r="I227" s="739">
        <f>Interims!AN78</f>
        <v>-115.93596478000003</v>
      </c>
      <c r="J227" s="739">
        <f>Interims!AS78</f>
        <v>-112.04566483000004</v>
      </c>
      <c r="K227" s="725">
        <f t="shared" ref="K227:Z227" si="512">K$216*K228</f>
        <v>-108.04088737247868</v>
      </c>
      <c r="L227" s="725">
        <f t="shared" si="512"/>
        <v>-104.23426155041827</v>
      </c>
      <c r="M227" s="725">
        <f t="shared" si="512"/>
        <v>-105.5239562356156</v>
      </c>
      <c r="N227" s="725">
        <f t="shared" ca="1" si="512"/>
        <v>-101.27635386511355</v>
      </c>
      <c r="O227" s="725">
        <f t="shared" ca="1" si="512"/>
        <v>-101.34286141671251</v>
      </c>
      <c r="P227" s="725">
        <f t="shared" ca="1" si="512"/>
        <v>-108.03579782233973</v>
      </c>
      <c r="Q227" s="725">
        <f t="shared" ca="1" si="512"/>
        <v>-114.34771066396276</v>
      </c>
      <c r="R227" s="725">
        <f t="shared" ca="1" si="512"/>
        <v>-121.02540612971403</v>
      </c>
      <c r="S227" s="725">
        <f t="shared" ca="1" si="512"/>
        <v>-128.84510219192973</v>
      </c>
      <c r="T227" s="725">
        <f t="shared" ca="1" si="512"/>
        <v>-136.63416226406272</v>
      </c>
      <c r="U227" s="725">
        <f t="shared" ca="1" si="512"/>
        <v>-144.79725119577054</v>
      </c>
      <c r="V227" s="725">
        <f t="shared" ca="1" si="512"/>
        <v>-153.15043540151842</v>
      </c>
      <c r="W227" s="725">
        <f t="shared" ca="1" si="512"/>
        <v>-161.69565370761578</v>
      </c>
      <c r="X227" s="725">
        <f t="shared" ca="1" si="512"/>
        <v>-170.43489767488492</v>
      </c>
      <c r="Y227" s="725">
        <f t="shared" ca="1" si="512"/>
        <v>-179.3702182902004</v>
      </c>
      <c r="Z227" s="725">
        <f t="shared" ca="1" si="512"/>
        <v>-188.50373326184112</v>
      </c>
    </row>
    <row r="228" spans="2:26" hidden="1" outlineLevel="1">
      <c r="B228" s="536" t="s">
        <v>1379</v>
      </c>
      <c r="C228" s="537">
        <f t="shared" ref="C228:I228" si="513">C227/C$216</f>
        <v>-0.24750026670287359</v>
      </c>
      <c r="D228" s="537">
        <f t="shared" si="513"/>
        <v>-0.18144021057096921</v>
      </c>
      <c r="E228" s="537">
        <f t="shared" si="513"/>
        <v>-0.18519452098440467</v>
      </c>
      <c r="F228" s="537">
        <f t="shared" si="513"/>
        <v>-0.18527812630698451</v>
      </c>
      <c r="G228" s="537">
        <f t="shared" si="513"/>
        <v>-0.20124773596297044</v>
      </c>
      <c r="H228" s="537">
        <f t="shared" si="513"/>
        <v>-0.24180368591220086</v>
      </c>
      <c r="I228" s="537">
        <f t="shared" si="513"/>
        <v>-0.23214830041231538</v>
      </c>
      <c r="J228" s="537">
        <f>J227/J$216</f>
        <v>-0.23342846839583339</v>
      </c>
      <c r="K228" s="538">
        <f t="shared" ref="K228:T228" si="514">J228</f>
        <v>-0.23342846839583339</v>
      </c>
      <c r="L228" s="538">
        <f t="shared" si="514"/>
        <v>-0.23342846839583339</v>
      </c>
      <c r="M228" s="538">
        <f t="shared" si="514"/>
        <v>-0.23342846839583339</v>
      </c>
      <c r="N228" s="538">
        <f t="shared" si="514"/>
        <v>-0.23342846839583339</v>
      </c>
      <c r="O228" s="538">
        <f t="shared" si="514"/>
        <v>-0.23342846839583339</v>
      </c>
      <c r="P228" s="538">
        <f t="shared" si="514"/>
        <v>-0.23342846839583339</v>
      </c>
      <c r="Q228" s="538">
        <f t="shared" si="514"/>
        <v>-0.23342846839583339</v>
      </c>
      <c r="R228" s="538">
        <f t="shared" si="514"/>
        <v>-0.23342846839583339</v>
      </c>
      <c r="S228" s="538">
        <f t="shared" si="514"/>
        <v>-0.23342846839583339</v>
      </c>
      <c r="T228" s="538">
        <f t="shared" si="514"/>
        <v>-0.23342846839583339</v>
      </c>
      <c r="U228" s="538">
        <f t="shared" ref="U228" si="515">T228</f>
        <v>-0.23342846839583339</v>
      </c>
      <c r="V228" s="538">
        <f t="shared" ref="V228" si="516">U228</f>
        <v>-0.23342846839583339</v>
      </c>
      <c r="W228" s="538">
        <f t="shared" ref="W228" si="517">V228</f>
        <v>-0.23342846839583339</v>
      </c>
      <c r="X228" s="538">
        <f t="shared" ref="X228" si="518">W228</f>
        <v>-0.23342846839583339</v>
      </c>
      <c r="Y228" s="538">
        <f t="shared" ref="Y228" si="519">X228</f>
        <v>-0.23342846839583339</v>
      </c>
      <c r="Z228" s="538">
        <f t="shared" ref="Z228" si="520">Y228</f>
        <v>-0.23342846839583339</v>
      </c>
    </row>
    <row r="229" spans="2:26" hidden="1" outlineLevel="1">
      <c r="B229" s="58" t="s">
        <v>181</v>
      </c>
      <c r="C229" s="532">
        <f>C223+C225+C227</f>
        <v>141.41500000000005</v>
      </c>
      <c r="D229" s="532">
        <f>D223+D225+D227</f>
        <v>158.69671943989604</v>
      </c>
      <c r="E229" s="532">
        <f>E223+E225+E227</f>
        <v>222.16592631999998</v>
      </c>
      <c r="F229" s="532">
        <f>F223+F225+F227</f>
        <v>372.50000000000011</v>
      </c>
      <c r="G229" s="532">
        <f>G223+G225+G227</f>
        <v>378.59999999999991</v>
      </c>
      <c r="H229" s="532">
        <f t="shared" ref="H229:O229" si="521">SUM(H223:H227)</f>
        <v>364.51684461924646</v>
      </c>
      <c r="I229" s="532">
        <f t="shared" si="521"/>
        <v>363.86208391454716</v>
      </c>
      <c r="J229" s="532">
        <f>SUM(J223:J227)</f>
        <v>364.36487943420832</v>
      </c>
      <c r="K229" s="532">
        <f t="shared" si="521"/>
        <v>354.11854692375692</v>
      </c>
      <c r="L229" s="532">
        <f t="shared" si="521"/>
        <v>342.6270862001395</v>
      </c>
      <c r="M229" s="532">
        <f t="shared" si="521"/>
        <v>350.48531158634057</v>
      </c>
      <c r="N229" s="532">
        <f t="shared" ca="1" si="521"/>
        <v>339.73610259299778</v>
      </c>
      <c r="O229" s="532">
        <f t="shared" ca="1" si="521"/>
        <v>336.48605710383242</v>
      </c>
      <c r="P229" s="532">
        <f ca="1">SUM(P223:P227)</f>
        <v>358.71328847515827</v>
      </c>
      <c r="Q229" s="532">
        <f ca="1">SUM(Q223:Q227)</f>
        <v>379.67514118429801</v>
      </c>
      <c r="R229" s="532">
        <f ca="1">SUM(R223:R227)</f>
        <v>401.85175741805062</v>
      </c>
      <c r="S229" s="532">
        <f ca="1">SUM(S223:S227)</f>
        <v>427.82095585271372</v>
      </c>
      <c r="T229" s="532">
        <f ca="1">SUM(T223:T227)</f>
        <v>453.68841221206208</v>
      </c>
      <c r="U229" s="532">
        <f t="shared" ref="U229:Z229" ca="1" si="522">SUM(U223:U227)</f>
        <v>480.7980178310886</v>
      </c>
      <c r="V229" s="532">
        <f t="shared" ca="1" si="522"/>
        <v>508.53892955891524</v>
      </c>
      <c r="W229" s="532">
        <f t="shared" ca="1" si="522"/>
        <v>536.917586234694</v>
      </c>
      <c r="X229" s="532">
        <f t="shared" ca="1" si="522"/>
        <v>565.94060182881117</v>
      </c>
      <c r="Y229" s="532">
        <f t="shared" ca="1" si="522"/>
        <v>595.61478766548089</v>
      </c>
      <c r="Z229" s="532">
        <f t="shared" ca="1" si="522"/>
        <v>625.94717665059648</v>
      </c>
    </row>
    <row r="230" spans="2:26" hidden="1" outlineLevel="1">
      <c r="B230" s="536" t="s">
        <v>1182</v>
      </c>
      <c r="C230" s="748">
        <f t="shared" ref="C230:T230" si="523">C229/C216</f>
        <v>0.68574157946290915</v>
      </c>
      <c r="D230" s="748">
        <f t="shared" si="523"/>
        <v>0.74507413878236328</v>
      </c>
      <c r="E230" s="748">
        <f t="shared" si="523"/>
        <v>0.79582035404040496</v>
      </c>
      <c r="F230" s="748">
        <f t="shared" si="523"/>
        <v>0.77896277708071948</v>
      </c>
      <c r="G230" s="748">
        <f t="shared" si="523"/>
        <v>0.7619239283558058</v>
      </c>
      <c r="H230" s="748">
        <f t="shared" si="523"/>
        <v>0.7373843583551507</v>
      </c>
      <c r="I230" s="748">
        <f t="shared" si="523"/>
        <v>0.72859155073695658</v>
      </c>
      <c r="J230" s="748">
        <f t="shared" si="523"/>
        <v>0.75909349882126731</v>
      </c>
      <c r="K230" s="748">
        <f t="shared" si="523"/>
        <v>0.76509321655226437</v>
      </c>
      <c r="L230" s="748">
        <f t="shared" si="523"/>
        <v>0.76729968412487703</v>
      </c>
      <c r="M230" s="748">
        <f t="shared" si="523"/>
        <v>0.77530498663414371</v>
      </c>
      <c r="N230" s="748">
        <f t="shared" ca="1" si="523"/>
        <v>0.78304633866139706</v>
      </c>
      <c r="O230" s="748">
        <f t="shared" ca="1" si="523"/>
        <v>0.77504644972800785</v>
      </c>
      <c r="P230" s="748">
        <f t="shared" ca="1" si="523"/>
        <v>0.77505692751661603</v>
      </c>
      <c r="Q230" s="748">
        <f t="shared" ca="1" si="523"/>
        <v>0.77506568500591522</v>
      </c>
      <c r="R230" s="748">
        <f t="shared" ca="1" si="523"/>
        <v>0.77507395559351866</v>
      </c>
      <c r="S230" s="748">
        <f t="shared" ca="1" si="523"/>
        <v>0.77508255085691213</v>
      </c>
      <c r="T230" s="748">
        <f t="shared" ca="1" si="523"/>
        <v>0.77509013439059815</v>
      </c>
      <c r="U230" s="748">
        <f t="shared" ref="U230:Z230" ca="1" si="524">U229/U216</f>
        <v>0.77509720649546321</v>
      </c>
      <c r="V230" s="748">
        <f t="shared" ca="1" si="524"/>
        <v>0.77510366284872645</v>
      </c>
      <c r="W230" s="748">
        <f t="shared" ca="1" si="524"/>
        <v>0.77510957738036812</v>
      </c>
      <c r="X230" s="748">
        <f t="shared" ca="1" si="524"/>
        <v>0.77511501277113537</v>
      </c>
      <c r="Y230" s="748">
        <f t="shared" ca="1" si="524"/>
        <v>0.77512002250965983</v>
      </c>
      <c r="Z230" s="748">
        <f t="shared" ca="1" si="524"/>
        <v>0.77512465251436369</v>
      </c>
    </row>
    <row r="231" spans="2:26" hidden="1" outlineLevel="1"/>
    <row r="232" spans="2:26" hidden="1" outlineLevel="1">
      <c r="B232" s="489" t="s">
        <v>83</v>
      </c>
      <c r="C232" s="739">
        <v>-28.524999999999999</v>
      </c>
      <c r="D232" s="739">
        <v>-30.586063799999998</v>
      </c>
      <c r="E232" s="739">
        <v>-44.5</v>
      </c>
      <c r="F232" s="739">
        <v>-73.099999999999994</v>
      </c>
      <c r="G232" s="739">
        <v>-69</v>
      </c>
      <c r="H232" s="739">
        <v>-73.928944340000001</v>
      </c>
      <c r="I232" s="739">
        <f>Interims!AN83</f>
        <v>-74.803869060000011</v>
      </c>
      <c r="J232" s="739">
        <f>Interims!AS83</f>
        <v>-77.052954760000006</v>
      </c>
      <c r="K232" s="725">
        <f t="shared" ref="K232:Z232" si="525">K$216*K233</f>
        <v>-74.29889964571737</v>
      </c>
      <c r="L232" s="725">
        <f t="shared" si="525"/>
        <v>-71.681111909792975</v>
      </c>
      <c r="M232" s="725">
        <f t="shared" si="525"/>
        <v>-72.568025173090561</v>
      </c>
      <c r="N232" s="725">
        <f t="shared" ca="1" si="525"/>
        <v>-69.646981205978207</v>
      </c>
      <c r="O232" s="725">
        <f t="shared" ca="1" si="525"/>
        <v>-69.692717945300771</v>
      </c>
      <c r="P232" s="725">
        <f t="shared" ca="1" si="525"/>
        <v>-74.295399600649134</v>
      </c>
      <c r="Q232" s="725">
        <f t="shared" ca="1" si="525"/>
        <v>-78.636054237957538</v>
      </c>
      <c r="R232" s="725">
        <f t="shared" ca="1" si="525"/>
        <v>-83.228254814430201</v>
      </c>
      <c r="S232" s="725">
        <f t="shared" ca="1" si="525"/>
        <v>-88.605800548422138</v>
      </c>
      <c r="T232" s="725">
        <f t="shared" ca="1" si="525"/>
        <v>-93.96227814415586</v>
      </c>
      <c r="U232" s="725">
        <f t="shared" ca="1" si="525"/>
        <v>-99.5759725526907</v>
      </c>
      <c r="V232" s="725">
        <f t="shared" ca="1" si="525"/>
        <v>-105.32039404087581</v>
      </c>
      <c r="W232" s="725">
        <f t="shared" ca="1" si="525"/>
        <v>-111.19687592487413</v>
      </c>
      <c r="X232" s="725">
        <f t="shared" ca="1" si="525"/>
        <v>-117.20678778597359</v>
      </c>
      <c r="Y232" s="725">
        <f t="shared" ca="1" si="525"/>
        <v>-123.35154007230797</v>
      </c>
      <c r="Z232" s="725">
        <f t="shared" ca="1" si="525"/>
        <v>-129.63258911581531</v>
      </c>
    </row>
    <row r="233" spans="2:26" hidden="1" outlineLevel="1">
      <c r="B233" s="536" t="s">
        <v>1379</v>
      </c>
      <c r="C233" s="537">
        <f t="shared" ref="C233:I233" si="526">C232/C$216</f>
        <v>-0.13832180853643161</v>
      </c>
      <c r="D233" s="537">
        <f t="shared" si="526"/>
        <v>-0.14360022831573629</v>
      </c>
      <c r="E233" s="537">
        <f t="shared" si="526"/>
        <v>-0.15940340781056106</v>
      </c>
      <c r="F233" s="537">
        <f t="shared" si="526"/>
        <v>-0.15286491007946462</v>
      </c>
      <c r="G233" s="537">
        <f t="shared" si="526"/>
        <v>-0.13886093781444958</v>
      </c>
      <c r="H233" s="537">
        <f t="shared" si="526"/>
        <v>-0.14955151727752616</v>
      </c>
      <c r="I233" s="537">
        <f t="shared" si="526"/>
        <v>-0.14978605732481126</v>
      </c>
      <c r="J233" s="537">
        <f>J232/J$216</f>
        <v>-0.16052698908333335</v>
      </c>
      <c r="K233" s="538">
        <f t="shared" ref="K233:T233" si="527">J233</f>
        <v>-0.16052698908333335</v>
      </c>
      <c r="L233" s="538">
        <f t="shared" si="527"/>
        <v>-0.16052698908333335</v>
      </c>
      <c r="M233" s="538">
        <f t="shared" si="527"/>
        <v>-0.16052698908333335</v>
      </c>
      <c r="N233" s="538">
        <f t="shared" si="527"/>
        <v>-0.16052698908333335</v>
      </c>
      <c r="O233" s="538">
        <f t="shared" si="527"/>
        <v>-0.16052698908333335</v>
      </c>
      <c r="P233" s="538">
        <f t="shared" si="527"/>
        <v>-0.16052698908333335</v>
      </c>
      <c r="Q233" s="538">
        <f t="shared" si="527"/>
        <v>-0.16052698908333335</v>
      </c>
      <c r="R233" s="538">
        <f t="shared" si="527"/>
        <v>-0.16052698908333335</v>
      </c>
      <c r="S233" s="538">
        <f t="shared" si="527"/>
        <v>-0.16052698908333335</v>
      </c>
      <c r="T233" s="538">
        <f t="shared" si="527"/>
        <v>-0.16052698908333335</v>
      </c>
      <c r="U233" s="538">
        <f t="shared" ref="U233" si="528">T233</f>
        <v>-0.16052698908333335</v>
      </c>
      <c r="V233" s="538">
        <f t="shared" ref="V233" si="529">U233</f>
        <v>-0.16052698908333335</v>
      </c>
      <c r="W233" s="538">
        <f t="shared" ref="W233" si="530">V233</f>
        <v>-0.16052698908333335</v>
      </c>
      <c r="X233" s="538">
        <f t="shared" ref="X233" si="531">W233</f>
        <v>-0.16052698908333335</v>
      </c>
      <c r="Y233" s="538">
        <f t="shared" ref="Y233" si="532">X233</f>
        <v>-0.16052698908333335</v>
      </c>
      <c r="Z233" s="538">
        <f t="shared" ref="Z233" si="533">Y233</f>
        <v>-0.16052698908333335</v>
      </c>
    </row>
    <row r="234" spans="2:26" hidden="1" outlineLevel="1">
      <c r="B234" s="489" t="s">
        <v>84</v>
      </c>
      <c r="C234" s="739">
        <v>-6.8360000000000003</v>
      </c>
      <c r="D234" s="739">
        <v>-8.7443164499999995</v>
      </c>
      <c r="E234" s="739">
        <v>-9.5</v>
      </c>
      <c r="F234" s="739">
        <v>-8.6999999999999993</v>
      </c>
      <c r="G234" s="739">
        <v>-6.3</v>
      </c>
      <c r="H234" s="739">
        <v>-9.3744906599999975</v>
      </c>
      <c r="I234" s="739">
        <f>Interims!AN84</f>
        <v>-9.91227254</v>
      </c>
      <c r="J234" s="739">
        <f>Interims!AS84</f>
        <v>-10.55880855</v>
      </c>
      <c r="K234" s="725">
        <f t="shared" ref="K234:Z234" si="534">K$216*K235</f>
        <v>-10.181411722345121</v>
      </c>
      <c r="L234" s="725">
        <f t="shared" si="534"/>
        <v>-9.822688041802861</v>
      </c>
      <c r="M234" s="725">
        <f t="shared" si="534"/>
        <v>-9.9442245536314289</v>
      </c>
      <c r="N234" s="725">
        <f t="shared" ca="1" si="534"/>
        <v>-9.5439447186667756</v>
      </c>
      <c r="O234" s="725">
        <f t="shared" ca="1" si="534"/>
        <v>-9.5502121677959142</v>
      </c>
      <c r="P234" s="725">
        <f t="shared" ca="1" si="534"/>
        <v>-10.180932100169608</v>
      </c>
      <c r="Q234" s="725">
        <f t="shared" ca="1" si="534"/>
        <v>-10.775745646772256</v>
      </c>
      <c r="R234" s="725">
        <f t="shared" ca="1" si="534"/>
        <v>-11.405029323968058</v>
      </c>
      <c r="S234" s="725">
        <f t="shared" ca="1" si="534"/>
        <v>-12.141931316253059</v>
      </c>
      <c r="T234" s="725">
        <f t="shared" ca="1" si="534"/>
        <v>-12.875946275340356</v>
      </c>
      <c r="U234" s="725">
        <f t="shared" ca="1" si="534"/>
        <v>-13.645208462657477</v>
      </c>
      <c r="V234" s="725">
        <f t="shared" ca="1" si="534"/>
        <v>-14.432384592543409</v>
      </c>
      <c r="W234" s="725">
        <f t="shared" ca="1" si="534"/>
        <v>-15.237657373502259</v>
      </c>
      <c r="X234" s="725">
        <f t="shared" ca="1" si="534"/>
        <v>-16.061214483562178</v>
      </c>
      <c r="Y234" s="725">
        <f t="shared" ca="1" si="534"/>
        <v>-16.903249200863648</v>
      </c>
      <c r="Z234" s="725">
        <f t="shared" ca="1" si="534"/>
        <v>-17.763961091149046</v>
      </c>
    </row>
    <row r="235" spans="2:26" hidden="1" outlineLevel="1">
      <c r="B235" s="536" t="s">
        <v>1379</v>
      </c>
      <c r="C235" s="537">
        <f t="shared" ref="C235:I235" si="535">C234/C$216</f>
        <v>-3.3148742617179545E-2</v>
      </c>
      <c r="D235" s="537">
        <f t="shared" si="535"/>
        <v>-4.105418228693581E-2</v>
      </c>
      <c r="E235" s="537">
        <f t="shared" si="535"/>
        <v>-3.4029940993265846E-2</v>
      </c>
      <c r="F235" s="537">
        <f t="shared" si="535"/>
        <v>-1.8193224592220825E-2</v>
      </c>
      <c r="G235" s="537">
        <f t="shared" si="535"/>
        <v>-1.2678607365667137E-2</v>
      </c>
      <c r="H235" s="537">
        <f t="shared" si="535"/>
        <v>-1.8963740310687049E-2</v>
      </c>
      <c r="I235" s="537">
        <f t="shared" si="535"/>
        <v>-1.9848174186079894E-2</v>
      </c>
      <c r="J235" s="537">
        <f>J234/J$216</f>
        <v>-2.1997517812499999E-2</v>
      </c>
      <c r="K235" s="538">
        <f t="shared" ref="K235:T235" si="536">J235</f>
        <v>-2.1997517812499999E-2</v>
      </c>
      <c r="L235" s="538">
        <f t="shared" si="536"/>
        <v>-2.1997517812499999E-2</v>
      </c>
      <c r="M235" s="538">
        <f t="shared" si="536"/>
        <v>-2.1997517812499999E-2</v>
      </c>
      <c r="N235" s="538">
        <f t="shared" si="536"/>
        <v>-2.1997517812499999E-2</v>
      </c>
      <c r="O235" s="538">
        <f t="shared" si="536"/>
        <v>-2.1997517812499999E-2</v>
      </c>
      <c r="P235" s="538">
        <f t="shared" si="536"/>
        <v>-2.1997517812499999E-2</v>
      </c>
      <c r="Q235" s="538">
        <f t="shared" si="536"/>
        <v>-2.1997517812499999E-2</v>
      </c>
      <c r="R235" s="538">
        <f t="shared" si="536"/>
        <v>-2.1997517812499999E-2</v>
      </c>
      <c r="S235" s="538">
        <f t="shared" si="536"/>
        <v>-2.1997517812499999E-2</v>
      </c>
      <c r="T235" s="538">
        <f t="shared" si="536"/>
        <v>-2.1997517812499999E-2</v>
      </c>
      <c r="U235" s="538">
        <f t="shared" ref="U235" si="537">T235</f>
        <v>-2.1997517812499999E-2</v>
      </c>
      <c r="V235" s="538">
        <f t="shared" ref="V235" si="538">U235</f>
        <v>-2.1997517812499999E-2</v>
      </c>
      <c r="W235" s="538">
        <f t="shared" ref="W235" si="539">V235</f>
        <v>-2.1997517812499999E-2</v>
      </c>
      <c r="X235" s="538">
        <f t="shared" ref="X235" si="540">W235</f>
        <v>-2.1997517812499999E-2</v>
      </c>
      <c r="Y235" s="538">
        <f t="shared" ref="Y235" si="541">X235</f>
        <v>-2.1997517812499999E-2</v>
      </c>
      <c r="Z235" s="538">
        <f t="shared" ref="Z235" si="542">Y235</f>
        <v>-2.1997517812499999E-2</v>
      </c>
    </row>
    <row r="236" spans="2:26" hidden="1" outlineLevel="1">
      <c r="B236" s="489" t="s">
        <v>75</v>
      </c>
      <c r="C236" s="529">
        <f t="shared" ref="C236:T236" si="543">(C262-C216) - SUM(C219,C221,C225,C227,C232,C234)</f>
        <v>-17.976999999999961</v>
      </c>
      <c r="D236" s="529">
        <f t="shared" si="543"/>
        <v>-20.429670589999958</v>
      </c>
      <c r="E236" s="529">
        <f t="shared" si="543"/>
        <v>-27.284985369999987</v>
      </c>
      <c r="F236" s="529">
        <f t="shared" si="543"/>
        <v>-40.600000000000051</v>
      </c>
      <c r="G236" s="529">
        <f t="shared" si="543"/>
        <v>-38.599999999999966</v>
      </c>
      <c r="H236" s="529">
        <f t="shared" si="543"/>
        <v>-45.321211982000364</v>
      </c>
      <c r="I236" s="529">
        <f t="shared" si="543"/>
        <v>-39.794739109999995</v>
      </c>
      <c r="J236" s="529">
        <f t="shared" si="543"/>
        <v>-34.642583169999966</v>
      </c>
      <c r="K236" s="529">
        <f t="shared" si="543"/>
        <v>-43.258663261486134</v>
      </c>
      <c r="L236" s="529">
        <f t="shared" si="543"/>
        <v>-79.613713954335338</v>
      </c>
      <c r="M236" s="529">
        <f t="shared" ca="1" si="543"/>
        <v>-77.191943033896223</v>
      </c>
      <c r="N236" s="529">
        <f t="shared" ca="1" si="543"/>
        <v>-75.638854830124586</v>
      </c>
      <c r="O236" s="529">
        <f t="shared" ca="1" si="543"/>
        <v>-65.050792467597006</v>
      </c>
      <c r="P236" s="529">
        <f t="shared" ca="1" si="543"/>
        <v>-64.626402797068323</v>
      </c>
      <c r="Q236" s="529">
        <f t="shared" ca="1" si="543"/>
        <v>-61.709658082917429</v>
      </c>
      <c r="R236" s="529">
        <f t="shared" ca="1" si="543"/>
        <v>-58.186866647747053</v>
      </c>
      <c r="S236" s="529">
        <f t="shared" ca="1" si="543"/>
        <v>-53.670037693289771</v>
      </c>
      <c r="T236" s="529">
        <f t="shared" ca="1" si="543"/>
        <v>-48.128658876625821</v>
      </c>
      <c r="U236" s="529">
        <f t="shared" ref="U236:Z236" ca="1" si="544">(U262-U216) - SUM(U219,U221,U225,U227,U232,U234)</f>
        <v>-41.792821619485778</v>
      </c>
      <c r="V236" s="529">
        <f t="shared" ca="1" si="544"/>
        <v>-36.046881006784133</v>
      </c>
      <c r="W236" s="529">
        <f t="shared" ca="1" si="544"/>
        <v>-29.774765714531725</v>
      </c>
      <c r="X236" s="529">
        <f t="shared" ca="1" si="544"/>
        <v>-22.961622356686348</v>
      </c>
      <c r="Y236" s="529">
        <f t="shared" ca="1" si="544"/>
        <v>-15.592140323463752</v>
      </c>
      <c r="Z236" s="529">
        <f t="shared" ca="1" si="544"/>
        <v>-7.6505344498209524</v>
      </c>
    </row>
    <row r="237" spans="2:26" hidden="1" outlineLevel="1">
      <c r="B237" s="536" t="s">
        <v>1379</v>
      </c>
      <c r="C237" s="537">
        <f t="shared" ref="C237:O237" si="545">C236/C$216</f>
        <v>-8.7173046522679251E-2</v>
      </c>
      <c r="D237" s="537">
        <f t="shared" si="545"/>
        <v>-9.5916407561383463E-2</v>
      </c>
      <c r="E237" s="537">
        <f t="shared" si="545"/>
        <v>-9.7737520225602253E-2</v>
      </c>
      <c r="F237" s="537">
        <f t="shared" si="545"/>
        <v>-8.4901714763697303E-2</v>
      </c>
      <c r="G237" s="537">
        <f t="shared" si="545"/>
        <v>-7.768162608170652E-2</v>
      </c>
      <c r="H237" s="537">
        <f t="shared" si="545"/>
        <v>-9.1680681731273223E-2</v>
      </c>
      <c r="I237" s="537">
        <f t="shared" si="545"/>
        <v>-7.9684341845677895E-2</v>
      </c>
      <c r="J237" s="537">
        <f>J236/J$216</f>
        <v>-7.2172048270833261E-2</v>
      </c>
      <c r="K237" s="537">
        <f t="shared" si="545"/>
        <v>-9.3462796868438489E-2</v>
      </c>
      <c r="L237" s="537">
        <f t="shared" si="545"/>
        <v>-0.17829173474477322</v>
      </c>
      <c r="M237" s="537">
        <f t="shared" ca="1" si="545"/>
        <v>-0.17075551066971137</v>
      </c>
      <c r="N237" s="537">
        <f t="shared" ca="1" si="545"/>
        <v>-0.17433745746540727</v>
      </c>
      <c r="O237" s="537">
        <f t="shared" ca="1" si="545"/>
        <v>-0.14983499223697927</v>
      </c>
      <c r="P237" s="537">
        <f ca="1">P236/P$216</f>
        <v>-0.13963558863756953</v>
      </c>
      <c r="Q237" s="537">
        <f ca="1">Q236/Q$216</f>
        <v>-0.12597358432350073</v>
      </c>
      <c r="R237" s="537">
        <f ca="1">R236/R$216</f>
        <v>-0.11222826344229421</v>
      </c>
      <c r="S237" s="537">
        <f ca="1">S236/S$216</f>
        <v>-9.7233922627723929E-2</v>
      </c>
      <c r="T237" s="537">
        <f ca="1">T236/T$216</f>
        <v>-8.2223939762619686E-2</v>
      </c>
      <c r="U237" s="537">
        <f t="shared" ref="U237:Z237" ca="1" si="546">U236/U$216</f>
        <v>-6.7374444335182221E-2</v>
      </c>
      <c r="V237" s="537">
        <f t="shared" ca="1" si="546"/>
        <v>-5.4941849834121023E-2</v>
      </c>
      <c r="W237" s="537">
        <f t="shared" ca="1" si="546"/>
        <v>-4.2983703013784576E-2</v>
      </c>
      <c r="X237" s="537">
        <f t="shared" ca="1" si="546"/>
        <v>-3.1448350142640115E-2</v>
      </c>
      <c r="Y237" s="537">
        <f t="shared" ca="1" si="546"/>
        <v>-2.0291269472786859E-2</v>
      </c>
      <c r="Z237" s="537">
        <f t="shared" ca="1" si="546"/>
        <v>-9.4738311445037859E-3</v>
      </c>
    </row>
    <row r="238" spans="2:26" hidden="1" outlineLevel="1"/>
    <row r="239" spans="2:26" collapsed="1"/>
    <row r="240" spans="2:26">
      <c r="B240" s="618" t="s">
        <v>263</v>
      </c>
      <c r="J240" s="739">
        <f>Interims!AS76</f>
        <v>-147.29096361000006</v>
      </c>
      <c r="K240" s="739">
        <f>Interims!AX76</f>
        <v>-137.75172671000001</v>
      </c>
      <c r="L240" s="739">
        <f>Interims!BC76</f>
        <v>-135.30709282999999</v>
      </c>
      <c r="M240" s="739">
        <f>Interims!BH76</f>
        <v>-135.69999999999999</v>
      </c>
      <c r="N240" s="725">
        <f t="shared" ref="N240:T240" ca="1" si="547">N242-N223</f>
        <v>-118.23589196868579</v>
      </c>
      <c r="O240" s="725">
        <f t="shared" ca="1" si="547"/>
        <v>-122.14304717677413</v>
      </c>
      <c r="P240" s="725">
        <f t="shared" ca="1" si="547"/>
        <v>-130.20967994908364</v>
      </c>
      <c r="Q240" s="725">
        <f t="shared" ca="1" si="547"/>
        <v>-137.81708571217877</v>
      </c>
      <c r="R240" s="725">
        <f t="shared" ca="1" si="547"/>
        <v>-145.86534940735487</v>
      </c>
      <c r="S240" s="725">
        <f t="shared" ca="1" si="547"/>
        <v>-155.29000440212434</v>
      </c>
      <c r="T240" s="725">
        <f t="shared" ca="1" si="547"/>
        <v>-164.67773550181454</v>
      </c>
      <c r="U240" s="725">
        <f t="shared" ref="U240:Z240" ca="1" si="548">U242-U223</f>
        <v>-174.51626327333611</v>
      </c>
      <c r="V240" s="725">
        <f t="shared" ca="1" si="548"/>
        <v>-184.58390255503787</v>
      </c>
      <c r="W240" s="725">
        <f t="shared" ca="1" si="548"/>
        <v>-194.88299010897742</v>
      </c>
      <c r="X240" s="725">
        <f t="shared" ca="1" si="548"/>
        <v>-205.41592625525698</v>
      </c>
      <c r="Y240" s="725">
        <f t="shared" ca="1" si="548"/>
        <v>-216.1851829369723</v>
      </c>
      <c r="Z240" s="725">
        <f t="shared" ca="1" si="548"/>
        <v>-227.1933125129043</v>
      </c>
    </row>
    <row r="241" spans="2:26">
      <c r="B241" s="618" t="s">
        <v>1185</v>
      </c>
      <c r="J241" s="537"/>
      <c r="K241" s="537">
        <f>K240/J240-1</f>
        <v>-6.4764576632536874E-2</v>
      </c>
      <c r="L241" s="537">
        <f>L240/K240-1</f>
        <v>-1.7746665964823549E-2</v>
      </c>
      <c r="M241" s="537">
        <f t="shared" ref="M241:T241" si="549">M240/L240-1</f>
        <v>2.9038179875289227E-3</v>
      </c>
      <c r="N241" s="537">
        <f t="shared" ca="1" si="549"/>
        <v>-0.12869644827792337</v>
      </c>
      <c r="O241" s="537">
        <f t="shared" ca="1" si="549"/>
        <v>3.304542421960277E-2</v>
      </c>
      <c r="P241" s="537">
        <f t="shared" ca="1" si="549"/>
        <v>6.6042504741468333E-2</v>
      </c>
      <c r="Q241" s="537">
        <f t="shared" ca="1" si="549"/>
        <v>5.8424272036225577E-2</v>
      </c>
      <c r="R241" s="537">
        <f t="shared" ca="1" si="549"/>
        <v>5.8398156176254767E-2</v>
      </c>
      <c r="S241" s="537">
        <f t="shared" ca="1" si="549"/>
        <v>6.4612020833333395E-2</v>
      </c>
      <c r="T241" s="537">
        <f t="shared" ca="1" si="549"/>
        <v>6.0452899952147643E-2</v>
      </c>
      <c r="U241" s="537">
        <f t="shared" ref="U241" ca="1" si="550">U240/T240-1</f>
        <v>5.9744128382267947E-2</v>
      </c>
      <c r="V241" s="537">
        <f t="shared" ref="V241" ca="1" si="551">V240/U240-1</f>
        <v>5.7688831360853232E-2</v>
      </c>
      <c r="W241" s="537">
        <f t="shared" ref="W241" ca="1" si="552">W240/V240-1</f>
        <v>5.5796239061901121E-2</v>
      </c>
      <c r="X241" s="537">
        <f t="shared" ref="X241" ca="1" si="553">X240/W240-1</f>
        <v>5.4047488394906029E-2</v>
      </c>
      <c r="Y241" s="537">
        <f t="shared" ref="Y241" ca="1" si="554">Y240/X240-1</f>
        <v>5.242659066431421E-2</v>
      </c>
      <c r="Z241" s="537">
        <f t="shared" ref="Z241" ca="1" si="555">Z240/Y240-1</f>
        <v>5.0919907767875916E-2</v>
      </c>
    </row>
    <row r="242" spans="2:26">
      <c r="B242" s="618" t="s">
        <v>1546</v>
      </c>
      <c r="J242" s="746">
        <f>J223+J240</f>
        <v>364.43830713999995</v>
      </c>
      <c r="K242" s="746">
        <f>K223+K240</f>
        <v>358.46668360999996</v>
      </c>
      <c r="L242" s="746">
        <f>L223+L240</f>
        <v>344.41581144000003</v>
      </c>
      <c r="M242" s="746">
        <f>M223+M240</f>
        <v>353.57651316999994</v>
      </c>
      <c r="N242" s="531">
        <f t="shared" ref="N242:T242" ca="1" si="556">N244*N223</f>
        <v>354.70767590605726</v>
      </c>
      <c r="O242" s="531">
        <f t="shared" ca="1" si="556"/>
        <v>347.63790350312644</v>
      </c>
      <c r="P242" s="531">
        <f t="shared" ca="1" si="556"/>
        <v>370.59678139354583</v>
      </c>
      <c r="Q242" s="531">
        <f t="shared" ca="1" si="556"/>
        <v>392.24862856543183</v>
      </c>
      <c r="R242" s="531">
        <f t="shared" ca="1" si="556"/>
        <v>415.15522523631762</v>
      </c>
      <c r="S242" s="531">
        <f t="shared" ca="1" si="556"/>
        <v>441.97924329835377</v>
      </c>
      <c r="T242" s="531">
        <f t="shared" ca="1" si="556"/>
        <v>468.69817027439518</v>
      </c>
      <c r="U242" s="531">
        <f t="shared" ref="U242:Z242" ca="1" si="557">U244*U223</f>
        <v>496.70013393180284</v>
      </c>
      <c r="V242" s="531">
        <f t="shared" ca="1" si="557"/>
        <v>525.35418419510768</v>
      </c>
      <c r="W242" s="531">
        <f t="shared" ca="1" si="557"/>
        <v>554.66697184862801</v>
      </c>
      <c r="X242" s="531">
        <f t="shared" ca="1" si="557"/>
        <v>584.64532857265442</v>
      </c>
      <c r="Y242" s="531">
        <f t="shared" ca="1" si="557"/>
        <v>615.29628989753644</v>
      </c>
      <c r="Z242" s="531">
        <f t="shared" ca="1" si="557"/>
        <v>646.62712022903509</v>
      </c>
    </row>
    <row r="243" spans="2:26">
      <c r="B243" s="618" t="s">
        <v>1185</v>
      </c>
      <c r="J243" s="537"/>
      <c r="K243" s="537">
        <f>K242/J242-1</f>
        <v>-1.6385828308948747E-2</v>
      </c>
      <c r="L243" s="537">
        <f>L242/K242-1</f>
        <v>-3.919714944914332E-2</v>
      </c>
      <c r="M243" s="537">
        <f>M242/L242-1</f>
        <v>2.6597796691444131E-2</v>
      </c>
      <c r="N243" s="537">
        <f t="shared" ref="N243:T243" ca="1" si="558">N242/M242-1</f>
        <v>3.1992021356730405E-3</v>
      </c>
      <c r="O243" s="537">
        <f t="shared" ca="1" si="558"/>
        <v>-1.9931264201914822E-2</v>
      </c>
      <c r="P243" s="537">
        <f t="shared" ca="1" si="558"/>
        <v>6.6042504741468555E-2</v>
      </c>
      <c r="Q243" s="537">
        <f t="shared" ca="1" si="558"/>
        <v>5.8424272036225133E-2</v>
      </c>
      <c r="R243" s="537">
        <f t="shared" ca="1" si="558"/>
        <v>5.8398156176254545E-2</v>
      </c>
      <c r="S243" s="537">
        <f t="shared" ca="1" si="558"/>
        <v>6.4612020833333395E-2</v>
      </c>
      <c r="T243" s="537">
        <f t="shared" ca="1" si="558"/>
        <v>6.0452899952147865E-2</v>
      </c>
      <c r="U243" s="537">
        <f t="shared" ref="U243" ca="1" si="559">U242/T242-1</f>
        <v>5.9744128382268169E-2</v>
      </c>
      <c r="V243" s="537">
        <f t="shared" ref="V243" ca="1" si="560">V242/U242-1</f>
        <v>5.768883136085301E-2</v>
      </c>
      <c r="W243" s="537">
        <f t="shared" ref="W243" ca="1" si="561">W242/V242-1</f>
        <v>5.5796239061901343E-2</v>
      </c>
      <c r="X243" s="537">
        <f t="shared" ref="X243" ca="1" si="562">X242/W242-1</f>
        <v>5.4047488394906029E-2</v>
      </c>
      <c r="Y243" s="537">
        <f t="shared" ref="Y243" ca="1" si="563">Y242/X242-1</f>
        <v>5.242659066431421E-2</v>
      </c>
      <c r="Z243" s="537">
        <f t="shared" ref="Z243" ca="1" si="564">Z242/Y242-1</f>
        <v>5.0919907767875694E-2</v>
      </c>
    </row>
    <row r="244" spans="2:26">
      <c r="B244" s="618" t="s">
        <v>1545</v>
      </c>
      <c r="J244" s="528">
        <f>J242/J223</f>
        <v>0.71217014146146518</v>
      </c>
      <c r="K244" s="528">
        <f>K242/K223</f>
        <v>0.7223969851881008</v>
      </c>
      <c r="L244" s="528">
        <f>L242/L223</f>
        <v>0.71794739916390193</v>
      </c>
      <c r="M244" s="528">
        <f>M242/M223</f>
        <v>0.72265171871667011</v>
      </c>
      <c r="N244" s="530">
        <v>0.75</v>
      </c>
      <c r="O244" s="530">
        <v>0.74</v>
      </c>
      <c r="P244" s="530">
        <v>0.74</v>
      </c>
      <c r="Q244" s="530">
        <v>0.74</v>
      </c>
      <c r="R244" s="530">
        <v>0.74</v>
      </c>
      <c r="S244" s="530">
        <v>0.74</v>
      </c>
      <c r="T244" s="530">
        <v>0.74</v>
      </c>
      <c r="U244" s="530">
        <v>0.74</v>
      </c>
      <c r="V244" s="530">
        <v>0.74</v>
      </c>
      <c r="W244" s="530">
        <v>0.74</v>
      </c>
      <c r="X244" s="530">
        <v>0.74</v>
      </c>
      <c r="Y244" s="530">
        <v>0.74</v>
      </c>
      <c r="Z244" s="530">
        <v>0.74</v>
      </c>
    </row>
    <row r="246" spans="2:26">
      <c r="B246" s="618" t="s">
        <v>1544</v>
      </c>
      <c r="J246" s="531">
        <f>J223-J262+J240</f>
        <v>122.25434647999998</v>
      </c>
      <c r="K246" s="531">
        <f>K223-K262+K240</f>
        <v>132.01368360999999</v>
      </c>
      <c r="L246" s="531">
        <f t="shared" ref="L246:T246" si="565">L223-L262+L240</f>
        <v>162.83281144</v>
      </c>
      <c r="M246" s="531">
        <f ca="1">M223-M262+M240</f>
        <v>162.72196663848587</v>
      </c>
      <c r="N246" s="531">
        <f t="shared" ca="1" si="565"/>
        <v>169.72792636203735</v>
      </c>
      <c r="O246" s="531">
        <f t="shared" ca="1" si="565"/>
        <v>155.37214127419594</v>
      </c>
      <c r="P246" s="531">
        <f t="shared" ca="1" si="565"/>
        <v>160.91279971048294</v>
      </c>
      <c r="Q246" s="531">
        <f t="shared" ca="1" si="565"/>
        <v>163.62151764298926</v>
      </c>
      <c r="R246" s="531">
        <f t="shared" ca="1" si="565"/>
        <v>166.05019089862049</v>
      </c>
      <c r="S246" s="531">
        <f t="shared" ca="1" si="565"/>
        <v>168.50262929781326</v>
      </c>
      <c r="T246" s="531">
        <f t="shared" ca="1" si="565"/>
        <v>169.90321365266345</v>
      </c>
      <c r="U246" s="531">
        <f t="shared" ref="U246:Z246" ca="1" si="566">U223-U262+U240</f>
        <v>170.84269102975662</v>
      </c>
      <c r="V246" s="531">
        <f t="shared" ca="1" si="566"/>
        <v>172.54148657060409</v>
      </c>
      <c r="W246" s="531">
        <f t="shared" ca="1" si="566"/>
        <v>173.88525692105054</v>
      </c>
      <c r="X246" s="531">
        <f t="shared" ca="1" si="566"/>
        <v>174.86092366427368</v>
      </c>
      <c r="Y246" s="531">
        <f t="shared" ca="1" si="566"/>
        <v>175.45500412289925</v>
      </c>
      <c r="Z246" s="531">
        <f t="shared" ca="1" si="566"/>
        <v>175.65360052943214</v>
      </c>
    </row>
    <row r="247" spans="2:26">
      <c r="B247" s="618" t="s">
        <v>1185</v>
      </c>
      <c r="K247" s="537">
        <f>K246/J246-1</f>
        <v>7.9828140356519528E-2</v>
      </c>
      <c r="L247" s="537">
        <f t="shared" ref="L247:T247" si="567">L246/K246-1</f>
        <v>0.23345404042392381</v>
      </c>
      <c r="M247" s="537">
        <f t="shared" ca="1" si="567"/>
        <v>-6.80727677265347E-4</v>
      </c>
      <c r="N247" s="537">
        <f t="shared" ca="1" si="567"/>
        <v>4.3054787674219774E-2</v>
      </c>
      <c r="O247" s="537">
        <f t="shared" ca="1" si="567"/>
        <v>-8.4581161129724025E-2</v>
      </c>
      <c r="P247" s="537">
        <f t="shared" ca="1" si="567"/>
        <v>3.5660565599781702E-2</v>
      </c>
      <c r="Q247" s="537">
        <f t="shared" ca="1" si="567"/>
        <v>1.6833452263461224E-2</v>
      </c>
      <c r="R247" s="537">
        <f t="shared" ca="1" si="567"/>
        <v>1.4843238778229795E-2</v>
      </c>
      <c r="S247" s="537">
        <f t="shared" ca="1" si="567"/>
        <v>1.4769259739605411E-2</v>
      </c>
      <c r="T247" s="537">
        <f t="shared" ca="1" si="567"/>
        <v>8.3119436218102027E-3</v>
      </c>
      <c r="U247" s="537">
        <f t="shared" ref="U247" ca="1" si="568">U246/T246-1</f>
        <v>5.529485622407071E-3</v>
      </c>
      <c r="V247" s="537">
        <f t="shared" ref="V247" ca="1" si="569">V246/U246-1</f>
        <v>9.943624340075452E-3</v>
      </c>
      <c r="W247" s="537">
        <f t="shared" ref="W247" ca="1" si="570">W246/V246-1</f>
        <v>7.7880999935431294E-3</v>
      </c>
      <c r="X247" s="537">
        <f t="shared" ref="X247" ca="1" si="571">X246/W246-1</f>
        <v>5.6109802550203813E-3</v>
      </c>
      <c r="Y247" s="537">
        <f t="shared" ref="Y247" ca="1" si="572">Y246/X246-1</f>
        <v>3.3974455022678374E-3</v>
      </c>
      <c r="Z247" s="537">
        <f t="shared" ref="Z247" ca="1" si="573">Z246/Y246-1</f>
        <v>1.1318936585802408E-3</v>
      </c>
    </row>
    <row r="248" spans="2:26">
      <c r="B248" s="618" t="s">
        <v>1547</v>
      </c>
      <c r="J248" s="909">
        <f>J246/J223</f>
        <v>0.2389043454575536</v>
      </c>
      <c r="K248" s="909">
        <f>K246/K223</f>
        <v>0.2660394714594877</v>
      </c>
      <c r="L248" s="909">
        <f t="shared" ref="L248:T248" si="574">L246/L223</f>
        <v>0.33943097148505885</v>
      </c>
      <c r="M248" s="909">
        <f t="shared" ca="1" si="574"/>
        <v>0.33257669693608988</v>
      </c>
      <c r="N248" s="909">
        <f t="shared" ca="1" si="574"/>
        <v>0.35887564160083685</v>
      </c>
      <c r="O248" s="909">
        <f t="shared" ca="1" si="574"/>
        <v>0.33073316627532529</v>
      </c>
      <c r="P248" s="909">
        <f t="shared" ca="1" si="574"/>
        <v>0.32130735549834205</v>
      </c>
      <c r="Q248" s="909">
        <f t="shared" ca="1" si="574"/>
        <v>0.30868157142737962</v>
      </c>
      <c r="R248" s="909">
        <f t="shared" ca="1" si="574"/>
        <v>0.29597879008998174</v>
      </c>
      <c r="S248" s="909">
        <f t="shared" ca="1" si="574"/>
        <v>0.28212172306971828</v>
      </c>
      <c r="T248" s="909">
        <f t="shared" ca="1" si="574"/>
        <v>0.26825020039946901</v>
      </c>
      <c r="U248" s="909">
        <f t="shared" ref="U248:Z248" ca="1" si="575">U246/U223</f>
        <v>0.25452699269732415</v>
      </c>
      <c r="V248" s="909">
        <f t="shared" ca="1" si="575"/>
        <v>0.24303737155508895</v>
      </c>
      <c r="W248" s="909">
        <f t="shared" ca="1" si="575"/>
        <v>0.23198621272278244</v>
      </c>
      <c r="X248" s="909">
        <f t="shared" ca="1" si="575"/>
        <v>0.22132578024264882</v>
      </c>
      <c r="Y248" s="909">
        <f t="shared" ca="1" si="575"/>
        <v>0.2110149292019407</v>
      </c>
      <c r="Z248" s="909">
        <f t="shared" ca="1" si="575"/>
        <v>0.2010179596948232</v>
      </c>
    </row>
    <row r="249" spans="2:26">
      <c r="J249" s="909"/>
      <c r="K249" s="909"/>
      <c r="L249" s="909"/>
    </row>
    <row r="250" spans="2:26">
      <c r="B250" s="618" t="s">
        <v>1886</v>
      </c>
      <c r="J250" s="909"/>
      <c r="K250" s="909"/>
      <c r="L250" s="909"/>
      <c r="N250" s="898">
        <v>0</v>
      </c>
      <c r="O250" s="531">
        <f>N250+($Y$250-$N$250)/11</f>
        <v>45.25454545454545</v>
      </c>
      <c r="P250" s="531">
        <f t="shared" ref="P250:X250" si="576">O250+($Y$250-$N$250)/11</f>
        <v>90.509090909090901</v>
      </c>
      <c r="Q250" s="531">
        <f t="shared" si="576"/>
        <v>135.76363636363635</v>
      </c>
      <c r="R250" s="531">
        <f t="shared" si="576"/>
        <v>181.0181818181818</v>
      </c>
      <c r="S250" s="531">
        <f t="shared" si="576"/>
        <v>226.27272727272725</v>
      </c>
      <c r="T250" s="531">
        <f t="shared" si="576"/>
        <v>271.5272727272727</v>
      </c>
      <c r="U250" s="531">
        <f t="shared" si="576"/>
        <v>316.78181818181815</v>
      </c>
      <c r="V250" s="531">
        <f t="shared" si="576"/>
        <v>362.0363636363636</v>
      </c>
      <c r="W250" s="531">
        <f t="shared" si="576"/>
        <v>407.29090909090905</v>
      </c>
      <c r="X250" s="531">
        <f t="shared" si="576"/>
        <v>452.5454545454545</v>
      </c>
      <c r="Y250" s="726">
        <f>Y301+Y303</f>
        <v>497.79999999999995</v>
      </c>
      <c r="Z250" s="725">
        <f>Y250</f>
        <v>497.79999999999995</v>
      </c>
    </row>
    <row r="251" spans="2:26">
      <c r="B251" s="618" t="s">
        <v>1887</v>
      </c>
      <c r="J251" s="909"/>
      <c r="K251" s="909"/>
      <c r="L251" s="909"/>
      <c r="N251" s="531">
        <f t="shared" ref="N251:Z251" ca="1" si="577">N250*N105</f>
        <v>0</v>
      </c>
      <c r="O251" s="531">
        <f t="shared" ca="1" si="577"/>
        <v>14.714156335099057</v>
      </c>
      <c r="P251" s="531">
        <f t="shared" ca="1" si="577"/>
        <v>31.402326133469508</v>
      </c>
      <c r="Q251" s="531">
        <f t="shared" ca="1" si="577"/>
        <v>49.775161961514627</v>
      </c>
      <c r="R251" s="531">
        <f t="shared" ca="1" si="577"/>
        <v>68.992699168560094</v>
      </c>
      <c r="S251" s="531">
        <f t="shared" ca="1" si="577"/>
        <v>88.53903662563053</v>
      </c>
      <c r="T251" s="531">
        <f t="shared" ca="1" si="577"/>
        <v>107.62160545589509</v>
      </c>
      <c r="U251" s="531">
        <f t="shared" ca="1" si="577"/>
        <v>127.16226495802286</v>
      </c>
      <c r="V251" s="531">
        <f t="shared" ca="1" si="577"/>
        <v>147.16094747991153</v>
      </c>
      <c r="W251" s="531">
        <f t="shared" ca="1" si="577"/>
        <v>167.61758646548316</v>
      </c>
      <c r="X251" s="531">
        <f t="shared" ca="1" si="577"/>
        <v>188.53211643257794</v>
      </c>
      <c r="Y251" s="531">
        <f t="shared" ca="1" si="577"/>
        <v>209.904472951381</v>
      </c>
      <c r="Z251" s="531">
        <f t="shared" ca="1" si="577"/>
        <v>212.42337657141968</v>
      </c>
    </row>
    <row r="252" spans="2:26">
      <c r="B252" s="618" t="s">
        <v>1888</v>
      </c>
      <c r="J252" s="909"/>
      <c r="K252" s="909"/>
      <c r="L252" s="909"/>
      <c r="N252" s="1176">
        <v>0</v>
      </c>
      <c r="O252" s="909">
        <f>N252+($Y$252-$N$252)/11</f>
        <v>4.5454545454545456E-2</v>
      </c>
      <c r="P252" s="909">
        <f t="shared" ref="P252:X252" si="578">O252+($Y$252-$N$252)/11</f>
        <v>9.0909090909090912E-2</v>
      </c>
      <c r="Q252" s="909">
        <f t="shared" si="578"/>
        <v>0.13636363636363635</v>
      </c>
      <c r="R252" s="909">
        <f t="shared" si="578"/>
        <v>0.18181818181818182</v>
      </c>
      <c r="S252" s="909">
        <f t="shared" si="578"/>
        <v>0.22727272727272729</v>
      </c>
      <c r="T252" s="909">
        <f t="shared" si="578"/>
        <v>0.27272727272727276</v>
      </c>
      <c r="U252" s="909">
        <f t="shared" si="578"/>
        <v>0.31818181818181823</v>
      </c>
      <c r="V252" s="909">
        <f t="shared" si="578"/>
        <v>0.3636363636363637</v>
      </c>
      <c r="W252" s="909">
        <f t="shared" si="578"/>
        <v>0.40909090909090917</v>
      </c>
      <c r="X252" s="909">
        <f t="shared" si="578"/>
        <v>0.45454545454545464</v>
      </c>
      <c r="Y252" s="1176">
        <v>0.5</v>
      </c>
      <c r="Z252" s="909">
        <f>Y252</f>
        <v>0.5</v>
      </c>
    </row>
    <row r="253" spans="2:26">
      <c r="B253" s="618" t="s">
        <v>1889</v>
      </c>
      <c r="J253" s="909"/>
      <c r="K253" s="909"/>
      <c r="L253" s="909"/>
      <c r="N253" s="531">
        <f ca="1">N251*N252</f>
        <v>0</v>
      </c>
      <c r="O253" s="531">
        <f t="shared" ref="O253:Z253" ca="1" si="579">O251*O252</f>
        <v>0.66882528795904805</v>
      </c>
      <c r="P253" s="531">
        <f t="shared" ca="1" si="579"/>
        <v>2.8547569212245008</v>
      </c>
      <c r="Q253" s="531">
        <f t="shared" ca="1" si="579"/>
        <v>6.7875220856610854</v>
      </c>
      <c r="R253" s="531">
        <f t="shared" ca="1" si="579"/>
        <v>12.544127121556381</v>
      </c>
      <c r="S253" s="531">
        <f t="shared" ca="1" si="579"/>
        <v>20.12250832400694</v>
      </c>
      <c r="T253" s="531">
        <f t="shared" ca="1" si="579"/>
        <v>29.351346942516848</v>
      </c>
      <c r="U253" s="531">
        <f t="shared" ca="1" si="579"/>
        <v>40.460720668461825</v>
      </c>
      <c r="V253" s="531">
        <f t="shared" ca="1" si="579"/>
        <v>53.51307181087693</v>
      </c>
      <c r="W253" s="531">
        <f t="shared" ca="1" si="579"/>
        <v>68.57083082678858</v>
      </c>
      <c r="X253" s="531">
        <f t="shared" ca="1" si="579"/>
        <v>85.696416560262719</v>
      </c>
      <c r="Y253" s="531">
        <f t="shared" ca="1" si="579"/>
        <v>104.9522364756905</v>
      </c>
      <c r="Z253" s="531">
        <f t="shared" ca="1" si="579"/>
        <v>106.21168828570984</v>
      </c>
    </row>
    <row r="254" spans="2:26">
      <c r="B254" s="618" t="s">
        <v>1890</v>
      </c>
      <c r="J254" s="909"/>
      <c r="K254" s="909"/>
      <c r="L254" s="909"/>
      <c r="O254" s="531">
        <f t="shared" ref="O254:Z254" ca="1" si="580">AVERAGE(N253:O253)*O163*12/1000</f>
        <v>5.8406924333072069E-2</v>
      </c>
      <c r="P254" s="531">
        <f t="shared" ca="1" si="580"/>
        <v>0.3398109195187522</v>
      </c>
      <c r="Q254" s="531">
        <f t="shared" ca="1" si="580"/>
        <v>0.98985125409390351</v>
      </c>
      <c r="R254" s="531">
        <f t="shared" ca="1" si="580"/>
        <v>2.0709400035702803</v>
      </c>
      <c r="S254" s="531">
        <f t="shared" ca="1" si="580"/>
        <v>3.6106519848589427</v>
      </c>
      <c r="T254" s="531">
        <f t="shared" ca="1" si="580"/>
        <v>5.5673409240845659</v>
      </c>
      <c r="U254" s="531">
        <f t="shared" ca="1" si="580"/>
        <v>7.9075265626212552</v>
      </c>
      <c r="V254" s="531">
        <f t="shared" ca="1" si="580"/>
        <v>10.653609023773953</v>
      </c>
      <c r="W254" s="531">
        <f t="shared" ca="1" si="580"/>
        <v>13.805079945214828</v>
      </c>
      <c r="X254" s="531">
        <f t="shared" ca="1" si="580"/>
        <v>17.358143435934288</v>
      </c>
      <c r="Y254" s="531">
        <f t="shared" ca="1" si="580"/>
        <v>21.305901561020939</v>
      </c>
      <c r="Z254" s="531">
        <f t="shared" ca="1" si="580"/>
        <v>23.400954786728867</v>
      </c>
    </row>
    <row r="255" spans="2:26">
      <c r="J255" s="909"/>
      <c r="K255" s="909"/>
      <c r="L255" s="909"/>
    </row>
    <row r="256" spans="2:26">
      <c r="B256" s="58" t="s">
        <v>93</v>
      </c>
      <c r="J256" s="739">
        <f>Interims!AS89</f>
        <v>140.916</v>
      </c>
      <c r="K256" s="739">
        <f>Interims!AX89</f>
        <v>134.52799999999999</v>
      </c>
      <c r="L256" s="739">
        <f>Interims!BC89</f>
        <v>120</v>
      </c>
      <c r="M256" s="531">
        <f>M179*M266</f>
        <v>109.92509165424961</v>
      </c>
      <c r="N256" s="531">
        <f t="shared" ref="N256:T256" ca="1" si="581">N179*N266</f>
        <v>84.659302819880537</v>
      </c>
      <c r="O256" s="531">
        <f t="shared" ca="1" si="581"/>
        <v>69.339703159512112</v>
      </c>
      <c r="P256" s="531">
        <f t="shared" ca="1" si="581"/>
        <v>68.311376548882961</v>
      </c>
      <c r="Q256" s="531">
        <f t="shared" ca="1" si="581"/>
        <v>65.397067286082674</v>
      </c>
      <c r="R256" s="531">
        <f t="shared" ca="1" si="581"/>
        <v>62.77922769320034</v>
      </c>
      <c r="S256" s="531">
        <f t="shared" ca="1" si="581"/>
        <v>60.431639169519968</v>
      </c>
      <c r="T256" s="531">
        <f t="shared" ca="1" si="581"/>
        <v>58.232975273568094</v>
      </c>
      <c r="U256" s="531">
        <f t="shared" ref="U256:Z256" ca="1" si="582">U179*U266</f>
        <v>56.07491357869953</v>
      </c>
      <c r="V256" s="531">
        <f t="shared" ca="1" si="582"/>
        <v>53.955674454020418</v>
      </c>
      <c r="W256" s="531">
        <f t="shared" ca="1" si="582"/>
        <v>51.873587272315646</v>
      </c>
      <c r="X256" s="531">
        <f t="shared" ca="1" si="582"/>
        <v>49.82709353264908</v>
      </c>
      <c r="Y256" s="531">
        <f t="shared" ca="1" si="582"/>
        <v>47.814750049374638</v>
      </c>
      <c r="Z256" s="531">
        <f t="shared" ca="1" si="582"/>
        <v>45.835232208761774</v>
      </c>
    </row>
    <row r="257" spans="2:26">
      <c r="B257" s="618" t="s">
        <v>1185</v>
      </c>
      <c r="K257" s="537">
        <f t="shared" ref="K257:T257" si="583">K256/J256-1</f>
        <v>-4.533197081949536E-2</v>
      </c>
      <c r="L257" s="537">
        <f t="shared" si="583"/>
        <v>-0.10799238820171264</v>
      </c>
      <c r="M257" s="537">
        <f t="shared" si="583"/>
        <v>-8.3957569547919886E-2</v>
      </c>
      <c r="N257" s="537">
        <f t="shared" ca="1" si="583"/>
        <v>-0.22984551073960668</v>
      </c>
      <c r="O257" s="537">
        <f t="shared" ca="1" si="583"/>
        <v>-0.18095589202951623</v>
      </c>
      <c r="P257" s="537">
        <f t="shared" ca="1" si="583"/>
        <v>-1.4830271313154397E-2</v>
      </c>
      <c r="Q257" s="537">
        <f t="shared" ca="1" si="583"/>
        <v>-4.2662136382434546E-2</v>
      </c>
      <c r="R257" s="537">
        <f t="shared" ca="1" si="583"/>
        <v>-4.0029923382197907E-2</v>
      </c>
      <c r="S257" s="537">
        <f t="shared" ca="1" si="583"/>
        <v>-3.7394351761588229E-2</v>
      </c>
      <c r="T257" s="537">
        <f t="shared" ca="1" si="583"/>
        <v>-3.6382661899742375E-2</v>
      </c>
      <c r="U257" s="537">
        <f t="shared" ref="U257" ca="1" si="584">U256/T256-1</f>
        <v>-3.7059100702486414E-2</v>
      </c>
      <c r="V257" s="537">
        <f t="shared" ref="V257" ca="1" si="585">V256/U256-1</f>
        <v>-3.7792998498425212E-2</v>
      </c>
      <c r="W257" s="537">
        <f t="shared" ref="W257" ca="1" si="586">W256/V256-1</f>
        <v>-3.8588845432357077E-2</v>
      </c>
      <c r="X257" s="537">
        <f t="shared" ref="X257" ca="1" si="587">X256/W256-1</f>
        <v>-3.9451556124763254E-2</v>
      </c>
      <c r="Y257" s="537">
        <f t="shared" ref="Y257" ca="1" si="588">Y256/X256-1</f>
        <v>-4.0386531515346324E-2</v>
      </c>
      <c r="Z257" s="537">
        <f t="shared" ref="Z257" ca="1" si="589">Z256/Y256-1</f>
        <v>-4.1399732061106032E-2</v>
      </c>
    </row>
    <row r="258" spans="2:26">
      <c r="B258" s="58" t="s">
        <v>91</v>
      </c>
      <c r="J258" s="739">
        <f>Interims!AS90</f>
        <v>120.70399999999999</v>
      </c>
      <c r="K258" s="739">
        <f>Interims!AX90</f>
        <v>122.961</v>
      </c>
      <c r="L258" s="739">
        <f>Interims!BC90</f>
        <v>116.36</v>
      </c>
      <c r="M258" s="531">
        <f ca="1">M204*M267</f>
        <v>117.6916986</v>
      </c>
      <c r="N258" s="531">
        <f t="shared" ref="N258:Z258" ca="1" si="590">N204*N267</f>
        <v>130.44918949038617</v>
      </c>
      <c r="O258" s="531">
        <f t="shared" ca="1" si="590"/>
        <v>146.70894979748576</v>
      </c>
      <c r="P258" s="531">
        <f t="shared" ca="1" si="590"/>
        <v>164.66081173510355</v>
      </c>
      <c r="Q258" s="531">
        <f t="shared" ca="1" si="590"/>
        <v>185.99426558876269</v>
      </c>
      <c r="R258" s="531">
        <f t="shared" ca="1" si="590"/>
        <v>208.53576927979768</v>
      </c>
      <c r="S258" s="531">
        <f t="shared" ca="1" si="590"/>
        <v>234.66940208775432</v>
      </c>
      <c r="T258" s="531">
        <f t="shared" ca="1" si="590"/>
        <v>261.46045162238732</v>
      </c>
      <c r="U258" s="531">
        <f t="shared" ca="1" si="590"/>
        <v>289.92940952157494</v>
      </c>
      <c r="V258" s="531">
        <f t="shared" ca="1" si="590"/>
        <v>318.22601120916841</v>
      </c>
      <c r="W258" s="531">
        <f t="shared" ca="1" si="590"/>
        <v>347.47223606795137</v>
      </c>
      <c r="X258" s="531">
        <f t="shared" ca="1" si="590"/>
        <v>377.68885052778211</v>
      </c>
      <c r="Y258" s="531">
        <f t="shared" ca="1" si="590"/>
        <v>408.8970966268738</v>
      </c>
      <c r="Z258" s="531">
        <f t="shared" ca="1" si="590"/>
        <v>441.1187241989569</v>
      </c>
    </row>
    <row r="259" spans="2:26">
      <c r="B259" s="618" t="s">
        <v>1185</v>
      </c>
      <c r="K259" s="537">
        <f t="shared" ref="K259:T259" si="591">K258/J258-1</f>
        <v>1.8698634676564296E-2</v>
      </c>
      <c r="L259" s="537">
        <f t="shared" si="591"/>
        <v>-5.3683688323940104E-2</v>
      </c>
      <c r="M259" s="537">
        <f t="shared" ca="1" si="591"/>
        <v>1.1444642488827705E-2</v>
      </c>
      <c r="N259" s="537">
        <f t="shared" ca="1" si="591"/>
        <v>0.10839754241074551</v>
      </c>
      <c r="O259" s="537">
        <f t="shared" ca="1" si="591"/>
        <v>0.12464439503702618</v>
      </c>
      <c r="P259" s="537">
        <f t="shared" ca="1" si="591"/>
        <v>0.12236378191240682</v>
      </c>
      <c r="Q259" s="537">
        <f t="shared" ca="1" si="591"/>
        <v>0.1295599944446959</v>
      </c>
      <c r="R259" s="537">
        <f t="shared" ca="1" si="591"/>
        <v>0.12119461650970864</v>
      </c>
      <c r="S259" s="537">
        <f t="shared" ca="1" si="591"/>
        <v>0.12531966529393102</v>
      </c>
      <c r="T259" s="537">
        <f t="shared" ca="1" si="591"/>
        <v>0.11416507348757188</v>
      </c>
      <c r="U259" s="537">
        <f t="shared" ref="U259" ca="1" si="592">U258/T258-1</f>
        <v>0.10888437514176608</v>
      </c>
      <c r="V259" s="537">
        <f t="shared" ref="V259" ca="1" si="593">V258/U258-1</f>
        <v>9.759824549805729E-2</v>
      </c>
      <c r="W259" s="537">
        <f t="shared" ref="W259" ca="1" si="594">W258/V258-1</f>
        <v>9.1903941942569789E-2</v>
      </c>
      <c r="X259" s="537">
        <f t="shared" ref="X259" ca="1" si="595">X258/W258-1</f>
        <v>8.6961234088128947E-2</v>
      </c>
      <c r="Y259" s="537">
        <f t="shared" ref="Y259" ca="1" si="596">Y258/X258-1</f>
        <v>8.2629513832567003E-2</v>
      </c>
      <c r="Z259" s="537">
        <f t="shared" ref="Z259" ca="1" si="597">Z258/Y258-1</f>
        <v>7.8801311718498024E-2</v>
      </c>
    </row>
    <row r="260" spans="2:26">
      <c r="B260" s="58" t="s">
        <v>169</v>
      </c>
      <c r="J260" s="739">
        <f>Interims!AS91</f>
        <v>-26.149000000000001</v>
      </c>
      <c r="K260" s="739">
        <f>Interims!AX91</f>
        <v>-31.036000000000001</v>
      </c>
      <c r="L260" s="739">
        <f>Interims!BC91</f>
        <v>-54.8</v>
      </c>
      <c r="M260" s="531">
        <f ca="1">M262-M256-M258</f>
        <v>-36.762243722735533</v>
      </c>
      <c r="N260" s="531">
        <f ca="1">N268*(N183+N185-N201)</f>
        <v>-30.128742766246784</v>
      </c>
      <c r="O260" s="531">
        <f t="shared" ref="O260:Z260" ca="1" si="598">O268*(O183+O185-O201)</f>
        <v>-23.782890728067407</v>
      </c>
      <c r="P260" s="531">
        <f t="shared" ca="1" si="598"/>
        <v>-23.288206600923601</v>
      </c>
      <c r="Q260" s="531">
        <f t="shared" ca="1" si="598"/>
        <v>-22.764221952402821</v>
      </c>
      <c r="R260" s="531">
        <f t="shared" ca="1" si="598"/>
        <v>-22.209962635300844</v>
      </c>
      <c r="S260" s="531">
        <f t="shared" ca="1" si="598"/>
        <v>-21.624427256733814</v>
      </c>
      <c r="T260" s="531">
        <f t="shared" ca="1" si="598"/>
        <v>-20.898470274223722</v>
      </c>
      <c r="U260" s="531">
        <f t="shared" ca="1" si="598"/>
        <v>-20.146880198228246</v>
      </c>
      <c r="V260" s="531">
        <f t="shared" ca="1" si="598"/>
        <v>-19.368988038685252</v>
      </c>
      <c r="W260" s="531">
        <f t="shared" ca="1" si="598"/>
        <v>-18.564108412689542</v>
      </c>
      <c r="X260" s="531">
        <f t="shared" ca="1" si="598"/>
        <v>-17.73153915205048</v>
      </c>
      <c r="Y260" s="531">
        <f t="shared" ca="1" si="598"/>
        <v>-16.870560901611288</v>
      </c>
      <c r="Z260" s="531">
        <f t="shared" ca="1" si="598"/>
        <v>-15.980436708115741</v>
      </c>
    </row>
    <row r="261" spans="2:26">
      <c r="B261" s="618" t="s">
        <v>1185</v>
      </c>
      <c r="K261" s="537">
        <f t="shared" ref="K261:T261" si="599">K260/J260-1</f>
        <v>0.18689051206547092</v>
      </c>
      <c r="L261" s="537">
        <f t="shared" si="599"/>
        <v>0.76569145508441783</v>
      </c>
      <c r="M261" s="537">
        <f t="shared" ca="1" si="599"/>
        <v>-0.32915613644643182</v>
      </c>
      <c r="N261" s="537">
        <f t="shared" ca="1" si="599"/>
        <v>-0.18044331043880968</v>
      </c>
      <c r="O261" s="537">
        <f t="shared" ca="1" si="599"/>
        <v>-0.21062452182002867</v>
      </c>
      <c r="P261" s="537">
        <f t="shared" ca="1" si="599"/>
        <v>-2.0800000000000152E-2</v>
      </c>
      <c r="Q261" s="537">
        <f t="shared" ca="1" si="599"/>
        <v>-2.2499999999999964E-2</v>
      </c>
      <c r="R261" s="537">
        <f t="shared" ca="1" si="599"/>
        <v>-2.4347826086956292E-2</v>
      </c>
      <c r="S261" s="537">
        <f t="shared" ca="1" si="599"/>
        <v>-2.63636363636367E-2</v>
      </c>
      <c r="T261" s="537">
        <f t="shared" ca="1" si="599"/>
        <v>-3.3571154227172828E-2</v>
      </c>
      <c r="U261" s="537">
        <f t="shared" ref="U261" ca="1" si="600">U260/T260-1</f>
        <v>-3.5963879945915989E-2</v>
      </c>
      <c r="V261" s="537">
        <f t="shared" ref="V261" ca="1" si="601">V260/U260-1</f>
        <v>-3.8611048057525243E-2</v>
      </c>
      <c r="W261" s="537">
        <f t="shared" ref="W261" ca="1" si="602">W260/V260-1</f>
        <v>-4.1555068565695907E-2</v>
      </c>
      <c r="X261" s="537">
        <f t="shared" ref="X261" ca="1" si="603">X260/W260-1</f>
        <v>-4.4848330021061367E-2</v>
      </c>
      <c r="Y261" s="537">
        <f t="shared" ref="Y261" ca="1" si="604">Y260/X260-1</f>
        <v>-4.855631781630354E-2</v>
      </c>
      <c r="Z261" s="537">
        <f t="shared" ref="Z261" ca="1" si="605">Z260/Y260-1</f>
        <v>-5.2761979799410996E-2</v>
      </c>
    </row>
    <row r="262" spans="2:26" s="58" customFormat="1">
      <c r="B262" s="58" t="s">
        <v>28</v>
      </c>
      <c r="C262" s="740">
        <v>88.077000000000055</v>
      </c>
      <c r="D262" s="740">
        <v>98.936668599896052</v>
      </c>
      <c r="E262" s="740">
        <v>140.88094095</v>
      </c>
      <c r="F262" s="740">
        <v>250.1</v>
      </c>
      <c r="G262" s="740">
        <v>264.7</v>
      </c>
      <c r="H262" s="740">
        <v>235.99661195000004</v>
      </c>
      <c r="I262" s="740">
        <f>Interims!AN86</f>
        <v>239.45407107999998</v>
      </c>
      <c r="J262" s="740">
        <f>Interims!AS86</f>
        <v>242.18396066</v>
      </c>
      <c r="K262" s="740">
        <f>Interims!AX86</f>
        <v>226.45299999999997</v>
      </c>
      <c r="L262" s="740">
        <f>Interims!BC86</f>
        <v>181.58300000000003</v>
      </c>
      <c r="M262" s="740">
        <f ca="1">Interims!BH86</f>
        <v>190.85454653151413</v>
      </c>
      <c r="N262" s="728">
        <f t="shared" ref="N262:T262" ca="1" si="606">N260+N258+N256</f>
        <v>184.97974954401991</v>
      </c>
      <c r="O262" s="728">
        <f t="shared" ca="1" si="606"/>
        <v>192.26576222893047</v>
      </c>
      <c r="P262" s="728">
        <f t="shared" ca="1" si="606"/>
        <v>209.68398168306288</v>
      </c>
      <c r="Q262" s="728">
        <f t="shared" ca="1" si="606"/>
        <v>228.62711092244257</v>
      </c>
      <c r="R262" s="728">
        <f t="shared" ca="1" si="606"/>
        <v>249.10503433769716</v>
      </c>
      <c r="S262" s="728">
        <f t="shared" ca="1" si="606"/>
        <v>273.47661400054051</v>
      </c>
      <c r="T262" s="728">
        <f t="shared" ca="1" si="606"/>
        <v>298.79495662173173</v>
      </c>
      <c r="U262" s="728">
        <f t="shared" ref="U262:Z262" ca="1" si="607">U260+U258+U256</f>
        <v>325.85744290204622</v>
      </c>
      <c r="V262" s="728">
        <f t="shared" ca="1" si="607"/>
        <v>352.81269762450358</v>
      </c>
      <c r="W262" s="728">
        <f t="shared" ca="1" si="607"/>
        <v>380.78171492757747</v>
      </c>
      <c r="X262" s="728">
        <f t="shared" ca="1" si="607"/>
        <v>409.78440490838074</v>
      </c>
      <c r="Y262" s="728">
        <f t="shared" ca="1" si="607"/>
        <v>439.84128577463719</v>
      </c>
      <c r="Z262" s="728">
        <f t="shared" ca="1" si="607"/>
        <v>470.97351969960295</v>
      </c>
    </row>
    <row r="263" spans="2:26">
      <c r="B263" s="536" t="s">
        <v>1382</v>
      </c>
      <c r="C263" s="536"/>
      <c r="D263" s="537">
        <f>D262/C262-1</f>
        <v>0.1232974397390465</v>
      </c>
      <c r="E263" s="537">
        <f>E262/D262-1</f>
        <v>0.42395072467750361</v>
      </c>
      <c r="F263" s="537">
        <f t="shared" ref="F263:L263" si="608">F262/E262-1</f>
        <v>0.77525787600157292</v>
      </c>
      <c r="G263" s="537">
        <f t="shared" si="608"/>
        <v>5.8376649340263764E-2</v>
      </c>
      <c r="H263" s="537">
        <f t="shared" si="608"/>
        <v>-0.10843743124291627</v>
      </c>
      <c r="I263" s="537">
        <f t="shared" si="608"/>
        <v>1.4650460874974236E-2</v>
      </c>
      <c r="J263" s="537">
        <f t="shared" si="608"/>
        <v>1.1400472615426871E-2</v>
      </c>
      <c r="K263" s="537">
        <f t="shared" si="608"/>
        <v>-6.4954593265094784E-2</v>
      </c>
      <c r="L263" s="537">
        <f t="shared" si="608"/>
        <v>-0.19814266094951249</v>
      </c>
      <c r="M263" s="537">
        <f t="shared" ref="M263:T263" ca="1" si="609">M262/L262-1</f>
        <v>5.1059551453132235E-2</v>
      </c>
      <c r="N263" s="537">
        <f t="shared" ca="1" si="609"/>
        <v>-3.0781540677230712E-2</v>
      </c>
      <c r="O263" s="537">
        <f t="shared" ca="1" si="609"/>
        <v>3.938816385507482E-2</v>
      </c>
      <c r="P263" s="537">
        <f t="shared" ca="1" si="609"/>
        <v>9.0594494059699437E-2</v>
      </c>
      <c r="Q263" s="537">
        <f t="shared" ca="1" si="609"/>
        <v>9.0341327398161475E-2</v>
      </c>
      <c r="R263" s="537">
        <f t="shared" ca="1" si="609"/>
        <v>8.9569094988919851E-2</v>
      </c>
      <c r="S263" s="537">
        <f t="shared" ca="1" si="609"/>
        <v>9.7836560098597758E-2</v>
      </c>
      <c r="T263" s="537">
        <f t="shared" ca="1" si="609"/>
        <v>9.2579552784506802E-2</v>
      </c>
      <c r="U263" s="537">
        <f t="shared" ref="U263" ca="1" si="610">U262/T262-1</f>
        <v>9.0572098626734876E-2</v>
      </c>
      <c r="V263" s="537">
        <f t="shared" ref="V263" ca="1" si="611">V262/U262-1</f>
        <v>8.2721003646248459E-2</v>
      </c>
      <c r="W263" s="537">
        <f t="shared" ref="W263" ca="1" si="612">W262/V262-1</f>
        <v>7.9274406764240579E-2</v>
      </c>
      <c r="X263" s="537">
        <f t="shared" ref="X263" ca="1" si="613">X262/W262-1</f>
        <v>7.6166183521494402E-2</v>
      </c>
      <c r="Y263" s="537">
        <f t="shared" ref="Y263" ca="1" si="614">Y262/X262-1</f>
        <v>7.334803498189868E-2</v>
      </c>
      <c r="Z263" s="537">
        <f t="shared" ref="Z263" ca="1" si="615">Z262/Y262-1</f>
        <v>7.0780608669184897E-2</v>
      </c>
    </row>
    <row r="264" spans="2:26">
      <c r="B264" s="536" t="s">
        <v>1182</v>
      </c>
      <c r="C264" s="931">
        <f t="shared" ref="C264:K264" si="616">C262/C216</f>
        <v>0.42709798178661856</v>
      </c>
      <c r="D264" s="931">
        <f t="shared" si="616"/>
        <v>0.46450332061830762</v>
      </c>
      <c r="E264" s="931">
        <f t="shared" si="616"/>
        <v>0.50464948501097573</v>
      </c>
      <c r="F264" s="931">
        <f t="shared" si="616"/>
        <v>0.52300292764533662</v>
      </c>
      <c r="G264" s="931">
        <f t="shared" si="616"/>
        <v>0.53270275709398274</v>
      </c>
      <c r="H264" s="931">
        <f t="shared" si="616"/>
        <v>0.47739963967512089</v>
      </c>
      <c r="I264" s="931">
        <f t="shared" si="616"/>
        <v>0.47947895835012982</v>
      </c>
      <c r="J264" s="931">
        <f t="shared" si="616"/>
        <v>0.50454991804166671</v>
      </c>
      <c r="K264" s="931">
        <f t="shared" si="616"/>
        <v>0.48926455751331471</v>
      </c>
      <c r="L264" s="931">
        <f>L262/L216</f>
        <v>0.40664788090063975</v>
      </c>
      <c r="M264" s="931">
        <f t="shared" ref="M264:T264" ca="1" si="617">M262/M216</f>
        <v>0.42218739774841957</v>
      </c>
      <c r="N264" s="931">
        <f t="shared" ca="1" si="617"/>
        <v>0.42635361535442673</v>
      </c>
      <c r="O264" s="931">
        <f t="shared" ca="1" si="617"/>
        <v>0.44285608058285475</v>
      </c>
      <c r="P264" s="931">
        <f t="shared" ca="1" si="617"/>
        <v>0.45305548418226438</v>
      </c>
      <c r="Q264" s="931">
        <f t="shared" ca="1" si="617"/>
        <v>0.46671748849633321</v>
      </c>
      <c r="R264" s="931">
        <f t="shared" ca="1" si="617"/>
        <v>0.48046280937753982</v>
      </c>
      <c r="S264" s="931">
        <f t="shared" ca="1" si="617"/>
        <v>0.49545715019211006</v>
      </c>
      <c r="T264" s="931">
        <f t="shared" ca="1" si="617"/>
        <v>0.51046713305721425</v>
      </c>
      <c r="U264" s="931">
        <f t="shared" ref="U264:Z264" ca="1" si="618">U262/U216</f>
        <v>0.52531662848465166</v>
      </c>
      <c r="V264" s="931">
        <f t="shared" ca="1" si="618"/>
        <v>0.53774922298571293</v>
      </c>
      <c r="W264" s="931">
        <f t="shared" ca="1" si="618"/>
        <v>0.5497073698060494</v>
      </c>
      <c r="X264" s="931">
        <f t="shared" ca="1" si="618"/>
        <v>0.56124272267719388</v>
      </c>
      <c r="Y264" s="931">
        <f t="shared" ca="1" si="618"/>
        <v>0.5723998033470471</v>
      </c>
      <c r="Z264" s="931">
        <f t="shared" ca="1" si="618"/>
        <v>0.58321724167533018</v>
      </c>
    </row>
    <row r="265" spans="2:26">
      <c r="B265" s="536"/>
      <c r="C265" s="537"/>
      <c r="D265" s="537"/>
      <c r="E265" s="537"/>
      <c r="F265" s="537"/>
      <c r="G265" s="537"/>
      <c r="H265" s="537"/>
      <c r="I265" s="537"/>
      <c r="J265" s="537"/>
      <c r="K265" s="537"/>
      <c r="L265" s="537"/>
      <c r="M265" s="537"/>
      <c r="N265" s="537"/>
      <c r="O265" s="537"/>
      <c r="P265" s="537"/>
      <c r="Q265" s="537"/>
      <c r="R265" s="537"/>
      <c r="S265" s="537"/>
      <c r="T265" s="537"/>
      <c r="U265" s="537"/>
      <c r="V265" s="537"/>
      <c r="W265" s="537"/>
      <c r="X265" s="537"/>
      <c r="Y265" s="537"/>
      <c r="Z265" s="537"/>
    </row>
    <row r="266" spans="2:26">
      <c r="B266" s="489" t="s">
        <v>93</v>
      </c>
      <c r="J266" s="528">
        <f>J256/J179</f>
        <v>0.62132275132275128</v>
      </c>
      <c r="K266" s="528">
        <f>K256/K179</f>
        <v>0.61642563539248096</v>
      </c>
      <c r="L266" s="528">
        <f>L256/L179</f>
        <v>0.59250486045501571</v>
      </c>
      <c r="M266" s="538">
        <f t="shared" ref="M266:T266" si="619">L266-1%</f>
        <v>0.5825048604550157</v>
      </c>
      <c r="N266" s="538">
        <f t="shared" si="619"/>
        <v>0.5725048604550157</v>
      </c>
      <c r="O266" s="538">
        <f t="shared" si="619"/>
        <v>0.56250486045501569</v>
      </c>
      <c r="P266" s="538">
        <f t="shared" si="619"/>
        <v>0.55250486045501568</v>
      </c>
      <c r="Q266" s="538">
        <f t="shared" si="619"/>
        <v>0.54250486045501567</v>
      </c>
      <c r="R266" s="538">
        <f t="shared" si="619"/>
        <v>0.53250486045501566</v>
      </c>
      <c r="S266" s="538">
        <f t="shared" si="619"/>
        <v>0.52250486045501565</v>
      </c>
      <c r="T266" s="538">
        <f t="shared" si="619"/>
        <v>0.51250486045501564</v>
      </c>
      <c r="U266" s="538">
        <f t="shared" ref="U266" si="620">T266-1%</f>
        <v>0.50250486045501563</v>
      </c>
      <c r="V266" s="538">
        <f t="shared" ref="V266" si="621">U266-1%</f>
        <v>0.49250486045501563</v>
      </c>
      <c r="W266" s="538">
        <f t="shared" ref="W266" si="622">V266-1%</f>
        <v>0.48250486045501562</v>
      </c>
      <c r="X266" s="538">
        <f t="shared" ref="X266" si="623">W266-1%</f>
        <v>0.47250486045501561</v>
      </c>
      <c r="Y266" s="538">
        <f t="shared" ref="Y266" si="624">X266-1%</f>
        <v>0.4625048604550156</v>
      </c>
      <c r="Z266" s="538">
        <f t="shared" ref="Z266" si="625">Y266-1%</f>
        <v>0.45250486045501559</v>
      </c>
    </row>
    <row r="267" spans="2:26">
      <c r="B267" s="489" t="s">
        <v>91</v>
      </c>
      <c r="J267" s="528">
        <f>J258/J181</f>
        <v>0.82504442925495547</v>
      </c>
      <c r="K267" s="528">
        <f>K258/K181</f>
        <v>0.81506786710278767</v>
      </c>
      <c r="L267" s="528">
        <f>L258/L181</f>
        <v>0.7385909574717473</v>
      </c>
      <c r="M267" s="538">
        <v>0.7</v>
      </c>
      <c r="N267" s="538">
        <v>0.68</v>
      </c>
      <c r="O267" s="538">
        <v>0.68</v>
      </c>
      <c r="P267" s="538">
        <v>0.68</v>
      </c>
      <c r="Q267" s="538">
        <f>P267+0.8%</f>
        <v>0.68800000000000006</v>
      </c>
      <c r="R267" s="538">
        <f>Q267+0.8%</f>
        <v>0.69600000000000006</v>
      </c>
      <c r="S267" s="538">
        <f>R267+0.8%</f>
        <v>0.70400000000000007</v>
      </c>
      <c r="T267" s="538">
        <f t="shared" ref="T267:Z267" si="626">S267+0.8%</f>
        <v>0.71200000000000008</v>
      </c>
      <c r="U267" s="538">
        <f t="shared" si="626"/>
        <v>0.72000000000000008</v>
      </c>
      <c r="V267" s="538">
        <f>U267+0.5%</f>
        <v>0.72500000000000009</v>
      </c>
      <c r="W267" s="538">
        <f t="shared" ref="W267:Z267" si="627">V267+0.5%</f>
        <v>0.73000000000000009</v>
      </c>
      <c r="X267" s="538">
        <f t="shared" si="627"/>
        <v>0.7350000000000001</v>
      </c>
      <c r="Y267" s="538">
        <f t="shared" si="627"/>
        <v>0.7400000000000001</v>
      </c>
      <c r="Z267" s="538">
        <f t="shared" si="627"/>
        <v>0.74500000000000011</v>
      </c>
    </row>
    <row r="268" spans="2:26">
      <c r="B268" s="489" t="s">
        <v>169</v>
      </c>
      <c r="J268" s="528">
        <f>J260/(J183+J185)</f>
        <v>-0.24461178671655753</v>
      </c>
      <c r="K268" s="528">
        <f>K260/(K183+K185)</f>
        <v>-0.33106825929701283</v>
      </c>
      <c r="L268" s="528">
        <f>L260/(L183+L185)</f>
        <v>-0.63379715933107894</v>
      </c>
      <c r="M268" s="528">
        <f ca="1">M260/(M183+M185)</f>
        <v>-0.38608022027608818</v>
      </c>
      <c r="N268" s="538">
        <v>-0.32</v>
      </c>
      <c r="O268" s="538">
        <v>-0.25</v>
      </c>
      <c r="P268" s="538">
        <f t="shared" ref="P268:Z268" si="628">O268+1%</f>
        <v>-0.24</v>
      </c>
      <c r="Q268" s="538">
        <f t="shared" si="628"/>
        <v>-0.22999999999999998</v>
      </c>
      <c r="R268" s="538">
        <f t="shared" si="628"/>
        <v>-0.21999999999999997</v>
      </c>
      <c r="S268" s="538">
        <f t="shared" si="628"/>
        <v>-0.20999999999999996</v>
      </c>
      <c r="T268" s="538">
        <f t="shared" si="628"/>
        <v>-0.19999999999999996</v>
      </c>
      <c r="U268" s="538">
        <f t="shared" si="628"/>
        <v>-0.18999999999999995</v>
      </c>
      <c r="V268" s="538">
        <f t="shared" si="628"/>
        <v>-0.17999999999999994</v>
      </c>
      <c r="W268" s="538">
        <f t="shared" si="628"/>
        <v>-0.16999999999999993</v>
      </c>
      <c r="X268" s="538">
        <f t="shared" si="628"/>
        <v>-0.15999999999999992</v>
      </c>
      <c r="Y268" s="538">
        <f t="shared" si="628"/>
        <v>-0.14999999999999991</v>
      </c>
      <c r="Z268" s="538">
        <f t="shared" si="628"/>
        <v>-0.1399999999999999</v>
      </c>
    </row>
    <row r="271" spans="2:26" s="496" customFormat="1">
      <c r="B271" s="520" t="s">
        <v>1225</v>
      </c>
    </row>
    <row r="272" spans="2:26">
      <c r="J272" s="618" t="s">
        <v>1543</v>
      </c>
      <c r="N272" s="938"/>
      <c r="O272" s="938"/>
      <c r="P272" s="938"/>
      <c r="Q272" s="938"/>
      <c r="R272" s="938"/>
      <c r="S272" s="938"/>
      <c r="T272" s="938"/>
      <c r="U272" s="938"/>
      <c r="V272" s="938"/>
      <c r="W272" s="938"/>
      <c r="X272" s="938"/>
      <c r="Y272" s="938"/>
      <c r="Z272" s="938"/>
    </row>
    <row r="273" spans="2:37 16384:16384" s="58" customFormat="1">
      <c r="B273" s="58" t="s">
        <v>1973</v>
      </c>
      <c r="C273" s="741">
        <v>51.5</v>
      </c>
      <c r="D273" s="741">
        <v>84.1</v>
      </c>
      <c r="E273" s="741">
        <v>113.2</v>
      </c>
      <c r="F273" s="741">
        <f>152.3</f>
        <v>152.30000000000001</v>
      </c>
      <c r="G273" s="741">
        <v>155.9</v>
      </c>
      <c r="H273" s="741">
        <v>159.03177321999999</v>
      </c>
      <c r="I273" s="741">
        <f>Interims!AN127</f>
        <v>162.0818753543538</v>
      </c>
      <c r="J273" s="741">
        <f>Interims!AS131</f>
        <v>109.13800000000001</v>
      </c>
      <c r="K273" s="741">
        <f>Interims!AX131</f>
        <v>134.16900000000001</v>
      </c>
      <c r="L273" s="741">
        <v>186</v>
      </c>
      <c r="M273" s="741">
        <v>187</v>
      </c>
      <c r="N273" s="630">
        <f ca="1">SUM(N277:N280)</f>
        <v>193.26969502103239</v>
      </c>
      <c r="O273" s="630">
        <f t="shared" ref="O273:Z273" ca="1" si="629">SUM(O277:O280)</f>
        <v>187.46621537875632</v>
      </c>
      <c r="P273" s="630">
        <f t="shared" ca="1" si="629"/>
        <v>190.60693133023656</v>
      </c>
      <c r="Q273" s="630">
        <f t="shared" ca="1" si="629"/>
        <v>202.94415147376913</v>
      </c>
      <c r="R273" s="630">
        <f t="shared" ca="1" si="629"/>
        <v>202.99840863051455</v>
      </c>
      <c r="S273" s="630">
        <f t="shared" ca="1" si="629"/>
        <v>231.88698917188097</v>
      </c>
      <c r="T273" s="630">
        <f t="shared" ca="1" si="629"/>
        <v>230.4678702221118</v>
      </c>
      <c r="U273" s="630">
        <f t="shared" ca="1" si="629"/>
        <v>267.77608347685418</v>
      </c>
      <c r="V273" s="630">
        <f t="shared" ca="1" si="629"/>
        <v>268.85975693610794</v>
      </c>
      <c r="W273" s="630">
        <f t="shared" ca="1" si="629"/>
        <v>269.94989059987319</v>
      </c>
      <c r="X273" s="630">
        <f t="shared" ca="1" si="629"/>
        <v>271.0464844681498</v>
      </c>
      <c r="Y273" s="630">
        <f t="shared" ca="1" si="629"/>
        <v>272.14953854093795</v>
      </c>
      <c r="Z273" s="630">
        <f t="shared" ca="1" si="629"/>
        <v>137.90305281823746</v>
      </c>
      <c r="AD273" s="1174">
        <v>180</v>
      </c>
      <c r="AE273" s="1174">
        <v>180</v>
      </c>
      <c r="AF273" s="1174">
        <v>180</v>
      </c>
      <c r="AG273" s="1174">
        <v>180</v>
      </c>
      <c r="AH273" s="1174">
        <v>180</v>
      </c>
      <c r="AI273" s="1174">
        <v>180</v>
      </c>
      <c r="AJ273" s="1174">
        <v>180</v>
      </c>
      <c r="AK273" s="727" t="e">
        <f>AB216*AK274</f>
        <v>#DIV/0!</v>
      </c>
    </row>
    <row r="274" spans="2:37 16384:16384">
      <c r="B274" s="536" t="s">
        <v>1379</v>
      </c>
      <c r="C274" s="490">
        <f t="shared" ref="C274:T274" si="630">C273/C216</f>
        <v>0.24973087255481954</v>
      </c>
      <c r="D274" s="490">
        <f t="shared" si="630"/>
        <v>0.39484581214250336</v>
      </c>
      <c r="E274" s="490">
        <f t="shared" si="630"/>
        <v>0.40549361267765199</v>
      </c>
      <c r="F274" s="490">
        <f t="shared" si="630"/>
        <v>0.31848598912588877</v>
      </c>
      <c r="G274" s="490">
        <f t="shared" si="630"/>
        <v>0.31374522036627089</v>
      </c>
      <c r="H274" s="490">
        <f t="shared" si="630"/>
        <v>0.32170678470676034</v>
      </c>
      <c r="I274" s="490">
        <f t="shared" si="630"/>
        <v>0.32455012525711929</v>
      </c>
      <c r="J274" s="490">
        <f t="shared" si="630"/>
        <v>0.22737083333333336</v>
      </c>
      <c r="K274" s="490">
        <f t="shared" si="630"/>
        <v>0.28987973847555093</v>
      </c>
      <c r="L274" s="490">
        <f t="shared" si="630"/>
        <v>0.41653957610304371</v>
      </c>
      <c r="M274" s="490">
        <f t="shared" si="630"/>
        <v>0.41366079464037442</v>
      </c>
      <c r="N274" s="490">
        <f t="shared" ca="1" si="630"/>
        <v>0.44546083240887652</v>
      </c>
      <c r="O274" s="490">
        <f t="shared" ca="1" si="630"/>
        <v>0.4318010259438958</v>
      </c>
      <c r="P274" s="490">
        <f t="shared" ca="1" si="630"/>
        <v>0.41183649255975219</v>
      </c>
      <c r="Q274" s="490">
        <f t="shared" ca="1" si="630"/>
        <v>0.41428850803694978</v>
      </c>
      <c r="R274" s="490">
        <f t="shared" ca="1" si="630"/>
        <v>0.39153438214968711</v>
      </c>
      <c r="S274" s="490">
        <f t="shared" ca="1" si="630"/>
        <v>0.42010929249512263</v>
      </c>
      <c r="T274" s="490">
        <f t="shared" ca="1" si="630"/>
        <v>0.39373580566495742</v>
      </c>
      <c r="U274" s="490">
        <f t="shared" ref="U274:Z274" ca="1" si="631">U273/U216</f>
        <v>0.43168334013831533</v>
      </c>
      <c r="V274" s="490">
        <f t="shared" ca="1" si="631"/>
        <v>0.40979002841443757</v>
      </c>
      <c r="W274" s="490">
        <f t="shared" ca="1" si="631"/>
        <v>0.38970737964482005</v>
      </c>
      <c r="X274" s="490">
        <f t="shared" ca="1" si="631"/>
        <v>0.37122658913532258</v>
      </c>
      <c r="Y274" s="490">
        <f t="shared" ca="1" si="631"/>
        <v>0.35416944106888398</v>
      </c>
      <c r="Z274" s="490">
        <f t="shared" ca="1" si="631"/>
        <v>0.17076849274786865</v>
      </c>
      <c r="AD274" s="490">
        <f ca="1">AD273/V216</f>
        <v>0.27435197426042335</v>
      </c>
      <c r="AE274" s="490">
        <f ca="1">AE273/W216</f>
        <v>0.25985314600494436</v>
      </c>
      <c r="AF274" s="490">
        <f ca="1">AF273/X216</f>
        <v>0.2465288792639185</v>
      </c>
      <c r="AG274" s="490">
        <f ca="1">AG273/Y216</f>
        <v>0.23424805250150912</v>
      </c>
      <c r="AH274" s="490">
        <f ca="1">AH273/Z216</f>
        <v>0.22289810172027799</v>
      </c>
      <c r="AI274" s="490" t="e">
        <f>AI273/#REF!</f>
        <v>#REF!</v>
      </c>
      <c r="AJ274" s="490" t="e">
        <f>AJ273/AA216</f>
        <v>#DIV/0!</v>
      </c>
      <c r="AK274" s="515" t="e">
        <f>150/AB216</f>
        <v>#DIV/0!</v>
      </c>
    </row>
    <row r="275" spans="2:37 16384:16384">
      <c r="C275" s="490"/>
      <c r="D275" s="490"/>
      <c r="E275" s="490"/>
      <c r="F275" s="490"/>
      <c r="G275" s="490"/>
      <c r="H275" s="490"/>
      <c r="I275" s="490"/>
      <c r="J275" s="490"/>
      <c r="K275" s="490"/>
      <c r="L275" s="490"/>
      <c r="M275" s="490"/>
      <c r="N275" s="490"/>
      <c r="O275" s="490"/>
      <c r="P275" s="490"/>
      <c r="Q275" s="490"/>
      <c r="R275" s="490"/>
      <c r="S275" s="490"/>
      <c r="T275" s="490"/>
      <c r="U275" s="490"/>
      <c r="V275" s="490"/>
      <c r="W275" s="490"/>
      <c r="X275" s="490"/>
      <c r="Y275" s="490"/>
      <c r="Z275" s="490"/>
    </row>
    <row r="276" spans="2:37 16384:16384">
      <c r="B276" s="618" t="s">
        <v>1658</v>
      </c>
      <c r="C276" s="490"/>
      <c r="D276" s="490"/>
      <c r="E276" s="490"/>
      <c r="F276" s="490"/>
      <c r="G276" s="490"/>
      <c r="H276" s="490"/>
      <c r="I276" s="739">
        <f>Interims!AN130</f>
        <v>0</v>
      </c>
      <c r="J276" s="739">
        <v>153</v>
      </c>
      <c r="K276" s="739">
        <v>173</v>
      </c>
      <c r="L276" s="739">
        <v>227</v>
      </c>
      <c r="M276" s="739">
        <v>228</v>
      </c>
      <c r="N276" s="490"/>
      <c r="O276" s="490"/>
      <c r="P276" s="490"/>
      <c r="Q276" s="490"/>
      <c r="R276" s="490"/>
      <c r="S276" s="490"/>
      <c r="T276" s="490"/>
      <c r="U276" s="490"/>
      <c r="V276" s="490"/>
      <c r="W276" s="490"/>
      <c r="X276" s="490"/>
      <c r="Y276" s="490"/>
      <c r="Z276" s="490"/>
      <c r="AG276" s="618" t="s">
        <v>1664</v>
      </c>
    </row>
    <row r="277" spans="2:37 16384:16384">
      <c r="B277" s="1137" t="s">
        <v>1665</v>
      </c>
      <c r="C277" s="490"/>
      <c r="D277" s="490"/>
      <c r="E277" s="490"/>
      <c r="F277" s="490"/>
      <c r="G277" s="490"/>
      <c r="H277" s="490"/>
      <c r="I277" s="490"/>
      <c r="J277" s="490"/>
      <c r="K277" s="490"/>
      <c r="L277" s="1169">
        <v>33</v>
      </c>
      <c r="M277" s="1169">
        <v>52.5</v>
      </c>
      <c r="N277" s="629">
        <f ca="1">N296+N298</f>
        <v>68.605695021032389</v>
      </c>
      <c r="O277" s="629">
        <f t="shared" ref="O277:Z277" ca="1" si="632">O296+O298</f>
        <v>62.05221537875633</v>
      </c>
      <c r="P277" s="629">
        <f t="shared" ca="1" si="632"/>
        <v>65.192931330236561</v>
      </c>
      <c r="Q277" s="629">
        <f t="shared" ca="1" si="632"/>
        <v>67.530151473769124</v>
      </c>
      <c r="R277" s="629">
        <f t="shared" ca="1" si="632"/>
        <v>67.584408630514559</v>
      </c>
      <c r="S277" s="629">
        <f t="shared" ca="1" si="632"/>
        <v>67.347989171880982</v>
      </c>
      <c r="T277" s="629">
        <f t="shared" ca="1" si="632"/>
        <v>65.928870222111826</v>
      </c>
      <c r="U277" s="629">
        <f t="shared" ca="1" si="632"/>
        <v>67.006083476854158</v>
      </c>
      <c r="V277" s="629">
        <f t="shared" ca="1" si="632"/>
        <v>68.089756936107932</v>
      </c>
      <c r="W277" s="629">
        <f t="shared" ca="1" si="632"/>
        <v>69.179890599873161</v>
      </c>
      <c r="X277" s="629">
        <f t="shared" ca="1" si="632"/>
        <v>70.276484468149789</v>
      </c>
      <c r="Y277" s="629">
        <f t="shared" ca="1" si="632"/>
        <v>71.379538540937943</v>
      </c>
      <c r="Z277" s="629">
        <f t="shared" ca="1" si="632"/>
        <v>72.489052818237468</v>
      </c>
      <c r="AD277" s="618" t="s">
        <v>1661</v>
      </c>
      <c r="AF277" s="489">
        <f>0.45*R52</f>
        <v>1225.3500000000001</v>
      </c>
      <c r="AG277" s="486">
        <f>(AF277-$M$72)/5</f>
        <v>101.47000000000003</v>
      </c>
    </row>
    <row r="278" spans="2:37 16384:16384">
      <c r="B278" s="1137" t="s">
        <v>1659</v>
      </c>
      <c r="C278" s="490"/>
      <c r="D278" s="490"/>
      <c r="E278" s="490"/>
      <c r="F278" s="490"/>
      <c r="G278" s="490"/>
      <c r="H278" s="490"/>
      <c r="I278" s="490"/>
      <c r="J278" s="490"/>
      <c r="K278" s="490"/>
      <c r="L278" s="490"/>
      <c r="M278" s="996">
        <v>65</v>
      </c>
      <c r="N278" s="996">
        <f>N286*0.75</f>
        <v>59.25</v>
      </c>
      <c r="O278" s="996">
        <f>O286*0.75</f>
        <v>60</v>
      </c>
      <c r="P278" s="996">
        <v>60</v>
      </c>
      <c r="Q278" s="996">
        <v>70</v>
      </c>
      <c r="R278" s="996">
        <v>70</v>
      </c>
      <c r="S278" s="629">
        <f>S286*S287/1000</f>
        <v>99.125</v>
      </c>
      <c r="T278" s="629">
        <f t="shared" ref="T278:Z278" si="633">T286*T287/1000</f>
        <v>99.125</v>
      </c>
      <c r="U278" s="629">
        <f t="shared" si="633"/>
        <v>135.35599999999999</v>
      </c>
      <c r="V278" s="629">
        <f t="shared" si="633"/>
        <v>135.35599999999999</v>
      </c>
      <c r="W278" s="629">
        <f t="shared" si="633"/>
        <v>135.35599999999999</v>
      </c>
      <c r="X278" s="629">
        <f t="shared" si="633"/>
        <v>135.35599999999999</v>
      </c>
      <c r="Y278" s="629">
        <f t="shared" si="633"/>
        <v>135.35599999999999</v>
      </c>
      <c r="Z278" s="629">
        <f t="shared" si="633"/>
        <v>0</v>
      </c>
      <c r="AD278" s="618" t="s">
        <v>1662</v>
      </c>
      <c r="AF278" s="486">
        <f ca="1">R72</f>
        <v>1085.062456973294</v>
      </c>
      <c r="AG278" s="486">
        <f ca="1">(AF278-$M$72)/5</f>
        <v>73.412491394658815</v>
      </c>
    </row>
    <row r="279" spans="2:37 16384:16384">
      <c r="B279" s="1137" t="s">
        <v>1758</v>
      </c>
      <c r="C279" s="490"/>
      <c r="D279" s="490"/>
      <c r="E279" s="490"/>
      <c r="F279" s="490"/>
      <c r="G279" s="490"/>
      <c r="H279" s="490"/>
      <c r="I279" s="490"/>
      <c r="J279" s="490"/>
      <c r="K279" s="490"/>
      <c r="L279" s="490"/>
      <c r="M279" s="629">
        <f>(800-475)/6</f>
        <v>54.166666666666664</v>
      </c>
      <c r="N279" s="629">
        <f>M279</f>
        <v>54.166666666666664</v>
      </c>
      <c r="O279" s="629">
        <f>N279</f>
        <v>54.166666666666664</v>
      </c>
      <c r="P279" s="629">
        <f>O279</f>
        <v>54.166666666666664</v>
      </c>
      <c r="Q279" s="629">
        <f>P279</f>
        <v>54.166666666666664</v>
      </c>
      <c r="R279" s="629">
        <f>Q279</f>
        <v>54.166666666666664</v>
      </c>
      <c r="S279" s="629">
        <f>R279</f>
        <v>54.166666666666664</v>
      </c>
      <c r="T279" s="629">
        <f t="shared" ref="T279:Z279" si="634">S279</f>
        <v>54.166666666666664</v>
      </c>
      <c r="U279" s="629">
        <f t="shared" si="634"/>
        <v>54.166666666666664</v>
      </c>
      <c r="V279" s="629">
        <f t="shared" si="634"/>
        <v>54.166666666666664</v>
      </c>
      <c r="W279" s="629">
        <f t="shared" si="634"/>
        <v>54.166666666666664</v>
      </c>
      <c r="X279" s="629">
        <f t="shared" si="634"/>
        <v>54.166666666666664</v>
      </c>
      <c r="Y279" s="629">
        <f t="shared" si="634"/>
        <v>54.166666666666664</v>
      </c>
      <c r="Z279" s="629">
        <f t="shared" si="634"/>
        <v>54.166666666666664</v>
      </c>
      <c r="AD279" s="618"/>
      <c r="AF279" s="486"/>
      <c r="AG279" s="486"/>
      <c r="XFD279" s="490"/>
    </row>
    <row r="280" spans="2:37 16384:16384">
      <c r="B280" s="1137" t="s">
        <v>1666</v>
      </c>
      <c r="C280" s="490"/>
      <c r="D280" s="490"/>
      <c r="E280" s="490"/>
      <c r="F280" s="490"/>
      <c r="G280" s="490"/>
      <c r="H280" s="490"/>
      <c r="I280" s="490"/>
      <c r="J280" s="490"/>
      <c r="K280" s="490"/>
      <c r="L280" s="490"/>
      <c r="M280" s="629">
        <f>M276-M277-M278-M279-M281</f>
        <v>11.247333333333337</v>
      </c>
      <c r="N280" s="629">
        <f>M280</f>
        <v>11.247333333333337</v>
      </c>
      <c r="O280" s="629">
        <f t="shared" ref="O280:R280" si="635">N280</f>
        <v>11.247333333333337</v>
      </c>
      <c r="P280" s="629">
        <f t="shared" si="635"/>
        <v>11.247333333333337</v>
      </c>
      <c r="Q280" s="629">
        <f t="shared" si="635"/>
        <v>11.247333333333337</v>
      </c>
      <c r="R280" s="629">
        <f t="shared" si="635"/>
        <v>11.247333333333337</v>
      </c>
      <c r="S280" s="996">
        <f>R280</f>
        <v>11.247333333333337</v>
      </c>
      <c r="T280" s="996">
        <f t="shared" ref="T280:Z280" si="636">S280</f>
        <v>11.247333333333337</v>
      </c>
      <c r="U280" s="996">
        <f t="shared" si="636"/>
        <v>11.247333333333337</v>
      </c>
      <c r="V280" s="996">
        <f t="shared" si="636"/>
        <v>11.247333333333337</v>
      </c>
      <c r="W280" s="996">
        <f t="shared" si="636"/>
        <v>11.247333333333337</v>
      </c>
      <c r="X280" s="996">
        <f t="shared" si="636"/>
        <v>11.247333333333337</v>
      </c>
      <c r="Y280" s="996">
        <f t="shared" si="636"/>
        <v>11.247333333333337</v>
      </c>
      <c r="Z280" s="996">
        <f t="shared" si="636"/>
        <v>11.247333333333337</v>
      </c>
      <c r="AD280" s="618"/>
      <c r="AF280" s="486"/>
      <c r="AG280" s="486"/>
      <c r="XFD280" s="490"/>
    </row>
    <row r="281" spans="2:37 16384:16384">
      <c r="B281" s="1137" t="s">
        <v>1972</v>
      </c>
      <c r="C281" s="490"/>
      <c r="D281" s="490"/>
      <c r="E281" s="490"/>
      <c r="F281" s="490"/>
      <c r="G281" s="490"/>
      <c r="H281" s="490"/>
      <c r="I281" s="490"/>
      <c r="J281" s="490"/>
      <c r="K281" s="490"/>
      <c r="L281" s="490"/>
      <c r="M281" s="629">
        <f>-Model!M131</f>
        <v>45.085999999999999</v>
      </c>
      <c r="N281" s="629">
        <f>-Model!N131</f>
        <v>45</v>
      </c>
      <c r="O281" s="629">
        <f>-Model!O131</f>
        <v>45</v>
      </c>
      <c r="P281" s="629">
        <f>-Model!P131</f>
        <v>45</v>
      </c>
      <c r="Q281" s="629">
        <f>-Model!Q131</f>
        <v>45</v>
      </c>
      <c r="R281" s="629">
        <f>-Model!R131</f>
        <v>45</v>
      </c>
      <c r="S281" s="629">
        <f>-Model!S131</f>
        <v>45</v>
      </c>
      <c r="T281" s="629">
        <f>-Model!T131</f>
        <v>45</v>
      </c>
      <c r="U281" s="629">
        <f>-Model!U131</f>
        <v>45</v>
      </c>
      <c r="V281" s="629">
        <f>-Model!V131</f>
        <v>45</v>
      </c>
      <c r="W281" s="629">
        <f>-Model!W131</f>
        <v>45</v>
      </c>
      <c r="X281" s="629">
        <f>-Model!X131</f>
        <v>45</v>
      </c>
      <c r="Y281" s="629">
        <f>-Model!Y131</f>
        <v>45</v>
      </c>
      <c r="Z281" s="629">
        <f>-Model!Z131</f>
        <v>45</v>
      </c>
      <c r="AD281" s="618" t="s">
        <v>1409</v>
      </c>
      <c r="AF281" s="486">
        <f ca="1">AF277-AF278</f>
        <v>140.28754302670609</v>
      </c>
    </row>
    <row r="282" spans="2:37 16384:16384">
      <c r="B282" s="1137"/>
      <c r="C282" s="490"/>
      <c r="D282" s="490"/>
      <c r="E282" s="490"/>
      <c r="F282" s="490"/>
      <c r="G282" s="490"/>
      <c r="H282" s="490"/>
      <c r="I282" s="490"/>
      <c r="J282" s="490"/>
      <c r="K282" s="490"/>
      <c r="L282" s="490"/>
      <c r="M282" s="629"/>
      <c r="N282" s="629"/>
      <c r="O282" s="629"/>
      <c r="P282" s="629"/>
      <c r="Q282" s="629"/>
      <c r="R282" s="629"/>
      <c r="S282" s="629"/>
      <c r="T282" s="629"/>
      <c r="U282" s="629"/>
      <c r="V282" s="629"/>
      <c r="W282" s="629"/>
      <c r="X282" s="629"/>
      <c r="Y282" s="629"/>
      <c r="Z282" s="629"/>
      <c r="AD282" s="618"/>
      <c r="AF282" s="486"/>
    </row>
    <row r="283" spans="2:37 16384:16384">
      <c r="B283" s="618" t="s">
        <v>1667</v>
      </c>
      <c r="C283" s="490"/>
      <c r="D283" s="490"/>
      <c r="E283" s="490"/>
      <c r="F283" s="490"/>
      <c r="G283" s="490"/>
      <c r="H283" s="490"/>
      <c r="I283" s="490"/>
      <c r="J283" s="490"/>
      <c r="K283" s="490"/>
      <c r="L283" s="490"/>
      <c r="M283" s="490"/>
      <c r="N283" s="726">
        <v>269</v>
      </c>
      <c r="O283" s="726">
        <v>261</v>
      </c>
      <c r="P283" s="726">
        <v>243</v>
      </c>
      <c r="Q283" s="726">
        <v>249</v>
      </c>
      <c r="R283" s="726">
        <v>273</v>
      </c>
      <c r="S283" s="490"/>
      <c r="T283" s="490"/>
      <c r="U283" s="490"/>
      <c r="V283" s="490"/>
      <c r="W283" s="490"/>
      <c r="X283" s="490"/>
      <c r="Y283" s="490"/>
      <c r="Z283" s="490"/>
      <c r="AD283" s="618" t="s">
        <v>1663</v>
      </c>
      <c r="AF283" s="489">
        <f ca="1">AF281/5</f>
        <v>28.057508605341219</v>
      </c>
    </row>
    <row r="284" spans="2:37 16384:16384">
      <c r="C284" s="490"/>
      <c r="D284" s="490"/>
      <c r="E284" s="490"/>
      <c r="F284" s="490"/>
      <c r="G284" s="490"/>
      <c r="H284" s="490"/>
      <c r="I284" s="490"/>
      <c r="J284" s="490"/>
      <c r="K284" s="490"/>
      <c r="L284" s="490"/>
      <c r="M284" s="490"/>
      <c r="N284" s="490"/>
      <c r="O284" s="490"/>
      <c r="P284" s="490"/>
      <c r="Q284" s="490"/>
      <c r="R284" s="490"/>
      <c r="S284" s="490"/>
      <c r="T284" s="490"/>
      <c r="U284" s="490"/>
      <c r="V284" s="490"/>
      <c r="W284" s="490"/>
      <c r="X284" s="490"/>
      <c r="Y284" s="490"/>
      <c r="Z284" s="490"/>
      <c r="AD284" s="618"/>
    </row>
    <row r="285" spans="2:37 16384:16384">
      <c r="C285" s="490"/>
      <c r="D285" s="490"/>
      <c r="E285" s="490"/>
      <c r="F285" s="490"/>
      <c r="G285" s="490"/>
      <c r="H285" s="490"/>
      <c r="I285" s="490"/>
      <c r="J285" s="490"/>
      <c r="K285" s="490"/>
      <c r="L285" s="490"/>
      <c r="M285" s="490"/>
      <c r="N285" s="490"/>
      <c r="O285" s="490"/>
      <c r="P285" s="490"/>
      <c r="Q285" s="490"/>
      <c r="R285" s="490"/>
      <c r="S285" s="490"/>
      <c r="T285" s="490"/>
      <c r="U285" s="490"/>
      <c r="V285" s="490"/>
      <c r="W285" s="490"/>
      <c r="X285" s="490"/>
      <c r="Y285" s="490"/>
      <c r="Z285" s="490"/>
      <c r="AD285" s="618"/>
    </row>
    <row r="286" spans="2:37 16384:16384">
      <c r="B286" s="618" t="s">
        <v>1756</v>
      </c>
      <c r="C286" s="490"/>
      <c r="D286" s="490"/>
      <c r="E286" s="490"/>
      <c r="F286" s="490"/>
      <c r="G286" s="490"/>
      <c r="H286" s="490"/>
      <c r="I286" s="490"/>
      <c r="J286" s="490"/>
      <c r="K286" s="490"/>
      <c r="L286" s="490"/>
      <c r="M286" s="629">
        <f>M302-L302</f>
        <v>36</v>
      </c>
      <c r="N286" s="629">
        <f>N302-M302</f>
        <v>79</v>
      </c>
      <c r="O286" s="629">
        <f t="shared" ref="O286:Z286" si="637">O302-N302</f>
        <v>80</v>
      </c>
      <c r="P286" s="629">
        <f t="shared" si="637"/>
        <v>80</v>
      </c>
      <c r="Q286" s="629">
        <f t="shared" si="637"/>
        <v>152.5</v>
      </c>
      <c r="R286" s="629">
        <f t="shared" si="637"/>
        <v>152.5</v>
      </c>
      <c r="S286" s="629">
        <f t="shared" si="637"/>
        <v>152.5</v>
      </c>
      <c r="T286" s="629">
        <f t="shared" si="637"/>
        <v>152.5</v>
      </c>
      <c r="U286" s="629">
        <f t="shared" si="637"/>
        <v>208.24</v>
      </c>
      <c r="V286" s="629">
        <f t="shared" si="637"/>
        <v>208.24</v>
      </c>
      <c r="W286" s="629">
        <f t="shared" si="637"/>
        <v>208.24</v>
      </c>
      <c r="X286" s="629">
        <f t="shared" si="637"/>
        <v>208.24</v>
      </c>
      <c r="Y286" s="629">
        <f t="shared" si="637"/>
        <v>208.24</v>
      </c>
      <c r="Z286" s="629">
        <f t="shared" si="637"/>
        <v>0</v>
      </c>
      <c r="AD286" s="618"/>
    </row>
    <row r="287" spans="2:37 16384:16384">
      <c r="B287" s="618" t="s">
        <v>1759</v>
      </c>
      <c r="C287" s="490"/>
      <c r="D287" s="490"/>
      <c r="E287" s="490"/>
      <c r="F287" s="490"/>
      <c r="G287" s="490"/>
      <c r="H287" s="490"/>
      <c r="I287" s="490"/>
      <c r="J287" s="490"/>
      <c r="K287" s="490"/>
      <c r="L287" s="490"/>
      <c r="M287" s="629">
        <f t="shared" ref="M287:R287" si="638">M278/M286*1000</f>
        <v>1805.5555555555557</v>
      </c>
      <c r="N287" s="629">
        <f t="shared" si="638"/>
        <v>750</v>
      </c>
      <c r="O287" s="629">
        <f t="shared" si="638"/>
        <v>750</v>
      </c>
      <c r="P287" s="629">
        <f t="shared" si="638"/>
        <v>750</v>
      </c>
      <c r="Q287" s="629">
        <f t="shared" si="638"/>
        <v>459.01639344262298</v>
      </c>
      <c r="R287" s="629">
        <f t="shared" si="638"/>
        <v>459.01639344262298</v>
      </c>
      <c r="S287" s="996">
        <v>650</v>
      </c>
      <c r="T287" s="996">
        <v>650</v>
      </c>
      <c r="U287" s="996">
        <v>650</v>
      </c>
      <c r="V287" s="996">
        <v>650</v>
      </c>
      <c r="W287" s="996">
        <v>650</v>
      </c>
      <c r="X287" s="996">
        <v>650</v>
      </c>
      <c r="Y287" s="996">
        <v>650</v>
      </c>
      <c r="Z287" s="490"/>
      <c r="AD287" s="618"/>
    </row>
    <row r="288" spans="2:37 16384:16384">
      <c r="B288" s="618" t="s">
        <v>1757</v>
      </c>
      <c r="C288" s="490"/>
      <c r="D288" s="490"/>
      <c r="E288" s="490"/>
      <c r="F288" s="490"/>
      <c r="G288" s="490"/>
      <c r="H288" s="490"/>
      <c r="I288" s="490"/>
      <c r="J288" s="490"/>
      <c r="K288" s="490"/>
      <c r="L288" s="490"/>
      <c r="M288" s="629">
        <f>M278/M286*1000</f>
        <v>1805.5555555555557</v>
      </c>
      <c r="N288" s="629">
        <f>SUM($M$278:N278)/SUM($M$286:N286)*1000</f>
        <v>1080.4347826086957</v>
      </c>
      <c r="O288" s="629">
        <f>SUM($M$278:O278)/SUM($M$286:O286)*1000</f>
        <v>944.8717948717948</v>
      </c>
      <c r="P288" s="629">
        <f>SUM($M$278:P278)/SUM($M$286:P286)*1000</f>
        <v>888.18181818181813</v>
      </c>
      <c r="Q288" s="629">
        <f>SUM($M$278:Q278)/SUM($M$286:Q286)*1000</f>
        <v>735.08771929824559</v>
      </c>
      <c r="R288" s="629">
        <f>SUM($M$278:R278)/SUM($M$286:R286)*1000</f>
        <v>662.5</v>
      </c>
      <c r="S288" s="490"/>
      <c r="T288" s="490"/>
      <c r="U288" s="490"/>
      <c r="V288" s="490"/>
      <c r="W288" s="490"/>
      <c r="X288" s="490"/>
      <c r="Y288" s="490"/>
      <c r="Z288" s="490"/>
      <c r="AD288" s="618"/>
    </row>
    <row r="289" spans="2:30">
      <c r="C289" s="490"/>
      <c r="D289" s="490"/>
      <c r="E289" s="490"/>
      <c r="F289" s="490"/>
      <c r="G289" s="490"/>
      <c r="H289" s="490"/>
      <c r="I289" s="490"/>
      <c r="J289" s="490"/>
      <c r="K289" s="490"/>
      <c r="L289" s="490"/>
      <c r="M289" s="490"/>
      <c r="N289" s="490"/>
      <c r="O289" s="490"/>
      <c r="P289" s="490"/>
      <c r="Q289" s="490"/>
      <c r="R289" s="490"/>
      <c r="S289" s="490"/>
      <c r="T289" s="490"/>
      <c r="U289" s="490"/>
      <c r="V289" s="490"/>
      <c r="W289" s="490"/>
      <c r="X289" s="490"/>
      <c r="Y289" s="490"/>
      <c r="Z289" s="490"/>
      <c r="AD289" s="618"/>
    </row>
    <row r="290" spans="2:30">
      <c r="B290" s="618" t="s">
        <v>1803</v>
      </c>
      <c r="C290" s="490"/>
      <c r="D290" s="490"/>
      <c r="E290" s="490"/>
      <c r="F290" s="490"/>
      <c r="G290" s="490"/>
      <c r="H290" s="490"/>
      <c r="I290" s="490"/>
      <c r="J290" s="490"/>
      <c r="K290" s="490"/>
      <c r="L290" s="490"/>
      <c r="M290" s="629">
        <f t="shared" ref="M290:Z290" ca="1" si="639">M70-L70</f>
        <v>46.961538461538453</v>
      </c>
      <c r="N290" s="629">
        <f t="shared" ca="1" si="639"/>
        <v>25.004972772035103</v>
      </c>
      <c r="O290" s="629">
        <f t="shared" ca="1" si="639"/>
        <v>57.797880751296248</v>
      </c>
      <c r="P290" s="629">
        <f t="shared" ca="1" si="639"/>
        <v>55.573880751296201</v>
      </c>
      <c r="Q290" s="629">
        <f t="shared" ca="1" si="639"/>
        <v>50.875880751296222</v>
      </c>
      <c r="R290" s="629">
        <f t="shared" ca="1" si="639"/>
        <v>38.755880751296218</v>
      </c>
      <c r="S290" s="629">
        <f t="shared" ca="1" si="639"/>
        <v>28.481761502592462</v>
      </c>
      <c r="T290" s="629">
        <f t="shared" ca="1" si="639"/>
        <v>16.261761502592321</v>
      </c>
      <c r="U290" s="629">
        <f t="shared" ca="1" si="639"/>
        <v>16.361761502592344</v>
      </c>
      <c r="V290" s="629">
        <f t="shared" ca="1" si="639"/>
        <v>16.461761502592367</v>
      </c>
      <c r="W290" s="629">
        <f t="shared" ca="1" si="639"/>
        <v>16.56176150259239</v>
      </c>
      <c r="X290" s="629">
        <f t="shared" ca="1" si="639"/>
        <v>16.661761502592299</v>
      </c>
      <c r="Y290" s="629">
        <f t="shared" ca="1" si="639"/>
        <v>16.761761502592435</v>
      </c>
      <c r="Z290" s="629">
        <f t="shared" ca="1" si="639"/>
        <v>16.861761502592344</v>
      </c>
      <c r="AD290" s="618"/>
    </row>
    <row r="291" spans="2:30">
      <c r="B291" s="618" t="s">
        <v>1762</v>
      </c>
      <c r="C291" s="490"/>
      <c r="D291" s="490"/>
      <c r="E291" s="490"/>
      <c r="F291" s="490"/>
      <c r="G291" s="490"/>
      <c r="H291" s="490"/>
      <c r="I291" s="490"/>
      <c r="J291" s="490"/>
      <c r="K291" s="490"/>
      <c r="L291" s="490"/>
      <c r="M291" s="515">
        <v>0.14000000000000001</v>
      </c>
      <c r="N291" s="515">
        <v>0.14000000000000001</v>
      </c>
      <c r="O291" s="515">
        <v>0.14000000000000001</v>
      </c>
      <c r="P291" s="515">
        <v>0.14000000000000001</v>
      </c>
      <c r="Q291" s="515">
        <v>0.14000000000000001</v>
      </c>
      <c r="R291" s="515">
        <v>0.14000000000000001</v>
      </c>
      <c r="S291" s="515">
        <v>0.14000000000000001</v>
      </c>
      <c r="T291" s="515">
        <v>0.14000000000000001</v>
      </c>
      <c r="U291" s="515">
        <v>0.14000000000000001</v>
      </c>
      <c r="V291" s="515">
        <v>0.14000000000000001</v>
      </c>
      <c r="W291" s="515">
        <v>0.14000000000000001</v>
      </c>
      <c r="X291" s="515">
        <v>0.14000000000000001</v>
      </c>
      <c r="Y291" s="515">
        <v>0.14000000000000001</v>
      </c>
      <c r="Z291" s="515">
        <v>0.14000000000000001</v>
      </c>
      <c r="AD291" s="618"/>
    </row>
    <row r="292" spans="2:30">
      <c r="B292" s="618" t="s">
        <v>1763</v>
      </c>
      <c r="C292" s="490"/>
      <c r="D292" s="490"/>
      <c r="E292" s="490"/>
      <c r="F292" s="490"/>
      <c r="G292" s="490"/>
      <c r="H292" s="490"/>
      <c r="I292" s="490"/>
      <c r="J292" s="490"/>
      <c r="K292" s="490"/>
      <c r="L292" s="490"/>
      <c r="M292" s="629">
        <f ca="1">M290+M291*L70</f>
        <v>137.54153846153847</v>
      </c>
      <c r="N292" s="629">
        <f ca="1">N290+N291*M70+50</f>
        <v>172.1595881566505</v>
      </c>
      <c r="O292" s="629">
        <f t="shared" ref="O292:Z292" ca="1" si="640">O290+O291*N70</f>
        <v>158.45319232399657</v>
      </c>
      <c r="P292" s="629">
        <f t="shared" ca="1" si="640"/>
        <v>164.32089562917798</v>
      </c>
      <c r="Q292" s="629">
        <f t="shared" ca="1" si="640"/>
        <v>167.40323893435948</v>
      </c>
      <c r="R292" s="629">
        <f t="shared" ca="1" si="640"/>
        <v>162.40586223954094</v>
      </c>
      <c r="S292" s="629">
        <f t="shared" ca="1" si="640"/>
        <v>157.55756629601865</v>
      </c>
      <c r="T292" s="629">
        <f t="shared" ca="1" si="640"/>
        <v>149.32501290638146</v>
      </c>
      <c r="U292" s="629">
        <f t="shared" ca="1" si="640"/>
        <v>151.7016595167444</v>
      </c>
      <c r="V292" s="629">
        <f t="shared" ca="1" si="640"/>
        <v>154.09230612710735</v>
      </c>
      <c r="W292" s="629">
        <f t="shared" ca="1" si="640"/>
        <v>156.49695273747031</v>
      </c>
      <c r="X292" s="629">
        <f t="shared" ca="1" si="640"/>
        <v>158.91559934783317</v>
      </c>
      <c r="Y292" s="629">
        <f t="shared" ca="1" si="640"/>
        <v>161.34824595819623</v>
      </c>
      <c r="Z292" s="629">
        <f t="shared" ca="1" si="640"/>
        <v>163.79489256855908</v>
      </c>
      <c r="AD292" s="618"/>
    </row>
    <row r="293" spans="2:30">
      <c r="B293" s="618" t="s">
        <v>1764</v>
      </c>
      <c r="C293" s="490"/>
      <c r="D293" s="490"/>
      <c r="E293" s="490"/>
      <c r="F293" s="490"/>
      <c r="G293" s="490"/>
      <c r="H293" s="490"/>
      <c r="I293" s="490"/>
      <c r="J293" s="490"/>
      <c r="K293" s="490"/>
      <c r="L293" s="490"/>
      <c r="M293" s="726">
        <v>224</v>
      </c>
      <c r="N293" s="726">
        <v>265</v>
      </c>
      <c r="O293" s="726">
        <v>235</v>
      </c>
      <c r="P293" s="726">
        <v>235</v>
      </c>
      <c r="Q293" s="726">
        <v>235</v>
      </c>
      <c r="R293" s="726">
        <v>235</v>
      </c>
      <c r="S293" s="726">
        <v>235</v>
      </c>
      <c r="T293" s="726">
        <v>235</v>
      </c>
      <c r="U293" s="726">
        <v>235</v>
      </c>
      <c r="V293" s="726">
        <v>235</v>
      </c>
      <c r="W293" s="726">
        <v>235</v>
      </c>
      <c r="X293" s="726">
        <v>235</v>
      </c>
      <c r="Y293" s="726">
        <v>235</v>
      </c>
      <c r="Z293" s="726">
        <v>235</v>
      </c>
      <c r="AD293" s="618"/>
    </row>
    <row r="294" spans="2:30">
      <c r="B294" s="618" t="s">
        <v>1765</v>
      </c>
      <c r="C294" s="490"/>
      <c r="D294" s="490"/>
      <c r="E294" s="490"/>
      <c r="F294" s="490"/>
      <c r="G294" s="490"/>
      <c r="H294" s="490"/>
      <c r="I294" s="490"/>
      <c r="J294" s="490"/>
      <c r="K294" s="490"/>
      <c r="L294" s="490"/>
      <c r="M294" s="629">
        <f ca="1">M292*M293/1000</f>
        <v>30.809304615384615</v>
      </c>
      <c r="N294" s="629">
        <f t="shared" ref="N294:Z294" ca="1" si="641">N292*N293/1000</f>
        <v>45.622290861512383</v>
      </c>
      <c r="O294" s="629">
        <f t="shared" ca="1" si="641"/>
        <v>37.236500196139197</v>
      </c>
      <c r="P294" s="629">
        <f t="shared" ca="1" si="641"/>
        <v>38.61541047285683</v>
      </c>
      <c r="Q294" s="629">
        <f t="shared" ca="1" si="641"/>
        <v>39.339761149574478</v>
      </c>
      <c r="R294" s="629">
        <f t="shared" ca="1" si="641"/>
        <v>38.165377626292127</v>
      </c>
      <c r="S294" s="629">
        <f t="shared" ca="1" si="641"/>
        <v>37.026028079564384</v>
      </c>
      <c r="T294" s="629">
        <f t="shared" ca="1" si="641"/>
        <v>35.091378032999643</v>
      </c>
      <c r="U294" s="629">
        <f t="shared" ca="1" si="641"/>
        <v>35.649889986434935</v>
      </c>
      <c r="V294" s="629">
        <f t="shared" ca="1" si="641"/>
        <v>36.211691939870228</v>
      </c>
      <c r="W294" s="629">
        <f t="shared" ca="1" si="641"/>
        <v>36.776783893305527</v>
      </c>
      <c r="X294" s="629">
        <f t="shared" ca="1" si="641"/>
        <v>37.345165846740791</v>
      </c>
      <c r="Y294" s="629">
        <f t="shared" ca="1" si="641"/>
        <v>37.916837800176118</v>
      </c>
      <c r="Z294" s="629">
        <f t="shared" ca="1" si="641"/>
        <v>38.491799753611382</v>
      </c>
      <c r="AD294" s="618"/>
    </row>
    <row r="295" spans="2:30">
      <c r="B295" s="618" t="s">
        <v>1768</v>
      </c>
      <c r="C295" s="490"/>
      <c r="D295" s="490"/>
      <c r="E295" s="490"/>
      <c r="F295" s="490"/>
      <c r="G295" s="490"/>
      <c r="H295" s="490"/>
      <c r="I295" s="490"/>
      <c r="J295" s="490"/>
      <c r="K295" s="490"/>
      <c r="L295" s="490"/>
      <c r="M295" s="629">
        <f ca="1">M296-M294</f>
        <v>0.19069538461538471</v>
      </c>
      <c r="N295" s="629">
        <f ca="1">M295</f>
        <v>0.19069538461538471</v>
      </c>
      <c r="O295" s="629">
        <f t="shared" ref="O295:Z295" ca="1" si="642">N295</f>
        <v>0.19069538461538471</v>
      </c>
      <c r="P295" s="629">
        <f t="shared" ca="1" si="642"/>
        <v>0.19069538461538471</v>
      </c>
      <c r="Q295" s="629">
        <f t="shared" ca="1" si="642"/>
        <v>0.19069538461538471</v>
      </c>
      <c r="R295" s="629">
        <f t="shared" ca="1" si="642"/>
        <v>0.19069538461538471</v>
      </c>
      <c r="S295" s="629">
        <f t="shared" ca="1" si="642"/>
        <v>0.19069538461538471</v>
      </c>
      <c r="T295" s="629">
        <f t="shared" ca="1" si="642"/>
        <v>0.19069538461538471</v>
      </c>
      <c r="U295" s="629">
        <f t="shared" ca="1" si="642"/>
        <v>0.19069538461538471</v>
      </c>
      <c r="V295" s="629">
        <f t="shared" ca="1" si="642"/>
        <v>0.19069538461538471</v>
      </c>
      <c r="W295" s="629">
        <f t="shared" ca="1" si="642"/>
        <v>0.19069538461538471</v>
      </c>
      <c r="X295" s="629">
        <f t="shared" ca="1" si="642"/>
        <v>0.19069538461538471</v>
      </c>
      <c r="Y295" s="629">
        <f t="shared" ca="1" si="642"/>
        <v>0.19069538461538471</v>
      </c>
      <c r="Z295" s="629">
        <f t="shared" ca="1" si="642"/>
        <v>0.19069538461538471</v>
      </c>
      <c r="AD295" s="618"/>
    </row>
    <row r="296" spans="2:30">
      <c r="B296" s="618" t="s">
        <v>1769</v>
      </c>
      <c r="C296" s="490"/>
      <c r="D296" s="490"/>
      <c r="E296" s="490"/>
      <c r="F296" s="490"/>
      <c r="G296" s="490"/>
      <c r="H296" s="490"/>
      <c r="I296" s="490"/>
      <c r="J296" s="490"/>
      <c r="K296" s="490"/>
      <c r="L296" s="490"/>
      <c r="M296" s="996">
        <v>31</v>
      </c>
      <c r="N296" s="629">
        <f ca="1">N294+N295</f>
        <v>45.812986246127764</v>
      </c>
      <c r="O296" s="629">
        <f t="shared" ref="O296:Z296" ca="1" si="643">O294+O295</f>
        <v>37.427195580754585</v>
      </c>
      <c r="P296" s="629">
        <f t="shared" ca="1" si="643"/>
        <v>38.806105857472218</v>
      </c>
      <c r="Q296" s="629">
        <f t="shared" ca="1" si="643"/>
        <v>39.530456534189867</v>
      </c>
      <c r="R296" s="629">
        <f t="shared" ca="1" si="643"/>
        <v>38.356073010907508</v>
      </c>
      <c r="S296" s="629">
        <f t="shared" ca="1" si="643"/>
        <v>37.216723464179765</v>
      </c>
      <c r="T296" s="629">
        <f t="shared" ca="1" si="643"/>
        <v>35.282073417615024</v>
      </c>
      <c r="U296" s="629">
        <f t="shared" ca="1" si="643"/>
        <v>35.840585371050324</v>
      </c>
      <c r="V296" s="629">
        <f t="shared" ca="1" si="643"/>
        <v>36.402387324485616</v>
      </c>
      <c r="W296" s="629">
        <f t="shared" ca="1" si="643"/>
        <v>36.967479277920916</v>
      </c>
      <c r="X296" s="629">
        <f t="shared" ca="1" si="643"/>
        <v>37.535861231356179</v>
      </c>
      <c r="Y296" s="629">
        <f t="shared" ca="1" si="643"/>
        <v>38.107533184791507</v>
      </c>
      <c r="Z296" s="629">
        <f t="shared" ca="1" si="643"/>
        <v>38.68249513822677</v>
      </c>
      <c r="AD296" s="618"/>
    </row>
    <row r="297" spans="2:30">
      <c r="C297" s="490"/>
      <c r="D297" s="490"/>
      <c r="E297" s="490"/>
      <c r="F297" s="490"/>
      <c r="G297" s="490"/>
      <c r="H297" s="490"/>
      <c r="I297" s="490"/>
      <c r="J297" s="490"/>
      <c r="K297" s="490"/>
      <c r="L297" s="490"/>
      <c r="M297" s="490"/>
      <c r="N297" s="490"/>
      <c r="O297" s="490"/>
      <c r="P297" s="490"/>
      <c r="Q297" s="490"/>
      <c r="R297" s="490"/>
      <c r="S297" s="490"/>
      <c r="T297" s="490"/>
      <c r="U297" s="490"/>
      <c r="V297" s="490"/>
      <c r="W297" s="490"/>
      <c r="X297" s="490"/>
      <c r="Y297" s="490"/>
      <c r="Z297" s="490"/>
      <c r="AD297" s="618"/>
    </row>
    <row r="298" spans="2:30">
      <c r="B298" s="618" t="s">
        <v>1770</v>
      </c>
      <c r="C298" s="490"/>
      <c r="D298" s="490"/>
      <c r="E298" s="490"/>
      <c r="F298" s="490"/>
      <c r="G298" s="490"/>
      <c r="H298" s="490"/>
      <c r="I298" s="490"/>
      <c r="J298" s="490"/>
      <c r="K298" s="490"/>
      <c r="L298" s="490"/>
      <c r="M298" s="996">
        <v>22</v>
      </c>
      <c r="N298" s="629">
        <f t="shared" ref="N298:Z298" ca="1" si="644">M298*N70/M70</f>
        <v>22.792708774904622</v>
      </c>
      <c r="O298" s="629">
        <f t="shared" ca="1" si="644"/>
        <v>24.625019798001748</v>
      </c>
      <c r="P298" s="629">
        <f t="shared" ca="1" si="644"/>
        <v>26.386825472764343</v>
      </c>
      <c r="Q298" s="629">
        <f t="shared" ca="1" si="644"/>
        <v>27.999694939579257</v>
      </c>
      <c r="R298" s="629">
        <f t="shared" ca="1" si="644"/>
        <v>29.228335619607051</v>
      </c>
      <c r="S298" s="629">
        <f t="shared" ca="1" si="644"/>
        <v>30.13126570770121</v>
      </c>
      <c r="T298" s="629">
        <f t="shared" ca="1" si="644"/>
        <v>30.646796804496802</v>
      </c>
      <c r="U298" s="629">
        <f t="shared" ca="1" si="644"/>
        <v>31.165498105803835</v>
      </c>
      <c r="V298" s="629">
        <f t="shared" ca="1" si="644"/>
        <v>31.687369611622316</v>
      </c>
      <c r="W298" s="629">
        <f t="shared" ca="1" si="644"/>
        <v>32.212411321952246</v>
      </c>
      <c r="X298" s="629">
        <f t="shared" ca="1" si="644"/>
        <v>32.740623236793617</v>
      </c>
      <c r="Y298" s="629">
        <f t="shared" ca="1" si="644"/>
        <v>33.27200535614643</v>
      </c>
      <c r="Z298" s="629">
        <f t="shared" ca="1" si="644"/>
        <v>33.806557680010691</v>
      </c>
      <c r="AD298" s="618"/>
    </row>
    <row r="299" spans="2:30">
      <c r="C299" s="490"/>
      <c r="D299" s="490"/>
      <c r="E299" s="490"/>
      <c r="F299" s="490"/>
      <c r="G299" s="490"/>
      <c r="H299" s="490"/>
      <c r="I299" s="490"/>
      <c r="J299" s="490"/>
      <c r="K299" s="490"/>
      <c r="L299" s="490"/>
      <c r="M299" s="629"/>
      <c r="N299" s="490"/>
      <c r="O299" s="490"/>
      <c r="P299" s="490"/>
      <c r="Q299" s="490"/>
      <c r="R299" s="490"/>
      <c r="S299" s="490"/>
      <c r="T299" s="490"/>
      <c r="U299" s="490"/>
      <c r="V299" s="490"/>
      <c r="W299" s="490"/>
      <c r="X299" s="490"/>
      <c r="Y299" s="490"/>
      <c r="Z299" s="490"/>
      <c r="AD299" s="618"/>
    </row>
    <row r="301" spans="2:30">
      <c r="B301" s="618" t="s">
        <v>1590</v>
      </c>
      <c r="L301" s="1364">
        <v>320</v>
      </c>
      <c r="M301" s="1364">
        <v>384</v>
      </c>
      <c r="N301" s="725">
        <f>M301-25</f>
        <v>359</v>
      </c>
      <c r="O301" s="725">
        <f t="shared" ref="O301:Q301" si="645">N301-25</f>
        <v>334</v>
      </c>
      <c r="P301" s="725">
        <f t="shared" si="645"/>
        <v>309</v>
      </c>
      <c r="Q301" s="725">
        <f t="shared" si="645"/>
        <v>284</v>
      </c>
      <c r="R301" s="726">
        <f>R38*0.09</f>
        <v>217.70999999999998</v>
      </c>
      <c r="S301" s="725">
        <f>R301-5</f>
        <v>212.70999999999998</v>
      </c>
      <c r="T301" s="725">
        <f t="shared" ref="T301:X301" si="646">S301-5</f>
        <v>207.70999999999998</v>
      </c>
      <c r="U301" s="725">
        <f t="shared" si="646"/>
        <v>202.70999999999998</v>
      </c>
      <c r="V301" s="725">
        <f t="shared" si="646"/>
        <v>197.70999999999998</v>
      </c>
      <c r="W301" s="725">
        <f t="shared" si="646"/>
        <v>192.70999999999998</v>
      </c>
      <c r="X301" s="725">
        <f t="shared" si="646"/>
        <v>187.70999999999998</v>
      </c>
      <c r="Y301" s="726">
        <f>$Y$38*0.05</f>
        <v>124.45</v>
      </c>
      <c r="Z301" s="725">
        <f>Y301</f>
        <v>124.45</v>
      </c>
    </row>
    <row r="302" spans="2:30">
      <c r="B302" s="618" t="s">
        <v>1591</v>
      </c>
      <c r="L302" s="1364">
        <v>65</v>
      </c>
      <c r="M302" s="1364">
        <v>101</v>
      </c>
      <c r="N302" s="1365">
        <v>180</v>
      </c>
      <c r="O302" s="1365">
        <f>N302+80</f>
        <v>260</v>
      </c>
      <c r="P302" s="1365">
        <f>O302+80</f>
        <v>340</v>
      </c>
      <c r="Q302" s="725">
        <f>P302+($T$302-$P$302)/4</f>
        <v>492.5</v>
      </c>
      <c r="R302" s="725">
        <f>Q302+($T$302-$P$302)/4</f>
        <v>645</v>
      </c>
      <c r="S302" s="725">
        <f>R302+($T$302-$P$302)/4</f>
        <v>797.5</v>
      </c>
      <c r="T302" s="726">
        <v>950</v>
      </c>
      <c r="U302" s="725">
        <f>T302+($Y$302-$T$302)/5</f>
        <v>1158.24</v>
      </c>
      <c r="V302" s="725">
        <f t="shared" ref="V302:X302" si="647">U302+($Y$302-$T$302)/5</f>
        <v>1366.48</v>
      </c>
      <c r="W302" s="725">
        <f t="shared" si="647"/>
        <v>1574.72</v>
      </c>
      <c r="X302" s="725">
        <f t="shared" si="647"/>
        <v>1782.96</v>
      </c>
      <c r="Y302" s="726">
        <f>$Y$38*0.8</f>
        <v>1991.2</v>
      </c>
      <c r="Z302" s="725">
        <f t="shared" ref="Z302:Z304" si="648">Y302</f>
        <v>1991.2</v>
      </c>
    </row>
    <row r="303" spans="2:30">
      <c r="B303" s="618" t="s">
        <v>1592</v>
      </c>
      <c r="L303" s="1364">
        <v>1200</v>
      </c>
      <c r="M303" s="1364">
        <v>1701</v>
      </c>
      <c r="N303" s="725">
        <f>N38-N301-N302-N304</f>
        <v>1697</v>
      </c>
      <c r="O303" s="725">
        <f>O38-O301-O302-O304</f>
        <v>1682</v>
      </c>
      <c r="P303" s="725">
        <f>P38-P301-P302-P304</f>
        <v>1667</v>
      </c>
      <c r="Q303" s="725">
        <f>Q38-Q301-Q302-Q304</f>
        <v>1579.5</v>
      </c>
      <c r="R303" s="725">
        <f>R38-R301-R302-R304</f>
        <v>1556.29</v>
      </c>
      <c r="S303" s="725">
        <f t="shared" ref="S303:X303" si="649">S38-S301-S302</f>
        <v>1418.79</v>
      </c>
      <c r="T303" s="725">
        <f t="shared" si="649"/>
        <v>1281.29</v>
      </c>
      <c r="U303" s="725">
        <f t="shared" si="649"/>
        <v>1088.05</v>
      </c>
      <c r="V303" s="725">
        <f t="shared" si="649"/>
        <v>894.81</v>
      </c>
      <c r="W303" s="725">
        <f t="shared" si="649"/>
        <v>701.56999999999994</v>
      </c>
      <c r="X303" s="725">
        <f t="shared" si="649"/>
        <v>508.32999999999993</v>
      </c>
      <c r="Y303" s="726">
        <f>$Y$38*0.15</f>
        <v>373.34999999999997</v>
      </c>
      <c r="Z303" s="725">
        <f t="shared" si="648"/>
        <v>373.34999999999997</v>
      </c>
    </row>
    <row r="304" spans="2:30">
      <c r="B304" s="618" t="s">
        <v>1593</v>
      </c>
      <c r="L304" s="1366">
        <f>L38-L301-L302-L303</f>
        <v>720.10100000000011</v>
      </c>
      <c r="M304" s="1366">
        <f>M38-M301-M302-M303</f>
        <v>173</v>
      </c>
      <c r="N304" s="725">
        <f>M304-30</f>
        <v>143</v>
      </c>
      <c r="O304" s="725">
        <f t="shared" ref="O304:Q304" si="650">N304-30</f>
        <v>113</v>
      </c>
      <c r="P304" s="725">
        <f t="shared" si="650"/>
        <v>83</v>
      </c>
      <c r="Q304" s="725">
        <f t="shared" si="650"/>
        <v>53</v>
      </c>
      <c r="R304" s="726">
        <v>0</v>
      </c>
      <c r="S304" s="725">
        <v>0</v>
      </c>
      <c r="T304" s="725">
        <v>0</v>
      </c>
      <c r="U304" s="725">
        <v>0</v>
      </c>
      <c r="V304" s="725">
        <v>0</v>
      </c>
      <c r="W304" s="725">
        <v>0</v>
      </c>
      <c r="X304" s="725">
        <v>0</v>
      </c>
      <c r="Y304" s="725">
        <v>0</v>
      </c>
      <c r="Z304" s="725">
        <f t="shared" si="648"/>
        <v>0</v>
      </c>
    </row>
    <row r="306" spans="1:26">
      <c r="R306" s="938">
        <f>(R302)-M302</f>
        <v>544</v>
      </c>
      <c r="S306" s="618" t="s">
        <v>1636</v>
      </c>
    </row>
    <row r="307" spans="1:26">
      <c r="R307" s="629">
        <f>R306*650/1000</f>
        <v>353.6</v>
      </c>
      <c r="S307" s="618" t="s">
        <v>1637</v>
      </c>
    </row>
    <row r="308" spans="1:26">
      <c r="R308" s="938">
        <f>R307/5</f>
        <v>70.72</v>
      </c>
      <c r="S308" s="618" t="s">
        <v>1638</v>
      </c>
    </row>
    <row r="311" spans="1:26" s="513" customFormat="1">
      <c r="A311" s="722"/>
      <c r="B311" s="513" t="s">
        <v>1792</v>
      </c>
      <c r="C311" s="513">
        <v>2013</v>
      </c>
      <c r="D311" s="513">
        <v>2014</v>
      </c>
      <c r="E311" s="513">
        <v>2015</v>
      </c>
      <c r="F311" s="513">
        <v>2016</v>
      </c>
      <c r="G311" s="513">
        <v>2017</v>
      </c>
      <c r="H311" s="513">
        <v>2018</v>
      </c>
      <c r="I311" s="513">
        <v>2019</v>
      </c>
      <c r="J311" s="513">
        <f>I311+1</f>
        <v>2020</v>
      </c>
      <c r="K311" s="513">
        <f t="shared" ref="K311" si="651">J311+1</f>
        <v>2021</v>
      </c>
      <c r="L311" s="513">
        <f t="shared" ref="L311" si="652">K311+1</f>
        <v>2022</v>
      </c>
      <c r="M311" s="513">
        <f t="shared" ref="M311" si="653">L311+1</f>
        <v>2023</v>
      </c>
      <c r="N311" s="513">
        <f t="shared" ref="N311" si="654">M311+1</f>
        <v>2024</v>
      </c>
      <c r="O311" s="513">
        <f t="shared" ref="O311" si="655">N311+1</f>
        <v>2025</v>
      </c>
      <c r="P311" s="513">
        <f t="shared" ref="P311" si="656">O311+1</f>
        <v>2026</v>
      </c>
      <c r="Q311" s="513">
        <f t="shared" ref="Q311" si="657">P311+1</f>
        <v>2027</v>
      </c>
      <c r="R311" s="513">
        <f t="shared" ref="R311" si="658">Q311+1</f>
        <v>2028</v>
      </c>
      <c r="S311" s="513">
        <f t="shared" ref="S311" si="659">R311+1</f>
        <v>2029</v>
      </c>
      <c r="T311" s="513">
        <f t="shared" ref="T311" si="660">S311+1</f>
        <v>2030</v>
      </c>
      <c r="U311" s="513">
        <f t="shared" ref="U311" si="661">T311+1</f>
        <v>2031</v>
      </c>
      <c r="V311" s="513">
        <f t="shared" ref="V311" si="662">U311+1</f>
        <v>2032</v>
      </c>
      <c r="W311" s="513">
        <f t="shared" ref="W311" si="663">V311+1</f>
        <v>2033</v>
      </c>
      <c r="X311" s="513">
        <f t="shared" ref="X311" si="664">W311+1</f>
        <v>2034</v>
      </c>
      <c r="Y311" s="513">
        <f t="shared" ref="Y311" si="665">X311+1</f>
        <v>2035</v>
      </c>
      <c r="Z311" s="513">
        <f t="shared" ref="Z311" si="666">Y311+1</f>
        <v>2036</v>
      </c>
    </row>
    <row r="312" spans="1:26">
      <c r="B312" s="618" t="s">
        <v>34</v>
      </c>
      <c r="L312" s="486">
        <f t="shared" ref="L312:Z312" si="667">L54</f>
        <v>2034.6155000000001</v>
      </c>
      <c r="M312" s="486">
        <f t="shared" si="667"/>
        <v>1948</v>
      </c>
      <c r="N312" s="486">
        <f t="shared" si="667"/>
        <v>1364.7073</v>
      </c>
      <c r="O312" s="486">
        <f t="shared" si="667"/>
        <v>1439.0099500000001</v>
      </c>
      <c r="P312" s="486">
        <f t="shared" si="667"/>
        <v>1453.3775000000001</v>
      </c>
      <c r="Q312" s="486">
        <f t="shared" si="667"/>
        <v>1472.24505</v>
      </c>
      <c r="R312" s="486">
        <f t="shared" si="667"/>
        <v>1495.9126000000001</v>
      </c>
      <c r="S312" s="486">
        <f t="shared" si="667"/>
        <v>1553.4477000000002</v>
      </c>
      <c r="T312" s="486">
        <f t="shared" si="667"/>
        <v>1610.9828000000002</v>
      </c>
      <c r="U312" s="486">
        <f t="shared" si="667"/>
        <v>1668.5179000000003</v>
      </c>
      <c r="V312" s="486">
        <f t="shared" si="667"/>
        <v>1726.0530000000003</v>
      </c>
      <c r="W312" s="486">
        <f t="shared" si="667"/>
        <v>1783.5881000000004</v>
      </c>
      <c r="X312" s="486">
        <f t="shared" si="667"/>
        <v>1841.1232000000005</v>
      </c>
      <c r="Y312" s="486">
        <f t="shared" si="667"/>
        <v>1898.6583000000005</v>
      </c>
      <c r="Z312" s="486">
        <f t="shared" si="667"/>
        <v>1956.1934000000006</v>
      </c>
    </row>
    <row r="313" spans="1:26">
      <c r="B313" s="618"/>
      <c r="L313" s="486"/>
      <c r="M313" s="486"/>
      <c r="N313" s="486"/>
      <c r="O313" s="486"/>
      <c r="P313" s="486"/>
      <c r="Q313" s="486"/>
      <c r="R313" s="486"/>
      <c r="S313" s="486"/>
      <c r="T313" s="486"/>
      <c r="U313" s="486"/>
      <c r="V313" s="486"/>
      <c r="W313" s="486"/>
      <c r="X313" s="486"/>
      <c r="Y313" s="486"/>
      <c r="Z313" s="486"/>
    </row>
    <row r="314" spans="1:26">
      <c r="B314" s="58" t="s">
        <v>1793</v>
      </c>
      <c r="C314" s="58"/>
      <c r="D314" s="58"/>
      <c r="E314" s="58"/>
      <c r="F314" s="58"/>
      <c r="G314" s="58"/>
      <c r="H314" s="58"/>
      <c r="I314" s="58"/>
      <c r="J314" s="58"/>
      <c r="K314" s="58"/>
      <c r="L314" s="516">
        <f t="shared" ref="L314:Z314" si="668">L70</f>
        <v>647</v>
      </c>
      <c r="M314" s="516">
        <f t="shared" ca="1" si="668"/>
        <v>693.96153846153845</v>
      </c>
      <c r="N314" s="516">
        <f t="shared" ca="1" si="668"/>
        <v>718.96651123357356</v>
      </c>
      <c r="O314" s="516">
        <f t="shared" ca="1" si="668"/>
        <v>776.7643919848698</v>
      </c>
      <c r="P314" s="516">
        <f t="shared" ca="1" si="668"/>
        <v>832.338272736166</v>
      </c>
      <c r="Q314" s="516">
        <f t="shared" ca="1" si="668"/>
        <v>883.21415348746223</v>
      </c>
      <c r="R314" s="516">
        <f t="shared" ca="1" si="668"/>
        <v>921.97003423875844</v>
      </c>
      <c r="S314" s="516">
        <f t="shared" ca="1" si="668"/>
        <v>950.45179574135091</v>
      </c>
      <c r="T314" s="516">
        <f t="shared" ca="1" si="668"/>
        <v>966.71355724394323</v>
      </c>
      <c r="U314" s="516">
        <f t="shared" ca="1" si="668"/>
        <v>983.07531874653557</v>
      </c>
      <c r="V314" s="516">
        <f t="shared" ca="1" si="668"/>
        <v>999.53708024912794</v>
      </c>
      <c r="W314" s="516">
        <f t="shared" ca="1" si="668"/>
        <v>1016.0988417517203</v>
      </c>
      <c r="X314" s="516">
        <f t="shared" ca="1" si="668"/>
        <v>1032.7606032543126</v>
      </c>
      <c r="Y314" s="516">
        <f t="shared" ca="1" si="668"/>
        <v>1049.5223647569051</v>
      </c>
      <c r="Z314" s="516">
        <f t="shared" ca="1" si="668"/>
        <v>1066.3841262594974</v>
      </c>
    </row>
    <row r="315" spans="1:26">
      <c r="B315" s="1137" t="s">
        <v>1893</v>
      </c>
      <c r="L315" s="486">
        <f>L314-L316-L317</f>
        <v>647</v>
      </c>
      <c r="M315" s="486">
        <f t="shared" ref="M315:Z315" ca="1" si="669">M314-M316-M317</f>
        <v>643.96153846153845</v>
      </c>
      <c r="N315" s="486">
        <f t="shared" ca="1" si="669"/>
        <v>645.16566272632497</v>
      </c>
      <c r="O315" s="486">
        <f t="shared" ca="1" si="669"/>
        <v>673.01216507434685</v>
      </c>
      <c r="P315" s="486">
        <f t="shared" ca="1" si="669"/>
        <v>695.65630088316732</v>
      </c>
      <c r="Q315" s="486">
        <f t="shared" ca="1" si="669"/>
        <v>684.77224166318967</v>
      </c>
      <c r="R315" s="486">
        <f t="shared" ca="1" si="669"/>
        <v>659.54961856847342</v>
      </c>
      <c r="S315" s="486">
        <f t="shared" ca="1" si="669"/>
        <v>623.43314905149555</v>
      </c>
      <c r="T315" s="486">
        <f t="shared" ca="1" si="669"/>
        <v>577.13076452688631</v>
      </c>
      <c r="U315" s="486">
        <f t="shared" ca="1" si="669"/>
        <v>507.0816291120035</v>
      </c>
      <c r="V315" s="486">
        <f t="shared" ca="1" si="669"/>
        <v>435.09742768697254</v>
      </c>
      <c r="W315" s="486">
        <f t="shared" ca="1" si="669"/>
        <v>361.17914302444638</v>
      </c>
      <c r="X315" s="486">
        <f t="shared" ca="1" si="669"/>
        <v>285.3277529255455</v>
      </c>
      <c r="Y315" s="486">
        <f t="shared" ca="1" si="669"/>
        <v>207.54423031972829</v>
      </c>
      <c r="Z315" s="486">
        <f t="shared" ca="1" si="669"/>
        <v>216.69061997381874</v>
      </c>
    </row>
    <row r="316" spans="1:26">
      <c r="B316" s="1137" t="s">
        <v>1894</v>
      </c>
      <c r="L316" s="486">
        <f>L130</f>
        <v>0</v>
      </c>
      <c r="M316" s="486">
        <f>M130</f>
        <v>50</v>
      </c>
      <c r="N316" s="486">
        <f t="shared" ref="N316:Z316" ca="1" si="670">N130-N317</f>
        <v>73.800848507248631</v>
      </c>
      <c r="O316" s="486">
        <f t="shared" ca="1" si="670"/>
        <v>103.08340162256385</v>
      </c>
      <c r="P316" s="486">
        <f t="shared" ca="1" si="670"/>
        <v>133.82721493177419</v>
      </c>
      <c r="Q316" s="486">
        <f t="shared" ca="1" si="670"/>
        <v>191.65438973861148</v>
      </c>
      <c r="R316" s="486">
        <f t="shared" ca="1" si="670"/>
        <v>249.87628854872864</v>
      </c>
      <c r="S316" s="486">
        <f t="shared" ca="1" si="670"/>
        <v>306.8961383658484</v>
      </c>
      <c r="T316" s="486">
        <f t="shared" ca="1" si="670"/>
        <v>360.23144577453996</v>
      </c>
      <c r="U316" s="486">
        <f t="shared" ca="1" si="670"/>
        <v>435.53296896607026</v>
      </c>
      <c r="V316" s="486">
        <f t="shared" ca="1" si="670"/>
        <v>510.92658075127849</v>
      </c>
      <c r="W316" s="486">
        <f t="shared" ca="1" si="670"/>
        <v>586.3488679004854</v>
      </c>
      <c r="X316" s="486">
        <f t="shared" ca="1" si="670"/>
        <v>661.73643376850441</v>
      </c>
      <c r="Y316" s="486">
        <f t="shared" ca="1" si="670"/>
        <v>737.02589796148629</v>
      </c>
      <c r="Z316" s="486">
        <f t="shared" ca="1" si="670"/>
        <v>743.48181799996883</v>
      </c>
    </row>
    <row r="317" spans="1:26">
      <c r="B317" s="1137" t="s">
        <v>1892</v>
      </c>
      <c r="L317" s="486"/>
      <c r="M317" s="486"/>
      <c r="N317" s="486">
        <f t="shared" ref="N317:Z317" ca="1" si="671">N253</f>
        <v>0</v>
      </c>
      <c r="O317" s="486">
        <f t="shared" ca="1" si="671"/>
        <v>0.66882528795904805</v>
      </c>
      <c r="P317" s="486">
        <f t="shared" ca="1" si="671"/>
        <v>2.8547569212245008</v>
      </c>
      <c r="Q317" s="486">
        <f t="shared" ca="1" si="671"/>
        <v>6.7875220856610854</v>
      </c>
      <c r="R317" s="486">
        <f t="shared" ca="1" si="671"/>
        <v>12.544127121556381</v>
      </c>
      <c r="S317" s="486">
        <f t="shared" ca="1" si="671"/>
        <v>20.12250832400694</v>
      </c>
      <c r="T317" s="486">
        <f t="shared" ca="1" si="671"/>
        <v>29.351346942516848</v>
      </c>
      <c r="U317" s="486">
        <f t="shared" ca="1" si="671"/>
        <v>40.460720668461825</v>
      </c>
      <c r="V317" s="486">
        <f t="shared" ca="1" si="671"/>
        <v>53.51307181087693</v>
      </c>
      <c r="W317" s="486">
        <f t="shared" ca="1" si="671"/>
        <v>68.57083082678858</v>
      </c>
      <c r="X317" s="486">
        <f t="shared" ca="1" si="671"/>
        <v>85.696416560262719</v>
      </c>
      <c r="Y317" s="486">
        <f t="shared" ca="1" si="671"/>
        <v>104.9522364756905</v>
      </c>
      <c r="Z317" s="486">
        <f t="shared" ca="1" si="671"/>
        <v>106.21168828570984</v>
      </c>
    </row>
    <row r="318" spans="1:26">
      <c r="B318" s="1137"/>
      <c r="L318" s="486"/>
      <c r="M318" s="486"/>
      <c r="N318" s="486"/>
      <c r="O318" s="486"/>
      <c r="P318" s="486"/>
      <c r="Q318" s="486"/>
      <c r="R318" s="486"/>
      <c r="S318" s="486"/>
      <c r="T318" s="486"/>
      <c r="U318" s="486"/>
      <c r="V318" s="486"/>
      <c r="W318" s="486"/>
      <c r="X318" s="486"/>
      <c r="Y318" s="486"/>
      <c r="Z318" s="486"/>
    </row>
    <row r="319" spans="1:26">
      <c r="B319" s="58" t="s">
        <v>1794</v>
      </c>
      <c r="C319" s="58"/>
      <c r="D319" s="58"/>
      <c r="E319" s="58"/>
      <c r="F319" s="58"/>
      <c r="G319" s="58"/>
      <c r="H319" s="58"/>
      <c r="I319" s="58"/>
      <c r="J319" s="58"/>
      <c r="K319" s="516">
        <f t="shared" ref="K319:Z319" si="672">K71</f>
        <v>0</v>
      </c>
      <c r="L319" s="516">
        <f t="shared" si="672"/>
        <v>12</v>
      </c>
      <c r="M319" s="516">
        <f t="shared" ca="1" si="672"/>
        <v>24.03846153846154</v>
      </c>
      <c r="N319" s="516">
        <f t="shared" ca="1" si="672"/>
        <v>32.23662060194998</v>
      </c>
      <c r="O319" s="516">
        <f t="shared" ca="1" si="672"/>
        <v>51.894571135096363</v>
      </c>
      <c r="P319" s="516">
        <f t="shared" ca="1" si="672"/>
        <v>76.540521668242747</v>
      </c>
      <c r="Q319" s="516">
        <f t="shared" ca="1" si="672"/>
        <v>113.58147220138912</v>
      </c>
      <c r="R319" s="516">
        <f t="shared" ca="1" si="672"/>
        <v>163.09242273453549</v>
      </c>
      <c r="S319" s="516">
        <f t="shared" ca="1" si="672"/>
        <v>237.97432380082824</v>
      </c>
      <c r="T319" s="516">
        <f t="shared" ca="1" si="672"/>
        <v>313.45622486712102</v>
      </c>
      <c r="U319" s="516">
        <f t="shared" ca="1" si="672"/>
        <v>389.53812593341377</v>
      </c>
      <c r="V319" s="516">
        <f t="shared" ca="1" si="672"/>
        <v>466.22002699970653</v>
      </c>
      <c r="W319" s="516">
        <f t="shared" ca="1" si="672"/>
        <v>543.50192806599932</v>
      </c>
      <c r="X319" s="516">
        <f t="shared" ca="1" si="672"/>
        <v>621.38382913229202</v>
      </c>
      <c r="Y319" s="516">
        <f t="shared" ca="1" si="672"/>
        <v>699.86573019858486</v>
      </c>
      <c r="Z319" s="516">
        <f t="shared" ca="1" si="672"/>
        <v>778.94763126487771</v>
      </c>
    </row>
    <row r="320" spans="1:26">
      <c r="B320" s="1137" t="s">
        <v>2000</v>
      </c>
      <c r="K320" s="486">
        <f>K319-K322</f>
        <v>0</v>
      </c>
      <c r="L320" s="486">
        <f>L319-L322-L321</f>
        <v>0</v>
      </c>
      <c r="M320" s="486">
        <f t="shared" ref="M320:Z320" ca="1" si="673">M319-M322-M321</f>
        <v>0</v>
      </c>
      <c r="N320" s="486">
        <f t="shared" ca="1" si="673"/>
        <v>0.58869889052530766</v>
      </c>
      <c r="O320" s="486">
        <f t="shared" ca="1" si="673"/>
        <v>13.829156478746789</v>
      </c>
      <c r="P320" s="486">
        <f t="shared" ca="1" si="673"/>
        <v>31.718770861641666</v>
      </c>
      <c r="Q320" s="486">
        <f t="shared" ca="1" si="673"/>
        <v>60.009992368228055</v>
      </c>
      <c r="R320" s="486">
        <f t="shared" ca="1" si="673"/>
        <v>98.248014565532443</v>
      </c>
      <c r="S320" s="486">
        <f t="shared" ca="1" si="673"/>
        <v>156.4118191700579</v>
      </c>
      <c r="T320" s="486">
        <f t="shared" ca="1" si="673"/>
        <v>211.02985792798114</v>
      </c>
      <c r="U320" s="486">
        <f t="shared" ca="1" si="673"/>
        <v>262.03913083930206</v>
      </c>
      <c r="V320" s="486">
        <f t="shared" ca="1" si="673"/>
        <v>309.37663790402075</v>
      </c>
      <c r="W320" s="486">
        <f t="shared" ca="1" si="673"/>
        <v>352.97937912213717</v>
      </c>
      <c r="X320" s="486">
        <f t="shared" ca="1" si="673"/>
        <v>392.78435449365128</v>
      </c>
      <c r="Y320" s="486">
        <f t="shared" ca="1" si="673"/>
        <v>428.72856401856319</v>
      </c>
      <c r="Z320" s="486">
        <f t="shared" ca="1" si="673"/>
        <v>460.74900769687287</v>
      </c>
    </row>
    <row r="321" spans="2:26">
      <c r="B321" s="1137" t="s">
        <v>2001</v>
      </c>
      <c r="K321" s="486">
        <f t="shared" ref="K321:Z321" si="674">K116*(1-K117)</f>
        <v>0</v>
      </c>
      <c r="L321" s="486">
        <f t="shared" si="674"/>
        <v>12</v>
      </c>
      <c r="M321" s="486">
        <f t="shared" ca="1" si="674"/>
        <v>24.03846153846154</v>
      </c>
      <c r="N321" s="486">
        <f t="shared" ca="1" si="674"/>
        <v>31.647921711424672</v>
      </c>
      <c r="O321" s="486">
        <f t="shared" ca="1" si="674"/>
        <v>38.065414656349574</v>
      </c>
      <c r="P321" s="486">
        <f t="shared" ca="1" si="674"/>
        <v>43.290940373236232</v>
      </c>
      <c r="Q321" s="486">
        <f t="shared" ca="1" si="674"/>
        <v>47.324498862084667</v>
      </c>
      <c r="R321" s="486">
        <f t="shared" ca="1" si="674"/>
        <v>50.166090122894857</v>
      </c>
      <c r="S321" s="486">
        <f t="shared" ca="1" si="674"/>
        <v>51.815714155666818</v>
      </c>
      <c r="T321" s="486">
        <f t="shared" ca="1" si="674"/>
        <v>52.273370960400548</v>
      </c>
      <c r="U321" s="486">
        <f t="shared" ca="1" si="674"/>
        <v>51.539060537096042</v>
      </c>
      <c r="V321" s="486">
        <f t="shared" ca="1" si="674"/>
        <v>49.612782885753298</v>
      </c>
      <c r="W321" s="486">
        <f t="shared" ca="1" si="674"/>
        <v>46.494538006372323</v>
      </c>
      <c r="X321" s="486">
        <f t="shared" ca="1" si="674"/>
        <v>42.184325898953112</v>
      </c>
      <c r="Y321" s="486">
        <f t="shared" ca="1" si="674"/>
        <v>36.682146563495671</v>
      </c>
      <c r="Z321" s="486">
        <f t="shared" si="674"/>
        <v>29.987999999999992</v>
      </c>
    </row>
    <row r="322" spans="2:26">
      <c r="B322" s="1137" t="s">
        <v>1964</v>
      </c>
      <c r="N322" s="531">
        <f ca="1">N319*N323</f>
        <v>0</v>
      </c>
      <c r="O322" s="531">
        <f ca="1">O319*O323</f>
        <v>0</v>
      </c>
      <c r="P322" s="531">
        <f t="shared" ref="P322:Z322" ca="1" si="675">P319*P323</f>
        <v>1.5308104333648549</v>
      </c>
      <c r="Q322" s="531">
        <f t="shared" ca="1" si="675"/>
        <v>6.2469809710764022</v>
      </c>
      <c r="R322" s="531">
        <f t="shared" ca="1" si="675"/>
        <v>14.678318046108195</v>
      </c>
      <c r="S322" s="531">
        <f t="shared" ca="1" si="675"/>
        <v>29.746790475103531</v>
      </c>
      <c r="T322" s="531">
        <f t="shared" ca="1" si="675"/>
        <v>50.152995978739362</v>
      </c>
      <c r="U322" s="531">
        <f t="shared" ca="1" si="675"/>
        <v>75.959934557015686</v>
      </c>
      <c r="V322" s="531">
        <f t="shared" ca="1" si="675"/>
        <v>107.2306062099325</v>
      </c>
      <c r="W322" s="531">
        <f t="shared" ca="1" si="675"/>
        <v>144.02801093748982</v>
      </c>
      <c r="X322" s="531">
        <f t="shared" ca="1" si="675"/>
        <v>186.41514873968762</v>
      </c>
      <c r="Y322" s="531">
        <f t="shared" ca="1" si="675"/>
        <v>234.45501961652599</v>
      </c>
      <c r="Z322" s="531">
        <f t="shared" ca="1" si="675"/>
        <v>288.21062356800485</v>
      </c>
    </row>
    <row r="323" spans="2:26">
      <c r="B323" s="1137" t="s">
        <v>1965</v>
      </c>
      <c r="O323" s="1187">
        <v>0</v>
      </c>
      <c r="P323" s="1187">
        <f>O323+2%</f>
        <v>0.02</v>
      </c>
      <c r="Q323" s="1187">
        <f>P323+3.5%</f>
        <v>5.5000000000000007E-2</v>
      </c>
      <c r="R323" s="1187">
        <f t="shared" ref="R323:Z323" si="676">Q323+3.5%</f>
        <v>9.0000000000000011E-2</v>
      </c>
      <c r="S323" s="1187">
        <f t="shared" si="676"/>
        <v>0.125</v>
      </c>
      <c r="T323" s="1187">
        <f t="shared" si="676"/>
        <v>0.16</v>
      </c>
      <c r="U323" s="1187">
        <f t="shared" si="676"/>
        <v>0.19500000000000001</v>
      </c>
      <c r="V323" s="1187">
        <f t="shared" si="676"/>
        <v>0.23</v>
      </c>
      <c r="W323" s="1187">
        <f t="shared" si="676"/>
        <v>0.26500000000000001</v>
      </c>
      <c r="X323" s="1187">
        <f t="shared" si="676"/>
        <v>0.30000000000000004</v>
      </c>
      <c r="Y323" s="1187">
        <f t="shared" si="676"/>
        <v>0.33500000000000008</v>
      </c>
      <c r="Z323" s="1187">
        <f t="shared" si="676"/>
        <v>0.37000000000000011</v>
      </c>
    </row>
    <row r="325" spans="2:26">
      <c r="B325" s="618" t="s">
        <v>1795</v>
      </c>
      <c r="L325" s="486">
        <f t="shared" ref="L325:Z325" ca="1" si="677">L67</f>
        <v>1902</v>
      </c>
      <c r="M325" s="486">
        <f t="shared" si="677"/>
        <v>1790</v>
      </c>
      <c r="N325" s="486">
        <f t="shared" si="677"/>
        <v>1171.8682250000002</v>
      </c>
      <c r="O325" s="486">
        <f t="shared" si="677"/>
        <v>1204.0695499999999</v>
      </c>
      <c r="P325" s="486">
        <f t="shared" si="677"/>
        <v>1162.702</v>
      </c>
      <c r="Q325" s="486">
        <f t="shared" si="677"/>
        <v>1125.8344499999998</v>
      </c>
      <c r="R325" s="486">
        <f t="shared" si="677"/>
        <v>1093.1668999999999</v>
      </c>
      <c r="S325" s="486">
        <f t="shared" si="677"/>
        <v>1064.3993499999999</v>
      </c>
      <c r="T325" s="486">
        <f t="shared" si="677"/>
        <v>1035.6317999999999</v>
      </c>
      <c r="U325" s="486">
        <f t="shared" si="677"/>
        <v>1006.8642499999999</v>
      </c>
      <c r="V325" s="486">
        <f t="shared" si="677"/>
        <v>978.09669999999983</v>
      </c>
      <c r="W325" s="486">
        <f t="shared" si="677"/>
        <v>949.3291499999998</v>
      </c>
      <c r="X325" s="486">
        <f t="shared" si="677"/>
        <v>920.56159999999977</v>
      </c>
      <c r="Y325" s="486">
        <f t="shared" si="677"/>
        <v>891.79404999999974</v>
      </c>
      <c r="Z325" s="486">
        <f t="shared" si="677"/>
        <v>863.02649999999971</v>
      </c>
    </row>
    <row r="326" spans="2:26">
      <c r="B326" s="618" t="s">
        <v>1799</v>
      </c>
      <c r="L326" s="486">
        <f>L312-L314-L319</f>
        <v>1375.6155000000001</v>
      </c>
      <c r="M326" s="486">
        <f t="shared" ref="M326:Z326" ca="1" si="678">M312-M314-M319</f>
        <v>1230</v>
      </c>
      <c r="N326" s="486">
        <f t="shared" ca="1" si="678"/>
        <v>613.50416816447648</v>
      </c>
      <c r="O326" s="486">
        <f t="shared" ca="1" si="678"/>
        <v>610.35098688003393</v>
      </c>
      <c r="P326" s="486">
        <f t="shared" ca="1" si="678"/>
        <v>544.49870559559133</v>
      </c>
      <c r="Q326" s="486">
        <f t="shared" ca="1" si="678"/>
        <v>475.44942431114862</v>
      </c>
      <c r="R326" s="486">
        <f t="shared" ca="1" si="678"/>
        <v>410.85014302670618</v>
      </c>
      <c r="S326" s="486">
        <f t="shared" ca="1" si="678"/>
        <v>365.02158045782102</v>
      </c>
      <c r="T326" s="486">
        <f t="shared" ca="1" si="678"/>
        <v>330.81301788893597</v>
      </c>
      <c r="U326" s="486">
        <f t="shared" ca="1" si="678"/>
        <v>295.90445532005094</v>
      </c>
      <c r="V326" s="486">
        <f t="shared" ca="1" si="678"/>
        <v>260.29589275116587</v>
      </c>
      <c r="W326" s="486">
        <f t="shared" ca="1" si="678"/>
        <v>223.98733018228074</v>
      </c>
      <c r="X326" s="486">
        <f t="shared" ca="1" si="678"/>
        <v>186.9787676133958</v>
      </c>
      <c r="Y326" s="486">
        <f t="shared" ca="1" si="678"/>
        <v>149.27020504451059</v>
      </c>
      <c r="Z326" s="486">
        <f t="shared" ca="1" si="678"/>
        <v>110.86164247562544</v>
      </c>
    </row>
    <row r="329" spans="2:26">
      <c r="B329" s="58" t="s">
        <v>1800</v>
      </c>
    </row>
    <row r="330" spans="2:26">
      <c r="B330" s="618" t="s">
        <v>1804</v>
      </c>
      <c r="L330" s="746">
        <v>13</v>
      </c>
      <c r="M330" s="746">
        <v>13</v>
      </c>
      <c r="N330" s="529">
        <f>M330*(1+N331)</f>
        <v>13.13</v>
      </c>
      <c r="O330" s="529">
        <f>N330*(1+O331)</f>
        <v>13.2613</v>
      </c>
      <c r="P330" s="529">
        <f t="shared" ref="P330" si="679">O330*(1+P331)</f>
        <v>13.393913000000001</v>
      </c>
      <c r="Q330" s="529">
        <f t="shared" ref="Q330" si="680">P330*(1+Q331)</f>
        <v>13.527852130000001</v>
      </c>
      <c r="R330" s="529">
        <f t="shared" ref="R330" si="681">Q330*(1+R331)</f>
        <v>13.663130651300001</v>
      </c>
      <c r="S330" s="529">
        <f t="shared" ref="S330" si="682">R330*(1+S331)</f>
        <v>13.799761957813001</v>
      </c>
      <c r="T330" s="529">
        <f t="shared" ref="T330" si="683">S330*(1+T331)</f>
        <v>13.93775957739113</v>
      </c>
      <c r="U330" s="529">
        <f t="shared" ref="U330" si="684">T330*(1+U331)</f>
        <v>14.077137173165042</v>
      </c>
      <c r="V330" s="529">
        <f t="shared" ref="V330" si="685">U330*(1+V331)</f>
        <v>14.217908544896693</v>
      </c>
      <c r="W330" s="529">
        <f t="shared" ref="W330" si="686">V330*(1+W331)</f>
        <v>14.36008763034566</v>
      </c>
      <c r="X330" s="529">
        <f t="shared" ref="X330" si="687">W330*(1+X331)</f>
        <v>14.503688506649118</v>
      </c>
      <c r="Y330" s="529">
        <f t="shared" ref="Y330" si="688">X330*(1+Y331)</f>
        <v>14.648725391715608</v>
      </c>
      <c r="Z330" s="529">
        <f t="shared" ref="Z330" si="689">Y330*(1+Z331)</f>
        <v>14.795212645632764</v>
      </c>
    </row>
    <row r="331" spans="2:26">
      <c r="B331" s="536" t="s">
        <v>1382</v>
      </c>
      <c r="L331" s="784"/>
      <c r="M331" s="784">
        <f t="shared" ref="M331" si="690">M330/L330-1</f>
        <v>0</v>
      </c>
      <c r="N331" s="1187">
        <v>0.01</v>
      </c>
      <c r="O331" s="1187">
        <v>0.01</v>
      </c>
      <c r="P331" s="1187">
        <v>0.01</v>
      </c>
      <c r="Q331" s="1187">
        <v>0.01</v>
      </c>
      <c r="R331" s="1187">
        <v>0.01</v>
      </c>
      <c r="S331" s="1187">
        <v>0.01</v>
      </c>
      <c r="T331" s="1187">
        <v>0.01</v>
      </c>
      <c r="U331" s="1187">
        <v>0.01</v>
      </c>
      <c r="V331" s="1187">
        <v>0.01</v>
      </c>
      <c r="W331" s="1187">
        <v>0.01</v>
      </c>
      <c r="X331" s="1187">
        <v>0.01</v>
      </c>
      <c r="Y331" s="1187">
        <v>0.01</v>
      </c>
      <c r="Z331" s="1187">
        <v>0.01</v>
      </c>
    </row>
    <row r="332" spans="2:26">
      <c r="B332" s="618" t="s">
        <v>1966</v>
      </c>
      <c r="L332" s="746">
        <v>20</v>
      </c>
      <c r="M332" s="746">
        <v>20</v>
      </c>
      <c r="N332" s="529">
        <f>M332*(1+N333)</f>
        <v>20.399999999999999</v>
      </c>
      <c r="O332" s="529">
        <f>N332*(1+O333)</f>
        <v>20.808</v>
      </c>
      <c r="P332" s="529">
        <f t="shared" ref="P332" si="691">O332*(1+P333)</f>
        <v>21.224160000000001</v>
      </c>
      <c r="Q332" s="529">
        <f t="shared" ref="Q332" si="692">P332*(1+Q333)</f>
        <v>21.648643200000002</v>
      </c>
      <c r="R332" s="529">
        <f t="shared" ref="R332" si="693">Q332*(1+R333)</f>
        <v>22.081616064000002</v>
      </c>
      <c r="S332" s="529">
        <f t="shared" ref="S332" si="694">R332*(1+S333)</f>
        <v>22.523248385280002</v>
      </c>
      <c r="T332" s="529">
        <f t="shared" ref="T332" si="695">S332*(1+T333)</f>
        <v>22.973713352985602</v>
      </c>
      <c r="U332" s="529">
        <f t="shared" ref="U332" si="696">T332*(1+U333)</f>
        <v>23.433187620045313</v>
      </c>
      <c r="V332" s="529">
        <f t="shared" ref="V332" si="697">U332*(1+V333)</f>
        <v>23.90185137244622</v>
      </c>
      <c r="W332" s="529">
        <f t="shared" ref="W332" si="698">V332*(1+W333)</f>
        <v>24.379888399895144</v>
      </c>
      <c r="X332" s="529">
        <f t="shared" ref="X332" si="699">W332*(1+X333)</f>
        <v>24.867486167893048</v>
      </c>
      <c r="Y332" s="529">
        <f t="shared" ref="Y332" si="700">X332*(1+Y333)</f>
        <v>25.364835891250909</v>
      </c>
      <c r="Z332" s="529">
        <f t="shared" ref="Z332" si="701">Y332*(1+Z333)</f>
        <v>25.872132609075926</v>
      </c>
    </row>
    <row r="333" spans="2:26">
      <c r="B333" s="536" t="s">
        <v>1382</v>
      </c>
      <c r="L333" s="784"/>
      <c r="M333" s="784">
        <f t="shared" ref="M333" si="702">M332/L332-1</f>
        <v>0</v>
      </c>
      <c r="N333" s="1187">
        <v>0.02</v>
      </c>
      <c r="O333" s="1187">
        <v>0.02</v>
      </c>
      <c r="P333" s="1187">
        <v>0.02</v>
      </c>
      <c r="Q333" s="1187">
        <v>0.02</v>
      </c>
      <c r="R333" s="1187">
        <v>0.02</v>
      </c>
      <c r="S333" s="1187">
        <v>0.02</v>
      </c>
      <c r="T333" s="1187">
        <v>0.02</v>
      </c>
      <c r="U333" s="1187">
        <v>0.02</v>
      </c>
      <c r="V333" s="1187">
        <v>0.02</v>
      </c>
      <c r="W333" s="1187">
        <v>0.02</v>
      </c>
      <c r="X333" s="1187">
        <v>0.02</v>
      </c>
      <c r="Y333" s="1187">
        <v>0.02</v>
      </c>
      <c r="Z333" s="1187">
        <v>0.02</v>
      </c>
    </row>
    <row r="334" spans="2:26">
      <c r="B334" s="618" t="s">
        <v>1802</v>
      </c>
      <c r="L334" s="746"/>
      <c r="M334" s="746"/>
      <c r="N334" s="743">
        <v>5</v>
      </c>
      <c r="O334" s="529">
        <f>N334*(1+O335)</f>
        <v>5.0999999999999996</v>
      </c>
      <c r="P334" s="529">
        <f t="shared" ref="P334:Z334" si="703">O334*(1+P335)</f>
        <v>5.202</v>
      </c>
      <c r="Q334" s="529">
        <f t="shared" si="703"/>
        <v>5.3060400000000003</v>
      </c>
      <c r="R334" s="529">
        <f t="shared" si="703"/>
        <v>5.4121608000000005</v>
      </c>
      <c r="S334" s="529">
        <f t="shared" si="703"/>
        <v>5.5204040160000005</v>
      </c>
      <c r="T334" s="529">
        <f t="shared" si="703"/>
        <v>5.6308120963200006</v>
      </c>
      <c r="U334" s="529">
        <f t="shared" si="703"/>
        <v>5.7434283382464004</v>
      </c>
      <c r="V334" s="529">
        <f t="shared" si="703"/>
        <v>5.8582969050113283</v>
      </c>
      <c r="W334" s="529">
        <f t="shared" si="703"/>
        <v>5.9754628431115551</v>
      </c>
      <c r="X334" s="529">
        <f t="shared" si="703"/>
        <v>6.094972099973786</v>
      </c>
      <c r="Y334" s="529">
        <f t="shared" si="703"/>
        <v>6.2168715419732621</v>
      </c>
      <c r="Z334" s="529">
        <f t="shared" si="703"/>
        <v>6.3412089728127272</v>
      </c>
    </row>
    <row r="335" spans="2:26">
      <c r="B335" s="536" t="s">
        <v>1382</v>
      </c>
      <c r="L335" s="784"/>
      <c r="M335" s="784"/>
      <c r="N335" s="784"/>
      <c r="O335" s="1187">
        <v>0.02</v>
      </c>
      <c r="P335" s="1187">
        <v>0.02</v>
      </c>
      <c r="Q335" s="1187">
        <v>0.02</v>
      </c>
      <c r="R335" s="1187">
        <v>0.02</v>
      </c>
      <c r="S335" s="1187">
        <v>0.02</v>
      </c>
      <c r="T335" s="1187">
        <v>0.02</v>
      </c>
      <c r="U335" s="1187">
        <v>0.02</v>
      </c>
      <c r="V335" s="1187">
        <v>0.02</v>
      </c>
      <c r="W335" s="1187">
        <v>0.02</v>
      </c>
      <c r="X335" s="1187">
        <v>0.02</v>
      </c>
      <c r="Y335" s="1187">
        <v>0.02</v>
      </c>
      <c r="Z335" s="1187">
        <v>0.02</v>
      </c>
    </row>
    <row r="336" spans="2:26">
      <c r="B336" s="618" t="s">
        <v>1891</v>
      </c>
      <c r="L336" s="784"/>
      <c r="M336" s="784"/>
      <c r="N336" s="529">
        <f>N332-N334</f>
        <v>15.399999999999999</v>
      </c>
      <c r="O336" s="529">
        <f t="shared" ref="O336:Z336" si="704">O332-O334</f>
        <v>15.708</v>
      </c>
      <c r="P336" s="529">
        <f t="shared" si="704"/>
        <v>16.02216</v>
      </c>
      <c r="Q336" s="529">
        <f t="shared" si="704"/>
        <v>16.342603200000003</v>
      </c>
      <c r="R336" s="529">
        <f t="shared" si="704"/>
        <v>16.669455264</v>
      </c>
      <c r="S336" s="529">
        <f t="shared" si="704"/>
        <v>17.002844369280002</v>
      </c>
      <c r="T336" s="529">
        <f t="shared" si="704"/>
        <v>17.342901256665602</v>
      </c>
      <c r="U336" s="529">
        <f t="shared" si="704"/>
        <v>17.689759281798914</v>
      </c>
      <c r="V336" s="529">
        <f t="shared" si="704"/>
        <v>18.043554467434891</v>
      </c>
      <c r="W336" s="529">
        <f t="shared" si="704"/>
        <v>18.40442555678359</v>
      </c>
      <c r="X336" s="529">
        <f t="shared" si="704"/>
        <v>18.772514067919261</v>
      </c>
      <c r="Y336" s="529">
        <f t="shared" si="704"/>
        <v>19.147964349277647</v>
      </c>
      <c r="Z336" s="529">
        <f t="shared" si="704"/>
        <v>19.5309236362632</v>
      </c>
    </row>
    <row r="337" spans="2:26">
      <c r="B337" s="536" t="s">
        <v>1382</v>
      </c>
      <c r="L337" s="784"/>
      <c r="M337" s="784"/>
      <c r="N337" s="784"/>
      <c r="O337" s="784">
        <f>O336/N336-1</f>
        <v>2.0000000000000018E-2</v>
      </c>
      <c r="P337" s="784">
        <f t="shared" ref="P337:Z337" si="705">P336/O336-1</f>
        <v>2.0000000000000018E-2</v>
      </c>
      <c r="Q337" s="784">
        <f t="shared" si="705"/>
        <v>2.000000000000024E-2</v>
      </c>
      <c r="R337" s="784">
        <f t="shared" si="705"/>
        <v>1.9999999999999796E-2</v>
      </c>
      <c r="S337" s="784">
        <f t="shared" si="705"/>
        <v>2.0000000000000018E-2</v>
      </c>
      <c r="T337" s="784">
        <f t="shared" si="705"/>
        <v>2.0000000000000018E-2</v>
      </c>
      <c r="U337" s="784">
        <f t="shared" si="705"/>
        <v>2.0000000000000018E-2</v>
      </c>
      <c r="V337" s="784">
        <f t="shared" si="705"/>
        <v>2.0000000000000018E-2</v>
      </c>
      <c r="W337" s="784">
        <f t="shared" si="705"/>
        <v>2.0000000000000018E-2</v>
      </c>
      <c r="X337" s="784">
        <f t="shared" si="705"/>
        <v>2.0000000000000018E-2</v>
      </c>
      <c r="Y337" s="784">
        <f t="shared" si="705"/>
        <v>2.0000000000000018E-2</v>
      </c>
      <c r="Z337" s="784">
        <f t="shared" si="705"/>
        <v>2.0000000000000018E-2</v>
      </c>
    </row>
    <row r="338" spans="2:26">
      <c r="B338" s="618" t="s">
        <v>1801</v>
      </c>
      <c r="L338" s="746">
        <v>5</v>
      </c>
      <c r="M338" s="746">
        <v>5</v>
      </c>
      <c r="N338" s="529">
        <f>M338*(1+N339)</f>
        <v>5.05</v>
      </c>
      <c r="O338" s="529">
        <f>N338*(1+O339)</f>
        <v>5.1005000000000003</v>
      </c>
      <c r="P338" s="529">
        <f t="shared" ref="P338" si="706">O338*(1+P339)</f>
        <v>5.1515050000000002</v>
      </c>
      <c r="Q338" s="529">
        <f t="shared" ref="Q338" si="707">P338*(1+Q339)</f>
        <v>5.2030200500000001</v>
      </c>
      <c r="R338" s="529">
        <f t="shared" ref="R338" si="708">Q338*(1+R339)</f>
        <v>5.2550502505000001</v>
      </c>
      <c r="S338" s="529">
        <f t="shared" ref="S338" si="709">R338*(1+S339)</f>
        <v>5.3076007530050004</v>
      </c>
      <c r="T338" s="529">
        <f t="shared" ref="T338" si="710">S338*(1+T339)</f>
        <v>5.3606767605350507</v>
      </c>
      <c r="U338" s="529">
        <f t="shared" ref="U338" si="711">T338*(1+U339)</f>
        <v>5.4142835281404009</v>
      </c>
      <c r="V338" s="529">
        <f t="shared" ref="V338" si="712">U338*(1+V339)</f>
        <v>5.4684263634218047</v>
      </c>
      <c r="W338" s="529">
        <f t="shared" ref="W338" si="713">V338*(1+W339)</f>
        <v>5.5231106270560231</v>
      </c>
      <c r="X338" s="529">
        <f t="shared" ref="X338" si="714">W338*(1+X339)</f>
        <v>5.5783417333265835</v>
      </c>
      <c r="Y338" s="529">
        <f t="shared" ref="Y338" si="715">X338*(1+Y339)</f>
        <v>5.6341251506598491</v>
      </c>
      <c r="Z338" s="529">
        <f t="shared" ref="Z338" si="716">Y338*(1+Z339)</f>
        <v>5.6904664021664475</v>
      </c>
    </row>
    <row r="339" spans="2:26">
      <c r="B339" s="536" t="s">
        <v>1382</v>
      </c>
      <c r="L339" s="784"/>
      <c r="M339" s="784">
        <f t="shared" ref="M339" si="717">M338/L338-1</f>
        <v>0</v>
      </c>
      <c r="N339" s="1187">
        <v>0.01</v>
      </c>
      <c r="O339" s="1187">
        <v>0.01</v>
      </c>
      <c r="P339" s="1187">
        <v>0.01</v>
      </c>
      <c r="Q339" s="1187">
        <v>0.01</v>
      </c>
      <c r="R339" s="1187">
        <v>0.01</v>
      </c>
      <c r="S339" s="1187">
        <v>0.01</v>
      </c>
      <c r="T339" s="1187">
        <v>0.01</v>
      </c>
      <c r="U339" s="1187">
        <v>0.01</v>
      </c>
      <c r="V339" s="1187">
        <v>0.01</v>
      </c>
      <c r="W339" s="1187">
        <v>0.01</v>
      </c>
      <c r="X339" s="1187">
        <v>0.01</v>
      </c>
      <c r="Y339" s="1187">
        <v>0.01</v>
      </c>
      <c r="Z339" s="1187">
        <v>0.01</v>
      </c>
    </row>
    <row r="341" spans="2:26">
      <c r="B341" s="618" t="s">
        <v>1968</v>
      </c>
      <c r="L341" s="531">
        <f>L332*12*AVERAGE(K320:L320)/1000+L330*12*AVERAGE(K321:L321)/1000</f>
        <v>0.93600000000000005</v>
      </c>
      <c r="M341" s="531">
        <f t="shared" ref="M341:Z341" ca="1" si="718">M332*12*AVERAGE(L320:M320)/1000+M330*12*AVERAGE(L321:M321)/1000</f>
        <v>2.8109999999999999</v>
      </c>
      <c r="N341" s="531">
        <f t="shared" ca="1" si="718"/>
        <v>4.4590300166263335</v>
      </c>
      <c r="O341" s="531">
        <f t="shared" ca="1" si="718"/>
        <v>7.3469772125866708</v>
      </c>
      <c r="P341" s="531">
        <f t="shared" ca="1" si="718"/>
        <v>12.338378632824984</v>
      </c>
      <c r="Q341" s="531">
        <f t="shared" ca="1" si="718"/>
        <v>19.269813174066904</v>
      </c>
      <c r="R341" s="531">
        <f t="shared" ca="1" si="718"/>
        <v>28.959715216434681</v>
      </c>
      <c r="S341" s="531">
        <f t="shared" ca="1" si="718"/>
        <v>42.858547872319413</v>
      </c>
      <c r="T341" s="531">
        <f t="shared" ca="1" si="718"/>
        <v>59.353610439413949</v>
      </c>
      <c r="U341" s="531">
        <f t="shared" ca="1" si="718"/>
        <v>75.281377256873483</v>
      </c>
      <c r="V341" s="531">
        <f t="shared" ca="1" si="718"/>
        <v>90.576374611852714</v>
      </c>
      <c r="W341" s="531">
        <f t="shared" ca="1" si="718"/>
        <v>105.16965195615271</v>
      </c>
      <c r="X341" s="531">
        <f t="shared" ca="1" si="718"/>
        <v>118.98863969647958</v>
      </c>
      <c r="Y341" s="531">
        <f t="shared" ca="1" si="718"/>
        <v>131.95700194992369</v>
      </c>
      <c r="Z341" s="531">
        <f t="shared" ca="1" si="718"/>
        <v>143.99448410245816</v>
      </c>
    </row>
    <row r="342" spans="2:26">
      <c r="B342" s="618" t="s">
        <v>1969</v>
      </c>
      <c r="N342" s="531">
        <f ca="1">N349</f>
        <v>0</v>
      </c>
      <c r="O342" s="531">
        <f t="shared" ref="O342:Z342" ca="1" si="719">O349</f>
        <v>0</v>
      </c>
      <c r="P342" s="531">
        <f t="shared" ca="1" si="719"/>
        <v>4.7779655246183848E-2</v>
      </c>
      <c r="Q342" s="531">
        <f t="shared" ca="1" si="719"/>
        <v>0.24761563382172894</v>
      </c>
      <c r="R342" s="531">
        <f t="shared" ca="1" si="719"/>
        <v>0.67950649841451016</v>
      </c>
      <c r="S342" s="531">
        <f t="shared" ca="1" si="719"/>
        <v>1.4714672849503985</v>
      </c>
      <c r="T342" s="531">
        <f t="shared" ca="1" si="719"/>
        <v>2.699404104346101</v>
      </c>
      <c r="U342" s="531">
        <f t="shared" ca="1" si="719"/>
        <v>4.3459234743501325</v>
      </c>
      <c r="V342" s="531">
        <f t="shared" ca="1" si="719"/>
        <v>6.4391074680141838</v>
      </c>
      <c r="W342" s="531">
        <f t="shared" ca="1" si="719"/>
        <v>9.0083191846560844</v>
      </c>
      <c r="X342" s="531">
        <f t="shared" ca="1" si="719"/>
        <v>12.084251033157473</v>
      </c>
      <c r="Y342" s="531">
        <f t="shared" ca="1" si="719"/>
        <v>15.698974635115443</v>
      </c>
      <c r="Z342" s="531">
        <f t="shared" ca="1" si="719"/>
        <v>19.885992398056093</v>
      </c>
    </row>
    <row r="343" spans="2:26">
      <c r="B343" s="58" t="s">
        <v>1970</v>
      </c>
      <c r="L343" s="532">
        <f>SUM(L341:L342)</f>
        <v>0.93600000000000005</v>
      </c>
      <c r="M343" s="532">
        <f ca="1">SUM(M341:M342)</f>
        <v>2.8109999999999999</v>
      </c>
      <c r="N343" s="532">
        <f ca="1">SUM(N341:N342)</f>
        <v>4.4590300166263335</v>
      </c>
      <c r="O343" s="532">
        <f t="shared" ref="O343:Z343" ca="1" si="720">SUM(O341:O342)</f>
        <v>7.3469772125866708</v>
      </c>
      <c r="P343" s="532">
        <f t="shared" ca="1" si="720"/>
        <v>12.386158288071169</v>
      </c>
      <c r="Q343" s="532">
        <f t="shared" ca="1" si="720"/>
        <v>19.517428807888631</v>
      </c>
      <c r="R343" s="532">
        <f t="shared" ca="1" si="720"/>
        <v>29.639221714849192</v>
      </c>
      <c r="S343" s="532">
        <f t="shared" ca="1" si="720"/>
        <v>44.330015157269813</v>
      </c>
      <c r="T343" s="532">
        <f t="shared" ca="1" si="720"/>
        <v>62.05301454376005</v>
      </c>
      <c r="U343" s="532">
        <f t="shared" ca="1" si="720"/>
        <v>79.627300731223613</v>
      </c>
      <c r="V343" s="532">
        <f t="shared" ca="1" si="720"/>
        <v>97.015482079866899</v>
      </c>
      <c r="W343" s="532">
        <f t="shared" ca="1" si="720"/>
        <v>114.17797114080879</v>
      </c>
      <c r="X343" s="532">
        <f t="shared" ca="1" si="720"/>
        <v>131.07289072963707</v>
      </c>
      <c r="Y343" s="532">
        <f t="shared" ca="1" si="720"/>
        <v>147.65597658503913</v>
      </c>
      <c r="Z343" s="532">
        <f t="shared" ca="1" si="720"/>
        <v>163.88047650051425</v>
      </c>
    </row>
    <row r="344" spans="2:26">
      <c r="B344" s="618" t="s">
        <v>1971</v>
      </c>
      <c r="L344" s="278">
        <f>L343/AVERAGE(K319:L319)/12*1000</f>
        <v>13</v>
      </c>
      <c r="M344" s="278">
        <f ca="1">M343/AVERAGE(L319:M319)/12*1000</f>
        <v>13</v>
      </c>
      <c r="N344" s="278">
        <f ca="1">N343/AVERAGE(M319:N319)/12*1000</f>
        <v>13.206052149038902</v>
      </c>
      <c r="O344" s="278">
        <f t="shared" ref="O344:Z344" ca="1" si="721">O343/AVERAGE(N319:O319)/12*1000</f>
        <v>14.55460426526424</v>
      </c>
      <c r="P344" s="278">
        <f t="shared" ca="1" si="721"/>
        <v>16.073174937004897</v>
      </c>
      <c r="Q344" s="278">
        <f t="shared" ca="1" si="721"/>
        <v>17.109565995532925</v>
      </c>
      <c r="R344" s="278">
        <f t="shared" ca="1" si="721"/>
        <v>17.854486369059977</v>
      </c>
      <c r="S344" s="278">
        <f t="shared" ca="1" si="721"/>
        <v>18.421711406815696</v>
      </c>
      <c r="T344" s="278">
        <f t="shared" ca="1" si="721"/>
        <v>18.75516167105631</v>
      </c>
      <c r="U344" s="278">
        <f t="shared" ca="1" si="721"/>
        <v>18.878127218838486</v>
      </c>
      <c r="V344" s="278">
        <f t="shared" ca="1" si="721"/>
        <v>18.894645593373411</v>
      </c>
      <c r="W344" s="278">
        <f t="shared" ca="1" si="721"/>
        <v>18.846437636946444</v>
      </c>
      <c r="X344" s="278">
        <f t="shared" ca="1" si="721"/>
        <v>18.753325511348169</v>
      </c>
      <c r="Y344" s="278">
        <f t="shared" ca="1" si="721"/>
        <v>18.625799537297716</v>
      </c>
      <c r="Z344" s="278">
        <f t="shared" ca="1" si="721"/>
        <v>18.46981739673749</v>
      </c>
    </row>
    <row r="346" spans="2:26">
      <c r="B346" s="618" t="s">
        <v>1809</v>
      </c>
      <c r="M346" s="486">
        <f ca="1">M330*12*AVERAGE(L315:M315)/1000+M330*12*AVERAGE(L321:M321)/1000</f>
        <v>103.50600000000003</v>
      </c>
      <c r="N346" s="486">
        <f t="shared" ref="N346:Z346" ca="1" si="722">N330*12*AVERAGE(M315:N315)/1000+N330*12*AVERAGE(M321:N321)/1000</f>
        <v>105.94441418200591</v>
      </c>
      <c r="O346" s="486">
        <f t="shared" ca="1" si="722"/>
        <v>110.43144657232209</v>
      </c>
      <c r="P346" s="486">
        <f t="shared" ca="1" si="722"/>
        <v>116.52903780085076</v>
      </c>
      <c r="Q346" s="486">
        <f t="shared" ca="1" si="722"/>
        <v>119.40039277361373</v>
      </c>
      <c r="R346" s="486">
        <f t="shared" ca="1" si="722"/>
        <v>118.19803120990701</v>
      </c>
      <c r="S346" s="486">
        <f t="shared" ca="1" si="722"/>
        <v>114.67308847322465</v>
      </c>
      <c r="T346" s="486">
        <f t="shared" ca="1" si="722"/>
        <v>109.10363896635369</v>
      </c>
      <c r="U346" s="486">
        <f t="shared" ca="1" si="722"/>
        <v>100.34393057142195</v>
      </c>
      <c r="V346" s="486">
        <f t="shared" ca="1" si="722"/>
        <v>89.003899928511899</v>
      </c>
      <c r="W346" s="486">
        <f t="shared" ca="1" si="722"/>
        <v>76.888265300014695</v>
      </c>
      <c r="X346" s="486">
        <f t="shared" ca="1" si="722"/>
        <v>63.977431532793979</v>
      </c>
      <c r="Y346" s="486">
        <f t="shared" ca="1" si="722"/>
        <v>50.251437801275912</v>
      </c>
      <c r="Z346" s="486">
        <f t="shared" ca="1" si="722"/>
        <v>43.578262903821781</v>
      </c>
    </row>
    <row r="347" spans="2:26">
      <c r="B347" s="618" t="s">
        <v>1967</v>
      </c>
      <c r="M347" s="486">
        <f t="shared" ref="M347:Z347" ca="1" si="723">M332*12*AVERAGE(L320:M320)/1000+M332*12*AVERAGE(L316:M316)/1000</f>
        <v>6</v>
      </c>
      <c r="N347" s="486">
        <f t="shared" ca="1" si="723"/>
        <v>15.22528060148753</v>
      </c>
      <c r="O347" s="486">
        <f t="shared" ca="1" si="723"/>
        <v>23.883685267349712</v>
      </c>
      <c r="P347" s="486">
        <f t="shared" ca="1" si="723"/>
        <v>35.969671973932194</v>
      </c>
      <c r="Q347" s="486">
        <f t="shared" ca="1" si="723"/>
        <v>54.192230364080167</v>
      </c>
      <c r="R347" s="486">
        <f t="shared" ca="1" si="723"/>
        <v>79.465820799502183</v>
      </c>
      <c r="S347" s="486">
        <f t="shared" ca="1" si="723"/>
        <v>109.65654212671791</v>
      </c>
      <c r="T347" s="486">
        <f t="shared" ca="1" si="723"/>
        <v>142.60738590901025</v>
      </c>
      <c r="U347" s="486">
        <f t="shared" ca="1" si="723"/>
        <v>178.39686721788675</v>
      </c>
      <c r="V347" s="486">
        <f t="shared" ca="1" si="723"/>
        <v>217.68018158250868</v>
      </c>
      <c r="W347" s="486">
        <f t="shared" ca="1" si="723"/>
        <v>257.3977125490299</v>
      </c>
      <c r="X347" s="486">
        <f t="shared" ca="1" si="723"/>
        <v>297.49207983486673</v>
      </c>
      <c r="Y347" s="486">
        <f t="shared" ca="1" si="723"/>
        <v>337.90150413479751</v>
      </c>
      <c r="Z347" s="486">
        <f t="shared" ca="1" si="723"/>
        <v>367.89944186601298</v>
      </c>
    </row>
    <row r="348" spans="2:26">
      <c r="B348" s="618" t="s">
        <v>1895</v>
      </c>
      <c r="M348" s="486"/>
      <c r="N348" s="486">
        <f t="shared" ref="N348:Z348" ca="1" si="724">N336*12*AVERAGE(M317:N317)/1000</f>
        <v>0</v>
      </c>
      <c r="O348" s="486">
        <f t="shared" ca="1" si="724"/>
        <v>6.3035445739564364E-2</v>
      </c>
      <c r="P348" s="486">
        <f t="shared" ca="1" si="724"/>
        <v>0.33873238757215374</v>
      </c>
      <c r="Q348" s="486">
        <f t="shared" ca="1" si="724"/>
        <v>0.94547963851932737</v>
      </c>
      <c r="R348" s="486">
        <f t="shared" ca="1" si="724"/>
        <v>1.9334883698343157</v>
      </c>
      <c r="S348" s="486">
        <f t="shared" ca="1" si="724"/>
        <v>3.3325543112935132</v>
      </c>
      <c r="T348" s="486">
        <f t="shared" ca="1" si="724"/>
        <v>5.1481211200433252</v>
      </c>
      <c r="U348" s="486">
        <f t="shared" ca="1" si="724"/>
        <v>7.4097520260172995</v>
      </c>
      <c r="V348" s="486">
        <f t="shared" ca="1" si="724"/>
        <v>10.173727458674234</v>
      </c>
      <c r="W348" s="486">
        <f t="shared" ca="1" si="724"/>
        <v>13.481304586659183</v>
      </c>
      <c r="X348" s="486">
        <f t="shared" ca="1" si="724"/>
        <v>17.375904430755607</v>
      </c>
      <c r="Y348" s="486">
        <f t="shared" ca="1" si="724"/>
        <v>21.903201669421414</v>
      </c>
      <c r="Z348" s="486">
        <f t="shared" ca="1" si="724"/>
        <v>24.745358935491225</v>
      </c>
    </row>
    <row r="349" spans="2:26">
      <c r="B349" s="618" t="s">
        <v>1812</v>
      </c>
      <c r="M349" s="486"/>
      <c r="N349" s="486">
        <f t="shared" ref="N349:Z349" ca="1" si="725">N334*12*AVERAGE(M322:N322)/1000</f>
        <v>0</v>
      </c>
      <c r="O349" s="486">
        <f t="shared" ca="1" si="725"/>
        <v>0</v>
      </c>
      <c r="P349" s="486">
        <f t="shared" ca="1" si="725"/>
        <v>4.7779655246183848E-2</v>
      </c>
      <c r="Q349" s="486">
        <f t="shared" ca="1" si="725"/>
        <v>0.24761563382172894</v>
      </c>
      <c r="R349" s="486">
        <f t="shared" ca="1" si="725"/>
        <v>0.67950649841451016</v>
      </c>
      <c r="S349" s="486">
        <f t="shared" ca="1" si="725"/>
        <v>1.4714672849503985</v>
      </c>
      <c r="T349" s="486">
        <f t="shared" ca="1" si="725"/>
        <v>2.699404104346101</v>
      </c>
      <c r="U349" s="486">
        <f t="shared" ca="1" si="725"/>
        <v>4.3459234743501325</v>
      </c>
      <c r="V349" s="486">
        <f t="shared" ca="1" si="725"/>
        <v>6.4391074680141838</v>
      </c>
      <c r="W349" s="486">
        <f t="shared" ca="1" si="725"/>
        <v>9.0083191846560844</v>
      </c>
      <c r="X349" s="486">
        <f t="shared" ca="1" si="725"/>
        <v>12.084251033157473</v>
      </c>
      <c r="Y349" s="486">
        <f t="shared" ca="1" si="725"/>
        <v>15.698974635115443</v>
      </c>
      <c r="Z349" s="486">
        <f t="shared" ca="1" si="725"/>
        <v>19.885992398056093</v>
      </c>
    </row>
    <row r="350" spans="2:26">
      <c r="B350" s="618" t="s">
        <v>1811</v>
      </c>
      <c r="M350" s="486">
        <f ca="1">M338*12*AVERAGE(L325:M325)/1000</f>
        <v>110.76</v>
      </c>
      <c r="N350" s="486">
        <f t="shared" ref="N350:Z350" si="726">N338*12*AVERAGE(M325:N325)/1000</f>
        <v>89.744607217500004</v>
      </c>
      <c r="O350" s="486">
        <f t="shared" si="726"/>
        <v>72.710823728325025</v>
      </c>
      <c r="P350" s="486">
        <f t="shared" si="726"/>
        <v>73.154612842096498</v>
      </c>
      <c r="Q350" s="486">
        <f t="shared" si="726"/>
        <v>71.443806207034925</v>
      </c>
      <c r="R350" s="486">
        <f t="shared" si="726"/>
        <v>69.965781601064009</v>
      </c>
      <c r="S350" s="486">
        <f t="shared" si="726"/>
        <v>68.709001518949037</v>
      </c>
      <c r="T350" s="486">
        <f t="shared" si="726"/>
        <v>67.545529093228183</v>
      </c>
      <c r="U350" s="486">
        <f t="shared" si="726"/>
        <v>66.351916318840992</v>
      </c>
      <c r="V350" s="486">
        <f t="shared" si="726"/>
        <v>65.127676736056728</v>
      </c>
      <c r="W350" s="486">
        <f t="shared" si="726"/>
        <v>63.87231716998491</v>
      </c>
      <c r="X350" s="486">
        <f t="shared" si="726"/>
        <v>62.585337644918063</v>
      </c>
      <c r="Y350" s="486">
        <f t="shared" si="726"/>
        <v>61.266231297632864</v>
      </c>
      <c r="Z350" s="486">
        <f t="shared" si="726"/>
        <v>59.914484289637464</v>
      </c>
    </row>
    <row r="351" spans="2:26">
      <c r="B351" s="1188" t="s">
        <v>2154</v>
      </c>
      <c r="M351" s="521">
        <f>M183</f>
        <v>44.742804710000001</v>
      </c>
      <c r="N351" s="521">
        <f t="shared" ref="N351:Z351" si="727">N183</f>
        <v>45.190232757099999</v>
      </c>
      <c r="O351" s="521">
        <f t="shared" si="727"/>
        <v>45.190232757099999</v>
      </c>
      <c r="P351" s="521">
        <f t="shared" si="727"/>
        <v>46.094037412242002</v>
      </c>
      <c r="Q351" s="521">
        <f t="shared" si="727"/>
        <v>47.015918160486841</v>
      </c>
      <c r="R351" s="521">
        <f t="shared" si="727"/>
        <v>47.956236523696582</v>
      </c>
      <c r="S351" s="521">
        <f t="shared" si="727"/>
        <v>48.915361254170513</v>
      </c>
      <c r="T351" s="521">
        <f t="shared" si="727"/>
        <v>49.893668479253925</v>
      </c>
      <c r="U351" s="521">
        <f t="shared" si="727"/>
        <v>50.891541848839005</v>
      </c>
      <c r="V351" s="521">
        <f t="shared" si="727"/>
        <v>51.909372685815782</v>
      </c>
      <c r="W351" s="521">
        <f t="shared" si="727"/>
        <v>52.947560139532101</v>
      </c>
      <c r="X351" s="521">
        <f t="shared" si="727"/>
        <v>54.006511342322746</v>
      </c>
      <c r="Y351" s="521">
        <f t="shared" si="727"/>
        <v>55.086641569169203</v>
      </c>
      <c r="Z351" s="521">
        <f t="shared" si="727"/>
        <v>56.18837440055259</v>
      </c>
    </row>
    <row r="352" spans="2:26">
      <c r="B352" s="58" t="s">
        <v>1813</v>
      </c>
      <c r="M352" s="516">
        <f ca="1">SUM(M346:M351)</f>
        <v>265.00880471000005</v>
      </c>
      <c r="N352" s="516">
        <f t="shared" ref="N352:Z352" ca="1" si="728">SUM(N346:N351)</f>
        <v>256.10453475809345</v>
      </c>
      <c r="O352" s="516">
        <f t="shared" ca="1" si="728"/>
        <v>252.27922377083641</v>
      </c>
      <c r="P352" s="516">
        <f t="shared" ca="1" si="728"/>
        <v>272.13387207193978</v>
      </c>
      <c r="Q352" s="516">
        <f t="shared" ca="1" si="728"/>
        <v>293.24544277755672</v>
      </c>
      <c r="R352" s="516">
        <f t="shared" ca="1" si="728"/>
        <v>318.19886500241864</v>
      </c>
      <c r="S352" s="516">
        <f t="shared" ca="1" si="728"/>
        <v>346.75801496930603</v>
      </c>
      <c r="T352" s="516">
        <f t="shared" ca="1" si="728"/>
        <v>376.99774767223545</v>
      </c>
      <c r="U352" s="516">
        <f t="shared" ca="1" si="728"/>
        <v>407.73993145735614</v>
      </c>
      <c r="V352" s="516">
        <f t="shared" ca="1" si="728"/>
        <v>440.33396585958155</v>
      </c>
      <c r="W352" s="516">
        <f t="shared" ca="1" si="728"/>
        <v>473.59547892987689</v>
      </c>
      <c r="X352" s="516">
        <f t="shared" ca="1" si="728"/>
        <v>507.52151581881463</v>
      </c>
      <c r="Y352" s="516">
        <f t="shared" ca="1" si="728"/>
        <v>542.10799110741243</v>
      </c>
      <c r="Z352" s="516">
        <f t="shared" ca="1" si="728"/>
        <v>572.21191479357208</v>
      </c>
    </row>
    <row r="353" spans="2:27">
      <c r="B353" s="618" t="s">
        <v>1196</v>
      </c>
      <c r="N353" s="909">
        <f ca="1">N352/M352-1</f>
        <v>-3.3599902318908081E-2</v>
      </c>
      <c r="O353" s="909">
        <f t="shared" ref="O353" ca="1" si="729">O352/N352-1</f>
        <v>-1.493652188107597E-2</v>
      </c>
      <c r="P353" s="909">
        <f t="shared" ref="P353" ca="1" si="730">P352/O352-1</f>
        <v>7.870108368154316E-2</v>
      </c>
      <c r="Q353" s="909">
        <f t="shared" ref="Q353" ca="1" si="731">Q352/P352-1</f>
        <v>7.7577886739641055E-2</v>
      </c>
      <c r="R353" s="909">
        <f t="shared" ref="R353" ca="1" si="732">R352/Q352-1</f>
        <v>8.5093981302858612E-2</v>
      </c>
      <c r="S353" s="909">
        <f t="shared" ref="S353" ca="1" si="733">S352/R352-1</f>
        <v>8.9752519911314943E-2</v>
      </c>
      <c r="T353" s="909">
        <f t="shared" ref="T353" ca="1" si="734">T352/S352-1</f>
        <v>8.7207018720551144E-2</v>
      </c>
      <c r="U353" s="909">
        <f t="shared" ref="U353" ca="1" si="735">U352/T352-1</f>
        <v>8.1544741248290364E-2</v>
      </c>
      <c r="V353" s="909">
        <f t="shared" ref="V353" ca="1" si="736">V352/U352-1</f>
        <v>7.9938293720035913E-2</v>
      </c>
      <c r="W353" s="909">
        <f t="shared" ref="W353" ca="1" si="737">W352/V352-1</f>
        <v>7.5537014287246906E-2</v>
      </c>
      <c r="X353" s="909">
        <f t="shared" ref="X353" ca="1" si="738">X352/W352-1</f>
        <v>7.1635052272027711E-2</v>
      </c>
      <c r="Y353" s="909">
        <f t="shared" ref="Y353" ca="1" si="739">Y352/X352-1</f>
        <v>6.8147801049966095E-2</v>
      </c>
      <c r="Z353" s="909">
        <f t="shared" ref="Z353" ca="1" si="740">Z352/Y352-1</f>
        <v>5.55312302714146E-2</v>
      </c>
    </row>
    <row r="355" spans="2:27">
      <c r="B355" s="618" t="s">
        <v>1819</v>
      </c>
      <c r="M355" s="938">
        <f ca="1">M352-M358</f>
        <v>145.7548425905</v>
      </c>
      <c r="N355" s="938">
        <f t="shared" ref="N355:Z355" ca="1" si="741">N352-N358</f>
        <v>138.29644876937044</v>
      </c>
      <c r="O355" s="938">
        <f t="shared" ca="1" si="741"/>
        <v>131.18519636083494</v>
      </c>
      <c r="P355" s="938">
        <f t="shared" ca="1" si="741"/>
        <v>138.78827475668928</v>
      </c>
      <c r="Q355" s="938">
        <f t="shared" ca="1" si="741"/>
        <v>146.62272138877836</v>
      </c>
      <c r="R355" s="938">
        <f t="shared" ca="1" si="741"/>
        <v>154.85678096784375</v>
      </c>
      <c r="S355" s="938">
        <f t="shared" ca="1" si="741"/>
        <v>164.13212708547155</v>
      </c>
      <c r="T355" s="938">
        <f t="shared" ca="1" si="741"/>
        <v>173.41896392922834</v>
      </c>
      <c r="U355" s="938">
        <f t="shared" ca="1" si="741"/>
        <v>182.12383605095243</v>
      </c>
      <c r="V355" s="938">
        <f t="shared" ca="1" si="741"/>
        <v>190.81138520581874</v>
      </c>
      <c r="W355" s="938">
        <f t="shared" ca="1" si="741"/>
        <v>198.91010115054837</v>
      </c>
      <c r="X355" s="938">
        <f t="shared" ca="1" si="741"/>
        <v>206.39208309965136</v>
      </c>
      <c r="Y355" s="938">
        <f t="shared" ca="1" si="741"/>
        <v>213.22914316891564</v>
      </c>
      <c r="Z355" s="938">
        <f t="shared" ca="1" si="741"/>
        <v>217.44052762155741</v>
      </c>
    </row>
    <row r="356" spans="2:27">
      <c r="B356" s="618" t="s">
        <v>1196</v>
      </c>
      <c r="N356" s="909">
        <f ca="1">N355/M355-1</f>
        <v>-5.117081318583705E-2</v>
      </c>
      <c r="O356" s="909">
        <f t="shared" ref="O356:Z356" ca="1" si="742">O355/N355-1</f>
        <v>-5.1420354403998947E-2</v>
      </c>
      <c r="P356" s="909">
        <f t="shared" ca="1" si="742"/>
        <v>5.7956832072282749E-2</v>
      </c>
      <c r="Q356" s="909">
        <f t="shared" ca="1" si="742"/>
        <v>5.644890856827578E-2</v>
      </c>
      <c r="R356" s="909">
        <f t="shared" ca="1" si="742"/>
        <v>5.615814180144918E-2</v>
      </c>
      <c r="S356" s="909">
        <f t="shared" ca="1" si="742"/>
        <v>5.9896286489087291E-2</v>
      </c>
      <c r="T356" s="909">
        <f t="shared" ca="1" si="742"/>
        <v>5.6581468897437093E-2</v>
      </c>
      <c r="U356" s="909">
        <f t="shared" ca="1" si="742"/>
        <v>5.0195618313557233E-2</v>
      </c>
      <c r="V356" s="909">
        <f t="shared" ca="1" si="742"/>
        <v>4.7701329728393249E-2</v>
      </c>
      <c r="W356" s="909">
        <f t="shared" ca="1" si="742"/>
        <v>4.2443567693793316E-2</v>
      </c>
      <c r="X356" s="909">
        <f t="shared" ca="1" si="742"/>
        <v>3.7614891882439494E-2</v>
      </c>
      <c r="Y356" s="909">
        <f t="shared" ca="1" si="742"/>
        <v>3.3126561671278809E-2</v>
      </c>
      <c r="Z356" s="909">
        <f t="shared" ca="1" si="742"/>
        <v>1.9750510601196813E-2</v>
      </c>
    </row>
    <row r="358" spans="2:27">
      <c r="B358" s="618" t="s">
        <v>1823</v>
      </c>
      <c r="M358" s="629">
        <f ca="1">M352*M359</f>
        <v>119.25396211950003</v>
      </c>
      <c r="N358" s="629">
        <f t="shared" ref="N358:Z358" ca="1" si="743">N352*N359</f>
        <v>117.80808598872299</v>
      </c>
      <c r="O358" s="629">
        <f t="shared" ca="1" si="743"/>
        <v>121.09402741000147</v>
      </c>
      <c r="P358" s="629">
        <f t="shared" ca="1" si="743"/>
        <v>133.3455973152505</v>
      </c>
      <c r="Q358" s="629">
        <f t="shared" ca="1" si="743"/>
        <v>146.62272138877836</v>
      </c>
      <c r="R358" s="629">
        <f t="shared" ca="1" si="743"/>
        <v>163.3420840345749</v>
      </c>
      <c r="S358" s="629">
        <f t="shared" ca="1" si="743"/>
        <v>182.62588788383448</v>
      </c>
      <c r="T358" s="629">
        <f t="shared" ca="1" si="743"/>
        <v>203.57878374300711</v>
      </c>
      <c r="U358" s="629">
        <f t="shared" ca="1" si="743"/>
        <v>225.6160954064037</v>
      </c>
      <c r="V358" s="629">
        <f t="shared" ca="1" si="743"/>
        <v>249.52258065376282</v>
      </c>
      <c r="W358" s="629">
        <f t="shared" ca="1" si="743"/>
        <v>274.68537777932852</v>
      </c>
      <c r="X358" s="629">
        <f t="shared" ca="1" si="743"/>
        <v>301.12943271916328</v>
      </c>
      <c r="Y358" s="629">
        <f t="shared" ca="1" si="743"/>
        <v>328.87884793849679</v>
      </c>
      <c r="Z358" s="629">
        <f t="shared" ca="1" si="743"/>
        <v>354.77138717201467</v>
      </c>
    </row>
    <row r="359" spans="2:27">
      <c r="B359" s="618" t="s">
        <v>596</v>
      </c>
      <c r="M359" s="530">
        <v>0.45</v>
      </c>
      <c r="N359" s="530">
        <v>0.46</v>
      </c>
      <c r="O359" s="530">
        <v>0.48</v>
      </c>
      <c r="P359" s="530">
        <v>0.49</v>
      </c>
      <c r="Q359" s="530">
        <v>0.5</v>
      </c>
      <c r="R359" s="528">
        <f>Q359-($Q$359-$Z$359)/9</f>
        <v>0.51333333333333331</v>
      </c>
      <c r="S359" s="528">
        <f t="shared" ref="S359:Y359" si="744">R359-($Q$359-$Z$359)/9</f>
        <v>0.52666666666666662</v>
      </c>
      <c r="T359" s="528">
        <f t="shared" si="744"/>
        <v>0.53999999999999992</v>
      </c>
      <c r="U359" s="528">
        <f t="shared" si="744"/>
        <v>0.55333333333333323</v>
      </c>
      <c r="V359" s="528">
        <f t="shared" si="744"/>
        <v>0.56666666666666654</v>
      </c>
      <c r="W359" s="528">
        <f t="shared" si="744"/>
        <v>0.57999999999999985</v>
      </c>
      <c r="X359" s="528">
        <f t="shared" si="744"/>
        <v>0.59333333333333316</v>
      </c>
      <c r="Y359" s="528">
        <f t="shared" si="744"/>
        <v>0.60666666666666647</v>
      </c>
      <c r="Z359" s="530">
        <v>0.62</v>
      </c>
    </row>
    <row r="361" spans="2:27">
      <c r="B361" s="618" t="s">
        <v>1625</v>
      </c>
      <c r="M361" s="938">
        <f>M278+M279+M280*0.8+M277*0.1</f>
        <v>133.41453333333334</v>
      </c>
      <c r="N361" s="938">
        <f t="shared" ref="N361:Z361" ca="1" si="745">N278+N279+N280*0.8+N277*0.1</f>
        <v>129.27510283543657</v>
      </c>
      <c r="O361" s="938">
        <f t="shared" ca="1" si="745"/>
        <v>129.36975487120895</v>
      </c>
      <c r="P361" s="938">
        <f ca="1">P278+P279+P280*0.8+P277*0.1</f>
        <v>129.68382646635698</v>
      </c>
      <c r="Q361" s="938">
        <f t="shared" ca="1" si="745"/>
        <v>139.91754848071025</v>
      </c>
      <c r="R361" s="938">
        <f t="shared" ca="1" si="745"/>
        <v>139.92297419638479</v>
      </c>
      <c r="S361" s="938">
        <f t="shared" ca="1" si="745"/>
        <v>169.02433225052144</v>
      </c>
      <c r="T361" s="938">
        <f t="shared" ca="1" si="745"/>
        <v>168.88242035554453</v>
      </c>
      <c r="U361" s="938">
        <f t="shared" ca="1" si="745"/>
        <v>205.22114168101874</v>
      </c>
      <c r="V361" s="938">
        <f t="shared" ca="1" si="745"/>
        <v>205.32950902694412</v>
      </c>
      <c r="W361" s="938">
        <f t="shared" ca="1" si="745"/>
        <v>205.43852239332065</v>
      </c>
      <c r="X361" s="938">
        <f t="shared" ca="1" si="745"/>
        <v>205.5481817801483</v>
      </c>
      <c r="Y361" s="938">
        <f t="shared" ca="1" si="745"/>
        <v>205.65848718742711</v>
      </c>
      <c r="Z361" s="938">
        <f t="shared" ca="1" si="745"/>
        <v>70.413438615157091</v>
      </c>
      <c r="AA361" s="1261"/>
    </row>
    <row r="362" spans="2:27">
      <c r="B362" s="618" t="s">
        <v>2002</v>
      </c>
      <c r="M362" s="938">
        <f>Model!M131*0.8</f>
        <v>-36.068800000000003</v>
      </c>
      <c r="N362" s="938">
        <f>Model!N131*0.8</f>
        <v>-36</v>
      </c>
      <c r="O362" s="938">
        <f>Model!O131*0.8</f>
        <v>-36</v>
      </c>
      <c r="P362" s="938">
        <f>Model!P131*0.8</f>
        <v>-36</v>
      </c>
      <c r="Q362" s="938">
        <f>Model!Q131*0.8</f>
        <v>-36</v>
      </c>
      <c r="R362" s="938">
        <f>Model!R131*0.8</f>
        <v>-36</v>
      </c>
      <c r="S362" s="938">
        <f>Model!S131*0.8</f>
        <v>-36</v>
      </c>
      <c r="T362" s="938">
        <f>Model!T131*0.8</f>
        <v>-36</v>
      </c>
      <c r="U362" s="938">
        <f>Model!U131*0.8</f>
        <v>-36</v>
      </c>
      <c r="V362" s="938">
        <f>Model!V131*0.8</f>
        <v>-36</v>
      </c>
      <c r="W362" s="938">
        <f>Model!W131*0.8</f>
        <v>-36</v>
      </c>
      <c r="X362" s="938">
        <f>Model!X131*0.8</f>
        <v>-36</v>
      </c>
      <c r="Y362" s="938">
        <f>Model!Y131*0.8</f>
        <v>-36</v>
      </c>
      <c r="Z362" s="938">
        <f>Model!Z131*0.8</f>
        <v>-36</v>
      </c>
      <c r="AA362" s="938"/>
    </row>
    <row r="363" spans="2:27">
      <c r="B363" s="618" t="s">
        <v>1822</v>
      </c>
      <c r="M363" s="938">
        <f ca="1">Value!M8*0.5</f>
        <v>-23.777273265757032</v>
      </c>
      <c r="N363" s="938">
        <f>Value!N8*0.5</f>
        <v>-22.5</v>
      </c>
      <c r="O363" s="938">
        <f>Value!O8*0.5</f>
        <v>-12.5</v>
      </c>
      <c r="P363" s="938">
        <f>Value!P8*0.5</f>
        <v>-10</v>
      </c>
      <c r="Q363" s="938">
        <f>Value!Q8*0.5</f>
        <v>-5</v>
      </c>
      <c r="R363" s="938">
        <f>Value!R8*0.5</f>
        <v>-5</v>
      </c>
      <c r="S363" s="938">
        <f>Value!S8*0.5</f>
        <v>-5</v>
      </c>
      <c r="T363" s="938">
        <f>Value!T8*0.5</f>
        <v>-5</v>
      </c>
      <c r="U363" s="938">
        <f>Value!U8*0.5</f>
        <v>-5</v>
      </c>
      <c r="V363" s="938">
        <f>Value!V8*0.5</f>
        <v>-5</v>
      </c>
      <c r="W363" s="938">
        <f>Value!W8*0.5</f>
        <v>-5</v>
      </c>
      <c r="X363" s="938">
        <f>Value!X8*0.5</f>
        <v>-5</v>
      </c>
      <c r="Y363" s="938">
        <f>Value!Y8*0.5</f>
        <v>-5</v>
      </c>
      <c r="Z363" s="938">
        <f>Value!Z8*0.5</f>
        <v>0</v>
      </c>
      <c r="AA363" s="938"/>
    </row>
    <row r="364" spans="2:27">
      <c r="B364" s="58" t="s">
        <v>1824</v>
      </c>
      <c r="C364" s="58"/>
      <c r="D364" s="58"/>
      <c r="E364" s="58"/>
      <c r="F364" s="58"/>
      <c r="G364" s="58"/>
      <c r="H364" s="58"/>
      <c r="I364" s="58"/>
      <c r="J364" s="58"/>
      <c r="K364" s="58"/>
      <c r="L364" s="58"/>
      <c r="M364" s="1189">
        <f ca="1">M358-M361+M362+M363</f>
        <v>-74.006644479590335</v>
      </c>
      <c r="N364" s="1189">
        <f t="shared" ref="N364:Z364" ca="1" si="746">N358-N361+N362+N363</f>
        <v>-69.967016846713577</v>
      </c>
      <c r="O364" s="1189">
        <f t="shared" ca="1" si="746"/>
        <v>-56.775727461207481</v>
      </c>
      <c r="P364" s="1189">
        <f t="shared" ca="1" si="746"/>
        <v>-42.338229151106475</v>
      </c>
      <c r="Q364" s="1189">
        <f t="shared" ca="1" si="746"/>
        <v>-34.294827091931893</v>
      </c>
      <c r="R364" s="1189">
        <f t="shared" ca="1" si="746"/>
        <v>-17.58089016180989</v>
      </c>
      <c r="S364" s="1189">
        <f t="shared" ca="1" si="746"/>
        <v>-27.398444366686959</v>
      </c>
      <c r="T364" s="1189">
        <f t="shared" ca="1" si="746"/>
        <v>-6.3036366125374172</v>
      </c>
      <c r="U364" s="1189">
        <f t="shared" ca="1" si="746"/>
        <v>-20.605046274615034</v>
      </c>
      <c r="V364" s="1189">
        <f t="shared" ca="1" si="746"/>
        <v>3.1930716268186927</v>
      </c>
      <c r="W364" s="1189">
        <f t="shared" ca="1" si="746"/>
        <v>28.246855386007866</v>
      </c>
      <c r="X364" s="1189">
        <f t="shared" ca="1" si="746"/>
        <v>54.581250939014978</v>
      </c>
      <c r="Y364" s="1189">
        <f t="shared" ca="1" si="746"/>
        <v>82.220360751069677</v>
      </c>
      <c r="Z364" s="1189">
        <f t="shared" ca="1" si="746"/>
        <v>248.35794855685759</v>
      </c>
    </row>
    <row r="366" spans="2:27">
      <c r="B366" s="618" t="s">
        <v>2207</v>
      </c>
      <c r="M366" s="489">
        <f t="shared" ref="M366:Z366" si="747">0.2*12*5</f>
        <v>12.000000000000002</v>
      </c>
      <c r="N366" s="489">
        <f t="shared" si="747"/>
        <v>12.000000000000002</v>
      </c>
      <c r="O366" s="489">
        <f t="shared" si="747"/>
        <v>12.000000000000002</v>
      </c>
      <c r="P366" s="531">
        <f>O366*0.98</f>
        <v>11.760000000000002</v>
      </c>
      <c r="Q366" s="531">
        <f t="shared" ref="Q366:Z366" si="748">P366*0.98</f>
        <v>11.524800000000001</v>
      </c>
      <c r="R366" s="531">
        <f t="shared" si="748"/>
        <v>11.294304</v>
      </c>
      <c r="S366" s="531">
        <f t="shared" si="748"/>
        <v>11.06841792</v>
      </c>
      <c r="T366" s="531">
        <f t="shared" si="748"/>
        <v>10.8470495616</v>
      </c>
      <c r="U366" s="531">
        <f t="shared" si="748"/>
        <v>10.630108570368</v>
      </c>
      <c r="V366" s="531">
        <f t="shared" si="748"/>
        <v>10.41750639896064</v>
      </c>
      <c r="W366" s="531">
        <f t="shared" si="748"/>
        <v>10.209156270981428</v>
      </c>
      <c r="X366" s="531">
        <f t="shared" si="748"/>
        <v>10.004973145561799</v>
      </c>
      <c r="Y366" s="531">
        <f t="shared" si="748"/>
        <v>9.8048736826505625</v>
      </c>
      <c r="Z366" s="531">
        <f t="shared" si="748"/>
        <v>9.6087762089975506</v>
      </c>
    </row>
    <row r="367" spans="2:27">
      <c r="B367" s="618" t="s">
        <v>1817</v>
      </c>
      <c r="M367" s="629">
        <f ca="1">M5-M343-M183-M366</f>
        <v>392.50740684999994</v>
      </c>
      <c r="N367" s="629">
        <f t="shared" ref="N367:Z367" ca="1" si="749">N5-N343-N183-N366</f>
        <v>372.21535777193668</v>
      </c>
      <c r="O367" s="629">
        <f t="shared" ca="1" si="749"/>
        <v>369.61232677345652</v>
      </c>
      <c r="P367" s="629">
        <f t="shared" ca="1" si="749"/>
        <v>392.58166388169542</v>
      </c>
      <c r="Q367" s="629">
        <f t="shared" ca="1" si="749"/>
        <v>411.80374284216413</v>
      </c>
      <c r="R367" s="629">
        <f t="shared" ca="1" si="749"/>
        <v>429.57915871794489</v>
      </c>
      <c r="S367" s="629">
        <f t="shared" ca="1" si="749"/>
        <v>447.65445134732693</v>
      </c>
      <c r="T367" s="629">
        <f t="shared" ca="1" si="749"/>
        <v>462.54259422693445</v>
      </c>
      <c r="U367" s="629">
        <f t="shared" ca="1" si="749"/>
        <v>479.15778431695213</v>
      </c>
      <c r="V367" s="629">
        <f t="shared" ca="1" si="749"/>
        <v>496.74914495711846</v>
      </c>
      <c r="W367" s="629">
        <f t="shared" ca="1" si="749"/>
        <v>515.36425709249204</v>
      </c>
      <c r="X367" s="629">
        <f t="shared" ca="1" si="749"/>
        <v>535.05320759809319</v>
      </c>
      <c r="Y367" s="629">
        <f t="shared" ca="1" si="749"/>
        <v>555.86871516166195</v>
      </c>
      <c r="Z367" s="629">
        <f t="shared" ca="1" si="749"/>
        <v>577.86626227616205</v>
      </c>
    </row>
    <row r="368" spans="2:27">
      <c r="B368" s="618" t="s">
        <v>1196</v>
      </c>
      <c r="N368" s="909">
        <f ca="1">N367/M367-1</f>
        <v>-5.1698512496652138E-2</v>
      </c>
      <c r="O368" s="909">
        <f t="shared" ref="O368" ca="1" si="750">O367/N367-1</f>
        <v>-6.9933465778031501E-3</v>
      </c>
      <c r="P368" s="909">
        <f t="shared" ref="P368" ca="1" si="751">P367/O367-1</f>
        <v>6.2144402240992713E-2</v>
      </c>
      <c r="Q368" s="909">
        <f t="shared" ref="Q368" ca="1" si="752">Q367/P367-1</f>
        <v>4.8963262243091554E-2</v>
      </c>
      <c r="R368" s="909">
        <f t="shared" ref="R368" ca="1" si="753">R367/Q367-1</f>
        <v>4.3164774931619965E-2</v>
      </c>
      <c r="S368" s="909">
        <f t="shared" ref="S368" ca="1" si="754">S367/R367-1</f>
        <v>4.2076744792104659E-2</v>
      </c>
      <c r="T368" s="909">
        <f t="shared" ref="T368" ca="1" si="755">T367/S367-1</f>
        <v>3.325811423252456E-2</v>
      </c>
      <c r="U368" s="909">
        <f t="shared" ref="U368" ca="1" si="756">U367/T367-1</f>
        <v>3.5921427123457139E-2</v>
      </c>
      <c r="V368" s="909">
        <f t="shared" ref="V368" ca="1" si="757">V367/U367-1</f>
        <v>3.6713085367575005E-2</v>
      </c>
      <c r="W368" s="909">
        <f t="shared" ref="W368" ca="1" si="758">W367/V367-1</f>
        <v>3.7473868499523055E-2</v>
      </c>
      <c r="X368" s="909">
        <f t="shared" ref="X368" ca="1" si="759">X367/W367-1</f>
        <v>3.8203950380027107E-2</v>
      </c>
      <c r="Y368" s="909">
        <f t="shared" ref="Y368" ca="1" si="760">Y367/X367-1</f>
        <v>3.8903621673462396E-2</v>
      </c>
      <c r="Z368" s="909">
        <f t="shared" ref="Z368" ca="1" si="761">Z367/Y367-1</f>
        <v>3.9573277852311906E-2</v>
      </c>
    </row>
    <row r="369" spans="2:26">
      <c r="B369" s="618" t="s">
        <v>2185</v>
      </c>
      <c r="M369" s="629"/>
      <c r="N369" s="629"/>
      <c r="O369" s="629">
        <f ca="1">O367/AVERAGE(N59:O59)/12*1000</f>
        <v>22.65126131054997</v>
      </c>
      <c r="P369" s="629">
        <f t="shared" ref="P369:Z369" ca="1" si="762">P367/AVERAGE(O59:P59)/12*1000</f>
        <v>23.672722557337629</v>
      </c>
      <c r="Q369" s="629">
        <f t="shared" ca="1" si="762"/>
        <v>25.090090728202995</v>
      </c>
      <c r="R369" s="629">
        <f t="shared" ca="1" si="762"/>
        <v>26.60113638742223</v>
      </c>
      <c r="S369" s="629">
        <f t="shared" ca="1" si="762"/>
        <v>28.172509473863641</v>
      </c>
      <c r="T369" s="629">
        <f t="shared" ca="1" si="762"/>
        <v>29.50265358093738</v>
      </c>
      <c r="U369" s="629">
        <f t="shared" ca="1" si="762"/>
        <v>30.995316873294264</v>
      </c>
      <c r="V369" s="629">
        <f t="shared" ca="1" si="762"/>
        <v>32.610331051460861</v>
      </c>
      <c r="W369" s="629">
        <f t="shared" ca="1" si="762"/>
        <v>34.358728370395447</v>
      </c>
      <c r="X369" s="629">
        <f t="shared" ca="1" si="762"/>
        <v>36.252788276241915</v>
      </c>
      <c r="Y369" s="629">
        <f t="shared" ca="1" si="762"/>
        <v>38.306207291455237</v>
      </c>
      <c r="Z369" s="629">
        <f t="shared" ca="1" si="762"/>
        <v>40.534297006341262</v>
      </c>
    </row>
    <row r="370" spans="2:26">
      <c r="B370" s="618" t="s">
        <v>1196</v>
      </c>
      <c r="N370" s="909"/>
      <c r="O370" s="909"/>
      <c r="P370" s="909">
        <f t="shared" ref="P370" ca="1" si="763">P369/O369-1</f>
        <v>4.5095115578041023E-2</v>
      </c>
      <c r="Q370" s="909">
        <f t="shared" ref="Q370" ca="1" si="764">Q369/P369-1</f>
        <v>5.9873475365258999E-2</v>
      </c>
      <c r="R370" s="909">
        <f t="shared" ref="R370" ca="1" si="765">R369/Q369-1</f>
        <v>6.0224798530549517E-2</v>
      </c>
      <c r="S370" s="909">
        <f t="shared" ref="S370" ca="1" si="766">S369/R369-1</f>
        <v>5.9071652562346921E-2</v>
      </c>
      <c r="T370" s="909">
        <f t="shared" ref="T370" ca="1" si="767">T369/S369-1</f>
        <v>4.7214257157593531E-2</v>
      </c>
      <c r="U370" s="909">
        <f t="shared" ref="U370" ca="1" si="768">U369/T369-1</f>
        <v>5.0594204628472639E-2</v>
      </c>
      <c r="V370" s="909">
        <f t="shared" ref="V370" ca="1" si="769">V369/U369-1</f>
        <v>5.2105102998901698E-2</v>
      </c>
      <c r="W370" s="909">
        <f t="shared" ref="W370" ca="1" si="770">W369/V369-1</f>
        <v>5.3614828876637821E-2</v>
      </c>
      <c r="X370" s="909">
        <f t="shared" ref="X370" ca="1" si="771">X369/W369-1</f>
        <v>5.5126018792897247E-2</v>
      </c>
      <c r="Y370" s="909">
        <f t="shared" ref="Y370" ca="1" si="772">Y369/X369-1</f>
        <v>5.6641685035824452E-2</v>
      </c>
      <c r="Z370" s="909">
        <f t="shared" ref="Z370" ca="1" si="773">Z369/Y369-1</f>
        <v>5.8165239328797691E-2</v>
      </c>
    </row>
    <row r="371" spans="2:26">
      <c r="B371" s="618"/>
      <c r="M371" s="629"/>
      <c r="N371" s="629"/>
      <c r="O371" s="629"/>
      <c r="P371" s="629"/>
      <c r="Q371" s="629"/>
      <c r="R371" s="629"/>
      <c r="S371" s="629"/>
      <c r="T371" s="629"/>
      <c r="U371" s="629"/>
      <c r="V371" s="629"/>
      <c r="W371" s="629"/>
      <c r="X371" s="629"/>
      <c r="Y371" s="629"/>
      <c r="Z371" s="629"/>
    </row>
    <row r="372" spans="2:26">
      <c r="B372" s="618" t="s">
        <v>1814</v>
      </c>
      <c r="M372" s="629">
        <f ca="1">Model!M12-M358</f>
        <v>71.600584412014044</v>
      </c>
      <c r="N372" s="629">
        <f ca="1">Model!N12-N358</f>
        <v>67.171663555296917</v>
      </c>
      <c r="O372" s="629">
        <f ca="1">Model!O12-O358</f>
        <v>71.171734818928996</v>
      </c>
      <c r="P372" s="629">
        <f ca="1">Model!P12-P358</f>
        <v>76.338384367812381</v>
      </c>
      <c r="Q372" s="629">
        <f ca="1">Model!Q12-Q358</f>
        <v>82.004389533664209</v>
      </c>
      <c r="R372" s="629">
        <f ca="1">Model!R12-R358</f>
        <v>85.762950303122267</v>
      </c>
      <c r="S372" s="629">
        <f ca="1">Model!S12-S358</f>
        <v>90.850726116706028</v>
      </c>
      <c r="T372" s="629">
        <f ca="1">Model!T12-T358</f>
        <v>95.21617287872462</v>
      </c>
      <c r="U372" s="629">
        <f ca="1">Model!U12-U358</f>
        <v>100.24134749564251</v>
      </c>
      <c r="V372" s="629">
        <f ca="1">Model!V12-V358</f>
        <v>103.29011697074077</v>
      </c>
      <c r="W372" s="629">
        <f ca="1">Model!W12-W358</f>
        <v>106.09633714824895</v>
      </c>
      <c r="X372" s="629">
        <f ca="1">Model!X12-X358</f>
        <v>108.65497218921746</v>
      </c>
      <c r="Y372" s="629">
        <f ca="1">Model!Y12-Y358</f>
        <v>110.9624378361404</v>
      </c>
      <c r="Z372" s="629">
        <f ca="1">Model!Z12-Z358</f>
        <v>116.20213252758828</v>
      </c>
    </row>
    <row r="373" spans="2:26">
      <c r="B373" s="58" t="s">
        <v>596</v>
      </c>
      <c r="C373" s="58"/>
      <c r="D373" s="58"/>
      <c r="E373" s="58"/>
      <c r="F373" s="58"/>
      <c r="G373" s="58"/>
      <c r="H373" s="58"/>
      <c r="I373" s="58"/>
      <c r="J373" s="58"/>
      <c r="K373" s="58"/>
      <c r="L373" s="58"/>
      <c r="M373" s="1260">
        <f t="shared" ref="M373:Z373" ca="1" si="774">M372/M367</f>
        <v>0.18241842870337685</v>
      </c>
      <c r="N373" s="1260">
        <f t="shared" ca="1" si="774"/>
        <v>0.1804645137626327</v>
      </c>
      <c r="O373" s="1260">
        <f t="shared" ca="1" si="774"/>
        <v>0.19255779546159918</v>
      </c>
      <c r="P373" s="1260">
        <f t="shared" ca="1" si="774"/>
        <v>0.19445224112865589</v>
      </c>
      <c r="Q373" s="1260">
        <f t="shared" ca="1" si="774"/>
        <v>0.19913463866960238</v>
      </c>
      <c r="R373" s="1260">
        <f t="shared" ca="1" si="774"/>
        <v>0.1996441134599663</v>
      </c>
      <c r="S373" s="1260">
        <f t="shared" ca="1" si="774"/>
        <v>0.20294833625191991</v>
      </c>
      <c r="T373" s="1260">
        <f t="shared" ca="1" si="774"/>
        <v>0.20585384798531503</v>
      </c>
      <c r="U373" s="1260">
        <f t="shared" ca="1" si="774"/>
        <v>0.20920321192013674</v>
      </c>
      <c r="V373" s="1260">
        <f t="shared" ca="1" si="774"/>
        <v>0.20793214848846336</v>
      </c>
      <c r="W373" s="1260">
        <f t="shared" ca="1" si="774"/>
        <v>0.20586669659011281</v>
      </c>
      <c r="X373" s="1260">
        <f t="shared" ca="1" si="774"/>
        <v>0.20307320962896452</v>
      </c>
      <c r="Y373" s="1260">
        <f t="shared" ca="1" si="774"/>
        <v>0.19961986492416553</v>
      </c>
      <c r="Z373" s="1260">
        <f t="shared" ca="1" si="774"/>
        <v>0.2010882796131388</v>
      </c>
    </row>
    <row r="374" spans="2:26">
      <c r="B374" s="618"/>
      <c r="M374" s="1186"/>
      <c r="N374" s="1186"/>
      <c r="O374" s="1186"/>
      <c r="P374" s="1186"/>
      <c r="Q374" s="1186"/>
      <c r="R374" s="1186"/>
      <c r="S374" s="1186"/>
      <c r="T374" s="1186"/>
      <c r="U374" s="1186"/>
      <c r="V374" s="1186"/>
      <c r="W374" s="1186"/>
      <c r="X374" s="1186"/>
      <c r="Y374" s="1186"/>
      <c r="Z374" s="1186"/>
    </row>
    <row r="375" spans="2:26">
      <c r="B375" s="618" t="s">
        <v>1896</v>
      </c>
      <c r="M375" s="629">
        <f t="shared" ref="M375:Z375" si="775">M254</f>
        <v>0</v>
      </c>
      <c r="N375" s="629">
        <f t="shared" si="775"/>
        <v>0</v>
      </c>
      <c r="O375" s="629">
        <f t="shared" ca="1" si="775"/>
        <v>5.8406924333072069E-2</v>
      </c>
      <c r="P375" s="629">
        <f t="shared" ca="1" si="775"/>
        <v>0.3398109195187522</v>
      </c>
      <c r="Q375" s="629">
        <f t="shared" ca="1" si="775"/>
        <v>0.98985125409390351</v>
      </c>
      <c r="R375" s="629">
        <f t="shared" ca="1" si="775"/>
        <v>2.0709400035702803</v>
      </c>
      <c r="S375" s="629">
        <f t="shared" ca="1" si="775"/>
        <v>3.6106519848589427</v>
      </c>
      <c r="T375" s="629">
        <f t="shared" ca="1" si="775"/>
        <v>5.5673409240845659</v>
      </c>
      <c r="U375" s="629">
        <f t="shared" ca="1" si="775"/>
        <v>7.9075265626212552</v>
      </c>
      <c r="V375" s="629">
        <f t="shared" ca="1" si="775"/>
        <v>10.653609023773953</v>
      </c>
      <c r="W375" s="629">
        <f t="shared" ca="1" si="775"/>
        <v>13.805079945214828</v>
      </c>
      <c r="X375" s="629">
        <f t="shared" ca="1" si="775"/>
        <v>17.358143435934288</v>
      </c>
      <c r="Y375" s="629">
        <f t="shared" ca="1" si="775"/>
        <v>21.305901561020939</v>
      </c>
      <c r="Z375" s="629">
        <f t="shared" ca="1" si="775"/>
        <v>23.400954786728867</v>
      </c>
    </row>
    <row r="376" spans="2:26">
      <c r="B376" s="618" t="s">
        <v>1910</v>
      </c>
      <c r="M376" s="629">
        <f ca="1">M330*12*AVERAGE(L315:M315)/1000+M332*12*AVERAGE(L316:M316)/1000+M348+M350</f>
        <v>217.45500000000004</v>
      </c>
      <c r="N376" s="629">
        <f ca="1">N330*12*AVERAGE(M315:N315)/1000+N332*12*AVERAGE(M316:N316)/1000+N348+N350</f>
        <v>206.45527198436713</v>
      </c>
      <c r="O376" s="629">
        <f ca="1">O330*12*AVERAGE(N315:O315)/1000+O332*12*AVERAGE(N316:O316)/1000+O348+O350</f>
        <v>199.74201380114971</v>
      </c>
      <c r="P376" s="629">
        <f t="shared" ref="P376:Z376" ca="1" si="776">P330*12*AVERAGE(O315:P315)/1000+P332*12*AVERAGE(O316:P316)/1000+P348+P350</f>
        <v>213.65367637162663</v>
      </c>
      <c r="Q376" s="629">
        <f t="shared" ca="1" si="776"/>
        <v>226.71209580918125</v>
      </c>
      <c r="R376" s="629">
        <f t="shared" ca="1" si="776"/>
        <v>240.60340676387284</v>
      </c>
      <c r="S376" s="629">
        <f t="shared" ca="1" si="776"/>
        <v>253.5126385578657</v>
      </c>
      <c r="T376" s="629">
        <f t="shared" ca="1" si="776"/>
        <v>265.05106464922147</v>
      </c>
      <c r="U376" s="629">
        <f t="shared" ca="1" si="776"/>
        <v>277.22108887729348</v>
      </c>
      <c r="V376" s="629">
        <f t="shared" ca="1" si="776"/>
        <v>291.40911109389884</v>
      </c>
      <c r="W376" s="629">
        <f t="shared" ca="1" si="776"/>
        <v>306.46994764953598</v>
      </c>
      <c r="X376" s="629">
        <f t="shared" ca="1" si="776"/>
        <v>322.44211374685477</v>
      </c>
      <c r="Y376" s="629">
        <f t="shared" ca="1" si="776"/>
        <v>339.36537295320403</v>
      </c>
      <c r="Z376" s="629">
        <f t="shared" ca="1" si="776"/>
        <v>352.14306389250532</v>
      </c>
    </row>
    <row r="377" spans="2:26">
      <c r="B377" s="58" t="s">
        <v>1911</v>
      </c>
      <c r="C377" s="58"/>
      <c r="D377" s="58"/>
      <c r="E377" s="58"/>
      <c r="F377" s="58"/>
      <c r="G377" s="58"/>
      <c r="H377" s="58"/>
      <c r="I377" s="58"/>
      <c r="J377" s="58"/>
      <c r="K377" s="58"/>
      <c r="L377" s="58"/>
      <c r="M377" s="630">
        <f ca="1">M367-M375-M376</f>
        <v>175.0524068499999</v>
      </c>
      <c r="N377" s="630">
        <f t="shared" ref="N377:Z377" ca="1" si="777">N367-N375-N376</f>
        <v>165.76008578756955</v>
      </c>
      <c r="O377" s="630">
        <f t="shared" ca="1" si="777"/>
        <v>169.81190604797371</v>
      </c>
      <c r="P377" s="630">
        <f t="shared" ca="1" si="777"/>
        <v>178.58817659055003</v>
      </c>
      <c r="Q377" s="630">
        <f t="shared" ca="1" si="777"/>
        <v>184.101795778889</v>
      </c>
      <c r="R377" s="630">
        <f t="shared" ca="1" si="777"/>
        <v>186.90481195050177</v>
      </c>
      <c r="S377" s="630">
        <f t="shared" ca="1" si="777"/>
        <v>190.53116080460231</v>
      </c>
      <c r="T377" s="630">
        <f t="shared" ca="1" si="777"/>
        <v>191.92418865362839</v>
      </c>
      <c r="U377" s="630">
        <f t="shared" ca="1" si="777"/>
        <v>194.02916887703742</v>
      </c>
      <c r="V377" s="630">
        <f t="shared" ca="1" si="777"/>
        <v>194.68642483944569</v>
      </c>
      <c r="W377" s="630">
        <f t="shared" ca="1" si="777"/>
        <v>195.0892294977412</v>
      </c>
      <c r="X377" s="630">
        <f t="shared" ca="1" si="777"/>
        <v>195.25295041530416</v>
      </c>
      <c r="Y377" s="630">
        <f t="shared" ca="1" si="777"/>
        <v>195.19744064743696</v>
      </c>
      <c r="Z377" s="630">
        <f t="shared" ca="1" si="777"/>
        <v>202.32224359692782</v>
      </c>
    </row>
    <row r="378" spans="2:26">
      <c r="B378" s="618" t="s">
        <v>2155</v>
      </c>
      <c r="C378" s="58"/>
      <c r="D378" s="58"/>
      <c r="E378" s="58"/>
      <c r="F378" s="58"/>
      <c r="G378" s="58"/>
      <c r="H378" s="58"/>
      <c r="I378" s="58"/>
      <c r="J378" s="58"/>
      <c r="K378" s="58"/>
      <c r="L378" s="58"/>
      <c r="M378" s="1260">
        <f ca="1">M377/M367</f>
        <v>0.44598497708578955</v>
      </c>
      <c r="N378" s="1260">
        <f t="shared" ref="N378:Z378" ca="1" si="778">N377/N367</f>
        <v>0.44533381636857083</v>
      </c>
      <c r="O378" s="1260">
        <f t="shared" ca="1" si="778"/>
        <v>0.45943247491324912</v>
      </c>
      <c r="P378" s="1260">
        <f t="shared" ca="1" si="778"/>
        <v>0.45490707544702758</v>
      </c>
      <c r="Q378" s="1260">
        <f t="shared" ca="1" si="778"/>
        <v>0.44706197789331753</v>
      </c>
      <c r="R378" s="1260">
        <f t="shared" ca="1" si="778"/>
        <v>0.43508817445499171</v>
      </c>
      <c r="S378" s="1260">
        <f t="shared" ca="1" si="778"/>
        <v>0.42562105711481613</v>
      </c>
      <c r="T378" s="1260">
        <f t="shared" ca="1" si="778"/>
        <v>0.41493300519576753</v>
      </c>
      <c r="U378" s="1260">
        <f t="shared" ca="1" si="778"/>
        <v>0.4049379457617065</v>
      </c>
      <c r="V378" s="1260">
        <f t="shared" ca="1" si="778"/>
        <v>0.39192100643928007</v>
      </c>
      <c r="W378" s="1260">
        <f t="shared" ca="1" si="778"/>
        <v>0.37854629383567956</v>
      </c>
      <c r="X378" s="1260">
        <f t="shared" ca="1" si="778"/>
        <v>0.36492249302048663</v>
      </c>
      <c r="Y378" s="1260">
        <f t="shared" ca="1" si="778"/>
        <v>0.35115745017358668</v>
      </c>
      <c r="Z378" s="1260">
        <f t="shared" ca="1" si="778"/>
        <v>0.35011949443111479</v>
      </c>
    </row>
    <row r="379" spans="2:26">
      <c r="B379" s="1137" t="s">
        <v>2187</v>
      </c>
      <c r="C379" s="58"/>
      <c r="D379" s="58"/>
      <c r="E379" s="58"/>
      <c r="F379" s="58"/>
      <c r="G379" s="58"/>
      <c r="H379" s="58"/>
      <c r="I379" s="58"/>
      <c r="J379" s="58"/>
      <c r="K379" s="58"/>
      <c r="L379" s="58"/>
      <c r="M379" s="630">
        <f ca="1">M179-M350-M366</f>
        <v>65.951029069153392</v>
      </c>
      <c r="N379" s="630">
        <f t="shared" ref="N379:Z379" ca="1" si="779">N179-N350-N366</f>
        <v>46.130648815426895</v>
      </c>
      <c r="O379" s="630">
        <f t="shared" ca="1" si="779"/>
        <v>38.558694518010739</v>
      </c>
      <c r="P379" s="630">
        <f t="shared" ca="1" si="779"/>
        <v>38.724800017774257</v>
      </c>
      <c r="Q379" s="630">
        <f t="shared" ca="1" si="779"/>
        <v>37.577903240331352</v>
      </c>
      <c r="R379" s="630">
        <f t="shared" ca="1" si="779"/>
        <v>36.634101579794091</v>
      </c>
      <c r="S379" s="630">
        <f t="shared" ca="1" si="779"/>
        <v>35.880144237863391</v>
      </c>
      <c r="T379" s="630">
        <f t="shared" ca="1" si="779"/>
        <v>35.231661360900233</v>
      </c>
      <c r="U379" s="630">
        <f t="shared" ca="1" si="779"/>
        <v>34.608763561919567</v>
      </c>
      <c r="V379" s="630">
        <f t="shared" ca="1" si="779"/>
        <v>34.00840462891216</v>
      </c>
      <c r="W379" s="630">
        <f t="shared" ca="1" si="779"/>
        <v>33.427469004499187</v>
      </c>
      <c r="X379" s="630">
        <f t="shared" ca="1" si="779"/>
        <v>32.862770654367679</v>
      </c>
      <c r="Y379" s="630">
        <f t="shared" ca="1" si="779"/>
        <v>32.311051917125496</v>
      </c>
      <c r="Z379" s="630">
        <f t="shared" ca="1" si="779"/>
        <v>31.768982335336371</v>
      </c>
    </row>
    <row r="380" spans="2:26">
      <c r="B380" s="1137" t="s">
        <v>2188</v>
      </c>
      <c r="C380" s="58"/>
      <c r="D380" s="58"/>
      <c r="E380" s="58"/>
      <c r="F380" s="58"/>
      <c r="G380" s="58"/>
      <c r="H380" s="58"/>
      <c r="I380" s="58"/>
      <c r="J380" s="58"/>
      <c r="K380" s="58"/>
      <c r="L380" s="58"/>
      <c r="M380" s="630">
        <f ca="1">M377-M379</f>
        <v>109.10137778084651</v>
      </c>
      <c r="N380" s="630">
        <f ca="1">N377-N379</f>
        <v>119.62943697214266</v>
      </c>
      <c r="O380" s="630">
        <f ca="1">O377-O379</f>
        <v>131.25321152996298</v>
      </c>
      <c r="P380" s="630">
        <f t="shared" ref="P380:Z380" ca="1" si="780">P377-P379</f>
        <v>139.86337657277579</v>
      </c>
      <c r="Q380" s="630">
        <f t="shared" ca="1" si="780"/>
        <v>146.52389253855765</v>
      </c>
      <c r="R380" s="630">
        <f t="shared" ca="1" si="780"/>
        <v>150.27071037070766</v>
      </c>
      <c r="S380" s="630">
        <f t="shared" ca="1" si="780"/>
        <v>154.65101656673892</v>
      </c>
      <c r="T380" s="630">
        <f t="shared" ca="1" si="780"/>
        <v>156.69252729272816</v>
      </c>
      <c r="U380" s="630">
        <f t="shared" ca="1" si="780"/>
        <v>159.42040531511785</v>
      </c>
      <c r="V380" s="630">
        <f t="shared" ca="1" si="780"/>
        <v>160.67802021053353</v>
      </c>
      <c r="W380" s="630">
        <f t="shared" ca="1" si="780"/>
        <v>161.66176049324201</v>
      </c>
      <c r="X380" s="630">
        <f t="shared" ca="1" si="780"/>
        <v>162.39017976093646</v>
      </c>
      <c r="Y380" s="630">
        <f t="shared" ca="1" si="780"/>
        <v>162.88638873031147</v>
      </c>
      <c r="Z380" s="630">
        <f t="shared" ca="1" si="780"/>
        <v>170.55326126159144</v>
      </c>
    </row>
    <row r="381" spans="2:26">
      <c r="B381" s="1137" t="s">
        <v>2190</v>
      </c>
      <c r="C381" s="58"/>
      <c r="D381" s="58"/>
      <c r="E381" s="58"/>
      <c r="F381" s="58"/>
      <c r="G381" s="58"/>
      <c r="H381" s="58"/>
      <c r="I381" s="58"/>
      <c r="J381" s="58"/>
      <c r="K381" s="58"/>
      <c r="L381" s="58"/>
      <c r="M381" s="630">
        <f ca="1">M380/AVERAGE(L70:M70)/12*1000</f>
        <v>13.560092845269894</v>
      </c>
      <c r="N381" s="630">
        <f ca="1">N380/AVERAGE(M70:N70)/12*1000</f>
        <v>14.111291441669287</v>
      </c>
      <c r="O381" s="630">
        <f ca="1">O380/AVERAGE(N70:O70)/12*1000</f>
        <v>14.625314759441745</v>
      </c>
      <c r="P381" s="630">
        <f t="shared" ref="P381:Z381" ca="1" si="781">P380/AVERAGE(O70:P70)/12*1000</f>
        <v>14.486684580918624</v>
      </c>
      <c r="Q381" s="630">
        <f t="shared" ca="1" si="781"/>
        <v>14.23486008537926</v>
      </c>
      <c r="R381" s="630">
        <f t="shared" ca="1" si="781"/>
        <v>13.873996108211177</v>
      </c>
      <c r="S381" s="630">
        <f t="shared" ca="1" si="781"/>
        <v>13.765685175793761</v>
      </c>
      <c r="T381" s="630">
        <f t="shared" ca="1" si="781"/>
        <v>13.621892955028285</v>
      </c>
      <c r="U381" s="630">
        <f t="shared" ca="1" si="781"/>
        <v>13.627151062200124</v>
      </c>
      <c r="V381" s="630">
        <f t="shared" ca="1" si="781"/>
        <v>13.507264480265915</v>
      </c>
      <c r="W381" s="630">
        <f t="shared" ca="1" si="781"/>
        <v>13.367308279626071</v>
      </c>
      <c r="X381" s="630">
        <f t="shared" ca="1" si="781"/>
        <v>13.209803154689503</v>
      </c>
      <c r="Y381" s="630">
        <f t="shared" ca="1" si="781"/>
        <v>13.037484276683408</v>
      </c>
      <c r="Z381" s="630">
        <f t="shared" ca="1" si="781"/>
        <v>13.434215389142272</v>
      </c>
    </row>
    <row r="382" spans="2:26">
      <c r="B382" s="1137"/>
      <c r="C382" s="58"/>
      <c r="D382" s="58"/>
      <c r="E382" s="58"/>
      <c r="F382" s="58"/>
      <c r="G382" s="58"/>
      <c r="H382" s="58"/>
      <c r="I382" s="58"/>
      <c r="J382" s="58"/>
      <c r="K382" s="58"/>
      <c r="L382" s="58"/>
      <c r="M382" s="1260"/>
      <c r="N382" s="1260"/>
      <c r="O382" s="630"/>
      <c r="P382" s="630"/>
      <c r="Q382" s="630"/>
      <c r="R382" s="630"/>
      <c r="S382" s="630"/>
      <c r="T382" s="630"/>
      <c r="U382" s="630"/>
      <c r="V382" s="630"/>
      <c r="W382" s="630"/>
      <c r="X382" s="630"/>
      <c r="Y382" s="630"/>
      <c r="Z382" s="630"/>
    </row>
    <row r="383" spans="2:26">
      <c r="B383" s="618" t="s">
        <v>2198</v>
      </c>
      <c r="C383" s="58"/>
      <c r="D383" s="58"/>
      <c r="E383" s="58"/>
      <c r="F383" s="58"/>
      <c r="G383" s="58"/>
      <c r="H383" s="58"/>
      <c r="I383" s="58"/>
      <c r="J383" s="58"/>
      <c r="K383" s="58"/>
      <c r="L383" s="58"/>
      <c r="M383" s="1260"/>
      <c r="N383" s="1260"/>
      <c r="O383" s="629">
        <f ca="1">(O375+O376)/AVERAGE(N59:O59)/12*1000</f>
        <v>12.244536266737271</v>
      </c>
      <c r="P383" s="629">
        <f t="shared" ref="P383:Z383" ca="1" si="782">(P375+P376)/AVERAGE(O59:P59)/12*1000</f>
        <v>12.903833570910288</v>
      </c>
      <c r="Q383" s="629">
        <f t="shared" ca="1" si="782"/>
        <v>13.873265141729778</v>
      </c>
      <c r="R383" s="629">
        <f t="shared" ca="1" si="782"/>
        <v>15.02729651819044</v>
      </c>
      <c r="S383" s="629">
        <f t="shared" ca="1" si="782"/>
        <v>16.181696210020629</v>
      </c>
      <c r="T383" s="629">
        <f t="shared" ca="1" si="782"/>
        <v>17.26102886934936</v>
      </c>
      <c r="U383" s="629">
        <f t="shared" ca="1" si="782"/>
        <v>18.444136930389327</v>
      </c>
      <c r="V383" s="629">
        <f t="shared" ca="1" si="782"/>
        <v>19.829657285454221</v>
      </c>
      <c r="W383" s="629">
        <f t="shared" ca="1" si="782"/>
        <v>21.352359084875427</v>
      </c>
      <c r="X383" s="629">
        <f t="shared" ca="1" si="782"/>
        <v>23.023330399531844</v>
      </c>
      <c r="Y383" s="629">
        <f t="shared" ca="1" si="782"/>
        <v>24.854697213166961</v>
      </c>
      <c r="Z383" s="629">
        <f t="shared" ca="1" si="782"/>
        <v>26.342449431360407</v>
      </c>
    </row>
    <row r="384" spans="2:26">
      <c r="B384" s="618" t="s">
        <v>2199</v>
      </c>
      <c r="C384" s="58"/>
      <c r="D384" s="58"/>
      <c r="E384" s="58"/>
      <c r="F384" s="58"/>
      <c r="G384" s="58"/>
      <c r="H384" s="58"/>
      <c r="I384" s="58"/>
      <c r="J384" s="58"/>
      <c r="K384" s="58"/>
      <c r="L384" s="58"/>
      <c r="M384" s="629">
        <f ca="1">(M375+M376-M350)/AVERAGE(L70:M70)/12*1000</f>
        <v>13.261006740283957</v>
      </c>
      <c r="N384" s="629">
        <f ca="1">(N375+N376-N350)/AVERAGE(M70:N70)/12*1000</f>
        <v>13.766997877451661</v>
      </c>
      <c r="O384" s="629">
        <f ca="1">(O375+O376-O350)/AVERAGE(N70:O70)/12*1000</f>
        <v>14.161370507187304</v>
      </c>
      <c r="P384" s="629">
        <f t="shared" ref="P384:Z384" ca="1" si="783">(P375+P376-P350)/AVERAGE(O70:P70)/12*1000</f>
        <v>14.587724112418645</v>
      </c>
      <c r="Q384" s="629">
        <f t="shared" ca="1" si="783"/>
        <v>15.180546556287659</v>
      </c>
      <c r="R384" s="629">
        <f t="shared" ca="1" si="783"/>
        <v>15.945608795366185</v>
      </c>
      <c r="S384" s="629">
        <f t="shared" ca="1" si="783"/>
        <v>16.77099732611865</v>
      </c>
      <c r="T384" s="629">
        <f t="shared" ca="1" si="783"/>
        <v>17.653917728402597</v>
      </c>
      <c r="U384" s="629">
        <f t="shared" ca="1" si="783"/>
        <v>18.700887893989439</v>
      </c>
      <c r="V384" s="629">
        <f t="shared" ca="1" si="783"/>
        <v>19.917747874945267</v>
      </c>
      <c r="W384" s="629">
        <f t="shared" ca="1" si="783"/>
        <v>21.201142827606507</v>
      </c>
      <c r="X384" s="629">
        <f t="shared" ca="1" si="783"/>
        <v>22.550344633088834</v>
      </c>
      <c r="Y384" s="629">
        <f t="shared" ca="1" si="783"/>
        <v>23.96448576043381</v>
      </c>
      <c r="Z384" s="629">
        <f t="shared" ca="1" si="783"/>
        <v>24.861648008365755</v>
      </c>
    </row>
    <row r="385" spans="2:26">
      <c r="B385" s="618" t="s">
        <v>2189</v>
      </c>
      <c r="C385" s="58"/>
      <c r="D385" s="58"/>
      <c r="E385" s="58"/>
      <c r="F385" s="58"/>
      <c r="G385" s="58"/>
      <c r="H385" s="58"/>
      <c r="I385" s="58"/>
      <c r="J385" s="58"/>
      <c r="K385" s="58"/>
      <c r="L385" s="58"/>
      <c r="M385" s="1260"/>
      <c r="N385" s="1260"/>
      <c r="O385" s="630">
        <f ca="1">O369-O383</f>
        <v>10.406725043812699</v>
      </c>
      <c r="P385" s="630">
        <f ca="1">P369-P383</f>
        <v>10.76888898642734</v>
      </c>
      <c r="Q385" s="630">
        <f ca="1">Q369-Q383</f>
        <v>11.216825586473217</v>
      </c>
      <c r="R385" s="630">
        <f ca="1">R369-R383</f>
        <v>11.57383986923179</v>
      </c>
      <c r="S385" s="630">
        <f ca="1">S369-S383</f>
        <v>11.990813263843012</v>
      </c>
      <c r="T385" s="630">
        <f ca="1">T369-T383</f>
        <v>12.24162471158802</v>
      </c>
      <c r="U385" s="630">
        <f ca="1">U369-U383</f>
        <v>12.551179942904938</v>
      </c>
      <c r="V385" s="630">
        <f ca="1">V369-V383</f>
        <v>12.78067376600664</v>
      </c>
      <c r="W385" s="630">
        <f ca="1">W369-W383</f>
        <v>13.006369285520019</v>
      </c>
      <c r="X385" s="630">
        <f ca="1">X369-X383</f>
        <v>13.229457876710072</v>
      </c>
      <c r="Y385" s="630">
        <f ca="1">Y369-Y383</f>
        <v>13.451510078288276</v>
      </c>
      <c r="Z385" s="630">
        <f ca="1">Z369-Z383</f>
        <v>14.191847574980855</v>
      </c>
    </row>
    <row r="386" spans="2:26">
      <c r="B386" s="618"/>
      <c r="C386" s="58"/>
      <c r="D386" s="58"/>
      <c r="E386" s="58"/>
      <c r="F386" s="58"/>
      <c r="G386" s="58"/>
      <c r="H386" s="58"/>
      <c r="I386" s="58"/>
      <c r="J386" s="58"/>
      <c r="K386" s="58"/>
      <c r="L386" s="58"/>
      <c r="M386" s="1260"/>
      <c r="N386" s="1260"/>
      <c r="O386" s="1260"/>
      <c r="P386" s="1260"/>
      <c r="Q386" s="1260"/>
      <c r="R386" s="1260"/>
      <c r="S386" s="1260"/>
      <c r="T386" s="1260"/>
      <c r="U386" s="1260"/>
      <c r="V386" s="1260"/>
      <c r="W386" s="1260"/>
      <c r="X386" s="1260"/>
      <c r="Y386" s="1260"/>
      <c r="Z386" s="1260"/>
    </row>
    <row r="387" spans="2:26">
      <c r="B387" s="618"/>
      <c r="C387" s="58"/>
      <c r="D387" s="58"/>
      <c r="E387" s="58"/>
      <c r="F387" s="58"/>
      <c r="G387" s="58"/>
      <c r="H387" s="58"/>
      <c r="I387" s="58"/>
      <c r="J387" s="58"/>
      <c r="K387" s="58"/>
      <c r="L387" s="58"/>
      <c r="M387" s="1260"/>
      <c r="N387" s="1260"/>
      <c r="O387" s="1260"/>
      <c r="P387" s="1260"/>
      <c r="Q387" s="1260"/>
      <c r="R387" s="1260"/>
      <c r="S387" s="1260"/>
      <c r="T387" s="1260"/>
      <c r="U387" s="1260"/>
      <c r="V387" s="1260"/>
      <c r="W387" s="1260"/>
      <c r="X387" s="1260"/>
      <c r="Y387" s="1260"/>
      <c r="Z387" s="1260"/>
    </row>
    <row r="388" spans="2:26">
      <c r="B388" s="618" t="s">
        <v>1912</v>
      </c>
      <c r="M388" s="629">
        <f ca="1">M377-M372</f>
        <v>103.45182243798585</v>
      </c>
      <c r="N388" s="629">
        <f ca="1">N377-N372</f>
        <v>98.588422232272634</v>
      </c>
      <c r="O388" s="629">
        <f ca="1">O377-O372</f>
        <v>98.640171229044711</v>
      </c>
      <c r="P388" s="629">
        <f ca="1">P377-P372</f>
        <v>102.24979222273765</v>
      </c>
      <c r="Q388" s="629">
        <f ca="1">Q377-Q372</f>
        <v>102.09740624522479</v>
      </c>
      <c r="R388" s="629">
        <f ca="1">R377-R372</f>
        <v>101.1418616473795</v>
      </c>
      <c r="S388" s="629">
        <f ca="1">S377-S372</f>
        <v>99.68043468789628</v>
      </c>
      <c r="T388" s="629">
        <f ca="1">T377-T372</f>
        <v>96.708015774903771</v>
      </c>
      <c r="U388" s="629">
        <f ca="1">U377-U372</f>
        <v>93.787821381394906</v>
      </c>
      <c r="V388" s="629">
        <f ca="1">V377-V372</f>
        <v>91.396307868704923</v>
      </c>
      <c r="W388" s="629">
        <f ca="1">W377-W372</f>
        <v>88.992892349492251</v>
      </c>
      <c r="X388" s="629">
        <f ca="1">X377-X372</f>
        <v>86.597978226086695</v>
      </c>
      <c r="Y388" s="629">
        <f ca="1">Y377-Y372</f>
        <v>84.235002811296567</v>
      </c>
      <c r="Z388" s="629">
        <f ca="1">Z377-Z372</f>
        <v>86.120111069339544</v>
      </c>
    </row>
    <row r="389" spans="2:26">
      <c r="B389" s="618" t="s">
        <v>1196</v>
      </c>
      <c r="M389" s="629"/>
      <c r="N389" s="1186">
        <f ca="1">N388/M388-1</f>
        <v>-4.7011256941641433E-2</v>
      </c>
      <c r="O389" s="1186">
        <f t="shared" ref="O389:Z389" ca="1" si="784">O388/N388-1</f>
        <v>5.2489932996557798E-4</v>
      </c>
      <c r="P389" s="1186">
        <f t="shared" ca="1" si="784"/>
        <v>3.6593823274204684E-2</v>
      </c>
      <c r="Q389" s="1186">
        <f t="shared" ca="1" si="784"/>
        <v>-1.4903304368669712E-3</v>
      </c>
      <c r="R389" s="1186">
        <f t="shared" ca="1" si="784"/>
        <v>-9.359146652072603E-3</v>
      </c>
      <c r="S389" s="1186">
        <f t="shared" ca="1" si="784"/>
        <v>-1.4449278821644929E-2</v>
      </c>
      <c r="T389" s="1186">
        <f t="shared" ca="1" si="784"/>
        <v>-2.9819481850167251E-2</v>
      </c>
      <c r="U389" s="1186">
        <f t="shared" ca="1" si="784"/>
        <v>-3.0195991202072281E-2</v>
      </c>
      <c r="V389" s="1186">
        <f t="shared" ca="1" si="784"/>
        <v>-2.5499190379577374E-2</v>
      </c>
      <c r="W389" s="1186">
        <f t="shared" ca="1" si="784"/>
        <v>-2.6296636869240886E-2</v>
      </c>
      <c r="X389" s="1186">
        <f t="shared" ca="1" si="784"/>
        <v>-2.6911296623558068E-2</v>
      </c>
      <c r="Y389" s="1186">
        <f t="shared" ca="1" si="784"/>
        <v>-2.7286727279255407E-2</v>
      </c>
      <c r="Z389" s="1186">
        <f t="shared" ca="1" si="784"/>
        <v>2.2379155874975076E-2</v>
      </c>
    </row>
    <row r="390" spans="2:26">
      <c r="B390" s="618"/>
      <c r="M390" s="1186"/>
      <c r="N390" s="1186"/>
      <c r="O390" s="1186"/>
      <c r="P390" s="1186"/>
      <c r="Q390" s="1186"/>
      <c r="R390" s="1186"/>
      <c r="S390" s="1186"/>
      <c r="T390" s="1186"/>
      <c r="U390" s="1186"/>
      <c r="V390" s="1186"/>
      <c r="W390" s="1186"/>
      <c r="X390" s="1186"/>
      <c r="Y390" s="1186"/>
      <c r="Z390" s="1186"/>
    </row>
    <row r="391" spans="2:26">
      <c r="B391" s="618" t="s">
        <v>1815</v>
      </c>
      <c r="M391" s="629">
        <f>M273-M361</f>
        <v>53.585466666666662</v>
      </c>
      <c r="N391" s="629">
        <f ca="1">N273-N361</f>
        <v>63.99459218559582</v>
      </c>
      <c r="O391" s="629">
        <f ca="1">O273-O361</f>
        <v>58.096460507547363</v>
      </c>
      <c r="P391" s="629">
        <f ca="1">P273-P361</f>
        <v>60.923104863879587</v>
      </c>
      <c r="Q391" s="629">
        <f ca="1">Q273-Q361</f>
        <v>63.026602993058873</v>
      </c>
      <c r="R391" s="629">
        <f ca="1">R273-R361</f>
        <v>63.075434434129761</v>
      </c>
      <c r="S391" s="629">
        <f ca="1">S273-S361</f>
        <v>62.86265692135953</v>
      </c>
      <c r="T391" s="629">
        <f ca="1">T273-T361</f>
        <v>61.585449866567274</v>
      </c>
      <c r="U391" s="629">
        <f ca="1">U273-U361</f>
        <v>62.554941795835447</v>
      </c>
      <c r="V391" s="629">
        <f ca="1">V273-V361</f>
        <v>63.530247909163819</v>
      </c>
      <c r="W391" s="629">
        <f ca="1">W273-W361</f>
        <v>64.511368206552532</v>
      </c>
      <c r="X391" s="629">
        <f ca="1">X273-X361</f>
        <v>65.498302688001502</v>
      </c>
      <c r="Y391" s="629">
        <f ca="1">Y273-Y361</f>
        <v>66.491051353510841</v>
      </c>
      <c r="Z391" s="629">
        <f ca="1">Z273-Z361</f>
        <v>67.489614203080365</v>
      </c>
    </row>
    <row r="392" spans="2:26">
      <c r="B392" s="618" t="s">
        <v>1818</v>
      </c>
      <c r="M392" s="1186">
        <f ca="1">M391/M367</f>
        <v>0.13652090567336683</v>
      </c>
      <c r="N392" s="1186">
        <f ca="1">N391/N367</f>
        <v>0.17192894073115195</v>
      </c>
      <c r="O392" s="1186">
        <f ca="1">O391/O367</f>
        <v>0.15718215086250614</v>
      </c>
      <c r="P392" s="1186">
        <f ca="1">P391/P367</f>
        <v>0.1551858134725283</v>
      </c>
      <c r="Q392" s="1186">
        <f ca="1">Q391/Q367</f>
        <v>0.15305009750048743</v>
      </c>
      <c r="R392" s="1186">
        <f ca="1">R391/R367</f>
        <v>0.14683076018486299</v>
      </c>
      <c r="S392" s="1186">
        <f ca="1">S391/S367</f>
        <v>0.1404267437353941</v>
      </c>
      <c r="T392" s="1186">
        <f ca="1">T391/T367</f>
        <v>0.13314546732609014</v>
      </c>
      <c r="U392" s="1186">
        <f ca="1">U391/U367</f>
        <v>0.13055186379786904</v>
      </c>
      <c r="V392" s="1186">
        <f ca="1">V391/V367</f>
        <v>0.12789201260658037</v>
      </c>
      <c r="W392" s="1186">
        <f ca="1">W391/W367</f>
        <v>0.12517625605334662</v>
      </c>
      <c r="X392" s="1186">
        <f ca="1">X391/X367</f>
        <v>0.12241455944546126</v>
      </c>
      <c r="Y392" s="1186">
        <f ca="1">Y391/Y367</f>
        <v>0.11961646615455487</v>
      </c>
      <c r="Z392" s="1186">
        <f ca="1">Z391/Z367</f>
        <v>0.11679106154639481</v>
      </c>
    </row>
    <row r="393" spans="2:26">
      <c r="B393" s="618" t="s">
        <v>1915</v>
      </c>
      <c r="M393" s="629">
        <f>Model!M131-M362</f>
        <v>-9.0171999999999954</v>
      </c>
      <c r="N393" s="629">
        <f>Model!N131-N362</f>
        <v>-9</v>
      </c>
      <c r="O393" s="629">
        <f>Model!O131-O362</f>
        <v>-9</v>
      </c>
      <c r="P393" s="629">
        <f>Model!P131-P362</f>
        <v>-9</v>
      </c>
      <c r="Q393" s="629">
        <f>Model!Q131-Q362</f>
        <v>-9</v>
      </c>
      <c r="R393" s="629">
        <f>Model!R131-R362</f>
        <v>-9</v>
      </c>
      <c r="S393" s="629">
        <f>Model!S131-S362</f>
        <v>-9</v>
      </c>
      <c r="T393" s="629">
        <f>Model!T131-T362</f>
        <v>-9</v>
      </c>
      <c r="U393" s="629">
        <f>Model!U131-U362</f>
        <v>-9</v>
      </c>
      <c r="V393" s="629">
        <f>Model!V131-V362</f>
        <v>-9</v>
      </c>
      <c r="W393" s="629">
        <f>Model!W131-W362</f>
        <v>-9</v>
      </c>
      <c r="X393" s="629">
        <f>Model!X131-X362</f>
        <v>-9</v>
      </c>
      <c r="Y393" s="629">
        <f>Model!Y131-Y362</f>
        <v>-9</v>
      </c>
      <c r="Z393" s="629">
        <f>Model!Z131-Z362</f>
        <v>-9</v>
      </c>
    </row>
    <row r="394" spans="2:26">
      <c r="B394" s="618" t="s">
        <v>1779</v>
      </c>
      <c r="M394" s="629">
        <f ca="1">Value!M8-M363</f>
        <v>-23.777273265757032</v>
      </c>
      <c r="N394" s="629">
        <f>Value!N8-N363</f>
        <v>-22.5</v>
      </c>
      <c r="O394" s="629">
        <f>Value!O8-O363</f>
        <v>-12.5</v>
      </c>
      <c r="P394" s="629">
        <f>Value!P8-P363</f>
        <v>-10</v>
      </c>
      <c r="Q394" s="629">
        <f>Value!Q8-Q363</f>
        <v>-5</v>
      </c>
      <c r="R394" s="629">
        <f>Value!R8-R363</f>
        <v>-5</v>
      </c>
      <c r="S394" s="629">
        <f>Value!S8-S363</f>
        <v>-5</v>
      </c>
      <c r="T394" s="629">
        <f>Value!T8-T363</f>
        <v>-5</v>
      </c>
      <c r="U394" s="629">
        <f>Value!U8-U363</f>
        <v>-5</v>
      </c>
      <c r="V394" s="629">
        <f>Value!V8-V363</f>
        <v>-5</v>
      </c>
      <c r="W394" s="629">
        <f>Value!W8-W363</f>
        <v>-5</v>
      </c>
      <c r="X394" s="629">
        <f>Value!X8-X363</f>
        <v>-5</v>
      </c>
      <c r="Y394" s="629">
        <f>Value!Y8-Y363</f>
        <v>-5</v>
      </c>
      <c r="Z394" s="629">
        <f>Value!Z8-Z363</f>
        <v>0</v>
      </c>
    </row>
    <row r="395" spans="2:26">
      <c r="B395" s="58" t="s">
        <v>1816</v>
      </c>
      <c r="C395" s="58"/>
      <c r="D395" s="58"/>
      <c r="E395" s="58"/>
      <c r="F395" s="58"/>
      <c r="G395" s="58"/>
      <c r="H395" s="58"/>
      <c r="I395" s="58"/>
      <c r="J395" s="58"/>
      <c r="K395" s="58"/>
      <c r="L395" s="58"/>
      <c r="M395" s="1189">
        <f ca="1">M372-M391+M394+M393</f>
        <v>-14.779355520409645</v>
      </c>
      <c r="N395" s="1189">
        <f ca="1">N372-N391+N394+N393</f>
        <v>-28.322928630298904</v>
      </c>
      <c r="O395" s="1189">
        <f ca="1">O372-O391+O394+O393</f>
        <v>-8.4247256886183663</v>
      </c>
      <c r="P395" s="1189">
        <f ca="1">P372-P391+P394+P393</f>
        <v>-3.5847204960672059</v>
      </c>
      <c r="Q395" s="1189">
        <f ca="1">Q372-Q391+Q394+Q393</f>
        <v>4.9777865406053365</v>
      </c>
      <c r="R395" s="1189">
        <f ca="1">R372-R391+R394+R393</f>
        <v>8.6875158689925058</v>
      </c>
      <c r="S395" s="1189">
        <f ca="1">S372-S391+S394+S393</f>
        <v>13.988069195346498</v>
      </c>
      <c r="T395" s="1189">
        <f ca="1">T372-T391+T394+T393</f>
        <v>19.630723012157347</v>
      </c>
      <c r="U395" s="1189">
        <f ca="1">U372-U391+U394+U393</f>
        <v>23.686405699807068</v>
      </c>
      <c r="V395" s="1189">
        <f ca="1">V372-V391+V394+V393</f>
        <v>25.75986906157695</v>
      </c>
      <c r="W395" s="1189">
        <f ca="1">W372-W391+W394+W393</f>
        <v>27.584968941696417</v>
      </c>
      <c r="X395" s="1189">
        <f ca="1">X372-X391+X394+X393</f>
        <v>29.156669501215958</v>
      </c>
      <c r="Y395" s="1189">
        <f ca="1">Y372-Y391+Y394+Y393</f>
        <v>30.471386482629555</v>
      </c>
      <c r="Z395" s="1189">
        <f ca="1">Z372-Z391+Z394+Z393</f>
        <v>39.712518324507911</v>
      </c>
    </row>
    <row r="396" spans="2:26">
      <c r="P396" s="938"/>
      <c r="Q396" s="938"/>
      <c r="R396" s="938"/>
      <c r="S396" s="938"/>
      <c r="T396" s="938"/>
      <c r="U396" s="938"/>
      <c r="V396" s="938"/>
      <c r="W396" s="938"/>
      <c r="X396" s="938"/>
      <c r="Y396" s="938"/>
      <c r="Z396" s="938"/>
    </row>
    <row r="397" spans="2:26">
      <c r="B397" s="618" t="s">
        <v>1832</v>
      </c>
      <c r="O397" s="1176">
        <v>0.05</v>
      </c>
      <c r="P397" s="909">
        <f>O397</f>
        <v>0.05</v>
      </c>
      <c r="Q397" s="909">
        <f t="shared" ref="Q397:Z397" si="785">P397</f>
        <v>0.05</v>
      </c>
      <c r="R397" s="909">
        <f t="shared" si="785"/>
        <v>0.05</v>
      </c>
      <c r="S397" s="909">
        <f t="shared" si="785"/>
        <v>0.05</v>
      </c>
      <c r="T397" s="909">
        <f t="shared" si="785"/>
        <v>0.05</v>
      </c>
      <c r="U397" s="909">
        <f t="shared" si="785"/>
        <v>0.05</v>
      </c>
      <c r="V397" s="909">
        <f t="shared" si="785"/>
        <v>0.05</v>
      </c>
      <c r="W397" s="909">
        <f t="shared" si="785"/>
        <v>0.05</v>
      </c>
      <c r="X397" s="909">
        <f t="shared" si="785"/>
        <v>0.05</v>
      </c>
      <c r="Y397" s="909">
        <f t="shared" si="785"/>
        <v>0.05</v>
      </c>
      <c r="Z397" s="909">
        <f t="shared" si="785"/>
        <v>0.05</v>
      </c>
    </row>
    <row r="398" spans="2:26">
      <c r="B398" s="618" t="s">
        <v>1828</v>
      </c>
      <c r="O398" s="938">
        <f ca="1">N400*O397</f>
        <v>38.287627946334972</v>
      </c>
      <c r="P398" s="938">
        <f t="shared" ref="P398:Z398" ca="1" si="786">O400*P397</f>
        <v>43.040795716712097</v>
      </c>
      <c r="Q398" s="938">
        <f t="shared" ca="1" si="786"/>
        <v>47.30974696010302</v>
      </c>
      <c r="R398" s="938">
        <f t="shared" ca="1" si="786"/>
        <v>51.389975662704764</v>
      </c>
      <c r="S398" s="938">
        <f t="shared" ca="1" si="786"/>
        <v>54.838518953930503</v>
      </c>
      <c r="T398" s="938">
        <f t="shared" ca="1" si="786"/>
        <v>58.950367119961385</v>
      </c>
      <c r="U398" s="938">
        <f t="shared" ca="1" si="786"/>
        <v>62.213067306586325</v>
      </c>
      <c r="V398" s="938">
        <f t="shared" ca="1" si="786"/>
        <v>66.353972985646394</v>
      </c>
      <c r="W398" s="938">
        <f t="shared" ca="1" si="786"/>
        <v>69.512018053587767</v>
      </c>
      <c r="X398" s="938">
        <f t="shared" ca="1" si="786"/>
        <v>71.575276186966775</v>
      </c>
      <c r="Y398" s="938">
        <f t="shared" ca="1" si="786"/>
        <v>72.424977449364349</v>
      </c>
      <c r="Z398" s="938">
        <f t="shared" ca="1" si="786"/>
        <v>71.935208284279085</v>
      </c>
    </row>
    <row r="399" spans="2:26">
      <c r="B399" s="618" t="s">
        <v>1829</v>
      </c>
      <c r="O399" s="629">
        <f ca="1">-Model!O130</f>
        <v>0</v>
      </c>
      <c r="P399" s="629">
        <f ca="1">-Model!P130</f>
        <v>0</v>
      </c>
      <c r="Q399" s="629">
        <f ca="1">-Model!Q130</f>
        <v>0</v>
      </c>
      <c r="R399" s="629">
        <f ca="1">-Model!R130</f>
        <v>0</v>
      </c>
      <c r="S399" s="629">
        <f ca="1">-Model!S130</f>
        <v>0</v>
      </c>
      <c r="T399" s="629">
        <f ca="1">-Model!T130</f>
        <v>0</v>
      </c>
      <c r="U399" s="629">
        <f ca="1">-Model!U130</f>
        <v>0</v>
      </c>
      <c r="V399" s="629">
        <f ca="1">-Model!V130</f>
        <v>0</v>
      </c>
      <c r="W399" s="629">
        <f ca="1">-Model!W130</f>
        <v>0</v>
      </c>
      <c r="X399" s="629">
        <f ca="1">-Model!X130</f>
        <v>0</v>
      </c>
      <c r="Y399" s="629">
        <f ca="1">-Model!Y130</f>
        <v>0</v>
      </c>
      <c r="Z399" s="629">
        <f ca="1">-Model!Z130</f>
        <v>13.185757221929508</v>
      </c>
    </row>
    <row r="400" spans="2:26">
      <c r="B400" s="58" t="s">
        <v>1820</v>
      </c>
      <c r="C400" s="58"/>
      <c r="D400" s="58"/>
      <c r="E400" s="58"/>
      <c r="F400" s="58"/>
      <c r="G400" s="58"/>
      <c r="H400" s="58"/>
      <c r="I400" s="58"/>
      <c r="J400" s="58"/>
      <c r="K400" s="58"/>
      <c r="L400" s="58"/>
      <c r="M400" s="1189"/>
      <c r="N400" s="1189">
        <f ca="1">N401*N358</f>
        <v>765.75255892669941</v>
      </c>
      <c r="O400" s="1189">
        <f ca="1">N400-O364+O398+O399</f>
        <v>860.81591433424182</v>
      </c>
      <c r="P400" s="1189">
        <f ca="1">O400-P364+P398+P399</f>
        <v>946.19493920206037</v>
      </c>
      <c r="Q400" s="1189">
        <f ca="1">P400-Q364+Q398+Q399</f>
        <v>1027.7995132540952</v>
      </c>
      <c r="R400" s="1189">
        <f ca="1">Q400-R364+R398+R399</f>
        <v>1096.7703790786099</v>
      </c>
      <c r="S400" s="1189">
        <f ca="1">R400-S364+S398+S399</f>
        <v>1179.0073423992276</v>
      </c>
      <c r="T400" s="1189">
        <f ca="1">S400-T364+T398+T399</f>
        <v>1244.2613461317264</v>
      </c>
      <c r="U400" s="1189">
        <f ca="1">T400-U364+U398+U399</f>
        <v>1327.0794597129277</v>
      </c>
      <c r="V400" s="1189">
        <f ca="1">U400-V364+V398+V399</f>
        <v>1390.2403610717554</v>
      </c>
      <c r="W400" s="1189">
        <f ca="1">V400-W364+W398+W399</f>
        <v>1431.5055237393353</v>
      </c>
      <c r="X400" s="1189">
        <f ca="1">W400-X364+X398+X399</f>
        <v>1448.499548987287</v>
      </c>
      <c r="Y400" s="1189">
        <f ca="1">X400-Y364+Y398+Y399</f>
        <v>1438.7041656855818</v>
      </c>
      <c r="Z400" s="1189">
        <f ca="1">Y400-Z364+Z398+Z399</f>
        <v>1275.4671826349327</v>
      </c>
    </row>
    <row r="401" spans="2:26">
      <c r="B401" s="618" t="s">
        <v>1821</v>
      </c>
      <c r="M401" s="1190"/>
      <c r="N401" s="1256">
        <v>6.5</v>
      </c>
      <c r="O401" s="1190">
        <f ca="1">O400/O358</f>
        <v>7.1086570720757507</v>
      </c>
      <c r="P401" s="1190">
        <f ca="1">P400/P358</f>
        <v>7.0958093724317193</v>
      </c>
      <c r="Q401" s="1190">
        <f ca="1">Q400/Q358</f>
        <v>7.0098242858883193</v>
      </c>
      <c r="R401" s="1190">
        <f ca="1">R400/R358</f>
        <v>6.7145609507862938</v>
      </c>
      <c r="S401" s="1190">
        <f ca="1">S400/S358</f>
        <v>6.4558609738241275</v>
      </c>
      <c r="T401" s="1190">
        <f ca="1">T400/T358</f>
        <v>6.1119401700643401</v>
      </c>
      <c r="U401" s="1190">
        <f ca="1">U400/U358</f>
        <v>5.8820247612319108</v>
      </c>
      <c r="V401" s="1190">
        <f ca="1">V400/V358</f>
        <v>5.5716014054890328</v>
      </c>
      <c r="W401" s="1190">
        <f ca="1">W400/W358</f>
        <v>5.211436936731852</v>
      </c>
      <c r="X401" s="1190">
        <f ca="1">X400/X358</f>
        <v>4.8102224213272908</v>
      </c>
      <c r="Y401" s="1190">
        <f ca="1">Y400/Y358</f>
        <v>4.3745718969273204</v>
      </c>
      <c r="Z401" s="1190">
        <f ca="1">Z400/Z358</f>
        <v>3.595180526823345</v>
      </c>
    </row>
    <row r="402" spans="2:26">
      <c r="B402" s="618" t="s">
        <v>1825</v>
      </c>
      <c r="M402" s="1190"/>
      <c r="N402" s="1190">
        <f ca="1">N400/(N358+N362)</f>
        <v>9.3603529488791146</v>
      </c>
      <c r="O402" s="1190">
        <f ca="1">O400/(O358+O362)</f>
        <v>10.116055621467346</v>
      </c>
      <c r="P402" s="1190">
        <f ca="1">P400/(P358+P362)</f>
        <v>9.7199561695413852</v>
      </c>
      <c r="Q402" s="1190">
        <f ca="1">Q400/(Q358+Q362)</f>
        <v>9.2910344308195256</v>
      </c>
      <c r="R402" s="1190">
        <f ca="1">R400/(R358+R362)</f>
        <v>8.6127880456300971</v>
      </c>
      <c r="S402" s="1190">
        <f ca="1">S400/(S358+S362)</f>
        <v>8.0409221005591149</v>
      </c>
      <c r="T402" s="1190">
        <f ca="1">T400/(T358+T362)</f>
        <v>7.4249336242938817</v>
      </c>
      <c r="U402" s="1190">
        <f ca="1">U400/(U358+U362)</f>
        <v>6.9987701037119328</v>
      </c>
      <c r="V402" s="1190">
        <f ca="1">V400/(V358+V362)</f>
        <v>6.5109758266086963</v>
      </c>
      <c r="W402" s="1190">
        <f ca="1">W400/(W358+W362)</f>
        <v>5.9974579802823245</v>
      </c>
      <c r="X402" s="1190">
        <f ca="1">X400/(X358+X362)</f>
        <v>5.4633675866594613</v>
      </c>
      <c r="Y402" s="1190">
        <f ca="1">Y400/(Y358+Y362)</f>
        <v>4.9122842971155878</v>
      </c>
      <c r="Z402" s="1190">
        <f ca="1">Z400/(Z358+Z362)</f>
        <v>4.0011972026418672</v>
      </c>
    </row>
    <row r="404" spans="2:26">
      <c r="B404" s="618" t="s">
        <v>1833</v>
      </c>
      <c r="O404" s="1176">
        <v>0.05</v>
      </c>
      <c r="P404" s="909">
        <f>O404</f>
        <v>0.05</v>
      </c>
      <c r="Q404" s="909">
        <f t="shared" ref="Q404:Z404" si="787">P404</f>
        <v>0.05</v>
      </c>
      <c r="R404" s="909">
        <f t="shared" si="787"/>
        <v>0.05</v>
      </c>
      <c r="S404" s="909">
        <f t="shared" si="787"/>
        <v>0.05</v>
      </c>
      <c r="T404" s="909">
        <f t="shared" si="787"/>
        <v>0.05</v>
      </c>
      <c r="U404" s="909">
        <f t="shared" si="787"/>
        <v>0.05</v>
      </c>
      <c r="V404" s="909">
        <f t="shared" si="787"/>
        <v>0.05</v>
      </c>
      <c r="W404" s="909">
        <f t="shared" si="787"/>
        <v>0.05</v>
      </c>
      <c r="X404" s="909">
        <f t="shared" si="787"/>
        <v>0.05</v>
      </c>
      <c r="Y404" s="909">
        <f t="shared" si="787"/>
        <v>0.05</v>
      </c>
      <c r="Z404" s="909">
        <f t="shared" si="787"/>
        <v>0.05</v>
      </c>
    </row>
    <row r="405" spans="2:26">
      <c r="B405" s="618" t="s">
        <v>1830</v>
      </c>
      <c r="O405" s="938">
        <f ca="1">N407*O404</f>
        <v>19.954069327515647</v>
      </c>
      <c r="P405" s="938">
        <f t="shared" ref="P405:Z405" ca="1" si="788">O407*P404</f>
        <v>21.373009078322347</v>
      </c>
      <c r="Q405" s="938">
        <f t="shared" ca="1" si="788"/>
        <v>22.620895557041823</v>
      </c>
      <c r="R405" s="938">
        <f t="shared" ca="1" si="788"/>
        <v>23.503051007863647</v>
      </c>
      <c r="S405" s="938">
        <f t="shared" ca="1" si="788"/>
        <v>24.243827764807204</v>
      </c>
      <c r="T405" s="938">
        <f t="shared" ca="1" si="788"/>
        <v>24.756615693280239</v>
      </c>
      <c r="U405" s="938">
        <f t="shared" ca="1" si="788"/>
        <v>25.012910327336385</v>
      </c>
      <c r="V405" s="938">
        <f t="shared" ca="1" si="788"/>
        <v>25.079235558712853</v>
      </c>
      <c r="W405" s="938">
        <f t="shared" ca="1" si="788"/>
        <v>25.045203883569645</v>
      </c>
      <c r="X405" s="938">
        <f t="shared" ca="1" si="788"/>
        <v>24.918215630663308</v>
      </c>
      <c r="Y405" s="938">
        <f t="shared" ca="1" si="788"/>
        <v>24.706292937135675</v>
      </c>
      <c r="Z405" s="938">
        <f t="shared" ca="1" si="788"/>
        <v>24.418038259860982</v>
      </c>
    </row>
    <row r="406" spans="2:26">
      <c r="B406" s="618" t="s">
        <v>1829</v>
      </c>
      <c r="O406" s="489">
        <v>0</v>
      </c>
      <c r="P406" s="489">
        <v>0</v>
      </c>
      <c r="Q406" s="489">
        <v>0</v>
      </c>
      <c r="R406" s="489">
        <v>0</v>
      </c>
      <c r="S406" s="489">
        <v>0</v>
      </c>
      <c r="T406" s="489">
        <v>0</v>
      </c>
      <c r="U406" s="489">
        <v>0</v>
      </c>
      <c r="V406" s="489">
        <v>0</v>
      </c>
      <c r="W406" s="489">
        <v>0</v>
      </c>
      <c r="X406" s="489">
        <v>0</v>
      </c>
      <c r="Y406" s="489">
        <v>0</v>
      </c>
      <c r="Z406" s="489">
        <v>0</v>
      </c>
    </row>
    <row r="407" spans="2:26">
      <c r="B407" s="58" t="s">
        <v>1831</v>
      </c>
      <c r="C407" s="58"/>
      <c r="D407" s="58"/>
      <c r="E407" s="58"/>
      <c r="F407" s="58"/>
      <c r="G407" s="58"/>
      <c r="H407" s="58"/>
      <c r="I407" s="58"/>
      <c r="J407" s="58"/>
      <c r="K407" s="58"/>
      <c r="L407" s="58"/>
      <c r="M407" s="1189"/>
      <c r="N407" s="1189">
        <f ca="1">Model!N145-N400-Model!N171</f>
        <v>399.08138655031291</v>
      </c>
      <c r="O407" s="1189">
        <f ca="1">N407-O395+O405+O406</f>
        <v>427.46018156644692</v>
      </c>
      <c r="P407" s="1189">
        <f t="shared" ref="P407:Z407" ca="1" si="789">O407-P395+P405+P406</f>
        <v>452.41791114083645</v>
      </c>
      <c r="Q407" s="1189">
        <f t="shared" ca="1" si="789"/>
        <v>470.06102015727294</v>
      </c>
      <c r="R407" s="1189">
        <f t="shared" ca="1" si="789"/>
        <v>484.87655529614403</v>
      </c>
      <c r="S407" s="1189">
        <f t="shared" ca="1" si="789"/>
        <v>495.13231386560471</v>
      </c>
      <c r="T407" s="1189">
        <f t="shared" ca="1" si="789"/>
        <v>500.25820654672765</v>
      </c>
      <c r="U407" s="1189">
        <f t="shared" ca="1" si="789"/>
        <v>501.584711174257</v>
      </c>
      <c r="V407" s="1189">
        <f t="shared" ca="1" si="789"/>
        <v>500.90407767139288</v>
      </c>
      <c r="W407" s="1189">
        <f t="shared" ca="1" si="789"/>
        <v>498.36431261326612</v>
      </c>
      <c r="X407" s="1189">
        <f t="shared" ca="1" si="789"/>
        <v>494.12585874271349</v>
      </c>
      <c r="Y407" s="1189">
        <f t="shared" ca="1" si="789"/>
        <v>488.36076519721962</v>
      </c>
      <c r="Z407" s="1189">
        <f t="shared" ca="1" si="789"/>
        <v>473.06628513257266</v>
      </c>
    </row>
    <row r="408" spans="2:26">
      <c r="B408" s="618" t="s">
        <v>1821</v>
      </c>
      <c r="M408" s="1190"/>
      <c r="N408" s="1190">
        <f ca="1">N407/N372</f>
        <v>5.941216361595421</v>
      </c>
      <c r="O408" s="1190">
        <f ca="1">O407/O372</f>
        <v>6.0060385299580847</v>
      </c>
      <c r="P408" s="1190">
        <f ca="1">P407/P372</f>
        <v>5.9264800386788865</v>
      </c>
      <c r="Q408" s="1190">
        <f ca="1">Q407/Q372</f>
        <v>5.7321446184817315</v>
      </c>
      <c r="R408" s="1190">
        <f ca="1">R407/R372</f>
        <v>5.6536832464646647</v>
      </c>
      <c r="S408" s="1190">
        <f ca="1">S407/S372</f>
        <v>5.4499543925445595</v>
      </c>
      <c r="T408" s="1190">
        <f ca="1">T407/T372</f>
        <v>5.2539205412498449</v>
      </c>
      <c r="U408" s="1190">
        <f ca="1">U407/U372</f>
        <v>5.0037706366233836</v>
      </c>
      <c r="V408" s="1190">
        <f ca="1">V407/V372</f>
        <v>4.8494869825085507</v>
      </c>
      <c r="W408" s="1190">
        <f ca="1">W407/W372</f>
        <v>4.6972810372981977</v>
      </c>
      <c r="X408" s="1190">
        <f ca="1">X407/X372</f>
        <v>4.5476598887919906</v>
      </c>
      <c r="Y408" s="1190">
        <f ca="1">Y407/Y372</f>
        <v>4.4011358683231885</v>
      </c>
      <c r="Z408" s="1190">
        <f ca="1">Z407/Z372</f>
        <v>4.0710637132262528</v>
      </c>
    </row>
    <row r="409" spans="2:26">
      <c r="B409" s="618" t="s">
        <v>1825</v>
      </c>
      <c r="M409" s="1190"/>
      <c r="N409" s="1190">
        <f ca="1">N408</f>
        <v>5.941216361595421</v>
      </c>
      <c r="O409" s="1190">
        <f t="shared" ref="O409:Z409" ca="1" si="790">O408</f>
        <v>6.0060385299580847</v>
      </c>
      <c r="P409" s="1190">
        <f t="shared" ca="1" si="790"/>
        <v>5.9264800386788865</v>
      </c>
      <c r="Q409" s="1190">
        <f t="shared" ca="1" si="790"/>
        <v>5.7321446184817315</v>
      </c>
      <c r="R409" s="1190">
        <f t="shared" ca="1" si="790"/>
        <v>5.6536832464646647</v>
      </c>
      <c r="S409" s="1190">
        <f t="shared" ca="1" si="790"/>
        <v>5.4499543925445595</v>
      </c>
      <c r="T409" s="1190">
        <f t="shared" ca="1" si="790"/>
        <v>5.2539205412498449</v>
      </c>
      <c r="U409" s="1190">
        <f t="shared" ca="1" si="790"/>
        <v>5.0037706366233836</v>
      </c>
      <c r="V409" s="1190">
        <f t="shared" ca="1" si="790"/>
        <v>4.8494869825085507</v>
      </c>
      <c r="W409" s="1190">
        <f t="shared" ca="1" si="790"/>
        <v>4.6972810372981977</v>
      </c>
      <c r="X409" s="1190">
        <f t="shared" ca="1" si="790"/>
        <v>4.5476598887919906</v>
      </c>
      <c r="Y409" s="1190">
        <f t="shared" ca="1" si="790"/>
        <v>4.4011358683231885</v>
      </c>
      <c r="Z409" s="1190">
        <f t="shared" ca="1" si="790"/>
        <v>4.0710637132262528</v>
      </c>
    </row>
    <row r="410" spans="2:26">
      <c r="N410" s="938"/>
      <c r="O410" s="938"/>
      <c r="P410" s="938"/>
      <c r="Q410" s="938"/>
      <c r="R410" s="938"/>
      <c r="S410" s="938"/>
      <c r="T410" s="938"/>
      <c r="U410" s="938"/>
      <c r="V410" s="938"/>
      <c r="W410" s="938"/>
      <c r="X410" s="938"/>
      <c r="Y410" s="938"/>
      <c r="Z410" s="938"/>
    </row>
    <row r="411" spans="2:26">
      <c r="B411" s="618" t="s">
        <v>1172</v>
      </c>
      <c r="N411" s="938">
        <f ca="1">N400+N407-Model!N145+Model!N171</f>
        <v>0</v>
      </c>
      <c r="O411" s="938">
        <f ca="1">O400+O407-Model!O145+Model!O171</f>
        <v>-23.073302726149677</v>
      </c>
      <c r="P411" s="938">
        <f ca="1">P400+P407-Model!P145+Model!P171</f>
        <v>-52.934497931115175</v>
      </c>
      <c r="Q411" s="938">
        <f ca="1">Q400+Q407-Model!Q145+Model!Q171</f>
        <v>-74.31216979315127</v>
      </c>
      <c r="R411" s="938">
        <f ca="1">R400+R407-Model!R145+Model!R171</f>
        <v>-93.595032346899188</v>
      </c>
      <c r="S411" s="938">
        <f ca="1">S400+S407-Model!S145+Model!S171</f>
        <v>-184.41124899645092</v>
      </c>
      <c r="T411" s="938">
        <f ca="1">T400+T407-Model!T145+Model!T171</f>
        <v>-237.90282955149905</v>
      </c>
      <c r="U411" s="938">
        <f ca="1">U400+U407-Model!U145+Model!U171</f>
        <v>-296.54641867367309</v>
      </c>
      <c r="V411" s="938">
        <f ca="1">V400+V407-Model!V145+Model!V171</f>
        <v>-360.97795139857408</v>
      </c>
      <c r="W411" s="938">
        <f ca="1">W400+W407-Model!W145+Model!W171</f>
        <v>-431.16929677133749</v>
      </c>
      <c r="X411" s="938">
        <f ca="1">X400+X407-Model!X145+Model!X171</f>
        <v>-507.04854427238342</v>
      </c>
      <c r="Y411" s="938">
        <f ca="1">Y400+Y407-Model!Y145+Model!Y171</f>
        <v>-588.49445052605006</v>
      </c>
      <c r="Z411" s="938">
        <f ca="1">Z400+Z407-Model!Z145+Model!Z171</f>
        <v>-675.33036068053002</v>
      </c>
    </row>
    <row r="413" spans="2:26">
      <c r="O413" s="938"/>
      <c r="P413" s="938"/>
      <c r="Q413" s="938"/>
      <c r="R413" s="938"/>
      <c r="S413" s="938"/>
      <c r="T413" s="938"/>
      <c r="U413" s="938"/>
      <c r="V413" s="938"/>
      <c r="W413" s="938"/>
      <c r="X413" s="938"/>
      <c r="Y413" s="938"/>
      <c r="Z413" s="938"/>
    </row>
  </sheetData>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B1:EK179"/>
  <sheetViews>
    <sheetView zoomScale="70" zoomScaleNormal="70" workbookViewId="0">
      <pane xSplit="44" ySplit="4" topLeftCell="BF135" activePane="bottomRight" state="frozen"/>
      <selection pane="topRight" activeCell="AS1" sqref="AS1"/>
      <selection pane="bottomLeft" activeCell="A5" sqref="A5"/>
      <selection pane="bottomRight" activeCell="BM155" sqref="BM155"/>
    </sheetView>
  </sheetViews>
  <sheetFormatPr defaultColWidth="9.1328125" defaultRowHeight="13.9" outlineLevelRow="1" outlineLevelCol="3"/>
  <cols>
    <col min="1" max="1" width="2.86328125" style="212" customWidth="1"/>
    <col min="2" max="2" width="40.86328125" style="212" customWidth="1"/>
    <col min="3" max="3" width="8.53125" style="212" hidden="1" customWidth="1" outlineLevel="2"/>
    <col min="4" max="4" width="8.53125" style="551" hidden="1" customWidth="1" outlineLevel="2"/>
    <col min="5" max="8" width="8.53125" style="212" hidden="1" customWidth="1" outlineLevel="2"/>
    <col min="9" max="9" width="8.53125" style="551" hidden="1" customWidth="1" outlineLevel="2"/>
    <col min="10" max="13" width="8.53125" style="212" hidden="1" customWidth="1" outlineLevel="2"/>
    <col min="14" max="14" width="8.53125" style="551" hidden="1" customWidth="1" outlineLevel="2"/>
    <col min="15" max="18" width="8.53125" style="212" hidden="1" customWidth="1" outlineLevel="2"/>
    <col min="19" max="19" width="8.53125" style="551" hidden="1" customWidth="1" outlineLevel="2"/>
    <col min="20" max="20" width="8.53125" style="564" hidden="1" customWidth="1" outlineLevel="2"/>
    <col min="21" max="21" width="8.53125" style="212" hidden="1" customWidth="1" outlineLevel="2" collapsed="1"/>
    <col min="22" max="24" width="8.53125" style="212" hidden="1" customWidth="1" outlineLevel="2"/>
    <col min="25" max="25" width="8.53125" style="551" hidden="1" customWidth="1" outlineLevel="2" collapsed="1"/>
    <col min="26" max="26" width="8.53125" style="212" hidden="1" customWidth="1" outlineLevel="3" collapsed="1"/>
    <col min="27" max="29" width="8.53125" style="212" hidden="1" customWidth="1" outlineLevel="3"/>
    <col min="30" max="30" width="8.53125" style="551" hidden="1" customWidth="1" outlineLevel="3"/>
    <col min="31" max="34" width="8.53125" style="212" hidden="1" customWidth="1" outlineLevel="3"/>
    <col min="35" max="35" width="8.53125" style="551" hidden="1" customWidth="1" outlineLevel="2"/>
    <col min="36" max="39" width="8.53125" style="212" hidden="1" customWidth="1" outlineLevel="2"/>
    <col min="40" max="40" width="8.53125" style="551" hidden="1" customWidth="1" outlineLevel="2" collapsed="1"/>
    <col min="41" max="44" width="8.53125" style="212" hidden="1" customWidth="1" outlineLevel="2"/>
    <col min="45" max="45" width="8.53125" style="551" customWidth="1" outlineLevel="1" collapsed="1"/>
    <col min="46" max="49" width="8.53125" style="212" customWidth="1" outlineLevel="1"/>
    <col min="50" max="50" width="8" style="551" customWidth="1"/>
    <col min="51" max="54" width="8" style="212" customWidth="1"/>
    <col min="55" max="55" width="8" style="551" customWidth="1" outlineLevel="1"/>
    <col min="56" max="59" width="8" style="212" customWidth="1"/>
    <col min="60" max="60" width="8" style="551" customWidth="1"/>
    <col min="61" max="64" width="8" style="212" customWidth="1"/>
    <col min="65" max="67" width="8" style="551" customWidth="1"/>
    <col min="68" max="68" width="8.796875" style="212" customWidth="1"/>
    <col min="69" max="72" width="9.1328125" style="564" hidden="1" customWidth="1" outlineLevel="1"/>
    <col min="73" max="73" width="5.33203125" style="212" customWidth="1" collapsed="1"/>
    <col min="74" max="83" width="9.1328125" style="212" hidden="1" customWidth="1" outlineLevel="1"/>
    <col min="84" max="84" width="9.1328125" style="212" hidden="1" customWidth="1" outlineLevel="1" collapsed="1"/>
    <col min="85" max="88" width="9.1328125" style="212" hidden="1" customWidth="1" outlineLevel="1"/>
    <col min="89" max="89" width="9.1328125" style="551" hidden="1" customWidth="1" outlineLevel="1"/>
    <col min="90" max="93" width="9.1328125" style="212" hidden="1" customWidth="1" outlineLevel="1"/>
    <col min="94" max="94" width="9.1328125" style="551" hidden="1" customWidth="1" outlineLevel="1"/>
    <col min="95" max="98" width="9.1328125" style="212" hidden="1" customWidth="1" outlineLevel="1"/>
    <col min="99" max="99" width="9.1328125" style="551" hidden="1" customWidth="1" outlineLevel="1" collapsed="1"/>
    <col min="100" max="100" width="9.1328125" style="212" hidden="1" customWidth="1" outlineLevel="1" collapsed="1"/>
    <col min="101" max="103" width="9.1328125" style="212" hidden="1" customWidth="1" outlineLevel="1"/>
    <col min="104" max="104" width="9.1328125" style="551" hidden="1" customWidth="1" outlineLevel="1"/>
    <col min="105" max="105" width="8.53125" style="212" hidden="1" customWidth="1" outlineLevel="1" collapsed="1"/>
    <col min="106" max="108" width="8.53125" style="212" hidden="1" customWidth="1" outlineLevel="1"/>
    <col min="109" max="109" width="8.53125" style="551" hidden="1" customWidth="1" outlineLevel="1"/>
    <col min="110" max="110" width="8.53125" style="212" hidden="1" customWidth="1" outlineLevel="1" collapsed="1"/>
    <col min="111" max="113" width="8.53125" style="212" hidden="1" customWidth="1" outlineLevel="1"/>
    <col min="114" max="114" width="8.53125" style="551" hidden="1" customWidth="1" outlineLevel="1"/>
    <col min="115" max="118" width="8.53125" style="212" hidden="1" customWidth="1" outlineLevel="1"/>
    <col min="119" max="119" width="8.53125" style="551" hidden="1" customWidth="1" outlineLevel="1" collapsed="1"/>
    <col min="120" max="123" width="8.53125" style="212" hidden="1" customWidth="1" outlineLevel="1"/>
    <col min="124" max="124" width="7.33203125" style="551" customWidth="1" collapsed="1"/>
    <col min="125" max="128" width="7.33203125" style="212" customWidth="1"/>
    <col min="129" max="129" width="7.33203125" style="551" customWidth="1"/>
    <col min="130" max="133" width="7.33203125" style="212" customWidth="1"/>
    <col min="134" max="134" width="7.33203125" style="551" customWidth="1"/>
    <col min="135" max="138" width="7.33203125" style="212" customWidth="1"/>
    <col min="139" max="141" width="7.33203125" style="551" customWidth="1"/>
    <col min="142" max="16384" width="9.1328125" style="212"/>
  </cols>
  <sheetData>
    <row r="1" spans="2:141">
      <c r="Q1" s="354"/>
      <c r="R1" s="354"/>
      <c r="S1" s="562"/>
      <c r="T1" s="565"/>
      <c r="U1" s="354"/>
      <c r="V1" s="354"/>
      <c r="W1" s="354"/>
      <c r="X1" s="354"/>
      <c r="AE1" s="842" t="s">
        <v>1380</v>
      </c>
      <c r="AJ1" s="842" t="s">
        <v>1381</v>
      </c>
      <c r="BQ1" s="735" t="s">
        <v>1501</v>
      </c>
      <c r="BR1" s="736"/>
      <c r="BS1" s="736"/>
      <c r="BT1" s="736"/>
      <c r="CG1" s="576"/>
      <c r="DK1" s="842" t="s">
        <v>1381</v>
      </c>
      <c r="DP1" s="842"/>
      <c r="DU1" s="842"/>
      <c r="DZ1" s="842"/>
      <c r="EE1" s="842"/>
    </row>
    <row r="2" spans="2:141" s="7" customFormat="1">
      <c r="B2" s="208"/>
      <c r="C2" s="209" t="s">
        <v>760</v>
      </c>
      <c r="D2" s="552" t="s">
        <v>1261</v>
      </c>
      <c r="E2" s="209" t="s">
        <v>761</v>
      </c>
      <c r="F2" s="209" t="s">
        <v>762</v>
      </c>
      <c r="G2" s="209" t="s">
        <v>763</v>
      </c>
      <c r="H2" s="209" t="s">
        <v>764</v>
      </c>
      <c r="I2" s="552" t="s">
        <v>1257</v>
      </c>
      <c r="J2" s="209" t="s">
        <v>765</v>
      </c>
      <c r="K2" s="209" t="s">
        <v>766</v>
      </c>
      <c r="L2" s="209" t="s">
        <v>767</v>
      </c>
      <c r="M2" s="209" t="s">
        <v>977</v>
      </c>
      <c r="N2" s="552" t="s">
        <v>1258</v>
      </c>
      <c r="O2" s="209" t="s">
        <v>992</v>
      </c>
      <c r="P2" s="209" t="s">
        <v>1034</v>
      </c>
      <c r="Q2" s="209" t="s">
        <v>1044</v>
      </c>
      <c r="R2" s="209" t="s">
        <v>1115</v>
      </c>
      <c r="S2" s="552" t="s">
        <v>1259</v>
      </c>
      <c r="T2" s="566" t="s">
        <v>1139</v>
      </c>
      <c r="U2" s="209" t="s">
        <v>1140</v>
      </c>
      <c r="V2" s="209" t="s">
        <v>1143</v>
      </c>
      <c r="W2" s="209" t="s">
        <v>1145</v>
      </c>
      <c r="X2" s="209" t="s">
        <v>1184</v>
      </c>
      <c r="Y2" s="574" t="s">
        <v>1260</v>
      </c>
      <c r="Z2" s="209" t="s">
        <v>1274</v>
      </c>
      <c r="AA2" s="209" t="s">
        <v>1273</v>
      </c>
      <c r="AB2" s="209" t="s">
        <v>1298</v>
      </c>
      <c r="AC2" s="209" t="s">
        <v>1299</v>
      </c>
      <c r="AD2" s="574">
        <v>2017</v>
      </c>
      <c r="AE2" s="209" t="s">
        <v>1300</v>
      </c>
      <c r="AF2" s="209" t="s">
        <v>1301</v>
      </c>
      <c r="AG2" s="209" t="s">
        <v>1302</v>
      </c>
      <c r="AH2" s="209" t="s">
        <v>1303</v>
      </c>
      <c r="AI2" s="574">
        <v>2018</v>
      </c>
      <c r="AJ2" s="209" t="s">
        <v>1327</v>
      </c>
      <c r="AK2" s="209" t="s">
        <v>1328</v>
      </c>
      <c r="AL2" s="209" t="s">
        <v>1329</v>
      </c>
      <c r="AM2" s="209" t="s">
        <v>1330</v>
      </c>
      <c r="AN2" s="574">
        <v>2019</v>
      </c>
      <c r="AO2" s="209" t="s">
        <v>1458</v>
      </c>
      <c r="AP2" s="209" t="s">
        <v>1459</v>
      </c>
      <c r="AQ2" s="209" t="s">
        <v>1460</v>
      </c>
      <c r="AR2" s="209" t="s">
        <v>1375</v>
      </c>
      <c r="AS2" s="574">
        <v>2020</v>
      </c>
      <c r="AT2" s="209" t="s">
        <v>1502</v>
      </c>
      <c r="AU2" s="209" t="s">
        <v>1503</v>
      </c>
      <c r="AV2" s="209" t="s">
        <v>1504</v>
      </c>
      <c r="AW2" s="209" t="s">
        <v>1505</v>
      </c>
      <c r="AX2" s="574">
        <v>2021</v>
      </c>
      <c r="AY2" s="209" t="s">
        <v>1506</v>
      </c>
      <c r="AZ2" s="209" t="s">
        <v>1507</v>
      </c>
      <c r="BA2" s="209" t="s">
        <v>1508</v>
      </c>
      <c r="BB2" s="209" t="s">
        <v>1509</v>
      </c>
      <c r="BC2" s="574">
        <f>AX2+1</f>
        <v>2022</v>
      </c>
      <c r="BD2" s="209" t="s">
        <v>1510</v>
      </c>
      <c r="BE2" s="209" t="s">
        <v>1511</v>
      </c>
      <c r="BF2" s="209" t="s">
        <v>1596</v>
      </c>
      <c r="BG2" s="209" t="s">
        <v>1657</v>
      </c>
      <c r="BH2" s="574">
        <f>BC2+1</f>
        <v>2023</v>
      </c>
      <c r="BI2" s="209" t="s">
        <v>1693</v>
      </c>
      <c r="BJ2" s="209" t="s">
        <v>1694</v>
      </c>
      <c r="BK2" s="209" t="s">
        <v>1695</v>
      </c>
      <c r="BL2" s="209" t="s">
        <v>1696</v>
      </c>
      <c r="BM2" s="574">
        <f>BH2+1</f>
        <v>2024</v>
      </c>
      <c r="BN2" s="574">
        <f>BM2+1</f>
        <v>2025</v>
      </c>
      <c r="BO2" s="574">
        <f>BN2+1</f>
        <v>2026</v>
      </c>
      <c r="BP2" s="8"/>
      <c r="BQ2" s="566" t="s">
        <v>985</v>
      </c>
      <c r="BR2" s="566" t="s">
        <v>1087</v>
      </c>
      <c r="BS2" s="566" t="s">
        <v>1183</v>
      </c>
      <c r="BT2" s="566" t="s">
        <v>1087</v>
      </c>
      <c r="BY2" s="209" t="s">
        <v>860</v>
      </c>
      <c r="BZ2" s="209" t="s">
        <v>861</v>
      </c>
      <c r="CA2" s="209" t="s">
        <v>862</v>
      </c>
      <c r="CB2" s="209" t="s">
        <v>863</v>
      </c>
      <c r="CC2" s="209" t="str">
        <f>+'Model also  old'!F3</f>
        <v>2015A</v>
      </c>
      <c r="CG2" s="7" t="str">
        <f t="shared" ref="CG2:CP2" si="0">J2</f>
        <v>1Q14</v>
      </c>
      <c r="CH2" s="7" t="str">
        <f t="shared" si="0"/>
        <v>2Q14</v>
      </c>
      <c r="CI2" s="7" t="str">
        <f t="shared" si="0"/>
        <v>3Q14</v>
      </c>
      <c r="CJ2" s="7" t="str">
        <f t="shared" si="0"/>
        <v>4Q14</v>
      </c>
      <c r="CK2" s="577" t="str">
        <f t="shared" si="0"/>
        <v>FY14</v>
      </c>
      <c r="CL2" s="7" t="str">
        <f t="shared" si="0"/>
        <v>1Q15</v>
      </c>
      <c r="CM2" s="7" t="str">
        <f t="shared" si="0"/>
        <v>2Q15</v>
      </c>
      <c r="CN2" s="7" t="str">
        <f t="shared" si="0"/>
        <v>3Q15</v>
      </c>
      <c r="CO2" s="7" t="str">
        <f t="shared" si="0"/>
        <v>4Q15</v>
      </c>
      <c r="CP2" s="577" t="str">
        <f t="shared" si="0"/>
        <v>FY15</v>
      </c>
      <c r="CQ2" s="7" t="str">
        <f t="shared" ref="CQ2:DI2" si="1">U2</f>
        <v>Q1 16</v>
      </c>
      <c r="CR2" s="7" t="str">
        <f t="shared" si="1"/>
        <v>Q2 16</v>
      </c>
      <c r="CS2" s="7" t="str">
        <f t="shared" si="1"/>
        <v>Q3 16</v>
      </c>
      <c r="CT2" s="7" t="str">
        <f t="shared" si="1"/>
        <v>Q4 16</v>
      </c>
      <c r="CU2" s="577" t="str">
        <f t="shared" si="1"/>
        <v>FY16</v>
      </c>
      <c r="CV2" s="7" t="str">
        <f t="shared" si="1"/>
        <v>Q1 17</v>
      </c>
      <c r="CW2" s="7" t="str">
        <f t="shared" si="1"/>
        <v>Q2 17</v>
      </c>
      <c r="CX2" s="7" t="str">
        <f t="shared" si="1"/>
        <v>Q3 17</v>
      </c>
      <c r="CY2" s="7" t="str">
        <f t="shared" si="1"/>
        <v>Q4 17</v>
      </c>
      <c r="CZ2" s="577">
        <f t="shared" si="1"/>
        <v>2017</v>
      </c>
      <c r="DA2" s="209" t="str">
        <f t="shared" si="1"/>
        <v>Q1 18</v>
      </c>
      <c r="DB2" s="209" t="str">
        <f t="shared" si="1"/>
        <v>Q2 18</v>
      </c>
      <c r="DC2" s="209" t="str">
        <f t="shared" si="1"/>
        <v>Q3 18</v>
      </c>
      <c r="DD2" s="209" t="str">
        <f t="shared" si="1"/>
        <v>Q4 18</v>
      </c>
      <c r="DE2" s="849">
        <f t="shared" si="1"/>
        <v>2018</v>
      </c>
      <c r="DF2" s="209" t="str">
        <f t="shared" si="1"/>
        <v>Q1 19</v>
      </c>
      <c r="DG2" s="209" t="str">
        <f t="shared" si="1"/>
        <v>Q2 19</v>
      </c>
      <c r="DH2" s="209" t="str">
        <f t="shared" si="1"/>
        <v>Q3 19</v>
      </c>
      <c r="DI2" s="209" t="str">
        <f t="shared" si="1"/>
        <v>Q4 19</v>
      </c>
      <c r="DJ2" s="574">
        <v>2019</v>
      </c>
      <c r="DK2" s="209" t="str">
        <f>AO2</f>
        <v>Q1 20</v>
      </c>
      <c r="DL2" s="209" t="str">
        <f>AP2</f>
        <v>Q2 20</v>
      </c>
      <c r="DM2" s="209" t="str">
        <f>AQ2</f>
        <v>Q3 20</v>
      </c>
      <c r="DN2" s="209" t="str">
        <f>AR2</f>
        <v>Q4 20</v>
      </c>
      <c r="DO2" s="574">
        <v>2020</v>
      </c>
      <c r="DP2" s="209" t="str">
        <f t="shared" ref="DP2:EK2" si="2">AT2</f>
        <v>Q1 21</v>
      </c>
      <c r="DQ2" s="209" t="str">
        <f t="shared" si="2"/>
        <v>Q2 21</v>
      </c>
      <c r="DR2" s="209" t="str">
        <f t="shared" si="2"/>
        <v>Q3 21</v>
      </c>
      <c r="DS2" s="209" t="str">
        <f t="shared" si="2"/>
        <v>Q4 21</v>
      </c>
      <c r="DT2" s="574">
        <f t="shared" si="2"/>
        <v>2021</v>
      </c>
      <c r="DU2" s="209" t="str">
        <f t="shared" si="2"/>
        <v>Q1 22</v>
      </c>
      <c r="DV2" s="209" t="str">
        <f t="shared" si="2"/>
        <v>Q2 22</v>
      </c>
      <c r="DW2" s="209" t="str">
        <f t="shared" si="2"/>
        <v>Q3 22</v>
      </c>
      <c r="DX2" s="209" t="str">
        <f t="shared" si="2"/>
        <v>Q4 22</v>
      </c>
      <c r="DY2" s="574">
        <f t="shared" si="2"/>
        <v>2022</v>
      </c>
      <c r="DZ2" s="209" t="str">
        <f t="shared" si="2"/>
        <v>Q1 23</v>
      </c>
      <c r="EA2" s="209" t="str">
        <f t="shared" si="2"/>
        <v>Q2 23</v>
      </c>
      <c r="EB2" s="209" t="str">
        <f t="shared" si="2"/>
        <v>Q3 23</v>
      </c>
      <c r="EC2" s="209" t="str">
        <f t="shared" si="2"/>
        <v>Q4 23</v>
      </c>
      <c r="ED2" s="574">
        <f t="shared" si="2"/>
        <v>2023</v>
      </c>
      <c r="EE2" s="209" t="str">
        <f t="shared" si="2"/>
        <v>Q1 24</v>
      </c>
      <c r="EF2" s="209" t="str">
        <f t="shared" si="2"/>
        <v>Q2 24</v>
      </c>
      <c r="EG2" s="209" t="str">
        <f t="shared" si="2"/>
        <v>Q3 24</v>
      </c>
      <c r="EH2" s="209" t="str">
        <f t="shared" si="2"/>
        <v>Q4 24</v>
      </c>
      <c r="EI2" s="574">
        <f t="shared" si="2"/>
        <v>2024</v>
      </c>
      <c r="EJ2" s="574">
        <f t="shared" si="2"/>
        <v>2025</v>
      </c>
      <c r="EK2" s="574">
        <f t="shared" si="2"/>
        <v>2026</v>
      </c>
    </row>
    <row r="3" spans="2:141" s="7" customFormat="1">
      <c r="B3" s="208"/>
      <c r="C3" s="209"/>
      <c r="D3" s="574"/>
      <c r="E3" s="209"/>
      <c r="F3" s="209"/>
      <c r="G3" s="209"/>
      <c r="H3" s="209"/>
      <c r="I3" s="574"/>
      <c r="J3" s="209"/>
      <c r="K3" s="209"/>
      <c r="L3" s="209"/>
      <c r="M3" s="209"/>
      <c r="N3" s="574"/>
      <c r="O3" s="209"/>
      <c r="P3" s="209"/>
      <c r="Q3" s="209"/>
      <c r="R3" s="209"/>
      <c r="S3" s="574"/>
      <c r="T3" s="566"/>
      <c r="U3" s="209"/>
      <c r="V3" s="209"/>
      <c r="W3" s="209"/>
      <c r="X3" s="209"/>
      <c r="Y3" s="574"/>
      <c r="Z3" s="209"/>
      <c r="AA3" s="209"/>
      <c r="AB3" s="209"/>
      <c r="AC3" s="209"/>
      <c r="AD3" s="574"/>
      <c r="AE3" s="209"/>
      <c r="AF3" s="209"/>
      <c r="AG3" s="209"/>
      <c r="AH3" s="209"/>
      <c r="AI3" s="574"/>
      <c r="AJ3" s="209"/>
      <c r="AK3" s="209"/>
      <c r="AL3" s="209"/>
      <c r="AM3" s="209"/>
      <c r="AN3" s="574"/>
      <c r="AO3" s="209"/>
      <c r="AP3" s="209"/>
      <c r="AQ3" s="209"/>
      <c r="AR3" s="209"/>
      <c r="AS3" s="574"/>
      <c r="AT3" s="209"/>
      <c r="AU3" s="209"/>
      <c r="AV3" s="209"/>
      <c r="AW3" s="209"/>
      <c r="AX3" s="574"/>
      <c r="AY3" s="209"/>
      <c r="AZ3" s="209"/>
      <c r="BA3" s="209"/>
      <c r="BB3" s="209"/>
      <c r="BC3" s="574"/>
      <c r="BD3" s="209"/>
      <c r="BE3" s="209"/>
      <c r="BF3" s="209"/>
      <c r="BG3" s="209"/>
      <c r="BH3" s="574"/>
      <c r="BI3" s="209"/>
      <c r="BJ3" s="209"/>
      <c r="BK3" s="209"/>
      <c r="BL3" s="209"/>
      <c r="BM3" s="574"/>
      <c r="BN3" s="574"/>
      <c r="BO3" s="574"/>
      <c r="BP3" s="8"/>
      <c r="BQ3" s="566"/>
      <c r="BR3" s="566"/>
      <c r="BS3" s="566"/>
      <c r="BT3" s="566"/>
      <c r="BY3" s="209"/>
      <c r="BZ3" s="209"/>
      <c r="CA3" s="209"/>
      <c r="CB3" s="209"/>
      <c r="CC3" s="209"/>
      <c r="CK3" s="577"/>
      <c r="CP3" s="577"/>
      <c r="CU3" s="577"/>
      <c r="CZ3" s="577"/>
      <c r="DA3" s="209"/>
      <c r="DB3" s="209"/>
      <c r="DC3" s="209"/>
      <c r="DD3" s="209"/>
      <c r="DE3" s="577"/>
      <c r="DF3" s="209"/>
      <c r="DG3" s="209"/>
      <c r="DH3" s="209"/>
      <c r="DI3" s="209"/>
      <c r="DJ3" s="577"/>
      <c r="DK3" s="209"/>
      <c r="DL3" s="209"/>
      <c r="DM3" s="209"/>
      <c r="DN3" s="209"/>
      <c r="DO3" s="577"/>
      <c r="DP3" s="209"/>
      <c r="DQ3" s="209"/>
      <c r="DR3" s="209"/>
      <c r="DS3" s="209"/>
      <c r="DT3" s="577"/>
      <c r="DU3" s="209"/>
      <c r="DV3" s="209"/>
      <c r="DW3" s="209"/>
      <c r="DX3" s="209"/>
      <c r="DY3" s="577"/>
      <c r="DZ3" s="209"/>
      <c r="EA3" s="209"/>
      <c r="EB3" s="209"/>
      <c r="EC3" s="209"/>
      <c r="ED3" s="577"/>
      <c r="EE3" s="209"/>
      <c r="EF3" s="209"/>
      <c r="EG3" s="209"/>
      <c r="EH3" s="209"/>
      <c r="EI3" s="577"/>
      <c r="EJ3" s="577"/>
      <c r="EK3" s="577"/>
    </row>
    <row r="4" spans="2:141" s="7" customFormat="1">
      <c r="B4" s="208" t="s">
        <v>986</v>
      </c>
      <c r="C4" s="209" t="s">
        <v>760</v>
      </c>
      <c r="D4" s="552" t="s">
        <v>1261</v>
      </c>
      <c r="E4" s="209" t="s">
        <v>761</v>
      </c>
      <c r="F4" s="209" t="s">
        <v>762</v>
      </c>
      <c r="G4" s="209" t="s">
        <v>763</v>
      </c>
      <c r="H4" s="209" t="s">
        <v>764</v>
      </c>
      <c r="I4" s="552" t="s">
        <v>1257</v>
      </c>
      <c r="J4" s="209" t="s">
        <v>765</v>
      </c>
      <c r="K4" s="209" t="s">
        <v>766</v>
      </c>
      <c r="L4" s="209" t="s">
        <v>767</v>
      </c>
      <c r="M4" s="209" t="s">
        <v>977</v>
      </c>
      <c r="N4" s="552" t="s">
        <v>1258</v>
      </c>
      <c r="O4" s="209" t="s">
        <v>992</v>
      </c>
      <c r="P4" s="209" t="s">
        <v>1034</v>
      </c>
      <c r="Q4" s="209" t="s">
        <v>1044</v>
      </c>
      <c r="R4" s="209" t="s">
        <v>1115</v>
      </c>
      <c r="S4" s="552" t="s">
        <v>1259</v>
      </c>
      <c r="T4" s="566" t="s">
        <v>1139</v>
      </c>
      <c r="U4" s="209" t="s">
        <v>1140</v>
      </c>
      <c r="V4" s="209" t="s">
        <v>1143</v>
      </c>
      <c r="W4" s="209" t="s">
        <v>1145</v>
      </c>
      <c r="X4" s="209" t="s">
        <v>1184</v>
      </c>
      <c r="Y4" s="574" t="s">
        <v>1260</v>
      </c>
      <c r="Z4" s="209" t="s">
        <v>1274</v>
      </c>
      <c r="AA4" s="209" t="s">
        <v>1273</v>
      </c>
      <c r="AB4" s="209" t="s">
        <v>1298</v>
      </c>
      <c r="AC4" s="209" t="s">
        <v>1299</v>
      </c>
      <c r="AD4" s="574">
        <f>AD2</f>
        <v>2017</v>
      </c>
      <c r="AE4" s="209" t="s">
        <v>1300</v>
      </c>
      <c r="AF4" s="209" t="s">
        <v>1301</v>
      </c>
      <c r="AG4" s="209" t="s">
        <v>1302</v>
      </c>
      <c r="AH4" s="209" t="s">
        <v>1303</v>
      </c>
      <c r="AI4" s="574">
        <f>AI$2</f>
        <v>2018</v>
      </c>
      <c r="AJ4" s="209" t="str">
        <f>AJ$2</f>
        <v>Q1 19</v>
      </c>
      <c r="AK4" s="209" t="str">
        <f>AK$2</f>
        <v>Q2 19</v>
      </c>
      <c r="AL4" s="209" t="str">
        <f>AL$2</f>
        <v>Q3 19</v>
      </c>
      <c r="AM4" s="209" t="str">
        <f>AM$2</f>
        <v>Q4 19</v>
      </c>
      <c r="AN4" s="574">
        <f>AN2</f>
        <v>2019</v>
      </c>
      <c r="AO4" s="209" t="str">
        <f>AO$2</f>
        <v>Q1 20</v>
      </c>
      <c r="AP4" s="209" t="str">
        <f>AP$2</f>
        <v>Q2 20</v>
      </c>
      <c r="AQ4" s="209" t="str">
        <f>AQ$2</f>
        <v>Q3 20</v>
      </c>
      <c r="AR4" s="209" t="str">
        <f>AR$2</f>
        <v>Q4 20</v>
      </c>
      <c r="AS4" s="574">
        <f>AS2</f>
        <v>2020</v>
      </c>
      <c r="AT4" s="209" t="str">
        <f>AT$2</f>
        <v>Q1 21</v>
      </c>
      <c r="AU4" s="209" t="str">
        <f>AU$2</f>
        <v>Q2 21</v>
      </c>
      <c r="AV4" s="209" t="str">
        <f>AV$2</f>
        <v>Q3 21</v>
      </c>
      <c r="AW4" s="209" t="str">
        <f>AW$2</f>
        <v>Q4 21</v>
      </c>
      <c r="AX4" s="574">
        <f>AX2</f>
        <v>2021</v>
      </c>
      <c r="AY4" s="209" t="str">
        <f>AY$2</f>
        <v>Q1 22</v>
      </c>
      <c r="AZ4" s="209" t="str">
        <f>AZ$2</f>
        <v>Q2 22</v>
      </c>
      <c r="BA4" s="209" t="str">
        <f>BA$2</f>
        <v>Q3 22</v>
      </c>
      <c r="BB4" s="209" t="str">
        <f>BB$2</f>
        <v>Q4 22</v>
      </c>
      <c r="BC4" s="574">
        <f>BC2</f>
        <v>2022</v>
      </c>
      <c r="BD4" s="209" t="str">
        <f>BD$2</f>
        <v>Q1 23</v>
      </c>
      <c r="BE4" s="209" t="str">
        <f>BE$2</f>
        <v>Q2 23</v>
      </c>
      <c r="BF4" s="209" t="str">
        <f>BF$2</f>
        <v>Q3 23</v>
      </c>
      <c r="BG4" s="209" t="str">
        <f>BG$2</f>
        <v>Q4 23</v>
      </c>
      <c r="BH4" s="574">
        <f>BH2</f>
        <v>2023</v>
      </c>
      <c r="BI4" s="209" t="str">
        <f>BI$2</f>
        <v>Q1 24</v>
      </c>
      <c r="BJ4" s="209" t="str">
        <f>BJ$2</f>
        <v>Q2 24</v>
      </c>
      <c r="BK4" s="209" t="str">
        <f>BK$2</f>
        <v>Q3 24</v>
      </c>
      <c r="BL4" s="209" t="str">
        <f>BL$2</f>
        <v>Q4 24</v>
      </c>
      <c r="BM4" s="574">
        <f>BM2</f>
        <v>2024</v>
      </c>
      <c r="BN4" s="574">
        <f>BN2</f>
        <v>2025</v>
      </c>
      <c r="BO4" s="574">
        <f>BO2</f>
        <v>2026</v>
      </c>
      <c r="BP4" s="8"/>
      <c r="BQ4" s="566" t="s">
        <v>985</v>
      </c>
      <c r="BR4" s="566" t="s">
        <v>1087</v>
      </c>
      <c r="BS4" s="566" t="s">
        <v>1183</v>
      </c>
      <c r="BT4" s="566" t="s">
        <v>1087</v>
      </c>
      <c r="BY4" s="209" t="s">
        <v>860</v>
      </c>
      <c r="BZ4" s="209" t="s">
        <v>861</v>
      </c>
      <c r="CA4" s="209" t="s">
        <v>862</v>
      </c>
      <c r="CB4" s="209" t="s">
        <v>863</v>
      </c>
      <c r="CC4" s="209">
        <f>+'Model also  old'!F4</f>
        <v>222.1912219231572</v>
      </c>
      <c r="CG4" s="7" t="str">
        <f t="shared" ref="CG4:CP4" si="3">J4</f>
        <v>1Q14</v>
      </c>
      <c r="CH4" s="7" t="str">
        <f t="shared" si="3"/>
        <v>2Q14</v>
      </c>
      <c r="CI4" s="7" t="str">
        <f t="shared" si="3"/>
        <v>3Q14</v>
      </c>
      <c r="CJ4" s="7" t="str">
        <f t="shared" si="3"/>
        <v>4Q14</v>
      </c>
      <c r="CK4" s="577" t="str">
        <f t="shared" si="3"/>
        <v>FY14</v>
      </c>
      <c r="CL4" s="7" t="str">
        <f t="shared" si="3"/>
        <v>1Q15</v>
      </c>
      <c r="CM4" s="7" t="str">
        <f t="shared" si="3"/>
        <v>2Q15</v>
      </c>
      <c r="CN4" s="7" t="str">
        <f t="shared" si="3"/>
        <v>3Q15</v>
      </c>
      <c r="CO4" s="7" t="str">
        <f t="shared" si="3"/>
        <v>4Q15</v>
      </c>
      <c r="CP4" s="577" t="str">
        <f t="shared" si="3"/>
        <v>FY15</v>
      </c>
      <c r="CQ4" s="7" t="str">
        <f t="shared" ref="CQ4:DI4" si="4">U4</f>
        <v>Q1 16</v>
      </c>
      <c r="CR4" s="7" t="str">
        <f t="shared" si="4"/>
        <v>Q2 16</v>
      </c>
      <c r="CS4" s="7" t="str">
        <f t="shared" si="4"/>
        <v>Q3 16</v>
      </c>
      <c r="CT4" s="7" t="str">
        <f t="shared" si="4"/>
        <v>Q4 16</v>
      </c>
      <c r="CU4" s="577" t="str">
        <f t="shared" si="4"/>
        <v>FY16</v>
      </c>
      <c r="CV4" s="7" t="str">
        <f t="shared" si="4"/>
        <v>Q1 17</v>
      </c>
      <c r="CW4" s="7" t="str">
        <f t="shared" si="4"/>
        <v>Q2 17</v>
      </c>
      <c r="CX4" s="7" t="str">
        <f t="shared" si="4"/>
        <v>Q3 17</v>
      </c>
      <c r="CY4" s="7" t="str">
        <f t="shared" si="4"/>
        <v>Q4 17</v>
      </c>
      <c r="CZ4" s="577">
        <f t="shared" si="4"/>
        <v>2017</v>
      </c>
      <c r="DA4" s="209" t="str">
        <f t="shared" si="4"/>
        <v>Q1 18</v>
      </c>
      <c r="DB4" s="209" t="str">
        <f t="shared" si="4"/>
        <v>Q2 18</v>
      </c>
      <c r="DC4" s="209" t="str">
        <f t="shared" si="4"/>
        <v>Q3 18</v>
      </c>
      <c r="DD4" s="209" t="str">
        <f t="shared" si="4"/>
        <v>Q4 18</v>
      </c>
      <c r="DE4" s="849">
        <f t="shared" si="4"/>
        <v>2018</v>
      </c>
      <c r="DF4" s="209" t="str">
        <f t="shared" si="4"/>
        <v>Q1 19</v>
      </c>
      <c r="DG4" s="209" t="str">
        <f t="shared" si="4"/>
        <v>Q2 19</v>
      </c>
      <c r="DH4" s="209" t="str">
        <f t="shared" si="4"/>
        <v>Q3 19</v>
      </c>
      <c r="DI4" s="209" t="str">
        <f t="shared" si="4"/>
        <v>Q4 19</v>
      </c>
      <c r="DJ4" s="574">
        <f>DJ2</f>
        <v>2019</v>
      </c>
      <c r="DK4" s="209" t="str">
        <f>AO4</f>
        <v>Q1 20</v>
      </c>
      <c r="DL4" s="209" t="str">
        <f>AP4</f>
        <v>Q2 20</v>
      </c>
      <c r="DM4" s="209" t="str">
        <f>AQ4</f>
        <v>Q3 20</v>
      </c>
      <c r="DN4" s="209" t="str">
        <f>AR4</f>
        <v>Q4 20</v>
      </c>
      <c r="DO4" s="574">
        <f>DO2</f>
        <v>2020</v>
      </c>
      <c r="DP4" s="209" t="str">
        <f>AT4</f>
        <v>Q1 21</v>
      </c>
      <c r="DQ4" s="209" t="str">
        <f>AU4</f>
        <v>Q2 21</v>
      </c>
      <c r="DR4" s="209" t="str">
        <f>AV4</f>
        <v>Q3 21</v>
      </c>
      <c r="DS4" s="209" t="str">
        <f>AW4</f>
        <v>Q4 21</v>
      </c>
      <c r="DT4" s="574">
        <f>DT2</f>
        <v>2021</v>
      </c>
      <c r="DU4" s="209" t="str">
        <f>AY4</f>
        <v>Q1 22</v>
      </c>
      <c r="DV4" s="209" t="str">
        <f>AZ4</f>
        <v>Q2 22</v>
      </c>
      <c r="DW4" s="209" t="str">
        <f>BA4</f>
        <v>Q3 22</v>
      </c>
      <c r="DX4" s="209" t="str">
        <f>BB4</f>
        <v>Q4 22</v>
      </c>
      <c r="DY4" s="574">
        <f>DY2</f>
        <v>2022</v>
      </c>
      <c r="DZ4" s="209" t="str">
        <f>BD4</f>
        <v>Q1 23</v>
      </c>
      <c r="EA4" s="209" t="str">
        <f>BE4</f>
        <v>Q2 23</v>
      </c>
      <c r="EB4" s="209" t="str">
        <f>BF4</f>
        <v>Q3 23</v>
      </c>
      <c r="EC4" s="209" t="str">
        <f>BG4</f>
        <v>Q4 23</v>
      </c>
      <c r="ED4" s="574">
        <f>ED2</f>
        <v>2023</v>
      </c>
      <c r="EE4" s="209" t="str">
        <f>BI4</f>
        <v>Q1 24</v>
      </c>
      <c r="EF4" s="209" t="str">
        <f>BJ4</f>
        <v>Q2 24</v>
      </c>
      <c r="EG4" s="209" t="str">
        <f>BK4</f>
        <v>Q3 24</v>
      </c>
      <c r="EH4" s="209" t="str">
        <f>BL4</f>
        <v>Q4 24</v>
      </c>
      <c r="EI4" s="574">
        <f>EI2</f>
        <v>2024</v>
      </c>
      <c r="EJ4" s="574">
        <f>EJ2</f>
        <v>2025</v>
      </c>
      <c r="EK4" s="574">
        <f>EK2</f>
        <v>2026</v>
      </c>
    </row>
    <row r="5" spans="2:141">
      <c r="B5" s="212" t="s">
        <v>109</v>
      </c>
      <c r="C5" s="671">
        <f>+BZ5</f>
        <v>1856</v>
      </c>
      <c r="D5" s="830"/>
      <c r="E5" s="671">
        <v>1814</v>
      </c>
      <c r="F5" s="671">
        <v>1760</v>
      </c>
      <c r="G5" s="671">
        <v>1750</v>
      </c>
      <c r="H5" s="671">
        <v>1749</v>
      </c>
      <c r="I5" s="830">
        <f>H5</f>
        <v>1749</v>
      </c>
      <c r="J5" s="671">
        <v>1710</v>
      </c>
      <c r="K5" s="671">
        <v>1704</v>
      </c>
      <c r="L5" s="671">
        <v>1720</v>
      </c>
      <c r="M5" s="671">
        <v>1697.4514740094269</v>
      </c>
      <c r="N5" s="830">
        <f>M5</f>
        <v>1697.4514740094269</v>
      </c>
      <c r="O5" s="671">
        <v>1667</v>
      </c>
      <c r="P5" s="671">
        <v>1676</v>
      </c>
      <c r="Q5" s="671">
        <v>2833</v>
      </c>
      <c r="R5" s="671">
        <v>3605</v>
      </c>
      <c r="S5" s="830">
        <f>R5</f>
        <v>3605</v>
      </c>
      <c r="T5" s="671"/>
      <c r="U5" s="671">
        <v>3593</v>
      </c>
      <c r="V5" s="671">
        <v>3596</v>
      </c>
      <c r="W5" s="671">
        <v>3601</v>
      </c>
      <c r="X5" s="671">
        <v>3608</v>
      </c>
      <c r="Y5" s="830">
        <f>X5</f>
        <v>3608</v>
      </c>
      <c r="Z5" s="671">
        <v>3605</v>
      </c>
      <c r="AA5" s="671">
        <v>3595</v>
      </c>
      <c r="AB5" s="671">
        <v>3594.2869999999998</v>
      </c>
      <c r="AC5" s="671">
        <v>3592</v>
      </c>
      <c r="AD5" s="830">
        <f>AC5</f>
        <v>3592</v>
      </c>
      <c r="AE5" s="671">
        <v>3549</v>
      </c>
      <c r="AF5" s="671">
        <v>3560.5929999999998</v>
      </c>
      <c r="AG5" s="671">
        <v>3336.94</v>
      </c>
      <c r="AH5" s="671">
        <v>3336.7130000000002</v>
      </c>
      <c r="AI5" s="830">
        <f>AH5</f>
        <v>3336.7130000000002</v>
      </c>
      <c r="AJ5" s="671">
        <v>3385.3617687195001</v>
      </c>
      <c r="AK5" s="671">
        <v>3389.8589999968999</v>
      </c>
      <c r="AL5" s="671">
        <v>3372.5610000000001</v>
      </c>
      <c r="AM5" s="671">
        <v>3379.4270000000001</v>
      </c>
      <c r="AN5" s="698">
        <f>AM5</f>
        <v>3379.4270000000001</v>
      </c>
      <c r="AO5" s="671">
        <v>3348.92</v>
      </c>
      <c r="AP5" s="671">
        <v>3349.8969999999999</v>
      </c>
      <c r="AQ5" s="671">
        <v>3337.1660000000002</v>
      </c>
      <c r="AR5" s="671">
        <v>3334.1379999999999</v>
      </c>
      <c r="AS5" s="698">
        <f>AR5</f>
        <v>3334.1379999999999</v>
      </c>
      <c r="AT5" s="671">
        <v>3326.4360000000001</v>
      </c>
      <c r="AU5" s="671">
        <v>3317.03</v>
      </c>
      <c r="AV5" s="671">
        <v>3308</v>
      </c>
      <c r="AW5" s="671">
        <v>3269</v>
      </c>
      <c r="AX5" s="698">
        <f>AW5</f>
        <v>3269</v>
      </c>
      <c r="AY5" s="671">
        <v>3240.797</v>
      </c>
      <c r="AZ5" s="671">
        <v>3239.6529999999998</v>
      </c>
      <c r="BA5" s="671">
        <v>3180.5</v>
      </c>
      <c r="BB5" s="671">
        <v>3164.877</v>
      </c>
      <c r="BC5" s="698">
        <f>BB5</f>
        <v>3164.877</v>
      </c>
      <c r="BD5" s="671">
        <v>3159</v>
      </c>
      <c r="BE5" s="671">
        <v>3149.6909999999998</v>
      </c>
      <c r="BF5" s="671">
        <v>3148.877</v>
      </c>
      <c r="BG5" s="671">
        <v>3096.7539999999999</v>
      </c>
      <c r="BH5" s="698">
        <f>Fixed!M34</f>
        <v>3097</v>
      </c>
      <c r="BI5" s="671">
        <v>3085</v>
      </c>
      <c r="BJ5" s="671">
        <v>2972</v>
      </c>
      <c r="BK5" s="671">
        <v>2926</v>
      </c>
      <c r="BL5" s="671"/>
      <c r="BM5" s="698">
        <f>Fixed!N34</f>
        <v>2966.7550000000001</v>
      </c>
      <c r="BN5" s="698">
        <f>Fixed!O34</f>
        <v>2936.7550000000001</v>
      </c>
      <c r="BO5" s="698">
        <f>Fixed!P34</f>
        <v>2906.7550000000001</v>
      </c>
      <c r="BP5" s="218"/>
      <c r="BQ5" s="657">
        <v>3343.2656666817179</v>
      </c>
      <c r="BR5" s="659">
        <f>$AR5/BQ5-1</f>
        <v>-2.7301649320550236E-3</v>
      </c>
      <c r="BS5" s="657">
        <v>3340</v>
      </c>
      <c r="BT5" s="659">
        <f>$AR5/BS5-1</f>
        <v>-1.7550898203593235E-3</v>
      </c>
      <c r="BY5" s="218">
        <v>1963</v>
      </c>
      <c r="BZ5" s="218">
        <v>1856</v>
      </c>
      <c r="CA5" s="218">
        <v>1749</v>
      </c>
      <c r="CB5" s="218">
        <v>1697.4514740094269</v>
      </c>
      <c r="CC5" s="218">
        <f>'Model also  old'!L18</f>
        <v>3605</v>
      </c>
      <c r="CG5" s="313">
        <f t="shared" ref="CG5:CP5" si="5">IFERROR(J5/E5-1,"N/A")</f>
        <v>-5.7331863285556728E-2</v>
      </c>
      <c r="CH5" s="313">
        <f t="shared" si="5"/>
        <v>-3.1818181818181857E-2</v>
      </c>
      <c r="CI5" s="313">
        <f t="shared" si="5"/>
        <v>-1.7142857142857126E-2</v>
      </c>
      <c r="CJ5" s="313">
        <f t="shared" si="5"/>
        <v>-2.9473142361677085E-2</v>
      </c>
      <c r="CK5" s="575">
        <f t="shared" si="5"/>
        <v>-2.9473142361677085E-2</v>
      </c>
      <c r="CL5" s="313">
        <f t="shared" si="5"/>
        <v>-2.5146198830409361E-2</v>
      </c>
      <c r="CM5" s="313">
        <f t="shared" si="5"/>
        <v>-1.6431924882629123E-2</v>
      </c>
      <c r="CN5" s="313">
        <f t="shared" si="5"/>
        <v>0.64709302325581386</v>
      </c>
      <c r="CO5" s="313">
        <f t="shared" si="5"/>
        <v>1.1237720519249317</v>
      </c>
      <c r="CP5" s="575">
        <f t="shared" si="5"/>
        <v>1.1237720519249317</v>
      </c>
      <c r="CQ5" s="313">
        <f>IFERROR(U5/O5-1,"N/A")</f>
        <v>1.1553689262147571</v>
      </c>
      <c r="CR5" s="313">
        <f>IFERROR(V5/P5-1,"N/A")</f>
        <v>1.1455847255369926</v>
      </c>
      <c r="CS5" s="313">
        <f>IFERROR(W5/Q5-1,"N/A")</f>
        <v>0.27109071655488881</v>
      </c>
      <c r="CT5" s="313">
        <f>IFERROR(X5/R5-1,"N/A")</f>
        <v>8.3217753120656823E-4</v>
      </c>
      <c r="CU5" s="575">
        <f>IFERROR(Y5/S5-1,"N/A")</f>
        <v>8.3217753120656823E-4</v>
      </c>
      <c r="CV5" s="313">
        <f t="shared" ref="CV5:EI5" si="6">IFERROR(Z5/U5-1,"N/A")</f>
        <v>3.3398274422489216E-3</v>
      </c>
      <c r="CW5" s="313">
        <f t="shared" si="6"/>
        <v>-2.780867630700623E-4</v>
      </c>
      <c r="CX5" s="313">
        <f t="shared" si="6"/>
        <v>-1.8642043876700987E-3</v>
      </c>
      <c r="CY5" s="313">
        <f t="shared" si="6"/>
        <v>-4.4345898004434225E-3</v>
      </c>
      <c r="CZ5" s="575">
        <f t="shared" si="6"/>
        <v>-4.4345898004434225E-3</v>
      </c>
      <c r="DA5" s="704">
        <f t="shared" si="6"/>
        <v>-1.5533980582524309E-2</v>
      </c>
      <c r="DB5" s="704">
        <f t="shared" si="6"/>
        <v>-9.5707927677329829E-3</v>
      </c>
      <c r="DC5" s="704">
        <f t="shared" si="6"/>
        <v>-7.1598901256354819E-2</v>
      </c>
      <c r="DD5" s="704">
        <f t="shared" si="6"/>
        <v>-7.1070991091313984E-2</v>
      </c>
      <c r="DE5" s="705">
        <f t="shared" si="6"/>
        <v>-7.1070991091313984E-2</v>
      </c>
      <c r="DF5" s="704">
        <f t="shared" si="6"/>
        <v>-4.6108264660608578E-2</v>
      </c>
      <c r="DG5" s="704">
        <f t="shared" si="6"/>
        <v>-4.7951001421139616E-2</v>
      </c>
      <c r="DH5" s="704">
        <f t="shared" si="6"/>
        <v>1.0674749920585924E-2</v>
      </c>
      <c r="DI5" s="704">
        <f t="shared" si="6"/>
        <v>1.2801220842188155E-2</v>
      </c>
      <c r="DJ5" s="705">
        <f t="shared" si="6"/>
        <v>1.2801220842188155E-2</v>
      </c>
      <c r="DK5" s="704">
        <f t="shared" si="6"/>
        <v>-1.0764512394574544E-2</v>
      </c>
      <c r="DL5" s="704">
        <f t="shared" si="6"/>
        <v>-1.1788690915149114E-2</v>
      </c>
      <c r="DM5" s="704">
        <f t="shared" si="6"/>
        <v>-1.0494991788139618E-2</v>
      </c>
      <c r="DN5" s="704">
        <f t="shared" si="6"/>
        <v>-1.3401384317519027E-2</v>
      </c>
      <c r="DO5" s="705">
        <f t="shared" si="6"/>
        <v>-1.3401384317519027E-2</v>
      </c>
      <c r="DP5" s="704">
        <f t="shared" si="6"/>
        <v>-6.7138062420123434E-3</v>
      </c>
      <c r="DQ5" s="704">
        <f t="shared" si="6"/>
        <v>-9.8113464384127491E-3</v>
      </c>
      <c r="DR5" s="704">
        <f t="shared" si="6"/>
        <v>-8.7397510342608342E-3</v>
      </c>
      <c r="DS5" s="704">
        <f t="shared" si="6"/>
        <v>-1.9536683844519898E-2</v>
      </c>
      <c r="DT5" s="705">
        <f t="shared" si="6"/>
        <v>-1.9536683844519898E-2</v>
      </c>
      <c r="DU5" s="704">
        <f t="shared" si="6"/>
        <v>-2.5744971495017532E-2</v>
      </c>
      <c r="DV5" s="704">
        <f t="shared" si="6"/>
        <v>-2.3327193302442373E-2</v>
      </c>
      <c r="DW5" s="704">
        <f t="shared" si="6"/>
        <v>-3.8542926239419573E-2</v>
      </c>
      <c r="DX5" s="704">
        <f t="shared" si="6"/>
        <v>-3.1851636586112009E-2</v>
      </c>
      <c r="DY5" s="705">
        <f t="shared" si="6"/>
        <v>-3.1851636586112009E-2</v>
      </c>
      <c r="DZ5" s="704">
        <f t="shared" si="6"/>
        <v>-2.5239778980294059E-2</v>
      </c>
      <c r="EA5" s="704">
        <f t="shared" si="6"/>
        <v>-2.7769023410840643E-2</v>
      </c>
      <c r="EB5" s="704">
        <f t="shared" si="6"/>
        <v>-9.9427762930357488E-3</v>
      </c>
      <c r="EC5" s="704">
        <f t="shared" si="6"/>
        <v>-2.1524691164933163E-2</v>
      </c>
      <c r="ED5" s="705">
        <f t="shared" si="6"/>
        <v>-2.1446963025735233E-2</v>
      </c>
      <c r="EE5" s="704">
        <f t="shared" si="6"/>
        <v>-2.3425134536245618E-2</v>
      </c>
      <c r="EF5" s="704">
        <f t="shared" si="6"/>
        <v>-5.6415375349518349E-2</v>
      </c>
      <c r="EG5" s="704">
        <f t="shared" si="6"/>
        <v>-7.0779836748148584E-2</v>
      </c>
      <c r="EH5" s="704">
        <f t="shared" si="6"/>
        <v>-1</v>
      </c>
      <c r="EI5" s="705">
        <f t="shared" si="6"/>
        <v>-4.2055214723926371E-2</v>
      </c>
      <c r="EJ5" s="705">
        <f>IFERROR(BN5/BM5-1,"N/A")</f>
        <v>-1.0112058461180684E-2</v>
      </c>
      <c r="EK5" s="705">
        <f>IFERROR(BO5/BN5-1,"N/A")</f>
        <v>-1.0215356745795989E-2</v>
      </c>
    </row>
    <row r="6" spans="2:141">
      <c r="B6" s="212" t="s">
        <v>110</v>
      </c>
      <c r="C6" s="671"/>
      <c r="D6" s="830"/>
      <c r="E6" s="671"/>
      <c r="F6" s="671"/>
      <c r="G6" s="671"/>
      <c r="H6" s="671"/>
      <c r="I6" s="830"/>
      <c r="J6" s="671"/>
      <c r="K6" s="671"/>
      <c r="L6" s="671"/>
      <c r="M6" s="671"/>
      <c r="N6" s="830"/>
      <c r="O6" s="671"/>
      <c r="P6" s="671"/>
      <c r="Q6" s="671"/>
      <c r="R6" s="671"/>
      <c r="S6" s="830"/>
      <c r="T6" s="671"/>
      <c r="U6" s="671"/>
      <c r="V6" s="671"/>
      <c r="W6" s="671"/>
      <c r="X6" s="671"/>
      <c r="Y6" s="830"/>
      <c r="Z6" s="671"/>
      <c r="AA6" s="671"/>
      <c r="AB6" s="671"/>
      <c r="AC6" s="671"/>
      <c r="AD6" s="830"/>
      <c r="AE6" s="671"/>
      <c r="AF6" s="671"/>
      <c r="AG6" s="671"/>
      <c r="AH6" s="671"/>
      <c r="AI6" s="830"/>
      <c r="AJ6" s="671">
        <v>2757.3467687194998</v>
      </c>
      <c r="AK6" s="671">
        <v>2750.4319999968998</v>
      </c>
      <c r="AL6" s="671">
        <v>2752.0309999999999</v>
      </c>
      <c r="AM6" s="671">
        <v>2736.864</v>
      </c>
      <c r="AN6" s="698">
        <f>AM6</f>
        <v>2736.864</v>
      </c>
      <c r="AO6" s="671">
        <v>2746.6619999999998</v>
      </c>
      <c r="AP6" s="671">
        <v>2748.2890000000002</v>
      </c>
      <c r="AQ6" s="671">
        <v>2742.261</v>
      </c>
      <c r="AR6" s="671">
        <v>2741.527</v>
      </c>
      <c r="AS6" s="698">
        <f>AR6</f>
        <v>2741.527</v>
      </c>
      <c r="AT6" s="671">
        <v>2738.8789999999999</v>
      </c>
      <c r="AU6" s="671">
        <v>2731.0949999999998</v>
      </c>
      <c r="AV6" s="671">
        <v>2725.4050000000002</v>
      </c>
      <c r="AW6" s="671">
        <v>2695.9059999999999</v>
      </c>
      <c r="AX6" s="698">
        <f>AW6</f>
        <v>2695.9059999999999</v>
      </c>
      <c r="AY6" s="671">
        <v>2701.2289999999998</v>
      </c>
      <c r="AZ6" s="671">
        <v>2701.4380000000001</v>
      </c>
      <c r="BA6" s="671">
        <v>2651.7</v>
      </c>
      <c r="BB6" s="671">
        <v>2640.4229999999998</v>
      </c>
      <c r="BC6" s="698">
        <f>BB6</f>
        <v>2640.4229999999998</v>
      </c>
      <c r="BD6" s="671">
        <v>2634</v>
      </c>
      <c r="BE6" s="671">
        <v>2629.3420000000001</v>
      </c>
      <c r="BF6" s="671">
        <v>2629.4160000000002</v>
      </c>
      <c r="BG6" s="671">
        <v>2672.7550000000001</v>
      </c>
      <c r="BH6" s="698"/>
      <c r="BI6" s="671">
        <v>2669</v>
      </c>
      <c r="BJ6" s="671">
        <v>2665</v>
      </c>
      <c r="BK6" s="671">
        <v>2656</v>
      </c>
      <c r="BL6" s="671"/>
      <c r="BM6" s="698"/>
      <c r="BN6" s="698"/>
      <c r="BO6" s="698"/>
      <c r="BP6" s="218"/>
      <c r="BQ6" s="657"/>
      <c r="BR6" s="659"/>
      <c r="BS6" s="657"/>
      <c r="BT6" s="659"/>
      <c r="BY6" s="218"/>
      <c r="BZ6" s="218"/>
      <c r="CA6" s="218"/>
      <c r="CB6" s="218"/>
      <c r="CC6" s="218"/>
      <c r="CG6" s="313"/>
      <c r="CH6" s="313"/>
      <c r="CI6" s="313"/>
      <c r="CJ6" s="313"/>
      <c r="CK6" s="575"/>
      <c r="CL6" s="313"/>
      <c r="CM6" s="313"/>
      <c r="CN6" s="313"/>
      <c r="CO6" s="313"/>
      <c r="CP6" s="575"/>
      <c r="CQ6" s="313"/>
      <c r="CR6" s="313"/>
      <c r="CS6" s="313"/>
      <c r="CT6" s="313"/>
      <c r="CU6" s="575"/>
      <c r="CV6" s="313"/>
      <c r="CW6" s="313"/>
      <c r="CX6" s="313"/>
      <c r="CY6" s="313"/>
      <c r="CZ6" s="575"/>
      <c r="DA6" s="704"/>
      <c r="DB6" s="704"/>
      <c r="DC6" s="704"/>
      <c r="DD6" s="704"/>
      <c r="DE6" s="705"/>
      <c r="DF6" s="704"/>
      <c r="DG6" s="704"/>
      <c r="DH6" s="704"/>
      <c r="DI6" s="704"/>
      <c r="DJ6" s="705"/>
      <c r="DK6" s="704"/>
      <c r="DL6" s="704"/>
      <c r="DM6" s="704"/>
      <c r="DN6" s="704"/>
      <c r="DO6" s="705"/>
      <c r="DP6" s="704"/>
      <c r="DQ6" s="704"/>
      <c r="DR6" s="704"/>
      <c r="DS6" s="704"/>
      <c r="DT6" s="705"/>
      <c r="DU6" s="704"/>
      <c r="DV6" s="704"/>
      <c r="DW6" s="704"/>
      <c r="DX6" s="704"/>
      <c r="DY6" s="705"/>
      <c r="DZ6" s="704"/>
      <c r="EA6" s="704"/>
      <c r="EB6" s="704"/>
      <c r="EC6" s="704"/>
      <c r="ED6" s="705"/>
      <c r="EE6" s="704"/>
      <c r="EF6" s="704"/>
      <c r="EG6" s="704"/>
      <c r="EH6" s="704"/>
      <c r="EI6" s="705"/>
      <c r="EJ6" s="705"/>
      <c r="EK6" s="705"/>
    </row>
    <row r="7" spans="2:141">
      <c r="B7" s="212" t="s">
        <v>111</v>
      </c>
      <c r="C7" s="671"/>
      <c r="D7" s="830"/>
      <c r="E7" s="671"/>
      <c r="F7" s="671"/>
      <c r="G7" s="671"/>
      <c r="H7" s="671"/>
      <c r="I7" s="830"/>
      <c r="J7" s="671"/>
      <c r="K7" s="671"/>
      <c r="L7" s="671"/>
      <c r="M7" s="671"/>
      <c r="N7" s="830"/>
      <c r="O7" s="671"/>
      <c r="P7" s="671"/>
      <c r="Q7" s="671"/>
      <c r="R7" s="671"/>
      <c r="S7" s="830"/>
      <c r="T7" s="671"/>
      <c r="U7" s="671"/>
      <c r="V7" s="671"/>
      <c r="W7" s="671"/>
      <c r="X7" s="671"/>
      <c r="Y7" s="830"/>
      <c r="Z7" s="671"/>
      <c r="AA7" s="671"/>
      <c r="AB7" s="671"/>
      <c r="AC7" s="671"/>
      <c r="AD7" s="830"/>
      <c r="AE7" s="671"/>
      <c r="AF7" s="671"/>
      <c r="AG7" s="671"/>
      <c r="AH7" s="671"/>
      <c r="AI7" s="830"/>
      <c r="AJ7" s="671">
        <v>628.01499999999999</v>
      </c>
      <c r="AK7" s="671">
        <v>639.42700000000002</v>
      </c>
      <c r="AL7" s="671">
        <v>620.53000000000009</v>
      </c>
      <c r="AM7" s="671">
        <v>642.56299999999999</v>
      </c>
      <c r="AN7" s="698">
        <f>AM7</f>
        <v>642.56299999999999</v>
      </c>
      <c r="AO7" s="671">
        <v>602.25800000000004</v>
      </c>
      <c r="AP7" s="671">
        <v>601.60799999999995</v>
      </c>
      <c r="AQ7" s="671">
        <v>594.90499999999997</v>
      </c>
      <c r="AR7" s="671">
        <v>592.61099999999999</v>
      </c>
      <c r="AS7" s="698">
        <f>AR7</f>
        <v>592.61099999999999</v>
      </c>
      <c r="AT7" s="671">
        <v>587.55700000000002</v>
      </c>
      <c r="AU7" s="671">
        <v>585.93499999999995</v>
      </c>
      <c r="AV7" s="671">
        <v>582.30399999999997</v>
      </c>
      <c r="AW7" s="671">
        <v>573.57500000000005</v>
      </c>
      <c r="AX7" s="698">
        <f>AW7</f>
        <v>573.57500000000005</v>
      </c>
      <c r="AY7" s="671">
        <v>539.56799999999998</v>
      </c>
      <c r="AZ7" s="671">
        <v>538.21500000000003</v>
      </c>
      <c r="BA7" s="671">
        <v>528.79999999999995</v>
      </c>
      <c r="BB7" s="671">
        <v>524.45399999999995</v>
      </c>
      <c r="BC7" s="698">
        <f>BB7</f>
        <v>524.45399999999995</v>
      </c>
      <c r="BD7" s="671">
        <v>525</v>
      </c>
      <c r="BE7" s="671">
        <v>520.34900000000005</v>
      </c>
      <c r="BF7" s="671">
        <v>519.46100000000001</v>
      </c>
      <c r="BG7" s="671">
        <v>423.99900000000002</v>
      </c>
      <c r="BH7" s="698"/>
      <c r="BI7" s="671">
        <v>416</v>
      </c>
      <c r="BJ7" s="671">
        <v>307</v>
      </c>
      <c r="BK7" s="671">
        <v>271</v>
      </c>
      <c r="BL7" s="671"/>
      <c r="BM7" s="698"/>
      <c r="BN7" s="698"/>
      <c r="BO7" s="698"/>
      <c r="BP7" s="218"/>
      <c r="BQ7" s="657"/>
      <c r="BR7" s="659"/>
      <c r="BS7" s="657"/>
      <c r="BT7" s="659"/>
      <c r="BY7" s="218"/>
      <c r="BZ7" s="218"/>
      <c r="CA7" s="218"/>
      <c r="CB7" s="218"/>
      <c r="CC7" s="218"/>
      <c r="CG7" s="313"/>
      <c r="CH7" s="313"/>
      <c r="CI7" s="313"/>
      <c r="CJ7" s="313"/>
      <c r="CK7" s="575"/>
      <c r="CL7" s="313"/>
      <c r="CM7" s="313"/>
      <c r="CN7" s="313"/>
      <c r="CO7" s="313"/>
      <c r="CP7" s="575"/>
      <c r="CQ7" s="313"/>
      <c r="CR7" s="313"/>
      <c r="CS7" s="313"/>
      <c r="CT7" s="313"/>
      <c r="CU7" s="575"/>
      <c r="CV7" s="313"/>
      <c r="CW7" s="313"/>
      <c r="CX7" s="313"/>
      <c r="CY7" s="313"/>
      <c r="CZ7" s="575"/>
      <c r="DA7" s="704"/>
      <c r="DB7" s="704"/>
      <c r="DC7" s="704"/>
      <c r="DD7" s="704"/>
      <c r="DE7" s="705"/>
      <c r="DF7" s="704"/>
      <c r="DG7" s="704"/>
      <c r="DH7" s="704"/>
      <c r="DI7" s="704"/>
      <c r="DJ7" s="705"/>
      <c r="DK7" s="704"/>
      <c r="DL7" s="704"/>
      <c r="DM7" s="704"/>
      <c r="DN7" s="704"/>
      <c r="DO7" s="705"/>
      <c r="DP7" s="704"/>
      <c r="DQ7" s="704"/>
      <c r="DR7" s="704"/>
      <c r="DS7" s="704"/>
      <c r="DT7" s="705"/>
      <c r="DU7" s="704"/>
      <c r="DV7" s="704"/>
      <c r="DW7" s="704"/>
      <c r="DX7" s="704"/>
      <c r="DY7" s="705"/>
      <c r="DZ7" s="704"/>
      <c r="EA7" s="704"/>
      <c r="EB7" s="704"/>
      <c r="EC7" s="704"/>
      <c r="ED7" s="705"/>
      <c r="EE7" s="704"/>
      <c r="EF7" s="704"/>
      <c r="EG7" s="704"/>
      <c r="EH7" s="704"/>
      <c r="EI7" s="705"/>
      <c r="EJ7" s="705"/>
      <c r="EK7" s="705"/>
    </row>
    <row r="8" spans="2:141">
      <c r="B8" s="212" t="s">
        <v>112</v>
      </c>
      <c r="C8" s="671"/>
      <c r="D8" s="830"/>
      <c r="E8" s="671"/>
      <c r="F8" s="671"/>
      <c r="G8" s="671"/>
      <c r="H8" s="671"/>
      <c r="I8" s="830"/>
      <c r="J8" s="671"/>
      <c r="K8" s="671"/>
      <c r="L8" s="671"/>
      <c r="M8" s="671"/>
      <c r="N8" s="830"/>
      <c r="O8" s="671"/>
      <c r="P8" s="671"/>
      <c r="Q8" s="671"/>
      <c r="R8" s="671"/>
      <c r="S8" s="830"/>
      <c r="T8" s="671"/>
      <c r="U8" s="671"/>
      <c r="V8" s="671"/>
      <c r="W8" s="671"/>
      <c r="X8" s="671"/>
      <c r="Y8" s="830"/>
      <c r="Z8" s="671"/>
      <c r="AA8" s="671"/>
      <c r="AB8" s="671"/>
      <c r="AC8" s="671"/>
      <c r="AD8" s="830"/>
      <c r="AE8" s="671"/>
      <c r="AF8" s="671"/>
      <c r="AG8" s="671"/>
      <c r="AH8" s="671"/>
      <c r="AI8" s="830"/>
      <c r="AJ8" s="671">
        <v>2494.4887687195001</v>
      </c>
      <c r="AK8" s="671">
        <v>2503.1599999969003</v>
      </c>
      <c r="AL8" s="671">
        <v>2502.5279999999998</v>
      </c>
      <c r="AM8" s="671">
        <v>2519.1480000000001</v>
      </c>
      <c r="AN8" s="698">
        <f>AM8</f>
        <v>2519.1480000000001</v>
      </c>
      <c r="AO8" s="671">
        <v>2499.4470000000001</v>
      </c>
      <c r="AP8" s="671">
        <v>2503.7139999999999</v>
      </c>
      <c r="AQ8" s="671">
        <v>2497.1750000000002</v>
      </c>
      <c r="AR8" s="671">
        <v>2495.578</v>
      </c>
      <c r="AS8" s="698">
        <f>AR8</f>
        <v>2495.578</v>
      </c>
      <c r="AT8" s="671">
        <v>2489.8760000000002</v>
      </c>
      <c r="AU8" s="671">
        <v>2484.7469999999998</v>
      </c>
      <c r="AV8" s="671">
        <v>2477.86</v>
      </c>
      <c r="AW8" s="671">
        <v>2458.9169999999999</v>
      </c>
      <c r="AX8" s="698">
        <f>AW8</f>
        <v>2458.9169999999999</v>
      </c>
      <c r="AY8" s="671">
        <v>2453.52</v>
      </c>
      <c r="AZ8" s="671">
        <v>2466.2660000000001</v>
      </c>
      <c r="BA8" s="671">
        <v>2417.777</v>
      </c>
      <c r="BB8" s="671">
        <v>2423.5949999999998</v>
      </c>
      <c r="BC8" s="698">
        <f>BB8</f>
        <v>2423.5949999999998</v>
      </c>
      <c r="BD8" s="671">
        <v>2415</v>
      </c>
      <c r="BE8" s="671">
        <v>2409.7199999999998</v>
      </c>
      <c r="BF8" s="671">
        <v>2413.4409999999998</v>
      </c>
      <c r="BG8" s="671">
        <v>2429.4090000000001</v>
      </c>
      <c r="BH8" s="698"/>
      <c r="BI8" s="671">
        <v>2431</v>
      </c>
      <c r="BJ8" s="671">
        <v>2506</v>
      </c>
      <c r="BK8" s="671">
        <v>2482</v>
      </c>
      <c r="BL8" s="671"/>
      <c r="BM8" s="698"/>
      <c r="BN8" s="698"/>
      <c r="BO8" s="698"/>
      <c r="BP8" s="218"/>
      <c r="BQ8" s="657"/>
      <c r="BR8" s="659"/>
      <c r="BS8" s="657"/>
      <c r="BT8" s="659"/>
      <c r="BY8" s="218"/>
      <c r="BZ8" s="218"/>
      <c r="CA8" s="218"/>
      <c r="CB8" s="218"/>
      <c r="CC8" s="218"/>
      <c r="CG8" s="313"/>
      <c r="CH8" s="313"/>
      <c r="CI8" s="313"/>
      <c r="CJ8" s="313"/>
      <c r="CK8" s="575"/>
      <c r="CL8" s="313"/>
      <c r="CM8" s="313"/>
      <c r="CN8" s="313"/>
      <c r="CO8" s="313"/>
      <c r="CP8" s="575"/>
      <c r="CQ8" s="313"/>
      <c r="CR8" s="313"/>
      <c r="CS8" s="313"/>
      <c r="CT8" s="313"/>
      <c r="CU8" s="575"/>
      <c r="CV8" s="313"/>
      <c r="CW8" s="313"/>
      <c r="CX8" s="313"/>
      <c r="CY8" s="313"/>
      <c r="CZ8" s="575"/>
      <c r="DA8" s="704"/>
      <c r="DB8" s="704"/>
      <c r="DC8" s="704"/>
      <c r="DD8" s="704"/>
      <c r="DE8" s="705"/>
      <c r="DF8" s="704"/>
      <c r="DG8" s="704"/>
      <c r="DH8" s="704"/>
      <c r="DI8" s="704"/>
      <c r="DJ8" s="705"/>
      <c r="DK8" s="704"/>
      <c r="DL8" s="704"/>
      <c r="DM8" s="704"/>
      <c r="DN8" s="704"/>
      <c r="DO8" s="705"/>
      <c r="DP8" s="704"/>
      <c r="DQ8" s="704"/>
      <c r="DR8" s="704"/>
      <c r="DS8" s="704"/>
      <c r="DT8" s="705"/>
      <c r="DU8" s="704"/>
      <c r="DV8" s="704"/>
      <c r="DW8" s="704"/>
      <c r="DX8" s="704"/>
      <c r="DY8" s="705"/>
      <c r="DZ8" s="704"/>
      <c r="EA8" s="704"/>
      <c r="EB8" s="704"/>
      <c r="EC8" s="704"/>
      <c r="ED8" s="705"/>
      <c r="EE8" s="704"/>
      <c r="EF8" s="704"/>
      <c r="EG8" s="704"/>
      <c r="EH8" s="704"/>
      <c r="EI8" s="705"/>
      <c r="EJ8" s="705"/>
      <c r="EK8" s="705"/>
    </row>
    <row r="9" spans="2:141">
      <c r="B9" s="212" t="s">
        <v>113</v>
      </c>
      <c r="C9" s="671">
        <f>+BZ9</f>
        <v>881</v>
      </c>
      <c r="D9" s="830"/>
      <c r="E9" s="671">
        <v>862</v>
      </c>
      <c r="F9" s="671">
        <v>866</v>
      </c>
      <c r="G9" s="671">
        <v>873</v>
      </c>
      <c r="H9" s="671">
        <v>891</v>
      </c>
      <c r="I9" s="830">
        <f>H9</f>
        <v>891</v>
      </c>
      <c r="J9" s="671">
        <v>901</v>
      </c>
      <c r="K9" s="671">
        <v>925</v>
      </c>
      <c r="L9" s="671">
        <v>932.47799999999995</v>
      </c>
      <c r="M9" s="671">
        <v>933.16899999999998</v>
      </c>
      <c r="N9" s="830">
        <f>M9</f>
        <v>933.16899999999998</v>
      </c>
      <c r="O9" s="671">
        <v>940</v>
      </c>
      <c r="P9" s="671">
        <v>955</v>
      </c>
      <c r="Q9" s="671">
        <v>1608</v>
      </c>
      <c r="R9" s="671">
        <v>2193</v>
      </c>
      <c r="S9" s="830">
        <f>R9</f>
        <v>2193</v>
      </c>
      <c r="T9" s="671"/>
      <c r="U9" s="671">
        <v>2196</v>
      </c>
      <c r="V9" s="671">
        <v>2218</v>
      </c>
      <c r="W9" s="671">
        <v>2243</v>
      </c>
      <c r="X9" s="671">
        <v>2282</v>
      </c>
      <c r="Y9" s="830">
        <f>X9</f>
        <v>2282</v>
      </c>
      <c r="Z9" s="671">
        <v>2293</v>
      </c>
      <c r="AA9" s="671">
        <v>2309</v>
      </c>
      <c r="AB9" s="671">
        <v>2314.8960000000002</v>
      </c>
      <c r="AC9" s="671">
        <v>2327</v>
      </c>
      <c r="AD9" s="830">
        <f>AC9</f>
        <v>2327</v>
      </c>
      <c r="AE9" s="671">
        <v>2314</v>
      </c>
      <c r="AF9" s="671">
        <v>2321.7159999999999</v>
      </c>
      <c r="AG9" s="671">
        <v>2286.5219999999999</v>
      </c>
      <c r="AH9" s="671">
        <v>2298.29</v>
      </c>
      <c r="AI9" s="830">
        <f>AH9</f>
        <v>2298.29</v>
      </c>
      <c r="AJ9" s="671">
        <v>2330.6107687194999</v>
      </c>
      <c r="AK9" s="671">
        <v>2339.7169999969001</v>
      </c>
      <c r="AL9" s="671">
        <v>2346.1750000000002</v>
      </c>
      <c r="AM9" s="671">
        <v>2350.4050000000002</v>
      </c>
      <c r="AN9" s="698">
        <f>AM9</f>
        <v>2350.4050000000002</v>
      </c>
      <c r="AO9" s="671">
        <v>2362.5639999999999</v>
      </c>
      <c r="AP9" s="671">
        <v>2368.556</v>
      </c>
      <c r="AQ9" s="671">
        <v>2365.625</v>
      </c>
      <c r="AR9" s="671">
        <v>2367.09</v>
      </c>
      <c r="AS9" s="698">
        <f>AR9</f>
        <v>2367.09</v>
      </c>
      <c r="AT9" s="671">
        <v>2365.7950000000001</v>
      </c>
      <c r="AU9" s="671">
        <v>2361.4679999999998</v>
      </c>
      <c r="AV9" s="671">
        <v>2354.672</v>
      </c>
      <c r="AW9" s="671">
        <v>2337.5970000000002</v>
      </c>
      <c r="AX9" s="698">
        <f>AW9</f>
        <v>2337.5970000000002</v>
      </c>
      <c r="AY9" s="671">
        <v>2335.047</v>
      </c>
      <c r="AZ9" s="671">
        <v>2336.989</v>
      </c>
      <c r="BA9" s="671">
        <v>2296.9659999999999</v>
      </c>
      <c r="BB9" s="671">
        <v>2305.1010000000001</v>
      </c>
      <c r="BC9" s="698">
        <f>BB9</f>
        <v>2305.1010000000001</v>
      </c>
      <c r="BD9" s="671">
        <v>2296</v>
      </c>
      <c r="BE9" s="671">
        <v>2291.4140000000002</v>
      </c>
      <c r="BF9" s="671">
        <v>2295.011</v>
      </c>
      <c r="BG9" s="671">
        <v>2358.9920000000002</v>
      </c>
      <c r="BH9" s="698">
        <f>Fixed!M38</f>
        <v>2359</v>
      </c>
      <c r="BI9" s="671">
        <v>2362</v>
      </c>
      <c r="BJ9" s="671">
        <v>2370</v>
      </c>
      <c r="BK9" s="671">
        <v>2375</v>
      </c>
      <c r="BL9" s="671"/>
      <c r="BM9" s="698">
        <f>Fixed!N38</f>
        <v>2379</v>
      </c>
      <c r="BN9" s="698">
        <f>Fixed!O38</f>
        <v>2389</v>
      </c>
      <c r="BO9" s="698">
        <f>Fixed!P38</f>
        <v>2399</v>
      </c>
      <c r="BP9" s="218"/>
      <c r="BQ9" s="657">
        <v>2372.0603673247697</v>
      </c>
      <c r="BR9" s="659">
        <f>$AR9/BQ9-1</f>
        <v>-2.0953797775287164E-3</v>
      </c>
      <c r="BS9" s="657">
        <v>2369</v>
      </c>
      <c r="BT9" s="659">
        <f>$AR9/BS9-1</f>
        <v>-8.0624736175594069E-4</v>
      </c>
      <c r="BY9" s="218">
        <v>789</v>
      </c>
      <c r="BZ9" s="218">
        <v>881</v>
      </c>
      <c r="CA9" s="218">
        <v>891</v>
      </c>
      <c r="CB9" s="218">
        <v>933.16899999999998</v>
      </c>
      <c r="CC9" s="218">
        <f>'Model also  old'!L19</f>
        <v>2193</v>
      </c>
      <c r="CG9" s="313">
        <f t="shared" ref="CG9:CP9" si="7">IFERROR(J9/E9-1,"N/A")</f>
        <v>4.5243619489559128E-2</v>
      </c>
      <c r="CH9" s="313">
        <f t="shared" si="7"/>
        <v>6.8129330254041554E-2</v>
      </c>
      <c r="CI9" s="313">
        <f t="shared" si="7"/>
        <v>6.813058419243978E-2</v>
      </c>
      <c r="CJ9" s="313">
        <f t="shared" si="7"/>
        <v>4.7327721661055033E-2</v>
      </c>
      <c r="CK9" s="575">
        <f t="shared" si="7"/>
        <v>4.7327721661055033E-2</v>
      </c>
      <c r="CL9" s="313">
        <f t="shared" si="7"/>
        <v>4.3285238623751443E-2</v>
      </c>
      <c r="CM9" s="313">
        <f t="shared" si="7"/>
        <v>3.2432432432432323E-2</v>
      </c>
      <c r="CN9" s="313">
        <f t="shared" si="7"/>
        <v>0.72443746662119657</v>
      </c>
      <c r="CO9" s="313">
        <f t="shared" si="7"/>
        <v>1.3500566349718004</v>
      </c>
      <c r="CP9" s="575">
        <f t="shared" si="7"/>
        <v>1.3500566349718004</v>
      </c>
      <c r="CQ9" s="313">
        <f>IFERROR(U9/O9-1,"N/A")</f>
        <v>1.3361702127659574</v>
      </c>
      <c r="CR9" s="313">
        <f>IFERROR(V9/P9-1,"N/A")</f>
        <v>1.3225130890052355</v>
      </c>
      <c r="CS9" s="313">
        <f>IFERROR(W9/Q9-1,"N/A")</f>
        <v>0.39490049751243772</v>
      </c>
      <c r="CT9" s="313">
        <f>IFERROR(X9/R9-1,"N/A")</f>
        <v>4.0583675330597258E-2</v>
      </c>
      <c r="CU9" s="575">
        <f>IFERROR(Y9/S9-1,"N/A")</f>
        <v>4.0583675330597258E-2</v>
      </c>
      <c r="CV9" s="313">
        <f t="shared" ref="CV9:EI9" si="8">IFERROR(Z9/U9-1,"N/A")</f>
        <v>4.4171220400728517E-2</v>
      </c>
      <c r="CW9" s="313">
        <f t="shared" si="8"/>
        <v>4.1027953110910786E-2</v>
      </c>
      <c r="CX9" s="313">
        <f t="shared" si="8"/>
        <v>3.2053499777084271E-2</v>
      </c>
      <c r="CY9" s="313">
        <f t="shared" si="8"/>
        <v>1.9719544259421573E-2</v>
      </c>
      <c r="CZ9" s="575">
        <f t="shared" si="8"/>
        <v>1.9719544259421573E-2</v>
      </c>
      <c r="DA9" s="704">
        <f t="shared" si="8"/>
        <v>9.1583078935892903E-3</v>
      </c>
      <c r="DB9" s="704">
        <f t="shared" si="8"/>
        <v>5.5071459506279563E-3</v>
      </c>
      <c r="DC9" s="704">
        <f t="shared" si="8"/>
        <v>-1.2257138117652056E-2</v>
      </c>
      <c r="DD9" s="704">
        <f t="shared" si="8"/>
        <v>-1.2337773957885712E-2</v>
      </c>
      <c r="DE9" s="705">
        <f t="shared" si="8"/>
        <v>-1.2337773957885712E-2</v>
      </c>
      <c r="DF9" s="704">
        <f t="shared" si="8"/>
        <v>7.1783788761883294E-3</v>
      </c>
      <c r="DG9" s="704">
        <f t="shared" si="8"/>
        <v>7.7533169418224634E-3</v>
      </c>
      <c r="DH9" s="704">
        <f t="shared" si="8"/>
        <v>2.6088968310823191E-2</v>
      </c>
      <c r="DI9" s="704">
        <f t="shared" si="8"/>
        <v>2.2675554433948752E-2</v>
      </c>
      <c r="DJ9" s="705">
        <f t="shared" si="8"/>
        <v>2.2675554433948752E-2</v>
      </c>
      <c r="DK9" s="704">
        <f t="shared" si="8"/>
        <v>1.3710239268333924E-2</v>
      </c>
      <c r="DL9" s="704">
        <f t="shared" si="8"/>
        <v>1.2325849666065647E-2</v>
      </c>
      <c r="DM9" s="704">
        <f t="shared" si="8"/>
        <v>8.2900891877204508E-3</v>
      </c>
      <c r="DN9" s="704">
        <f t="shared" si="8"/>
        <v>7.0987765938210767E-3</v>
      </c>
      <c r="DO9" s="705">
        <f t="shared" si="8"/>
        <v>7.0987765938210767E-3</v>
      </c>
      <c r="DP9" s="704">
        <f t="shared" si="8"/>
        <v>1.3675819998950622E-3</v>
      </c>
      <c r="DQ9" s="704">
        <f t="shared" si="8"/>
        <v>-2.9925406027977441E-3</v>
      </c>
      <c r="DR9" s="704">
        <f t="shared" si="8"/>
        <v>-4.6300660501981117E-3</v>
      </c>
      <c r="DS9" s="704">
        <f t="shared" si="8"/>
        <v>-1.2459602296490568E-2</v>
      </c>
      <c r="DT9" s="705">
        <f t="shared" si="8"/>
        <v>-1.2459602296490568E-2</v>
      </c>
      <c r="DU9" s="704">
        <f t="shared" si="8"/>
        <v>-1.2996899562303654E-2</v>
      </c>
      <c r="DV9" s="704">
        <f t="shared" si="8"/>
        <v>-1.0366009617746141E-2</v>
      </c>
      <c r="DW9" s="704">
        <f t="shared" si="8"/>
        <v>-2.4507022634150388E-2</v>
      </c>
      <c r="DX9" s="704">
        <f t="shared" si="8"/>
        <v>-1.3901455212339875E-2</v>
      </c>
      <c r="DY9" s="705">
        <f t="shared" si="8"/>
        <v>-1.3901455212339875E-2</v>
      </c>
      <c r="DZ9" s="704">
        <f t="shared" si="8"/>
        <v>-1.6722147348640082E-2</v>
      </c>
      <c r="EA9" s="704">
        <f t="shared" si="8"/>
        <v>-1.9501589438375544E-2</v>
      </c>
      <c r="EB9" s="704">
        <f t="shared" si="8"/>
        <v>-8.5112274191256887E-4</v>
      </c>
      <c r="EC9" s="704">
        <f t="shared" si="8"/>
        <v>2.3379018967064846E-2</v>
      </c>
      <c r="ED9" s="705">
        <f t="shared" si="8"/>
        <v>2.3382489530827444E-2</v>
      </c>
      <c r="EE9" s="704">
        <f t="shared" si="8"/>
        <v>2.8745644599303066E-2</v>
      </c>
      <c r="EF9" s="704">
        <f t="shared" si="8"/>
        <v>3.4295854001066495E-2</v>
      </c>
      <c r="EG9" s="704">
        <f t="shared" si="8"/>
        <v>3.4853427717775665E-2</v>
      </c>
      <c r="EH9" s="704">
        <f t="shared" si="8"/>
        <v>-1</v>
      </c>
      <c r="EI9" s="705">
        <f t="shared" si="8"/>
        <v>8.4781687155575103E-3</v>
      </c>
      <c r="EJ9" s="705">
        <f>IFERROR(BN9/BM9-1,"N/A")</f>
        <v>4.2034468263976166E-3</v>
      </c>
      <c r="EK9" s="705">
        <f>IFERROR(BO9/BN9-1,"N/A")</f>
        <v>4.1858518208455209E-3</v>
      </c>
    </row>
    <row r="10" spans="2:141">
      <c r="B10" s="925" t="s">
        <v>1653</v>
      </c>
      <c r="C10" s="671"/>
      <c r="D10" s="830"/>
      <c r="E10" s="671"/>
      <c r="F10" s="671"/>
      <c r="G10" s="671"/>
      <c r="H10" s="671"/>
      <c r="I10" s="830"/>
      <c r="J10" s="671"/>
      <c r="K10" s="671"/>
      <c r="L10" s="671"/>
      <c r="M10" s="671"/>
      <c r="N10" s="830"/>
      <c r="O10" s="671"/>
      <c r="P10" s="671"/>
      <c r="Q10" s="671"/>
      <c r="R10" s="671"/>
      <c r="S10" s="830"/>
      <c r="T10" s="671"/>
      <c r="U10" s="671"/>
      <c r="V10" s="671"/>
      <c r="W10" s="671"/>
      <c r="X10" s="671"/>
      <c r="Y10" s="830"/>
      <c r="Z10" s="671"/>
      <c r="AA10" s="671"/>
      <c r="AB10" s="671"/>
      <c r="AC10" s="671"/>
      <c r="AD10" s="830"/>
      <c r="AE10" s="671"/>
      <c r="AF10" s="671"/>
      <c r="AG10" s="671"/>
      <c r="AH10" s="671"/>
      <c r="AI10" s="830"/>
      <c r="AJ10" s="671"/>
      <c r="AK10" s="671"/>
      <c r="AL10" s="671"/>
      <c r="AM10" s="671"/>
      <c r="AN10" s="698"/>
      <c r="AO10" s="671"/>
      <c r="AP10" s="671"/>
      <c r="AQ10" s="671"/>
      <c r="AR10" s="671"/>
      <c r="AS10" s="698"/>
      <c r="AT10" s="671"/>
      <c r="AU10" s="671"/>
      <c r="AV10" s="671"/>
      <c r="AW10" s="671"/>
      <c r="AX10" s="698"/>
      <c r="AY10" s="671"/>
      <c r="AZ10" s="671"/>
      <c r="BA10" s="671"/>
      <c r="BB10" s="671"/>
      <c r="BC10" s="698"/>
      <c r="BD10" s="671">
        <v>67.382000000000005</v>
      </c>
      <c r="BE10" s="671">
        <v>72.260000000000005</v>
      </c>
      <c r="BF10" s="671">
        <v>78.117000000000004</v>
      </c>
      <c r="BG10" s="671">
        <v>101.298</v>
      </c>
      <c r="BH10" s="698"/>
      <c r="BI10" s="671">
        <v>134</v>
      </c>
      <c r="BJ10" s="671">
        <v>145</v>
      </c>
      <c r="BK10" s="671">
        <v>157</v>
      </c>
      <c r="BL10" s="671"/>
      <c r="BM10" s="698">
        <f>Fixed!N302</f>
        <v>180</v>
      </c>
      <c r="BN10" s="698">
        <f>Fixed!O302</f>
        <v>260</v>
      </c>
      <c r="BO10" s="698">
        <f>Fixed!P302</f>
        <v>340</v>
      </c>
      <c r="BP10" s="218"/>
      <c r="BQ10" s="657"/>
      <c r="BR10" s="659"/>
      <c r="BS10" s="657"/>
      <c r="BT10" s="659"/>
      <c r="BY10" s="218"/>
      <c r="BZ10" s="218"/>
      <c r="CA10" s="218"/>
      <c r="CB10" s="218"/>
      <c r="CC10" s="218"/>
      <c r="CG10" s="313"/>
      <c r="CH10" s="313"/>
      <c r="CI10" s="313"/>
      <c r="CJ10" s="313"/>
      <c r="CK10" s="575"/>
      <c r="CL10" s="313"/>
      <c r="CM10" s="313"/>
      <c r="CN10" s="313"/>
      <c r="CO10" s="313"/>
      <c r="CP10" s="575"/>
      <c r="CQ10" s="313"/>
      <c r="CR10" s="313"/>
      <c r="CS10" s="313"/>
      <c r="CT10" s="313"/>
      <c r="CU10" s="575"/>
      <c r="CV10" s="313"/>
      <c r="CW10" s="313"/>
      <c r="CX10" s="313"/>
      <c r="CY10" s="313"/>
      <c r="CZ10" s="575"/>
      <c r="DA10" s="704"/>
      <c r="DB10" s="704"/>
      <c r="DC10" s="704"/>
      <c r="DD10" s="704"/>
      <c r="DE10" s="705"/>
      <c r="DF10" s="704"/>
      <c r="DG10" s="704"/>
      <c r="DH10" s="704"/>
      <c r="DI10" s="704"/>
      <c r="DJ10" s="705"/>
      <c r="DK10" s="704"/>
      <c r="DL10" s="704"/>
      <c r="DM10" s="704"/>
      <c r="DN10" s="704"/>
      <c r="DO10" s="705"/>
      <c r="DP10" s="704"/>
      <c r="DQ10" s="704"/>
      <c r="DR10" s="704"/>
      <c r="DS10" s="704"/>
      <c r="DT10" s="705"/>
      <c r="DU10" s="704"/>
      <c r="DV10" s="704"/>
      <c r="DW10" s="704"/>
      <c r="DX10" s="704"/>
      <c r="DY10" s="705"/>
      <c r="DZ10" s="704"/>
      <c r="EA10" s="704"/>
      <c r="EB10" s="704"/>
      <c r="EC10" s="704"/>
      <c r="ED10" s="705"/>
      <c r="EE10" s="704"/>
      <c r="EF10" s="704"/>
      <c r="EG10" s="704"/>
      <c r="EH10" s="704"/>
      <c r="EI10" s="705"/>
      <c r="EJ10" s="705"/>
      <c r="EK10" s="705"/>
    </row>
    <row r="11" spans="2:141">
      <c r="B11" s="925" t="s">
        <v>1654</v>
      </c>
      <c r="C11" s="671"/>
      <c r="D11" s="830"/>
      <c r="E11" s="671"/>
      <c r="F11" s="671"/>
      <c r="G11" s="671"/>
      <c r="H11" s="671"/>
      <c r="I11" s="830"/>
      <c r="J11" s="671"/>
      <c r="K11" s="671"/>
      <c r="L11" s="671"/>
      <c r="M11" s="671"/>
      <c r="N11" s="830"/>
      <c r="O11" s="671"/>
      <c r="P11" s="671"/>
      <c r="Q11" s="671"/>
      <c r="R11" s="671"/>
      <c r="S11" s="830"/>
      <c r="T11" s="671"/>
      <c r="U11" s="671"/>
      <c r="V11" s="671"/>
      <c r="W11" s="671"/>
      <c r="X11" s="671"/>
      <c r="Y11" s="830"/>
      <c r="Z11" s="671"/>
      <c r="AA11" s="671"/>
      <c r="AB11" s="671"/>
      <c r="AC11" s="671"/>
      <c r="AD11" s="830"/>
      <c r="AE11" s="671"/>
      <c r="AF11" s="671"/>
      <c r="AG11" s="671"/>
      <c r="AH11" s="671"/>
      <c r="AI11" s="830"/>
      <c r="AJ11" s="671"/>
      <c r="AK11" s="671"/>
      <c r="AL11" s="671"/>
      <c r="AM11" s="671"/>
      <c r="AN11" s="698"/>
      <c r="AO11" s="671"/>
      <c r="AP11" s="671"/>
      <c r="AQ11" s="671"/>
      <c r="AR11" s="671"/>
      <c r="AS11" s="698"/>
      <c r="AT11" s="671"/>
      <c r="AU11" s="671"/>
      <c r="AV11" s="671"/>
      <c r="AW11" s="671"/>
      <c r="AX11" s="698"/>
      <c r="AY11" s="671"/>
      <c r="AZ11" s="671"/>
      <c r="BA11" s="671"/>
      <c r="BB11" s="671"/>
      <c r="BC11" s="698"/>
      <c r="BD11" s="671">
        <v>328.613</v>
      </c>
      <c r="BE11" s="671">
        <v>330.22</v>
      </c>
      <c r="BF11" s="671">
        <v>348.03699999999998</v>
      </c>
      <c r="BG11" s="671">
        <v>383.87200000000001</v>
      </c>
      <c r="BH11" s="698"/>
      <c r="BI11" s="671">
        <v>366</v>
      </c>
      <c r="BJ11" s="671">
        <v>370</v>
      </c>
      <c r="BK11" s="671">
        <v>374</v>
      </c>
      <c r="BL11" s="671"/>
      <c r="BM11" s="698"/>
      <c r="BN11" s="698"/>
      <c r="BO11" s="698"/>
      <c r="BP11" s="218"/>
      <c r="BQ11" s="657"/>
      <c r="BR11" s="659"/>
      <c r="BS11" s="657"/>
      <c r="BT11" s="659"/>
      <c r="BY11" s="218"/>
      <c r="BZ11" s="218"/>
      <c r="CA11" s="218"/>
      <c r="CB11" s="218"/>
      <c r="CC11" s="218"/>
      <c r="CG11" s="313"/>
      <c r="CH11" s="313"/>
      <c r="CI11" s="313"/>
      <c r="CJ11" s="313"/>
      <c r="CK11" s="575"/>
      <c r="CL11" s="313"/>
      <c r="CM11" s="313"/>
      <c r="CN11" s="313"/>
      <c r="CO11" s="313"/>
      <c r="CP11" s="575"/>
      <c r="CQ11" s="313"/>
      <c r="CR11" s="313"/>
      <c r="CS11" s="313"/>
      <c r="CT11" s="313"/>
      <c r="CU11" s="575"/>
      <c r="CV11" s="313"/>
      <c r="CW11" s="313"/>
      <c r="CX11" s="313"/>
      <c r="CY11" s="313"/>
      <c r="CZ11" s="575"/>
      <c r="DA11" s="704"/>
      <c r="DB11" s="704"/>
      <c r="DC11" s="704"/>
      <c r="DD11" s="704"/>
      <c r="DE11" s="705"/>
      <c r="DF11" s="704"/>
      <c r="DG11" s="704"/>
      <c r="DH11" s="704"/>
      <c r="DI11" s="704"/>
      <c r="DJ11" s="705"/>
      <c r="DK11" s="704"/>
      <c r="DL11" s="704"/>
      <c r="DM11" s="704"/>
      <c r="DN11" s="704"/>
      <c r="DO11" s="705"/>
      <c r="DP11" s="704"/>
      <c r="DQ11" s="704"/>
      <c r="DR11" s="704"/>
      <c r="DS11" s="704"/>
      <c r="DT11" s="705"/>
      <c r="DU11" s="704"/>
      <c r="DV11" s="704"/>
      <c r="DW11" s="704"/>
      <c r="DX11" s="704"/>
      <c r="DY11" s="705"/>
      <c r="DZ11" s="704"/>
      <c r="EA11" s="704"/>
      <c r="EB11" s="704"/>
      <c r="EC11" s="704"/>
      <c r="ED11" s="705"/>
      <c r="EE11" s="704"/>
      <c r="EF11" s="704"/>
      <c r="EG11" s="704"/>
      <c r="EH11" s="704"/>
      <c r="EI11" s="705"/>
      <c r="EJ11" s="705"/>
      <c r="EK11" s="705"/>
    </row>
    <row r="12" spans="2:141">
      <c r="B12" s="925" t="s">
        <v>1655</v>
      </c>
      <c r="C12" s="671"/>
      <c r="D12" s="830"/>
      <c r="E12" s="671"/>
      <c r="F12" s="671"/>
      <c r="G12" s="671"/>
      <c r="H12" s="671"/>
      <c r="I12" s="830"/>
      <c r="J12" s="671"/>
      <c r="K12" s="671"/>
      <c r="L12" s="671"/>
      <c r="M12" s="671"/>
      <c r="N12" s="830"/>
      <c r="O12" s="671"/>
      <c r="P12" s="671"/>
      <c r="Q12" s="671"/>
      <c r="R12" s="671"/>
      <c r="S12" s="830"/>
      <c r="T12" s="671"/>
      <c r="U12" s="671"/>
      <c r="V12" s="671"/>
      <c r="W12" s="671"/>
      <c r="X12" s="671"/>
      <c r="Y12" s="830"/>
      <c r="Z12" s="671"/>
      <c r="AA12" s="671"/>
      <c r="AB12" s="671"/>
      <c r="AC12" s="671"/>
      <c r="AD12" s="830"/>
      <c r="AE12" s="671"/>
      <c r="AF12" s="671"/>
      <c r="AG12" s="671"/>
      <c r="AH12" s="671"/>
      <c r="AI12" s="830"/>
      <c r="AJ12" s="671"/>
      <c r="AK12" s="671"/>
      <c r="AL12" s="671"/>
      <c r="AM12" s="671"/>
      <c r="AN12" s="698"/>
      <c r="AO12" s="671"/>
      <c r="AP12" s="671"/>
      <c r="AQ12" s="671"/>
      <c r="AR12" s="671"/>
      <c r="AS12" s="698"/>
      <c r="AT12" s="671"/>
      <c r="AU12" s="671"/>
      <c r="AV12" s="671"/>
      <c r="AW12" s="671"/>
      <c r="AX12" s="698"/>
      <c r="AY12" s="671"/>
      <c r="AZ12" s="671"/>
      <c r="BA12" s="671"/>
      <c r="BB12" s="671"/>
      <c r="BC12" s="698"/>
      <c r="BD12" s="671">
        <v>1900.174</v>
      </c>
      <c r="BE12" s="671">
        <v>1888.934</v>
      </c>
      <c r="BF12" s="671">
        <v>1868.857</v>
      </c>
      <c r="BG12" s="671">
        <v>1873.8219999999999</v>
      </c>
      <c r="BH12" s="698"/>
      <c r="BI12" s="671">
        <v>1863</v>
      </c>
      <c r="BJ12" s="671">
        <v>1856</v>
      </c>
      <c r="BK12" s="671">
        <v>1844</v>
      </c>
      <c r="BL12" s="671"/>
      <c r="BM12" s="698"/>
      <c r="BN12" s="698"/>
      <c r="BO12" s="698"/>
      <c r="BP12" s="218"/>
      <c r="BQ12" s="657"/>
      <c r="BR12" s="659"/>
      <c r="BS12" s="657"/>
      <c r="BT12" s="659"/>
      <c r="BY12" s="218"/>
      <c r="BZ12" s="218"/>
      <c r="CA12" s="218"/>
      <c r="CB12" s="218"/>
      <c r="CC12" s="218"/>
      <c r="CG12" s="313"/>
      <c r="CH12" s="313"/>
      <c r="CI12" s="313"/>
      <c r="CJ12" s="313"/>
      <c r="CK12" s="575"/>
      <c r="CL12" s="313"/>
      <c r="CM12" s="313"/>
      <c r="CN12" s="313"/>
      <c r="CO12" s="313"/>
      <c r="CP12" s="575"/>
      <c r="CQ12" s="313"/>
      <c r="CR12" s="313"/>
      <c r="CS12" s="313"/>
      <c r="CT12" s="313"/>
      <c r="CU12" s="575"/>
      <c r="CV12" s="313"/>
      <c r="CW12" s="313"/>
      <c r="CX12" s="313"/>
      <c r="CY12" s="313"/>
      <c r="CZ12" s="575"/>
      <c r="DA12" s="704"/>
      <c r="DB12" s="704"/>
      <c r="DC12" s="704"/>
      <c r="DD12" s="704"/>
      <c r="DE12" s="705"/>
      <c r="DF12" s="704"/>
      <c r="DG12" s="704"/>
      <c r="DH12" s="704"/>
      <c r="DI12" s="704"/>
      <c r="DJ12" s="705"/>
      <c r="DK12" s="704"/>
      <c r="DL12" s="704"/>
      <c r="DM12" s="704"/>
      <c r="DN12" s="704"/>
      <c r="DO12" s="705"/>
      <c r="DP12" s="704"/>
      <c r="DQ12" s="704"/>
      <c r="DR12" s="704"/>
      <c r="DS12" s="704"/>
      <c r="DT12" s="705"/>
      <c r="DU12" s="704"/>
      <c r="DV12" s="704"/>
      <c r="DW12" s="704"/>
      <c r="DX12" s="704"/>
      <c r="DY12" s="705"/>
      <c r="DZ12" s="704"/>
      <c r="EA12" s="704"/>
      <c r="EB12" s="704"/>
      <c r="EC12" s="704"/>
      <c r="ED12" s="705"/>
      <c r="EE12" s="704"/>
      <c r="EF12" s="704"/>
      <c r="EG12" s="704"/>
      <c r="EH12" s="704"/>
      <c r="EI12" s="705"/>
      <c r="EJ12" s="705"/>
      <c r="EK12" s="705"/>
    </row>
    <row r="13" spans="2:141">
      <c r="B13" s="925" t="s">
        <v>1656</v>
      </c>
      <c r="C13" s="671"/>
      <c r="D13" s="830"/>
      <c r="E13" s="671"/>
      <c r="F13" s="671"/>
      <c r="G13" s="671"/>
      <c r="H13" s="671"/>
      <c r="I13" s="830"/>
      <c r="J13" s="671"/>
      <c r="K13" s="671"/>
      <c r="L13" s="671"/>
      <c r="M13" s="671"/>
      <c r="N13" s="830"/>
      <c r="O13" s="671"/>
      <c r="P13" s="671"/>
      <c r="Q13" s="671"/>
      <c r="R13" s="671"/>
      <c r="S13" s="830"/>
      <c r="T13" s="671"/>
      <c r="U13" s="671"/>
      <c r="V13" s="671"/>
      <c r="W13" s="671"/>
      <c r="X13" s="671"/>
      <c r="Y13" s="830"/>
      <c r="Z13" s="671"/>
      <c r="AA13" s="671"/>
      <c r="AB13" s="671"/>
      <c r="AC13" s="671"/>
      <c r="AD13" s="830"/>
      <c r="AE13" s="671"/>
      <c r="AF13" s="671"/>
      <c r="AG13" s="671"/>
      <c r="AH13" s="671"/>
      <c r="AI13" s="830"/>
      <c r="AJ13" s="671"/>
      <c r="AK13" s="671"/>
      <c r="AL13" s="671"/>
      <c r="AM13" s="671"/>
      <c r="AN13" s="698"/>
      <c r="AO13" s="671"/>
      <c r="AP13" s="671"/>
      <c r="AQ13" s="671"/>
      <c r="AR13" s="671"/>
      <c r="AS13" s="698"/>
      <c r="AT13" s="671"/>
      <c r="AU13" s="671"/>
      <c r="AV13" s="671"/>
      <c r="AW13" s="671"/>
      <c r="AX13" s="698"/>
      <c r="AY13" s="671"/>
      <c r="AZ13" s="671"/>
      <c r="BA13" s="671"/>
      <c r="BB13" s="671"/>
      <c r="BC13" s="698"/>
      <c r="BD13" s="671">
        <v>1300.9490000000001</v>
      </c>
      <c r="BE13" s="671">
        <v>1417.796</v>
      </c>
      <c r="BF13" s="671">
        <v>1617.7429999999999</v>
      </c>
      <c r="BG13" s="671">
        <v>1701.4839999999999</v>
      </c>
      <c r="BH13" s="698"/>
      <c r="BI13" s="671">
        <v>1729</v>
      </c>
      <c r="BJ13" s="671">
        <v>1760</v>
      </c>
      <c r="BK13" s="671">
        <v>1787</v>
      </c>
      <c r="BL13" s="671"/>
      <c r="BM13" s="698"/>
      <c r="BN13" s="698"/>
      <c r="BO13" s="698"/>
      <c r="BP13" s="218"/>
      <c r="BQ13" s="657"/>
      <c r="BR13" s="659"/>
      <c r="BS13" s="657"/>
      <c r="BT13" s="659"/>
      <c r="BY13" s="218"/>
      <c r="BZ13" s="218"/>
      <c r="CA13" s="218"/>
      <c r="CB13" s="218"/>
      <c r="CC13" s="218"/>
      <c r="CG13" s="313"/>
      <c r="CH13" s="313"/>
      <c r="CI13" s="313"/>
      <c r="CJ13" s="313"/>
      <c r="CK13" s="575"/>
      <c r="CL13" s="313"/>
      <c r="CM13" s="313"/>
      <c r="CN13" s="313"/>
      <c r="CO13" s="313"/>
      <c r="CP13" s="575"/>
      <c r="CQ13" s="313"/>
      <c r="CR13" s="313"/>
      <c r="CS13" s="313"/>
      <c r="CT13" s="313"/>
      <c r="CU13" s="575"/>
      <c r="CV13" s="313"/>
      <c r="CW13" s="313"/>
      <c r="CX13" s="313"/>
      <c r="CY13" s="313"/>
      <c r="CZ13" s="575"/>
      <c r="DA13" s="704"/>
      <c r="DB13" s="704"/>
      <c r="DC13" s="704"/>
      <c r="DD13" s="704"/>
      <c r="DE13" s="705"/>
      <c r="DF13" s="704"/>
      <c r="DG13" s="704"/>
      <c r="DH13" s="704"/>
      <c r="DI13" s="704"/>
      <c r="DJ13" s="705"/>
      <c r="DK13" s="704"/>
      <c r="DL13" s="704"/>
      <c r="DM13" s="704"/>
      <c r="DN13" s="704"/>
      <c r="DO13" s="705"/>
      <c r="DP13" s="704"/>
      <c r="DQ13" s="704"/>
      <c r="DR13" s="704"/>
      <c r="DS13" s="704"/>
      <c r="DT13" s="705"/>
      <c r="DU13" s="704"/>
      <c r="DV13" s="704"/>
      <c r="DW13" s="704"/>
      <c r="DX13" s="704"/>
      <c r="DY13" s="705"/>
      <c r="DZ13" s="704"/>
      <c r="EA13" s="704"/>
      <c r="EB13" s="704"/>
      <c r="EC13" s="704"/>
      <c r="ED13" s="705"/>
      <c r="EE13" s="704"/>
      <c r="EF13" s="704"/>
      <c r="EG13" s="704"/>
      <c r="EH13" s="704"/>
      <c r="EI13" s="705"/>
      <c r="EJ13" s="705"/>
      <c r="EK13" s="705"/>
    </row>
    <row r="14" spans="2:141">
      <c r="C14" s="671"/>
      <c r="D14" s="830"/>
      <c r="E14" s="671"/>
      <c r="F14" s="671"/>
      <c r="G14" s="671"/>
      <c r="H14" s="671"/>
      <c r="I14" s="830"/>
      <c r="J14" s="671"/>
      <c r="K14" s="671"/>
      <c r="L14" s="671"/>
      <c r="M14" s="671"/>
      <c r="N14" s="830"/>
      <c r="O14" s="671"/>
      <c r="P14" s="671"/>
      <c r="Q14" s="671"/>
      <c r="R14" s="671"/>
      <c r="S14" s="830"/>
      <c r="T14" s="671"/>
      <c r="U14" s="671"/>
      <c r="V14" s="671"/>
      <c r="W14" s="671"/>
      <c r="X14" s="671"/>
      <c r="Y14" s="830"/>
      <c r="Z14" s="671"/>
      <c r="AA14" s="671"/>
      <c r="AB14" s="671"/>
      <c r="AC14" s="671"/>
      <c r="AD14" s="830"/>
      <c r="AE14" s="671"/>
      <c r="AF14" s="671"/>
      <c r="AG14" s="671"/>
      <c r="AH14" s="671"/>
      <c r="AI14" s="830"/>
      <c r="AJ14" s="671"/>
      <c r="AK14" s="671"/>
      <c r="AL14" s="671"/>
      <c r="AM14" s="671"/>
      <c r="AN14" s="698"/>
      <c r="AO14" s="671"/>
      <c r="AP14" s="671"/>
      <c r="AQ14" s="671"/>
      <c r="AR14" s="671"/>
      <c r="AS14" s="698"/>
      <c r="AT14" s="671"/>
      <c r="AU14" s="671"/>
      <c r="AV14" s="671"/>
      <c r="AW14" s="671"/>
      <c r="AX14" s="698"/>
      <c r="AY14" s="671"/>
      <c r="AZ14" s="671"/>
      <c r="BA14" s="671"/>
      <c r="BB14" s="671"/>
      <c r="BC14" s="698"/>
      <c r="BD14" s="671"/>
      <c r="BE14" s="671"/>
      <c r="BF14" s="671"/>
      <c r="BG14" s="671"/>
      <c r="BH14" s="698"/>
      <c r="BI14" s="671"/>
      <c r="BJ14" s="671"/>
      <c r="BK14" s="671"/>
      <c r="BL14" s="671"/>
      <c r="BM14" s="698"/>
      <c r="BN14" s="698"/>
      <c r="BO14" s="698"/>
      <c r="BP14" s="218"/>
      <c r="BQ14" s="657"/>
      <c r="BR14" s="659"/>
      <c r="BS14" s="657"/>
      <c r="BT14" s="659"/>
      <c r="BY14" s="218"/>
      <c r="BZ14" s="218"/>
      <c r="CA14" s="218"/>
      <c r="CB14" s="218"/>
      <c r="CC14" s="218"/>
      <c r="CG14" s="313"/>
      <c r="CH14" s="313"/>
      <c r="CI14" s="313"/>
      <c r="CJ14" s="313"/>
      <c r="CK14" s="575"/>
      <c r="CL14" s="313"/>
      <c r="CM14" s="313"/>
      <c r="CN14" s="313"/>
      <c r="CO14" s="313"/>
      <c r="CP14" s="575"/>
      <c r="CQ14" s="313"/>
      <c r="CR14" s="313"/>
      <c r="CS14" s="313"/>
      <c r="CT14" s="313"/>
      <c r="CU14" s="575"/>
      <c r="CV14" s="313"/>
      <c r="CW14" s="313"/>
      <c r="CX14" s="313"/>
      <c r="CY14" s="313"/>
      <c r="CZ14" s="575"/>
      <c r="DA14" s="704"/>
      <c r="DB14" s="704"/>
      <c r="DC14" s="704"/>
      <c r="DD14" s="704"/>
      <c r="DE14" s="705"/>
      <c r="DF14" s="704"/>
      <c r="DG14" s="704"/>
      <c r="DH14" s="704"/>
      <c r="DI14" s="704"/>
      <c r="DJ14" s="705"/>
      <c r="DK14" s="704"/>
      <c r="DL14" s="704"/>
      <c r="DM14" s="704"/>
      <c r="DN14" s="704"/>
      <c r="DO14" s="705"/>
      <c r="DP14" s="704"/>
      <c r="DQ14" s="704"/>
      <c r="DR14" s="704"/>
      <c r="DS14" s="704"/>
      <c r="DT14" s="705"/>
      <c r="DU14" s="704"/>
      <c r="DV14" s="704"/>
      <c r="DW14" s="704"/>
      <c r="DX14" s="704"/>
      <c r="DY14" s="705"/>
      <c r="DZ14" s="704"/>
      <c r="EA14" s="704"/>
      <c r="EB14" s="704"/>
      <c r="EC14" s="704"/>
      <c r="ED14" s="705"/>
      <c r="EE14" s="704"/>
      <c r="EF14" s="704"/>
      <c r="EG14" s="704"/>
      <c r="EH14" s="704"/>
      <c r="EI14" s="705"/>
      <c r="EJ14" s="705"/>
      <c r="EK14" s="705"/>
    </row>
    <row r="15" spans="2:141">
      <c r="B15" s="212" t="s">
        <v>34</v>
      </c>
      <c r="C15" s="671">
        <f>+BZ15</f>
        <v>1353</v>
      </c>
      <c r="D15" s="830"/>
      <c r="E15" s="671">
        <v>1321</v>
      </c>
      <c r="F15" s="671">
        <v>1299</v>
      </c>
      <c r="G15" s="671">
        <v>1303</v>
      </c>
      <c r="H15" s="671">
        <v>1302</v>
      </c>
      <c r="I15" s="830">
        <f>H15</f>
        <v>1302</v>
      </c>
      <c r="J15" s="671">
        <v>1272</v>
      </c>
      <c r="K15" s="671">
        <v>1274</v>
      </c>
      <c r="L15" s="671">
        <v>1290.8</v>
      </c>
      <c r="M15" s="671">
        <v>1282.3218599999998</v>
      </c>
      <c r="N15" s="830">
        <f>M15</f>
        <v>1282.3218599999998</v>
      </c>
      <c r="O15" s="671">
        <v>1258</v>
      </c>
      <c r="P15" s="671">
        <v>1225</v>
      </c>
      <c r="Q15" s="671">
        <v>1872</v>
      </c>
      <c r="R15" s="671">
        <v>2435</v>
      </c>
      <c r="S15" s="830">
        <f>R15</f>
        <v>2435</v>
      </c>
      <c r="T15" s="671"/>
      <c r="U15" s="671">
        <v>2426</v>
      </c>
      <c r="V15" s="671">
        <v>2419</v>
      </c>
      <c r="W15" s="671">
        <v>2417</v>
      </c>
      <c r="X15" s="671">
        <v>2416</v>
      </c>
      <c r="Y15" s="830">
        <f>X15</f>
        <v>2416</v>
      </c>
      <c r="Z15" s="671">
        <v>2389</v>
      </c>
      <c r="AA15" s="671">
        <v>2387</v>
      </c>
      <c r="AB15" s="671">
        <v>2379.5210000000002</v>
      </c>
      <c r="AC15" s="671">
        <v>2373</v>
      </c>
      <c r="AD15" s="830">
        <f>AC15</f>
        <v>2373</v>
      </c>
      <c r="AE15" s="671">
        <v>2325</v>
      </c>
      <c r="AF15" s="671">
        <v>2327.1480000000001</v>
      </c>
      <c r="AG15" s="671">
        <v>2304.98</v>
      </c>
      <c r="AH15" s="671">
        <v>2292.0929999999998</v>
      </c>
      <c r="AI15" s="830">
        <f>AH15</f>
        <v>2292.0929999999998</v>
      </c>
      <c r="AJ15" s="671">
        <v>2308.5100000000002</v>
      </c>
      <c r="AK15" s="671">
        <v>2304.502</v>
      </c>
      <c r="AL15" s="671">
        <v>2280.0739999999996</v>
      </c>
      <c r="AM15" s="671">
        <v>2268.3629999999998</v>
      </c>
      <c r="AN15" s="698">
        <f>AM15</f>
        <v>2268.3629999999998</v>
      </c>
      <c r="AO15" s="671">
        <v>2258.0279999999998</v>
      </c>
      <c r="AP15" s="671">
        <v>2244.2139999999999</v>
      </c>
      <c r="AQ15" s="671">
        <v>2231.8220000000001</v>
      </c>
      <c r="AR15" s="671">
        <v>2225.9465</v>
      </c>
      <c r="AS15" s="698">
        <f>AR15</f>
        <v>2225.9465</v>
      </c>
      <c r="AT15" s="671">
        <v>2216.2845000000002</v>
      </c>
      <c r="AU15" s="671">
        <v>2198.2249999999999</v>
      </c>
      <c r="AV15" s="671">
        <v>2179.4665</v>
      </c>
      <c r="AW15" s="671">
        <v>2141.6855</v>
      </c>
      <c r="AX15" s="698">
        <f>AW15</f>
        <v>2141.6855</v>
      </c>
      <c r="AY15" s="671">
        <v>2128.21</v>
      </c>
      <c r="AZ15" s="671">
        <v>2110.4540000000002</v>
      </c>
      <c r="BA15" s="671">
        <v>2065.3964999999998</v>
      </c>
      <c r="BB15" s="671">
        <v>2034.6155000000001</v>
      </c>
      <c r="BC15" s="698">
        <f>BB15</f>
        <v>2034.6155000000001</v>
      </c>
      <c r="BD15" s="671">
        <v>2044</v>
      </c>
      <c r="BE15" s="671">
        <v>2043.8945000000001</v>
      </c>
      <c r="BF15" s="671">
        <v>2025.8340000000001</v>
      </c>
      <c r="BG15" s="671">
        <f>BG24/1.82</f>
        <v>1948.1137362087911</v>
      </c>
      <c r="BH15" s="698">
        <f>Fixed!M54</f>
        <v>1948</v>
      </c>
      <c r="BI15" s="671">
        <v>1957</v>
      </c>
      <c r="BJ15" s="671">
        <v>1287</v>
      </c>
      <c r="BK15" s="671">
        <v>1331</v>
      </c>
      <c r="BL15" s="671">
        <f>BM15</f>
        <v>1364.7073</v>
      </c>
      <c r="BM15" s="698">
        <f>Fixed!N54</f>
        <v>1364.7073</v>
      </c>
      <c r="BN15" s="698">
        <f>Fixed!O54</f>
        <v>1439.0099500000001</v>
      </c>
      <c r="BO15" s="698">
        <f>Fixed!P54</f>
        <v>1453.3775000000001</v>
      </c>
      <c r="BP15" s="218"/>
      <c r="BQ15" s="657">
        <v>2224.0309389426661</v>
      </c>
      <c r="BR15" s="659">
        <f>$AR15/BQ15-1</f>
        <v>8.613014431555488E-4</v>
      </c>
      <c r="BS15" s="657"/>
      <c r="BT15" s="657"/>
      <c r="BY15" s="218">
        <v>1447</v>
      </c>
      <c r="BZ15" s="218">
        <v>1353</v>
      </c>
      <c r="CA15" s="218">
        <v>1302</v>
      </c>
      <c r="CB15" s="218">
        <v>1282.3218599999998</v>
      </c>
      <c r="CC15" s="218">
        <f>'Model also  old'!L21</f>
        <v>2435</v>
      </c>
      <c r="CG15" s="313">
        <f t="shared" ref="CG15:CP16" si="9">IFERROR(J15/E15-1,"N/A")</f>
        <v>-3.709311127933379E-2</v>
      </c>
      <c r="CH15" s="313">
        <f t="shared" si="9"/>
        <v>-1.9245573518090864E-2</v>
      </c>
      <c r="CI15" s="313">
        <f t="shared" si="9"/>
        <v>-9.3630084420568416E-3</v>
      </c>
      <c r="CJ15" s="313">
        <f t="shared" si="9"/>
        <v>-1.5113778801843503E-2</v>
      </c>
      <c r="CK15" s="575">
        <f t="shared" si="9"/>
        <v>-1.5113778801843503E-2</v>
      </c>
      <c r="CL15" s="313">
        <f t="shared" si="9"/>
        <v>-1.1006289308176154E-2</v>
      </c>
      <c r="CM15" s="313">
        <f t="shared" si="9"/>
        <v>-3.8461538461538436E-2</v>
      </c>
      <c r="CN15" s="313">
        <f t="shared" si="9"/>
        <v>0.4502634025410599</v>
      </c>
      <c r="CO15" s="313">
        <f t="shared" si="9"/>
        <v>0.89889923579716591</v>
      </c>
      <c r="CP15" s="575">
        <f t="shared" si="9"/>
        <v>0.89889923579716591</v>
      </c>
      <c r="CQ15" s="313">
        <f>IFERROR(U15/O15-1,"N/A")</f>
        <v>0.92845786963434018</v>
      </c>
      <c r="CR15" s="313">
        <f>IFERROR(V15/P15-1,"N/A")</f>
        <v>0.97469387755102033</v>
      </c>
      <c r="CS15" s="313">
        <f>IFERROR(W15/Q15-1,"N/A")</f>
        <v>0.29113247863247871</v>
      </c>
      <c r="CT15" s="313">
        <f>IFERROR(X15/R15-1,"N/A")</f>
        <v>-7.8028747433265266E-3</v>
      </c>
      <c r="CU15" s="575">
        <f>IFERROR(Y15/S15-1,"N/A")</f>
        <v>-7.8028747433265266E-3</v>
      </c>
      <c r="CV15" s="313">
        <f t="shared" ref="CV15:EI15" si="10">IFERROR(Z15/U15-1,"N/A")</f>
        <v>-1.5251442704039553E-2</v>
      </c>
      <c r="CW15" s="313">
        <f t="shared" si="10"/>
        <v>-1.3228606862339842E-2</v>
      </c>
      <c r="CX15" s="313">
        <f t="shared" si="10"/>
        <v>-1.5506412908564249E-2</v>
      </c>
      <c r="CY15" s="313">
        <f t="shared" si="10"/>
        <v>-1.7798013245033162E-2</v>
      </c>
      <c r="CZ15" s="575">
        <f t="shared" si="10"/>
        <v>-1.7798013245033162E-2</v>
      </c>
      <c r="DA15" s="704">
        <f t="shared" si="10"/>
        <v>-2.6789451653411511E-2</v>
      </c>
      <c r="DB15" s="704">
        <f t="shared" si="10"/>
        <v>-2.5074151654796761E-2</v>
      </c>
      <c r="DC15" s="704">
        <f t="shared" si="10"/>
        <v>-3.1326052596299947E-2</v>
      </c>
      <c r="DD15" s="704">
        <f t="shared" si="10"/>
        <v>-3.4094816687737062E-2</v>
      </c>
      <c r="DE15" s="705">
        <f t="shared" si="10"/>
        <v>-3.4094816687737062E-2</v>
      </c>
      <c r="DF15" s="704">
        <f t="shared" si="10"/>
        <v>-7.0924731182794298E-3</v>
      </c>
      <c r="DG15" s="704">
        <f t="shared" si="10"/>
        <v>-9.7312246578216133E-3</v>
      </c>
      <c r="DH15" s="704">
        <f t="shared" si="10"/>
        <v>-1.0805299829065973E-2</v>
      </c>
      <c r="DI15" s="704">
        <f t="shared" si="10"/>
        <v>-1.0352983059587872E-2</v>
      </c>
      <c r="DJ15" s="705">
        <f t="shared" si="10"/>
        <v>-1.0352983059587872E-2</v>
      </c>
      <c r="DK15" s="704">
        <f t="shared" si="10"/>
        <v>-2.1867784848235594E-2</v>
      </c>
      <c r="DL15" s="704">
        <f t="shared" si="10"/>
        <v>-2.616096666438128E-2</v>
      </c>
      <c r="DM15" s="704">
        <f t="shared" si="10"/>
        <v>-2.1162471042606268E-2</v>
      </c>
      <c r="DN15" s="704">
        <f t="shared" si="10"/>
        <v>-1.8699167637631131E-2</v>
      </c>
      <c r="DO15" s="705">
        <f t="shared" si="10"/>
        <v>-1.8699167637631131E-2</v>
      </c>
      <c r="DP15" s="704">
        <f t="shared" si="10"/>
        <v>-1.848670609930414E-2</v>
      </c>
      <c r="DQ15" s="704">
        <f t="shared" si="10"/>
        <v>-2.0492252521372767E-2</v>
      </c>
      <c r="DR15" s="704">
        <f t="shared" si="10"/>
        <v>-2.3458636038178771E-2</v>
      </c>
      <c r="DS15" s="704">
        <f t="shared" si="10"/>
        <v>-3.7854009519096676E-2</v>
      </c>
      <c r="DT15" s="705">
        <f t="shared" si="10"/>
        <v>-3.7854009519096676E-2</v>
      </c>
      <c r="DU15" s="704">
        <f t="shared" si="10"/>
        <v>-3.9739708507639748E-2</v>
      </c>
      <c r="DV15" s="704">
        <f t="shared" si="10"/>
        <v>-3.9928123827178585E-2</v>
      </c>
      <c r="DW15" s="704">
        <f t="shared" si="10"/>
        <v>-5.2338496599970807E-2</v>
      </c>
      <c r="DX15" s="704">
        <f t="shared" si="10"/>
        <v>-4.9993334688963387E-2</v>
      </c>
      <c r="DY15" s="705">
        <f t="shared" si="10"/>
        <v>-4.9993334688963387E-2</v>
      </c>
      <c r="DZ15" s="704">
        <f t="shared" si="10"/>
        <v>-3.9568463638456786E-2</v>
      </c>
      <c r="EA15" s="704">
        <f t="shared" si="10"/>
        <v>-3.1538000828257862E-2</v>
      </c>
      <c r="EB15" s="704">
        <f t="shared" si="10"/>
        <v>-1.9154917711925901E-2</v>
      </c>
      <c r="EC15" s="704">
        <f t="shared" si="10"/>
        <v>-4.2515042174410378E-2</v>
      </c>
      <c r="ED15" s="705">
        <f t="shared" si="10"/>
        <v>-4.2570942765353004E-2</v>
      </c>
      <c r="EE15" s="704">
        <f t="shared" si="10"/>
        <v>-4.2563600782778876E-2</v>
      </c>
      <c r="EF15" s="704">
        <f t="shared" si="10"/>
        <v>-0.37031974986967287</v>
      </c>
      <c r="EG15" s="704">
        <f t="shared" si="10"/>
        <v>-0.34298664155108471</v>
      </c>
      <c r="EH15" s="704">
        <f t="shared" si="10"/>
        <v>-0.29947247194311855</v>
      </c>
      <c r="EI15" s="705">
        <f t="shared" si="10"/>
        <v>-0.29943157084188909</v>
      </c>
      <c r="EJ15" s="705">
        <f>IFERROR(BN15/BM15-1,"N/A")</f>
        <v>5.4445850769611948E-2</v>
      </c>
      <c r="EK15" s="705">
        <f>IFERROR(BO15/BN15-1,"N/A")</f>
        <v>9.9843298512285461E-3</v>
      </c>
    </row>
    <row r="16" spans="2:141">
      <c r="B16" s="6" t="s">
        <v>866</v>
      </c>
      <c r="C16" s="721">
        <f>+BZ16</f>
        <v>0.48</v>
      </c>
      <c r="D16" s="720"/>
      <c r="E16" s="721">
        <v>0.48</v>
      </c>
      <c r="F16" s="721">
        <v>0.49</v>
      </c>
      <c r="G16" s="721">
        <v>0.5</v>
      </c>
      <c r="H16" s="721">
        <v>0.51</v>
      </c>
      <c r="I16" s="720">
        <f>I9/I5</f>
        <v>0.50943396226415094</v>
      </c>
      <c r="J16" s="721">
        <v>0.53</v>
      </c>
      <c r="K16" s="721">
        <v>0.54</v>
      </c>
      <c r="L16" s="721">
        <v>0.54213837209302318</v>
      </c>
      <c r="M16" s="721">
        <v>0.54974708513806836</v>
      </c>
      <c r="N16" s="720">
        <f>N9/N5</f>
        <v>0.54974708513806836</v>
      </c>
      <c r="O16" s="721">
        <f>+O9/O5</f>
        <v>0.56388722255548895</v>
      </c>
      <c r="P16" s="721">
        <f>+P9/P5</f>
        <v>0.56980906921241048</v>
      </c>
      <c r="Q16" s="721">
        <f>+Q9/Q5</f>
        <v>0.56759618778679843</v>
      </c>
      <c r="R16" s="721">
        <f>+R9/R5</f>
        <v>0.60832177531206655</v>
      </c>
      <c r="S16" s="720">
        <f>S9/S5</f>
        <v>0.60832177531206655</v>
      </c>
      <c r="T16" s="825"/>
      <c r="U16" s="721">
        <f>+U9/U5</f>
        <v>0.61118842193153355</v>
      </c>
      <c r="V16" s="721">
        <f>+V9/V5</f>
        <v>0.61679644048943272</v>
      </c>
      <c r="W16" s="721">
        <f>+W9/W5</f>
        <v>0.62288253262982507</v>
      </c>
      <c r="X16" s="721">
        <f>+X9/X5</f>
        <v>0.6324833702882483</v>
      </c>
      <c r="Y16" s="720">
        <f>Y9/Y5</f>
        <v>0.6324833702882483</v>
      </c>
      <c r="Z16" s="826">
        <f>+Z9/Z5</f>
        <v>0.63606102635228845</v>
      </c>
      <c r="AA16" s="826">
        <f>+AA9/AA5</f>
        <v>0.64228094575799721</v>
      </c>
      <c r="AB16" s="826">
        <f>+AB9/AB5</f>
        <v>0.64404873623057934</v>
      </c>
      <c r="AC16" s="826">
        <f>+AC9/AC5</f>
        <v>0.64782850779510026</v>
      </c>
      <c r="AD16" s="720">
        <f>AD9/AD5</f>
        <v>0.64782850779510026</v>
      </c>
      <c r="AE16" s="826">
        <f>+AE9/AE5</f>
        <v>0.65201465201465203</v>
      </c>
      <c r="AF16" s="826">
        <f>+AF9/AF5</f>
        <v>0.65205880031781227</v>
      </c>
      <c r="AG16" s="826">
        <f>+AG9/AG5</f>
        <v>0.68521519715667645</v>
      </c>
      <c r="AH16" s="826">
        <f>+AH9/AH5</f>
        <v>0.68878863720074213</v>
      </c>
      <c r="AI16" s="720">
        <f>AI9/AI5</f>
        <v>0.68878863720074213</v>
      </c>
      <c r="AJ16" s="826">
        <f>+AJ9/AJ5</f>
        <v>0.68843772924187197</v>
      </c>
      <c r="AK16" s="826">
        <f>+AK9/AK5</f>
        <v>0.69021071377866738</v>
      </c>
      <c r="AL16" s="826">
        <f>+AL9/AL5</f>
        <v>0.69566569737359829</v>
      </c>
      <c r="AM16" s="826">
        <f>+AM9/AM5</f>
        <v>0.69550400112208377</v>
      </c>
      <c r="AN16" s="720">
        <f>AN9/AN5</f>
        <v>0.69550400112208377</v>
      </c>
      <c r="AO16" s="826">
        <f>+AO9/AO5</f>
        <v>0.70547042031460883</v>
      </c>
      <c r="AP16" s="826">
        <f>+AP9/AP5</f>
        <v>0.70705338104425308</v>
      </c>
      <c r="AQ16" s="826">
        <f>+AQ9/AQ5</f>
        <v>0.70887243847024684</v>
      </c>
      <c r="AR16" s="826">
        <f>+AR9/AR5</f>
        <v>0.70995561671412533</v>
      </c>
      <c r="AS16" s="720">
        <f>AS9/AS5</f>
        <v>0.70995561671412533</v>
      </c>
      <c r="AT16" s="826">
        <f>+AT9/AT5</f>
        <v>0.71121013601343896</v>
      </c>
      <c r="AU16" s="826">
        <f>+AU9/AU5</f>
        <v>0.7119224125196334</v>
      </c>
      <c r="AV16" s="826">
        <f>+AV9/AV5</f>
        <v>0.71181136638452236</v>
      </c>
      <c r="AW16" s="826">
        <f>+AW9/AW5</f>
        <v>0.7150801468338942</v>
      </c>
      <c r="AX16" s="720">
        <f>AX9/AX5</f>
        <v>0.7150801468338942</v>
      </c>
      <c r="AY16" s="826">
        <f>+AY9/AY5</f>
        <v>0.72051628040880067</v>
      </c>
      <c r="AZ16" s="826">
        <f>+AZ9/AZ5</f>
        <v>0.72137015908802582</v>
      </c>
      <c r="BA16" s="826">
        <f>+BA9/BA5</f>
        <v>0.72220279830215373</v>
      </c>
      <c r="BB16" s="826">
        <f>+BB9/BB5</f>
        <v>0.72833825769532279</v>
      </c>
      <c r="BC16" s="720">
        <f>BC9/BC5</f>
        <v>0.72833825769532279</v>
      </c>
      <c r="BD16" s="826">
        <f>+BD9/BD5</f>
        <v>0.7268122823678379</v>
      </c>
      <c r="BE16" s="826">
        <f>+BE9/BE5</f>
        <v>0.72750438058844513</v>
      </c>
      <c r="BF16" s="826">
        <f>+BF9/BF5</f>
        <v>0.72883475600984093</v>
      </c>
      <c r="BG16" s="826">
        <f>+BG9/BG5</f>
        <v>0.76176280066159607</v>
      </c>
      <c r="BH16" s="720">
        <f>BH9/BH5</f>
        <v>0.76170487568614786</v>
      </c>
      <c r="BI16" s="826">
        <f>+BI9/BI5</f>
        <v>0.76564019448946519</v>
      </c>
      <c r="BJ16" s="826">
        <f>+BJ9/BJ5</f>
        <v>0.79744279946164198</v>
      </c>
      <c r="BK16" s="826">
        <f>+BK9/BK5</f>
        <v>0.81168831168831168</v>
      </c>
      <c r="BL16" s="826"/>
      <c r="BM16" s="720">
        <f>BM9/BM5</f>
        <v>0.80188623597162556</v>
      </c>
      <c r="BN16" s="720">
        <f>BN9/BN5</f>
        <v>0.81348290885688457</v>
      </c>
      <c r="BO16" s="720">
        <f>BO9/BO5</f>
        <v>0.82531895532991251</v>
      </c>
      <c r="BP16" s="633"/>
      <c r="BQ16" s="658">
        <v>0.70950400112208378</v>
      </c>
      <c r="BR16" s="658"/>
      <c r="BS16" s="658"/>
      <c r="BT16" s="658"/>
      <c r="BY16" s="222">
        <v>0.4</v>
      </c>
      <c r="BZ16" s="222">
        <v>0.48</v>
      </c>
      <c r="CA16" s="222">
        <v>0.51</v>
      </c>
      <c r="CB16" s="222">
        <v>0.54974708513806836</v>
      </c>
      <c r="CC16" s="222">
        <f>'Model also  old'!L20</f>
        <v>0.60832177531206655</v>
      </c>
      <c r="CG16" s="313">
        <f t="shared" si="9"/>
        <v>0.10416666666666674</v>
      </c>
      <c r="CH16" s="313">
        <f t="shared" si="9"/>
        <v>0.10204081632653073</v>
      </c>
      <c r="CI16" s="313">
        <f t="shared" si="9"/>
        <v>8.427674418604636E-2</v>
      </c>
      <c r="CJ16" s="313">
        <f t="shared" si="9"/>
        <v>7.7935461055036015E-2</v>
      </c>
      <c r="CK16" s="575">
        <f t="shared" si="9"/>
        <v>7.9133167122874992E-2</v>
      </c>
      <c r="CL16" s="313">
        <f t="shared" si="9"/>
        <v>6.3938155765073335E-2</v>
      </c>
      <c r="CM16" s="313">
        <f t="shared" si="9"/>
        <v>5.5201980022982378E-2</v>
      </c>
      <c r="CN16" s="313">
        <f t="shared" si="9"/>
        <v>4.695815128431291E-2</v>
      </c>
      <c r="CO16" s="313">
        <f t="shared" si="9"/>
        <v>0.10654843246560786</v>
      </c>
      <c r="CP16" s="575">
        <f t="shared" si="9"/>
        <v>0.10654843246560786</v>
      </c>
      <c r="CQ16" s="313"/>
      <c r="CR16" s="313"/>
      <c r="CS16" s="313"/>
      <c r="CT16" s="313"/>
      <c r="CU16" s="575"/>
      <c r="CV16" s="313"/>
      <c r="CW16" s="313"/>
      <c r="CX16" s="313"/>
      <c r="CY16" s="313"/>
      <c r="CZ16" s="575"/>
      <c r="DA16" s="704"/>
      <c r="DB16" s="704"/>
      <c r="DC16" s="704"/>
      <c r="DD16" s="704"/>
      <c r="DE16" s="705"/>
      <c r="DF16" s="704"/>
      <c r="DG16" s="704"/>
      <c r="DH16" s="704"/>
      <c r="DI16" s="704"/>
      <c r="DJ16" s="705"/>
      <c r="DK16" s="704"/>
      <c r="DL16" s="704"/>
      <c r="DM16" s="704"/>
      <c r="DN16" s="704"/>
      <c r="DO16" s="705"/>
      <c r="DP16" s="704"/>
      <c r="DQ16" s="704"/>
      <c r="DR16" s="704"/>
      <c r="DS16" s="704"/>
      <c r="DT16" s="705"/>
      <c r="DU16" s="704"/>
      <c r="DV16" s="704"/>
      <c r="DW16" s="704"/>
      <c r="DX16" s="704"/>
      <c r="DY16" s="705"/>
      <c r="DZ16" s="704"/>
      <c r="EA16" s="704"/>
      <c r="EB16" s="704"/>
      <c r="EC16" s="704"/>
      <c r="ED16" s="705"/>
      <c r="EE16" s="704"/>
      <c r="EF16" s="704"/>
      <c r="EG16" s="704"/>
      <c r="EH16" s="704"/>
      <c r="EI16" s="705"/>
      <c r="EJ16" s="705"/>
      <c r="EK16" s="705"/>
    </row>
    <row r="17" spans="2:141">
      <c r="B17" s="6"/>
      <c r="C17" s="721"/>
      <c r="D17" s="720"/>
      <c r="E17" s="721"/>
      <c r="F17" s="721"/>
      <c r="G17" s="721"/>
      <c r="H17" s="721"/>
      <c r="I17" s="720"/>
      <c r="J17" s="721"/>
      <c r="K17" s="721"/>
      <c r="L17" s="721"/>
      <c r="M17" s="721"/>
      <c r="N17" s="720"/>
      <c r="O17" s="721"/>
      <c r="P17" s="721"/>
      <c r="Q17" s="721"/>
      <c r="R17" s="721"/>
      <c r="S17" s="720"/>
      <c r="T17" s="825"/>
      <c r="U17" s="721"/>
      <c r="V17" s="721"/>
      <c r="W17" s="721"/>
      <c r="X17" s="721"/>
      <c r="Y17" s="720"/>
      <c r="Z17" s="826"/>
      <c r="AA17" s="826"/>
      <c r="AB17" s="826"/>
      <c r="AC17" s="826"/>
      <c r="AD17" s="720"/>
      <c r="AE17" s="826"/>
      <c r="AF17" s="826"/>
      <c r="AG17" s="826"/>
      <c r="AH17" s="826"/>
      <c r="AI17" s="720"/>
      <c r="AJ17" s="826"/>
      <c r="AK17" s="826"/>
      <c r="AL17" s="826"/>
      <c r="AM17" s="826"/>
      <c r="AN17" s="720"/>
      <c r="AO17" s="826"/>
      <c r="AP17" s="826"/>
      <c r="AQ17" s="826"/>
      <c r="AR17" s="826"/>
      <c r="AS17" s="720"/>
      <c r="AT17" s="826"/>
      <c r="AU17" s="826"/>
      <c r="AV17" s="826"/>
      <c r="AW17" s="826"/>
      <c r="AX17" s="720"/>
      <c r="AY17" s="826"/>
      <c r="AZ17" s="826"/>
      <c r="BA17" s="826"/>
      <c r="BB17" s="826"/>
      <c r="BC17" s="720"/>
      <c r="BD17" s="982"/>
      <c r="BE17" s="826"/>
      <c r="BF17" s="826">
        <f>BF21/BF8</f>
        <v>0.28716136014926408</v>
      </c>
      <c r="BG17" s="826"/>
      <c r="BH17" s="720"/>
      <c r="BI17" s="982"/>
      <c r="BJ17" s="826"/>
      <c r="BK17" s="826"/>
      <c r="BL17" s="826"/>
      <c r="BM17" s="720"/>
      <c r="BN17" s="720"/>
      <c r="BO17" s="720"/>
      <c r="BP17" s="633"/>
      <c r="BQ17" s="658"/>
      <c r="BR17" s="658"/>
      <c r="BS17" s="658"/>
      <c r="BT17" s="658"/>
      <c r="BY17" s="222"/>
      <c r="BZ17" s="222"/>
      <c r="CA17" s="222"/>
      <c r="CB17" s="222"/>
      <c r="CC17" s="222"/>
      <c r="CG17" s="313"/>
      <c r="CH17" s="313"/>
      <c r="CI17" s="313"/>
      <c r="CJ17" s="313"/>
      <c r="CK17" s="575"/>
      <c r="CL17" s="313"/>
      <c r="CM17" s="313"/>
      <c r="CN17" s="313"/>
      <c r="CO17" s="313"/>
      <c r="CP17" s="575"/>
      <c r="CQ17" s="313"/>
      <c r="CR17" s="313"/>
      <c r="CS17" s="313"/>
      <c r="CT17" s="313"/>
      <c r="CU17" s="575"/>
      <c r="CV17" s="313"/>
      <c r="CW17" s="313"/>
      <c r="CX17" s="313"/>
      <c r="CY17" s="313"/>
      <c r="CZ17" s="575"/>
      <c r="DA17" s="704"/>
      <c r="DB17" s="704"/>
      <c r="DC17" s="704"/>
      <c r="DD17" s="704"/>
      <c r="DE17" s="705"/>
      <c r="DF17" s="704"/>
      <c r="DG17" s="704"/>
      <c r="DH17" s="704"/>
      <c r="DI17" s="704"/>
      <c r="DJ17" s="705"/>
      <c r="DK17" s="704"/>
      <c r="DL17" s="704"/>
      <c r="DM17" s="704"/>
      <c r="DN17" s="704"/>
      <c r="DO17" s="705"/>
      <c r="DP17" s="704"/>
      <c r="DQ17" s="704"/>
      <c r="DR17" s="704"/>
      <c r="DS17" s="704"/>
      <c r="DT17" s="705"/>
      <c r="DU17" s="704"/>
      <c r="DV17" s="704"/>
      <c r="DW17" s="704"/>
      <c r="DX17" s="704"/>
      <c r="DY17" s="705"/>
      <c r="DZ17" s="704"/>
      <c r="EA17" s="704"/>
      <c r="EB17" s="704"/>
      <c r="EC17" s="704"/>
      <c r="ED17" s="705"/>
      <c r="EE17" s="704"/>
      <c r="EF17" s="704"/>
      <c r="EG17" s="704"/>
      <c r="EH17" s="704"/>
      <c r="EI17" s="705"/>
      <c r="EJ17" s="705"/>
      <c r="EK17" s="705"/>
    </row>
    <row r="18" spans="2:141">
      <c r="B18" s="7" t="s">
        <v>988</v>
      </c>
      <c r="C18" s="691"/>
      <c r="D18" s="690"/>
      <c r="E18" s="691"/>
      <c r="F18" s="691"/>
      <c r="G18" s="691"/>
      <c r="H18" s="691"/>
      <c r="I18" s="690"/>
      <c r="J18" s="691"/>
      <c r="K18" s="691"/>
      <c r="L18" s="691"/>
      <c r="M18" s="691"/>
      <c r="N18" s="690"/>
      <c r="O18" s="691"/>
      <c r="P18" s="691"/>
      <c r="Q18" s="691"/>
      <c r="R18" s="691"/>
      <c r="S18" s="690"/>
      <c r="T18" s="692"/>
      <c r="U18" s="691"/>
      <c r="V18" s="691"/>
      <c r="W18" s="691"/>
      <c r="X18" s="696"/>
      <c r="Y18" s="690"/>
      <c r="Z18" s="696"/>
      <c r="AA18" s="696"/>
      <c r="AB18" s="696"/>
      <c r="AC18" s="696"/>
      <c r="AD18" s="690"/>
      <c r="AE18" s="696"/>
      <c r="AF18" s="696"/>
      <c r="AG18" s="696"/>
      <c r="AH18" s="696"/>
      <c r="AI18" s="690"/>
      <c r="AJ18" s="696"/>
      <c r="AK18" s="696"/>
      <c r="AL18" s="696"/>
      <c r="AM18" s="696"/>
      <c r="AN18" s="690"/>
      <c r="AO18" s="696"/>
      <c r="AP18" s="696"/>
      <c r="AQ18" s="696"/>
      <c r="AR18" s="696"/>
      <c r="AS18" s="690"/>
      <c r="AT18" s="696"/>
      <c r="AU18" s="696"/>
      <c r="AV18" s="696"/>
      <c r="AW18" s="696"/>
      <c r="AX18" s="690"/>
      <c r="AY18" s="920"/>
      <c r="AZ18" s="696"/>
      <c r="BA18" s="696"/>
      <c r="BB18" s="965">
        <f ca="1">BB21/BB8</f>
        <v>0.27191011699562018</v>
      </c>
      <c r="BC18" s="690"/>
      <c r="BD18" s="920"/>
      <c r="BE18" s="696"/>
      <c r="BF18" s="696"/>
      <c r="BG18" s="696"/>
      <c r="BH18" s="690"/>
      <c r="BI18" s="920"/>
      <c r="BJ18" s="696"/>
      <c r="BK18" s="696"/>
      <c r="BL18" s="696"/>
      <c r="BM18" s="690"/>
      <c r="BN18" s="690"/>
      <c r="BO18" s="690"/>
      <c r="BP18" s="633"/>
      <c r="BQ18" s="657"/>
      <c r="BR18" s="657"/>
      <c r="BS18" s="657"/>
      <c r="BT18" s="657"/>
      <c r="BY18" s="218"/>
      <c r="BZ18" s="218"/>
      <c r="CA18" s="218"/>
      <c r="CB18" s="218"/>
      <c r="CC18" s="218"/>
      <c r="CG18" s="313" t="str">
        <f t="shared" ref="CG18:CP21" si="11">IFERROR(J18/E18-1,"N/A")</f>
        <v>N/A</v>
      </c>
      <c r="CH18" s="313" t="str">
        <f t="shared" si="11"/>
        <v>N/A</v>
      </c>
      <c r="CI18" s="313" t="str">
        <f t="shared" si="11"/>
        <v>N/A</v>
      </c>
      <c r="CJ18" s="313" t="str">
        <f t="shared" si="11"/>
        <v>N/A</v>
      </c>
      <c r="CK18" s="575" t="str">
        <f t="shared" si="11"/>
        <v>N/A</v>
      </c>
      <c r="CL18" s="313" t="str">
        <f t="shared" si="11"/>
        <v>N/A</v>
      </c>
      <c r="CM18" s="313" t="str">
        <f t="shared" si="11"/>
        <v>N/A</v>
      </c>
      <c r="CN18" s="313" t="str">
        <f t="shared" si="11"/>
        <v>N/A</v>
      </c>
      <c r="CO18" s="313" t="str">
        <f t="shared" si="11"/>
        <v>N/A</v>
      </c>
      <c r="CP18" s="575" t="str">
        <f t="shared" si="11"/>
        <v>N/A</v>
      </c>
      <c r="CQ18" s="313"/>
      <c r="CR18" s="313"/>
      <c r="CS18" s="313"/>
      <c r="CT18" s="313"/>
      <c r="CU18" s="575"/>
      <c r="CV18" s="313"/>
      <c r="CW18" s="313"/>
      <c r="CX18" s="313"/>
      <c r="CY18" s="313"/>
      <c r="CZ18" s="575"/>
      <c r="DA18" s="704"/>
      <c r="DB18" s="704"/>
      <c r="DC18" s="704"/>
      <c r="DD18" s="704"/>
      <c r="DE18" s="705"/>
      <c r="DF18" s="704"/>
      <c r="DG18" s="704"/>
      <c r="DH18" s="704"/>
      <c r="DI18" s="704"/>
      <c r="DJ18" s="705"/>
      <c r="DK18" s="704"/>
      <c r="DL18" s="704"/>
      <c r="DM18" s="704"/>
      <c r="DN18" s="704"/>
      <c r="DO18" s="705"/>
      <c r="DP18" s="704"/>
      <c r="DQ18" s="704"/>
      <c r="DR18" s="704"/>
      <c r="DS18" s="704"/>
      <c r="DT18" s="705"/>
      <c r="DU18" s="704"/>
      <c r="DV18" s="704"/>
      <c r="DW18" s="704"/>
      <c r="DX18" s="704"/>
      <c r="DY18" s="705"/>
      <c r="DZ18" s="704"/>
      <c r="EA18" s="704"/>
      <c r="EB18" s="704"/>
      <c r="EC18" s="704"/>
      <c r="ED18" s="705"/>
      <c r="EE18" s="704"/>
      <c r="EF18" s="704"/>
      <c r="EG18" s="704"/>
      <c r="EH18" s="704"/>
      <c r="EI18" s="705"/>
      <c r="EJ18" s="705"/>
      <c r="EK18" s="705"/>
    </row>
    <row r="19" spans="2:141">
      <c r="B19" s="212" t="s">
        <v>869</v>
      </c>
      <c r="C19" s="671">
        <f>+BZ19</f>
        <v>1416</v>
      </c>
      <c r="D19" s="830"/>
      <c r="E19" s="671">
        <v>1371</v>
      </c>
      <c r="F19" s="671">
        <v>1346</v>
      </c>
      <c r="G19" s="671">
        <v>1343</v>
      </c>
      <c r="H19" s="671">
        <v>1338</v>
      </c>
      <c r="I19" s="830">
        <f>H19</f>
        <v>1338</v>
      </c>
      <c r="J19" s="671">
        <v>1306</v>
      </c>
      <c r="K19" s="671">
        <v>1302</v>
      </c>
      <c r="L19" s="671">
        <v>1320</v>
      </c>
      <c r="M19" s="671">
        <v>1310.5260000000001</v>
      </c>
      <c r="N19" s="830">
        <f>M19</f>
        <v>1310.5260000000001</v>
      </c>
      <c r="O19" s="671">
        <v>1293</v>
      </c>
      <c r="P19" s="671">
        <v>1259</v>
      </c>
      <c r="Q19" s="671">
        <v>1889</v>
      </c>
      <c r="R19" s="671">
        <v>2458</v>
      </c>
      <c r="S19" s="830">
        <f>R19</f>
        <v>2458</v>
      </c>
      <c r="T19" s="671"/>
      <c r="U19" s="671">
        <v>2451</v>
      </c>
      <c r="V19" s="671">
        <v>2443</v>
      </c>
      <c r="W19" s="671">
        <v>2437</v>
      </c>
      <c r="X19" s="671">
        <v>2434</v>
      </c>
      <c r="Y19" s="830">
        <f>X19</f>
        <v>2434</v>
      </c>
      <c r="Z19" s="671">
        <v>2398</v>
      </c>
      <c r="AA19" s="671">
        <v>2392</v>
      </c>
      <c r="AB19" s="671">
        <v>2379.7179999999998</v>
      </c>
      <c r="AC19" s="671">
        <v>2367</v>
      </c>
      <c r="AD19" s="830">
        <f>AC19</f>
        <v>2367</v>
      </c>
      <c r="AE19" s="671">
        <v>2309</v>
      </c>
      <c r="AF19" s="671">
        <v>2308.2979999999998</v>
      </c>
      <c r="AG19" s="671">
        <v>2277.605</v>
      </c>
      <c r="AH19" s="671">
        <v>2261.88</v>
      </c>
      <c r="AI19" s="830">
        <f>AH19</f>
        <v>2261.88</v>
      </c>
      <c r="AJ19" s="671">
        <v>2269</v>
      </c>
      <c r="AK19" s="671">
        <v>2258</v>
      </c>
      <c r="AL19" s="671">
        <v>2234</v>
      </c>
      <c r="AM19" s="671">
        <v>2218.0740000000001</v>
      </c>
      <c r="AN19" s="698">
        <f t="shared" ref="AN19:AN24" si="12">AM19</f>
        <v>2218.0740000000001</v>
      </c>
      <c r="AO19" s="671">
        <v>2184.1990000000001</v>
      </c>
      <c r="AP19" s="671">
        <v>2167.5250000000001</v>
      </c>
      <c r="AQ19" s="671">
        <v>2152.395</v>
      </c>
      <c r="AR19" s="671">
        <v>2137.2359999999999</v>
      </c>
      <c r="AS19" s="698">
        <f t="shared" ref="AS19:AS24" si="13">AR19</f>
        <v>2137.2359999999999</v>
      </c>
      <c r="AT19" s="671">
        <v>2123.047</v>
      </c>
      <c r="AU19" s="671">
        <v>2100.663</v>
      </c>
      <c r="AV19" s="671">
        <v>2079</v>
      </c>
      <c r="AW19" s="671">
        <v>2034</v>
      </c>
      <c r="AX19" s="698">
        <f>AW19</f>
        <v>2034</v>
      </c>
      <c r="AY19" s="671">
        <v>2011</v>
      </c>
      <c r="AZ19" s="671">
        <v>1993</v>
      </c>
      <c r="BA19" s="671">
        <v>1942</v>
      </c>
      <c r="BB19" s="671">
        <f ca="1">BC19</f>
        <v>1902</v>
      </c>
      <c r="BC19" s="698">
        <f ca="1">BB19</f>
        <v>1902</v>
      </c>
      <c r="BD19" s="671">
        <v>1903</v>
      </c>
      <c r="BE19" s="671">
        <v>1878.232</v>
      </c>
      <c r="BF19" s="671">
        <v>1871.3019999999999</v>
      </c>
      <c r="BG19" s="671">
        <v>1789.5409999999999</v>
      </c>
      <c r="BH19" s="698">
        <f>Fixed!M67</f>
        <v>1790</v>
      </c>
      <c r="BI19" s="671">
        <v>1788</v>
      </c>
      <c r="BJ19" s="671">
        <v>1106</v>
      </c>
      <c r="BK19" s="671">
        <v>1116</v>
      </c>
      <c r="BL19" s="671">
        <f t="shared" ref="BL19" si="14">BK19+BL37</f>
        <v>1171.8682250000002</v>
      </c>
      <c r="BM19" s="698">
        <f>Fixed!N67</f>
        <v>1171.8682250000002</v>
      </c>
      <c r="BN19" s="698">
        <f>Fixed!O67</f>
        <v>1204.0695499999999</v>
      </c>
      <c r="BO19" s="698">
        <f>Fixed!P67</f>
        <v>1162.702</v>
      </c>
      <c r="BP19" s="633"/>
      <c r="BQ19" s="657">
        <v>2138.0740000000001</v>
      </c>
      <c r="BR19" s="659">
        <f>$AR19/BQ19-1</f>
        <v>-3.9194153242605445E-4</v>
      </c>
      <c r="BS19" s="657">
        <v>2139</v>
      </c>
      <c r="BT19" s="659">
        <f>$AR19/BS19-1</f>
        <v>-8.2468443197758479E-4</v>
      </c>
      <c r="BY19" s="218">
        <v>1538</v>
      </c>
      <c r="BZ19" s="218">
        <v>1416</v>
      </c>
      <c r="CA19" s="218">
        <v>1338</v>
      </c>
      <c r="CB19" s="218">
        <v>1310.5260000000001</v>
      </c>
      <c r="CC19" s="218">
        <f>'Model also  old'!L23</f>
        <v>2458</v>
      </c>
      <c r="CG19" s="313">
        <f t="shared" si="11"/>
        <v>-4.7410649161196194E-2</v>
      </c>
      <c r="CH19" s="313">
        <f t="shared" si="11"/>
        <v>-3.268945022288261E-2</v>
      </c>
      <c r="CI19" s="313">
        <f t="shared" si="11"/>
        <v>-1.7125837676842837E-2</v>
      </c>
      <c r="CJ19" s="313">
        <f t="shared" si="11"/>
        <v>-2.0533632286995451E-2</v>
      </c>
      <c r="CK19" s="575">
        <f t="shared" si="11"/>
        <v>-2.0533632286995451E-2</v>
      </c>
      <c r="CL19" s="313">
        <f t="shared" si="11"/>
        <v>-9.9540581929555838E-3</v>
      </c>
      <c r="CM19" s="313">
        <f t="shared" si="11"/>
        <v>-3.3026113671274948E-2</v>
      </c>
      <c r="CN19" s="313">
        <f t="shared" si="11"/>
        <v>0.43106060606060614</v>
      </c>
      <c r="CO19" s="313">
        <f t="shared" si="11"/>
        <v>0.87558278126492706</v>
      </c>
      <c r="CP19" s="575">
        <f t="shared" si="11"/>
        <v>0.87558278126492706</v>
      </c>
      <c r="CQ19" s="313">
        <f t="shared" ref="CQ19:CU21" si="15">IFERROR(U19/O19-1,"N/A")</f>
        <v>0.89559164733178664</v>
      </c>
      <c r="CR19" s="313">
        <f t="shared" si="15"/>
        <v>0.94042891183478949</v>
      </c>
      <c r="CS19" s="313">
        <f t="shared" si="15"/>
        <v>0.29010058231868707</v>
      </c>
      <c r="CT19" s="313">
        <f t="shared" si="15"/>
        <v>-9.7640358014645656E-3</v>
      </c>
      <c r="CU19" s="575">
        <f t="shared" si="15"/>
        <v>-9.7640358014645656E-3</v>
      </c>
      <c r="CV19" s="313">
        <f t="shared" ref="CV19:DE21" si="16">IFERROR(Z19/U19-1,"N/A")</f>
        <v>-2.1623827009383922E-2</v>
      </c>
      <c r="CW19" s="313">
        <f t="shared" si="16"/>
        <v>-2.0875972165370404E-2</v>
      </c>
      <c r="CX19" s="313">
        <f t="shared" si="16"/>
        <v>-2.3505129257283652E-2</v>
      </c>
      <c r="CY19" s="313">
        <f t="shared" si="16"/>
        <v>-2.7526705012325348E-2</v>
      </c>
      <c r="CZ19" s="575">
        <f t="shared" si="16"/>
        <v>-2.7526705012325348E-2</v>
      </c>
      <c r="DA19" s="704">
        <f t="shared" si="16"/>
        <v>-3.7114261884904076E-2</v>
      </c>
      <c r="DB19" s="704">
        <f t="shared" si="16"/>
        <v>-3.4992474916388017E-2</v>
      </c>
      <c r="DC19" s="704">
        <f t="shared" si="16"/>
        <v>-4.2909706108034573E-2</v>
      </c>
      <c r="DD19" s="704">
        <f t="shared" si="16"/>
        <v>-4.4410646387832653E-2</v>
      </c>
      <c r="DE19" s="705">
        <f t="shared" si="16"/>
        <v>-4.4410646387832653E-2</v>
      </c>
      <c r="DF19" s="704">
        <f t="shared" ref="DF19:DO21" si="17">IFERROR(AJ19/AE19-1,"N/A")</f>
        <v>-1.7323516673884765E-2</v>
      </c>
      <c r="DG19" s="704">
        <f t="shared" si="17"/>
        <v>-2.1790080830118019E-2</v>
      </c>
      <c r="DH19" s="704">
        <f t="shared" si="17"/>
        <v>-1.9145110763279849E-2</v>
      </c>
      <c r="DI19" s="704">
        <f t="shared" si="17"/>
        <v>-1.9367075176401904E-2</v>
      </c>
      <c r="DJ19" s="705">
        <f t="shared" si="17"/>
        <v>-1.9367075176401904E-2</v>
      </c>
      <c r="DK19" s="704">
        <f t="shared" si="17"/>
        <v>-3.7373732921992087E-2</v>
      </c>
      <c r="DL19" s="704">
        <f t="shared" si="17"/>
        <v>-4.0068644818423316E-2</v>
      </c>
      <c r="DM19" s="704">
        <f t="shared" si="17"/>
        <v>-3.6528648164727007E-2</v>
      </c>
      <c r="DN19" s="704">
        <f t="shared" si="17"/>
        <v>-3.6445132128143709E-2</v>
      </c>
      <c r="DO19" s="705">
        <f t="shared" si="17"/>
        <v>-3.6445132128143709E-2</v>
      </c>
      <c r="DP19" s="704">
        <f t="shared" ref="DP19:DY21" si="18">IFERROR(AT19/AO19-1,"N/A")</f>
        <v>-2.7997448950393244E-2</v>
      </c>
      <c r="DQ19" s="704">
        <f t="shared" si="18"/>
        <v>-3.0847164392567628E-2</v>
      </c>
      <c r="DR19" s="704">
        <f t="shared" si="18"/>
        <v>-3.409922435240742E-2</v>
      </c>
      <c r="DS19" s="704">
        <f t="shared" si="18"/>
        <v>-4.8303509766820296E-2</v>
      </c>
      <c r="DT19" s="705">
        <f t="shared" si="18"/>
        <v>-4.8303509766820296E-2</v>
      </c>
      <c r="DU19" s="704">
        <f t="shared" si="18"/>
        <v>-5.2776504712330974E-2</v>
      </c>
      <c r="DV19" s="704">
        <f t="shared" si="18"/>
        <v>-5.1251914276587929E-2</v>
      </c>
      <c r="DW19" s="704">
        <f t="shared" si="18"/>
        <v>-6.5897065897065898E-2</v>
      </c>
      <c r="DX19" s="704">
        <f t="shared" ca="1" si="18"/>
        <v>-6.4896755162241915E-2</v>
      </c>
      <c r="DY19" s="705">
        <f t="shared" ca="1" si="18"/>
        <v>-6.4896755162241915E-2</v>
      </c>
      <c r="DZ19" s="704">
        <f t="shared" ref="DZ19:EI21" si="19">IFERROR(BD19/AY19-1,"N/A")</f>
        <v>-5.3704624564893111E-2</v>
      </c>
      <c r="EA19" s="704">
        <f t="shared" si="19"/>
        <v>-5.7585549422980442E-2</v>
      </c>
      <c r="EB19" s="704">
        <f t="shared" si="19"/>
        <v>-3.6404737384140073E-2</v>
      </c>
      <c r="EC19" s="704">
        <f t="shared" ca="1" si="19"/>
        <v>-5.9126708727655131E-2</v>
      </c>
      <c r="ED19" s="705">
        <f t="shared" ca="1" si="19"/>
        <v>-5.888538380651942E-2</v>
      </c>
      <c r="EE19" s="704">
        <f t="shared" si="19"/>
        <v>-6.0430898581187553E-2</v>
      </c>
      <c r="EF19" s="704">
        <f t="shared" si="19"/>
        <v>-0.41114835653955417</v>
      </c>
      <c r="EG19" s="704">
        <f t="shared" si="19"/>
        <v>-0.40362378707445401</v>
      </c>
      <c r="EH19" s="704">
        <f t="shared" si="19"/>
        <v>-0.34515709614923595</v>
      </c>
      <c r="EI19" s="705">
        <f t="shared" si="19"/>
        <v>-0.34532501396648041</v>
      </c>
      <c r="EJ19" s="705">
        <f t="shared" ref="EJ19:EK21" si="20">IFERROR(BN19/BM19-1,"N/A")</f>
        <v>2.7478622863078117E-2</v>
      </c>
      <c r="EK19" s="705">
        <f t="shared" si="20"/>
        <v>-3.435644560565454E-2</v>
      </c>
    </row>
    <row r="20" spans="2:141">
      <c r="B20" s="212" t="s">
        <v>627</v>
      </c>
      <c r="C20" s="671">
        <f>+BZ20</f>
        <v>153</v>
      </c>
      <c r="D20" s="830"/>
      <c r="E20" s="671">
        <v>150</v>
      </c>
      <c r="F20" s="671">
        <v>151</v>
      </c>
      <c r="G20" s="671">
        <v>153</v>
      </c>
      <c r="H20" s="671">
        <v>164</v>
      </c>
      <c r="I20" s="830">
        <f>H20</f>
        <v>164</v>
      </c>
      <c r="J20" s="671">
        <v>165</v>
      </c>
      <c r="K20" s="671">
        <v>162</v>
      </c>
      <c r="L20" s="671">
        <v>163</v>
      </c>
      <c r="M20" s="671">
        <v>160.58839878661843</v>
      </c>
      <c r="N20" s="830">
        <f>M20</f>
        <v>160.58839878661843</v>
      </c>
      <c r="O20" s="671">
        <v>161</v>
      </c>
      <c r="P20" s="671">
        <v>161</v>
      </c>
      <c r="Q20" s="671">
        <v>397</v>
      </c>
      <c r="R20" s="671">
        <v>426</v>
      </c>
      <c r="S20" s="830">
        <f>R20</f>
        <v>426</v>
      </c>
      <c r="T20" s="671"/>
      <c r="U20" s="671">
        <v>424</v>
      </c>
      <c r="V20" s="671">
        <v>424</v>
      </c>
      <c r="W20" s="671">
        <v>422</v>
      </c>
      <c r="X20" s="671">
        <v>429</v>
      </c>
      <c r="Y20" s="830">
        <f>X20</f>
        <v>429</v>
      </c>
      <c r="Z20" s="671">
        <v>430</v>
      </c>
      <c r="AA20" s="671">
        <v>430</v>
      </c>
      <c r="AB20" s="671">
        <v>432.45</v>
      </c>
      <c r="AC20" s="671">
        <v>430</v>
      </c>
      <c r="AD20" s="830">
        <f>AC20</f>
        <v>430</v>
      </c>
      <c r="AE20" s="671">
        <v>424</v>
      </c>
      <c r="AF20" s="671">
        <v>419.34399999999999</v>
      </c>
      <c r="AG20" s="671">
        <v>553.47400000000005</v>
      </c>
      <c r="AH20" s="671">
        <v>558.178</v>
      </c>
      <c r="AI20" s="830">
        <f>AH20</f>
        <v>558.178</v>
      </c>
      <c r="AJ20" s="671">
        <v>551</v>
      </c>
      <c r="AK20" s="671">
        <v>553</v>
      </c>
      <c r="AL20" s="671">
        <v>544.851</v>
      </c>
      <c r="AM20" s="671">
        <v>543.31299999999999</v>
      </c>
      <c r="AN20" s="698">
        <f t="shared" si="12"/>
        <v>543.31299999999999</v>
      </c>
      <c r="AO20" s="671">
        <v>539.57100000000003</v>
      </c>
      <c r="AP20" s="671">
        <v>536.03099999999995</v>
      </c>
      <c r="AQ20" s="671">
        <v>537.94600000000003</v>
      </c>
      <c r="AR20" s="671">
        <v>540.64800029999992</v>
      </c>
      <c r="AS20" s="698">
        <f t="shared" si="13"/>
        <v>540.64800029999992</v>
      </c>
      <c r="AT20" s="671">
        <v>544.47700050000003</v>
      </c>
      <c r="AU20" s="671">
        <v>543.8060005000001</v>
      </c>
      <c r="AV20" s="671">
        <v>543</v>
      </c>
      <c r="AW20" s="671">
        <v>539</v>
      </c>
      <c r="AX20" s="698">
        <f>AW20</f>
        <v>539</v>
      </c>
      <c r="AY20" s="671">
        <v>498</v>
      </c>
      <c r="AZ20" s="671">
        <v>493</v>
      </c>
      <c r="BA20" s="671">
        <v>491</v>
      </c>
      <c r="BB20" s="671">
        <f ca="1">BC20</f>
        <v>496</v>
      </c>
      <c r="BC20" s="698">
        <f ca="1">BB20</f>
        <v>496</v>
      </c>
      <c r="BD20" s="671">
        <v>500</v>
      </c>
      <c r="BE20" s="671">
        <v>497.02899939999998</v>
      </c>
      <c r="BF20" s="671">
        <v>497.93499980000001</v>
      </c>
      <c r="BG20" s="671">
        <v>505.66999970000001</v>
      </c>
      <c r="BH20" s="698">
        <f>Fixed!M68</f>
        <v>506</v>
      </c>
      <c r="BI20" s="671">
        <v>518</v>
      </c>
      <c r="BJ20" s="671">
        <v>493</v>
      </c>
      <c r="BK20" s="671">
        <v>505</v>
      </c>
      <c r="BL20" s="671">
        <f t="shared" ref="BL20" si="21">BK20+BL38</f>
        <v>512.90511780796101</v>
      </c>
      <c r="BM20" s="698">
        <f>Fixed!N68</f>
        <v>512.90511780796101</v>
      </c>
      <c r="BN20" s="698">
        <f>Fixed!O68</f>
        <v>551.08043510474863</v>
      </c>
      <c r="BO20" s="698">
        <f>Fixed!P68</f>
        <v>555.40131011173185</v>
      </c>
      <c r="BP20" s="633"/>
      <c r="BQ20" s="657">
        <v>533.31299999999999</v>
      </c>
      <c r="BR20" s="659">
        <f>$AR20/BQ20-1</f>
        <v>1.3753649920403177E-2</v>
      </c>
      <c r="BS20" s="657">
        <v>537</v>
      </c>
      <c r="BT20" s="659">
        <f>$AR20/BS20-1</f>
        <v>6.7932966480446222E-3</v>
      </c>
      <c r="BY20" s="218">
        <v>142</v>
      </c>
      <c r="BZ20" s="218">
        <v>153</v>
      </c>
      <c r="CA20" s="218">
        <v>164</v>
      </c>
      <c r="CB20" s="218">
        <v>160.58839878661843</v>
      </c>
      <c r="CC20" s="218">
        <f>'Model also  old'!L24</f>
        <v>426</v>
      </c>
      <c r="CG20" s="313">
        <f t="shared" si="11"/>
        <v>0.10000000000000009</v>
      </c>
      <c r="CH20" s="313">
        <f t="shared" si="11"/>
        <v>7.2847682119205226E-2</v>
      </c>
      <c r="CI20" s="313">
        <f t="shared" si="11"/>
        <v>6.5359477124182996E-2</v>
      </c>
      <c r="CJ20" s="313">
        <f t="shared" si="11"/>
        <v>-2.0802446423058396E-2</v>
      </c>
      <c r="CK20" s="575">
        <f t="shared" si="11"/>
        <v>-2.0802446423058396E-2</v>
      </c>
      <c r="CL20" s="313">
        <f t="shared" si="11"/>
        <v>-2.4242424242424288E-2</v>
      </c>
      <c r="CM20" s="313">
        <f t="shared" si="11"/>
        <v>-6.1728395061728669E-3</v>
      </c>
      <c r="CN20" s="313">
        <f t="shared" si="11"/>
        <v>1.4355828220858897</v>
      </c>
      <c r="CO20" s="313">
        <f t="shared" si="11"/>
        <v>1.6527445520273654</v>
      </c>
      <c r="CP20" s="575">
        <f t="shared" si="11"/>
        <v>1.6527445520273654</v>
      </c>
      <c r="CQ20" s="313">
        <f t="shared" si="15"/>
        <v>1.6335403726708075</v>
      </c>
      <c r="CR20" s="313">
        <f t="shared" si="15"/>
        <v>1.6335403726708075</v>
      </c>
      <c r="CS20" s="313">
        <f t="shared" si="15"/>
        <v>6.2972292191435741E-2</v>
      </c>
      <c r="CT20" s="313">
        <f t="shared" si="15"/>
        <v>7.0422535211267512E-3</v>
      </c>
      <c r="CU20" s="575">
        <f t="shared" si="15"/>
        <v>7.0422535211267512E-3</v>
      </c>
      <c r="CV20" s="313">
        <f t="shared" si="16"/>
        <v>1.4150943396226356E-2</v>
      </c>
      <c r="CW20" s="313">
        <f t="shared" si="16"/>
        <v>1.4150943396226356E-2</v>
      </c>
      <c r="CX20" s="313">
        <f t="shared" si="16"/>
        <v>2.4763033175355442E-2</v>
      </c>
      <c r="CY20" s="313">
        <f t="shared" si="16"/>
        <v>2.3310023310023631E-3</v>
      </c>
      <c r="CZ20" s="575">
        <f t="shared" si="16"/>
        <v>2.3310023310023631E-3</v>
      </c>
      <c r="DA20" s="704">
        <f t="shared" si="16"/>
        <v>-1.3953488372092981E-2</v>
      </c>
      <c r="DB20" s="704">
        <f t="shared" si="16"/>
        <v>-2.4781395348837276E-2</v>
      </c>
      <c r="DC20" s="704">
        <f t="shared" si="16"/>
        <v>0.27985663082437284</v>
      </c>
      <c r="DD20" s="704">
        <f t="shared" si="16"/>
        <v>0.29808837209302319</v>
      </c>
      <c r="DE20" s="705">
        <f t="shared" si="16"/>
        <v>0.29808837209302319</v>
      </c>
      <c r="DF20" s="704">
        <f t="shared" si="17"/>
        <v>0.29952830188679247</v>
      </c>
      <c r="DG20" s="704">
        <f t="shared" si="17"/>
        <v>0.31872639169750849</v>
      </c>
      <c r="DH20" s="704">
        <f t="shared" si="17"/>
        <v>-1.557977429834112E-2</v>
      </c>
      <c r="DI20" s="704">
        <f t="shared" si="17"/>
        <v>-2.6631289660287605E-2</v>
      </c>
      <c r="DJ20" s="705">
        <f t="shared" si="17"/>
        <v>-2.6631289660287605E-2</v>
      </c>
      <c r="DK20" s="704">
        <f t="shared" si="17"/>
        <v>-2.0742286751361139E-2</v>
      </c>
      <c r="DL20" s="704">
        <f t="shared" si="17"/>
        <v>-3.0685352622061624E-2</v>
      </c>
      <c r="DM20" s="704">
        <f t="shared" si="17"/>
        <v>-1.2673189550904684E-2</v>
      </c>
      <c r="DN20" s="704">
        <f t="shared" si="17"/>
        <v>-4.9050909880677951E-3</v>
      </c>
      <c r="DO20" s="705">
        <f t="shared" si="17"/>
        <v>-4.9050909880677951E-3</v>
      </c>
      <c r="DP20" s="704">
        <f t="shared" si="18"/>
        <v>9.0924095253450687E-3</v>
      </c>
      <c r="DQ20" s="704">
        <f t="shared" si="18"/>
        <v>1.4504759053114658E-2</v>
      </c>
      <c r="DR20" s="704">
        <f t="shared" si="18"/>
        <v>9.3949950366765123E-3</v>
      </c>
      <c r="DS20" s="704">
        <f t="shared" si="18"/>
        <v>-3.0481945722271586E-3</v>
      </c>
      <c r="DT20" s="705">
        <f t="shared" si="18"/>
        <v>-3.0481945722271586E-3</v>
      </c>
      <c r="DU20" s="704">
        <f t="shared" si="18"/>
        <v>-8.5360814978997501E-2</v>
      </c>
      <c r="DV20" s="704">
        <f t="shared" si="18"/>
        <v>-9.3426700796399365E-2</v>
      </c>
      <c r="DW20" s="704">
        <f t="shared" si="18"/>
        <v>-9.5764272559852648E-2</v>
      </c>
      <c r="DX20" s="704">
        <f t="shared" ca="1" si="18"/>
        <v>-7.9777365491651153E-2</v>
      </c>
      <c r="DY20" s="705">
        <f t="shared" ca="1" si="18"/>
        <v>-7.9777365491651153E-2</v>
      </c>
      <c r="DZ20" s="704">
        <f t="shared" si="19"/>
        <v>4.0160642570281624E-3</v>
      </c>
      <c r="EA20" s="704">
        <f t="shared" si="19"/>
        <v>8.1724125760649358E-3</v>
      </c>
      <c r="EB20" s="704">
        <f t="shared" si="19"/>
        <v>1.4124235845213828E-2</v>
      </c>
      <c r="EC20" s="704">
        <f t="shared" ca="1" si="19"/>
        <v>1.9495967137096892E-2</v>
      </c>
      <c r="ED20" s="705">
        <f t="shared" ca="1" si="19"/>
        <v>2.0161290322580738E-2</v>
      </c>
      <c r="EE20" s="704">
        <f t="shared" si="19"/>
        <v>3.6000000000000032E-2</v>
      </c>
      <c r="EF20" s="704">
        <f t="shared" si="19"/>
        <v>-8.1061656459958664E-3</v>
      </c>
      <c r="EG20" s="704">
        <f t="shared" si="19"/>
        <v>1.4188599320870576E-2</v>
      </c>
      <c r="EH20" s="704">
        <f t="shared" si="19"/>
        <v>1.4307983689468173E-2</v>
      </c>
      <c r="EI20" s="705">
        <f t="shared" si="19"/>
        <v>1.3646477881345875E-2</v>
      </c>
      <c r="EJ20" s="705">
        <f t="shared" si="20"/>
        <v>7.4429589355513137E-2</v>
      </c>
      <c r="EK20" s="705">
        <f t="shared" si="20"/>
        <v>7.8407338234787183E-3</v>
      </c>
    </row>
    <row r="21" spans="2:141">
      <c r="B21" s="212" t="s">
        <v>628</v>
      </c>
      <c r="C21" s="671">
        <f>+BZ21</f>
        <v>135</v>
      </c>
      <c r="D21" s="830"/>
      <c r="E21" s="671">
        <v>146</v>
      </c>
      <c r="F21" s="671">
        <v>153</v>
      </c>
      <c r="G21" s="671">
        <v>162</v>
      </c>
      <c r="H21" s="671">
        <v>174</v>
      </c>
      <c r="I21" s="830">
        <f>H21</f>
        <v>174</v>
      </c>
      <c r="J21" s="671">
        <v>183</v>
      </c>
      <c r="K21" s="671">
        <v>190</v>
      </c>
      <c r="L21" s="671">
        <v>196.8</v>
      </c>
      <c r="M21" s="671">
        <v>202.00899999999999</v>
      </c>
      <c r="N21" s="830">
        <f>M21</f>
        <v>202.00899999999999</v>
      </c>
      <c r="O21" s="671">
        <v>208</v>
      </c>
      <c r="P21" s="671">
        <v>213</v>
      </c>
      <c r="Q21" s="671">
        <v>363</v>
      </c>
      <c r="R21" s="671">
        <v>462</v>
      </c>
      <c r="S21" s="830">
        <f>R21</f>
        <v>462</v>
      </c>
      <c r="T21" s="671"/>
      <c r="U21" s="671">
        <v>475</v>
      </c>
      <c r="V21" s="671">
        <v>485</v>
      </c>
      <c r="W21" s="671">
        <v>500</v>
      </c>
      <c r="X21" s="671">
        <v>520</v>
      </c>
      <c r="Y21" s="830">
        <f>X21</f>
        <v>520</v>
      </c>
      <c r="Z21" s="671">
        <v>535</v>
      </c>
      <c r="AA21" s="671">
        <v>549</v>
      </c>
      <c r="AB21" s="671">
        <v>564.40899999999999</v>
      </c>
      <c r="AC21" s="671">
        <v>578</v>
      </c>
      <c r="AD21" s="830">
        <f>AC21</f>
        <v>578</v>
      </c>
      <c r="AE21" s="671">
        <v>575</v>
      </c>
      <c r="AF21" s="671">
        <v>571.37400000000002</v>
      </c>
      <c r="AG21" s="671">
        <v>570.51900000000001</v>
      </c>
      <c r="AH21" s="671">
        <v>573.98599999999999</v>
      </c>
      <c r="AI21" s="830">
        <f>AH21</f>
        <v>573.98599999999999</v>
      </c>
      <c r="AJ21" s="671">
        <v>575</v>
      </c>
      <c r="AK21" s="671">
        <v>577</v>
      </c>
      <c r="AL21" s="671">
        <v>578.61779630620003</v>
      </c>
      <c r="AM21" s="671">
        <v>584.0044633898998</v>
      </c>
      <c r="AN21" s="698">
        <f t="shared" si="12"/>
        <v>584.0044633898998</v>
      </c>
      <c r="AO21" s="671">
        <v>585.14854124499971</v>
      </c>
      <c r="AP21" s="671">
        <v>589.30354124499979</v>
      </c>
      <c r="AQ21" s="671">
        <v>596.76599999999996</v>
      </c>
      <c r="AR21" s="671">
        <v>601.65100010000003</v>
      </c>
      <c r="AS21" s="698">
        <f t="shared" si="13"/>
        <v>601.65100010000003</v>
      </c>
      <c r="AT21" s="671">
        <v>609.71700010000006</v>
      </c>
      <c r="AU21" s="671">
        <v>615.53300010000009</v>
      </c>
      <c r="AV21" s="671">
        <v>620</v>
      </c>
      <c r="AW21" s="671">
        <v>629</v>
      </c>
      <c r="AX21" s="698">
        <f>AW21</f>
        <v>629</v>
      </c>
      <c r="AY21" s="671">
        <v>633</v>
      </c>
      <c r="AZ21" s="671">
        <v>640</v>
      </c>
      <c r="BA21" s="671">
        <v>646</v>
      </c>
      <c r="BB21" s="671">
        <f ca="1">BC21</f>
        <v>659</v>
      </c>
      <c r="BC21" s="698">
        <f ca="1">BB21</f>
        <v>659</v>
      </c>
      <c r="BD21" s="671">
        <v>671</v>
      </c>
      <c r="BE21" s="671">
        <v>683.00800020000008</v>
      </c>
      <c r="BF21" s="671">
        <v>693.04700019999996</v>
      </c>
      <c r="BG21" s="671">
        <v>718.20100020000007</v>
      </c>
      <c r="BH21" s="698">
        <f>Fixed!M72</f>
        <v>718</v>
      </c>
      <c r="BI21" s="671">
        <f>BD21*1.092</f>
        <v>732.73200000000008</v>
      </c>
      <c r="BJ21" s="671">
        <v>706</v>
      </c>
      <c r="BK21" s="671">
        <v>728</v>
      </c>
      <c r="BL21" s="671">
        <f t="shared" ref="BL21" ca="1" si="22">BK21+BL39</f>
        <v>751.20313183552355</v>
      </c>
      <c r="BM21" s="698">
        <f ca="1">Fixed!N72</f>
        <v>751.20313183552355</v>
      </c>
      <c r="BN21" s="698">
        <f ca="1">Fixed!O72</f>
        <v>828.65896311996619</v>
      </c>
      <c r="BO21" s="698">
        <f ca="1">Fixed!P72</f>
        <v>908.87879440440872</v>
      </c>
      <c r="BP21" s="633"/>
      <c r="BQ21" s="657">
        <v>604.0044633898998</v>
      </c>
      <c r="BR21" s="659">
        <f>$AR21/BQ21-1</f>
        <v>-3.8964336069492456E-3</v>
      </c>
      <c r="BS21" s="657">
        <v>603</v>
      </c>
      <c r="BT21" s="659">
        <f>$AR21/BS21-1</f>
        <v>-2.2371474295189708E-3</v>
      </c>
      <c r="BY21" s="218">
        <v>115</v>
      </c>
      <c r="BZ21" s="218">
        <v>135</v>
      </c>
      <c r="CA21" s="218">
        <v>174</v>
      </c>
      <c r="CB21" s="218">
        <v>202.00899999999999</v>
      </c>
      <c r="CC21" s="218">
        <f>'Model also  old'!L25</f>
        <v>462</v>
      </c>
      <c r="CG21" s="313">
        <f t="shared" si="11"/>
        <v>0.25342465753424648</v>
      </c>
      <c r="CH21" s="313">
        <f t="shared" si="11"/>
        <v>0.24183006535947715</v>
      </c>
      <c r="CI21" s="313">
        <f t="shared" si="11"/>
        <v>0.21481481481481479</v>
      </c>
      <c r="CJ21" s="313">
        <f t="shared" si="11"/>
        <v>0.16097126436781606</v>
      </c>
      <c r="CK21" s="575">
        <f t="shared" si="11"/>
        <v>0.16097126436781606</v>
      </c>
      <c r="CL21" s="313">
        <f t="shared" si="11"/>
        <v>0.13661202185792343</v>
      </c>
      <c r="CM21" s="313">
        <f t="shared" si="11"/>
        <v>0.1210526315789473</v>
      </c>
      <c r="CN21" s="313">
        <f t="shared" si="11"/>
        <v>0.84451219512195119</v>
      </c>
      <c r="CO21" s="313">
        <f t="shared" si="11"/>
        <v>1.2870268156369273</v>
      </c>
      <c r="CP21" s="575">
        <f t="shared" si="11"/>
        <v>1.2870268156369273</v>
      </c>
      <c r="CQ21" s="313">
        <f t="shared" si="15"/>
        <v>1.2836538461538463</v>
      </c>
      <c r="CR21" s="313">
        <f t="shared" si="15"/>
        <v>1.276995305164319</v>
      </c>
      <c r="CS21" s="313">
        <f t="shared" si="15"/>
        <v>0.37741046831955916</v>
      </c>
      <c r="CT21" s="313">
        <f t="shared" si="15"/>
        <v>0.12554112554112562</v>
      </c>
      <c r="CU21" s="575">
        <f t="shared" si="15"/>
        <v>0.12554112554112562</v>
      </c>
      <c r="CV21" s="313">
        <f t="shared" si="16"/>
        <v>0.12631578947368416</v>
      </c>
      <c r="CW21" s="313">
        <f t="shared" si="16"/>
        <v>0.13195876288659791</v>
      </c>
      <c r="CX21" s="313">
        <f t="shared" si="16"/>
        <v>0.12881799999999988</v>
      </c>
      <c r="CY21" s="313">
        <f t="shared" si="16"/>
        <v>0.11153846153846159</v>
      </c>
      <c r="CZ21" s="575">
        <f t="shared" si="16"/>
        <v>0.11153846153846159</v>
      </c>
      <c r="DA21" s="704">
        <f t="shared" si="16"/>
        <v>7.4766355140186924E-2</v>
      </c>
      <c r="DB21" s="704">
        <f t="shared" si="16"/>
        <v>4.0754098360655799E-2</v>
      </c>
      <c r="DC21" s="704">
        <f t="shared" si="16"/>
        <v>1.082548293879082E-2</v>
      </c>
      <c r="DD21" s="704">
        <f t="shared" si="16"/>
        <v>-6.9446366782006663E-3</v>
      </c>
      <c r="DE21" s="705">
        <f t="shared" si="16"/>
        <v>-6.9446366782006663E-3</v>
      </c>
      <c r="DF21" s="704">
        <f t="shared" si="17"/>
        <v>0</v>
      </c>
      <c r="DG21" s="704">
        <f t="shared" si="17"/>
        <v>9.846440335051998E-3</v>
      </c>
      <c r="DH21" s="704">
        <f t="shared" si="17"/>
        <v>1.4195489205793388E-2</v>
      </c>
      <c r="DI21" s="704">
        <f t="shared" si="17"/>
        <v>1.7454194684016322E-2</v>
      </c>
      <c r="DJ21" s="705">
        <f t="shared" si="17"/>
        <v>1.7454194684016322E-2</v>
      </c>
      <c r="DK21" s="704">
        <f t="shared" si="17"/>
        <v>1.764963694782562E-2</v>
      </c>
      <c r="DL21" s="704">
        <f t="shared" si="17"/>
        <v>2.1323295051992597E-2</v>
      </c>
      <c r="DM21" s="704">
        <f t="shared" si="17"/>
        <v>3.1364752017057018E-2</v>
      </c>
      <c r="DN21" s="704">
        <f t="shared" si="17"/>
        <v>3.0216441510856784E-2</v>
      </c>
      <c r="DO21" s="705">
        <f t="shared" si="17"/>
        <v>3.0216441510856784E-2</v>
      </c>
      <c r="DP21" s="704">
        <f t="shared" si="18"/>
        <v>4.1986704440426292E-2</v>
      </c>
      <c r="DQ21" s="704">
        <f t="shared" si="18"/>
        <v>4.4509250359477281E-2</v>
      </c>
      <c r="DR21" s="704">
        <f t="shared" si="18"/>
        <v>3.8933183190731357E-2</v>
      </c>
      <c r="DS21" s="704">
        <f t="shared" si="18"/>
        <v>4.5456585122362059E-2</v>
      </c>
      <c r="DT21" s="705">
        <f t="shared" si="18"/>
        <v>4.5456585122362059E-2</v>
      </c>
      <c r="DU21" s="704">
        <f t="shared" si="18"/>
        <v>3.8186568352500005E-2</v>
      </c>
      <c r="DV21" s="704">
        <f t="shared" si="18"/>
        <v>3.9749290283420891E-2</v>
      </c>
      <c r="DW21" s="704">
        <f t="shared" si="18"/>
        <v>4.1935483870967794E-2</v>
      </c>
      <c r="DX21" s="704">
        <f t="shared" ca="1" si="18"/>
        <v>4.7694753577106619E-2</v>
      </c>
      <c r="DY21" s="705">
        <f t="shared" ca="1" si="18"/>
        <v>4.7694753577106619E-2</v>
      </c>
      <c r="DZ21" s="704">
        <f t="shared" si="19"/>
        <v>6.0031595576619301E-2</v>
      </c>
      <c r="EA21" s="704">
        <f t="shared" si="19"/>
        <v>6.7200000312500174E-2</v>
      </c>
      <c r="EB21" s="704">
        <f t="shared" si="19"/>
        <v>7.2828173684210462E-2</v>
      </c>
      <c r="EC21" s="704">
        <f t="shared" ca="1" si="19"/>
        <v>8.9834598179059366E-2</v>
      </c>
      <c r="ED21" s="705">
        <f t="shared" ca="1" si="19"/>
        <v>8.952959028831553E-2</v>
      </c>
      <c r="EE21" s="704">
        <f t="shared" si="19"/>
        <v>9.2000000000000082E-2</v>
      </c>
      <c r="EF21" s="704">
        <f t="shared" si="19"/>
        <v>3.3662855769284405E-2</v>
      </c>
      <c r="EG21" s="704">
        <f t="shared" si="19"/>
        <v>5.0433808659316348E-2</v>
      </c>
      <c r="EH21" s="704">
        <f t="shared" ca="1" si="19"/>
        <v>4.5951107874165009E-2</v>
      </c>
      <c r="EI21" s="705">
        <f t="shared" ca="1" si="19"/>
        <v>4.6243916205464641E-2</v>
      </c>
      <c r="EJ21" s="705">
        <f t="shared" ca="1" si="20"/>
        <v>0.10310903669315596</v>
      </c>
      <c r="EK21" s="705">
        <f t="shared" ca="1" si="20"/>
        <v>9.6806810587565018E-2</v>
      </c>
    </row>
    <row r="22" spans="2:141">
      <c r="B22" s="925" t="s">
        <v>1541</v>
      </c>
      <c r="C22" s="671"/>
      <c r="D22" s="830"/>
      <c r="E22" s="671"/>
      <c r="F22" s="671"/>
      <c r="G22" s="671"/>
      <c r="H22" s="671"/>
      <c r="I22" s="830"/>
      <c r="J22" s="671"/>
      <c r="K22" s="671"/>
      <c r="L22" s="671"/>
      <c r="M22" s="671"/>
      <c r="N22" s="830"/>
      <c r="O22" s="671"/>
      <c r="P22" s="671"/>
      <c r="Q22" s="671"/>
      <c r="R22" s="671"/>
      <c r="S22" s="830"/>
      <c r="T22" s="671"/>
      <c r="U22" s="671"/>
      <c r="V22" s="671"/>
      <c r="W22" s="671"/>
      <c r="X22" s="671"/>
      <c r="Y22" s="830"/>
      <c r="Z22" s="671"/>
      <c r="AA22" s="671"/>
      <c r="AB22" s="671"/>
      <c r="AC22" s="671"/>
      <c r="AD22" s="830"/>
      <c r="AE22" s="671"/>
      <c r="AF22" s="671"/>
      <c r="AG22" s="671"/>
      <c r="AH22" s="671"/>
      <c r="AI22" s="830"/>
      <c r="AJ22" s="671"/>
      <c r="AK22" s="671"/>
      <c r="AL22" s="671"/>
      <c r="AM22" s="671">
        <v>93.311463389899814</v>
      </c>
      <c r="AN22" s="698">
        <f t="shared" si="12"/>
        <v>93.311463389899814</v>
      </c>
      <c r="AO22" s="671">
        <v>93.759541244999809</v>
      </c>
      <c r="AP22" s="671">
        <v>93.750541244999809</v>
      </c>
      <c r="AQ22" s="671">
        <v>93.673000000000002</v>
      </c>
      <c r="AR22" s="671">
        <v>93.788000100000005</v>
      </c>
      <c r="AS22" s="698">
        <f t="shared" si="13"/>
        <v>93.788000100000005</v>
      </c>
      <c r="AT22" s="671">
        <v>93.78300010000001</v>
      </c>
      <c r="AU22" s="671">
        <v>93.718000100000012</v>
      </c>
      <c r="AV22" s="672"/>
      <c r="AW22" s="671"/>
      <c r="AX22" s="698"/>
      <c r="AY22" s="671"/>
      <c r="AZ22" s="671"/>
      <c r="BA22" s="671"/>
      <c r="BB22" s="671"/>
      <c r="BC22" s="698"/>
      <c r="BD22" s="671"/>
      <c r="BE22" s="671"/>
      <c r="BF22" s="671"/>
      <c r="BG22" s="671"/>
      <c r="BH22" s="698"/>
      <c r="BI22" s="671"/>
      <c r="BJ22" s="671"/>
      <c r="BK22" s="671"/>
      <c r="BL22" s="671"/>
      <c r="BM22" s="698"/>
      <c r="BN22" s="698"/>
      <c r="BO22" s="698"/>
      <c r="BP22" s="633"/>
      <c r="BQ22" s="657"/>
      <c r="BR22" s="659"/>
      <c r="BS22" s="657"/>
      <c r="BT22" s="659"/>
      <c r="BY22" s="218"/>
      <c r="BZ22" s="218"/>
      <c r="CA22" s="218"/>
      <c r="CB22" s="218"/>
      <c r="CC22" s="218"/>
      <c r="CG22" s="313"/>
      <c r="CH22" s="313"/>
      <c r="CI22" s="313"/>
      <c r="CJ22" s="313"/>
      <c r="CK22" s="575"/>
      <c r="CL22" s="313"/>
      <c r="CM22" s="313"/>
      <c r="CN22" s="313"/>
      <c r="CO22" s="313"/>
      <c r="CP22" s="575"/>
      <c r="CQ22" s="313"/>
      <c r="CR22" s="313"/>
      <c r="CS22" s="313"/>
      <c r="CT22" s="313"/>
      <c r="CU22" s="575"/>
      <c r="CV22" s="313"/>
      <c r="CW22" s="313"/>
      <c r="CX22" s="313"/>
      <c r="CY22" s="313"/>
      <c r="CZ22" s="575"/>
      <c r="DA22" s="704"/>
      <c r="DB22" s="704"/>
      <c r="DC22" s="704"/>
      <c r="DD22" s="704"/>
      <c r="DE22" s="705"/>
      <c r="DF22" s="704"/>
      <c r="DG22" s="704"/>
      <c r="DH22" s="704"/>
      <c r="DI22" s="704"/>
      <c r="DJ22" s="705"/>
      <c r="DK22" s="704"/>
      <c r="DL22" s="704"/>
      <c r="DM22" s="704"/>
      <c r="DN22" s="704"/>
      <c r="DO22" s="705"/>
      <c r="DP22" s="704"/>
      <c r="DQ22" s="704"/>
      <c r="DR22" s="704"/>
      <c r="DS22" s="704"/>
      <c r="DT22" s="705"/>
      <c r="DU22" s="704"/>
      <c r="DV22" s="704"/>
      <c r="DW22" s="704"/>
      <c r="DX22" s="704"/>
      <c r="DY22" s="705"/>
      <c r="DZ22" s="704"/>
      <c r="EA22" s="704"/>
      <c r="EB22" s="704"/>
      <c r="EC22" s="704"/>
      <c r="ED22" s="705"/>
      <c r="EE22" s="704"/>
      <c r="EF22" s="704"/>
      <c r="EG22" s="704"/>
      <c r="EH22" s="704"/>
      <c r="EI22" s="705"/>
      <c r="EJ22" s="705"/>
      <c r="EK22" s="705"/>
    </row>
    <row r="23" spans="2:141">
      <c r="B23" s="212" t="s">
        <v>620</v>
      </c>
      <c r="C23" s="671">
        <f>+BZ23</f>
        <v>112</v>
      </c>
      <c r="D23" s="830"/>
      <c r="E23" s="671">
        <v>121</v>
      </c>
      <c r="F23" s="671">
        <v>128</v>
      </c>
      <c r="G23" s="671">
        <v>136</v>
      </c>
      <c r="H23" s="671">
        <v>146</v>
      </c>
      <c r="I23" s="830">
        <f>H23</f>
        <v>146</v>
      </c>
      <c r="J23" s="671">
        <v>154</v>
      </c>
      <c r="K23" s="671">
        <v>160</v>
      </c>
      <c r="L23" s="671">
        <v>166.4</v>
      </c>
      <c r="M23" s="671">
        <v>169.953</v>
      </c>
      <c r="N23" s="830">
        <f>M23</f>
        <v>169.953</v>
      </c>
      <c r="O23" s="671">
        <v>175</v>
      </c>
      <c r="P23" s="671">
        <v>202</v>
      </c>
      <c r="Q23" s="671">
        <v>352</v>
      </c>
      <c r="R23" s="671">
        <v>427</v>
      </c>
      <c r="S23" s="830">
        <f>R23</f>
        <v>427</v>
      </c>
      <c r="T23" s="671"/>
      <c r="U23" s="671">
        <v>441</v>
      </c>
      <c r="V23" s="671">
        <v>452</v>
      </c>
      <c r="W23" s="671">
        <v>463</v>
      </c>
      <c r="X23" s="671">
        <v>495</v>
      </c>
      <c r="Y23" s="830">
        <f>X23</f>
        <v>495</v>
      </c>
      <c r="Z23" s="671">
        <v>513</v>
      </c>
      <c r="AA23" s="671">
        <v>528</v>
      </c>
      <c r="AB23" s="671">
        <v>544.74</v>
      </c>
      <c r="AC23" s="671">
        <v>555</v>
      </c>
      <c r="AD23" s="830">
        <f>AC23</f>
        <v>555</v>
      </c>
      <c r="AE23" s="671">
        <v>547</v>
      </c>
      <c r="AF23" s="671">
        <v>538.86900000000003</v>
      </c>
      <c r="AG23" s="671">
        <v>447.87900000000002</v>
      </c>
      <c r="AH23" s="671">
        <v>439.07600000000002</v>
      </c>
      <c r="AI23" s="830">
        <f>AH23</f>
        <v>439.07600000000002</v>
      </c>
      <c r="AJ23" s="671">
        <v>435</v>
      </c>
      <c r="AK23" s="671">
        <v>431</v>
      </c>
      <c r="AL23" s="671">
        <v>429.26299999999998</v>
      </c>
      <c r="AM23" s="671">
        <v>432.35300000000001</v>
      </c>
      <c r="AN23" s="698">
        <f t="shared" si="12"/>
        <v>432.35300000000001</v>
      </c>
      <c r="AO23" s="671">
        <v>430.45699999999999</v>
      </c>
      <c r="AP23" s="671">
        <v>433.18</v>
      </c>
      <c r="AQ23" s="671">
        <v>437.435</v>
      </c>
      <c r="AR23" s="671">
        <v>439.33199999999999</v>
      </c>
      <c r="AS23" s="698">
        <f t="shared" si="13"/>
        <v>439.33199999999999</v>
      </c>
      <c r="AT23" s="671">
        <v>444.46800000000002</v>
      </c>
      <c r="AU23" s="671">
        <v>448.06</v>
      </c>
      <c r="AV23" s="671">
        <v>452</v>
      </c>
      <c r="AW23" s="671">
        <v>454</v>
      </c>
      <c r="AX23" s="698">
        <f>AW23</f>
        <v>454</v>
      </c>
      <c r="AY23" s="671">
        <v>455</v>
      </c>
      <c r="AZ23" s="671">
        <v>458</v>
      </c>
      <c r="BA23" s="671">
        <v>462</v>
      </c>
      <c r="BB23" s="671">
        <f ca="1">BC23</f>
        <v>475</v>
      </c>
      <c r="BC23" s="698">
        <f ca="1">BB23</f>
        <v>475</v>
      </c>
      <c r="BD23" s="671">
        <v>485</v>
      </c>
      <c r="BE23" s="671">
        <v>491.66800000000001</v>
      </c>
      <c r="BF23" s="671">
        <v>504.01</v>
      </c>
      <c r="BG23" s="671">
        <v>532.15499999999997</v>
      </c>
      <c r="BH23" s="698">
        <f>Fixed!M73</f>
        <v>532</v>
      </c>
      <c r="BI23" s="671">
        <v>550</v>
      </c>
      <c r="BJ23" s="671">
        <v>570</v>
      </c>
      <c r="BK23" s="671">
        <v>584</v>
      </c>
      <c r="BL23" s="671">
        <f t="shared" ref="BL23" si="23">BK23+BL40</f>
        <v>607.88038575667656</v>
      </c>
      <c r="BM23" s="698">
        <f>Fixed!N73</f>
        <v>607.88038575667656</v>
      </c>
      <c r="BN23" s="698">
        <f>Fixed!O73</f>
        <v>658.21557863501482</v>
      </c>
      <c r="BO23" s="698">
        <f>Fixed!P73</f>
        <v>708.95077151335317</v>
      </c>
      <c r="BP23" s="633"/>
      <c r="BQ23" s="657">
        <v>435.35300000000001</v>
      </c>
      <c r="BR23" s="659">
        <f>$AR23/BQ23-1</f>
        <v>9.1397096149561374E-3</v>
      </c>
      <c r="BS23" s="657">
        <v>436</v>
      </c>
      <c r="BT23" s="659">
        <f>$AR23/BS23-1</f>
        <v>7.6422018348623055E-3</v>
      </c>
      <c r="BY23" s="218">
        <v>87</v>
      </c>
      <c r="BZ23" s="218">
        <v>112</v>
      </c>
      <c r="CA23" s="218">
        <v>146</v>
      </c>
      <c r="CB23" s="218">
        <v>169.953</v>
      </c>
      <c r="CC23" s="218">
        <f>'Model also  old'!L26</f>
        <v>427</v>
      </c>
      <c r="CG23" s="313">
        <f t="shared" ref="CG23:CP24" si="24">IFERROR(J23/E23-1,"N/A")</f>
        <v>0.27272727272727271</v>
      </c>
      <c r="CH23" s="313">
        <f t="shared" si="24"/>
        <v>0.25</v>
      </c>
      <c r="CI23" s="313">
        <f t="shared" si="24"/>
        <v>0.22352941176470598</v>
      </c>
      <c r="CJ23" s="313">
        <f t="shared" si="24"/>
        <v>0.16406164383561639</v>
      </c>
      <c r="CK23" s="575">
        <f t="shared" si="24"/>
        <v>0.16406164383561639</v>
      </c>
      <c r="CL23" s="313">
        <f t="shared" si="24"/>
        <v>0.13636363636363646</v>
      </c>
      <c r="CM23" s="313">
        <f t="shared" si="24"/>
        <v>0.26249999999999996</v>
      </c>
      <c r="CN23" s="313">
        <f t="shared" si="24"/>
        <v>1.1153846153846154</v>
      </c>
      <c r="CO23" s="313">
        <f t="shared" si="24"/>
        <v>1.512459326990403</v>
      </c>
      <c r="CP23" s="575">
        <f t="shared" si="24"/>
        <v>1.512459326990403</v>
      </c>
      <c r="CQ23" s="313">
        <f t="shared" ref="CQ23:CU25" si="25">IFERROR(U23/O23-1,"N/A")</f>
        <v>1.52</v>
      </c>
      <c r="CR23" s="313">
        <f t="shared" si="25"/>
        <v>1.2376237623762378</v>
      </c>
      <c r="CS23" s="313">
        <f t="shared" si="25"/>
        <v>0.31534090909090917</v>
      </c>
      <c r="CT23" s="313">
        <f t="shared" si="25"/>
        <v>0.15925058548009363</v>
      </c>
      <c r="CU23" s="575">
        <f t="shared" si="25"/>
        <v>0.15925058548009363</v>
      </c>
      <c r="CV23" s="313">
        <f t="shared" ref="CV23:DE25" si="26">IFERROR(Z23/U23-1,"N/A")</f>
        <v>0.16326530612244894</v>
      </c>
      <c r="CW23" s="313">
        <f t="shared" si="26"/>
        <v>0.16814159292035402</v>
      </c>
      <c r="CX23" s="313">
        <f t="shared" si="26"/>
        <v>0.17654427645788329</v>
      </c>
      <c r="CY23" s="313">
        <f t="shared" si="26"/>
        <v>0.1212121212121211</v>
      </c>
      <c r="CZ23" s="575">
        <f t="shared" si="26"/>
        <v>0.1212121212121211</v>
      </c>
      <c r="DA23" s="704">
        <f t="shared" si="26"/>
        <v>6.6276803118908489E-2</v>
      </c>
      <c r="DB23" s="704">
        <f t="shared" si="26"/>
        <v>2.058522727272738E-2</v>
      </c>
      <c r="DC23" s="704">
        <f t="shared" si="26"/>
        <v>-0.17781143297720015</v>
      </c>
      <c r="DD23" s="704">
        <f t="shared" si="26"/>
        <v>-0.20887207207207203</v>
      </c>
      <c r="DE23" s="705">
        <f t="shared" si="26"/>
        <v>-0.20887207207207203</v>
      </c>
      <c r="DF23" s="704">
        <f t="shared" ref="DF23:DO25" si="27">IFERROR(AJ23/AE23-1,"N/A")</f>
        <v>-0.20475319926873858</v>
      </c>
      <c r="DG23" s="704">
        <f t="shared" si="27"/>
        <v>-0.20017666631407638</v>
      </c>
      <c r="DH23" s="704">
        <f t="shared" si="27"/>
        <v>-4.156479763507559E-2</v>
      </c>
      <c r="DI23" s="704">
        <f t="shared" si="27"/>
        <v>-1.5311700024597141E-2</v>
      </c>
      <c r="DJ23" s="705">
        <f t="shared" si="27"/>
        <v>-1.5311700024597141E-2</v>
      </c>
      <c r="DK23" s="704">
        <f t="shared" si="27"/>
        <v>-1.0443678160919512E-2</v>
      </c>
      <c r="DL23" s="704">
        <f t="shared" si="27"/>
        <v>5.0580046403712053E-3</v>
      </c>
      <c r="DM23" s="704">
        <f t="shared" si="27"/>
        <v>1.9037280175556726E-2</v>
      </c>
      <c r="DN23" s="704">
        <f t="shared" si="27"/>
        <v>1.6141902565727451E-2</v>
      </c>
      <c r="DO23" s="705">
        <f t="shared" si="27"/>
        <v>1.6141902565727451E-2</v>
      </c>
      <c r="DP23" s="704">
        <f t="shared" ref="DP23:DY25" si="28">IFERROR(AT23/AO23-1,"N/A")</f>
        <v>3.2549128019755846E-2</v>
      </c>
      <c r="DQ23" s="704">
        <f t="shared" si="28"/>
        <v>3.4350616371946918E-2</v>
      </c>
      <c r="DR23" s="704">
        <f t="shared" si="28"/>
        <v>3.3296375461497218E-2</v>
      </c>
      <c r="DS23" s="704">
        <f t="shared" si="28"/>
        <v>3.3387051250534983E-2</v>
      </c>
      <c r="DT23" s="705">
        <f t="shared" si="28"/>
        <v>3.3387051250534983E-2</v>
      </c>
      <c r="DU23" s="704">
        <f t="shared" si="28"/>
        <v>2.3695744125561413E-2</v>
      </c>
      <c r="DV23" s="704">
        <f t="shared" si="28"/>
        <v>2.2184528857742247E-2</v>
      </c>
      <c r="DW23" s="704">
        <f t="shared" si="28"/>
        <v>2.2123893805309658E-2</v>
      </c>
      <c r="DX23" s="704">
        <f t="shared" ca="1" si="28"/>
        <v>4.6255506607929542E-2</v>
      </c>
      <c r="DY23" s="705">
        <f t="shared" ca="1" si="28"/>
        <v>4.6255506607929542E-2</v>
      </c>
      <c r="DZ23" s="704">
        <f t="shared" ref="DZ23:EI25" si="29">IFERROR(BD23/AY23-1,"N/A")</f>
        <v>6.5934065934065922E-2</v>
      </c>
      <c r="EA23" s="704">
        <f t="shared" si="29"/>
        <v>7.3510917030567668E-2</v>
      </c>
      <c r="EB23" s="704">
        <f t="shared" si="29"/>
        <v>9.0930735930735862E-2</v>
      </c>
      <c r="EC23" s="704">
        <f t="shared" ca="1" si="29"/>
        <v>0.12032631578947361</v>
      </c>
      <c r="ED23" s="705">
        <f t="shared" ca="1" si="29"/>
        <v>0.12000000000000011</v>
      </c>
      <c r="EE23" s="704">
        <f t="shared" si="29"/>
        <v>0.134020618556701</v>
      </c>
      <c r="EF23" s="704">
        <f t="shared" si="29"/>
        <v>0.15931888998267119</v>
      </c>
      <c r="EG23" s="704">
        <f t="shared" si="29"/>
        <v>0.15870716850856126</v>
      </c>
      <c r="EH23" s="704">
        <f t="shared" si="29"/>
        <v>0.14229949123220975</v>
      </c>
      <c r="EI23" s="705">
        <f t="shared" si="29"/>
        <v>0.14263230405390326</v>
      </c>
      <c r="EJ23" s="705">
        <f t="shared" ref="EJ23:EK25" si="30">IFERROR(BN23/BM23-1,"N/A")</f>
        <v>8.2804436625607103E-2</v>
      </c>
      <c r="EK23" s="705">
        <f t="shared" si="30"/>
        <v>7.7079902884631402E-2</v>
      </c>
    </row>
    <row r="24" spans="2:141">
      <c r="B24" s="7" t="s">
        <v>870</v>
      </c>
      <c r="C24" s="702">
        <f>+BZ24</f>
        <v>1816</v>
      </c>
      <c r="D24" s="697"/>
      <c r="E24" s="702">
        <v>1788</v>
      </c>
      <c r="F24" s="702">
        <v>1779</v>
      </c>
      <c r="G24" s="702">
        <v>1794</v>
      </c>
      <c r="H24" s="702">
        <v>1822</v>
      </c>
      <c r="I24" s="697">
        <f>H24</f>
        <v>1822</v>
      </c>
      <c r="J24" s="702">
        <v>1808</v>
      </c>
      <c r="K24" s="702">
        <v>1814</v>
      </c>
      <c r="L24" s="702">
        <v>1846.2</v>
      </c>
      <c r="M24" s="702">
        <v>1843.0763987866185</v>
      </c>
      <c r="N24" s="697">
        <f>M24</f>
        <v>1843.0763987866185</v>
      </c>
      <c r="O24" s="702">
        <f>+O23+O21+O20+O19</f>
        <v>1837</v>
      </c>
      <c r="P24" s="702">
        <f>+P23+P21+P20+P19</f>
        <v>1835</v>
      </c>
      <c r="Q24" s="702">
        <f>+Q23+Q21+Q20+Q19</f>
        <v>3001</v>
      </c>
      <c r="R24" s="702">
        <f>+R23+R21+R20+R19</f>
        <v>3773</v>
      </c>
      <c r="S24" s="697">
        <f>R24</f>
        <v>3773</v>
      </c>
      <c r="T24" s="703"/>
      <c r="U24" s="702">
        <f>+U23+U21+U20+U19</f>
        <v>3791</v>
      </c>
      <c r="V24" s="702">
        <f>+V23+V21+V20+V19</f>
        <v>3804</v>
      </c>
      <c r="W24" s="702">
        <f>+W23+W21+W20+W19</f>
        <v>3822</v>
      </c>
      <c r="X24" s="831">
        <f>+X23+X21+X20+X19</f>
        <v>3878</v>
      </c>
      <c r="Y24" s="697">
        <f>X24</f>
        <v>3878</v>
      </c>
      <c r="Z24" s="831">
        <f>+Z23+Z21+Z20+Z19</f>
        <v>3876</v>
      </c>
      <c r="AA24" s="702">
        <f>+AA23+AA21+AA20+AA19</f>
        <v>3899</v>
      </c>
      <c r="AB24" s="831">
        <f>+AB23+AB21+AB20+AB19</f>
        <v>3921.317</v>
      </c>
      <c r="AC24" s="831">
        <f>+AC23+AC21+AC20+AC19</f>
        <v>3930</v>
      </c>
      <c r="AD24" s="697">
        <f>AC24</f>
        <v>3930</v>
      </c>
      <c r="AE24" s="702">
        <f>SUM(AE19:AE23)</f>
        <v>3855</v>
      </c>
      <c r="AF24" s="702">
        <f>SUM(AF19:AF23)</f>
        <v>3837.8849999999998</v>
      </c>
      <c r="AG24" s="702">
        <f>SUM(AG19:AG23)</f>
        <v>3849.4769999999999</v>
      </c>
      <c r="AH24" s="702">
        <f>SUM(AH19:AH23)</f>
        <v>3833.12</v>
      </c>
      <c r="AI24" s="697">
        <f>AH24</f>
        <v>3833.12</v>
      </c>
      <c r="AJ24" s="702">
        <f>SUM(AJ19:AJ23)</f>
        <v>3830</v>
      </c>
      <c r="AK24" s="702">
        <f>SUM(AK19:AK23)</f>
        <v>3819</v>
      </c>
      <c r="AL24" s="702">
        <f>SUM(AL19:AL23)</f>
        <v>3786.7317963062001</v>
      </c>
      <c r="AM24" s="702">
        <v>3777.7444633898995</v>
      </c>
      <c r="AN24" s="701">
        <f t="shared" si="12"/>
        <v>3777.7444633898995</v>
      </c>
      <c r="AO24" s="702">
        <v>3739.3755412449996</v>
      </c>
      <c r="AP24" s="702">
        <v>3726.0395412449993</v>
      </c>
      <c r="AQ24" s="702">
        <v>3724.5419999999999</v>
      </c>
      <c r="AR24" s="702">
        <v>3718.8670004000001</v>
      </c>
      <c r="AS24" s="701">
        <f t="shared" si="13"/>
        <v>3718.8670004000001</v>
      </c>
      <c r="AT24" s="702">
        <v>3721.7090005999999</v>
      </c>
      <c r="AU24" s="702">
        <v>3708.0620005999999</v>
      </c>
      <c r="AV24" s="926">
        <f>AV23+AV21+AV20+AV19</f>
        <v>3694</v>
      </c>
      <c r="AW24" s="703">
        <v>3660</v>
      </c>
      <c r="AX24" s="701">
        <f>AW24</f>
        <v>3660</v>
      </c>
      <c r="AY24" s="702">
        <f t="shared" ref="AY24:BO24" si="31">SUM(AY19:AY23)</f>
        <v>3597</v>
      </c>
      <c r="AZ24" s="702">
        <f t="shared" si="31"/>
        <v>3584</v>
      </c>
      <c r="BA24" s="702">
        <f t="shared" si="31"/>
        <v>3541</v>
      </c>
      <c r="BB24" s="702">
        <f t="shared" ca="1" si="31"/>
        <v>3532</v>
      </c>
      <c r="BC24" s="701">
        <f t="shared" ca="1" si="31"/>
        <v>3532</v>
      </c>
      <c r="BD24" s="702">
        <f t="shared" si="31"/>
        <v>3559</v>
      </c>
      <c r="BE24" s="702">
        <f t="shared" si="31"/>
        <v>3549.9369996</v>
      </c>
      <c r="BF24" s="702">
        <f t="shared" si="31"/>
        <v>3566.2939999999999</v>
      </c>
      <c r="BG24" s="702">
        <f t="shared" si="31"/>
        <v>3545.5669999000002</v>
      </c>
      <c r="BH24" s="701">
        <f t="shared" si="31"/>
        <v>3546</v>
      </c>
      <c r="BI24" s="702">
        <f t="shared" si="31"/>
        <v>3588.732</v>
      </c>
      <c r="BJ24" s="702">
        <f t="shared" si="31"/>
        <v>2875</v>
      </c>
      <c r="BK24" s="702">
        <f t="shared" si="31"/>
        <v>2933</v>
      </c>
      <c r="BL24" s="702">
        <f t="shared" ca="1" si="31"/>
        <v>3043.8568604001612</v>
      </c>
      <c r="BM24" s="701">
        <f t="shared" ca="1" si="31"/>
        <v>3043.8568604001612</v>
      </c>
      <c r="BN24" s="701">
        <f t="shared" ca="1" si="31"/>
        <v>3242.0245268597296</v>
      </c>
      <c r="BO24" s="701">
        <f t="shared" ca="1" si="31"/>
        <v>3335.9328760294939</v>
      </c>
      <c r="BP24" s="27"/>
      <c r="BQ24" s="703">
        <v>3710.7444633898999</v>
      </c>
      <c r="BR24" s="661">
        <f>$AR24/BQ24-1</f>
        <v>2.188923837315393E-3</v>
      </c>
      <c r="BS24" s="703">
        <f>SUM(BS19:BS23)</f>
        <v>3715</v>
      </c>
      <c r="BT24" s="661">
        <f>$AR24/BS24-1</f>
        <v>1.0409153162853624E-3</v>
      </c>
      <c r="BU24" s="7"/>
      <c r="BV24" s="7"/>
      <c r="BW24" s="7"/>
      <c r="BX24" s="7"/>
      <c r="BY24" s="27">
        <v>1881</v>
      </c>
      <c r="BZ24" s="27">
        <v>1816</v>
      </c>
      <c r="CA24" s="27">
        <v>1822</v>
      </c>
      <c r="CB24" s="27">
        <v>1843.0763987866185</v>
      </c>
      <c r="CC24" s="27">
        <f>+CC23+CC21+CC20+CC19</f>
        <v>3773</v>
      </c>
      <c r="CD24" s="7"/>
      <c r="CE24" s="7"/>
      <c r="CF24" s="7"/>
      <c r="CG24" s="588">
        <f t="shared" si="24"/>
        <v>1.1185682326621871E-2</v>
      </c>
      <c r="CH24" s="588">
        <f t="shared" si="24"/>
        <v>1.967397414277694E-2</v>
      </c>
      <c r="CI24" s="588">
        <f t="shared" si="24"/>
        <v>2.9096989966555187E-2</v>
      </c>
      <c r="CJ24" s="588">
        <f t="shared" si="24"/>
        <v>1.1567727105718184E-2</v>
      </c>
      <c r="CK24" s="589">
        <f t="shared" si="24"/>
        <v>1.1567727105718184E-2</v>
      </c>
      <c r="CL24" s="588">
        <f t="shared" si="24"/>
        <v>1.6039823008849652E-2</v>
      </c>
      <c r="CM24" s="588">
        <f t="shared" si="24"/>
        <v>1.1576626240352716E-2</v>
      </c>
      <c r="CN24" s="588">
        <f t="shared" si="24"/>
        <v>0.62550102914093819</v>
      </c>
      <c r="CO24" s="588">
        <f t="shared" si="24"/>
        <v>1.0471207826674678</v>
      </c>
      <c r="CP24" s="589">
        <f t="shared" si="24"/>
        <v>1.0471207826674678</v>
      </c>
      <c r="CQ24" s="588">
        <f t="shared" si="25"/>
        <v>1.0636908002177465</v>
      </c>
      <c r="CR24" s="588">
        <f t="shared" si="25"/>
        <v>1.0730245231607629</v>
      </c>
      <c r="CS24" s="588">
        <f t="shared" si="25"/>
        <v>0.2735754748417194</v>
      </c>
      <c r="CT24" s="588">
        <f t="shared" si="25"/>
        <v>2.7829313543599188E-2</v>
      </c>
      <c r="CU24" s="589">
        <f t="shared" si="25"/>
        <v>2.7829313543599188E-2</v>
      </c>
      <c r="CV24" s="588">
        <f t="shared" si="26"/>
        <v>2.2421524663677195E-2</v>
      </c>
      <c r="CW24" s="588">
        <f t="shared" si="26"/>
        <v>2.4973711882229299E-2</v>
      </c>
      <c r="CX24" s="588">
        <f t="shared" si="26"/>
        <v>2.5985609628466744E-2</v>
      </c>
      <c r="CY24" s="588">
        <f t="shared" si="26"/>
        <v>1.3408973697782267E-2</v>
      </c>
      <c r="CZ24" s="589">
        <f t="shared" si="26"/>
        <v>1.3408973697782267E-2</v>
      </c>
      <c r="DA24" s="706">
        <f t="shared" si="26"/>
        <v>-5.4179566563467008E-3</v>
      </c>
      <c r="DB24" s="706">
        <f t="shared" si="26"/>
        <v>-1.5674531931264446E-2</v>
      </c>
      <c r="DC24" s="706">
        <f t="shared" si="26"/>
        <v>-1.8320375526895694E-2</v>
      </c>
      <c r="DD24" s="706">
        <f t="shared" si="26"/>
        <v>-2.4651399491094184E-2</v>
      </c>
      <c r="DE24" s="707">
        <f t="shared" si="26"/>
        <v>-2.4651399491094184E-2</v>
      </c>
      <c r="DF24" s="706">
        <f t="shared" si="27"/>
        <v>-6.4850843060959562E-3</v>
      </c>
      <c r="DG24" s="706">
        <f t="shared" si="27"/>
        <v>-4.9206789677126439E-3</v>
      </c>
      <c r="DH24" s="706">
        <f t="shared" si="27"/>
        <v>-1.6299669719756715E-2</v>
      </c>
      <c r="DI24" s="706">
        <f t="shared" si="27"/>
        <v>-1.4446596143637636E-2</v>
      </c>
      <c r="DJ24" s="707">
        <f t="shared" si="27"/>
        <v>-1.4446596143637636E-2</v>
      </c>
      <c r="DK24" s="706">
        <f t="shared" si="27"/>
        <v>-2.3661738578329095E-2</v>
      </c>
      <c r="DL24" s="706">
        <f t="shared" si="27"/>
        <v>-2.4341570765907483E-2</v>
      </c>
      <c r="DM24" s="706">
        <f t="shared" si="27"/>
        <v>-1.6423079228073068E-2</v>
      </c>
      <c r="DN24" s="706">
        <f t="shared" si="27"/>
        <v>-1.558534823106239E-2</v>
      </c>
      <c r="DO24" s="707">
        <f t="shared" si="27"/>
        <v>-1.558534823106239E-2</v>
      </c>
      <c r="DP24" s="706">
        <f t="shared" si="28"/>
        <v>-4.7244628013792811E-3</v>
      </c>
      <c r="DQ24" s="706">
        <f t="shared" si="28"/>
        <v>-4.8248389331350117E-3</v>
      </c>
      <c r="DR24" s="706">
        <f t="shared" si="28"/>
        <v>-8.200202870581097E-3</v>
      </c>
      <c r="DS24" s="706">
        <f t="shared" si="28"/>
        <v>-1.5829283594618548E-2</v>
      </c>
      <c r="DT24" s="707">
        <f t="shared" si="28"/>
        <v>-1.5829283594618548E-2</v>
      </c>
      <c r="DU24" s="706">
        <f t="shared" si="28"/>
        <v>-3.3508530779782775E-2</v>
      </c>
      <c r="DV24" s="706">
        <f t="shared" si="28"/>
        <v>-3.3457369531557313E-2</v>
      </c>
      <c r="DW24" s="706">
        <f t="shared" si="28"/>
        <v>-4.141851651326478E-2</v>
      </c>
      <c r="DX24" s="706">
        <f t="shared" ca="1" si="28"/>
        <v>-3.4972677595628388E-2</v>
      </c>
      <c r="DY24" s="707">
        <f t="shared" ca="1" si="28"/>
        <v>-3.4972677595628388E-2</v>
      </c>
      <c r="DZ24" s="706">
        <f t="shared" si="29"/>
        <v>-1.0564359188212413E-2</v>
      </c>
      <c r="EA24" s="706">
        <f t="shared" si="29"/>
        <v>-9.5041853794642916E-3</v>
      </c>
      <c r="EB24" s="706">
        <f t="shared" si="29"/>
        <v>7.1431798926855361E-3</v>
      </c>
      <c r="EC24" s="706">
        <f t="shared" ca="1" si="29"/>
        <v>3.8411664496036391E-3</v>
      </c>
      <c r="ED24" s="707">
        <f t="shared" ca="1" si="29"/>
        <v>3.9637599093997888E-3</v>
      </c>
      <c r="EE24" s="706">
        <f t="shared" si="29"/>
        <v>8.3540320314694494E-3</v>
      </c>
      <c r="EF24" s="706">
        <f t="shared" si="29"/>
        <v>-0.19012647257572479</v>
      </c>
      <c r="EG24" s="706">
        <f t="shared" si="29"/>
        <v>-0.17757761979242315</v>
      </c>
      <c r="EH24" s="706">
        <f t="shared" ca="1" si="29"/>
        <v>-0.14150349986729605</v>
      </c>
      <c r="EI24" s="707">
        <f t="shared" ca="1" si="29"/>
        <v>-0.14160833040040577</v>
      </c>
      <c r="EJ24" s="707">
        <f t="shared" ca="1" si="30"/>
        <v>6.5104134507007139E-2</v>
      </c>
      <c r="EK24" s="707">
        <f t="shared" ca="1" si="30"/>
        <v>2.8965958891349119E-2</v>
      </c>
    </row>
    <row r="25" spans="2:141">
      <c r="B25" s="212" t="s">
        <v>35</v>
      </c>
      <c r="C25" s="619">
        <f>E24/E15</f>
        <v>1.3535200605601816</v>
      </c>
      <c r="D25" s="620"/>
      <c r="E25" s="619">
        <f t="shared" ref="E25:S25" si="32">E24/E15</f>
        <v>1.3535200605601816</v>
      </c>
      <c r="F25" s="619">
        <f t="shared" si="32"/>
        <v>1.369515011547344</v>
      </c>
      <c r="G25" s="619">
        <f t="shared" si="32"/>
        <v>1.3768227168073677</v>
      </c>
      <c r="H25" s="619">
        <f t="shared" si="32"/>
        <v>1.3993855606758832</v>
      </c>
      <c r="I25" s="620">
        <f t="shared" si="32"/>
        <v>1.3993855606758832</v>
      </c>
      <c r="J25" s="619">
        <f t="shared" si="32"/>
        <v>1.421383647798742</v>
      </c>
      <c r="K25" s="619">
        <f t="shared" si="32"/>
        <v>1.4238618524332809</v>
      </c>
      <c r="L25" s="619">
        <f t="shared" si="32"/>
        <v>1.4302757979547569</v>
      </c>
      <c r="M25" s="619">
        <f t="shared" si="32"/>
        <v>1.4372962485304732</v>
      </c>
      <c r="N25" s="620">
        <f t="shared" si="32"/>
        <v>1.4372962485304732</v>
      </c>
      <c r="O25" s="619">
        <f t="shared" si="32"/>
        <v>1.4602543720190779</v>
      </c>
      <c r="P25" s="619">
        <f t="shared" si="32"/>
        <v>1.4979591836734694</v>
      </c>
      <c r="Q25" s="619">
        <f t="shared" si="32"/>
        <v>1.6030982905982907</v>
      </c>
      <c r="R25" s="619">
        <f t="shared" si="32"/>
        <v>1.5494866529774127</v>
      </c>
      <c r="S25" s="620">
        <f t="shared" si="32"/>
        <v>1.5494866529774127</v>
      </c>
      <c r="T25" s="797"/>
      <c r="U25" s="619">
        <f t="shared" ref="U25:AI25" si="33">U24/U15</f>
        <v>1.5626545754328112</v>
      </c>
      <c r="V25" s="619">
        <f t="shared" si="33"/>
        <v>1.5725506407606449</v>
      </c>
      <c r="W25" s="619">
        <f t="shared" si="33"/>
        <v>1.5812991311543236</v>
      </c>
      <c r="X25" s="619">
        <f t="shared" si="33"/>
        <v>1.6051324503311257</v>
      </c>
      <c r="Y25" s="620">
        <f t="shared" si="33"/>
        <v>1.6051324503311257</v>
      </c>
      <c r="Z25" s="619">
        <f t="shared" si="33"/>
        <v>1.6224361657597322</v>
      </c>
      <c r="AA25" s="619">
        <f t="shared" si="33"/>
        <v>1.6334310850439884</v>
      </c>
      <c r="AB25" s="619">
        <f t="shared" si="33"/>
        <v>1.6479438508842745</v>
      </c>
      <c r="AC25" s="619">
        <f t="shared" si="33"/>
        <v>1.6561314791403288</v>
      </c>
      <c r="AD25" s="620">
        <f t="shared" si="33"/>
        <v>1.6561314791403288</v>
      </c>
      <c r="AE25" s="619">
        <f t="shared" si="33"/>
        <v>1.6580645161290322</v>
      </c>
      <c r="AF25" s="619">
        <f t="shared" si="33"/>
        <v>1.6491795966565082</v>
      </c>
      <c r="AG25" s="619">
        <f t="shared" si="33"/>
        <v>1.6700695884562988</v>
      </c>
      <c r="AH25" s="619">
        <f t="shared" si="33"/>
        <v>1.6723230689156157</v>
      </c>
      <c r="AI25" s="620">
        <f t="shared" si="33"/>
        <v>1.6723230689156157</v>
      </c>
      <c r="AJ25" s="619">
        <f>+(AJ23+AJ21+AJ20+AJ19)/AJ15</f>
        <v>1.65907879974529</v>
      </c>
      <c r="AK25" s="619">
        <f>+(AK23+AK21+AK20+AK19)/AK15</f>
        <v>1.6571910113334682</v>
      </c>
      <c r="AL25" s="619">
        <f t="shared" ref="AL25:AS25" si="34">+(AL23+AL21+AL20+AL19)/AL15</f>
        <v>1.6607933761387572</v>
      </c>
      <c r="AM25" s="619">
        <f t="shared" si="34"/>
        <v>1.6654056089743574</v>
      </c>
      <c r="AN25" s="620">
        <f t="shared" si="34"/>
        <v>1.6654056089743574</v>
      </c>
      <c r="AO25" s="619">
        <f t="shared" si="34"/>
        <v>1.6560359487326997</v>
      </c>
      <c r="AP25" s="619">
        <f t="shared" si="34"/>
        <v>1.6602870943880574</v>
      </c>
      <c r="AQ25" s="619">
        <f>+(AQ23+AQ21+AQ20+AQ19)/AQ15</f>
        <v>1.6688347009752569</v>
      </c>
      <c r="AR25" s="619">
        <f>+(AR23+AR21+AR20+AR19)/AR15</f>
        <v>1.6706901987087288</v>
      </c>
      <c r="AS25" s="620">
        <f t="shared" si="34"/>
        <v>1.6706901987087288</v>
      </c>
      <c r="AT25" s="619">
        <f>+(AT23+AT21+AT20+AT19)/AT15</f>
        <v>1.6792559802678759</v>
      </c>
      <c r="AU25" s="619">
        <f>+(AU23+AU21+AU20+AU19)/AU15</f>
        <v>1.686843703715498</v>
      </c>
      <c r="AV25" s="619">
        <f>+(AV23+AV21+AV20+AV19)/AV15</f>
        <v>1.6949101993538327</v>
      </c>
      <c r="AW25" s="619">
        <f>+(AW23+AW21+AW20+AW19)/AW15</f>
        <v>1.707066700502945</v>
      </c>
      <c r="AX25" s="620">
        <f t="shared" ref="AX25:BC25" si="35">+(AX23+AX21+AX20+AX19)/AX15</f>
        <v>1.707066700502945</v>
      </c>
      <c r="AY25" s="619">
        <f t="shared" si="35"/>
        <v>1.6901527574816395</v>
      </c>
      <c r="AZ25" s="619">
        <f t="shared" si="35"/>
        <v>1.6982128016057207</v>
      </c>
      <c r="BA25" s="619">
        <f t="shared" si="35"/>
        <v>1.714440786551154</v>
      </c>
      <c r="BB25" s="619">
        <f t="shared" ca="1" si="35"/>
        <v>1.7359545329326351</v>
      </c>
      <c r="BC25" s="620">
        <f t="shared" ca="1" si="35"/>
        <v>1.7359545329326351</v>
      </c>
      <c r="BD25" s="619">
        <f t="shared" ref="BD25:BO25" si="36">+(BD23+BD21+BD20+BD19)/BD15</f>
        <v>1.7411937377690803</v>
      </c>
      <c r="BE25" s="619">
        <f t="shared" si="36"/>
        <v>1.7368494311227902</v>
      </c>
      <c r="BF25" s="619">
        <f t="shared" si="36"/>
        <v>1.7604078122886673</v>
      </c>
      <c r="BG25" s="619">
        <f t="shared" si="36"/>
        <v>1.82</v>
      </c>
      <c r="BH25" s="620">
        <f t="shared" si="36"/>
        <v>1.8203285420944559</v>
      </c>
      <c r="BI25" s="619">
        <f t="shared" si="36"/>
        <v>1.8337925396014307</v>
      </c>
      <c r="BJ25" s="619">
        <f t="shared" si="36"/>
        <v>2.2338772338772337</v>
      </c>
      <c r="BK25" s="619">
        <f t="shared" si="36"/>
        <v>2.2036063110443274</v>
      </c>
      <c r="BL25" s="619"/>
      <c r="BM25" s="620">
        <f t="shared" ca="1" si="36"/>
        <v>2.2304100376690013</v>
      </c>
      <c r="BN25" s="620">
        <f t="shared" ca="1" si="36"/>
        <v>2.2529549061559506</v>
      </c>
      <c r="BO25" s="620">
        <f t="shared" ca="1" si="36"/>
        <v>2.2952969039561255</v>
      </c>
      <c r="BP25" s="619"/>
      <c r="BQ25" s="657">
        <v>1.6684769975160674</v>
      </c>
      <c r="BR25" s="659"/>
      <c r="BS25" s="657"/>
      <c r="BT25" s="657"/>
      <c r="BY25" s="284">
        <v>1.3</v>
      </c>
      <c r="BZ25" s="284">
        <v>1.34</v>
      </c>
      <c r="CA25" s="284">
        <v>1.4</v>
      </c>
      <c r="CB25" s="284">
        <v>1.4372962485304732</v>
      </c>
      <c r="CC25" s="224">
        <f>+CC24/CC15</f>
        <v>1.5494866529774127</v>
      </c>
      <c r="CG25" s="313">
        <f>IFERROR(J25/C25-1,"N/A")</f>
        <v>5.0138589900524888E-2</v>
      </c>
      <c r="CH25" s="313">
        <f t="shared" ref="CH25:CP25" si="37">IFERROR(K25/F25-1,"N/A")</f>
        <v>3.9683275048247424E-2</v>
      </c>
      <c r="CI25" s="313">
        <f t="shared" si="37"/>
        <v>3.882350319679384E-2</v>
      </c>
      <c r="CJ25" s="313">
        <f t="shared" si="37"/>
        <v>2.7090952572270233E-2</v>
      </c>
      <c r="CK25" s="575">
        <f t="shared" si="37"/>
        <v>2.7090952572270233E-2</v>
      </c>
      <c r="CL25" s="313">
        <f t="shared" si="37"/>
        <v>2.7347102438200821E-2</v>
      </c>
      <c r="CM25" s="313">
        <f t="shared" si="37"/>
        <v>5.2039691289966994E-2</v>
      </c>
      <c r="CN25" s="313">
        <f t="shared" si="37"/>
        <v>0.12083158569183916</v>
      </c>
      <c r="CO25" s="313">
        <f t="shared" si="37"/>
        <v>7.805656249478532E-2</v>
      </c>
      <c r="CP25" s="575">
        <f t="shared" si="37"/>
        <v>7.805656249478532E-2</v>
      </c>
      <c r="CQ25" s="313">
        <f t="shared" si="25"/>
        <v>7.0124907944734138E-2</v>
      </c>
      <c r="CR25" s="313">
        <f t="shared" si="25"/>
        <v>4.9795386883809245E-2</v>
      </c>
      <c r="CS25" s="313">
        <f t="shared" si="25"/>
        <v>-1.3598142778775801E-2</v>
      </c>
      <c r="CT25" s="313">
        <f t="shared" si="25"/>
        <v>3.5912408310705413E-2</v>
      </c>
      <c r="CU25" s="575">
        <f t="shared" si="25"/>
        <v>3.5912408310705413E-2</v>
      </c>
      <c r="CV25" s="313">
        <f t="shared" si="26"/>
        <v>3.8256433166212078E-2</v>
      </c>
      <c r="CW25" s="313">
        <f t="shared" si="26"/>
        <v>3.8714457077131392E-2</v>
      </c>
      <c r="CX25" s="313">
        <f t="shared" si="26"/>
        <v>4.2145548819280787E-2</v>
      </c>
      <c r="CY25" s="313">
        <f t="shared" si="26"/>
        <v>3.1772473853283856E-2</v>
      </c>
      <c r="CZ25" s="575">
        <f t="shared" si="26"/>
        <v>3.1772473853283856E-2</v>
      </c>
      <c r="DA25" s="704">
        <f t="shared" si="26"/>
        <v>2.1959785612037486E-2</v>
      </c>
      <c r="DB25" s="704">
        <f t="shared" si="26"/>
        <v>9.641368868706035E-3</v>
      </c>
      <c r="DC25" s="704">
        <f t="shared" si="26"/>
        <v>1.3426269080801356E-2</v>
      </c>
      <c r="DD25" s="704">
        <f t="shared" si="26"/>
        <v>9.7767538261466225E-3</v>
      </c>
      <c r="DE25" s="705">
        <f t="shared" si="26"/>
        <v>9.7767538261466225E-3</v>
      </c>
      <c r="DF25" s="704">
        <f t="shared" si="27"/>
        <v>6.117274728403288E-4</v>
      </c>
      <c r="DG25" s="704">
        <f t="shared" si="27"/>
        <v>4.8578182104619394E-3</v>
      </c>
      <c r="DH25" s="704">
        <f t="shared" si="27"/>
        <v>-5.5543867043983397E-3</v>
      </c>
      <c r="DI25" s="704">
        <f t="shared" si="27"/>
        <v>-4.1364375519520324E-3</v>
      </c>
      <c r="DJ25" s="705">
        <f t="shared" si="27"/>
        <v>-4.1364375519520324E-3</v>
      </c>
      <c r="DK25" s="704">
        <f t="shared" si="27"/>
        <v>-1.8340605720822412E-3</v>
      </c>
      <c r="DL25" s="704">
        <f t="shared" si="27"/>
        <v>1.868271691926493E-3</v>
      </c>
      <c r="DM25" s="704">
        <f t="shared" si="27"/>
        <v>4.8418574833164474E-3</v>
      </c>
      <c r="DN25" s="704">
        <f t="shared" si="27"/>
        <v>3.1731547593536469E-3</v>
      </c>
      <c r="DO25" s="705">
        <f t="shared" si="27"/>
        <v>3.1731547593536469E-3</v>
      </c>
      <c r="DP25" s="704">
        <f t="shared" si="28"/>
        <v>1.4021453793286121E-2</v>
      </c>
      <c r="DQ25" s="704">
        <f t="shared" si="28"/>
        <v>1.5995191083038929E-2</v>
      </c>
      <c r="DR25" s="704">
        <f t="shared" si="28"/>
        <v>1.562497373966254E-2</v>
      </c>
      <c r="DS25" s="704">
        <f t="shared" si="28"/>
        <v>2.1773337643526958E-2</v>
      </c>
      <c r="DT25" s="705">
        <f t="shared" si="28"/>
        <v>2.1773337643526958E-2</v>
      </c>
      <c r="DU25" s="704">
        <f t="shared" si="28"/>
        <v>6.4890507116284191E-3</v>
      </c>
      <c r="DV25" s="704">
        <f t="shared" si="28"/>
        <v>6.7398644374585537E-3</v>
      </c>
      <c r="DW25" s="704">
        <f t="shared" si="28"/>
        <v>1.1523080812639641E-2</v>
      </c>
      <c r="DX25" s="704">
        <f t="shared" ca="1" si="28"/>
        <v>1.692249776835264E-2</v>
      </c>
      <c r="DY25" s="705">
        <f t="shared" ca="1" si="28"/>
        <v>1.692249776835264E-2</v>
      </c>
      <c r="DZ25" s="704">
        <f t="shared" si="29"/>
        <v>3.0199033821944443E-2</v>
      </c>
      <c r="EA25" s="704">
        <f t="shared" si="29"/>
        <v>2.2751347463955796E-2</v>
      </c>
      <c r="EB25" s="704">
        <f t="shared" si="29"/>
        <v>2.6811672994541125E-2</v>
      </c>
      <c r="EC25" s="704">
        <f t="shared" ca="1" si="29"/>
        <v>4.8414555492638733E-2</v>
      </c>
      <c r="ED25" s="705">
        <f t="shared" ca="1" si="29"/>
        <v>4.8603812807979319E-2</v>
      </c>
      <c r="EE25" s="704">
        <f t="shared" si="29"/>
        <v>5.3181216899501171E-2</v>
      </c>
      <c r="EF25" s="704">
        <f t="shared" si="29"/>
        <v>0.28616631577162033</v>
      </c>
      <c r="EG25" s="704">
        <f t="shared" si="29"/>
        <v>0.25175899337748775</v>
      </c>
      <c r="EH25" s="704">
        <f t="shared" si="29"/>
        <v>-1</v>
      </c>
      <c r="EI25" s="705">
        <f t="shared" ca="1" si="29"/>
        <v>0.22527883626035372</v>
      </c>
      <c r="EJ25" s="705">
        <f t="shared" ca="1" si="30"/>
        <v>1.0107947913698956E-2</v>
      </c>
      <c r="EK25" s="705">
        <f t="shared" ca="1" si="30"/>
        <v>1.8793983707565687E-2</v>
      </c>
    </row>
    <row r="26" spans="2:141">
      <c r="B26" s="212" t="s">
        <v>1883</v>
      </c>
      <c r="C26" s="619"/>
      <c r="D26" s="620"/>
      <c r="E26" s="619"/>
      <c r="F26" s="619"/>
      <c r="G26" s="619"/>
      <c r="H26" s="619"/>
      <c r="I26" s="620"/>
      <c r="J26" s="619"/>
      <c r="K26" s="619"/>
      <c r="L26" s="619"/>
      <c r="M26" s="619"/>
      <c r="N26" s="620"/>
      <c r="O26" s="619"/>
      <c r="P26" s="619"/>
      <c r="Q26" s="619"/>
      <c r="R26" s="619"/>
      <c r="S26" s="620"/>
      <c r="T26" s="797"/>
      <c r="U26" s="619"/>
      <c r="V26" s="619"/>
      <c r="W26" s="619"/>
      <c r="X26" s="619"/>
      <c r="Y26" s="620"/>
      <c r="Z26" s="619"/>
      <c r="AA26" s="619"/>
      <c r="AB26" s="619"/>
      <c r="AC26" s="619"/>
      <c r="AD26" s="620"/>
      <c r="AE26" s="619"/>
      <c r="AF26" s="619"/>
      <c r="AG26" s="619"/>
      <c r="AH26" s="619"/>
      <c r="AI26" s="620"/>
      <c r="AJ26" s="619"/>
      <c r="AK26" s="619"/>
      <c r="AL26" s="619"/>
      <c r="AM26" s="619"/>
      <c r="AN26" s="620"/>
      <c r="AO26" s="619"/>
      <c r="AP26" s="619"/>
      <c r="AQ26" s="619"/>
      <c r="AR26" s="619"/>
      <c r="AS26" s="620"/>
      <c r="AT26" s="619"/>
      <c r="AU26" s="619"/>
      <c r="AV26" s="619"/>
      <c r="AW26" s="619"/>
      <c r="AX26" s="620"/>
      <c r="AY26" s="619"/>
      <c r="AZ26" s="619"/>
      <c r="BA26" s="619"/>
      <c r="BB26" s="619"/>
      <c r="BC26" s="620"/>
      <c r="BD26" s="619"/>
      <c r="BE26" s="619"/>
      <c r="BF26" s="619"/>
      <c r="BG26" s="671">
        <v>50</v>
      </c>
      <c r="BH26" s="698"/>
      <c r="BI26" s="671">
        <v>55</v>
      </c>
      <c r="BJ26" s="671">
        <v>65</v>
      </c>
      <c r="BK26" s="671">
        <v>71</v>
      </c>
      <c r="BL26" s="619"/>
      <c r="BM26" s="698">
        <f ca="1">Fixed!N130</f>
        <v>73.800848507248631</v>
      </c>
      <c r="BN26" s="698">
        <f ca="1">Fixed!O130</f>
        <v>103.75222691052291</v>
      </c>
      <c r="BO26" s="698">
        <f ca="1">Fixed!P130</f>
        <v>136.68197185299869</v>
      </c>
      <c r="BP26" s="619">
        <f>(BK26-BG26)*0.75+3</f>
        <v>18.75</v>
      </c>
      <c r="BQ26" s="657"/>
      <c r="BR26" s="659"/>
      <c r="BS26" s="657"/>
      <c r="BT26" s="657"/>
      <c r="BY26" s="284"/>
      <c r="BZ26" s="284"/>
      <c r="CA26" s="284"/>
      <c r="CB26" s="284"/>
      <c r="CC26" s="224"/>
      <c r="CG26" s="313"/>
      <c r="CH26" s="313"/>
      <c r="CI26" s="313"/>
      <c r="CJ26" s="313"/>
      <c r="CK26" s="575"/>
      <c r="CL26" s="313"/>
      <c r="CM26" s="313"/>
      <c r="CN26" s="313"/>
      <c r="CO26" s="313"/>
      <c r="CP26" s="575"/>
      <c r="CQ26" s="313"/>
      <c r="CR26" s="313"/>
      <c r="CS26" s="313"/>
      <c r="CT26" s="313"/>
      <c r="CU26" s="575"/>
      <c r="CV26" s="313"/>
      <c r="CW26" s="313"/>
      <c r="CX26" s="313"/>
      <c r="CY26" s="313"/>
      <c r="CZ26" s="575"/>
      <c r="DA26" s="704"/>
      <c r="DB26" s="704"/>
      <c r="DC26" s="704"/>
      <c r="DD26" s="704"/>
      <c r="DE26" s="705"/>
      <c r="DF26" s="704"/>
      <c r="DG26" s="704"/>
      <c r="DH26" s="704"/>
      <c r="DI26" s="704"/>
      <c r="DJ26" s="705"/>
      <c r="DK26" s="704"/>
      <c r="DL26" s="704"/>
      <c r="DM26" s="704"/>
      <c r="DN26" s="704"/>
      <c r="DO26" s="705"/>
      <c r="DP26" s="704"/>
      <c r="DQ26" s="704"/>
      <c r="DR26" s="704"/>
      <c r="DS26" s="704"/>
      <c r="DT26" s="705"/>
      <c r="DU26" s="704"/>
      <c r="DV26" s="704"/>
      <c r="DW26" s="704"/>
      <c r="DX26" s="704"/>
      <c r="DY26" s="705"/>
      <c r="DZ26" s="704"/>
      <c r="EA26" s="704"/>
      <c r="EB26" s="704"/>
      <c r="EC26" s="704"/>
      <c r="ED26" s="705"/>
      <c r="EE26" s="704"/>
      <c r="EF26" s="704"/>
      <c r="EG26" s="704"/>
      <c r="EH26" s="704"/>
      <c r="EI26" s="705"/>
      <c r="EJ26" s="705"/>
      <c r="EK26" s="705"/>
    </row>
    <row r="27" spans="2:141">
      <c r="B27" s="212" t="s">
        <v>1884</v>
      </c>
      <c r="C27" s="224"/>
      <c r="D27" s="555"/>
      <c r="E27" s="224"/>
      <c r="F27" s="224"/>
      <c r="G27" s="224"/>
      <c r="H27" s="224"/>
      <c r="I27" s="555"/>
      <c r="J27" s="224"/>
      <c r="K27" s="224"/>
      <c r="L27" s="224"/>
      <c r="M27" s="224"/>
      <c r="N27" s="555"/>
      <c r="O27" s="324"/>
      <c r="P27" s="324"/>
      <c r="Q27" s="324"/>
      <c r="R27" s="324"/>
      <c r="S27" s="555"/>
      <c r="T27" s="569"/>
      <c r="U27" s="324"/>
      <c r="V27" s="324"/>
      <c r="W27" s="324"/>
      <c r="X27" s="324"/>
      <c r="Y27" s="555"/>
      <c r="Z27" s="224"/>
      <c r="AA27" s="224"/>
      <c r="AB27" s="224"/>
      <c r="AC27" s="224"/>
      <c r="AD27" s="555"/>
      <c r="AE27" s="224"/>
      <c r="AF27" s="224"/>
      <c r="AG27" s="224"/>
      <c r="AH27" s="224"/>
      <c r="AJ27" s="224"/>
      <c r="AK27" s="224"/>
      <c r="AL27" s="224"/>
      <c r="AM27" s="224"/>
      <c r="AO27" s="224"/>
      <c r="AP27" s="224"/>
      <c r="AQ27" s="224"/>
      <c r="AR27" s="224"/>
      <c r="AT27" s="224"/>
      <c r="AU27" s="224"/>
      <c r="AV27" s="224"/>
      <c r="AW27" s="224"/>
      <c r="AY27" s="224"/>
      <c r="AZ27" s="224"/>
      <c r="BA27" s="224"/>
      <c r="BB27" s="224"/>
      <c r="BD27" s="224"/>
      <c r="BE27" s="224"/>
      <c r="BF27" s="224"/>
      <c r="BG27" s="1210">
        <f>BG26/BG10</f>
        <v>0.49359316077316434</v>
      </c>
      <c r="BI27" s="1210">
        <f>BI26/BI10</f>
        <v>0.41044776119402987</v>
      </c>
      <c r="BJ27" s="1210">
        <f>BJ26/BJ10</f>
        <v>0.44827586206896552</v>
      </c>
      <c r="BK27" s="1210">
        <f>BK26/BK10</f>
        <v>0.45222929936305734</v>
      </c>
      <c r="BL27" s="224"/>
      <c r="BQ27" s="657"/>
      <c r="BR27" s="657"/>
      <c r="BS27" s="657"/>
      <c r="BT27" s="657"/>
      <c r="BY27" s="284"/>
      <c r="BZ27" s="284"/>
      <c r="CA27" s="284"/>
      <c r="CB27" s="284"/>
      <c r="CC27" s="224"/>
      <c r="DA27" s="708"/>
      <c r="DB27" s="708"/>
      <c r="DC27" s="708"/>
      <c r="DD27" s="708"/>
      <c r="DE27" s="709"/>
      <c r="DF27" s="708"/>
      <c r="DG27" s="708"/>
      <c r="DH27" s="708"/>
      <c r="DI27" s="708"/>
      <c r="DJ27" s="709"/>
      <c r="DK27" s="708"/>
      <c r="DL27" s="708"/>
      <c r="DM27" s="708"/>
      <c r="DN27" s="708"/>
      <c r="DO27" s="709"/>
      <c r="DP27" s="708"/>
      <c r="DQ27" s="708"/>
      <c r="DR27" s="708"/>
      <c r="DS27" s="708"/>
      <c r="DT27" s="709"/>
      <c r="DU27" s="708"/>
      <c r="DV27" s="708"/>
      <c r="DW27" s="708"/>
      <c r="DX27" s="708"/>
      <c r="DY27" s="709"/>
      <c r="DZ27" s="708"/>
      <c r="EA27" s="708"/>
      <c r="EB27" s="708"/>
      <c r="EC27" s="708"/>
      <c r="ED27" s="709"/>
      <c r="EE27" s="708"/>
      <c r="EF27" s="708"/>
      <c r="EG27" s="708"/>
      <c r="EH27" s="708"/>
      <c r="EI27" s="709"/>
      <c r="EJ27" s="709"/>
      <c r="EK27" s="709"/>
    </row>
    <row r="28" spans="2:141">
      <c r="B28" s="212" t="s">
        <v>2058</v>
      </c>
      <c r="C28" s="224"/>
      <c r="D28" s="555"/>
      <c r="E28" s="224"/>
      <c r="F28" s="224"/>
      <c r="G28" s="224"/>
      <c r="H28" s="224"/>
      <c r="I28" s="555"/>
      <c r="J28" s="224"/>
      <c r="K28" s="224"/>
      <c r="L28" s="224"/>
      <c r="M28" s="224"/>
      <c r="N28" s="555"/>
      <c r="O28" s="324"/>
      <c r="P28" s="324"/>
      <c r="Q28" s="324"/>
      <c r="R28" s="324"/>
      <c r="S28" s="555"/>
      <c r="T28" s="569"/>
      <c r="U28" s="324"/>
      <c r="V28" s="324"/>
      <c r="W28" s="324"/>
      <c r="X28" s="324"/>
      <c r="Y28" s="555"/>
      <c r="Z28" s="224"/>
      <c r="AA28" s="224"/>
      <c r="AB28" s="224"/>
      <c r="AC28" s="224"/>
      <c r="AD28" s="555"/>
      <c r="AE28" s="224"/>
      <c r="AF28" s="224"/>
      <c r="AG28" s="224"/>
      <c r="AH28" s="224"/>
      <c r="AJ28" s="224"/>
      <c r="AK28" s="224"/>
      <c r="AL28" s="224"/>
      <c r="AM28" s="224"/>
      <c r="AO28" s="671">
        <v>93.759541244999809</v>
      </c>
      <c r="AP28" s="671">
        <v>93.750541244999809</v>
      </c>
      <c r="AQ28" s="671">
        <v>93.673000000000002</v>
      </c>
      <c r="AR28" s="671">
        <v>93.788000100000005</v>
      </c>
      <c r="AT28" s="671">
        <v>93</v>
      </c>
      <c r="AU28" s="671">
        <v>93</v>
      </c>
      <c r="AV28" s="671">
        <v>93</v>
      </c>
      <c r="AW28" s="671">
        <v>93</v>
      </c>
      <c r="AY28" s="671">
        <v>93</v>
      </c>
      <c r="AZ28" s="671">
        <v>93</v>
      </c>
      <c r="BA28" s="671">
        <v>93</v>
      </c>
      <c r="BB28" s="671">
        <v>93</v>
      </c>
      <c r="BD28" s="671">
        <v>93</v>
      </c>
      <c r="BE28" s="671">
        <v>93</v>
      </c>
      <c r="BF28" s="671">
        <v>93</v>
      </c>
      <c r="BG28" s="671">
        <v>93</v>
      </c>
      <c r="BH28" s="698"/>
      <c r="BI28" s="671">
        <v>93</v>
      </c>
      <c r="BJ28" s="671">
        <v>47</v>
      </c>
      <c r="BK28" s="671">
        <v>47</v>
      </c>
      <c r="BL28" s="671">
        <f>BK28</f>
        <v>47</v>
      </c>
      <c r="BP28" s="212">
        <f>BP26/BP29</f>
        <v>0.44803670477261903</v>
      </c>
      <c r="BQ28" s="657"/>
      <c r="BR28" s="657"/>
      <c r="BS28" s="657"/>
      <c r="BT28" s="657"/>
      <c r="BY28" s="284"/>
      <c r="BZ28" s="284"/>
      <c r="CA28" s="284"/>
      <c r="CB28" s="284"/>
      <c r="CC28" s="224"/>
      <c r="DA28" s="708"/>
      <c r="DB28" s="708"/>
      <c r="DC28" s="708"/>
      <c r="DD28" s="708"/>
      <c r="DE28" s="709"/>
      <c r="DF28" s="708"/>
      <c r="DG28" s="708"/>
      <c r="DH28" s="708"/>
      <c r="DI28" s="708"/>
      <c r="DJ28" s="709"/>
      <c r="DK28" s="708"/>
      <c r="DL28" s="708"/>
      <c r="DM28" s="708"/>
      <c r="DN28" s="708"/>
      <c r="DO28" s="709"/>
      <c r="DP28" s="708"/>
      <c r="DQ28" s="708"/>
      <c r="DR28" s="708"/>
      <c r="DS28" s="708"/>
      <c r="DT28" s="709"/>
      <c r="DU28" s="708"/>
      <c r="DV28" s="708"/>
      <c r="DW28" s="708"/>
      <c r="DX28" s="708"/>
      <c r="DY28" s="709"/>
      <c r="DZ28" s="708"/>
      <c r="EA28" s="708"/>
      <c r="EB28" s="708"/>
      <c r="EC28" s="708"/>
      <c r="ED28" s="709"/>
      <c r="EE28" s="708"/>
      <c r="EF28" s="708"/>
      <c r="EG28" s="708"/>
      <c r="EH28" s="708"/>
      <c r="EI28" s="709"/>
      <c r="EJ28" s="709"/>
      <c r="EK28" s="709"/>
    </row>
    <row r="29" spans="2:141">
      <c r="B29" s="212" t="s">
        <v>2074</v>
      </c>
      <c r="C29" s="224"/>
      <c r="D29" s="555"/>
      <c r="E29" s="224"/>
      <c r="F29" s="224"/>
      <c r="G29" s="224"/>
      <c r="H29" s="224"/>
      <c r="I29" s="555"/>
      <c r="J29" s="224"/>
      <c r="K29" s="224"/>
      <c r="L29" s="224"/>
      <c r="M29" s="224"/>
      <c r="N29" s="555"/>
      <c r="O29" s="324"/>
      <c r="P29" s="324"/>
      <c r="Q29" s="324"/>
      <c r="R29" s="324"/>
      <c r="S29" s="555"/>
      <c r="T29" s="569"/>
      <c r="U29" s="324"/>
      <c r="V29" s="324"/>
      <c r="W29" s="324"/>
      <c r="X29" s="324"/>
      <c r="Y29" s="555"/>
      <c r="Z29" s="224"/>
      <c r="AA29" s="224"/>
      <c r="AB29" s="224"/>
      <c r="AC29" s="224"/>
      <c r="AD29" s="555"/>
      <c r="AE29" s="224"/>
      <c r="AF29" s="224"/>
      <c r="AG29" s="224"/>
      <c r="AH29" s="224"/>
      <c r="AJ29" s="224"/>
      <c r="AK29" s="224"/>
      <c r="AL29" s="224"/>
      <c r="AM29" s="224"/>
      <c r="AO29" s="671"/>
      <c r="AP29" s="671"/>
      <c r="AQ29" s="671"/>
      <c r="AR29" s="671"/>
      <c r="AT29" s="671"/>
      <c r="AU29" s="671"/>
      <c r="AV29" s="671"/>
      <c r="AW29" s="671"/>
      <c r="AY29" s="671"/>
      <c r="AZ29" s="671"/>
      <c r="BA29" s="671"/>
      <c r="BB29" s="671"/>
      <c r="BD29" s="1317">
        <f>BD21-BD28</f>
        <v>578</v>
      </c>
      <c r="BE29" s="1317">
        <f>BE21-BE28</f>
        <v>590.00800020000008</v>
      </c>
      <c r="BF29" s="1317">
        <f>BF21-BF28</f>
        <v>600.04700019999996</v>
      </c>
      <c r="BG29" s="1317">
        <f>BG21-BG28</f>
        <v>625.20100020000007</v>
      </c>
      <c r="BH29" s="698"/>
      <c r="BI29" s="1317">
        <f>BI21-BI28</f>
        <v>639.73200000000008</v>
      </c>
      <c r="BJ29" s="1317">
        <f>BJ21-BJ28</f>
        <v>659</v>
      </c>
      <c r="BK29" s="1317">
        <f>BK21-BK28</f>
        <v>681</v>
      </c>
      <c r="BL29" s="1317">
        <f ca="1">BL21-BL28</f>
        <v>704.20313183552355</v>
      </c>
      <c r="BM29" s="1322">
        <f ca="1">BL29</f>
        <v>704.20313183552355</v>
      </c>
      <c r="BP29" s="619">
        <f>(BK29-BG29)*0.75</f>
        <v>41.84924984999995</v>
      </c>
      <c r="BQ29" s="657"/>
      <c r="BR29" s="657"/>
      <c r="BS29" s="657"/>
      <c r="BT29" s="657"/>
      <c r="BY29" s="284"/>
      <c r="BZ29" s="284"/>
      <c r="CA29" s="284"/>
      <c r="CB29" s="284"/>
      <c r="CC29" s="224"/>
      <c r="DA29" s="708"/>
      <c r="DB29" s="708"/>
      <c r="DC29" s="708"/>
      <c r="DD29" s="708"/>
      <c r="DE29" s="709"/>
      <c r="DF29" s="708"/>
      <c r="DG29" s="708"/>
      <c r="DH29" s="708"/>
      <c r="DI29" s="708"/>
      <c r="DJ29" s="709"/>
      <c r="DK29" s="708"/>
      <c r="DL29" s="708"/>
      <c r="DM29" s="708"/>
      <c r="DN29" s="708"/>
      <c r="DO29" s="709"/>
      <c r="DP29" s="708"/>
      <c r="DQ29" s="708"/>
      <c r="DR29" s="708"/>
      <c r="DS29" s="708"/>
      <c r="DT29" s="709"/>
      <c r="DU29" s="708"/>
      <c r="DV29" s="708"/>
      <c r="DW29" s="708"/>
      <c r="DX29" s="708"/>
      <c r="DY29" s="709"/>
      <c r="DZ29" s="708"/>
      <c r="EA29" s="708"/>
      <c r="EB29" s="708"/>
      <c r="EC29" s="708"/>
      <c r="ED29" s="709"/>
      <c r="EE29" s="708"/>
      <c r="EF29" s="708"/>
      <c r="EG29" s="708"/>
      <c r="EH29" s="708"/>
      <c r="EI29" s="709"/>
      <c r="EJ29" s="709"/>
      <c r="EK29" s="709"/>
    </row>
    <row r="30" spans="2:141">
      <c r="C30" s="224"/>
      <c r="D30" s="555"/>
      <c r="E30" s="224"/>
      <c r="F30" s="224"/>
      <c r="G30" s="224"/>
      <c r="H30" s="224"/>
      <c r="I30" s="555"/>
      <c r="J30" s="224"/>
      <c r="K30" s="224"/>
      <c r="L30" s="224"/>
      <c r="M30" s="224"/>
      <c r="N30" s="555"/>
      <c r="O30" s="324"/>
      <c r="P30" s="324"/>
      <c r="Q30" s="324"/>
      <c r="R30" s="324"/>
      <c r="S30" s="555"/>
      <c r="T30" s="569"/>
      <c r="U30" s="324"/>
      <c r="V30" s="324"/>
      <c r="W30" s="324"/>
      <c r="X30" s="324"/>
      <c r="Y30" s="555"/>
      <c r="Z30" s="224"/>
      <c r="AA30" s="224"/>
      <c r="AB30" s="224"/>
      <c r="AC30" s="224"/>
      <c r="AD30" s="555"/>
      <c r="AE30" s="224"/>
      <c r="AF30" s="224"/>
      <c r="AG30" s="224"/>
      <c r="AH30" s="224"/>
      <c r="AJ30" s="224"/>
      <c r="AK30" s="224"/>
      <c r="AL30" s="224"/>
      <c r="AM30" s="224"/>
      <c r="AO30" s="224"/>
      <c r="AP30" s="224"/>
      <c r="AQ30" s="224"/>
      <c r="AR30" s="224"/>
      <c r="AT30" s="224"/>
      <c r="AU30" s="224"/>
      <c r="AV30" s="224"/>
      <c r="AW30" s="224"/>
      <c r="AY30" s="224"/>
      <c r="AZ30" s="224"/>
      <c r="BA30" s="224"/>
      <c r="BB30" s="224"/>
      <c r="BD30" s="224"/>
      <c r="BE30" s="224"/>
      <c r="BF30" s="224"/>
      <c r="BG30" s="224"/>
      <c r="BI30" s="224"/>
      <c r="BJ30" s="224"/>
      <c r="BK30" s="224"/>
      <c r="BL30" s="224"/>
      <c r="BQ30" s="657"/>
      <c r="BR30" s="657"/>
      <c r="BS30" s="657"/>
      <c r="BT30" s="657"/>
      <c r="BY30" s="284"/>
      <c r="BZ30" s="284"/>
      <c r="CA30" s="284"/>
      <c r="CB30" s="284"/>
      <c r="CC30" s="224"/>
      <c r="DA30" s="708"/>
      <c r="DB30" s="708"/>
      <c r="DC30" s="708"/>
      <c r="DD30" s="708"/>
      <c r="DE30" s="709"/>
      <c r="DF30" s="708"/>
      <c r="DG30" s="708"/>
      <c r="DH30" s="708"/>
      <c r="DI30" s="708"/>
      <c r="DJ30" s="709"/>
      <c r="DK30" s="708"/>
      <c r="DL30" s="708"/>
      <c r="DM30" s="708"/>
      <c r="DN30" s="708"/>
      <c r="DO30" s="709"/>
      <c r="DP30" s="708"/>
      <c r="DQ30" s="708"/>
      <c r="DR30" s="708"/>
      <c r="DS30" s="708"/>
      <c r="DT30" s="709"/>
      <c r="DU30" s="708"/>
      <c r="DV30" s="708"/>
      <c r="DW30" s="708"/>
      <c r="DX30" s="708"/>
      <c r="DY30" s="709"/>
      <c r="DZ30" s="708"/>
      <c r="EA30" s="708"/>
      <c r="EB30" s="708"/>
      <c r="EC30" s="708"/>
      <c r="ED30" s="709"/>
      <c r="EE30" s="708"/>
      <c r="EF30" s="708"/>
      <c r="EG30" s="708"/>
      <c r="EH30" s="708"/>
      <c r="EI30" s="709"/>
      <c r="EJ30" s="709"/>
      <c r="EK30" s="709"/>
    </row>
    <row r="31" spans="2:141">
      <c r="B31" s="7" t="s">
        <v>987</v>
      </c>
      <c r="C31" s="224"/>
      <c r="D31" s="555"/>
      <c r="E31" s="224"/>
      <c r="F31" s="224"/>
      <c r="G31" s="224"/>
      <c r="H31" s="224"/>
      <c r="I31" s="555"/>
      <c r="J31" s="224"/>
      <c r="K31" s="224"/>
      <c r="L31" s="224"/>
      <c r="M31" s="224"/>
      <c r="N31" s="555"/>
      <c r="O31" s="224"/>
      <c r="P31" s="224"/>
      <c r="Q31" s="224"/>
      <c r="R31" s="224"/>
      <c r="S31" s="555"/>
      <c r="T31" s="570"/>
      <c r="U31" s="224"/>
      <c r="V31" s="224"/>
      <c r="W31" s="224"/>
      <c r="X31" s="224"/>
      <c r="Y31" s="555"/>
      <c r="Z31" s="224"/>
      <c r="AA31" s="224"/>
      <c r="AB31" s="224"/>
      <c r="AC31" s="224"/>
      <c r="AE31" s="224"/>
      <c r="AF31" s="224"/>
      <c r="AG31" s="224"/>
      <c r="AH31" s="224"/>
      <c r="AJ31" s="224"/>
      <c r="AK31" s="224"/>
      <c r="AL31" s="224"/>
      <c r="AM31" s="224"/>
      <c r="AO31" s="224"/>
      <c r="AP31" s="224"/>
      <c r="AQ31" s="224"/>
      <c r="AR31" s="224"/>
      <c r="AT31" s="224"/>
      <c r="AU31" s="224"/>
      <c r="AV31" s="224"/>
      <c r="AW31" s="224"/>
      <c r="AY31" s="224"/>
      <c r="AZ31" s="224"/>
      <c r="BA31" s="224"/>
      <c r="BB31" s="224"/>
      <c r="BD31" s="224"/>
      <c r="BE31" s="224"/>
      <c r="BF31" s="224"/>
      <c r="BG31" s="224"/>
      <c r="BI31" s="224"/>
      <c r="BJ31" s="224"/>
      <c r="BK31" s="224"/>
      <c r="BL31" s="224"/>
      <c r="BQ31" s="657"/>
      <c r="BR31" s="657"/>
      <c r="BS31" s="657"/>
      <c r="BT31" s="657"/>
      <c r="CC31" s="224"/>
      <c r="DA31" s="708"/>
      <c r="DB31" s="708"/>
      <c r="DC31" s="708"/>
      <c r="DD31" s="708"/>
      <c r="DE31" s="709"/>
      <c r="DF31" s="708"/>
      <c r="DG31" s="708"/>
      <c r="DH31" s="708"/>
      <c r="DI31" s="708"/>
      <c r="DJ31" s="709"/>
      <c r="DK31" s="708"/>
      <c r="DL31" s="708"/>
      <c r="DM31" s="708"/>
      <c r="DN31" s="708"/>
      <c r="DO31" s="709"/>
      <c r="DP31" s="708"/>
      <c r="DQ31" s="708"/>
      <c r="DR31" s="708"/>
      <c r="DS31" s="708"/>
      <c r="DT31" s="709"/>
      <c r="DU31" s="708"/>
      <c r="DV31" s="708"/>
      <c r="DW31" s="708"/>
      <c r="DX31" s="708"/>
      <c r="DY31" s="709"/>
      <c r="DZ31" s="708"/>
      <c r="EA31" s="708"/>
      <c r="EB31" s="708"/>
      <c r="EC31" s="708"/>
      <c r="ED31" s="709"/>
      <c r="EE31" s="708"/>
      <c r="EF31" s="708"/>
      <c r="EG31" s="708"/>
      <c r="EH31" s="708"/>
      <c r="EI31" s="709"/>
      <c r="EJ31" s="709"/>
      <c r="EK31" s="709"/>
    </row>
    <row r="32" spans="2:141">
      <c r="B32" s="212" t="str">
        <f>+B5</f>
        <v>Homes connected ('000)</v>
      </c>
      <c r="C32" s="218"/>
      <c r="D32" s="554"/>
      <c r="E32" s="796">
        <f>+E5-C5</f>
        <v>-42</v>
      </c>
      <c r="F32" s="796">
        <f>+F5-E5</f>
        <v>-54</v>
      </c>
      <c r="G32" s="796">
        <f>+G5-F5</f>
        <v>-10</v>
      </c>
      <c r="H32" s="796">
        <f>+H5-G5</f>
        <v>-1</v>
      </c>
      <c r="I32" s="698">
        <f>SUM(E32:H32)</f>
        <v>-107</v>
      </c>
      <c r="J32" s="796">
        <f>+J5-H5</f>
        <v>-39</v>
      </c>
      <c r="K32" s="796">
        <f>+K5-J5</f>
        <v>-6</v>
      </c>
      <c r="L32" s="796">
        <f>+L5-K5</f>
        <v>16</v>
      </c>
      <c r="M32" s="796">
        <f>+M5-L5</f>
        <v>-22.548525990573125</v>
      </c>
      <c r="N32" s="698">
        <f>SUM(J32:M32)</f>
        <v>-51.548525990573125</v>
      </c>
      <c r="O32" s="796">
        <f>+O5-M5</f>
        <v>-30.451474009426875</v>
      </c>
      <c r="P32" s="796">
        <f>+P5-O5</f>
        <v>9</v>
      </c>
      <c r="Q32" s="796">
        <f>+Q5-P5</f>
        <v>1157</v>
      </c>
      <c r="R32" s="796">
        <f>+R5-Q5</f>
        <v>772</v>
      </c>
      <c r="S32" s="698">
        <f>SUM(O32:R32)</f>
        <v>1907.5485259905731</v>
      </c>
      <c r="T32" s="657"/>
      <c r="U32" s="796">
        <f>+U5-R5</f>
        <v>-12</v>
      </c>
      <c r="V32" s="796">
        <f>+V5-U5</f>
        <v>3</v>
      </c>
      <c r="W32" s="796">
        <f>+W5-V5</f>
        <v>5</v>
      </c>
      <c r="X32" s="796">
        <f>+X5-W5</f>
        <v>7</v>
      </c>
      <c r="Y32" s="698">
        <f>SUM(U32:X32)</f>
        <v>3</v>
      </c>
      <c r="Z32" s="796">
        <f>+Z5-Y5</f>
        <v>-3</v>
      </c>
      <c r="AA32" s="796">
        <f>+AA5-Z5</f>
        <v>-10</v>
      </c>
      <c r="AB32" s="796">
        <f>+AB5-AA5</f>
        <v>-0.71300000000019281</v>
      </c>
      <c r="AC32" s="796">
        <f>+AC5-AB5</f>
        <v>-2.2869999999998072</v>
      </c>
      <c r="AD32" s="698">
        <f>SUM(Z32:AC32)</f>
        <v>-16</v>
      </c>
      <c r="AE32" s="796">
        <f>+AE5-AD5</f>
        <v>-43</v>
      </c>
      <c r="AF32" s="796">
        <f>+AF5-AE5</f>
        <v>11.592999999999847</v>
      </c>
      <c r="AG32" s="796">
        <f>+AG5-AF5</f>
        <v>-223.65299999999979</v>
      </c>
      <c r="AH32" s="796">
        <f>+AH5-AG5</f>
        <v>-0.22699999999986176</v>
      </c>
      <c r="AI32" s="698">
        <f>SUM(AE32:AH32)</f>
        <v>-255.28699999999981</v>
      </c>
      <c r="AJ32" s="796">
        <f>+AJ5-AI5</f>
        <v>48.648768719499913</v>
      </c>
      <c r="AK32" s="796">
        <f>+AK5-AJ5</f>
        <v>4.4972312773998055</v>
      </c>
      <c r="AL32" s="796">
        <f>+AL5-AK5</f>
        <v>-17.297999996899762</v>
      </c>
      <c r="AM32" s="796">
        <f>+AM5-AL5</f>
        <v>6.8659999999999854</v>
      </c>
      <c r="AN32" s="698">
        <f>AN5-AI5</f>
        <v>42.713999999999942</v>
      </c>
      <c r="AO32" s="796">
        <f>+AO5-AN5</f>
        <v>-30.507000000000062</v>
      </c>
      <c r="AP32" s="796">
        <f>+AP5-AO5</f>
        <v>0.97699999999986176</v>
      </c>
      <c r="AQ32" s="796">
        <f>+AQ5-AP5</f>
        <v>-12.730999999999767</v>
      </c>
      <c r="AR32" s="796">
        <f>+AR5-AQ5</f>
        <v>-3.0280000000002474</v>
      </c>
      <c r="AS32" s="698">
        <f>AS5-AN5</f>
        <v>-45.289000000000215</v>
      </c>
      <c r="AT32" s="796">
        <f>+AT5-AS5</f>
        <v>-7.7019999999997708</v>
      </c>
      <c r="AU32" s="796">
        <f>+AU5-AT5</f>
        <v>-9.4059999999999491</v>
      </c>
      <c r="AV32" s="796">
        <f>+AV5-AU5</f>
        <v>-9.0300000000002001</v>
      </c>
      <c r="AW32" s="796">
        <f>+AW5-AV5</f>
        <v>-39</v>
      </c>
      <c r="AX32" s="698">
        <f>AX5-AS5</f>
        <v>-65.13799999999992</v>
      </c>
      <c r="AY32" s="796">
        <f>+AY5-AX5</f>
        <v>-28.202999999999975</v>
      </c>
      <c r="AZ32" s="796">
        <f>+AZ5-AY5</f>
        <v>-1.1440000000002328</v>
      </c>
      <c r="BA32" s="796">
        <f>+BA5-AZ5</f>
        <v>-59.152999999999793</v>
      </c>
      <c r="BB32" s="796">
        <f>+BB5-BA5</f>
        <v>-15.623000000000047</v>
      </c>
      <c r="BC32" s="698">
        <f>BC5-AX5</f>
        <v>-104.12300000000005</v>
      </c>
      <c r="BD32" s="796">
        <f>+BD5-BC5</f>
        <v>-5.8769999999999527</v>
      </c>
      <c r="BE32" s="796">
        <f>+BE5-BD5</f>
        <v>-9.3090000000001965</v>
      </c>
      <c r="BF32" s="796">
        <f>+BF5-BE5</f>
        <v>-0.81399999999985084</v>
      </c>
      <c r="BG32" s="796">
        <f>+BG5-BF5</f>
        <v>-52.123000000000047</v>
      </c>
      <c r="BH32" s="698">
        <f>BH5-BC5</f>
        <v>-67.876999999999953</v>
      </c>
      <c r="BI32" s="796">
        <f>+BI5-BH5</f>
        <v>-12</v>
      </c>
      <c r="BJ32" s="796">
        <f>+BJ5-BI5</f>
        <v>-113</v>
      </c>
      <c r="BK32" s="796">
        <f>+BK5-BJ5</f>
        <v>-46</v>
      </c>
      <c r="BL32" s="796"/>
      <c r="BM32" s="698"/>
      <c r="BN32" s="698"/>
      <c r="BO32" s="698"/>
      <c r="BP32" s="218"/>
      <c r="BQ32" s="657">
        <v>6.0996666817177356</v>
      </c>
      <c r="BR32" s="657"/>
      <c r="BS32" s="657"/>
      <c r="BT32" s="657"/>
      <c r="BZ32" s="218">
        <f>+BZ5-BY5</f>
        <v>-107</v>
      </c>
      <c r="CA32" s="218">
        <f>+CA5-BZ5</f>
        <v>-107</v>
      </c>
      <c r="CB32" s="218">
        <f>+CB5-CA5</f>
        <v>-51.548525990573125</v>
      </c>
      <c r="CC32" s="218">
        <f>+CC5-CB5</f>
        <v>1907.5485259905731</v>
      </c>
      <c r="DA32" s="708"/>
      <c r="DB32" s="708"/>
      <c r="DC32" s="708"/>
      <c r="DD32" s="708"/>
      <c r="DE32" s="709"/>
      <c r="DF32" s="708"/>
      <c r="DG32" s="708"/>
      <c r="DH32" s="708"/>
      <c r="DI32" s="708"/>
      <c r="DJ32" s="709"/>
      <c r="DK32" s="708"/>
      <c r="DL32" s="708"/>
      <c r="DM32" s="708"/>
      <c r="DN32" s="708"/>
      <c r="DO32" s="709"/>
      <c r="DP32" s="708"/>
      <c r="DQ32" s="708"/>
      <c r="DR32" s="708"/>
      <c r="DS32" s="708"/>
      <c r="DT32" s="709"/>
      <c r="DU32" s="708"/>
      <c r="DV32" s="708"/>
      <c r="DW32" s="708"/>
      <c r="DX32" s="708"/>
      <c r="DY32" s="709"/>
      <c r="DZ32" s="708"/>
      <c r="EA32" s="708"/>
      <c r="EB32" s="708"/>
      <c r="EC32" s="708"/>
      <c r="ED32" s="709"/>
      <c r="EE32" s="708"/>
      <c r="EF32" s="708"/>
      <c r="EG32" s="708"/>
      <c r="EH32" s="708"/>
      <c r="EI32" s="709"/>
      <c r="EJ32" s="709"/>
      <c r="EK32" s="709"/>
    </row>
    <row r="33" spans="2:141">
      <c r="B33" s="212" t="str">
        <f>+B9</f>
        <v>Homes connected - own network - two-way upgraded ('000)</v>
      </c>
      <c r="C33" s="218"/>
      <c r="D33" s="554"/>
      <c r="E33" s="796">
        <f>+E9-C9</f>
        <v>-19</v>
      </c>
      <c r="F33" s="796">
        <f>+F9-E9</f>
        <v>4</v>
      </c>
      <c r="G33" s="796">
        <f>+G9-F9</f>
        <v>7</v>
      </c>
      <c r="H33" s="796">
        <f>+H9-G9</f>
        <v>18</v>
      </c>
      <c r="I33" s="698">
        <f t="shared" ref="I33:I41" si="38">SUM(E33:H33)</f>
        <v>10</v>
      </c>
      <c r="J33" s="796">
        <f>+J9-H9</f>
        <v>10</v>
      </c>
      <c r="K33" s="796">
        <f>+K9-J9</f>
        <v>24</v>
      </c>
      <c r="L33" s="796">
        <f>+L9-K9</f>
        <v>7.4779999999999518</v>
      </c>
      <c r="M33" s="796">
        <f>+M9-L9</f>
        <v>0.69100000000003092</v>
      </c>
      <c r="N33" s="698">
        <f t="shared" ref="N33:N41" si="39">SUM(J33:M33)</f>
        <v>42.168999999999983</v>
      </c>
      <c r="O33" s="796">
        <f>+O9-M9</f>
        <v>6.8310000000000173</v>
      </c>
      <c r="P33" s="796">
        <f>+P9-O9</f>
        <v>15</v>
      </c>
      <c r="Q33" s="796">
        <f>+Q9-P9</f>
        <v>653</v>
      </c>
      <c r="R33" s="796">
        <f>+R9-Q9</f>
        <v>585</v>
      </c>
      <c r="S33" s="698">
        <f t="shared" ref="S33:S41" si="40">SUM(O33:R33)</f>
        <v>1259.8310000000001</v>
      </c>
      <c r="T33" s="657"/>
      <c r="U33" s="796">
        <f>+U9-R9</f>
        <v>3</v>
      </c>
      <c r="V33" s="796">
        <f>+V9-U9</f>
        <v>22</v>
      </c>
      <c r="W33" s="796">
        <f>+W9-V9</f>
        <v>25</v>
      </c>
      <c r="X33" s="796">
        <f>+X9-W9</f>
        <v>39</v>
      </c>
      <c r="Y33" s="698">
        <f t="shared" ref="Y33:Y41" si="41">SUM(U33:X33)</f>
        <v>89</v>
      </c>
      <c r="Z33" s="796">
        <f>+Z9-Y9</f>
        <v>11</v>
      </c>
      <c r="AA33" s="796">
        <f>+AA9-Z9</f>
        <v>16</v>
      </c>
      <c r="AB33" s="796">
        <f>+AB9-AA9</f>
        <v>5.8960000000001855</v>
      </c>
      <c r="AC33" s="796">
        <f>+AC9-AB9</f>
        <v>12.103999999999814</v>
      </c>
      <c r="AD33" s="698">
        <f t="shared" ref="AD33:AD41" si="42">SUM(Z33:AC33)</f>
        <v>45</v>
      </c>
      <c r="AE33" s="796">
        <f>+AE9-AD9</f>
        <v>-13</v>
      </c>
      <c r="AF33" s="796">
        <f>+AF9-AE9</f>
        <v>7.7159999999998945</v>
      </c>
      <c r="AG33" s="796">
        <f>+AG9-AF9</f>
        <v>-35.19399999999996</v>
      </c>
      <c r="AH33" s="796">
        <f>+AH9-AG9</f>
        <v>11.768000000000029</v>
      </c>
      <c r="AI33" s="698">
        <f t="shared" ref="AI33:AI41" si="43">SUM(AE33:AH33)</f>
        <v>-28.710000000000036</v>
      </c>
      <c r="AJ33" s="796">
        <f>+AJ9-AI9</f>
        <v>32.320768719499938</v>
      </c>
      <c r="AK33" s="796">
        <f>+AK9-AJ9</f>
        <v>9.1062312774001839</v>
      </c>
      <c r="AL33" s="796">
        <f>+AL9-AK9</f>
        <v>6.4580000031000964</v>
      </c>
      <c r="AM33" s="796">
        <f>+AM9-AL9</f>
        <v>4.2300000000000182</v>
      </c>
      <c r="AN33" s="698">
        <f>AN9-AI9</f>
        <v>52.115000000000236</v>
      </c>
      <c r="AO33" s="796">
        <f>+AO9-AN9</f>
        <v>12.158999999999651</v>
      </c>
      <c r="AP33" s="796">
        <f>+AP9-AO9</f>
        <v>5.9920000000001892</v>
      </c>
      <c r="AQ33" s="796">
        <f>+AQ9-AP9</f>
        <v>-2.93100000000004</v>
      </c>
      <c r="AR33" s="796">
        <f>+AR9-AQ9</f>
        <v>1.4650000000001455</v>
      </c>
      <c r="AS33" s="698">
        <f>AS9-AN9</f>
        <v>16.684999999999945</v>
      </c>
      <c r="AT33" s="796">
        <f>+AT9-AS9</f>
        <v>-1.2950000000000728</v>
      </c>
      <c r="AU33" s="796">
        <f>+AU9-AT9</f>
        <v>-4.3270000000002256</v>
      </c>
      <c r="AV33" s="796">
        <f>+AV9-AU9</f>
        <v>-6.7959999999998217</v>
      </c>
      <c r="AW33" s="796">
        <f>+AW9-AV9</f>
        <v>-17.074999999999818</v>
      </c>
      <c r="AX33" s="698">
        <f>AX9-AS9</f>
        <v>-29.492999999999938</v>
      </c>
      <c r="AY33" s="796">
        <f>+AY9-AX9</f>
        <v>-2.5500000000001819</v>
      </c>
      <c r="AZ33" s="796">
        <f>+AZ9-AY9</f>
        <v>1.9420000000000073</v>
      </c>
      <c r="BA33" s="796">
        <f>+BA9-AZ9</f>
        <v>-40.023000000000138</v>
      </c>
      <c r="BB33" s="796">
        <f>+BB9-BA9</f>
        <v>8.1350000000002183</v>
      </c>
      <c r="BC33" s="698">
        <f>BC9-AX9</f>
        <v>-32.496000000000095</v>
      </c>
      <c r="BD33" s="796">
        <f>+BD9-BC9</f>
        <v>-9.1010000000001128</v>
      </c>
      <c r="BE33" s="796">
        <f>+BE9-BD9</f>
        <v>-4.5859999999997854</v>
      </c>
      <c r="BF33" s="796">
        <f>+BF9-BE9</f>
        <v>3.5969999999997526</v>
      </c>
      <c r="BG33" s="796">
        <f>+BG9-BF9</f>
        <v>63.981000000000222</v>
      </c>
      <c r="BH33" s="698">
        <f>BH9-BC9</f>
        <v>53.898999999999887</v>
      </c>
      <c r="BI33" s="796">
        <f>+BI9-BH9</f>
        <v>3</v>
      </c>
      <c r="BJ33" s="796">
        <f>+BJ9-BI9</f>
        <v>8</v>
      </c>
      <c r="BK33" s="796">
        <f>+BK9-BJ9</f>
        <v>5</v>
      </c>
      <c r="BL33" s="796"/>
      <c r="BM33" s="698"/>
      <c r="BN33" s="698"/>
      <c r="BO33" s="698"/>
      <c r="BP33" s="218"/>
      <c r="BQ33" s="657">
        <v>6.4353673247696861</v>
      </c>
      <c r="BR33" s="657"/>
      <c r="BS33" s="657"/>
      <c r="BT33" s="657"/>
      <c r="BZ33" s="218">
        <f>+BZ9-BY9</f>
        <v>92</v>
      </c>
      <c r="CA33" s="218">
        <f>+CA9-BZ9</f>
        <v>10</v>
      </c>
      <c r="CB33" s="218">
        <f>+CB9-CA9</f>
        <v>42.168999999999983</v>
      </c>
      <c r="CC33" s="218">
        <f>+CC9-CB9</f>
        <v>1259.8310000000001</v>
      </c>
      <c r="DA33" s="708"/>
      <c r="DB33" s="708"/>
      <c r="DC33" s="708"/>
      <c r="DD33" s="708"/>
      <c r="DE33" s="709"/>
      <c r="DF33" s="708"/>
      <c r="DG33" s="708"/>
      <c r="DH33" s="708"/>
      <c r="DI33" s="708"/>
      <c r="DJ33" s="709"/>
      <c r="DK33" s="708"/>
      <c r="DL33" s="708"/>
      <c r="DM33" s="708"/>
      <c r="DN33" s="708"/>
      <c r="DO33" s="709"/>
      <c r="DP33" s="708"/>
      <c r="DQ33" s="708"/>
      <c r="DR33" s="708"/>
      <c r="DS33" s="708"/>
      <c r="DT33" s="709"/>
      <c r="DU33" s="708"/>
      <c r="DV33" s="708"/>
      <c r="DW33" s="708"/>
      <c r="DX33" s="708"/>
      <c r="DY33" s="709"/>
      <c r="DZ33" s="708"/>
      <c r="EA33" s="708"/>
      <c r="EB33" s="708"/>
      <c r="EC33" s="708"/>
      <c r="ED33" s="709"/>
      <c r="EE33" s="708"/>
      <c r="EF33" s="708"/>
      <c r="EG33" s="708"/>
      <c r="EH33" s="708"/>
      <c r="EI33" s="709"/>
      <c r="EJ33" s="709"/>
      <c r="EK33" s="709"/>
    </row>
    <row r="34" spans="2:141">
      <c r="B34" s="212" t="str">
        <f>+B15</f>
        <v>Unique subscribers</v>
      </c>
      <c r="C34" s="218"/>
      <c r="D34" s="554"/>
      <c r="E34" s="796">
        <f>+E15-C15</f>
        <v>-32</v>
      </c>
      <c r="F34" s="796">
        <f t="shared" ref="F34:R34" si="44">+F15-E15</f>
        <v>-22</v>
      </c>
      <c r="G34" s="796">
        <f t="shared" si="44"/>
        <v>4</v>
      </c>
      <c r="H34" s="796">
        <f t="shared" si="44"/>
        <v>-1</v>
      </c>
      <c r="I34" s="698">
        <f t="shared" si="38"/>
        <v>-51</v>
      </c>
      <c r="J34" s="796">
        <f>+J15-H15</f>
        <v>-30</v>
      </c>
      <c r="K34" s="796">
        <f t="shared" si="44"/>
        <v>2</v>
      </c>
      <c r="L34" s="796">
        <f t="shared" si="44"/>
        <v>16.799999999999955</v>
      </c>
      <c r="M34" s="796">
        <f t="shared" si="44"/>
        <v>-8.4781400000001668</v>
      </c>
      <c r="N34" s="698">
        <f t="shared" si="39"/>
        <v>-19.678140000000212</v>
      </c>
      <c r="O34" s="796">
        <f>+O15-M15</f>
        <v>-24.321859999999788</v>
      </c>
      <c r="P34" s="796">
        <f t="shared" si="44"/>
        <v>-33</v>
      </c>
      <c r="Q34" s="796">
        <f t="shared" si="44"/>
        <v>647</v>
      </c>
      <c r="R34" s="796">
        <f t="shared" si="44"/>
        <v>563</v>
      </c>
      <c r="S34" s="698">
        <f t="shared" si="40"/>
        <v>1152.6781400000002</v>
      </c>
      <c r="T34" s="657"/>
      <c r="U34" s="796">
        <f>+U15-R15</f>
        <v>-9</v>
      </c>
      <c r="V34" s="796">
        <f>+V15-U15</f>
        <v>-7</v>
      </c>
      <c r="W34" s="796">
        <f>+W15-V15</f>
        <v>-2</v>
      </c>
      <c r="X34" s="796">
        <f>+X15-W15</f>
        <v>-1</v>
      </c>
      <c r="Y34" s="698">
        <f t="shared" si="41"/>
        <v>-19</v>
      </c>
      <c r="Z34" s="796">
        <f>+Z15-Y15</f>
        <v>-27</v>
      </c>
      <c r="AA34" s="796">
        <f>+AA15-Z15</f>
        <v>-2</v>
      </c>
      <c r="AB34" s="796">
        <f>+AB15-AA15</f>
        <v>-7.4789999999998145</v>
      </c>
      <c r="AC34" s="796">
        <f>+AC15-AB15</f>
        <v>-6.5210000000001855</v>
      </c>
      <c r="AD34" s="698">
        <f t="shared" si="42"/>
        <v>-43</v>
      </c>
      <c r="AE34" s="796">
        <f>+AE15-AD15</f>
        <v>-48</v>
      </c>
      <c r="AF34" s="796">
        <f>+AF15-AE15</f>
        <v>2.1480000000001382</v>
      </c>
      <c r="AG34" s="796">
        <f>+AG15-AF15</f>
        <v>-22.16800000000012</v>
      </c>
      <c r="AH34" s="796">
        <f>+AH15-AG15</f>
        <v>-12.887000000000171</v>
      </c>
      <c r="AI34" s="698">
        <f t="shared" si="43"/>
        <v>-80.907000000000153</v>
      </c>
      <c r="AJ34" s="796">
        <f>+AJ15-AI15</f>
        <v>16.417000000000371</v>
      </c>
      <c r="AK34" s="796">
        <f>+AK15-AJ15</f>
        <v>-4.0080000000002656</v>
      </c>
      <c r="AL34" s="796">
        <f>+AL15-AK15</f>
        <v>-24.428000000000338</v>
      </c>
      <c r="AM34" s="796">
        <f>+AM15-AL15</f>
        <v>-11.710999999999785</v>
      </c>
      <c r="AN34" s="698">
        <f>AN15-AI15</f>
        <v>-23.730000000000018</v>
      </c>
      <c r="AO34" s="796">
        <f>+AO15-AN15</f>
        <v>-10.335000000000036</v>
      </c>
      <c r="AP34" s="796">
        <f>+AP15-AO15</f>
        <v>-13.813999999999851</v>
      </c>
      <c r="AQ34" s="796">
        <f>+AQ15-AP15</f>
        <v>-12.391999999999825</v>
      </c>
      <c r="AR34" s="796">
        <f>+AR15-AQ15</f>
        <v>-5.8755000000001019</v>
      </c>
      <c r="AS34" s="698">
        <f>AS15-AN15</f>
        <v>-42.416499999999814</v>
      </c>
      <c r="AT34" s="796">
        <f>+AT15-AS15</f>
        <v>-9.6619999999998072</v>
      </c>
      <c r="AU34" s="796">
        <f>+AU15-AT15</f>
        <v>-18.059500000000298</v>
      </c>
      <c r="AV34" s="796">
        <f>+AV15-AU15</f>
        <v>-18.758499999999913</v>
      </c>
      <c r="AW34" s="796">
        <f>+AW15-AV15</f>
        <v>-37.780999999999949</v>
      </c>
      <c r="AX34" s="698">
        <f>AX15-AS15</f>
        <v>-84.260999999999967</v>
      </c>
      <c r="AY34" s="796">
        <f>+AY15-AX15</f>
        <v>-13.475500000000011</v>
      </c>
      <c r="AZ34" s="796">
        <f>+AZ15-AY15</f>
        <v>-17.755999999999858</v>
      </c>
      <c r="BA34" s="796">
        <f>+BA15-AZ15</f>
        <v>-45.057500000000346</v>
      </c>
      <c r="BB34" s="796">
        <f>+BB15-BA15</f>
        <v>-30.780999999999722</v>
      </c>
      <c r="BC34" s="698">
        <f>BC15-AX15</f>
        <v>-107.06999999999994</v>
      </c>
      <c r="BD34" s="796">
        <f>+BD15-BC15</f>
        <v>9.384499999999889</v>
      </c>
      <c r="BE34" s="796">
        <f>+BE15-BD15</f>
        <v>-0.10549999999989268</v>
      </c>
      <c r="BF34" s="796">
        <f>+BF15-BE15</f>
        <v>-18.060500000000047</v>
      </c>
      <c r="BG34" s="796">
        <f>+BG15-BF15</f>
        <v>-77.720263791208936</v>
      </c>
      <c r="BH34" s="698">
        <f>BH15-BC15</f>
        <v>-86.615500000000111</v>
      </c>
      <c r="BI34" s="796">
        <f>+BI15-BH15</f>
        <v>9</v>
      </c>
      <c r="BJ34" s="796">
        <f>+BJ15-BI15</f>
        <v>-670</v>
      </c>
      <c r="BK34" s="796">
        <f>+BK15-BJ15</f>
        <v>44</v>
      </c>
      <c r="BL34" s="796">
        <f>+BL15-BK15</f>
        <v>33.707300000000032</v>
      </c>
      <c r="BM34" s="698">
        <f>BM15-BH15</f>
        <v>-583.29269999999997</v>
      </c>
      <c r="BN34" s="698">
        <f>BN15-BM15</f>
        <v>74.302650000000085</v>
      </c>
      <c r="BO34" s="698">
        <f>BO15-BN15</f>
        <v>14.367549999999937</v>
      </c>
      <c r="BP34" s="218"/>
      <c r="BQ34" s="657">
        <v>-7.7910610573339909</v>
      </c>
      <c r="BR34" s="657"/>
      <c r="BS34" s="657"/>
      <c r="BT34" s="657"/>
      <c r="BZ34" s="218">
        <f>+BZ15-BY15</f>
        <v>-94</v>
      </c>
      <c r="CA34" s="218">
        <f>+CA15-BZ15</f>
        <v>-51</v>
      </c>
      <c r="CB34" s="218">
        <f>+CB15-CA15</f>
        <v>-19.678140000000212</v>
      </c>
      <c r="CC34" s="218">
        <f>+CC15-CB15</f>
        <v>1152.6781400000002</v>
      </c>
      <c r="DA34" s="708"/>
      <c r="DB34" s="708"/>
      <c r="DC34" s="708"/>
      <c r="DD34" s="708"/>
      <c r="DE34" s="709"/>
      <c r="DF34" s="708"/>
      <c r="DG34" s="708"/>
      <c r="DH34" s="708"/>
      <c r="DI34" s="708"/>
      <c r="DJ34" s="709"/>
      <c r="DK34" s="708"/>
      <c r="DL34" s="708"/>
      <c r="DM34" s="708"/>
      <c r="DN34" s="708"/>
      <c r="DO34" s="709"/>
      <c r="DP34" s="708"/>
      <c r="DQ34" s="708"/>
      <c r="DR34" s="708"/>
      <c r="DS34" s="708"/>
      <c r="DT34" s="709"/>
      <c r="DU34" s="708"/>
      <c r="DV34" s="708"/>
      <c r="DW34" s="708"/>
      <c r="DX34" s="708"/>
      <c r="DY34" s="709"/>
      <c r="DZ34" s="708"/>
      <c r="EA34" s="708"/>
      <c r="EB34" s="708"/>
      <c r="EC34" s="708"/>
      <c r="ED34" s="709"/>
      <c r="EE34" s="708"/>
      <c r="EF34" s="708"/>
      <c r="EG34" s="708"/>
      <c r="EH34" s="708"/>
      <c r="EI34" s="709"/>
      <c r="EJ34" s="709"/>
      <c r="EK34" s="709"/>
    </row>
    <row r="35" spans="2:141">
      <c r="C35" s="218"/>
      <c r="D35" s="554"/>
      <c r="E35" s="796"/>
      <c r="F35" s="796"/>
      <c r="G35" s="796"/>
      <c r="H35" s="796"/>
      <c r="I35" s="698"/>
      <c r="J35" s="796"/>
      <c r="K35" s="796"/>
      <c r="L35" s="796"/>
      <c r="M35" s="796"/>
      <c r="N35" s="698"/>
      <c r="O35" s="796"/>
      <c r="P35" s="796"/>
      <c r="Q35" s="796"/>
      <c r="R35" s="796"/>
      <c r="S35" s="698"/>
      <c r="T35" s="657"/>
      <c r="U35" s="796"/>
      <c r="V35" s="796"/>
      <c r="W35" s="796"/>
      <c r="X35" s="796"/>
      <c r="Y35" s="698"/>
      <c r="Z35" s="796"/>
      <c r="AA35" s="796"/>
      <c r="AB35" s="796"/>
      <c r="AC35" s="796"/>
      <c r="AD35" s="698"/>
      <c r="AE35" s="796"/>
      <c r="AF35" s="796"/>
      <c r="AG35" s="796"/>
      <c r="AH35" s="796"/>
      <c r="AI35" s="698"/>
      <c r="AJ35" s="796"/>
      <c r="AK35" s="796"/>
      <c r="AL35" s="796"/>
      <c r="AM35" s="796"/>
      <c r="AN35" s="698"/>
      <c r="AO35" s="796"/>
      <c r="AP35" s="796"/>
      <c r="AQ35" s="796"/>
      <c r="AR35" s="796"/>
      <c r="AS35" s="698"/>
      <c r="AT35" s="796"/>
      <c r="AU35" s="796"/>
      <c r="AV35" s="796"/>
      <c r="AW35" s="796"/>
      <c r="AX35" s="698"/>
      <c r="AY35" s="796"/>
      <c r="AZ35" s="796"/>
      <c r="BA35" s="796"/>
      <c r="BB35" s="796"/>
      <c r="BC35" s="698"/>
      <c r="BD35" s="796"/>
      <c r="BE35" s="796"/>
      <c r="BF35" s="796"/>
      <c r="BG35" s="796"/>
      <c r="BH35" s="698"/>
      <c r="BI35" s="796"/>
      <c r="BJ35" s="796"/>
      <c r="BK35" s="796"/>
      <c r="BL35" s="796"/>
      <c r="BM35" s="698"/>
      <c r="BN35" s="698"/>
      <c r="BO35" s="698"/>
      <c r="BP35" s="218"/>
      <c r="BQ35" s="657"/>
      <c r="BR35" s="657"/>
      <c r="BS35" s="657"/>
      <c r="BT35" s="657"/>
      <c r="BZ35" s="218"/>
      <c r="CA35" s="218"/>
      <c r="CB35" s="218"/>
      <c r="CC35" s="218"/>
      <c r="DA35" s="708"/>
      <c r="DB35" s="708"/>
      <c r="DC35" s="708"/>
      <c r="DD35" s="708"/>
      <c r="DE35" s="709"/>
      <c r="DF35" s="708"/>
      <c r="DG35" s="708"/>
      <c r="DH35" s="708"/>
      <c r="DI35" s="708"/>
      <c r="DJ35" s="709"/>
      <c r="DK35" s="708"/>
      <c r="DL35" s="708"/>
      <c r="DM35" s="708"/>
      <c r="DN35" s="708"/>
      <c r="DO35" s="709"/>
      <c r="DP35" s="708"/>
      <c r="DQ35" s="708"/>
      <c r="DR35" s="708"/>
      <c r="DS35" s="708"/>
      <c r="DT35" s="709"/>
      <c r="DU35" s="708"/>
      <c r="DV35" s="708"/>
      <c r="DW35" s="708"/>
      <c r="DX35" s="708"/>
      <c r="DY35" s="709"/>
      <c r="DZ35" s="708"/>
      <c r="EA35" s="708"/>
      <c r="EB35" s="708"/>
      <c r="EC35" s="708"/>
      <c r="ED35" s="709"/>
      <c r="EE35" s="708"/>
      <c r="EF35" s="708"/>
      <c r="EG35" s="708"/>
      <c r="EH35" s="708"/>
      <c r="EI35" s="709"/>
      <c r="EJ35" s="709"/>
      <c r="EK35" s="709"/>
    </row>
    <row r="36" spans="2:141">
      <c r="B36" s="7" t="str">
        <f>+B18</f>
        <v>RGUs (k):</v>
      </c>
      <c r="C36" s="218"/>
      <c r="D36" s="554"/>
      <c r="E36" s="796"/>
      <c r="F36" s="796"/>
      <c r="G36" s="796"/>
      <c r="H36" s="796"/>
      <c r="I36" s="698"/>
      <c r="J36" s="796"/>
      <c r="K36" s="796"/>
      <c r="L36" s="796"/>
      <c r="M36" s="796"/>
      <c r="N36" s="698"/>
      <c r="O36" s="796"/>
      <c r="P36" s="796"/>
      <c r="Q36" s="796"/>
      <c r="R36" s="796"/>
      <c r="S36" s="698"/>
      <c r="T36" s="657"/>
      <c r="U36" s="796"/>
      <c r="V36" s="796"/>
      <c r="W36" s="796"/>
      <c r="X36" s="796"/>
      <c r="Y36" s="698"/>
      <c r="Z36" s="796"/>
      <c r="AA36" s="796"/>
      <c r="AB36" s="796"/>
      <c r="AC36" s="796"/>
      <c r="AD36" s="698"/>
      <c r="AE36" s="796"/>
      <c r="AF36" s="796"/>
      <c r="AG36" s="796"/>
      <c r="AH36" s="796"/>
      <c r="AI36" s="698"/>
      <c r="AJ36" s="796"/>
      <c r="AK36" s="796"/>
      <c r="AL36" s="796"/>
      <c r="AM36" s="796"/>
      <c r="AN36" s="698"/>
      <c r="AO36" s="796"/>
      <c r="AP36" s="796"/>
      <c r="AQ36" s="796"/>
      <c r="AR36" s="796"/>
      <c r="AS36" s="698"/>
      <c r="AT36" s="796"/>
      <c r="AU36" s="796"/>
      <c r="AV36" s="796"/>
      <c r="AW36" s="796"/>
      <c r="AX36" s="698"/>
      <c r="AY36" s="796"/>
      <c r="AZ36" s="796"/>
      <c r="BA36" s="796"/>
      <c r="BB36" s="796"/>
      <c r="BC36" s="698"/>
      <c r="BD36" s="796"/>
      <c r="BE36" s="796"/>
      <c r="BF36" s="796"/>
      <c r="BG36" s="796"/>
      <c r="BH36" s="698"/>
      <c r="BI36" s="796"/>
      <c r="BJ36" s="796"/>
      <c r="BK36" s="796"/>
      <c r="BL36" s="796"/>
      <c r="BM36" s="698"/>
      <c r="BN36" s="698"/>
      <c r="BO36" s="698"/>
      <c r="BP36" s="218"/>
      <c r="BQ36" s="657"/>
      <c r="BR36" s="657"/>
      <c r="BS36" s="657"/>
      <c r="BT36" s="657"/>
      <c r="BZ36" s="218"/>
      <c r="CA36" s="218"/>
      <c r="CB36" s="218"/>
      <c r="CC36" s="218"/>
      <c r="DA36" s="708"/>
      <c r="DB36" s="708"/>
      <c r="DC36" s="708"/>
      <c r="DD36" s="708"/>
      <c r="DE36" s="709"/>
      <c r="DF36" s="708"/>
      <c r="DG36" s="708"/>
      <c r="DH36" s="708"/>
      <c r="DI36" s="708"/>
      <c r="DJ36" s="709"/>
      <c r="DK36" s="708"/>
      <c r="DL36" s="708"/>
      <c r="DM36" s="708"/>
      <c r="DN36" s="708"/>
      <c r="DO36" s="709"/>
      <c r="DP36" s="708"/>
      <c r="DQ36" s="708"/>
      <c r="DR36" s="708"/>
      <c r="DS36" s="708"/>
      <c r="DT36" s="709"/>
      <c r="DU36" s="708"/>
      <c r="DV36" s="708"/>
      <c r="DW36" s="708"/>
      <c r="DX36" s="708"/>
      <c r="DY36" s="709"/>
      <c r="DZ36" s="708"/>
      <c r="EA36" s="708"/>
      <c r="EB36" s="708"/>
      <c r="EC36" s="708"/>
      <c r="ED36" s="709"/>
      <c r="EE36" s="708"/>
      <c r="EF36" s="708"/>
      <c r="EG36" s="708"/>
      <c r="EH36" s="708"/>
      <c r="EI36" s="709"/>
      <c r="EJ36" s="709"/>
      <c r="EK36" s="709"/>
    </row>
    <row r="37" spans="2:141">
      <c r="B37" s="212" t="str">
        <f>+B19</f>
        <v xml:space="preserve">CATV </v>
      </c>
      <c r="C37" s="218"/>
      <c r="D37" s="554"/>
      <c r="E37" s="796">
        <f>+E19-C19</f>
        <v>-45</v>
      </c>
      <c r="F37" s="796">
        <f t="shared" ref="F37:R37" si="45">+F19-E19</f>
        <v>-25</v>
      </c>
      <c r="G37" s="796">
        <f t="shared" si="45"/>
        <v>-3</v>
      </c>
      <c r="H37" s="796">
        <f t="shared" si="45"/>
        <v>-5</v>
      </c>
      <c r="I37" s="698">
        <f t="shared" si="38"/>
        <v>-78</v>
      </c>
      <c r="J37" s="796">
        <f>+J19-H19</f>
        <v>-32</v>
      </c>
      <c r="K37" s="796">
        <f t="shared" si="45"/>
        <v>-4</v>
      </c>
      <c r="L37" s="796">
        <f t="shared" si="45"/>
        <v>18</v>
      </c>
      <c r="M37" s="796">
        <f t="shared" si="45"/>
        <v>-9.4739999999999327</v>
      </c>
      <c r="N37" s="698">
        <f t="shared" si="39"/>
        <v>-27.473999999999933</v>
      </c>
      <c r="O37" s="796">
        <f>+O19-M19</f>
        <v>-17.526000000000067</v>
      </c>
      <c r="P37" s="796">
        <f t="shared" si="45"/>
        <v>-34</v>
      </c>
      <c r="Q37" s="796">
        <f t="shared" si="45"/>
        <v>630</v>
      </c>
      <c r="R37" s="796">
        <f t="shared" si="45"/>
        <v>569</v>
      </c>
      <c r="S37" s="698">
        <f t="shared" si="40"/>
        <v>1147.4739999999999</v>
      </c>
      <c r="T37" s="657"/>
      <c r="U37" s="796">
        <f>+U19-R19</f>
        <v>-7</v>
      </c>
      <c r="V37" s="796">
        <f t="shared" ref="V37:X39" si="46">+V19-U19</f>
        <v>-8</v>
      </c>
      <c r="W37" s="796">
        <f t="shared" si="46"/>
        <v>-6</v>
      </c>
      <c r="X37" s="796">
        <f t="shared" si="46"/>
        <v>-3</v>
      </c>
      <c r="Y37" s="698">
        <f t="shared" si="41"/>
        <v>-24</v>
      </c>
      <c r="Z37" s="796">
        <f t="shared" ref="Z37:AC39" si="47">+Z19-Y19</f>
        <v>-36</v>
      </c>
      <c r="AA37" s="796">
        <f t="shared" si="47"/>
        <v>-6</v>
      </c>
      <c r="AB37" s="796">
        <f t="shared" si="47"/>
        <v>-12.282000000000153</v>
      </c>
      <c r="AC37" s="796">
        <f t="shared" si="47"/>
        <v>-12.717999999999847</v>
      </c>
      <c r="AD37" s="698">
        <f t="shared" si="42"/>
        <v>-67</v>
      </c>
      <c r="AE37" s="796">
        <f t="shared" ref="AE37:AH39" si="48">+AE19-AD19</f>
        <v>-58</v>
      </c>
      <c r="AF37" s="796">
        <f t="shared" si="48"/>
        <v>-0.70200000000022555</v>
      </c>
      <c r="AG37" s="796">
        <f t="shared" si="48"/>
        <v>-30.692999999999756</v>
      </c>
      <c r="AH37" s="796">
        <f t="shared" si="48"/>
        <v>-15.724999999999909</v>
      </c>
      <c r="AI37" s="698">
        <f t="shared" si="43"/>
        <v>-105.11999999999989</v>
      </c>
      <c r="AJ37" s="850">
        <v>-40</v>
      </c>
      <c r="AK37" s="796">
        <f t="shared" ref="AK37:AM39" si="49">+AK19-AJ19</f>
        <v>-11</v>
      </c>
      <c r="AL37" s="796">
        <f t="shared" si="49"/>
        <v>-24</v>
      </c>
      <c r="AM37" s="796">
        <f t="shared" si="49"/>
        <v>-15.925999999999931</v>
      </c>
      <c r="AN37" s="698">
        <f>AN19-AI19</f>
        <v>-43.80600000000004</v>
      </c>
      <c r="AO37" s="796">
        <f t="shared" ref="AO37:AR39" si="50">+AO19-AN19</f>
        <v>-33.875</v>
      </c>
      <c r="AP37" s="796">
        <f t="shared" si="50"/>
        <v>-16.673999999999978</v>
      </c>
      <c r="AQ37" s="796">
        <f t="shared" si="50"/>
        <v>-15.130000000000109</v>
      </c>
      <c r="AR37" s="796">
        <f t="shared" si="50"/>
        <v>-15.159000000000106</v>
      </c>
      <c r="AS37" s="698">
        <f>AS19-AN19</f>
        <v>-80.838000000000193</v>
      </c>
      <c r="AT37" s="796">
        <f t="shared" ref="AT37:AW39" si="51">+AT19-AS19</f>
        <v>-14.188999999999851</v>
      </c>
      <c r="AU37" s="796">
        <f t="shared" si="51"/>
        <v>-22.384000000000015</v>
      </c>
      <c r="AV37" s="796">
        <f t="shared" si="51"/>
        <v>-21.663000000000011</v>
      </c>
      <c r="AW37" s="796">
        <f t="shared" si="51"/>
        <v>-45</v>
      </c>
      <c r="AX37" s="698">
        <f>AX19-AS19</f>
        <v>-103.23599999999988</v>
      </c>
      <c r="AY37" s="796">
        <f t="shared" ref="AY37:BB39" si="52">+AY19-AX19</f>
        <v>-23</v>
      </c>
      <c r="AZ37" s="796">
        <f t="shared" si="52"/>
        <v>-18</v>
      </c>
      <c r="BA37" s="796">
        <f t="shared" si="52"/>
        <v>-51</v>
      </c>
      <c r="BB37" s="796">
        <f t="shared" ca="1" si="52"/>
        <v>-40</v>
      </c>
      <c r="BC37" s="698">
        <f ca="1">BC19-AX19</f>
        <v>-132</v>
      </c>
      <c r="BD37" s="796">
        <f t="shared" ref="BD37:BG39" ca="1" si="53">+BD19-BC19</f>
        <v>1</v>
      </c>
      <c r="BE37" s="796">
        <f t="shared" si="53"/>
        <v>-24.768000000000029</v>
      </c>
      <c r="BF37" s="796">
        <f t="shared" si="53"/>
        <v>-6.9300000000000637</v>
      </c>
      <c r="BG37" s="796">
        <f t="shared" si="53"/>
        <v>-81.760999999999967</v>
      </c>
      <c r="BH37" s="698">
        <f ca="1">BH19-BC19</f>
        <v>-112</v>
      </c>
      <c r="BI37" s="796">
        <f t="shared" ref="BI37:BK39" si="54">+BI19-BH19</f>
        <v>-2</v>
      </c>
      <c r="BJ37" s="796">
        <f t="shared" si="54"/>
        <v>-682</v>
      </c>
      <c r="BK37" s="796">
        <f t="shared" si="54"/>
        <v>10</v>
      </c>
      <c r="BL37" s="796">
        <f>BM37-BI37-BJ37-BK37</f>
        <v>55.868225000000166</v>
      </c>
      <c r="BM37" s="698">
        <f>BM19-BH19</f>
        <v>-618.13177499999983</v>
      </c>
      <c r="BN37" s="698">
        <f t="shared" ref="BN37:BO39" si="55">BN19-BM19</f>
        <v>32.20132499999977</v>
      </c>
      <c r="BO37" s="698">
        <f t="shared" si="55"/>
        <v>-41.367549999999937</v>
      </c>
      <c r="BP37" s="218"/>
      <c r="BQ37" s="657">
        <v>-14.320999999999913</v>
      </c>
      <c r="BR37" s="657"/>
      <c r="BS37" s="657">
        <f>BS19-AQ19</f>
        <v>-13.394999999999982</v>
      </c>
      <c r="BT37" s="657"/>
      <c r="BZ37" s="218">
        <f t="shared" ref="BZ37:CC39" si="56">+BZ19-BY19</f>
        <v>-122</v>
      </c>
      <c r="CA37" s="218">
        <f t="shared" si="56"/>
        <v>-78</v>
      </c>
      <c r="CB37" s="218">
        <f t="shared" si="56"/>
        <v>-27.473999999999933</v>
      </c>
      <c r="CC37" s="218">
        <f t="shared" si="56"/>
        <v>1147.4739999999999</v>
      </c>
      <c r="DA37" s="708"/>
      <c r="DB37" s="708"/>
      <c r="DC37" s="708"/>
      <c r="DD37" s="708"/>
      <c r="DE37" s="709"/>
      <c r="DF37" s="708"/>
      <c r="DG37" s="708"/>
      <c r="DH37" s="708"/>
      <c r="DI37" s="708"/>
      <c r="DJ37" s="709"/>
      <c r="DK37" s="708"/>
      <c r="DL37" s="708"/>
      <c r="DM37" s="708"/>
      <c r="DN37" s="708"/>
      <c r="DO37" s="709"/>
      <c r="DP37" s="708"/>
      <c r="DQ37" s="708"/>
      <c r="DR37" s="708"/>
      <c r="DS37" s="708"/>
      <c r="DT37" s="709"/>
      <c r="DU37" s="708"/>
      <c r="DV37" s="708"/>
      <c r="DW37" s="708"/>
      <c r="DX37" s="708"/>
      <c r="DY37" s="709"/>
      <c r="DZ37" s="708"/>
      <c r="EA37" s="708"/>
      <c r="EB37" s="708"/>
      <c r="EC37" s="708"/>
      <c r="ED37" s="709"/>
      <c r="EE37" s="708"/>
      <c r="EF37" s="708"/>
      <c r="EG37" s="708"/>
      <c r="EH37" s="708"/>
      <c r="EI37" s="709"/>
      <c r="EJ37" s="709"/>
      <c r="EK37" s="709"/>
    </row>
    <row r="38" spans="2:141">
      <c r="B38" s="212" t="str">
        <f>+B20</f>
        <v>Premium TV</v>
      </c>
      <c r="C38" s="218"/>
      <c r="D38" s="554"/>
      <c r="E38" s="796">
        <f>+E20-C20</f>
        <v>-3</v>
      </c>
      <c r="F38" s="796">
        <f t="shared" ref="F38:R38" si="57">+F20-E20</f>
        <v>1</v>
      </c>
      <c r="G38" s="796">
        <f t="shared" si="57"/>
        <v>2</v>
      </c>
      <c r="H38" s="796">
        <f t="shared" si="57"/>
        <v>11</v>
      </c>
      <c r="I38" s="698">
        <f t="shared" si="38"/>
        <v>11</v>
      </c>
      <c r="J38" s="796">
        <f>+J20-H20</f>
        <v>1</v>
      </c>
      <c r="K38" s="796">
        <f t="shared" si="57"/>
        <v>-3</v>
      </c>
      <c r="L38" s="796">
        <f t="shared" si="57"/>
        <v>1</v>
      </c>
      <c r="M38" s="796">
        <f t="shared" si="57"/>
        <v>-2.411601213381573</v>
      </c>
      <c r="N38" s="698">
        <f t="shared" si="39"/>
        <v>-3.411601213381573</v>
      </c>
      <c r="O38" s="796">
        <f>+O20-M20</f>
        <v>0.41160121338157296</v>
      </c>
      <c r="P38" s="796">
        <f t="shared" si="57"/>
        <v>0</v>
      </c>
      <c r="Q38" s="796">
        <f t="shared" si="57"/>
        <v>236</v>
      </c>
      <c r="R38" s="796">
        <f t="shared" si="57"/>
        <v>29</v>
      </c>
      <c r="S38" s="698">
        <f t="shared" si="40"/>
        <v>265.41160121338157</v>
      </c>
      <c r="T38" s="657"/>
      <c r="U38" s="796">
        <f>+U20-R20</f>
        <v>-2</v>
      </c>
      <c r="V38" s="796">
        <f t="shared" si="46"/>
        <v>0</v>
      </c>
      <c r="W38" s="796">
        <f t="shared" si="46"/>
        <v>-2</v>
      </c>
      <c r="X38" s="796">
        <f t="shared" si="46"/>
        <v>7</v>
      </c>
      <c r="Y38" s="698">
        <f t="shared" si="41"/>
        <v>3</v>
      </c>
      <c r="Z38" s="796">
        <f t="shared" si="47"/>
        <v>1</v>
      </c>
      <c r="AA38" s="796">
        <f t="shared" si="47"/>
        <v>0</v>
      </c>
      <c r="AB38" s="796">
        <f t="shared" si="47"/>
        <v>2.4499999999999886</v>
      </c>
      <c r="AC38" s="796">
        <f t="shared" si="47"/>
        <v>-2.4499999999999886</v>
      </c>
      <c r="AD38" s="698">
        <f t="shared" si="42"/>
        <v>1</v>
      </c>
      <c r="AE38" s="796">
        <f t="shared" si="48"/>
        <v>-6</v>
      </c>
      <c r="AF38" s="796">
        <f t="shared" si="48"/>
        <v>-4.6560000000000059</v>
      </c>
      <c r="AG38" s="796">
        <f t="shared" si="48"/>
        <v>134.13000000000005</v>
      </c>
      <c r="AH38" s="796">
        <f t="shared" si="48"/>
        <v>4.7039999999999509</v>
      </c>
      <c r="AI38" s="698">
        <f t="shared" si="43"/>
        <v>128.178</v>
      </c>
      <c r="AJ38" s="796">
        <f>+AJ20-AI20</f>
        <v>-7.1779999999999973</v>
      </c>
      <c r="AK38" s="796">
        <f t="shared" si="49"/>
        <v>2</v>
      </c>
      <c r="AL38" s="796">
        <f t="shared" si="49"/>
        <v>-8.1490000000000009</v>
      </c>
      <c r="AM38" s="796">
        <f t="shared" si="49"/>
        <v>-1.5380000000000109</v>
      </c>
      <c r="AN38" s="698">
        <f>AN20-AI20</f>
        <v>-14.865000000000009</v>
      </c>
      <c r="AO38" s="796">
        <f t="shared" si="50"/>
        <v>-3.7419999999999618</v>
      </c>
      <c r="AP38" s="796">
        <f t="shared" si="50"/>
        <v>-3.5400000000000773</v>
      </c>
      <c r="AQ38" s="796">
        <f t="shared" si="50"/>
        <v>1.9150000000000773</v>
      </c>
      <c r="AR38" s="796">
        <f t="shared" si="50"/>
        <v>2.7020002999998951</v>
      </c>
      <c r="AS38" s="698">
        <f>AS20-AN20</f>
        <v>-2.6649997000000667</v>
      </c>
      <c r="AT38" s="796">
        <f t="shared" si="51"/>
        <v>3.8290002000001095</v>
      </c>
      <c r="AU38" s="796">
        <f t="shared" si="51"/>
        <v>-0.67099999999993543</v>
      </c>
      <c r="AV38" s="796">
        <f t="shared" si="51"/>
        <v>-0.8060005000000956</v>
      </c>
      <c r="AW38" s="796">
        <f t="shared" si="51"/>
        <v>-4</v>
      </c>
      <c r="AX38" s="698">
        <f>AX20-AS20</f>
        <v>-1.6480002999999215</v>
      </c>
      <c r="AY38" s="796">
        <f t="shared" si="52"/>
        <v>-41</v>
      </c>
      <c r="AZ38" s="796">
        <f t="shared" si="52"/>
        <v>-5</v>
      </c>
      <c r="BA38" s="796">
        <f t="shared" si="52"/>
        <v>-2</v>
      </c>
      <c r="BB38" s="796">
        <f t="shared" ca="1" si="52"/>
        <v>5</v>
      </c>
      <c r="BC38" s="698">
        <f ca="1">BC20-AX20</f>
        <v>-43</v>
      </c>
      <c r="BD38" s="796">
        <f t="shared" ca="1" si="53"/>
        <v>4</v>
      </c>
      <c r="BE38" s="796">
        <f t="shared" si="53"/>
        <v>-2.9710006000000249</v>
      </c>
      <c r="BF38" s="796">
        <f t="shared" si="53"/>
        <v>0.90600040000003901</v>
      </c>
      <c r="BG38" s="796">
        <f t="shared" si="53"/>
        <v>7.7349998999999912</v>
      </c>
      <c r="BH38" s="698">
        <f ca="1">BH20-BC20</f>
        <v>10</v>
      </c>
      <c r="BI38" s="796">
        <f t="shared" si="54"/>
        <v>12</v>
      </c>
      <c r="BJ38" s="796">
        <f t="shared" si="54"/>
        <v>-25</v>
      </c>
      <c r="BK38" s="796">
        <f t="shared" si="54"/>
        <v>12</v>
      </c>
      <c r="BL38" s="796">
        <f t="shared" ref="BL38:BL40" si="58">BM38-BI38-BJ38-BK38</f>
        <v>7.9051178079610054</v>
      </c>
      <c r="BM38" s="698">
        <f>BM20-BH20</f>
        <v>6.9051178079610054</v>
      </c>
      <c r="BN38" s="698">
        <f t="shared" si="55"/>
        <v>38.175317296787625</v>
      </c>
      <c r="BO38" s="698">
        <f t="shared" si="55"/>
        <v>4.3208750069832149</v>
      </c>
      <c r="BP38" s="218"/>
      <c r="BQ38" s="657">
        <v>-4.6330000000000382</v>
      </c>
      <c r="BR38" s="657"/>
      <c r="BS38" s="657">
        <f>BS20-AQ20</f>
        <v>-0.94600000000002638</v>
      </c>
      <c r="BT38" s="657"/>
      <c r="BZ38" s="218">
        <f t="shared" si="56"/>
        <v>11</v>
      </c>
      <c r="CA38" s="218">
        <f t="shared" si="56"/>
        <v>11</v>
      </c>
      <c r="CB38" s="218">
        <f t="shared" si="56"/>
        <v>-3.411601213381573</v>
      </c>
      <c r="CC38" s="218">
        <f t="shared" si="56"/>
        <v>265.41160121338157</v>
      </c>
      <c r="DA38" s="708"/>
      <c r="DB38" s="708"/>
      <c r="DC38" s="708"/>
      <c r="DD38" s="708"/>
      <c r="DE38" s="709"/>
      <c r="DF38" s="708"/>
      <c r="DG38" s="708"/>
      <c r="DH38" s="708"/>
      <c r="DI38" s="708"/>
      <c r="DJ38" s="709"/>
      <c r="DK38" s="708"/>
      <c r="DL38" s="708"/>
      <c r="DM38" s="708"/>
      <c r="DN38" s="708"/>
      <c r="DO38" s="709"/>
      <c r="DP38" s="708"/>
      <c r="DQ38" s="708"/>
      <c r="DR38" s="708"/>
      <c r="DS38" s="708"/>
      <c r="DT38" s="709"/>
      <c r="DU38" s="708"/>
      <c r="DV38" s="708"/>
      <c r="DW38" s="708"/>
      <c r="DX38" s="708"/>
      <c r="DY38" s="709"/>
      <c r="DZ38" s="708"/>
      <c r="EA38" s="708"/>
      <c r="EB38" s="708"/>
      <c r="EC38" s="708"/>
      <c r="ED38" s="709"/>
      <c r="EE38" s="708"/>
      <c r="EF38" s="708"/>
      <c r="EG38" s="708"/>
      <c r="EH38" s="708"/>
      <c r="EI38" s="709"/>
      <c r="EJ38" s="709"/>
      <c r="EK38" s="709"/>
    </row>
    <row r="39" spans="2:141">
      <c r="B39" s="212" t="str">
        <f>+B21</f>
        <v>Internet</v>
      </c>
      <c r="C39" s="218"/>
      <c r="D39" s="554"/>
      <c r="E39" s="796">
        <f>+E21-C21</f>
        <v>11</v>
      </c>
      <c r="F39" s="796">
        <f t="shared" ref="F39:R39" si="59">+F21-E21</f>
        <v>7</v>
      </c>
      <c r="G39" s="796">
        <f t="shared" si="59"/>
        <v>9</v>
      </c>
      <c r="H39" s="796">
        <f t="shared" si="59"/>
        <v>12</v>
      </c>
      <c r="I39" s="698">
        <f t="shared" si="38"/>
        <v>39</v>
      </c>
      <c r="J39" s="796">
        <f>+J21-H21</f>
        <v>9</v>
      </c>
      <c r="K39" s="796">
        <f t="shared" si="59"/>
        <v>7</v>
      </c>
      <c r="L39" s="796">
        <f t="shared" si="59"/>
        <v>6.8000000000000114</v>
      </c>
      <c r="M39" s="796">
        <f t="shared" si="59"/>
        <v>5.2089999999999748</v>
      </c>
      <c r="N39" s="698">
        <f t="shared" si="39"/>
        <v>28.008999999999986</v>
      </c>
      <c r="O39" s="796">
        <f>+O21-M21</f>
        <v>5.9910000000000139</v>
      </c>
      <c r="P39" s="796">
        <f t="shared" si="59"/>
        <v>5</v>
      </c>
      <c r="Q39" s="796">
        <f t="shared" si="59"/>
        <v>150</v>
      </c>
      <c r="R39" s="796">
        <f t="shared" si="59"/>
        <v>99</v>
      </c>
      <c r="S39" s="698">
        <f t="shared" si="40"/>
        <v>259.99099999999999</v>
      </c>
      <c r="T39" s="657"/>
      <c r="U39" s="796">
        <f>+U21-R21</f>
        <v>13</v>
      </c>
      <c r="V39" s="796">
        <f t="shared" si="46"/>
        <v>10</v>
      </c>
      <c r="W39" s="796">
        <f t="shared" si="46"/>
        <v>15</v>
      </c>
      <c r="X39" s="796">
        <f t="shared" si="46"/>
        <v>20</v>
      </c>
      <c r="Y39" s="698">
        <f t="shared" si="41"/>
        <v>58</v>
      </c>
      <c r="Z39" s="796">
        <f t="shared" si="47"/>
        <v>15</v>
      </c>
      <c r="AA39" s="796">
        <f t="shared" si="47"/>
        <v>14</v>
      </c>
      <c r="AB39" s="796">
        <f t="shared" si="47"/>
        <v>15.408999999999992</v>
      </c>
      <c r="AC39" s="796">
        <f t="shared" si="47"/>
        <v>13.591000000000008</v>
      </c>
      <c r="AD39" s="698">
        <f t="shared" si="42"/>
        <v>58</v>
      </c>
      <c r="AE39" s="796">
        <f t="shared" si="48"/>
        <v>-3</v>
      </c>
      <c r="AF39" s="796">
        <f t="shared" si="48"/>
        <v>-3.6259999999999764</v>
      </c>
      <c r="AG39" s="796">
        <f t="shared" si="48"/>
        <v>-0.85500000000001819</v>
      </c>
      <c r="AH39" s="796">
        <f t="shared" si="48"/>
        <v>3.4669999999999845</v>
      </c>
      <c r="AI39" s="698">
        <f t="shared" si="43"/>
        <v>-4.01400000000001</v>
      </c>
      <c r="AJ39" s="796">
        <f>+AJ21-AI21</f>
        <v>1.01400000000001</v>
      </c>
      <c r="AK39" s="796">
        <f t="shared" si="49"/>
        <v>2</v>
      </c>
      <c r="AL39" s="796">
        <f t="shared" si="49"/>
        <v>1.6177963062000345</v>
      </c>
      <c r="AM39" s="796">
        <f t="shared" si="49"/>
        <v>5.3866670836997628</v>
      </c>
      <c r="AN39" s="698">
        <f>AN21-AI21</f>
        <v>10.018463389899807</v>
      </c>
      <c r="AO39" s="796">
        <f t="shared" si="50"/>
        <v>1.1440778550999084</v>
      </c>
      <c r="AP39" s="796">
        <f t="shared" si="50"/>
        <v>4.1550000000000864</v>
      </c>
      <c r="AQ39" s="796">
        <f t="shared" si="50"/>
        <v>7.4624587550001706</v>
      </c>
      <c r="AR39" s="796">
        <f t="shared" si="50"/>
        <v>4.8850001000000702</v>
      </c>
      <c r="AS39" s="698">
        <f>AS21-AN21</f>
        <v>17.646536710100236</v>
      </c>
      <c r="AT39" s="796">
        <f t="shared" si="51"/>
        <v>8.0660000000000309</v>
      </c>
      <c r="AU39" s="796">
        <f t="shared" si="51"/>
        <v>5.8160000000000309</v>
      </c>
      <c r="AV39" s="796">
        <f t="shared" si="51"/>
        <v>4.4669998999999052</v>
      </c>
      <c r="AW39" s="796">
        <f t="shared" si="51"/>
        <v>9</v>
      </c>
      <c r="AX39" s="698">
        <f>AX21-AS21</f>
        <v>27.348999899999967</v>
      </c>
      <c r="AY39" s="796">
        <f t="shared" si="52"/>
        <v>4</v>
      </c>
      <c r="AZ39" s="796">
        <f t="shared" si="52"/>
        <v>7</v>
      </c>
      <c r="BA39" s="796">
        <f t="shared" si="52"/>
        <v>6</v>
      </c>
      <c r="BB39" s="796">
        <f t="shared" ca="1" si="52"/>
        <v>13</v>
      </c>
      <c r="BC39" s="698">
        <f ca="1">BC21-AX21</f>
        <v>30</v>
      </c>
      <c r="BD39" s="796">
        <f t="shared" ca="1" si="53"/>
        <v>12</v>
      </c>
      <c r="BE39" s="796">
        <f t="shared" si="53"/>
        <v>12.008000200000083</v>
      </c>
      <c r="BF39" s="796">
        <f t="shared" si="53"/>
        <v>10.038999999999874</v>
      </c>
      <c r="BG39" s="796">
        <f t="shared" si="53"/>
        <v>25.15400000000011</v>
      </c>
      <c r="BH39" s="698">
        <f ca="1">BH21-BC21</f>
        <v>59</v>
      </c>
      <c r="BI39" s="796">
        <f t="shared" si="54"/>
        <v>14.732000000000085</v>
      </c>
      <c r="BJ39" s="796">
        <f t="shared" si="54"/>
        <v>-26.732000000000085</v>
      </c>
      <c r="BK39" s="796">
        <f t="shared" si="54"/>
        <v>22</v>
      </c>
      <c r="BL39" s="796">
        <f ca="1">BM39-BI39-BJ39-BK39</f>
        <v>23.20313183552355</v>
      </c>
      <c r="BM39" s="698">
        <f ca="1">BM21-BH21</f>
        <v>33.20313183552355</v>
      </c>
      <c r="BN39" s="698">
        <f t="shared" ca="1" si="55"/>
        <v>77.455831284442638</v>
      </c>
      <c r="BO39" s="698">
        <f t="shared" ca="1" si="55"/>
        <v>80.219831284442535</v>
      </c>
      <c r="BP39" s="218"/>
      <c r="BQ39" s="657">
        <v>7.2384633898998345</v>
      </c>
      <c r="BR39" s="657"/>
      <c r="BS39" s="657">
        <f>BS21-AQ21</f>
        <v>6.2340000000000373</v>
      </c>
      <c r="BT39" s="657"/>
      <c r="BZ39" s="218">
        <f t="shared" si="56"/>
        <v>20</v>
      </c>
      <c r="CA39" s="218">
        <f t="shared" si="56"/>
        <v>39</v>
      </c>
      <c r="CB39" s="218">
        <f t="shared" si="56"/>
        <v>28.008999999999986</v>
      </c>
      <c r="CC39" s="218">
        <f t="shared" si="56"/>
        <v>259.99099999999999</v>
      </c>
      <c r="DA39" s="708"/>
      <c r="DB39" s="708"/>
      <c r="DC39" s="708"/>
      <c r="DD39" s="708"/>
      <c r="DE39" s="709"/>
      <c r="DF39" s="708"/>
      <c r="DG39" s="708"/>
      <c r="DH39" s="708"/>
      <c r="DI39" s="708"/>
      <c r="DJ39" s="709"/>
      <c r="DK39" s="708"/>
      <c r="DL39" s="708"/>
      <c r="DM39" s="708"/>
      <c r="DN39" s="708"/>
      <c r="DO39" s="709"/>
      <c r="DP39" s="708"/>
      <c r="DQ39" s="708"/>
      <c r="DR39" s="708"/>
      <c r="DS39" s="708"/>
      <c r="DT39" s="709"/>
      <c r="DU39" s="708"/>
      <c r="DV39" s="708"/>
      <c r="DW39" s="708"/>
      <c r="DX39" s="708"/>
      <c r="DY39" s="709"/>
      <c r="DZ39" s="708"/>
      <c r="EA39" s="708"/>
      <c r="EB39" s="708"/>
      <c r="EC39" s="708"/>
      <c r="ED39" s="709"/>
      <c r="EE39" s="708"/>
      <c r="EF39" s="708"/>
      <c r="EG39" s="708"/>
      <c r="EH39" s="708"/>
      <c r="EI39" s="709"/>
      <c r="EJ39" s="709"/>
      <c r="EK39" s="709"/>
    </row>
    <row r="40" spans="2:141">
      <c r="B40" s="212" t="str">
        <f>+B23</f>
        <v>Telephony</v>
      </c>
      <c r="C40" s="315"/>
      <c r="D40" s="556"/>
      <c r="E40" s="827">
        <f>+E23-C23</f>
        <v>9</v>
      </c>
      <c r="F40" s="827">
        <f t="shared" ref="F40:R40" si="60">+F23-E23</f>
        <v>7</v>
      </c>
      <c r="G40" s="827">
        <f t="shared" si="60"/>
        <v>8</v>
      </c>
      <c r="H40" s="827">
        <f t="shared" si="60"/>
        <v>10</v>
      </c>
      <c r="I40" s="828">
        <f t="shared" si="38"/>
        <v>34</v>
      </c>
      <c r="J40" s="827">
        <f>+J23-H23</f>
        <v>8</v>
      </c>
      <c r="K40" s="827">
        <f t="shared" si="60"/>
        <v>6</v>
      </c>
      <c r="L40" s="827">
        <f t="shared" si="60"/>
        <v>6.4000000000000057</v>
      </c>
      <c r="M40" s="827">
        <f t="shared" si="60"/>
        <v>3.5529999999999973</v>
      </c>
      <c r="N40" s="828">
        <f t="shared" si="39"/>
        <v>23.953000000000003</v>
      </c>
      <c r="O40" s="827">
        <f>+O23-M23</f>
        <v>5.046999999999997</v>
      </c>
      <c r="P40" s="827">
        <f t="shared" si="60"/>
        <v>27</v>
      </c>
      <c r="Q40" s="827">
        <f t="shared" si="60"/>
        <v>150</v>
      </c>
      <c r="R40" s="827">
        <f t="shared" si="60"/>
        <v>75</v>
      </c>
      <c r="S40" s="828">
        <f t="shared" si="40"/>
        <v>257.04700000000003</v>
      </c>
      <c r="T40" s="829"/>
      <c r="U40" s="827">
        <f>+U23-R23</f>
        <v>14</v>
      </c>
      <c r="V40" s="827">
        <f t="shared" ref="V40:X41" si="61">+V23-U23</f>
        <v>11</v>
      </c>
      <c r="W40" s="827">
        <f t="shared" si="61"/>
        <v>11</v>
      </c>
      <c r="X40" s="827">
        <f t="shared" si="61"/>
        <v>32</v>
      </c>
      <c r="Y40" s="828">
        <f t="shared" si="41"/>
        <v>68</v>
      </c>
      <c r="Z40" s="827">
        <f t="shared" ref="Z40:AC41" si="62">+Z23-Y23</f>
        <v>18</v>
      </c>
      <c r="AA40" s="827">
        <f t="shared" si="62"/>
        <v>15</v>
      </c>
      <c r="AB40" s="827">
        <f t="shared" si="62"/>
        <v>16.740000000000009</v>
      </c>
      <c r="AC40" s="827">
        <f t="shared" si="62"/>
        <v>10.259999999999991</v>
      </c>
      <c r="AD40" s="828">
        <f t="shared" si="42"/>
        <v>60</v>
      </c>
      <c r="AE40" s="827">
        <f>+AE23-AD23</f>
        <v>-8</v>
      </c>
      <c r="AF40" s="827">
        <f>+AF23-AE23</f>
        <v>-8.1309999999999718</v>
      </c>
      <c r="AG40" s="827">
        <f>+AG23-AF23</f>
        <v>-90.990000000000009</v>
      </c>
      <c r="AH40" s="827">
        <f>+AH23-AG23</f>
        <v>-8.8029999999999973</v>
      </c>
      <c r="AI40" s="828">
        <f t="shared" si="43"/>
        <v>-115.92399999999998</v>
      </c>
      <c r="AJ40" s="827">
        <f>+AJ23-AI23</f>
        <v>-4.0760000000000218</v>
      </c>
      <c r="AK40" s="827">
        <f>+AK23-AJ23</f>
        <v>-4</v>
      </c>
      <c r="AL40" s="827">
        <f>+AL23-AK23</f>
        <v>-1.7370000000000232</v>
      </c>
      <c r="AM40" s="827">
        <f>+AM23-AL23</f>
        <v>3.0900000000000318</v>
      </c>
      <c r="AN40" s="698">
        <f>AN23-AI23</f>
        <v>-6.7230000000000132</v>
      </c>
      <c r="AO40" s="827">
        <f>+AO23-AN23</f>
        <v>-1.896000000000015</v>
      </c>
      <c r="AP40" s="827">
        <f>+AP23-AO23</f>
        <v>2.7230000000000132</v>
      </c>
      <c r="AQ40" s="827">
        <f>+AQ23-AP23</f>
        <v>4.2549999999999955</v>
      </c>
      <c r="AR40" s="827">
        <f>+AR23-AQ23</f>
        <v>1.8969999999999914</v>
      </c>
      <c r="AS40" s="698">
        <f>AS23-AN23</f>
        <v>6.978999999999985</v>
      </c>
      <c r="AT40" s="827">
        <f>+AT23-AS23</f>
        <v>5.1360000000000241</v>
      </c>
      <c r="AU40" s="827">
        <f>+AU23-AT23</f>
        <v>3.5919999999999845</v>
      </c>
      <c r="AV40" s="827">
        <f>+AV23-AU23</f>
        <v>3.9399999999999977</v>
      </c>
      <c r="AW40" s="827">
        <f>+AW23-AV23</f>
        <v>2</v>
      </c>
      <c r="AX40" s="698">
        <f>AX23-AS23</f>
        <v>14.668000000000006</v>
      </c>
      <c r="AY40" s="827">
        <f>+AY23-AX23</f>
        <v>1</v>
      </c>
      <c r="AZ40" s="827">
        <f>+AZ23-AY23</f>
        <v>3</v>
      </c>
      <c r="BA40" s="827">
        <f>+BA23-AZ23</f>
        <v>4</v>
      </c>
      <c r="BB40" s="827">
        <f ca="1">+BB23-BA23</f>
        <v>13</v>
      </c>
      <c r="BC40" s="698">
        <f ca="1">BC23-AX23</f>
        <v>21</v>
      </c>
      <c r="BD40" s="827">
        <f ca="1">+BD23-BC23</f>
        <v>10</v>
      </c>
      <c r="BE40" s="827">
        <f>+BE23-BD23</f>
        <v>6.6680000000000064</v>
      </c>
      <c r="BF40" s="827">
        <f>+BF23-BE23</f>
        <v>12.341999999999985</v>
      </c>
      <c r="BG40" s="827">
        <f>+BG23-BF23</f>
        <v>28.144999999999982</v>
      </c>
      <c r="BH40" s="698">
        <f ca="1">BH23-BC23</f>
        <v>57</v>
      </c>
      <c r="BI40" s="827">
        <f>+BI23-BH23</f>
        <v>18</v>
      </c>
      <c r="BJ40" s="827">
        <f>+BJ23-BI23</f>
        <v>20</v>
      </c>
      <c r="BK40" s="827">
        <f>+BK23-BJ23</f>
        <v>14</v>
      </c>
      <c r="BL40" s="827">
        <f t="shared" si="58"/>
        <v>23.88038575667656</v>
      </c>
      <c r="BM40" s="698">
        <f>BM23-BH23</f>
        <v>75.88038575667656</v>
      </c>
      <c r="BN40" s="698">
        <f>BN23-BM23</f>
        <v>50.335192878338262</v>
      </c>
      <c r="BO40" s="698">
        <f>BO23-BN23</f>
        <v>50.735192878338353</v>
      </c>
      <c r="BP40" s="218"/>
      <c r="BQ40" s="657">
        <v>-2.0819999999999936</v>
      </c>
      <c r="BR40" s="657"/>
      <c r="BS40" s="657">
        <f>BS23-AQ23</f>
        <v>-1.4350000000000023</v>
      </c>
      <c r="BT40" s="657"/>
      <c r="BZ40" s="218">
        <f t="shared" ref="BZ40:CC41" si="63">+BZ23-BY23</f>
        <v>25</v>
      </c>
      <c r="CA40" s="218">
        <f t="shared" si="63"/>
        <v>34</v>
      </c>
      <c r="CB40" s="218">
        <f t="shared" si="63"/>
        <v>23.953000000000003</v>
      </c>
      <c r="CC40" s="218">
        <f t="shared" si="63"/>
        <v>257.04700000000003</v>
      </c>
      <c r="DA40" s="708"/>
      <c r="DB40" s="708"/>
      <c r="DC40" s="708"/>
      <c r="DD40" s="708"/>
      <c r="DE40" s="709"/>
      <c r="DF40" s="708"/>
      <c r="DG40" s="708"/>
      <c r="DH40" s="708"/>
      <c r="DI40" s="708"/>
      <c r="DJ40" s="709"/>
      <c r="DK40" s="708"/>
      <c r="DL40" s="708"/>
      <c r="DM40" s="708"/>
      <c r="DN40" s="708"/>
      <c r="DO40" s="709"/>
      <c r="DP40" s="708"/>
      <c r="DQ40" s="708"/>
      <c r="DR40" s="708"/>
      <c r="DS40" s="708"/>
      <c r="DT40" s="709"/>
      <c r="DU40" s="708"/>
      <c r="DV40" s="708"/>
      <c r="DW40" s="708"/>
      <c r="DX40" s="708"/>
      <c r="DY40" s="709"/>
      <c r="DZ40" s="708"/>
      <c r="EA40" s="708"/>
      <c r="EB40" s="708"/>
      <c r="EC40" s="708"/>
      <c r="ED40" s="709"/>
      <c r="EE40" s="708"/>
      <c r="EF40" s="708"/>
      <c r="EG40" s="708"/>
      <c r="EH40" s="708"/>
      <c r="EI40" s="709"/>
      <c r="EJ40" s="709"/>
      <c r="EK40" s="709"/>
    </row>
    <row r="41" spans="2:141">
      <c r="B41" s="7" t="str">
        <f>+B24</f>
        <v xml:space="preserve">Total RGUs </v>
      </c>
      <c r="C41" s="27"/>
      <c r="D41" s="583"/>
      <c r="E41" s="699">
        <f>+E24-C24</f>
        <v>-28</v>
      </c>
      <c r="F41" s="699">
        <f t="shared" ref="F41:R41" si="64">+F24-E24</f>
        <v>-9</v>
      </c>
      <c r="G41" s="699">
        <f t="shared" si="64"/>
        <v>15</v>
      </c>
      <c r="H41" s="699">
        <f t="shared" si="64"/>
        <v>28</v>
      </c>
      <c r="I41" s="697">
        <f t="shared" si="38"/>
        <v>6</v>
      </c>
      <c r="J41" s="699">
        <f>+J24-H24</f>
        <v>-14</v>
      </c>
      <c r="K41" s="699">
        <f t="shared" si="64"/>
        <v>6</v>
      </c>
      <c r="L41" s="699">
        <f t="shared" si="64"/>
        <v>32.200000000000045</v>
      </c>
      <c r="M41" s="699">
        <f t="shared" si="64"/>
        <v>-3.123601213381562</v>
      </c>
      <c r="N41" s="697">
        <f t="shared" si="39"/>
        <v>21.076398786618483</v>
      </c>
      <c r="O41" s="699">
        <f>+O24-M24</f>
        <v>-6.0763987866184834</v>
      </c>
      <c r="P41" s="699">
        <f t="shared" si="64"/>
        <v>-2</v>
      </c>
      <c r="Q41" s="699">
        <f t="shared" si="64"/>
        <v>1166</v>
      </c>
      <c r="R41" s="699">
        <f t="shared" si="64"/>
        <v>772</v>
      </c>
      <c r="S41" s="697">
        <f t="shared" si="40"/>
        <v>1929.9236012133815</v>
      </c>
      <c r="T41" s="700"/>
      <c r="U41" s="699">
        <f>+U24-R24</f>
        <v>18</v>
      </c>
      <c r="V41" s="699">
        <f t="shared" si="61"/>
        <v>13</v>
      </c>
      <c r="W41" s="699">
        <f t="shared" si="61"/>
        <v>18</v>
      </c>
      <c r="X41" s="699">
        <f t="shared" si="61"/>
        <v>56</v>
      </c>
      <c r="Y41" s="697">
        <f t="shared" si="41"/>
        <v>105</v>
      </c>
      <c r="Z41" s="699">
        <f t="shared" si="62"/>
        <v>-2</v>
      </c>
      <c r="AA41" s="699">
        <f t="shared" si="62"/>
        <v>23</v>
      </c>
      <c r="AB41" s="699">
        <f t="shared" si="62"/>
        <v>22.317000000000007</v>
      </c>
      <c r="AC41" s="699">
        <f t="shared" si="62"/>
        <v>8.6829999999999927</v>
      </c>
      <c r="AD41" s="697">
        <f t="shared" si="42"/>
        <v>52</v>
      </c>
      <c r="AE41" s="702">
        <f>SUM(AE37:AE40)</f>
        <v>-75</v>
      </c>
      <c r="AF41" s="702">
        <f>SUM(AF37:AF40)</f>
        <v>-17.11500000000018</v>
      </c>
      <c r="AG41" s="702">
        <f>SUM(AG37:AG40)</f>
        <v>11.592000000000269</v>
      </c>
      <c r="AH41" s="702">
        <f>SUM(AH37:AH40)</f>
        <v>-16.356999999999971</v>
      </c>
      <c r="AI41" s="697">
        <f t="shared" si="43"/>
        <v>-96.879999999999882</v>
      </c>
      <c r="AJ41" s="702">
        <f>SUM(AJ37:AJ40)</f>
        <v>-50.240000000000009</v>
      </c>
      <c r="AK41" s="702">
        <f>SUM(AK37:AK40)</f>
        <v>-11</v>
      </c>
      <c r="AL41" s="702">
        <f>SUM(AL37:AL40)</f>
        <v>-32.26820369379999</v>
      </c>
      <c r="AM41" s="702">
        <f>SUM(AM37:AM40)</f>
        <v>-8.9873329163001472</v>
      </c>
      <c r="AN41" s="701">
        <f>AN24-AI24</f>
        <v>-55.375536610100426</v>
      </c>
      <c r="AO41" s="702">
        <f>SUM(AO37:AO40)</f>
        <v>-38.368922144900068</v>
      </c>
      <c r="AP41" s="702">
        <f>SUM(AP37:AP40)</f>
        <v>-13.335999999999956</v>
      </c>
      <c r="AQ41" s="702">
        <f>SUM(AQ37:AQ40)</f>
        <v>-1.4975412449998657</v>
      </c>
      <c r="AR41" s="702">
        <f>SUM(AR37:AR40)</f>
        <v>-5.6749996000001488</v>
      </c>
      <c r="AS41" s="701">
        <f>AS24-AN24</f>
        <v>-58.877462989899414</v>
      </c>
      <c r="AT41" s="702">
        <f>SUM(AT37:AT40)</f>
        <v>2.8420002000003137</v>
      </c>
      <c r="AU41" s="702">
        <f>SUM(AU37:AU40)</f>
        <v>-13.646999999999935</v>
      </c>
      <c r="AV41" s="702">
        <f>SUM(AV37:AV40)</f>
        <v>-14.062000600000204</v>
      </c>
      <c r="AW41" s="702">
        <f>SUM(AW37:AW40)</f>
        <v>-38</v>
      </c>
      <c r="AX41" s="701">
        <f>AX24-AS24</f>
        <v>-58.867000400000052</v>
      </c>
      <c r="AY41" s="702">
        <f>SUM(AY37:AY40)</f>
        <v>-59</v>
      </c>
      <c r="AZ41" s="702">
        <f>SUM(AZ37:AZ40)</f>
        <v>-13</v>
      </c>
      <c r="BA41" s="702">
        <f>SUM(BA37:BA40)</f>
        <v>-43</v>
      </c>
      <c r="BB41" s="702">
        <f ca="1">SUM(BB37:BB40)</f>
        <v>-9</v>
      </c>
      <c r="BC41" s="701">
        <f ca="1">BC24-AX24</f>
        <v>-128</v>
      </c>
      <c r="BD41" s="702">
        <f ca="1">SUM(BD37:BD40)</f>
        <v>27</v>
      </c>
      <c r="BE41" s="702">
        <f>SUM(BE37:BE40)</f>
        <v>-9.0630003999999644</v>
      </c>
      <c r="BF41" s="702">
        <f>SUM(BF37:BF40)</f>
        <v>16.357000399999833</v>
      </c>
      <c r="BG41" s="702">
        <f>SUM(BG37:BG40)</f>
        <v>-20.727000099999884</v>
      </c>
      <c r="BH41" s="701">
        <f ca="1">BH24-BC24</f>
        <v>14</v>
      </c>
      <c r="BI41" s="702">
        <f>SUM(BI37:BI40)</f>
        <v>42.732000000000085</v>
      </c>
      <c r="BJ41" s="702">
        <f>SUM(BJ37:BJ40)</f>
        <v>-713.73200000000008</v>
      </c>
      <c r="BK41" s="702">
        <f>SUM(BK37:BK40)</f>
        <v>58</v>
      </c>
      <c r="BL41" s="702">
        <f t="shared" ref="BL41" ca="1" si="65">SUM(BL37:BL40)</f>
        <v>110.85686040016128</v>
      </c>
      <c r="BM41" s="701">
        <f ca="1">BM24-BH24</f>
        <v>-502.14313959983883</v>
      </c>
      <c r="BN41" s="701">
        <f ca="1">BN24-BM24</f>
        <v>198.16766645956841</v>
      </c>
      <c r="BO41" s="701">
        <f ca="1">BO24-BN24</f>
        <v>93.908349169764278</v>
      </c>
      <c r="BP41" s="218"/>
      <c r="BQ41" s="703">
        <v>-13.79753661010011</v>
      </c>
      <c r="BR41" s="661"/>
      <c r="BS41" s="703">
        <f>BS24-AQ24</f>
        <v>-9.5419999999999163</v>
      </c>
      <c r="BT41" s="661"/>
      <c r="BZ41" s="218">
        <f t="shared" si="63"/>
        <v>-65</v>
      </c>
      <c r="CA41" s="218">
        <f t="shared" si="63"/>
        <v>6</v>
      </c>
      <c r="CB41" s="218">
        <f t="shared" si="63"/>
        <v>21.076398786618483</v>
      </c>
      <c r="CC41" s="218">
        <f t="shared" si="63"/>
        <v>1929.9236012133815</v>
      </c>
      <c r="DA41" s="708"/>
      <c r="DB41" s="708"/>
      <c r="DC41" s="708"/>
      <c r="DD41" s="708"/>
      <c r="DE41" s="709"/>
      <c r="DF41" s="708"/>
      <c r="DG41" s="708"/>
      <c r="DH41" s="708"/>
      <c r="DI41" s="708"/>
      <c r="DJ41" s="709"/>
      <c r="DK41" s="708"/>
      <c r="DL41" s="708"/>
      <c r="DM41" s="708"/>
      <c r="DN41" s="708"/>
      <c r="DO41" s="709"/>
      <c r="DP41" s="708"/>
      <c r="DQ41" s="708"/>
      <c r="DR41" s="708"/>
      <c r="DS41" s="708"/>
      <c r="DT41" s="709"/>
      <c r="DU41" s="708"/>
      <c r="DV41" s="708"/>
      <c r="DW41" s="708"/>
      <c r="DX41" s="708"/>
      <c r="DY41" s="709"/>
      <c r="DZ41" s="708"/>
      <c r="EA41" s="708"/>
      <c r="EB41" s="708"/>
      <c r="EC41" s="708"/>
      <c r="ED41" s="709"/>
      <c r="EE41" s="708"/>
      <c r="EF41" s="708"/>
      <c r="EG41" s="708"/>
      <c r="EH41" s="708"/>
      <c r="EI41" s="709"/>
      <c r="EJ41" s="709"/>
      <c r="EK41" s="709"/>
    </row>
    <row r="42" spans="2:141">
      <c r="C42" s="218"/>
      <c r="D42" s="554"/>
      <c r="E42" s="218"/>
      <c r="F42" s="218"/>
      <c r="G42" s="218"/>
      <c r="H42" s="218"/>
      <c r="I42" s="554"/>
      <c r="J42" s="218"/>
      <c r="K42" s="218"/>
      <c r="L42" s="218"/>
      <c r="M42" s="218"/>
      <c r="N42" s="554"/>
      <c r="O42" s="218"/>
      <c r="P42" s="218"/>
      <c r="Q42" s="218"/>
      <c r="R42" s="218"/>
      <c r="S42" s="554"/>
      <c r="T42" s="568"/>
      <c r="U42" s="218"/>
      <c r="V42" s="218"/>
      <c r="W42" s="218"/>
      <c r="X42" s="218"/>
      <c r="Y42" s="554"/>
      <c r="Z42" s="218"/>
      <c r="AA42" s="218"/>
      <c r="AB42" s="218"/>
      <c r="AC42" s="218"/>
      <c r="AD42" s="554"/>
      <c r="AE42" s="218"/>
      <c r="AF42" s="218"/>
      <c r="AG42" s="218"/>
      <c r="AH42" s="218"/>
      <c r="AI42" s="554"/>
      <c r="AJ42" s="218"/>
      <c r="AK42" s="218"/>
      <c r="AL42" s="218"/>
      <c r="AM42" s="218"/>
      <c r="AN42" s="554"/>
      <c r="AO42" s="218"/>
      <c r="AP42" s="218"/>
      <c r="AQ42" s="218"/>
      <c r="AR42" s="218"/>
      <c r="AS42" s="554"/>
      <c r="AT42" s="218"/>
      <c r="AU42" s="218"/>
      <c r="AV42" s="218"/>
      <c r="AW42" s="218"/>
      <c r="AX42" s="554"/>
      <c r="AY42" s="218"/>
      <c r="AZ42" s="218"/>
      <c r="BA42" s="218"/>
      <c r="BB42" s="218"/>
      <c r="BC42" s="554"/>
      <c r="BD42" s="218"/>
      <c r="BE42" s="218"/>
      <c r="BF42" s="218"/>
      <c r="BG42" s="218"/>
      <c r="BH42" s="554"/>
      <c r="BI42" s="218"/>
      <c r="BJ42" s="218"/>
      <c r="BK42" s="218"/>
      <c r="BL42" s="218"/>
      <c r="BM42" s="554"/>
      <c r="BN42" s="554"/>
      <c r="BO42" s="554"/>
      <c r="BP42" s="218"/>
      <c r="BQ42" s="657"/>
      <c r="BR42" s="657"/>
      <c r="BS42" s="657"/>
      <c r="BT42" s="657"/>
      <c r="BZ42" s="218"/>
      <c r="CA42" s="218"/>
      <c r="CB42" s="218"/>
      <c r="CC42" s="218"/>
      <c r="DA42" s="708"/>
      <c r="DB42" s="708"/>
      <c r="DC42" s="708"/>
      <c r="DD42" s="708"/>
      <c r="DE42" s="709"/>
      <c r="DF42" s="708"/>
      <c r="DG42" s="708"/>
      <c r="DH42" s="708"/>
      <c r="DI42" s="708"/>
      <c r="DJ42" s="709"/>
      <c r="DK42" s="708"/>
      <c r="DL42" s="708"/>
      <c r="DM42" s="708"/>
      <c r="DN42" s="708"/>
      <c r="DO42" s="709"/>
      <c r="DP42" s="708"/>
      <c r="DQ42" s="708"/>
      <c r="DR42" s="708"/>
      <c r="DS42" s="708"/>
      <c r="DT42" s="709"/>
      <c r="DU42" s="708"/>
      <c r="DV42" s="708"/>
      <c r="DW42" s="708"/>
      <c r="DX42" s="708"/>
      <c r="DY42" s="709"/>
      <c r="DZ42" s="708"/>
      <c r="EA42" s="708"/>
      <c r="EB42" s="708"/>
      <c r="EC42" s="708"/>
      <c r="ED42" s="709"/>
      <c r="EE42" s="708"/>
      <c r="EF42" s="708"/>
      <c r="EG42" s="708"/>
      <c r="EH42" s="708"/>
      <c r="EI42" s="709"/>
      <c r="EJ42" s="709"/>
      <c r="EK42" s="709"/>
    </row>
    <row r="43" spans="2:141">
      <c r="B43" s="7" t="s">
        <v>989</v>
      </c>
      <c r="BQ43" s="657"/>
      <c r="BR43" s="657"/>
      <c r="BS43" s="657"/>
      <c r="BT43" s="657"/>
      <c r="DA43" s="708"/>
      <c r="DB43" s="708"/>
      <c r="DC43" s="708"/>
      <c r="DD43" s="708"/>
      <c r="DE43" s="709"/>
      <c r="DF43" s="708"/>
      <c r="DG43" s="708"/>
      <c r="DH43" s="708"/>
      <c r="DI43" s="708"/>
      <c r="DJ43" s="709"/>
      <c r="DK43" s="708"/>
      <c r="DL43" s="708"/>
      <c r="DM43" s="708"/>
      <c r="DN43" s="708"/>
      <c r="DO43" s="709"/>
      <c r="DP43" s="708"/>
      <c r="DQ43" s="708"/>
      <c r="DR43" s="708"/>
      <c r="DS43" s="708"/>
      <c r="DT43" s="709"/>
      <c r="DU43" s="708"/>
      <c r="DV43" s="708"/>
      <c r="DW43" s="708"/>
      <c r="DX43" s="708"/>
      <c r="DY43" s="709"/>
      <c r="DZ43" s="708"/>
      <c r="EA43" s="708"/>
      <c r="EB43" s="708"/>
      <c r="EC43" s="708"/>
      <c r="ED43" s="709"/>
      <c r="EE43" s="708"/>
      <c r="EF43" s="708"/>
      <c r="EG43" s="708"/>
      <c r="EH43" s="708"/>
      <c r="EI43" s="709"/>
      <c r="EJ43" s="709"/>
      <c r="EK43" s="709"/>
    </row>
    <row r="44" spans="2:141">
      <c r="B44" s="212" t="s">
        <v>65</v>
      </c>
      <c r="C44" s="607">
        <f>+BZ44</f>
        <v>0.14499999999999999</v>
      </c>
      <c r="D44" s="606"/>
      <c r="E44" s="607">
        <v>0.159</v>
      </c>
      <c r="F44" s="607">
        <v>0.16700000000000001</v>
      </c>
      <c r="G44" s="607">
        <v>0.17599999999999999</v>
      </c>
      <c r="H44" s="607">
        <v>0.185</v>
      </c>
      <c r="I44" s="606">
        <f>H44</f>
        <v>0.185</v>
      </c>
      <c r="J44" s="607">
        <v>0.192</v>
      </c>
      <c r="K44" s="607">
        <v>0.19500000000000001</v>
      </c>
      <c r="L44" s="607">
        <v>0.20054092428990283</v>
      </c>
      <c r="M44" s="607">
        <v>0.20493715500622073</v>
      </c>
      <c r="N44" s="606">
        <f>M44</f>
        <v>0.20493715500622073</v>
      </c>
      <c r="O44" s="607">
        <v>0.20899999999999999</v>
      </c>
      <c r="P44" s="607">
        <v>0.21199999999999999</v>
      </c>
      <c r="Q44" s="607">
        <v>0.219</v>
      </c>
      <c r="R44" s="607">
        <v>0.20599999999999999</v>
      </c>
      <c r="S44" s="606">
        <f>R44</f>
        <v>0.20599999999999999</v>
      </c>
      <c r="T44" s="607"/>
      <c r="U44" s="607">
        <v>0.21199999999999999</v>
      </c>
      <c r="V44" s="607">
        <v>0.214</v>
      </c>
      <c r="W44" s="607">
        <v>0.219</v>
      </c>
      <c r="X44" s="607">
        <v>0.224</v>
      </c>
      <c r="Y44" s="606">
        <f>X44</f>
        <v>0.224</v>
      </c>
      <c r="Z44" s="607">
        <v>0.22900000000000001</v>
      </c>
      <c r="AA44" s="607">
        <v>0.23300000000000001</v>
      </c>
      <c r="AB44" s="607">
        <v>0.23903795246093129</v>
      </c>
      <c r="AC44" s="607">
        <v>0.24399999999999999</v>
      </c>
      <c r="AD44" s="606">
        <f>AC44</f>
        <v>0.24399999999999999</v>
      </c>
      <c r="AE44" s="607">
        <v>0.23400000000000001</v>
      </c>
      <c r="AF44" s="607">
        <v>0.23134704851059004</v>
      </c>
      <c r="AG44" s="607">
        <v>0.23400973087111065</v>
      </c>
      <c r="AH44" s="607">
        <v>0.23400973087111065</v>
      </c>
      <c r="AI44" s="606">
        <f>AH44</f>
        <v>0.23400973087111065</v>
      </c>
      <c r="AJ44" s="607">
        <v>0.23056868694391566</v>
      </c>
      <c r="AK44" s="607">
        <v>0.23048700737724093</v>
      </c>
      <c r="AL44" s="607">
        <v>0.231519006503104</v>
      </c>
      <c r="AM44" s="607">
        <v>0.23182618226078811</v>
      </c>
      <c r="AN44" s="606">
        <f>+AN21/(AN9+169)</f>
        <v>0.23180253408638141</v>
      </c>
      <c r="AO44" s="639">
        <f>+AO21/(AO9+135)</f>
        <v>0.2342877064391542</v>
      </c>
      <c r="AP44" s="639">
        <f>+AP21/(AP9+135)</f>
        <v>0.23538660259446953</v>
      </c>
      <c r="AQ44" s="639">
        <f>+AQ21/(AQ9+135)</f>
        <v>0.23864673831542113</v>
      </c>
      <c r="AR44" s="639">
        <f>+AR21/(AR9+135)</f>
        <v>0.24045937600166262</v>
      </c>
      <c r="AS44" s="606">
        <f>+AS21/(AS9+135)</f>
        <v>0.24045937600166262</v>
      </c>
      <c r="AT44" s="639">
        <f>+AT21/(AT9)</f>
        <v>0.25772182293901208</v>
      </c>
      <c r="AU44" s="639">
        <f t="shared" ref="AU44:BO44" si="66">+AU21/(AU9)</f>
        <v>0.26065693039245086</v>
      </c>
      <c r="AV44" s="639">
        <f t="shared" si="66"/>
        <v>0.26330631187698328</v>
      </c>
      <c r="AW44" s="639">
        <f t="shared" si="66"/>
        <v>0.2690797430010391</v>
      </c>
      <c r="AX44" s="606">
        <f t="shared" si="66"/>
        <v>0.2690797430010391</v>
      </c>
      <c r="AY44" s="639">
        <f t="shared" si="66"/>
        <v>0.27108662052626775</v>
      </c>
      <c r="AZ44" s="639">
        <f t="shared" si="66"/>
        <v>0.27385665914559287</v>
      </c>
      <c r="BA44" s="639">
        <f t="shared" si="66"/>
        <v>0.2812405581972045</v>
      </c>
      <c r="BB44" s="639">
        <f t="shared" ca="1" si="66"/>
        <v>0.28588768995371566</v>
      </c>
      <c r="BC44" s="606">
        <f t="shared" ca="1" si="66"/>
        <v>0.28588768995371566</v>
      </c>
      <c r="BD44" s="639">
        <f t="shared" si="66"/>
        <v>0.2922473867595819</v>
      </c>
      <c r="BE44" s="639">
        <f t="shared" si="66"/>
        <v>0.29807271850481842</v>
      </c>
      <c r="BF44" s="639">
        <f t="shared" si="66"/>
        <v>0.30197981630589132</v>
      </c>
      <c r="BG44" s="639">
        <f t="shared" si="66"/>
        <v>0.30445249504873267</v>
      </c>
      <c r="BH44" s="606">
        <f t="shared" si="66"/>
        <v>0.3043662568885121</v>
      </c>
      <c r="BI44" s="639">
        <f t="shared" si="66"/>
        <v>0.31021676545300597</v>
      </c>
      <c r="BJ44" s="639">
        <f t="shared" si="66"/>
        <v>0.2978902953586498</v>
      </c>
      <c r="BK44" s="639">
        <f t="shared" si="66"/>
        <v>0.3065263157894737</v>
      </c>
      <c r="BL44" s="639"/>
      <c r="BM44" s="606">
        <f t="shared" ca="1" si="66"/>
        <v>0.3157642420494004</v>
      </c>
      <c r="BN44" s="606">
        <f t="shared" ca="1" si="66"/>
        <v>0.34686436296356893</v>
      </c>
      <c r="BO44" s="606">
        <f t="shared" ca="1" si="66"/>
        <v>0.37885735489971184</v>
      </c>
      <c r="BP44" s="634"/>
      <c r="BQ44" s="658"/>
      <c r="BR44" s="658"/>
      <c r="BS44" s="658"/>
      <c r="BT44" s="658"/>
      <c r="BY44" s="222">
        <v>0.13700000000000001</v>
      </c>
      <c r="BZ44" s="222">
        <v>0.14499999999999999</v>
      </c>
      <c r="CA44" s="222">
        <v>0.185</v>
      </c>
      <c r="CB44" s="222">
        <v>0.20493715500622073</v>
      </c>
      <c r="CC44" s="222">
        <f>+CC21/CC9</f>
        <v>0.2106703146374829</v>
      </c>
      <c r="DA44" s="708"/>
      <c r="DB44" s="708"/>
      <c r="DC44" s="708"/>
      <c r="DD44" s="708"/>
      <c r="DE44" s="709"/>
      <c r="DF44" s="708"/>
      <c r="DG44" s="708"/>
      <c r="DH44" s="708"/>
      <c r="DI44" s="708"/>
      <c r="DJ44" s="709"/>
      <c r="DK44" s="708"/>
      <c r="DL44" s="708"/>
      <c r="DM44" s="708"/>
      <c r="DN44" s="708"/>
      <c r="DO44" s="709"/>
      <c r="DP44" s="708"/>
      <c r="DQ44" s="708"/>
      <c r="DR44" s="708"/>
      <c r="DS44" s="708"/>
      <c r="DT44" s="709"/>
      <c r="DU44" s="708"/>
      <c r="DV44" s="708"/>
      <c r="DW44" s="708"/>
      <c r="DX44" s="708"/>
      <c r="DY44" s="709"/>
      <c r="DZ44" s="708"/>
      <c r="EA44" s="708"/>
      <c r="EB44" s="708"/>
      <c r="EC44" s="708"/>
      <c r="ED44" s="709"/>
      <c r="EE44" s="708"/>
      <c r="EF44" s="708"/>
      <c r="EG44" s="708"/>
      <c r="EH44" s="708"/>
      <c r="EI44" s="709"/>
      <c r="EJ44" s="709"/>
      <c r="EK44" s="709"/>
    </row>
    <row r="45" spans="2:141">
      <c r="B45" s="212" t="s">
        <v>1512</v>
      </c>
      <c r="C45" s="607"/>
      <c r="D45" s="606"/>
      <c r="E45" s="607"/>
      <c r="F45" s="607"/>
      <c r="G45" s="607"/>
      <c r="H45" s="607"/>
      <c r="I45" s="606"/>
      <c r="J45" s="607"/>
      <c r="K45" s="607"/>
      <c r="L45" s="607"/>
      <c r="M45" s="607"/>
      <c r="N45" s="606"/>
      <c r="O45" s="607"/>
      <c r="P45" s="607"/>
      <c r="Q45" s="607"/>
      <c r="R45" s="607"/>
      <c r="S45" s="606"/>
      <c r="T45" s="607"/>
      <c r="U45" s="607"/>
      <c r="V45" s="607"/>
      <c r="W45" s="607"/>
      <c r="X45" s="607"/>
      <c r="Y45" s="606"/>
      <c r="Z45" s="607">
        <v>0.63597397557179147</v>
      </c>
      <c r="AA45" s="607">
        <v>0.64214741534855924</v>
      </c>
      <c r="AB45" s="607">
        <v>0.64404873623057934</v>
      </c>
      <c r="AC45" s="607">
        <v>0.64779768626481449</v>
      </c>
      <c r="AD45" s="606">
        <f>AC45</f>
        <v>0.64779768626481449</v>
      </c>
      <c r="AE45" s="607">
        <v>0.65205066190334093</v>
      </c>
      <c r="AF45" s="607">
        <v>0.68235046985944481</v>
      </c>
      <c r="AG45" s="607">
        <v>0.68521519715667645</v>
      </c>
      <c r="AH45" s="607">
        <v>0.68878863720074213</v>
      </c>
      <c r="AI45" s="606">
        <f>AH45</f>
        <v>0.68878863720074213</v>
      </c>
      <c r="AJ45" s="607">
        <v>0.68843772924187197</v>
      </c>
      <c r="AK45" s="607">
        <v>0.69021071377866738</v>
      </c>
      <c r="AL45" s="607">
        <v>0.69566569737359829</v>
      </c>
      <c r="AM45" s="607">
        <v>0.69550400112208377</v>
      </c>
      <c r="AN45" s="606">
        <f>AM45</f>
        <v>0.69550400112208377</v>
      </c>
      <c r="AO45" s="607">
        <v>0.70547042031460883</v>
      </c>
      <c r="AP45" s="607">
        <v>0.70705338104425308</v>
      </c>
      <c r="AQ45" s="607">
        <v>0.70887243847024684</v>
      </c>
      <c r="AR45" s="607">
        <v>0.70995561671412533</v>
      </c>
      <c r="AS45" s="606">
        <f>AR45</f>
        <v>0.70995561671412533</v>
      </c>
      <c r="AT45" s="607">
        <v>0.71121013601343896</v>
      </c>
      <c r="AU45" s="607">
        <v>0.7119224125196334</v>
      </c>
      <c r="AV45" s="639"/>
      <c r="AW45" s="639"/>
      <c r="AX45" s="606"/>
      <c r="AY45" s="639"/>
      <c r="AZ45" s="639"/>
      <c r="BA45" s="639"/>
      <c r="BB45" s="639"/>
      <c r="BC45" s="606"/>
      <c r="BD45" s="639"/>
      <c r="BE45" s="639"/>
      <c r="BF45" s="639"/>
      <c r="BG45" s="639"/>
      <c r="BH45" s="606"/>
      <c r="BI45" s="639"/>
      <c r="BJ45" s="639"/>
      <c r="BK45" s="639"/>
      <c r="BL45" s="639"/>
      <c r="BM45" s="606"/>
      <c r="BN45" s="606"/>
      <c r="BO45" s="606"/>
      <c r="BP45" s="634"/>
      <c r="BQ45" s="658"/>
      <c r="BR45" s="658"/>
      <c r="BS45" s="658"/>
      <c r="BT45" s="658"/>
      <c r="BY45" s="222"/>
      <c r="BZ45" s="222"/>
      <c r="CA45" s="222"/>
      <c r="CB45" s="222"/>
      <c r="CC45" s="222"/>
      <c r="DA45" s="708"/>
      <c r="DB45" s="708"/>
      <c r="DC45" s="708"/>
      <c r="DD45" s="708"/>
      <c r="DE45" s="709"/>
      <c r="DF45" s="708"/>
      <c r="DG45" s="708"/>
      <c r="DH45" s="708"/>
      <c r="DI45" s="708"/>
      <c r="DJ45" s="709"/>
      <c r="DK45" s="708"/>
      <c r="DL45" s="708"/>
      <c r="DM45" s="708"/>
      <c r="DN45" s="708"/>
      <c r="DO45" s="709"/>
      <c r="DP45" s="708"/>
      <c r="DQ45" s="708"/>
      <c r="DR45" s="708"/>
      <c r="DS45" s="708"/>
      <c r="DT45" s="709"/>
      <c r="DU45" s="708"/>
      <c r="DV45" s="708"/>
      <c r="DW45" s="708"/>
      <c r="DX45" s="708"/>
      <c r="DY45" s="709"/>
      <c r="DZ45" s="708"/>
      <c r="EA45" s="708"/>
      <c r="EB45" s="708"/>
      <c r="EC45" s="708"/>
      <c r="ED45" s="709"/>
      <c r="EE45" s="708"/>
      <c r="EF45" s="708"/>
      <c r="EG45" s="708"/>
      <c r="EH45" s="708"/>
      <c r="EI45" s="709"/>
      <c r="EJ45" s="709"/>
      <c r="EK45" s="709"/>
    </row>
    <row r="46" spans="2:141">
      <c r="B46" s="212" t="s">
        <v>867</v>
      </c>
      <c r="C46" s="607">
        <f>+BZ46</f>
        <v>0.68200000000000005</v>
      </c>
      <c r="D46" s="606"/>
      <c r="E46" s="607">
        <v>0.69699999999999995</v>
      </c>
      <c r="F46" s="607">
        <v>0.70599999999999996</v>
      </c>
      <c r="G46" s="607">
        <v>0.71299999999999997</v>
      </c>
      <c r="H46" s="607">
        <v>0.71899999999999997</v>
      </c>
      <c r="I46" s="606">
        <f>H46</f>
        <v>0.71899999999999997</v>
      </c>
      <c r="J46" s="607">
        <v>0.72599999999999998</v>
      </c>
      <c r="K46" s="607">
        <v>0.73</v>
      </c>
      <c r="L46" s="607">
        <v>0.73</v>
      </c>
      <c r="M46" s="607">
        <v>0.7302108411760414</v>
      </c>
      <c r="N46" s="606">
        <f>M46</f>
        <v>0.7302108411760414</v>
      </c>
      <c r="O46" s="607">
        <v>0.72799999999999998</v>
      </c>
      <c r="P46" s="607">
        <v>0.82699999999999996</v>
      </c>
      <c r="Q46" s="607">
        <v>0.83</v>
      </c>
      <c r="R46" s="607">
        <v>0.80300000000000005</v>
      </c>
      <c r="S46" s="606">
        <f>R46</f>
        <v>0.80300000000000005</v>
      </c>
      <c r="T46" s="607"/>
      <c r="U46" s="607">
        <v>0.81699999999999995</v>
      </c>
      <c r="V46" s="607">
        <v>0.81499999999999995</v>
      </c>
      <c r="W46" s="607">
        <v>0.81200000000000006</v>
      </c>
      <c r="X46" s="607">
        <v>0.84099999999999997</v>
      </c>
      <c r="Y46" s="606">
        <f>X46</f>
        <v>0.84099999999999997</v>
      </c>
      <c r="Z46" s="607">
        <v>0.85</v>
      </c>
      <c r="AA46" s="607">
        <v>0.85699999999999998</v>
      </c>
      <c r="AB46" s="607">
        <v>0.87756067867896159</v>
      </c>
      <c r="AC46" s="607">
        <v>0.89400000000000002</v>
      </c>
      <c r="AD46" s="606">
        <f>AC46</f>
        <v>0.89400000000000002</v>
      </c>
      <c r="AE46" s="607">
        <v>0.88600000000000001</v>
      </c>
      <c r="AF46" s="607">
        <v>0.87568343947681548</v>
      </c>
      <c r="AG46" s="607">
        <v>0.80284782591257353</v>
      </c>
      <c r="AH46" s="607">
        <v>0.78911936196204524</v>
      </c>
      <c r="AI46" s="606">
        <f>AH46</f>
        <v>0.78911936196204524</v>
      </c>
      <c r="AJ46" s="607">
        <v>0.78253303033646338</v>
      </c>
      <c r="AK46" s="607">
        <v>0.77719368645645137</v>
      </c>
      <c r="AL46" s="607">
        <v>0.76840188036768187</v>
      </c>
      <c r="AM46" s="607">
        <v>0.77178070136820243</v>
      </c>
      <c r="AN46" s="798">
        <f>AM46</f>
        <v>0.77178070136820243</v>
      </c>
      <c r="AO46" s="607">
        <v>0.7730188101078338</v>
      </c>
      <c r="AP46" s="607">
        <v>0.7730188101078338</v>
      </c>
      <c r="AQ46" s="607">
        <v>0.7730188101078338</v>
      </c>
      <c r="AR46" s="639"/>
      <c r="AS46" s="798"/>
      <c r="AT46" s="639"/>
      <c r="AU46" s="639"/>
      <c r="AV46" s="639"/>
      <c r="AW46" s="639"/>
      <c r="AX46" s="798"/>
      <c r="AY46" s="639"/>
      <c r="AZ46" s="639"/>
      <c r="BA46" s="639"/>
      <c r="BB46" s="639"/>
      <c r="BC46" s="798"/>
      <c r="BD46" s="639"/>
      <c r="BE46" s="639"/>
      <c r="BF46" s="639"/>
      <c r="BG46" s="639"/>
      <c r="BH46" s="798"/>
      <c r="BI46" s="639"/>
      <c r="BJ46" s="639"/>
      <c r="BK46" s="639"/>
      <c r="BL46" s="639"/>
      <c r="BM46" s="798"/>
      <c r="BN46" s="798"/>
      <c r="BO46" s="798"/>
      <c r="BP46" s="635"/>
      <c r="BQ46" s="657"/>
      <c r="BR46" s="657"/>
      <c r="BS46" s="657"/>
      <c r="BT46" s="657"/>
      <c r="BY46" s="222">
        <v>0.63900000000000001</v>
      </c>
      <c r="BZ46" s="222">
        <v>0.68200000000000005</v>
      </c>
      <c r="CA46" s="222">
        <v>0.71899999999999997</v>
      </c>
      <c r="CB46" s="222">
        <v>0.7302108411760414</v>
      </c>
      <c r="CC46" s="222"/>
      <c r="DA46" s="708"/>
      <c r="DB46" s="708"/>
      <c r="DC46" s="708"/>
      <c r="DD46" s="708"/>
      <c r="DE46" s="709"/>
      <c r="DF46" s="708"/>
      <c r="DG46" s="708"/>
      <c r="DH46" s="708"/>
      <c r="DI46" s="708"/>
      <c r="DJ46" s="709"/>
      <c r="DK46" s="708"/>
      <c r="DL46" s="708"/>
      <c r="DM46" s="708"/>
      <c r="DN46" s="708"/>
      <c r="DO46" s="709"/>
      <c r="DP46" s="708"/>
      <c r="DQ46" s="708"/>
      <c r="DR46" s="708"/>
      <c r="DS46" s="708"/>
      <c r="DT46" s="709"/>
      <c r="DU46" s="708"/>
      <c r="DV46" s="708"/>
      <c r="DW46" s="708"/>
      <c r="DX46" s="708"/>
      <c r="DY46" s="709"/>
      <c r="DZ46" s="708"/>
      <c r="EA46" s="708"/>
      <c r="EB46" s="708"/>
      <c r="EC46" s="708"/>
      <c r="ED46" s="709"/>
      <c r="EE46" s="708"/>
      <c r="EF46" s="708"/>
      <c r="EG46" s="708"/>
      <c r="EH46" s="708"/>
      <c r="EI46" s="709"/>
      <c r="EJ46" s="709"/>
      <c r="EK46" s="709"/>
    </row>
    <row r="47" spans="2:141">
      <c r="C47" s="222"/>
      <c r="D47" s="557"/>
      <c r="E47" s="222"/>
      <c r="F47" s="222"/>
      <c r="G47" s="222"/>
      <c r="H47" s="222"/>
      <c r="I47" s="557"/>
      <c r="J47" s="222"/>
      <c r="K47" s="222"/>
      <c r="L47" s="222"/>
      <c r="M47" s="222"/>
      <c r="N47" s="557"/>
      <c r="O47" s="222"/>
      <c r="P47" s="222"/>
      <c r="Q47" s="222"/>
      <c r="R47" s="222"/>
      <c r="S47" s="557"/>
      <c r="T47" s="571"/>
      <c r="U47" s="222"/>
      <c r="V47" s="222"/>
      <c r="W47" s="222"/>
      <c r="X47" s="222"/>
      <c r="Y47" s="557"/>
      <c r="Z47" s="222"/>
      <c r="AA47" s="222"/>
      <c r="AB47" s="222"/>
      <c r="AC47" s="222"/>
      <c r="AD47" s="557"/>
      <c r="AE47" s="222"/>
      <c r="AF47" s="222"/>
      <c r="AG47" s="222"/>
      <c r="AH47" s="222"/>
      <c r="AI47" s="557"/>
      <c r="AJ47" s="222"/>
      <c r="AK47" s="222"/>
      <c r="AL47" s="222"/>
      <c r="AM47" s="222"/>
      <c r="AO47" s="222"/>
      <c r="AP47" s="222"/>
      <c r="AQ47" s="222"/>
      <c r="AR47" s="222"/>
      <c r="AT47" s="222"/>
      <c r="AU47" s="222"/>
      <c r="AV47" s="222"/>
      <c r="AW47" s="222"/>
      <c r="AY47" s="222"/>
      <c r="AZ47" s="222"/>
      <c r="BA47" s="222"/>
      <c r="BB47" s="222"/>
      <c r="BD47" s="222"/>
      <c r="BE47" s="222"/>
      <c r="BF47" s="222"/>
      <c r="BG47" s="222"/>
      <c r="BI47" s="222"/>
      <c r="BJ47" s="222"/>
      <c r="BK47" s="222"/>
      <c r="BL47" s="222"/>
      <c r="BQ47" s="657"/>
      <c r="BR47" s="657"/>
      <c r="BS47" s="657"/>
      <c r="BT47" s="657"/>
      <c r="BY47" s="222"/>
      <c r="BZ47" s="222"/>
      <c r="CA47" s="222"/>
      <c r="CB47" s="222"/>
      <c r="CC47" s="222"/>
      <c r="DA47" s="708"/>
      <c r="DB47" s="708"/>
      <c r="DC47" s="708"/>
      <c r="DD47" s="708"/>
      <c r="DE47" s="709"/>
      <c r="DF47" s="708"/>
      <c r="DG47" s="708"/>
      <c r="DH47" s="708"/>
      <c r="DI47" s="708"/>
      <c r="DJ47" s="709"/>
      <c r="DK47" s="708"/>
      <c r="DL47" s="708"/>
      <c r="DM47" s="708"/>
      <c r="DN47" s="708"/>
      <c r="DO47" s="709"/>
      <c r="DP47" s="708"/>
      <c r="DQ47" s="708"/>
      <c r="DR47" s="708"/>
      <c r="DS47" s="708"/>
      <c r="DT47" s="709"/>
      <c r="DU47" s="708"/>
      <c r="DV47" s="708"/>
      <c r="DW47" s="708"/>
      <c r="DX47" s="708"/>
      <c r="DY47" s="709"/>
      <c r="DZ47" s="708"/>
      <c r="EA47" s="708"/>
      <c r="EB47" s="708"/>
      <c r="EC47" s="708"/>
      <c r="ED47" s="709"/>
      <c r="EE47" s="708"/>
      <c r="EF47" s="708"/>
      <c r="EG47" s="708"/>
      <c r="EH47" s="708"/>
      <c r="EI47" s="709"/>
      <c r="EJ47" s="709"/>
      <c r="EK47" s="709"/>
    </row>
    <row r="48" spans="2:141">
      <c r="B48" s="7" t="s">
        <v>990</v>
      </c>
      <c r="BD48" s="1310"/>
      <c r="BE48" s="1310"/>
      <c r="BF48" s="1310"/>
      <c r="BG48" s="1310"/>
      <c r="BI48" s="1310"/>
      <c r="BJ48" s="1310"/>
      <c r="BK48" s="1310"/>
      <c r="BQ48" s="657"/>
      <c r="BR48" s="657"/>
      <c r="BS48" s="657"/>
      <c r="BT48" s="657"/>
      <c r="DA48" s="708"/>
      <c r="DB48" s="708"/>
      <c r="DC48" s="708"/>
      <c r="DD48" s="708"/>
      <c r="DE48" s="709"/>
      <c r="DF48" s="708"/>
      <c r="DG48" s="708"/>
      <c r="DH48" s="708"/>
      <c r="DI48" s="708"/>
      <c r="DJ48" s="709"/>
      <c r="DK48" s="708"/>
      <c r="DL48" s="708"/>
      <c r="DM48" s="708"/>
      <c r="DN48" s="708"/>
      <c r="DO48" s="709"/>
      <c r="DP48" s="708"/>
      <c r="DQ48" s="708"/>
      <c r="DR48" s="708"/>
      <c r="DS48" s="708"/>
      <c r="DT48" s="709"/>
      <c r="DU48" s="708"/>
      <c r="DV48" s="708"/>
      <c r="DW48" s="708"/>
      <c r="DX48" s="708"/>
      <c r="DY48" s="709"/>
      <c r="DZ48" s="708"/>
      <c r="EA48" s="708"/>
      <c r="EB48" s="708"/>
      <c r="EC48" s="708"/>
      <c r="ED48" s="709"/>
      <c r="EE48" s="708"/>
      <c r="EF48" s="708"/>
      <c r="EG48" s="708"/>
      <c r="EH48" s="708"/>
      <c r="EI48" s="709"/>
      <c r="EJ48" s="709"/>
      <c r="EK48" s="709"/>
    </row>
    <row r="49" spans="2:141">
      <c r="B49" s="212" t="s">
        <v>1216</v>
      </c>
      <c r="C49" s="339"/>
      <c r="D49" s="558"/>
      <c r="E49" s="799">
        <v>9.4</v>
      </c>
      <c r="F49" s="799">
        <v>9.5</v>
      </c>
      <c r="G49" s="799">
        <v>9.5</v>
      </c>
      <c r="H49" s="799">
        <v>9.5</v>
      </c>
      <c r="I49" s="800">
        <f>AVERAGE(E49:H49)</f>
        <v>9.4749999999999996</v>
      </c>
      <c r="J49" s="799">
        <v>9.6</v>
      </c>
      <c r="K49" s="799">
        <v>9.6</v>
      </c>
      <c r="L49" s="799">
        <v>9.65</v>
      </c>
      <c r="M49" s="799">
        <v>9.5749439353574477</v>
      </c>
      <c r="N49" s="800">
        <f>AVERAGE(J49:M49)</f>
        <v>9.6062359838393618</v>
      </c>
      <c r="O49" s="801">
        <v>9.2954812553859014</v>
      </c>
      <c r="P49" s="801">
        <v>9.3000000000000007</v>
      </c>
      <c r="Q49" s="801">
        <v>9.6999999999999993</v>
      </c>
      <c r="R49" s="801">
        <v>9.6999999999999993</v>
      </c>
      <c r="S49" s="800">
        <f>AVERAGE(O49:R49)</f>
        <v>9.4988703138464743</v>
      </c>
      <c r="T49" s="801"/>
      <c r="U49" s="801">
        <v>9.4</v>
      </c>
      <c r="V49" s="801">
        <v>9.3000000000000007</v>
      </c>
      <c r="W49" s="801">
        <v>9.1999999999999993</v>
      </c>
      <c r="X49" s="801">
        <v>9.1</v>
      </c>
      <c r="Y49" s="800">
        <f>AVERAGE(U49:X49)</f>
        <v>9.25</v>
      </c>
      <c r="Z49" s="801">
        <v>8.8000000000000007</v>
      </c>
      <c r="AA49" s="801">
        <v>9.3000000000000007</v>
      </c>
      <c r="AB49" s="801">
        <v>9.3304139392180083</v>
      </c>
      <c r="AC49" s="801">
        <v>9.3304139392180083</v>
      </c>
      <c r="AD49" s="800">
        <f>AVERAGE(Z49:AC49)</f>
        <v>9.1902069696090045</v>
      </c>
      <c r="AE49" s="801">
        <v>9.4</v>
      </c>
      <c r="AF49" s="801">
        <v>9.4611541503872818</v>
      </c>
      <c r="AG49" s="801">
        <v>9.4512584743831667</v>
      </c>
      <c r="AH49" s="801">
        <v>9.37765851367317</v>
      </c>
      <c r="AI49" s="800">
        <f>AVERAGE(AE49:AH49)</f>
        <v>9.4225177846109052</v>
      </c>
      <c r="AJ49" s="801">
        <v>8.9576793659960749</v>
      </c>
      <c r="AK49" s="801">
        <v>8.7413282544966311</v>
      </c>
      <c r="AL49" s="801">
        <v>8.7820194170545385</v>
      </c>
      <c r="AM49" s="801">
        <v>8.8293886953768883</v>
      </c>
      <c r="AN49" s="800">
        <v>8.8276039332310337</v>
      </c>
      <c r="AO49" s="801">
        <v>8.6933922316628198</v>
      </c>
      <c r="AP49" s="801">
        <v>8.6472889553146572</v>
      </c>
      <c r="AQ49" s="801">
        <v>8.7561671073932601</v>
      </c>
      <c r="AR49" s="801">
        <v>8.7549244747833157</v>
      </c>
      <c r="AS49" s="800">
        <v>8.7129431922885132</v>
      </c>
      <c r="AT49" s="801">
        <v>8.6881587860762242</v>
      </c>
      <c r="AU49" s="801">
        <v>8.6817115828117384</v>
      </c>
      <c r="AV49" s="801">
        <v>8.5558948817118772</v>
      </c>
      <c r="AW49" s="801">
        <v>8.6622268956210586</v>
      </c>
      <c r="AX49" s="800">
        <v>8.8000000000000007</v>
      </c>
      <c r="AY49" s="801">
        <v>8.4987057081240049</v>
      </c>
      <c r="AZ49" s="801">
        <v>8.470331442928261</v>
      </c>
      <c r="BA49" s="801">
        <v>8.3755711826882813</v>
      </c>
      <c r="BB49" s="801">
        <v>8.4508555332095607</v>
      </c>
      <c r="BC49" s="800">
        <v>8.4</v>
      </c>
      <c r="BD49" s="801">
        <v>8.4</v>
      </c>
      <c r="BE49" s="801">
        <v>8.2887622590228442</v>
      </c>
      <c r="BF49" s="801">
        <v>8.3150410279340949</v>
      </c>
      <c r="BG49" s="801">
        <v>8.3229036160302634</v>
      </c>
      <c r="BH49" s="800">
        <v>8.3307723311365312</v>
      </c>
      <c r="BI49" s="801">
        <v>8.15</v>
      </c>
      <c r="BJ49" s="801">
        <v>8.1999999999999993</v>
      </c>
      <c r="BK49" s="801">
        <v>9.1</v>
      </c>
      <c r="BL49" s="801"/>
      <c r="BM49" s="800">
        <f>Fixed!N147</f>
        <v>8.0865343946392674</v>
      </c>
      <c r="BN49" s="800">
        <f>Fixed!O147</f>
        <v>8.3547192123272112</v>
      </c>
      <c r="BO49" s="800">
        <f>Fixed!P147</f>
        <v>8.4131238092423004</v>
      </c>
      <c r="BP49" s="843"/>
      <c r="BQ49" s="592">
        <v>8.6925083521107958</v>
      </c>
      <c r="BR49" s="659">
        <f>$AR49/BQ49-1</f>
        <v>7.180450123739357E-3</v>
      </c>
      <c r="BS49" s="592"/>
      <c r="BT49" s="592"/>
      <c r="BY49" s="844">
        <v>9.1836236840426988</v>
      </c>
      <c r="BZ49" s="844">
        <v>9.353645371474359</v>
      </c>
      <c r="CA49" s="844">
        <v>9.4798627935450437</v>
      </c>
      <c r="CB49" s="844">
        <v>9.5995632356025737</v>
      </c>
      <c r="CC49" s="844">
        <f>'Model also  old'!L28</f>
        <v>9.5</v>
      </c>
      <c r="CG49" s="313">
        <f t="shared" ref="CG49:CP51" si="67">IFERROR(J49/E49-1,"N/A")</f>
        <v>2.1276595744680771E-2</v>
      </c>
      <c r="CH49" s="313">
        <f t="shared" si="67"/>
        <v>1.0526315789473717E-2</v>
      </c>
      <c r="CI49" s="313">
        <f t="shared" si="67"/>
        <v>1.5789473684210575E-2</v>
      </c>
      <c r="CJ49" s="313">
        <f t="shared" si="67"/>
        <v>7.8888353007839918E-3</v>
      </c>
      <c r="CK49" s="575">
        <f t="shared" si="67"/>
        <v>1.3850763465895755E-2</v>
      </c>
      <c r="CL49" s="313">
        <f t="shared" si="67"/>
        <v>-3.1720702563968528E-2</v>
      </c>
      <c r="CM49" s="313">
        <f t="shared" si="67"/>
        <v>-3.1249999999999889E-2</v>
      </c>
      <c r="CN49" s="313">
        <f t="shared" si="67"/>
        <v>5.1813471502588637E-3</v>
      </c>
      <c r="CO49" s="313">
        <f t="shared" si="67"/>
        <v>1.306076207723339E-2</v>
      </c>
      <c r="CP49" s="575">
        <f t="shared" si="67"/>
        <v>-1.1176663801879316E-2</v>
      </c>
      <c r="CQ49" s="313">
        <f t="shared" ref="CQ49:CU51" si="68">IFERROR(U49/O49-1,"N/A")</f>
        <v>1.1244038016164026E-2</v>
      </c>
      <c r="CR49" s="313">
        <f t="shared" si="68"/>
        <v>0</v>
      </c>
      <c r="CS49" s="313">
        <f t="shared" si="68"/>
        <v>-5.1546391752577359E-2</v>
      </c>
      <c r="CT49" s="313">
        <f t="shared" si="68"/>
        <v>-6.1855670103092786E-2</v>
      </c>
      <c r="CU49" s="575">
        <f t="shared" si="68"/>
        <v>-2.6199990696124886E-2</v>
      </c>
      <c r="CV49" s="313">
        <f t="shared" ref="CV49:DE51" si="69">IFERROR(Z49/U49-1,"N/A")</f>
        <v>-6.3829787234042534E-2</v>
      </c>
      <c r="CW49" s="313">
        <f t="shared" si="69"/>
        <v>0</v>
      </c>
      <c r="CX49" s="313">
        <f t="shared" si="69"/>
        <v>1.4175428175870586E-2</v>
      </c>
      <c r="CY49" s="313">
        <f t="shared" si="69"/>
        <v>2.5320213100880062E-2</v>
      </c>
      <c r="CZ49" s="575">
        <f t="shared" si="69"/>
        <v>-6.4641113936211303E-3</v>
      </c>
      <c r="DA49" s="704">
        <f t="shared" si="69"/>
        <v>6.8181818181818121E-2</v>
      </c>
      <c r="DB49" s="704">
        <f t="shared" si="69"/>
        <v>1.7328403267449666E-2</v>
      </c>
      <c r="DC49" s="704">
        <f t="shared" si="69"/>
        <v>1.2951679952506678E-2</v>
      </c>
      <c r="DD49" s="704">
        <f t="shared" si="69"/>
        <v>5.0635025158509706E-3</v>
      </c>
      <c r="DE49" s="705">
        <f t="shared" si="69"/>
        <v>2.5278083047544753E-2</v>
      </c>
      <c r="DF49" s="704">
        <f t="shared" ref="DF49:DO51" si="70">IFERROR(AJ49/AE49-1,"N/A")</f>
        <v>-4.7055386596162263E-2</v>
      </c>
      <c r="DG49" s="704">
        <f t="shared" si="70"/>
        <v>-7.6082250056266676E-2</v>
      </c>
      <c r="DH49" s="704">
        <f t="shared" si="70"/>
        <v>-7.080951802794766E-2</v>
      </c>
      <c r="DI49" s="704">
        <f t="shared" si="70"/>
        <v>-5.8465534599801527E-2</v>
      </c>
      <c r="DJ49" s="705">
        <f t="shared" si="70"/>
        <v>-6.3137461236900005E-2</v>
      </c>
      <c r="DK49" s="704">
        <f t="shared" si="70"/>
        <v>-2.9503973466220024E-2</v>
      </c>
      <c r="DL49" s="704">
        <f t="shared" si="70"/>
        <v>-1.0758010275337626E-2</v>
      </c>
      <c r="DM49" s="704">
        <f t="shared" si="70"/>
        <v>-2.9437773288309987E-3</v>
      </c>
      <c r="DN49" s="704">
        <f t="shared" si="70"/>
        <v>-8.4336779320365318E-3</v>
      </c>
      <c r="DO49" s="705">
        <f t="shared" si="70"/>
        <v>-1.2988885977415321E-2</v>
      </c>
      <c r="DP49" s="704">
        <f t="shared" ref="DP49:DY51" si="71">IFERROR(AT49/AO49-1,"N/A")</f>
        <v>-6.0200269896193426E-4</v>
      </c>
      <c r="DQ49" s="704">
        <f t="shared" si="71"/>
        <v>3.9807421349005168E-3</v>
      </c>
      <c r="DR49" s="704">
        <f t="shared" si="71"/>
        <v>-2.2872133802960826E-2</v>
      </c>
      <c r="DS49" s="704">
        <f t="shared" si="71"/>
        <v>-1.0588050123019666E-2</v>
      </c>
      <c r="DT49" s="705">
        <f t="shared" si="71"/>
        <v>9.9916647899802591E-3</v>
      </c>
      <c r="DU49" s="704">
        <f t="shared" si="71"/>
        <v>-2.1805894967739214E-2</v>
      </c>
      <c r="DV49" s="704">
        <f t="shared" si="71"/>
        <v>-2.4347749619092696E-2</v>
      </c>
      <c r="DW49" s="704">
        <f t="shared" si="71"/>
        <v>-2.1075960085605527E-2</v>
      </c>
      <c r="DX49" s="704">
        <f t="shared" si="71"/>
        <v>-2.4401503788633261E-2</v>
      </c>
      <c r="DY49" s="705">
        <f t="shared" si="71"/>
        <v>-4.5454545454545525E-2</v>
      </c>
      <c r="DZ49" s="704">
        <f t="shared" ref="DZ49:EI51" si="72">IFERROR(BD49/AY49-1,"N/A")</f>
        <v>-1.1614204740570178E-2</v>
      </c>
      <c r="EA49" s="704">
        <f t="shared" si="72"/>
        <v>-2.1435900723460577E-2</v>
      </c>
      <c r="EB49" s="704">
        <f t="shared" si="72"/>
        <v>-7.2269882774440575E-3</v>
      </c>
      <c r="EC49" s="704">
        <f t="shared" si="72"/>
        <v>-1.5140705775466334E-2</v>
      </c>
      <c r="ED49" s="705">
        <f t="shared" si="72"/>
        <v>-8.2413891504129477E-3</v>
      </c>
      <c r="EE49" s="704">
        <f t="shared" si="72"/>
        <v>-2.9761904761904767E-2</v>
      </c>
      <c r="EF49" s="704">
        <f t="shared" si="72"/>
        <v>-1.0708747126414675E-2</v>
      </c>
      <c r="EG49" s="704">
        <f t="shared" si="72"/>
        <v>9.4402296925398366E-2</v>
      </c>
      <c r="EH49" s="704">
        <f t="shared" si="72"/>
        <v>-1</v>
      </c>
      <c r="EI49" s="705">
        <f t="shared" si="72"/>
        <v>-2.93175622606342E-2</v>
      </c>
      <c r="EJ49" s="705">
        <f t="shared" ref="EJ49:EK51" si="73">IFERROR(BN49/BM49-1,"N/A")</f>
        <v>3.3164369877129118E-2</v>
      </c>
      <c r="EK49" s="705">
        <f t="shared" si="73"/>
        <v>6.9906115849966977E-3</v>
      </c>
    </row>
    <row r="50" spans="2:141">
      <c r="B50" s="212" t="s">
        <v>983</v>
      </c>
      <c r="C50" s="339"/>
      <c r="D50" s="558"/>
      <c r="E50" s="799">
        <v>22.2</v>
      </c>
      <c r="F50" s="799">
        <v>22.2</v>
      </c>
      <c r="G50" s="799">
        <v>22.6</v>
      </c>
      <c r="H50" s="799">
        <v>22.5</v>
      </c>
      <c r="I50" s="800">
        <f>AVERAGE(E50:H50)</f>
        <v>22.375</v>
      </c>
      <c r="J50" s="799">
        <v>22.35</v>
      </c>
      <c r="K50" s="799">
        <v>22.3</v>
      </c>
      <c r="L50" s="799">
        <v>21.81</v>
      </c>
      <c r="M50" s="799">
        <v>21.718238367461705</v>
      </c>
      <c r="N50" s="800">
        <f>AVERAGE(J50:M50)</f>
        <v>22.044559591865429</v>
      </c>
      <c r="O50" s="801">
        <v>22.60633290642188</v>
      </c>
      <c r="P50" s="801">
        <v>23.2</v>
      </c>
      <c r="Q50" s="801">
        <v>22.9</v>
      </c>
      <c r="R50" s="801">
        <v>22.7</v>
      </c>
      <c r="S50" s="800">
        <f>AVERAGE(O50:R50)</f>
        <v>22.85158322660547</v>
      </c>
      <c r="T50" s="801"/>
      <c r="U50" s="801">
        <v>22.4</v>
      </c>
      <c r="V50" s="801">
        <v>23.3</v>
      </c>
      <c r="W50" s="801">
        <v>23.1</v>
      </c>
      <c r="X50" s="801">
        <v>23</v>
      </c>
      <c r="Y50" s="800">
        <f>AVERAGE(U50:X50)</f>
        <v>22.950000000000003</v>
      </c>
      <c r="Z50" s="801">
        <v>23.5</v>
      </c>
      <c r="AA50" s="801">
        <v>24.1</v>
      </c>
      <c r="AB50" s="801">
        <v>24.308583436944282</v>
      </c>
      <c r="AC50" s="801">
        <v>24.6</v>
      </c>
      <c r="AD50" s="800">
        <f>AVERAGE(Z50:AC50)</f>
        <v>24.127145859236073</v>
      </c>
      <c r="AE50" s="801">
        <v>24.3</v>
      </c>
      <c r="AF50" s="801">
        <v>24.145371604424714</v>
      </c>
      <c r="AG50" s="801">
        <v>23.633679014591777</v>
      </c>
      <c r="AH50" s="801">
        <v>23.822029389228312</v>
      </c>
      <c r="AI50" s="800">
        <f>AVERAGE(AE50:AH50)</f>
        <v>23.975270002061201</v>
      </c>
      <c r="AJ50" s="801">
        <v>23.88045807641322</v>
      </c>
      <c r="AK50" s="801">
        <v>24.220117828201644</v>
      </c>
      <c r="AL50" s="801">
        <v>24.236904097704361</v>
      </c>
      <c r="AM50" s="801">
        <v>24.391604090363519</v>
      </c>
      <c r="AN50" s="800">
        <v>24.264368192428883</v>
      </c>
      <c r="AO50" s="801">
        <v>24.327760502784564</v>
      </c>
      <c r="AP50" s="801">
        <v>24.454686078806773</v>
      </c>
      <c r="AQ50" s="801">
        <v>24.343836009259064</v>
      </c>
      <c r="AR50" s="801">
        <v>24.415176640480002</v>
      </c>
      <c r="AS50" s="800">
        <v>24.424507311488387</v>
      </c>
      <c r="AT50" s="801">
        <v>24.123639530948623</v>
      </c>
      <c r="AU50" s="801">
        <v>24.076952708755439</v>
      </c>
      <c r="AV50" s="801">
        <v>23.880301412428384</v>
      </c>
      <c r="AW50" s="801">
        <v>24.25769522934624</v>
      </c>
      <c r="AX50" s="800">
        <v>24.1</v>
      </c>
      <c r="AY50" s="801">
        <v>24.230918199540099</v>
      </c>
      <c r="AZ50" s="801">
        <v>24.354265829490163</v>
      </c>
      <c r="BA50" s="801">
        <v>24.332108746169695</v>
      </c>
      <c r="BB50" s="801">
        <v>24.190913781654697</v>
      </c>
      <c r="BC50" s="800">
        <v>24.2</v>
      </c>
      <c r="BD50" s="801">
        <v>24.2</v>
      </c>
      <c r="BE50" s="801">
        <v>23.922705091472189</v>
      </c>
      <c r="BF50" s="801">
        <v>24.349487530519173</v>
      </c>
      <c r="BG50" s="801">
        <v>24.578806065755121</v>
      </c>
      <c r="BH50" s="800">
        <v>24.290818524144427</v>
      </c>
      <c r="BI50" s="801">
        <v>24.3</v>
      </c>
      <c r="BJ50" s="801">
        <v>24.3</v>
      </c>
      <c r="BK50" s="801">
        <v>24.3</v>
      </c>
      <c r="BL50" s="801"/>
      <c r="BM50" s="800">
        <f>Fixed!N161</f>
        <v>24.533726709385871</v>
      </c>
      <c r="BN50" s="800">
        <f>Fixed!O161</f>
        <v>24.77906397647973</v>
      </c>
      <c r="BO50" s="800">
        <f>Fixed!P161</f>
        <v>25.274645256009325</v>
      </c>
      <c r="BP50" s="843"/>
      <c r="BQ50" s="592">
        <v>22.475328087319397</v>
      </c>
      <c r="BR50" s="659">
        <f>$AR50/BQ50-1</f>
        <v>8.6310132854303889E-2</v>
      </c>
      <c r="BS50" s="592"/>
      <c r="BT50" s="592"/>
      <c r="BY50" s="844">
        <v>21.856317305925284</v>
      </c>
      <c r="BZ50" s="844">
        <v>21.913096251954606</v>
      </c>
      <c r="CA50" s="844">
        <v>22.385711569262373</v>
      </c>
      <c r="CB50" s="844">
        <v>22.036586746890276</v>
      </c>
      <c r="CC50" s="844">
        <f>'Model also  old'!L29</f>
        <v>22</v>
      </c>
      <c r="CG50" s="313">
        <f t="shared" si="67"/>
        <v>6.7567567567567988E-3</v>
      </c>
      <c r="CH50" s="313">
        <f t="shared" si="67"/>
        <v>4.5045045045044585E-3</v>
      </c>
      <c r="CI50" s="313">
        <f t="shared" si="67"/>
        <v>-3.4955752212389446E-2</v>
      </c>
      <c r="CJ50" s="313">
        <f t="shared" si="67"/>
        <v>-3.4744961446146472E-2</v>
      </c>
      <c r="CK50" s="575">
        <f t="shared" si="67"/>
        <v>-1.4768286397075836E-2</v>
      </c>
      <c r="CL50" s="313">
        <f t="shared" si="67"/>
        <v>1.1469033844379251E-2</v>
      </c>
      <c r="CM50" s="313">
        <f t="shared" si="67"/>
        <v>4.0358744394618729E-2</v>
      </c>
      <c r="CN50" s="313">
        <f t="shared" si="67"/>
        <v>4.9977074736359484E-2</v>
      </c>
      <c r="CO50" s="313">
        <f t="shared" si="67"/>
        <v>4.5204478186829933E-2</v>
      </c>
      <c r="CP50" s="575">
        <f t="shared" si="67"/>
        <v>3.6608743820758294E-2</v>
      </c>
      <c r="CQ50" s="313">
        <f t="shared" si="68"/>
        <v>-9.1272170181687651E-3</v>
      </c>
      <c r="CR50" s="313">
        <f t="shared" si="68"/>
        <v>4.3103448275862988E-3</v>
      </c>
      <c r="CS50" s="313">
        <f t="shared" si="68"/>
        <v>8.733624454148492E-3</v>
      </c>
      <c r="CT50" s="313">
        <f t="shared" si="68"/>
        <v>1.3215859030837107E-2</v>
      </c>
      <c r="CU50" s="575">
        <f t="shared" si="68"/>
        <v>4.3067813909694053E-3</v>
      </c>
      <c r="CV50" s="313">
        <f t="shared" si="69"/>
        <v>4.9107142857143016E-2</v>
      </c>
      <c r="CW50" s="313">
        <f t="shared" si="69"/>
        <v>3.4334763948497882E-2</v>
      </c>
      <c r="CX50" s="313">
        <f t="shared" si="69"/>
        <v>5.2319629304947268E-2</v>
      </c>
      <c r="CY50" s="313">
        <f t="shared" si="69"/>
        <v>6.956521739130439E-2</v>
      </c>
      <c r="CZ50" s="575">
        <f t="shared" si="69"/>
        <v>5.1291758572377777E-2</v>
      </c>
      <c r="DA50" s="704">
        <f t="shared" si="69"/>
        <v>3.4042553191489411E-2</v>
      </c>
      <c r="DB50" s="704">
        <f t="shared" si="69"/>
        <v>1.882639187747337E-3</v>
      </c>
      <c r="DC50" s="704">
        <f t="shared" si="69"/>
        <v>-2.7764037509762196E-2</v>
      </c>
      <c r="DD50" s="704">
        <f t="shared" si="69"/>
        <v>-3.1624821576084927E-2</v>
      </c>
      <c r="DE50" s="705">
        <f t="shared" si="69"/>
        <v>-6.2948124100942193E-3</v>
      </c>
      <c r="DF50" s="704">
        <f t="shared" si="70"/>
        <v>-1.726509973608148E-2</v>
      </c>
      <c r="DG50" s="704">
        <f t="shared" si="70"/>
        <v>3.0956750221742269E-3</v>
      </c>
      <c r="DH50" s="704">
        <f t="shared" si="70"/>
        <v>2.5523960223888364E-2</v>
      </c>
      <c r="DI50" s="704">
        <f t="shared" si="70"/>
        <v>2.3909579315385843E-2</v>
      </c>
      <c r="DJ50" s="705">
        <f t="shared" si="70"/>
        <v>1.2058182883563973E-2</v>
      </c>
      <c r="DK50" s="704">
        <f t="shared" si="70"/>
        <v>1.8730898081605218E-2</v>
      </c>
      <c r="DL50" s="704">
        <f t="shared" si="70"/>
        <v>9.6848517529506406E-3</v>
      </c>
      <c r="DM50" s="704">
        <f t="shared" si="70"/>
        <v>4.4119459780687098E-3</v>
      </c>
      <c r="DN50" s="704">
        <f t="shared" si="70"/>
        <v>9.6642065971375146E-4</v>
      </c>
      <c r="DO50" s="705">
        <f t="shared" si="70"/>
        <v>6.5997646338664673E-3</v>
      </c>
      <c r="DP50" s="704">
        <f t="shared" si="71"/>
        <v>-8.3904546747152198E-3</v>
      </c>
      <c r="DQ50" s="704">
        <f t="shared" si="71"/>
        <v>-1.5446257164539512E-2</v>
      </c>
      <c r="DR50" s="704">
        <f t="shared" si="71"/>
        <v>-1.9041148513092909E-2</v>
      </c>
      <c r="DS50" s="704">
        <f t="shared" si="71"/>
        <v>-6.4501442464545145E-3</v>
      </c>
      <c r="DT50" s="705">
        <f t="shared" si="71"/>
        <v>-1.3286135411040623E-2</v>
      </c>
      <c r="DU50" s="704">
        <f t="shared" si="71"/>
        <v>4.4470349697376399E-3</v>
      </c>
      <c r="DV50" s="704">
        <f t="shared" si="71"/>
        <v>1.1517783171700158E-2</v>
      </c>
      <c r="DW50" s="704">
        <f t="shared" si="71"/>
        <v>1.8919666294755055E-2</v>
      </c>
      <c r="DX50" s="704">
        <f t="shared" si="71"/>
        <v>-2.7530005245821609E-3</v>
      </c>
      <c r="DY50" s="705">
        <f t="shared" si="71"/>
        <v>4.1493775933609811E-3</v>
      </c>
      <c r="DZ50" s="704">
        <f t="shared" si="72"/>
        <v>-1.2759813427410949E-3</v>
      </c>
      <c r="EA50" s="704">
        <f t="shared" si="72"/>
        <v>-1.7720129238936289E-2</v>
      </c>
      <c r="EB50" s="704">
        <f t="shared" si="72"/>
        <v>7.1423256121261325E-4</v>
      </c>
      <c r="EC50" s="704">
        <f t="shared" si="72"/>
        <v>1.6034627199348783E-2</v>
      </c>
      <c r="ED50" s="705">
        <f t="shared" si="72"/>
        <v>3.7528315762160869E-3</v>
      </c>
      <c r="EE50" s="704">
        <f t="shared" si="72"/>
        <v>4.1322314049587749E-3</v>
      </c>
      <c r="EF50" s="704">
        <f t="shared" si="72"/>
        <v>1.577141494179557E-2</v>
      </c>
      <c r="EG50" s="704">
        <f t="shared" si="72"/>
        <v>-2.0323848892978003E-3</v>
      </c>
      <c r="EH50" s="704">
        <f t="shared" si="72"/>
        <v>-1</v>
      </c>
      <c r="EI50" s="705">
        <f t="shared" si="72"/>
        <v>1.0000000000000009E-2</v>
      </c>
      <c r="EJ50" s="705">
        <f t="shared" si="73"/>
        <v>1.0000000000000009E-2</v>
      </c>
      <c r="EK50" s="705">
        <f t="shared" si="73"/>
        <v>2.0000000000000018E-2</v>
      </c>
    </row>
    <row r="51" spans="2:141">
      <c r="B51" s="212" t="s">
        <v>1313</v>
      </c>
      <c r="C51" s="339"/>
      <c r="D51" s="558"/>
      <c r="E51" s="799">
        <v>13</v>
      </c>
      <c r="F51" s="799">
        <v>13.09</v>
      </c>
      <c r="G51" s="799">
        <v>13.26</v>
      </c>
      <c r="H51" s="799">
        <v>13.49</v>
      </c>
      <c r="I51" s="800">
        <f>AVERAGE(E51:H51)</f>
        <v>13.21</v>
      </c>
      <c r="J51" s="799">
        <v>13.75</v>
      </c>
      <c r="K51" s="799">
        <v>13.9</v>
      </c>
      <c r="L51" s="799">
        <v>14.02</v>
      </c>
      <c r="M51" s="799">
        <v>14.009802121574774</v>
      </c>
      <c r="N51" s="800">
        <f>AVERAGE(J51:M51)</f>
        <v>13.919950530393693</v>
      </c>
      <c r="O51" s="801">
        <v>14.104895269336126</v>
      </c>
      <c r="P51" s="801">
        <v>14.3</v>
      </c>
      <c r="Q51" s="801">
        <v>14.9</v>
      </c>
      <c r="R51" s="801">
        <v>15.6</v>
      </c>
      <c r="S51" s="800">
        <f>AVERAGE(O51:R51)</f>
        <v>14.726223817334033</v>
      </c>
      <c r="T51" s="801"/>
      <c r="U51" s="801">
        <v>15.9</v>
      </c>
      <c r="V51" s="801">
        <v>16.5</v>
      </c>
      <c r="W51" s="801">
        <v>16.3</v>
      </c>
      <c r="X51" s="801">
        <v>17</v>
      </c>
      <c r="Y51" s="800">
        <f>AVERAGE(U51:X51)</f>
        <v>16.425000000000001</v>
      </c>
      <c r="Z51" s="801">
        <v>17</v>
      </c>
      <c r="AA51" s="801">
        <v>17.8</v>
      </c>
      <c r="AB51" s="801">
        <v>17.246229532413761</v>
      </c>
      <c r="AC51" s="801">
        <v>18.100000000000001</v>
      </c>
      <c r="AD51" s="800">
        <f>AVERAGE(Z51:AC51)</f>
        <v>17.536557383103442</v>
      </c>
      <c r="AE51" s="801">
        <v>17.5</v>
      </c>
      <c r="AF51" s="801">
        <v>16.917853390425801</v>
      </c>
      <c r="AG51" s="801">
        <v>18.487432165724393</v>
      </c>
      <c r="AH51" s="801">
        <v>18.331560728245794</v>
      </c>
      <c r="AI51" s="800">
        <f>AVERAGE(AE51:AH51)</f>
        <v>17.809211571098999</v>
      </c>
      <c r="AJ51" s="801">
        <v>17.269920362209664</v>
      </c>
      <c r="AK51" s="801">
        <v>18.186610209977257</v>
      </c>
      <c r="AL51" s="801">
        <v>17.721698504223951</v>
      </c>
      <c r="AM51" s="801">
        <v>18.889581052214165</v>
      </c>
      <c r="AN51" s="800">
        <v>18.048956625210312</v>
      </c>
      <c r="AO51" s="801">
        <v>17.424068863110797</v>
      </c>
      <c r="AP51" s="801">
        <v>17.749390363945377</v>
      </c>
      <c r="AQ51" s="801">
        <v>17.573042148697418</v>
      </c>
      <c r="AR51" s="801">
        <v>18.307064700157387</v>
      </c>
      <c r="AS51" s="800">
        <v>17.768507903520447</v>
      </c>
      <c r="AT51" s="801">
        <v>17.746141830834912</v>
      </c>
      <c r="AU51" s="801">
        <v>17.7194511298277</v>
      </c>
      <c r="AV51" s="801">
        <v>17.627983717587501</v>
      </c>
      <c r="AW51" s="801">
        <v>16.921902028607594</v>
      </c>
      <c r="AX51" s="800">
        <v>17.5</v>
      </c>
      <c r="AY51" s="801">
        <v>17.30166635091334</v>
      </c>
      <c r="AZ51" s="801">
        <v>17.605118686392455</v>
      </c>
      <c r="BA51" s="801">
        <v>17.614171300855727</v>
      </c>
      <c r="BB51" s="801">
        <v>18.301453423365146</v>
      </c>
      <c r="BC51" s="800">
        <v>17.7</v>
      </c>
      <c r="BD51" s="801">
        <v>18.100000000000001</v>
      </c>
      <c r="BE51" s="801">
        <v>18</v>
      </c>
      <c r="BF51" s="801">
        <v>18.068139101020972</v>
      </c>
      <c r="BG51" s="801">
        <v>18.57736121178549</v>
      </c>
      <c r="BH51" s="800">
        <v>18.247097654515112</v>
      </c>
      <c r="BI51" s="801">
        <v>19</v>
      </c>
      <c r="BJ51" s="801">
        <v>19.899999999999999</v>
      </c>
      <c r="BK51" s="801"/>
      <c r="BL51" s="801"/>
      <c r="BM51" s="800">
        <f ca="1">Fixed!N149</f>
        <v>21.82830040279859</v>
      </c>
      <c r="BN51" s="800">
        <f ca="1">Fixed!O149</f>
        <v>25.807971942911575</v>
      </c>
      <c r="BO51" s="800">
        <f ca="1">Fixed!P149</f>
        <v>26.668963937387236</v>
      </c>
      <c r="BP51" s="843"/>
      <c r="BQ51" s="592">
        <v>17.400876664615772</v>
      </c>
      <c r="BR51" s="659">
        <f>$AR51/BQ51-1</f>
        <v>5.2077148353354197E-2</v>
      </c>
      <c r="BS51" s="592"/>
      <c r="BT51" s="592"/>
      <c r="BY51" s="844">
        <v>11.627324080005053</v>
      </c>
      <c r="BZ51" s="844">
        <v>12.388965708124974</v>
      </c>
      <c r="CA51" s="844">
        <v>13.175993329082313</v>
      </c>
      <c r="CB51" s="844">
        <v>13.91206058787386</v>
      </c>
      <c r="CC51" s="844">
        <f>'Model also  old'!L30</f>
        <v>15.5</v>
      </c>
      <c r="CG51" s="313">
        <f t="shared" si="67"/>
        <v>5.7692307692307709E-2</v>
      </c>
      <c r="CH51" s="313">
        <f t="shared" si="67"/>
        <v>6.1879297173414782E-2</v>
      </c>
      <c r="CI51" s="313">
        <f t="shared" si="67"/>
        <v>5.731523378582204E-2</v>
      </c>
      <c r="CJ51" s="313">
        <f t="shared" si="67"/>
        <v>3.8532403378411795E-2</v>
      </c>
      <c r="CK51" s="575">
        <f t="shared" si="67"/>
        <v>5.3743416381051734E-2</v>
      </c>
      <c r="CL51" s="313">
        <f t="shared" si="67"/>
        <v>2.5810565042627243E-2</v>
      </c>
      <c r="CM51" s="313">
        <f t="shared" si="67"/>
        <v>2.877697841726623E-2</v>
      </c>
      <c r="CN51" s="313">
        <f t="shared" si="67"/>
        <v>6.2767475035663489E-2</v>
      </c>
      <c r="CO51" s="313">
        <f t="shared" si="67"/>
        <v>0.11350609127993017</v>
      </c>
      <c r="CP51" s="575">
        <f t="shared" si="67"/>
        <v>5.7922137379717853E-2</v>
      </c>
      <c r="CQ51" s="313">
        <f t="shared" si="68"/>
        <v>0.1272682069867197</v>
      </c>
      <c r="CR51" s="313">
        <f t="shared" si="68"/>
        <v>0.15384615384615374</v>
      </c>
      <c r="CS51" s="313">
        <f t="shared" si="68"/>
        <v>9.3959731543624248E-2</v>
      </c>
      <c r="CT51" s="313">
        <f t="shared" si="68"/>
        <v>8.9743589743589869E-2</v>
      </c>
      <c r="CU51" s="575">
        <f t="shared" si="68"/>
        <v>0.11535721606148353</v>
      </c>
      <c r="CV51" s="313">
        <f t="shared" si="69"/>
        <v>6.9182389937106903E-2</v>
      </c>
      <c r="CW51" s="313">
        <f t="shared" si="69"/>
        <v>7.8787878787878851E-2</v>
      </c>
      <c r="CX51" s="313">
        <f t="shared" si="69"/>
        <v>5.8050891559126461E-2</v>
      </c>
      <c r="CY51" s="313">
        <f t="shared" si="69"/>
        <v>6.4705882352941169E-2</v>
      </c>
      <c r="CZ51" s="575">
        <f t="shared" si="69"/>
        <v>6.7674726520757567E-2</v>
      </c>
      <c r="DA51" s="704">
        <f t="shared" si="69"/>
        <v>2.9411764705882248E-2</v>
      </c>
      <c r="DB51" s="704">
        <f t="shared" si="69"/>
        <v>-4.9558798290685324E-2</v>
      </c>
      <c r="DC51" s="704">
        <f t="shared" si="69"/>
        <v>7.1969506782791459E-2</v>
      </c>
      <c r="DD51" s="704">
        <f t="shared" si="69"/>
        <v>1.2793410400320004E-2</v>
      </c>
      <c r="DE51" s="705">
        <f t="shared" si="69"/>
        <v>1.5547760146940703E-2</v>
      </c>
      <c r="DF51" s="704">
        <f t="shared" si="70"/>
        <v>-1.3147407873733474E-2</v>
      </c>
      <c r="DG51" s="704">
        <f t="shared" si="70"/>
        <v>7.4995142130116488E-2</v>
      </c>
      <c r="DH51" s="704">
        <f t="shared" si="70"/>
        <v>-4.1419146511872396E-2</v>
      </c>
      <c r="DI51" s="704">
        <f t="shared" si="70"/>
        <v>3.0440415425652123E-2</v>
      </c>
      <c r="DJ51" s="705">
        <f t="shared" si="70"/>
        <v>1.3461856700067276E-2</v>
      </c>
      <c r="DK51" s="704">
        <f t="shared" si="70"/>
        <v>8.9258373905674038E-3</v>
      </c>
      <c r="DL51" s="704">
        <f t="shared" si="70"/>
        <v>-2.4040755313049944E-2</v>
      </c>
      <c r="DM51" s="704">
        <f t="shared" si="70"/>
        <v>-8.3883808028389906E-3</v>
      </c>
      <c r="DN51" s="704">
        <f t="shared" si="70"/>
        <v>-3.0837970966460237E-2</v>
      </c>
      <c r="DO51" s="705">
        <f t="shared" si="70"/>
        <v>-1.5538223483685609E-2</v>
      </c>
      <c r="DP51" s="704">
        <f t="shared" si="71"/>
        <v>1.8484371833836555E-2</v>
      </c>
      <c r="DQ51" s="704">
        <f t="shared" si="71"/>
        <v>-1.6867753485489967E-3</v>
      </c>
      <c r="DR51" s="704">
        <f t="shared" si="71"/>
        <v>3.1264688507079974E-3</v>
      </c>
      <c r="DS51" s="704">
        <f t="shared" si="71"/>
        <v>-7.5662739725712802E-2</v>
      </c>
      <c r="DT51" s="705">
        <f t="shared" si="71"/>
        <v>-1.5111449142403699E-2</v>
      </c>
      <c r="DU51" s="704">
        <f t="shared" si="71"/>
        <v>-2.5046316216704057E-2</v>
      </c>
      <c r="DV51" s="704">
        <f t="shared" si="71"/>
        <v>-6.4523693537429372E-3</v>
      </c>
      <c r="DW51" s="704">
        <f t="shared" si="71"/>
        <v>-7.8355057237733394E-4</v>
      </c>
      <c r="DX51" s="704">
        <f t="shared" si="71"/>
        <v>8.152460594709332E-2</v>
      </c>
      <c r="DY51" s="705">
        <f t="shared" si="71"/>
        <v>1.1428571428571344E-2</v>
      </c>
      <c r="DZ51" s="704">
        <f t="shared" si="72"/>
        <v>4.6142009266322281E-2</v>
      </c>
      <c r="EA51" s="704">
        <f t="shared" si="72"/>
        <v>2.2429914881105573E-2</v>
      </c>
      <c r="EB51" s="704">
        <f t="shared" si="72"/>
        <v>2.5772873012946729E-2</v>
      </c>
      <c r="EC51" s="704">
        <f t="shared" si="72"/>
        <v>1.5075730983644009E-2</v>
      </c>
      <c r="ED51" s="705">
        <f t="shared" si="72"/>
        <v>3.0909472006503513E-2</v>
      </c>
      <c r="EE51" s="704">
        <f t="shared" si="72"/>
        <v>4.9723756906077332E-2</v>
      </c>
      <c r="EF51" s="704">
        <f t="shared" si="72"/>
        <v>0.1055555555555554</v>
      </c>
      <c r="EG51" s="704">
        <f t="shared" si="72"/>
        <v>-1</v>
      </c>
      <c r="EH51" s="704">
        <f t="shared" si="72"/>
        <v>-1</v>
      </c>
      <c r="EI51" s="705">
        <f t="shared" ca="1" si="72"/>
        <v>0.1962614995594838</v>
      </c>
      <c r="EJ51" s="705">
        <f t="shared" ca="1" si="73"/>
        <v>0.18231705935303855</v>
      </c>
      <c r="EK51" s="705">
        <f t="shared" ca="1" si="73"/>
        <v>3.3361474368470923E-2</v>
      </c>
    </row>
    <row r="52" spans="2:141">
      <c r="B52" s="212" t="s">
        <v>2063</v>
      </c>
      <c r="C52" s="339"/>
      <c r="D52" s="558"/>
      <c r="E52" s="799"/>
      <c r="F52" s="799"/>
      <c r="G52" s="799"/>
      <c r="H52" s="799"/>
      <c r="I52" s="800"/>
      <c r="J52" s="799"/>
      <c r="K52" s="799"/>
      <c r="L52" s="799"/>
      <c r="M52" s="799"/>
      <c r="N52" s="800"/>
      <c r="O52" s="801"/>
      <c r="P52" s="801"/>
      <c r="Q52" s="801"/>
      <c r="R52" s="801"/>
      <c r="S52" s="800"/>
      <c r="T52" s="801"/>
      <c r="U52" s="801"/>
      <c r="V52" s="801"/>
      <c r="W52" s="801"/>
      <c r="X52" s="801"/>
      <c r="Y52" s="800"/>
      <c r="Z52" s="801"/>
      <c r="AA52" s="801"/>
      <c r="AB52" s="801"/>
      <c r="AC52" s="801"/>
      <c r="AD52" s="800"/>
      <c r="AE52" s="801"/>
      <c r="AF52" s="801"/>
      <c r="AG52" s="801"/>
      <c r="AH52" s="801"/>
      <c r="AI52" s="800"/>
      <c r="AJ52" s="801"/>
      <c r="AK52" s="801"/>
      <c r="AL52" s="801"/>
      <c r="AM52" s="801"/>
      <c r="AN52" s="800"/>
      <c r="AO52" s="801"/>
      <c r="AP52" s="801"/>
      <c r="AQ52" s="801"/>
      <c r="AR52" s="801"/>
      <c r="AS52" s="800"/>
      <c r="AT52" s="801"/>
      <c r="AU52" s="801"/>
      <c r="AV52" s="801"/>
      <c r="AW52" s="801"/>
      <c r="AX52" s="800"/>
      <c r="AY52" s="801"/>
      <c r="AZ52" s="801"/>
      <c r="BA52" s="801"/>
      <c r="BB52" s="801"/>
      <c r="BC52" s="800"/>
      <c r="BD52" s="801"/>
      <c r="BE52" s="801"/>
      <c r="BF52" s="801"/>
      <c r="BG52" s="801">
        <v>28.9</v>
      </c>
      <c r="BH52" s="800"/>
      <c r="BI52" s="801">
        <v>28.92</v>
      </c>
      <c r="BJ52" s="801">
        <v>29.31</v>
      </c>
      <c r="BK52" s="801">
        <v>29.08</v>
      </c>
      <c r="BL52" s="801"/>
      <c r="BM52" s="800"/>
      <c r="BN52" s="800"/>
      <c r="BO52" s="800"/>
      <c r="BP52" s="843"/>
      <c r="BQ52" s="592"/>
      <c r="BR52" s="659"/>
      <c r="BS52" s="592"/>
      <c r="BT52" s="592"/>
      <c r="BY52" s="844"/>
      <c r="BZ52" s="844"/>
      <c r="CA52" s="844"/>
      <c r="CB52" s="844"/>
      <c r="CC52" s="844"/>
      <c r="CG52" s="313"/>
      <c r="CH52" s="313"/>
      <c r="CI52" s="313"/>
      <c r="CJ52" s="313"/>
      <c r="CK52" s="575"/>
      <c r="CL52" s="313"/>
      <c r="CM52" s="313"/>
      <c r="CN52" s="313"/>
      <c r="CO52" s="313"/>
      <c r="CP52" s="575"/>
      <c r="CQ52" s="313"/>
      <c r="CR52" s="313"/>
      <c r="CS52" s="313"/>
      <c r="CT52" s="313"/>
      <c r="CU52" s="575"/>
      <c r="CV52" s="313"/>
      <c r="CW52" s="313"/>
      <c r="CX52" s="313"/>
      <c r="CY52" s="313"/>
      <c r="CZ52" s="575"/>
      <c r="DA52" s="704"/>
      <c r="DB52" s="704"/>
      <c r="DC52" s="704"/>
      <c r="DD52" s="704"/>
      <c r="DE52" s="705"/>
      <c r="DF52" s="704"/>
      <c r="DG52" s="704"/>
      <c r="DH52" s="704"/>
      <c r="DI52" s="704"/>
      <c r="DJ52" s="705"/>
      <c r="DK52" s="704"/>
      <c r="DL52" s="704"/>
      <c r="DM52" s="704"/>
      <c r="DN52" s="704"/>
      <c r="DO52" s="705"/>
      <c r="DP52" s="704"/>
      <c r="DQ52" s="704"/>
      <c r="DR52" s="704"/>
      <c r="DS52" s="704"/>
      <c r="DT52" s="705"/>
      <c r="DU52" s="704"/>
      <c r="DV52" s="704"/>
      <c r="DW52" s="704"/>
      <c r="DX52" s="704"/>
      <c r="DY52" s="705"/>
      <c r="DZ52" s="704"/>
      <c r="EA52" s="704"/>
      <c r="EB52" s="704"/>
      <c r="EC52" s="704"/>
      <c r="ED52" s="705"/>
      <c r="EE52" s="704"/>
      <c r="EF52" s="704"/>
      <c r="EG52" s="704"/>
      <c r="EH52" s="704"/>
      <c r="EI52" s="705"/>
      <c r="EJ52" s="705"/>
      <c r="EK52" s="705"/>
    </row>
    <row r="53" spans="2:141">
      <c r="C53" s="339"/>
      <c r="D53" s="558"/>
      <c r="E53" s="339"/>
      <c r="F53" s="339"/>
      <c r="G53" s="339"/>
      <c r="H53" s="339"/>
      <c r="I53" s="558"/>
      <c r="J53" s="339"/>
      <c r="K53" s="339"/>
      <c r="L53" s="339"/>
      <c r="M53" s="339"/>
      <c r="N53" s="558"/>
      <c r="O53" s="339"/>
      <c r="P53" s="339"/>
      <c r="Q53" s="339"/>
      <c r="R53" s="339"/>
      <c r="S53" s="558"/>
      <c r="T53" s="572"/>
      <c r="U53" s="339"/>
      <c r="V53" s="339"/>
      <c r="W53" s="339"/>
      <c r="X53" s="339"/>
      <c r="Y53" s="845"/>
      <c r="Z53" s="339"/>
      <c r="AA53" s="339"/>
      <c r="AB53" s="339"/>
      <c r="AC53" s="339"/>
      <c r="AD53" s="845"/>
      <c r="AE53" s="339"/>
      <c r="AF53" s="339"/>
      <c r="AG53" s="339"/>
      <c r="AH53" s="339"/>
      <c r="AI53" s="845"/>
      <c r="AJ53" s="339"/>
      <c r="AK53" s="339"/>
      <c r="AL53" s="339"/>
      <c r="AM53" s="339"/>
      <c r="AN53" s="845"/>
      <c r="AO53" s="339"/>
      <c r="AP53" s="339"/>
      <c r="AQ53" s="339"/>
      <c r="AR53" s="339"/>
      <c r="AS53" s="845"/>
      <c r="AT53" s="339"/>
      <c r="AU53" s="339"/>
      <c r="AV53" s="339"/>
      <c r="AW53" s="339"/>
      <c r="AX53" s="845"/>
      <c r="AY53" s="339"/>
      <c r="AZ53" s="339"/>
      <c r="BA53" s="339"/>
      <c r="BB53" s="339"/>
      <c r="BC53" s="845"/>
      <c r="BD53" s="339"/>
      <c r="BE53" s="339"/>
      <c r="BF53" s="339"/>
      <c r="BG53" s="339"/>
      <c r="BH53" s="845"/>
      <c r="BI53" s="339"/>
      <c r="BJ53" s="339"/>
      <c r="BK53" s="339"/>
      <c r="BL53" s="339"/>
      <c r="BM53" s="845"/>
      <c r="BN53" s="845"/>
      <c r="BO53" s="845"/>
      <c r="BP53" s="844"/>
      <c r="BY53" s="844"/>
      <c r="BZ53" s="844"/>
      <c r="CA53" s="844"/>
      <c r="CB53" s="844"/>
      <c r="CC53" s="844"/>
      <c r="CG53" s="313"/>
      <c r="CH53" s="313"/>
      <c r="CI53" s="313"/>
      <c r="CJ53" s="313"/>
      <c r="CK53" s="575"/>
      <c r="CL53" s="313"/>
      <c r="CM53" s="313"/>
      <c r="CN53" s="313"/>
      <c r="CO53" s="313"/>
      <c r="CP53" s="575"/>
      <c r="CQ53" s="313"/>
      <c r="CR53" s="313"/>
      <c r="CS53" s="313"/>
      <c r="CT53" s="313"/>
      <c r="CU53" s="575"/>
      <c r="CV53" s="313"/>
      <c r="CW53" s="313"/>
      <c r="CX53" s="313"/>
      <c r="CY53" s="313"/>
      <c r="CZ53" s="575"/>
      <c r="DA53" s="704"/>
      <c r="DB53" s="704"/>
      <c r="DC53" s="704"/>
      <c r="DD53" s="704"/>
      <c r="DE53" s="705"/>
      <c r="DF53" s="704"/>
      <c r="DG53" s="704"/>
      <c r="DH53" s="704"/>
      <c r="DI53" s="704"/>
      <c r="DJ53" s="705"/>
      <c r="DK53" s="704"/>
      <c r="DL53" s="704"/>
      <c r="DM53" s="704"/>
      <c r="DN53" s="704"/>
      <c r="DO53" s="705"/>
      <c r="DP53" s="704"/>
      <c r="DQ53" s="704"/>
      <c r="DR53" s="704"/>
      <c r="DS53" s="704"/>
      <c r="DT53" s="705"/>
      <c r="DU53" s="704"/>
      <c r="DV53" s="704"/>
      <c r="DW53" s="704"/>
      <c r="DX53" s="704"/>
      <c r="DY53" s="705"/>
      <c r="DZ53" s="704"/>
      <c r="EA53" s="704"/>
      <c r="EB53" s="704"/>
      <c r="EC53" s="704"/>
      <c r="ED53" s="705"/>
      <c r="EE53" s="704"/>
      <c r="EF53" s="704"/>
      <c r="EG53" s="704"/>
      <c r="EH53" s="704"/>
      <c r="EI53" s="705"/>
      <c r="EJ53" s="705"/>
      <c r="EK53" s="705"/>
    </row>
    <row r="54" spans="2:141">
      <c r="C54" s="339"/>
      <c r="D54" s="558"/>
      <c r="E54" s="339"/>
      <c r="F54" s="339"/>
      <c r="G54" s="339"/>
      <c r="H54" s="339"/>
      <c r="I54" s="558"/>
      <c r="J54" s="339"/>
      <c r="K54" s="339"/>
      <c r="L54" s="339"/>
      <c r="M54" s="339"/>
      <c r="N54" s="558"/>
      <c r="O54" s="339"/>
      <c r="P54" s="339"/>
      <c r="Q54" s="339"/>
      <c r="R54" s="339"/>
      <c r="S54" s="558"/>
      <c r="T54" s="572"/>
      <c r="U54" s="339"/>
      <c r="V54" s="339"/>
      <c r="W54" s="339"/>
      <c r="X54" s="339"/>
      <c r="Y54" s="845"/>
      <c r="Z54" s="339"/>
      <c r="AA54" s="339"/>
      <c r="AB54" s="339"/>
      <c r="AC54" s="339"/>
      <c r="AD54" s="845"/>
      <c r="AE54" s="339"/>
      <c r="AF54" s="339"/>
      <c r="AG54" s="339"/>
      <c r="AH54" s="339"/>
      <c r="AI54" s="845"/>
      <c r="AJ54" s="796"/>
      <c r="AK54" s="796"/>
      <c r="AL54" s="796"/>
      <c r="AM54" s="796"/>
      <c r="AN54" s="845"/>
      <c r="AO54" s="796"/>
      <c r="AP54" s="796"/>
      <c r="AQ54" s="796"/>
      <c r="AR54" s="796"/>
      <c r="AS54" s="845"/>
      <c r="AT54" s="796"/>
      <c r="AU54" s="796"/>
      <c r="AV54" s="796"/>
      <c r="AW54" s="796"/>
      <c r="AX54" s="845"/>
      <c r="AY54" s="339"/>
      <c r="AZ54" s="339"/>
      <c r="BA54" s="339"/>
      <c r="BB54" s="339"/>
      <c r="BC54" s="845"/>
      <c r="BD54" s="339"/>
      <c r="BE54" s="339"/>
      <c r="BF54" s="339"/>
      <c r="BG54" s="339"/>
      <c r="BH54" s="845"/>
      <c r="BI54" s="339"/>
      <c r="BJ54" s="339"/>
      <c r="BK54" s="339"/>
      <c r="BL54" s="339"/>
      <c r="BM54" s="845"/>
      <c r="BN54" s="845"/>
      <c r="BO54" s="845"/>
      <c r="BP54" s="844"/>
      <c r="BY54" s="844"/>
      <c r="BZ54" s="844"/>
      <c r="CA54" s="844"/>
      <c r="CB54" s="844"/>
      <c r="CC54" s="844"/>
      <c r="CG54" s="313"/>
      <c r="CH54" s="313"/>
      <c r="CI54" s="313"/>
      <c r="CJ54" s="313"/>
      <c r="CK54" s="575"/>
      <c r="CL54" s="313"/>
      <c r="CM54" s="313"/>
      <c r="CN54" s="313"/>
      <c r="CO54" s="313"/>
      <c r="CP54" s="575"/>
      <c r="CQ54" s="313"/>
      <c r="CR54" s="313"/>
      <c r="CS54" s="313"/>
      <c r="CT54" s="313"/>
      <c r="CU54" s="575"/>
      <c r="CV54" s="313"/>
      <c r="CW54" s="313"/>
      <c r="CX54" s="313"/>
      <c r="CY54" s="313"/>
      <c r="CZ54" s="575"/>
      <c r="DA54" s="704"/>
      <c r="DB54" s="704"/>
      <c r="DC54" s="704"/>
      <c r="DD54" s="704"/>
      <c r="DE54" s="705"/>
      <c r="DF54" s="704"/>
      <c r="DG54" s="704"/>
      <c r="DH54" s="704"/>
      <c r="DI54" s="704"/>
      <c r="DJ54" s="705"/>
      <c r="DK54" s="704"/>
      <c r="DL54" s="704"/>
      <c r="DM54" s="704"/>
      <c r="DN54" s="704"/>
      <c r="DO54" s="705"/>
      <c r="DP54" s="704"/>
      <c r="DQ54" s="704"/>
      <c r="DR54" s="704"/>
      <c r="DS54" s="704"/>
      <c r="DT54" s="705"/>
      <c r="DU54" s="704"/>
      <c r="DV54" s="704"/>
      <c r="DW54" s="704"/>
      <c r="DX54" s="704"/>
      <c r="DY54" s="705"/>
      <c r="DZ54" s="704"/>
      <c r="EA54" s="704"/>
      <c r="EB54" s="704"/>
      <c r="EC54" s="704"/>
      <c r="ED54" s="705"/>
      <c r="EE54" s="704"/>
      <c r="EF54" s="704"/>
      <c r="EG54" s="704"/>
      <c r="EH54" s="704"/>
      <c r="EI54" s="705"/>
      <c r="EJ54" s="705"/>
      <c r="EK54" s="705"/>
    </row>
    <row r="55" spans="2:141">
      <c r="B55" s="208" t="s">
        <v>192</v>
      </c>
      <c r="C55" s="208"/>
      <c r="D55" s="574"/>
      <c r="E55" s="209" t="str">
        <f>+E2</f>
        <v>1Q13</v>
      </c>
      <c r="F55" s="209" t="str">
        <f>+F2</f>
        <v>2Q13</v>
      </c>
      <c r="G55" s="209" t="str">
        <f>+G2</f>
        <v>3Q13</v>
      </c>
      <c r="H55" s="209" t="str">
        <f>+H2</f>
        <v>4Q13</v>
      </c>
      <c r="I55" s="574" t="str">
        <f>I2</f>
        <v>FY13</v>
      </c>
      <c r="J55" s="209" t="str">
        <f>+J2</f>
        <v>1Q14</v>
      </c>
      <c r="K55" s="209" t="str">
        <f>+K2</f>
        <v>2Q14</v>
      </c>
      <c r="L55" s="209" t="str">
        <f>+L2</f>
        <v>3Q14</v>
      </c>
      <c r="M55" s="209" t="str">
        <f>+M2</f>
        <v>4Q14</v>
      </c>
      <c r="N55" s="574" t="str">
        <f>N2</f>
        <v>FY14</v>
      </c>
      <c r="O55" s="209" t="str">
        <f>+O2</f>
        <v>1Q15</v>
      </c>
      <c r="P55" s="209" t="str">
        <f>+P2</f>
        <v>2Q15</v>
      </c>
      <c r="Q55" s="209" t="str">
        <f>+Q2</f>
        <v>3Q15</v>
      </c>
      <c r="R55" s="209" t="str">
        <f>+R2</f>
        <v>4Q15</v>
      </c>
      <c r="S55" s="574" t="str">
        <f>S2</f>
        <v>FY15</v>
      </c>
      <c r="T55" s="566" t="str">
        <f>+T2</f>
        <v>Q1 15</v>
      </c>
      <c r="U55" s="209" t="str">
        <f>+U2</f>
        <v>Q1 16</v>
      </c>
      <c r="V55" s="209" t="str">
        <f>+V2</f>
        <v>Q2 16</v>
      </c>
      <c r="W55" s="209" t="str">
        <f>+W2</f>
        <v>Q3 16</v>
      </c>
      <c r="X55" s="209" t="str">
        <f>+X2</f>
        <v>Q4 16</v>
      </c>
      <c r="Y55" s="574" t="s">
        <v>1275</v>
      </c>
      <c r="Z55" s="209" t="str">
        <f t="shared" ref="Z55:AI55" si="74">+Z2</f>
        <v>Q1 17</v>
      </c>
      <c r="AA55" s="209" t="str">
        <f t="shared" si="74"/>
        <v>Q2 17</v>
      </c>
      <c r="AB55" s="209" t="str">
        <f t="shared" si="74"/>
        <v>Q3 17</v>
      </c>
      <c r="AC55" s="209" t="str">
        <f t="shared" si="74"/>
        <v>Q4 17</v>
      </c>
      <c r="AD55" s="574">
        <f t="shared" si="74"/>
        <v>2017</v>
      </c>
      <c r="AE55" s="209" t="str">
        <f t="shared" si="74"/>
        <v>Q1 18</v>
      </c>
      <c r="AF55" s="209" t="str">
        <f t="shared" si="74"/>
        <v>Q2 18</v>
      </c>
      <c r="AG55" s="209" t="str">
        <f t="shared" si="74"/>
        <v>Q3 18</v>
      </c>
      <c r="AH55" s="209" t="str">
        <f t="shared" si="74"/>
        <v>Q4 18</v>
      </c>
      <c r="AI55" s="574">
        <f t="shared" si="74"/>
        <v>2018</v>
      </c>
      <c r="AJ55" s="209" t="str">
        <f>AJ$2</f>
        <v>Q1 19</v>
      </c>
      <c r="AK55" s="209" t="str">
        <f>AK$2</f>
        <v>Q2 19</v>
      </c>
      <c r="AL55" s="209" t="str">
        <f>AL$2</f>
        <v>Q3 19</v>
      </c>
      <c r="AM55" s="209" t="str">
        <f>AM$2</f>
        <v>Q4 19</v>
      </c>
      <c r="AN55" s="574">
        <f>+AN2</f>
        <v>2019</v>
      </c>
      <c r="AO55" s="209" t="str">
        <f>AO$2</f>
        <v>Q1 20</v>
      </c>
      <c r="AP55" s="209" t="str">
        <f>AP$2</f>
        <v>Q2 20</v>
      </c>
      <c r="AQ55" s="209" t="str">
        <f>AQ$2</f>
        <v>Q3 20</v>
      </c>
      <c r="AR55" s="209" t="str">
        <f>AR$2</f>
        <v>Q4 20</v>
      </c>
      <c r="AS55" s="574">
        <f>+AS2</f>
        <v>2020</v>
      </c>
      <c r="AT55" s="209" t="str">
        <f>AT$2</f>
        <v>Q1 21</v>
      </c>
      <c r="AU55" s="209" t="str">
        <f>AU$2</f>
        <v>Q2 21</v>
      </c>
      <c r="AV55" s="209" t="str">
        <f>AV$2</f>
        <v>Q3 21</v>
      </c>
      <c r="AW55" s="209" t="str">
        <f>AW$2</f>
        <v>Q4 21</v>
      </c>
      <c r="AX55" s="574">
        <f>+AX2</f>
        <v>2021</v>
      </c>
      <c r="AY55" s="209" t="str">
        <f>AY$2</f>
        <v>Q1 22</v>
      </c>
      <c r="AZ55" s="209" t="str">
        <f>AZ$2</f>
        <v>Q2 22</v>
      </c>
      <c r="BA55" s="209" t="str">
        <f>BA$2</f>
        <v>Q3 22</v>
      </c>
      <c r="BB55" s="209" t="str">
        <f>BB$2</f>
        <v>Q4 22</v>
      </c>
      <c r="BC55" s="574">
        <f>+BC2</f>
        <v>2022</v>
      </c>
      <c r="BD55" s="209" t="str">
        <f>BD$2</f>
        <v>Q1 23</v>
      </c>
      <c r="BE55" s="209" t="str">
        <f>BE$2</f>
        <v>Q2 23</v>
      </c>
      <c r="BF55" s="209" t="str">
        <f>BF$2</f>
        <v>Q3 23</v>
      </c>
      <c r="BG55" s="209" t="str">
        <f>BG$2</f>
        <v>Q4 23</v>
      </c>
      <c r="BH55" s="574">
        <f>+BH2</f>
        <v>2023</v>
      </c>
      <c r="BI55" s="209" t="s">
        <v>1693</v>
      </c>
      <c r="BJ55" s="209" t="s">
        <v>1694</v>
      </c>
      <c r="BK55" s="209" t="s">
        <v>1695</v>
      </c>
      <c r="BL55" s="209" t="s">
        <v>1696</v>
      </c>
      <c r="BM55" s="574">
        <f>+BM2</f>
        <v>2024</v>
      </c>
      <c r="BN55" s="574">
        <f>+BN2</f>
        <v>2025</v>
      </c>
      <c r="BO55" s="574">
        <f>+BO2</f>
        <v>2026</v>
      </c>
      <c r="BP55" s="8"/>
      <c r="BQ55" s="566" t="s">
        <v>985</v>
      </c>
      <c r="BR55" s="566" t="s">
        <v>1087</v>
      </c>
      <c r="BS55" s="566" t="s">
        <v>1183</v>
      </c>
      <c r="BT55" s="566" t="s">
        <v>1087</v>
      </c>
      <c r="BV55" s="281" t="s">
        <v>78</v>
      </c>
      <c r="BW55" s="281" t="s">
        <v>6</v>
      </c>
      <c r="BX55" s="8"/>
      <c r="BY55" s="281" t="s">
        <v>860</v>
      </c>
      <c r="BZ55" s="281" t="s">
        <v>861</v>
      </c>
      <c r="CA55" s="281" t="s">
        <v>862</v>
      </c>
      <c r="CB55" s="281" t="s">
        <v>863</v>
      </c>
      <c r="CC55" s="281" t="str">
        <f>+CC2</f>
        <v>2015A</v>
      </c>
      <c r="DA55" s="209" t="str">
        <f>+DA2</f>
        <v>Q1 18</v>
      </c>
      <c r="DB55" s="209" t="str">
        <f>+DB2</f>
        <v>Q2 18</v>
      </c>
      <c r="DC55" s="209" t="str">
        <f>+DC2</f>
        <v>Q3 18</v>
      </c>
      <c r="DD55" s="209" t="str">
        <f>+DD2</f>
        <v>Q4 18</v>
      </c>
      <c r="DE55" s="574">
        <f>+DE2</f>
        <v>2018</v>
      </c>
      <c r="DF55" s="209" t="str">
        <f>DF$2</f>
        <v>Q1 19</v>
      </c>
      <c r="DG55" s="209" t="str">
        <f>DG$2</f>
        <v>Q2 19</v>
      </c>
      <c r="DH55" s="209" t="str">
        <f>DH$2</f>
        <v>Q3 19</v>
      </c>
      <c r="DI55" s="209" t="str">
        <f>DI$2</f>
        <v>Q4 19</v>
      </c>
      <c r="DJ55" s="574">
        <f t="shared" ref="DJ55:EK55" si="75">+DJ2</f>
        <v>2019</v>
      </c>
      <c r="DK55" s="209" t="str">
        <f t="shared" si="75"/>
        <v>Q1 20</v>
      </c>
      <c r="DL55" s="209" t="str">
        <f t="shared" si="75"/>
        <v>Q2 20</v>
      </c>
      <c r="DM55" s="209" t="str">
        <f t="shared" si="75"/>
        <v>Q3 20</v>
      </c>
      <c r="DN55" s="209" t="str">
        <f t="shared" si="75"/>
        <v>Q4 20</v>
      </c>
      <c r="DO55" s="574">
        <f t="shared" si="75"/>
        <v>2020</v>
      </c>
      <c r="DP55" s="209" t="str">
        <f t="shared" si="75"/>
        <v>Q1 21</v>
      </c>
      <c r="DQ55" s="209" t="str">
        <f t="shared" si="75"/>
        <v>Q2 21</v>
      </c>
      <c r="DR55" s="209" t="str">
        <f t="shared" si="75"/>
        <v>Q3 21</v>
      </c>
      <c r="DS55" s="209" t="str">
        <f t="shared" si="75"/>
        <v>Q4 21</v>
      </c>
      <c r="DT55" s="574">
        <f t="shared" si="75"/>
        <v>2021</v>
      </c>
      <c r="DU55" s="209" t="str">
        <f t="shared" si="75"/>
        <v>Q1 22</v>
      </c>
      <c r="DV55" s="209" t="str">
        <f t="shared" si="75"/>
        <v>Q2 22</v>
      </c>
      <c r="DW55" s="209" t="str">
        <f t="shared" si="75"/>
        <v>Q3 22</v>
      </c>
      <c r="DX55" s="209" t="str">
        <f t="shared" si="75"/>
        <v>Q4 22</v>
      </c>
      <c r="DY55" s="574">
        <f t="shared" si="75"/>
        <v>2022</v>
      </c>
      <c r="DZ55" s="209" t="str">
        <f t="shared" si="75"/>
        <v>Q1 23</v>
      </c>
      <c r="EA55" s="209" t="str">
        <f t="shared" si="75"/>
        <v>Q2 23</v>
      </c>
      <c r="EB55" s="209" t="str">
        <f t="shared" si="75"/>
        <v>Q3 23</v>
      </c>
      <c r="EC55" s="209" t="str">
        <f t="shared" si="75"/>
        <v>Q4 23</v>
      </c>
      <c r="ED55" s="574">
        <f t="shared" si="75"/>
        <v>2023</v>
      </c>
      <c r="EE55" s="209" t="str">
        <f t="shared" ref="EE55:EH55" si="76">+EE2</f>
        <v>Q1 24</v>
      </c>
      <c r="EF55" s="209" t="str">
        <f t="shared" si="76"/>
        <v>Q2 24</v>
      </c>
      <c r="EG55" s="209" t="str">
        <f t="shared" si="76"/>
        <v>Q3 24</v>
      </c>
      <c r="EH55" s="209" t="str">
        <f t="shared" si="76"/>
        <v>Q4 24</v>
      </c>
      <c r="EI55" s="574">
        <f t="shared" si="75"/>
        <v>2024</v>
      </c>
      <c r="EJ55" s="574">
        <f t="shared" si="75"/>
        <v>2025</v>
      </c>
      <c r="EK55" s="574">
        <f t="shared" si="75"/>
        <v>2026</v>
      </c>
    </row>
    <row r="56" spans="2:141" hidden="1" outlineLevel="1">
      <c r="B56" s="7" t="s">
        <v>1538</v>
      </c>
      <c r="C56" s="7"/>
      <c r="D56" s="849"/>
      <c r="E56" s="8"/>
      <c r="F56" s="8"/>
      <c r="G56" s="8"/>
      <c r="H56" s="8"/>
      <c r="I56" s="849"/>
      <c r="J56" s="8"/>
      <c r="K56" s="8"/>
      <c r="L56" s="8"/>
      <c r="M56" s="8"/>
      <c r="N56" s="849"/>
      <c r="O56" s="8"/>
      <c r="P56" s="8"/>
      <c r="Q56" s="8"/>
      <c r="R56" s="8"/>
      <c r="S56" s="849"/>
      <c r="T56" s="921"/>
      <c r="U56" s="8"/>
      <c r="V56" s="8"/>
      <c r="W56" s="8"/>
      <c r="X56" s="8"/>
      <c r="Y56" s="849"/>
      <c r="Z56" s="8"/>
      <c r="AA56" s="8"/>
      <c r="AB56" s="8"/>
      <c r="AC56" s="8"/>
      <c r="AD56" s="849"/>
      <c r="AE56" s="8"/>
      <c r="AF56" s="8"/>
      <c r="AG56" s="8"/>
      <c r="AH56" s="8"/>
      <c r="AI56" s="849"/>
      <c r="AJ56" s="8"/>
      <c r="AK56" s="8"/>
      <c r="AL56" s="8"/>
      <c r="AM56" s="8"/>
      <c r="AN56" s="849"/>
      <c r="AO56" s="8"/>
      <c r="AP56" s="8"/>
      <c r="AQ56" s="8"/>
      <c r="AR56" s="8"/>
      <c r="AS56" s="849"/>
      <c r="AT56" s="8"/>
      <c r="AU56" s="8"/>
      <c r="AV56" s="8"/>
      <c r="AW56" s="8"/>
      <c r="AX56" s="849"/>
      <c r="AY56" s="8"/>
      <c r="AZ56" s="8"/>
      <c r="BA56" s="8"/>
      <c r="BB56" s="8"/>
      <c r="BC56" s="849"/>
      <c r="BD56" s="8"/>
      <c r="BE56" s="8"/>
      <c r="BF56" s="8"/>
      <c r="BG56" s="8"/>
      <c r="BH56" s="849"/>
      <c r="BI56" s="8"/>
      <c r="BJ56" s="8"/>
      <c r="BK56" s="8"/>
      <c r="BL56" s="8"/>
      <c r="BM56" s="849"/>
      <c r="BN56" s="849"/>
      <c r="BO56" s="849"/>
      <c r="BP56" s="8"/>
      <c r="BQ56" s="921"/>
      <c r="BR56" s="921"/>
      <c r="BS56" s="921"/>
      <c r="BT56" s="921"/>
      <c r="BV56" s="8"/>
      <c r="BW56" s="8"/>
      <c r="BX56" s="8"/>
      <c r="BY56" s="8"/>
      <c r="BZ56" s="8"/>
      <c r="CA56" s="8"/>
      <c r="CB56" s="8"/>
      <c r="CC56" s="8"/>
      <c r="DA56" s="8"/>
      <c r="DB56" s="8"/>
      <c r="DC56" s="8"/>
      <c r="DD56" s="8"/>
      <c r="DE56" s="849"/>
      <c r="DF56" s="8"/>
      <c r="DG56" s="8"/>
      <c r="DH56" s="8"/>
      <c r="DI56" s="8"/>
      <c r="DJ56" s="849"/>
      <c r="DK56" s="8"/>
      <c r="DL56" s="8"/>
      <c r="DM56" s="8"/>
      <c r="DN56" s="8"/>
      <c r="DO56" s="849"/>
      <c r="DP56" s="8"/>
      <c r="DQ56" s="8"/>
      <c r="DR56" s="8"/>
      <c r="DS56" s="8"/>
      <c r="DT56" s="849"/>
      <c r="DU56" s="8"/>
      <c r="DV56" s="8"/>
      <c r="DW56" s="8"/>
      <c r="DX56" s="8"/>
      <c r="DY56" s="849"/>
      <c r="DZ56" s="8"/>
      <c r="EA56" s="8"/>
      <c r="EB56" s="8"/>
      <c r="EC56" s="8"/>
      <c r="ED56" s="849"/>
      <c r="EE56" s="8"/>
      <c r="EF56" s="8"/>
      <c r="EG56" s="8"/>
      <c r="EH56" s="8"/>
      <c r="EI56" s="849"/>
      <c r="EJ56" s="849"/>
      <c r="EK56" s="849"/>
    </row>
    <row r="57" spans="2:141" hidden="1" outlineLevel="1">
      <c r="B57" s="212" t="s">
        <v>93</v>
      </c>
      <c r="C57" s="314"/>
      <c r="D57" s="688"/>
      <c r="E57" s="804">
        <v>35.680329999999998</v>
      </c>
      <c r="F57" s="804">
        <v>37.136669999999995</v>
      </c>
      <c r="G57" s="804">
        <v>35.701000000000008</v>
      </c>
      <c r="H57" s="804">
        <v>36.443000000000012</v>
      </c>
      <c r="I57" s="805">
        <f>SUM(E57:H57)</f>
        <v>144.96100000000001</v>
      </c>
      <c r="J57" s="804">
        <v>35.6</v>
      </c>
      <c r="K57" s="804">
        <v>35.5</v>
      </c>
      <c r="L57" s="804">
        <v>35.853999999999992</v>
      </c>
      <c r="M57" s="804">
        <v>35.620562780000029</v>
      </c>
      <c r="N57" s="805">
        <f>SUM(J57:M57)</f>
        <v>142.57456278000001</v>
      </c>
      <c r="O57" s="804">
        <v>34.238909587563164</v>
      </c>
      <c r="P57" s="804">
        <v>33.700000000000003</v>
      </c>
      <c r="Q57" s="804">
        <v>46.3</v>
      </c>
      <c r="R57" s="804">
        <v>57.7</v>
      </c>
      <c r="S57" s="805">
        <f>SUM(O57:R57)</f>
        <v>171.93890958756316</v>
      </c>
      <c r="T57" s="804"/>
      <c r="U57" s="804">
        <v>66.3</v>
      </c>
      <c r="V57" s="804">
        <v>65</v>
      </c>
      <c r="W57" s="804">
        <v>64.400000000000006</v>
      </c>
      <c r="X57" s="804">
        <v>63.3</v>
      </c>
      <c r="Y57" s="805">
        <f>SUM(U57:X57)</f>
        <v>259</v>
      </c>
      <c r="Z57" s="804">
        <v>60.7</v>
      </c>
      <c r="AA57" s="804">
        <v>68.228612882153996</v>
      </c>
      <c r="AB57" s="804">
        <v>65.94806251327239</v>
      </c>
      <c r="AC57" s="804">
        <v>61.8</v>
      </c>
      <c r="AD57" s="805">
        <f>SUM(Z57:AC57)</f>
        <v>256.6766753954264</v>
      </c>
      <c r="AE57" s="804">
        <v>65</v>
      </c>
      <c r="AF57" s="804">
        <v>61.123072612365334</v>
      </c>
      <c r="AG57" s="804">
        <v>62.219111253628348</v>
      </c>
      <c r="AH57" s="804">
        <v>61.513181526006662</v>
      </c>
      <c r="AI57" s="805">
        <f>SUM(AE57:AH57)</f>
        <v>249.85536539200035</v>
      </c>
      <c r="AJ57" s="804">
        <v>60.874687012229785</v>
      </c>
      <c r="AK57" s="804">
        <v>59.351905547694237</v>
      </c>
      <c r="AL57" s="804">
        <v>59.165975320036168</v>
      </c>
      <c r="AM57" s="804">
        <v>58.957969302329623</v>
      </c>
      <c r="AN57" s="805">
        <f>AM57+AL57+AK57+AJ57</f>
        <v>238.35053718228983</v>
      </c>
      <c r="AO57" s="804">
        <v>57.406028849788477</v>
      </c>
      <c r="AP57" s="804">
        <v>56.44592232266659</v>
      </c>
      <c r="AQ57" s="804">
        <v>56.738912115855435</v>
      </c>
      <c r="AR57" s="804">
        <v>56.333093144533834</v>
      </c>
      <c r="AS57" s="805">
        <f>AR57+AQ57+AP57+AO57</f>
        <v>226.92395643284431</v>
      </c>
      <c r="AT57" s="804"/>
      <c r="AU57" s="804"/>
      <c r="AV57" s="804"/>
      <c r="AW57" s="804"/>
      <c r="AX57" s="805"/>
      <c r="AY57" s="804"/>
      <c r="AZ57" s="804"/>
      <c r="BA57" s="804"/>
      <c r="BB57" s="804"/>
      <c r="BC57" s="805"/>
      <c r="BD57" s="804"/>
      <c r="BE57" s="804"/>
      <c r="BF57" s="804"/>
      <c r="BG57" s="804"/>
      <c r="BH57" s="805"/>
      <c r="BI57" s="804"/>
      <c r="BJ57" s="804"/>
      <c r="BK57" s="804"/>
      <c r="BL57" s="804"/>
      <c r="BM57" s="805"/>
      <c r="BN57" s="805"/>
      <c r="BO57" s="805"/>
      <c r="BP57" s="636"/>
      <c r="BQ57" s="692"/>
      <c r="BR57" s="659"/>
      <c r="BS57" s="573"/>
      <c r="BT57" s="659"/>
      <c r="BU57" s="218"/>
      <c r="BV57" s="218"/>
      <c r="BW57" s="218"/>
      <c r="BX57" s="218"/>
      <c r="BY57" s="218"/>
      <c r="BZ57" s="218"/>
      <c r="CA57" s="218"/>
      <c r="CB57" s="218"/>
      <c r="CC57" s="218"/>
      <c r="CG57" s="313"/>
      <c r="CH57" s="313"/>
      <c r="CI57" s="313"/>
      <c r="CJ57" s="313"/>
      <c r="CK57" s="575"/>
      <c r="CL57" s="313"/>
      <c r="CM57" s="313"/>
      <c r="CN57" s="313"/>
      <c r="CO57" s="313"/>
      <c r="CP57" s="575"/>
      <c r="CQ57" s="313"/>
      <c r="CR57" s="313"/>
      <c r="CS57" s="313"/>
      <c r="CT57" s="313"/>
      <c r="CU57" s="575"/>
      <c r="CV57" s="313"/>
      <c r="CW57" s="313"/>
      <c r="CX57" s="313"/>
      <c r="CY57" s="313"/>
      <c r="CZ57" s="575"/>
      <c r="DA57" s="704"/>
      <c r="DB57" s="704"/>
      <c r="DC57" s="704"/>
      <c r="DD57" s="704"/>
      <c r="DE57" s="705"/>
      <c r="DF57" s="704"/>
      <c r="DG57" s="704"/>
      <c r="DH57" s="704"/>
      <c r="DI57" s="704"/>
      <c r="DJ57" s="705"/>
      <c r="DK57" s="704"/>
      <c r="DL57" s="704"/>
      <c r="DM57" s="704"/>
      <c r="DN57" s="704"/>
      <c r="DO57" s="705"/>
      <c r="DP57" s="704"/>
      <c r="DQ57" s="704"/>
      <c r="DR57" s="704"/>
      <c r="DS57" s="704"/>
      <c r="DT57" s="705"/>
      <c r="DU57" s="704"/>
      <c r="DV57" s="704"/>
      <c r="DW57" s="704"/>
      <c r="DX57" s="704"/>
      <c r="DY57" s="705"/>
      <c r="DZ57" s="704"/>
      <c r="EA57" s="704"/>
      <c r="EB57" s="704"/>
      <c r="EC57" s="704"/>
      <c r="ED57" s="705"/>
      <c r="EE57" s="704"/>
      <c r="EF57" s="704"/>
      <c r="EG57" s="704"/>
      <c r="EH57" s="704"/>
      <c r="EI57" s="705"/>
      <c r="EJ57" s="705"/>
      <c r="EK57" s="705"/>
    </row>
    <row r="58" spans="2:141" hidden="1" outlineLevel="1">
      <c r="B58" s="212" t="s">
        <v>91</v>
      </c>
      <c r="C58" s="314"/>
      <c r="D58" s="688"/>
      <c r="E58" s="804">
        <v>9.5868500000000001</v>
      </c>
      <c r="F58" s="804">
        <v>9.9781500000000012</v>
      </c>
      <c r="G58" s="804">
        <v>10.730786809999977</v>
      </c>
      <c r="H58" s="804">
        <v>11.257213190000019</v>
      </c>
      <c r="I58" s="805">
        <f>SUM(E58:H58)</f>
        <v>41.552999999999997</v>
      </c>
      <c r="J58" s="804">
        <v>11.9</v>
      </c>
      <c r="K58" s="804">
        <v>12.6</v>
      </c>
      <c r="L58" s="804">
        <v>12.847897409999995</v>
      </c>
      <c r="M58" s="804">
        <v>13.014689900000008</v>
      </c>
      <c r="N58" s="805">
        <f>SUM(J58:M58)</f>
        <v>50.362587310000002</v>
      </c>
      <c r="O58" s="804">
        <v>13.827043660000001</v>
      </c>
      <c r="P58" s="804">
        <v>15.1</v>
      </c>
      <c r="Q58" s="804">
        <v>21.4</v>
      </c>
      <c r="R58" s="804">
        <v>27.4</v>
      </c>
      <c r="S58" s="805">
        <f>SUM(O58:R58)</f>
        <v>77.727043659999993</v>
      </c>
      <c r="T58" s="804"/>
      <c r="U58" s="804">
        <v>31.9</v>
      </c>
      <c r="V58" s="804">
        <v>33</v>
      </c>
      <c r="W58" s="804">
        <v>33.9</v>
      </c>
      <c r="X58" s="804">
        <v>35</v>
      </c>
      <c r="Y58" s="805">
        <f>SUM(U58:X58)</f>
        <v>133.80000000000001</v>
      </c>
      <c r="Z58" s="804">
        <v>35.200000000000003</v>
      </c>
      <c r="AA58" s="804">
        <v>35.725068520000008</v>
      </c>
      <c r="AB58" s="804">
        <v>36.587086020000001</v>
      </c>
      <c r="AC58" s="804">
        <v>37.299999999999997</v>
      </c>
      <c r="AD58" s="805">
        <f>SUM(Z58:AC58)</f>
        <v>144.81215453999999</v>
      </c>
      <c r="AE58" s="804">
        <v>35.1</v>
      </c>
      <c r="AF58" s="804">
        <v>34.885761370000004</v>
      </c>
      <c r="AG58" s="804">
        <v>34.550704719999992</v>
      </c>
      <c r="AH58" s="804">
        <v>34.945810060000007</v>
      </c>
      <c r="AI58" s="805">
        <f>SUM(AE58:AH58)</f>
        <v>139.48227615000002</v>
      </c>
      <c r="AJ58" s="804">
        <v>34.890583450000001</v>
      </c>
      <c r="AK58" s="804">
        <v>35.505658619999991</v>
      </c>
      <c r="AL58" s="804">
        <v>36.55217858000001</v>
      </c>
      <c r="AM58" s="804">
        <v>35.734480649999995</v>
      </c>
      <c r="AN58" s="805">
        <f>AM58+AL58+AK58+AJ58</f>
        <v>142.6829013</v>
      </c>
      <c r="AO58" s="804">
        <v>35.87162266</v>
      </c>
      <c r="AP58" s="804">
        <v>36.429280519999992</v>
      </c>
      <c r="AQ58" s="804">
        <v>36.713281310000006</v>
      </c>
      <c r="AR58" s="804">
        <v>37.26254947000001</v>
      </c>
      <c r="AS58" s="805">
        <f>AR58+AQ58+AP58+AO58</f>
        <v>146.27673396</v>
      </c>
      <c r="AT58" s="804"/>
      <c r="AU58" s="804"/>
      <c r="AV58" s="804"/>
      <c r="AW58" s="804"/>
      <c r="AX58" s="805"/>
      <c r="AY58" s="804"/>
      <c r="AZ58" s="804"/>
      <c r="BA58" s="804"/>
      <c r="BB58" s="804"/>
      <c r="BC58" s="805"/>
      <c r="BD58" s="804"/>
      <c r="BE58" s="804"/>
      <c r="BF58" s="804"/>
      <c r="BG58" s="804"/>
      <c r="BH58" s="805"/>
      <c r="BI58" s="804"/>
      <c r="BJ58" s="804"/>
      <c r="BK58" s="804"/>
      <c r="BL58" s="804"/>
      <c r="BM58" s="805"/>
      <c r="BN58" s="805"/>
      <c r="BO58" s="805"/>
      <c r="BP58" s="636"/>
      <c r="BQ58" s="692"/>
      <c r="BR58" s="659"/>
      <c r="BS58" s="573"/>
      <c r="BT58" s="659"/>
      <c r="BU58" s="218"/>
      <c r="BV58" s="218"/>
      <c r="BW58" s="218"/>
      <c r="BX58" s="218"/>
      <c r="BY58" s="218"/>
      <c r="BZ58" s="218"/>
      <c r="CA58" s="218"/>
      <c r="CB58" s="218"/>
      <c r="CC58" s="218"/>
      <c r="CG58" s="313"/>
      <c r="CH58" s="313"/>
      <c r="CI58" s="313"/>
      <c r="CJ58" s="313"/>
      <c r="CK58" s="575"/>
      <c r="CL58" s="313"/>
      <c r="CM58" s="313"/>
      <c r="CN58" s="313"/>
      <c r="CO58" s="313"/>
      <c r="CP58" s="575"/>
      <c r="CQ58" s="313"/>
      <c r="CR58" s="313"/>
      <c r="CS58" s="313"/>
      <c r="CT58" s="313"/>
      <c r="CU58" s="575"/>
      <c r="CV58" s="313"/>
      <c r="CW58" s="313"/>
      <c r="CX58" s="313"/>
      <c r="CY58" s="313"/>
      <c r="CZ58" s="575"/>
      <c r="DA58" s="704"/>
      <c r="DB58" s="704"/>
      <c r="DC58" s="704"/>
      <c r="DD58" s="704"/>
      <c r="DE58" s="705"/>
      <c r="DF58" s="704"/>
      <c r="DG58" s="704"/>
      <c r="DH58" s="704"/>
      <c r="DI58" s="704"/>
      <c r="DJ58" s="705"/>
      <c r="DK58" s="704"/>
      <c r="DL58" s="704"/>
      <c r="DM58" s="704"/>
      <c r="DN58" s="704"/>
      <c r="DO58" s="705"/>
      <c r="DP58" s="704"/>
      <c r="DQ58" s="704"/>
      <c r="DR58" s="704"/>
      <c r="DS58" s="704"/>
      <c r="DT58" s="705"/>
      <c r="DU58" s="704"/>
      <c r="DV58" s="704"/>
      <c r="DW58" s="704"/>
      <c r="DX58" s="704"/>
      <c r="DY58" s="705"/>
      <c r="DZ58" s="704"/>
      <c r="EA58" s="704"/>
      <c r="EB58" s="704"/>
      <c r="EC58" s="704"/>
      <c r="ED58" s="705"/>
      <c r="EE58" s="704"/>
      <c r="EF58" s="704"/>
      <c r="EG58" s="704"/>
      <c r="EH58" s="704"/>
      <c r="EI58" s="705"/>
      <c r="EJ58" s="705"/>
      <c r="EK58" s="705"/>
    </row>
    <row r="59" spans="2:141" hidden="1" outlineLevel="1">
      <c r="B59" s="212" t="s">
        <v>1513</v>
      </c>
      <c r="C59" s="314"/>
      <c r="D59" s="688"/>
      <c r="E59" s="804"/>
      <c r="F59" s="804"/>
      <c r="G59" s="804"/>
      <c r="H59" s="804"/>
      <c r="I59" s="805"/>
      <c r="J59" s="804"/>
      <c r="K59" s="804"/>
      <c r="L59" s="804"/>
      <c r="M59" s="804"/>
      <c r="N59" s="805"/>
      <c r="O59" s="804"/>
      <c r="P59" s="804"/>
      <c r="Q59" s="804"/>
      <c r="R59" s="804"/>
      <c r="S59" s="805"/>
      <c r="T59" s="804"/>
      <c r="U59" s="804"/>
      <c r="V59" s="804"/>
      <c r="W59" s="804"/>
      <c r="X59" s="804"/>
      <c r="Y59" s="805"/>
      <c r="Z59" s="804"/>
      <c r="AA59" s="804"/>
      <c r="AB59" s="804"/>
      <c r="AC59" s="804"/>
      <c r="AD59" s="805"/>
      <c r="AE59" s="804"/>
      <c r="AF59" s="804"/>
      <c r="AG59" s="804"/>
      <c r="AH59" s="804"/>
      <c r="AI59" s="805">
        <v>48</v>
      </c>
      <c r="AJ59" s="804">
        <v>11.606999999999999</v>
      </c>
      <c r="AK59" s="804">
        <v>12.984999999999999</v>
      </c>
      <c r="AL59" s="804">
        <v>12.224</v>
      </c>
      <c r="AM59" s="804">
        <v>19.295999999999999</v>
      </c>
      <c r="AN59" s="805">
        <f>AM59+AL59+AK59+AJ59</f>
        <v>56.111999999999995</v>
      </c>
      <c r="AO59" s="804">
        <v>13.62368212</v>
      </c>
      <c r="AP59" s="804">
        <v>14.780357460000001</v>
      </c>
      <c r="AQ59" s="804">
        <v>15.281805260000004</v>
      </c>
      <c r="AR59" s="804">
        <v>18.16036896999999</v>
      </c>
      <c r="AS59" s="805">
        <f>AR59+AQ59+AP59+AO59</f>
        <v>61.846213809999995</v>
      </c>
      <c r="AT59" s="804"/>
      <c r="AU59" s="804"/>
      <c r="AV59" s="804"/>
      <c r="AW59" s="804"/>
      <c r="AX59" s="805"/>
      <c r="AY59" s="804"/>
      <c r="AZ59" s="804"/>
      <c r="BA59" s="804"/>
      <c r="BB59" s="804"/>
      <c r="BC59" s="805"/>
      <c r="BD59" s="804"/>
      <c r="BE59" s="804"/>
      <c r="BF59" s="804"/>
      <c r="BG59" s="804"/>
      <c r="BH59" s="805"/>
      <c r="BI59" s="804"/>
      <c r="BJ59" s="804"/>
      <c r="BK59" s="804"/>
      <c r="BL59" s="804"/>
      <c r="BM59" s="805"/>
      <c r="BN59" s="805"/>
      <c r="BO59" s="805"/>
      <c r="BP59" s="636"/>
      <c r="BQ59" s="692"/>
      <c r="BR59" s="659"/>
      <c r="BS59" s="573"/>
      <c r="BT59" s="659"/>
      <c r="BU59" s="218"/>
      <c r="BV59" s="218"/>
      <c r="BW59" s="218"/>
      <c r="BX59" s="218"/>
      <c r="BY59" s="218"/>
      <c r="BZ59" s="218"/>
      <c r="CA59" s="218"/>
      <c r="CB59" s="218"/>
      <c r="CC59" s="218"/>
      <c r="CG59" s="313"/>
      <c r="CH59" s="313"/>
      <c r="CI59" s="313"/>
      <c r="CJ59" s="313"/>
      <c r="CK59" s="575"/>
      <c r="CL59" s="313"/>
      <c r="CM59" s="313"/>
      <c r="CN59" s="313"/>
      <c r="CO59" s="313"/>
      <c r="CP59" s="575"/>
      <c r="CQ59" s="313"/>
      <c r="CR59" s="313"/>
      <c r="CS59" s="313"/>
      <c r="CT59" s="313"/>
      <c r="CU59" s="575"/>
      <c r="CV59" s="313"/>
      <c r="CW59" s="313"/>
      <c r="CX59" s="313"/>
      <c r="CY59" s="313"/>
      <c r="CZ59" s="575"/>
      <c r="DA59" s="704"/>
      <c r="DB59" s="704"/>
      <c r="DC59" s="704"/>
      <c r="DD59" s="704"/>
      <c r="DE59" s="705"/>
      <c r="DF59" s="704"/>
      <c r="DG59" s="704"/>
      <c r="DH59" s="704"/>
      <c r="DI59" s="704"/>
      <c r="DJ59" s="705"/>
      <c r="DK59" s="704"/>
      <c r="DL59" s="704"/>
      <c r="DM59" s="704"/>
      <c r="DN59" s="704"/>
      <c r="DO59" s="705"/>
      <c r="DP59" s="704"/>
      <c r="DQ59" s="704"/>
      <c r="DR59" s="704"/>
      <c r="DS59" s="704"/>
      <c r="DT59" s="705"/>
      <c r="DU59" s="704"/>
      <c r="DV59" s="704"/>
      <c r="DW59" s="704"/>
      <c r="DX59" s="704"/>
      <c r="DY59" s="705"/>
      <c r="DZ59" s="704"/>
      <c r="EA59" s="704"/>
      <c r="EB59" s="704"/>
      <c r="EC59" s="704"/>
      <c r="ED59" s="705"/>
      <c r="EE59" s="704"/>
      <c r="EF59" s="704"/>
      <c r="EG59" s="704"/>
      <c r="EH59" s="704"/>
      <c r="EI59" s="705"/>
      <c r="EJ59" s="705"/>
      <c r="EK59" s="705"/>
    </row>
    <row r="60" spans="2:141" hidden="1" outlineLevel="1">
      <c r="B60" s="212" t="s">
        <v>80</v>
      </c>
      <c r="C60" s="314"/>
      <c r="D60" s="688"/>
      <c r="E60" s="804">
        <v>4.8970599999999997</v>
      </c>
      <c r="F60" s="804">
        <v>5.09694</v>
      </c>
      <c r="G60" s="804">
        <v>4.6760000000000002</v>
      </c>
      <c r="H60" s="804">
        <v>5.0179999999999989</v>
      </c>
      <c r="I60" s="805">
        <f>SUM(E60:H60)</f>
        <v>19.687999999999999</v>
      </c>
      <c r="J60" s="804">
        <v>4.9000000000000004</v>
      </c>
      <c r="K60" s="804">
        <v>4.9000000000000004</v>
      </c>
      <c r="L60" s="804">
        <v>5.202</v>
      </c>
      <c r="M60" s="804">
        <v>5.0373845199999945</v>
      </c>
      <c r="N60" s="805">
        <f>SUM(J60:M60)</f>
        <v>20.039384519999995</v>
      </c>
      <c r="O60" s="804">
        <v>5.5492235400000007</v>
      </c>
      <c r="P60" s="804">
        <v>5.5</v>
      </c>
      <c r="Q60" s="804">
        <v>6.3</v>
      </c>
      <c r="R60" s="804">
        <v>11.8</v>
      </c>
      <c r="S60" s="805">
        <f>SUM(O60:R60)</f>
        <v>29.149223540000001</v>
      </c>
      <c r="T60" s="804"/>
      <c r="U60" s="804">
        <v>17.899999999999999</v>
      </c>
      <c r="V60" s="804">
        <v>21.9</v>
      </c>
      <c r="W60" s="804">
        <v>19.899999999999999</v>
      </c>
      <c r="X60" s="804">
        <v>25.8</v>
      </c>
      <c r="Y60" s="805">
        <f>SUM(U60:X60)</f>
        <v>85.5</v>
      </c>
      <c r="Z60" s="804">
        <v>25.1</v>
      </c>
      <c r="AA60" s="804">
        <v>20.415798977846006</v>
      </c>
      <c r="AB60" s="804">
        <v>20.729772346727572</v>
      </c>
      <c r="AC60" s="804">
        <v>29.1</v>
      </c>
      <c r="AD60" s="805">
        <f>SUM(Z60:AC60)</f>
        <v>95.345571324573569</v>
      </c>
      <c r="AE60" s="804">
        <v>23.3</v>
      </c>
      <c r="AF60" s="804">
        <v>20.584690987634659</v>
      </c>
      <c r="AG60" s="804">
        <v>30.957470976371667</v>
      </c>
      <c r="AH60" s="804">
        <v>30.169875003993326</v>
      </c>
      <c r="AI60" s="805">
        <v>57</v>
      </c>
      <c r="AJ60" s="804">
        <v>12.7681873377702</v>
      </c>
      <c r="AK60" s="804">
        <v>18.4938555223058</v>
      </c>
      <c r="AL60" s="804">
        <v>15.2761305999638</v>
      </c>
      <c r="AM60" s="804">
        <v>15.721141717670399</v>
      </c>
      <c r="AN60" s="805">
        <f>AM60+AL60+AK60+AJ60</f>
        <v>62.259315177710199</v>
      </c>
      <c r="AO60" s="804">
        <v>11.575234740211515</v>
      </c>
      <c r="AP60" s="804">
        <v>12.261210837333426</v>
      </c>
      <c r="AQ60" s="804">
        <v>9.760348764144549</v>
      </c>
      <c r="AR60" s="804">
        <v>11.269754095466171</v>
      </c>
      <c r="AS60" s="805">
        <f>AR60+AQ60+AP60+AO60</f>
        <v>44.866548437155657</v>
      </c>
      <c r="AT60" s="804"/>
      <c r="AU60" s="804"/>
      <c r="AV60" s="804"/>
      <c r="AW60" s="804"/>
      <c r="AX60" s="805"/>
      <c r="AY60" s="804"/>
      <c r="AZ60" s="804"/>
      <c r="BA60" s="804"/>
      <c r="BB60" s="804"/>
      <c r="BC60" s="805"/>
      <c r="BD60" s="804"/>
      <c r="BE60" s="804"/>
      <c r="BF60" s="804"/>
      <c r="BG60" s="804"/>
      <c r="BH60" s="805"/>
      <c r="BI60" s="804"/>
      <c r="BJ60" s="804"/>
      <c r="BK60" s="804"/>
      <c r="BL60" s="804"/>
      <c r="BM60" s="805"/>
      <c r="BN60" s="805"/>
      <c r="BO60" s="805"/>
      <c r="BP60" s="636"/>
      <c r="BQ60" s="692"/>
      <c r="BR60" s="659"/>
      <c r="BS60" s="573"/>
      <c r="BT60" s="659"/>
      <c r="BU60" s="218"/>
      <c r="BV60" s="315"/>
      <c r="BW60" s="315"/>
      <c r="BX60" s="218"/>
      <c r="BY60" s="315"/>
      <c r="BZ60" s="315"/>
      <c r="CA60" s="315"/>
      <c r="CB60" s="315"/>
      <c r="CC60" s="315"/>
      <c r="CG60" s="313"/>
      <c r="CH60" s="313"/>
      <c r="CI60" s="313"/>
      <c r="CJ60" s="313"/>
      <c r="CK60" s="575"/>
      <c r="CL60" s="313"/>
      <c r="CM60" s="313"/>
      <c r="CN60" s="313"/>
      <c r="CO60" s="313"/>
      <c r="CP60" s="575"/>
      <c r="CQ60" s="313"/>
      <c r="CR60" s="313"/>
      <c r="CS60" s="313"/>
      <c r="CT60" s="313"/>
      <c r="CU60" s="575"/>
      <c r="CV60" s="313"/>
      <c r="CW60" s="313"/>
      <c r="CX60" s="313"/>
      <c r="CY60" s="313"/>
      <c r="CZ60" s="575"/>
      <c r="DA60" s="704"/>
      <c r="DB60" s="704"/>
      <c r="DC60" s="704"/>
      <c r="DD60" s="704"/>
      <c r="DE60" s="705"/>
      <c r="DF60" s="704"/>
      <c r="DG60" s="704"/>
      <c r="DH60" s="704"/>
      <c r="DI60" s="704"/>
      <c r="DJ60" s="705"/>
      <c r="DK60" s="704"/>
      <c r="DL60" s="704"/>
      <c r="DM60" s="704"/>
      <c r="DN60" s="704"/>
      <c r="DO60" s="705"/>
      <c r="DP60" s="704"/>
      <c r="DQ60" s="704"/>
      <c r="DR60" s="704"/>
      <c r="DS60" s="704"/>
      <c r="DT60" s="705"/>
      <c r="DU60" s="704"/>
      <c r="DV60" s="704"/>
      <c r="DW60" s="704"/>
      <c r="DX60" s="704"/>
      <c r="DY60" s="705"/>
      <c r="DZ60" s="704"/>
      <c r="EA60" s="704"/>
      <c r="EB60" s="704"/>
      <c r="EC60" s="704"/>
      <c r="ED60" s="705"/>
      <c r="EE60" s="704"/>
      <c r="EF60" s="704"/>
      <c r="EG60" s="704"/>
      <c r="EH60" s="704"/>
      <c r="EI60" s="705"/>
      <c r="EJ60" s="705"/>
      <c r="EK60" s="705"/>
    </row>
    <row r="61" spans="2:141" s="7" customFormat="1" hidden="1" outlineLevel="1">
      <c r="B61" s="7" t="s">
        <v>7</v>
      </c>
      <c r="C61" s="27"/>
      <c r="D61" s="585"/>
      <c r="E61" s="806">
        <f>+E60+E58+E57</f>
        <v>50.164239999999999</v>
      </c>
      <c r="F61" s="806">
        <f>+F60+F58+F57</f>
        <v>52.211759999999998</v>
      </c>
      <c r="G61" s="807">
        <v>51.107786809999986</v>
      </c>
      <c r="H61" s="807">
        <v>52.718213190000029</v>
      </c>
      <c r="I61" s="808">
        <f>SUM(I57:I60)</f>
        <v>206.202</v>
      </c>
      <c r="J61" s="807">
        <f>+J60+J58+J57</f>
        <v>52.400000000000006</v>
      </c>
      <c r="K61" s="807">
        <f>+K60+K58+K57</f>
        <v>53</v>
      </c>
      <c r="L61" s="807">
        <v>53.903897409999985</v>
      </c>
      <c r="M61" s="807">
        <v>53.672637200000025</v>
      </c>
      <c r="N61" s="808">
        <f>SUM(N57:N60)</f>
        <v>212.97653461000002</v>
      </c>
      <c r="O61" s="807">
        <f>+O60+O58+O57</f>
        <v>53.615176787563165</v>
      </c>
      <c r="P61" s="807">
        <f>+P60+P58+P57</f>
        <v>54.300000000000004</v>
      </c>
      <c r="Q61" s="807">
        <f>+Q60+Q58+Q57</f>
        <v>74</v>
      </c>
      <c r="R61" s="807">
        <f>+R60+R58+R57</f>
        <v>96.9</v>
      </c>
      <c r="S61" s="808">
        <f>SUM(S57:S60)</f>
        <v>278.81517678756313</v>
      </c>
      <c r="T61" s="809">
        <v>110.6</v>
      </c>
      <c r="U61" s="807">
        <f>+U60+U58+U57</f>
        <v>116.1</v>
      </c>
      <c r="V61" s="807">
        <f>+V60+V58+V57</f>
        <v>119.9</v>
      </c>
      <c r="W61" s="807">
        <f>+W60+W58+W57</f>
        <v>118.2</v>
      </c>
      <c r="X61" s="807">
        <f>+X60+X58+X57</f>
        <v>124.1</v>
      </c>
      <c r="Y61" s="808">
        <f t="shared" ref="Y61:AE61" si="77">SUM(Y57:Y60)</f>
        <v>478.3</v>
      </c>
      <c r="Z61" s="807">
        <f t="shared" si="77"/>
        <v>121</v>
      </c>
      <c r="AA61" s="807">
        <f t="shared" si="77"/>
        <v>124.36948038000001</v>
      </c>
      <c r="AB61" s="807">
        <f t="shared" si="77"/>
        <v>123.26492087999996</v>
      </c>
      <c r="AC61" s="807">
        <f t="shared" si="77"/>
        <v>128.19999999999999</v>
      </c>
      <c r="AD61" s="808">
        <f t="shared" si="77"/>
        <v>496.83440125999994</v>
      </c>
      <c r="AE61" s="807">
        <f t="shared" si="77"/>
        <v>123.39999999999999</v>
      </c>
      <c r="AF61" s="807">
        <v>116.59352496999999</v>
      </c>
      <c r="AG61" s="807">
        <f>SUM(AG57:AG60)</f>
        <v>127.72728695000001</v>
      </c>
      <c r="AH61" s="807">
        <f>SUM(AH57:AH60)</f>
        <v>126.62886659</v>
      </c>
      <c r="AI61" s="808">
        <f>SUM(AI57:AI60)</f>
        <v>494.33764154200037</v>
      </c>
      <c r="AJ61" s="807">
        <f t="shared" ref="AJ61:AS61" si="78">SUM(AJ57:AJ60)</f>
        <v>120.14045779999998</v>
      </c>
      <c r="AK61" s="807">
        <f t="shared" si="78"/>
        <v>126.33641969000001</v>
      </c>
      <c r="AL61" s="807">
        <f t="shared" si="78"/>
        <v>123.21828449999998</v>
      </c>
      <c r="AM61" s="807">
        <f t="shared" si="78"/>
        <v>129.70959167000001</v>
      </c>
      <c r="AN61" s="810">
        <f t="shared" si="78"/>
        <v>499.40475366000004</v>
      </c>
      <c r="AO61" s="807">
        <f t="shared" si="78"/>
        <v>118.47656837</v>
      </c>
      <c r="AP61" s="807">
        <f t="shared" si="78"/>
        <v>119.91677114000001</v>
      </c>
      <c r="AQ61" s="807">
        <f t="shared" si="78"/>
        <v>118.49434744999999</v>
      </c>
      <c r="AR61" s="807">
        <f t="shared" si="78"/>
        <v>123.02576568000001</v>
      </c>
      <c r="AS61" s="810">
        <f t="shared" si="78"/>
        <v>479.91345263999995</v>
      </c>
      <c r="AT61" s="807"/>
      <c r="AU61" s="807"/>
      <c r="AV61" s="807"/>
      <c r="AW61" s="807"/>
      <c r="AX61" s="810"/>
      <c r="AY61" s="807"/>
      <c r="AZ61" s="807"/>
      <c r="BA61" s="807"/>
      <c r="BB61" s="807"/>
      <c r="BC61" s="810"/>
      <c r="BD61" s="807"/>
      <c r="BE61" s="807"/>
      <c r="BF61" s="807"/>
      <c r="BG61" s="807"/>
      <c r="BH61" s="810"/>
      <c r="BI61" s="807"/>
      <c r="BJ61" s="807"/>
      <c r="BK61" s="807"/>
      <c r="BL61" s="807"/>
      <c r="BM61" s="810"/>
      <c r="BN61" s="810"/>
      <c r="BO61" s="810"/>
      <c r="BP61" s="635"/>
      <c r="BQ61" s="892"/>
      <c r="BR61" s="661"/>
      <c r="BS61" s="660"/>
      <c r="BT61" s="661"/>
      <c r="BU61" s="79"/>
      <c r="BV61" s="27"/>
      <c r="BW61" s="27"/>
      <c r="BX61" s="27"/>
      <c r="BY61" s="27"/>
      <c r="BZ61" s="27"/>
      <c r="CA61" s="27"/>
      <c r="CB61" s="27"/>
      <c r="CC61" s="27"/>
      <c r="CG61" s="588"/>
      <c r="CH61" s="588"/>
      <c r="CI61" s="588"/>
      <c r="CJ61" s="588"/>
      <c r="CK61" s="589"/>
      <c r="CL61" s="588"/>
      <c r="CM61" s="588"/>
      <c r="CN61" s="588"/>
      <c r="CO61" s="588"/>
      <c r="CP61" s="589"/>
      <c r="CQ61" s="588"/>
      <c r="CR61" s="588"/>
      <c r="CS61" s="588"/>
      <c r="CT61" s="588"/>
      <c r="CU61" s="589"/>
      <c r="CV61" s="588"/>
      <c r="CW61" s="588"/>
      <c r="CX61" s="588"/>
      <c r="CY61" s="588"/>
      <c r="CZ61" s="589"/>
      <c r="DA61" s="716"/>
      <c r="DB61" s="716"/>
      <c r="DC61" s="716"/>
      <c r="DD61" s="716"/>
      <c r="DE61" s="717"/>
      <c r="DF61" s="716"/>
      <c r="DG61" s="716"/>
      <c r="DH61" s="716"/>
      <c r="DI61" s="716"/>
      <c r="DJ61" s="717"/>
      <c r="DK61" s="716"/>
      <c r="DL61" s="716"/>
      <c r="DM61" s="716"/>
      <c r="DN61" s="716"/>
      <c r="DO61" s="717"/>
      <c r="DP61" s="716"/>
      <c r="DQ61" s="716"/>
      <c r="DR61" s="716"/>
      <c r="DS61" s="716"/>
      <c r="DT61" s="717"/>
      <c r="DU61" s="716"/>
      <c r="DV61" s="716"/>
      <c r="DW61" s="716"/>
      <c r="DX61" s="716"/>
      <c r="DY61" s="717"/>
      <c r="DZ61" s="716"/>
      <c r="EA61" s="716"/>
      <c r="EB61" s="716"/>
      <c r="EC61" s="716"/>
      <c r="ED61" s="717"/>
      <c r="EE61" s="716"/>
      <c r="EF61" s="716"/>
      <c r="EG61" s="716"/>
      <c r="EH61" s="716"/>
      <c r="EI61" s="717"/>
      <c r="EJ61" s="717"/>
      <c r="EK61" s="717"/>
    </row>
    <row r="62" spans="2:141" collapsed="1">
      <c r="B62" s="212" t="s">
        <v>93</v>
      </c>
      <c r="C62" s="314"/>
      <c r="D62" s="688"/>
      <c r="E62" s="804">
        <f>+BV62*0.49</f>
        <v>35.680329999999998</v>
      </c>
      <c r="F62" s="804">
        <f>+BV62-E62</f>
        <v>37.136669999999995</v>
      </c>
      <c r="G62" s="804">
        <v>35.701000000000008</v>
      </c>
      <c r="H62" s="804">
        <v>36.443000000000012</v>
      </c>
      <c r="I62" s="805">
        <f>SUM(E62:H62)</f>
        <v>144.96100000000001</v>
      </c>
      <c r="J62" s="804">
        <v>35.6</v>
      </c>
      <c r="K62" s="804">
        <v>35.5</v>
      </c>
      <c r="L62" s="804">
        <v>35.853999999999992</v>
      </c>
      <c r="M62" s="804">
        <v>35.620562780000029</v>
      </c>
      <c r="N62" s="805">
        <f>SUM(J62:M62)</f>
        <v>142.57456278000001</v>
      </c>
      <c r="O62" s="804">
        <v>34.238909587563164</v>
      </c>
      <c r="P62" s="804">
        <v>33.700000000000003</v>
      </c>
      <c r="Q62" s="804">
        <v>46.3</v>
      </c>
      <c r="R62" s="804">
        <v>57.7</v>
      </c>
      <c r="S62" s="805">
        <f>SUM(O62:R62)</f>
        <v>171.93890958756316</v>
      </c>
      <c r="T62" s="804"/>
      <c r="U62" s="804">
        <v>66.3</v>
      </c>
      <c r="V62" s="804">
        <v>65</v>
      </c>
      <c r="W62" s="804">
        <v>64.400000000000006</v>
      </c>
      <c r="X62" s="804">
        <v>63.3</v>
      </c>
      <c r="Y62" s="805">
        <f>SUM(U62:X62)</f>
        <v>259</v>
      </c>
      <c r="Z62" s="804">
        <v>60.7</v>
      </c>
      <c r="AA62" s="804">
        <v>68.228612882153996</v>
      </c>
      <c r="AB62" s="804">
        <v>65.94806251327239</v>
      </c>
      <c r="AC62" s="804">
        <v>61.8</v>
      </c>
      <c r="AD62" s="805">
        <f>SUM(Z62:AC62)</f>
        <v>256.6766753954264</v>
      </c>
      <c r="AE62" s="804">
        <v>65</v>
      </c>
      <c r="AF62" s="804">
        <v>61.123072612365334</v>
      </c>
      <c r="AG62" s="804">
        <v>62.219111253628348</v>
      </c>
      <c r="AH62" s="804">
        <v>61.513181526006662</v>
      </c>
      <c r="AI62" s="805">
        <f>SUM(AE62:AH62)</f>
        <v>249.85536539200035</v>
      </c>
      <c r="AJ62" s="804">
        <v>60.874687012229785</v>
      </c>
      <c r="AK62" s="804">
        <v>59.351905547694237</v>
      </c>
      <c r="AL62" s="804">
        <v>59.165975320036168</v>
      </c>
      <c r="AM62" s="804">
        <v>58.957969302329623</v>
      </c>
      <c r="AN62" s="805">
        <f>AM62+AL62+AK62+AJ62</f>
        <v>238.35053718228983</v>
      </c>
      <c r="AO62" s="804">
        <v>57.4</v>
      </c>
      <c r="AP62" s="804">
        <v>56.4</v>
      </c>
      <c r="AQ62" s="804">
        <v>56.7</v>
      </c>
      <c r="AR62" s="804">
        <v>56.3</v>
      </c>
      <c r="AS62" s="805">
        <f>AR62+AQ62+AP62+AO62</f>
        <v>226.8</v>
      </c>
      <c r="AT62" s="804">
        <v>55.442703881499199</v>
      </c>
      <c r="AU62" s="804">
        <v>54.71832377829594</v>
      </c>
      <c r="AV62" s="804">
        <v>53.954918910497966</v>
      </c>
      <c r="AW62" s="804">
        <v>54.122868099290528</v>
      </c>
      <c r="AX62" s="805">
        <f>AW62+AV62+AU62+AT62</f>
        <v>218.23881466958363</v>
      </c>
      <c r="AY62" s="804">
        <v>51.919214072674734</v>
      </c>
      <c r="AZ62" s="804">
        <v>51.517371855537057</v>
      </c>
      <c r="BA62" s="804">
        <v>49.624679108510875</v>
      </c>
      <c r="BB62" s="804">
        <v>49.468719118758628</v>
      </c>
      <c r="BC62" s="805">
        <f>BB62+BA62+AZ62+AY62</f>
        <v>202.52998415548132</v>
      </c>
      <c r="BD62" s="804">
        <v>48</v>
      </c>
      <c r="BE62" s="804">
        <v>47.252212876031059</v>
      </c>
      <c r="BF62" s="804">
        <v>46.812067869309523</v>
      </c>
      <c r="BG62" s="804">
        <v>46.646748323812822</v>
      </c>
      <c r="BH62" s="805">
        <f>SUM(BD62:BG62)</f>
        <v>188.7110290691534</v>
      </c>
      <c r="BI62" s="804">
        <v>44</v>
      </c>
      <c r="BJ62" s="804">
        <v>40.799999999999997</v>
      </c>
      <c r="BK62" s="804">
        <v>30.2</v>
      </c>
      <c r="BL62" s="1170">
        <f ca="1">BM62-BJ62-BK62-BI62</f>
        <v>32.875256032926899</v>
      </c>
      <c r="BM62" s="805">
        <f ca="1">Model!N5</f>
        <v>147.8752560329269</v>
      </c>
      <c r="BN62" s="805">
        <f ca="1">Model!O5</f>
        <v>123.26951824633576</v>
      </c>
      <c r="BO62" s="805">
        <f ca="1">Model!P5</f>
        <v>123.63941285987076</v>
      </c>
      <c r="BP62" s="636"/>
      <c r="BQ62" s="692">
        <v>55.845479722565614</v>
      </c>
      <c r="BR62" s="659">
        <f>$AR62/BQ62-1</f>
        <v>8.1388910918553936E-3</v>
      </c>
      <c r="BS62" s="573"/>
      <c r="BT62" s="659"/>
      <c r="BU62" s="218"/>
      <c r="BV62" s="218">
        <v>72.816999999999993</v>
      </c>
      <c r="BW62" s="218">
        <v>71.048000000000002</v>
      </c>
      <c r="BX62" s="218"/>
      <c r="BY62" s="218">
        <v>159.80000000000001</v>
      </c>
      <c r="BZ62" s="218">
        <v>151.9</v>
      </c>
      <c r="CA62" s="218">
        <v>144.96100000000001</v>
      </c>
      <c r="CB62" s="218">
        <v>142.54256278000003</v>
      </c>
      <c r="CC62" s="218">
        <f>+'Model also  old'!F90</f>
        <v>143.94501383067166</v>
      </c>
      <c r="CG62" s="313">
        <f t="shared" ref="CG62:CP63" si="79">IFERROR(J62/E62-1,"N/A")</f>
        <v>-2.2513805225454764E-3</v>
      </c>
      <c r="CH62" s="313">
        <f t="shared" si="79"/>
        <v>-4.4071533608155966E-2</v>
      </c>
      <c r="CI62" s="313">
        <f t="shared" si="79"/>
        <v>4.2855942410573444E-3</v>
      </c>
      <c r="CJ62" s="313">
        <f t="shared" si="79"/>
        <v>-2.2567769393298631E-2</v>
      </c>
      <c r="CK62" s="575">
        <f t="shared" si="79"/>
        <v>-1.6462615600058017E-2</v>
      </c>
      <c r="CL62" s="313">
        <f t="shared" si="79"/>
        <v>-3.8232876753843792E-2</v>
      </c>
      <c r="CM62" s="313">
        <f t="shared" si="79"/>
        <v>-5.0704225352112609E-2</v>
      </c>
      <c r="CN62" s="313">
        <f t="shared" si="79"/>
        <v>0.29134824566296658</v>
      </c>
      <c r="CO62" s="313">
        <f t="shared" si="79"/>
        <v>0.61985088097476582</v>
      </c>
      <c r="CP62" s="575">
        <f t="shared" si="79"/>
        <v>0.20595782469888313</v>
      </c>
      <c r="CQ62" s="313">
        <f t="shared" ref="CQ62:CU63" si="80">IFERROR(U62/O62-1,"N/A")</f>
        <v>0.93639344239171107</v>
      </c>
      <c r="CR62" s="313">
        <f t="shared" si="80"/>
        <v>0.92878338278931727</v>
      </c>
      <c r="CS62" s="313">
        <f t="shared" si="80"/>
        <v>0.39092872570194404</v>
      </c>
      <c r="CT62" s="313">
        <f t="shared" si="80"/>
        <v>9.7053726169843868E-2</v>
      </c>
      <c r="CU62" s="575">
        <f t="shared" si="80"/>
        <v>0.50634897372138643</v>
      </c>
      <c r="CV62" s="313">
        <f t="shared" ref="CV62:DE63" si="81">IFERROR(Z62/U62-1,"N/A")</f>
        <v>-8.4464555052790269E-2</v>
      </c>
      <c r="CW62" s="313">
        <f t="shared" si="81"/>
        <v>4.9670967417753786E-2</v>
      </c>
      <c r="CX62" s="313">
        <f t="shared" si="81"/>
        <v>2.4038237783732708E-2</v>
      </c>
      <c r="CY62" s="313">
        <f t="shared" si="81"/>
        <v>-2.3696682464454999E-2</v>
      </c>
      <c r="CZ62" s="575">
        <f t="shared" si="81"/>
        <v>-8.9703652686239366E-3</v>
      </c>
      <c r="DA62" s="704">
        <f t="shared" si="81"/>
        <v>7.0840197693574858E-2</v>
      </c>
      <c r="DB62" s="704">
        <f t="shared" si="81"/>
        <v>-0.10414311488438888</v>
      </c>
      <c r="DC62" s="704">
        <f t="shared" si="81"/>
        <v>-5.654375758034702E-2</v>
      </c>
      <c r="DD62" s="704">
        <f t="shared" si="81"/>
        <v>-4.6410756309601675E-3</v>
      </c>
      <c r="DE62" s="705">
        <f t="shared" si="81"/>
        <v>-2.6575496168155466E-2</v>
      </c>
      <c r="DF62" s="704">
        <f t="shared" ref="DF62:DO63" si="82">IFERROR(AJ62/AE62-1,"N/A")</f>
        <v>-6.3466353658003349E-2</v>
      </c>
      <c r="DG62" s="704">
        <f t="shared" si="82"/>
        <v>-2.8977061999216125E-2</v>
      </c>
      <c r="DH62" s="704">
        <f t="shared" si="82"/>
        <v>-4.9070709498669318E-2</v>
      </c>
      <c r="DI62" s="704">
        <f t="shared" si="82"/>
        <v>-4.1539262972388191E-2</v>
      </c>
      <c r="DJ62" s="705">
        <f t="shared" si="82"/>
        <v>-4.6045952191823059E-2</v>
      </c>
      <c r="DK62" s="704">
        <f t="shared" si="82"/>
        <v>-5.7079340901279974E-2</v>
      </c>
      <c r="DL62" s="704">
        <f t="shared" si="82"/>
        <v>-4.9735649099288515E-2</v>
      </c>
      <c r="DM62" s="704">
        <f t="shared" si="82"/>
        <v>-4.1678943120558642E-2</v>
      </c>
      <c r="DN62" s="704">
        <f t="shared" si="82"/>
        <v>-4.5082443201187372E-2</v>
      </c>
      <c r="DO62" s="705">
        <f t="shared" si="82"/>
        <v>-4.8460294316248986E-2</v>
      </c>
      <c r="DP62" s="704">
        <f t="shared" ref="DP62:DY63" si="83">IFERROR(AT62/AO62-1,"N/A")</f>
        <v>-3.409923551395122E-2</v>
      </c>
      <c r="DQ62" s="704">
        <f t="shared" si="83"/>
        <v>-2.9816954285532993E-2</v>
      </c>
      <c r="DR62" s="704">
        <f t="shared" si="83"/>
        <v>-4.8414128562646153E-2</v>
      </c>
      <c r="DS62" s="704">
        <f t="shared" si="83"/>
        <v>-3.8670193618285387E-2</v>
      </c>
      <c r="DT62" s="705">
        <f t="shared" si="83"/>
        <v>-3.7747730733758256E-2</v>
      </c>
      <c r="DU62" s="704">
        <f t="shared" si="83"/>
        <v>-6.3551911471623312E-2</v>
      </c>
      <c r="DV62" s="704">
        <f t="shared" si="83"/>
        <v>-5.8498720387128222E-2</v>
      </c>
      <c r="DW62" s="704">
        <f t="shared" si="83"/>
        <v>-8.025662700318803E-2</v>
      </c>
      <c r="DX62" s="704">
        <f t="shared" si="83"/>
        <v>-8.5992282818302956E-2</v>
      </c>
      <c r="DY62" s="705">
        <f t="shared" si="83"/>
        <v>-7.1980002905925322E-2</v>
      </c>
      <c r="DZ62" s="704">
        <f t="shared" ref="DZ62:EI63" si="84">IFERROR(BD62/AY62-1,"N/A")</f>
        <v>-7.5486775804979533E-2</v>
      </c>
      <c r="EA62" s="704">
        <f t="shared" si="84"/>
        <v>-8.2790694204397441E-2</v>
      </c>
      <c r="EB62" s="704">
        <f t="shared" si="84"/>
        <v>-5.6677671064657376E-2</v>
      </c>
      <c r="EC62" s="704">
        <f t="shared" si="84"/>
        <v>-5.7045560208889845E-2</v>
      </c>
      <c r="ED62" s="705">
        <f t="shared" si="84"/>
        <v>-6.8231650458823734E-2</v>
      </c>
      <c r="EE62" s="704">
        <f t="shared" si="84"/>
        <v>-8.333333333333337E-2</v>
      </c>
      <c r="EF62" s="704">
        <f t="shared" si="84"/>
        <v>-0.1365483748445564</v>
      </c>
      <c r="EG62" s="704">
        <f t="shared" si="84"/>
        <v>-0.3548672089361079</v>
      </c>
      <c r="EH62" s="704">
        <f ca="1">IFERROR(BL62/BG62-1,"N/A")</f>
        <v>-0.29522941653482149</v>
      </c>
      <c r="EI62" s="705">
        <f t="shared" ca="1" si="84"/>
        <v>-0.21639314478679561</v>
      </c>
      <c r="EJ62" s="705">
        <f t="shared" ref="EJ62:EK66" ca="1" si="85">IFERROR(BN62/BM62-1,"N/A")</f>
        <v>-0.16639523370368503</v>
      </c>
      <c r="EK62" s="705">
        <f t="shared" ca="1" si="85"/>
        <v>3.0006981352503903E-3</v>
      </c>
    </row>
    <row r="63" spans="2:141">
      <c r="B63" s="212" t="s">
        <v>91</v>
      </c>
      <c r="C63" s="314"/>
      <c r="D63" s="688"/>
      <c r="E63" s="804">
        <f>+BV63*0.49</f>
        <v>9.5868500000000001</v>
      </c>
      <c r="F63" s="804">
        <f>+BV63-E63</f>
        <v>9.9781500000000012</v>
      </c>
      <c r="G63" s="804">
        <v>10.730786809999977</v>
      </c>
      <c r="H63" s="804">
        <v>11.257213190000019</v>
      </c>
      <c r="I63" s="805">
        <f>SUM(E63:H63)</f>
        <v>41.552999999999997</v>
      </c>
      <c r="J63" s="804">
        <v>11.9</v>
      </c>
      <c r="K63" s="804">
        <v>12.6</v>
      </c>
      <c r="L63" s="804">
        <v>12.847897409999995</v>
      </c>
      <c r="M63" s="804">
        <v>13.014689900000008</v>
      </c>
      <c r="N63" s="805">
        <f>SUM(J63:M63)</f>
        <v>50.362587310000002</v>
      </c>
      <c r="O63" s="804">
        <v>13.827043660000001</v>
      </c>
      <c r="P63" s="804">
        <v>15.1</v>
      </c>
      <c r="Q63" s="804">
        <v>21.4</v>
      </c>
      <c r="R63" s="804">
        <v>27.4</v>
      </c>
      <c r="S63" s="805">
        <f>SUM(O63:R63)</f>
        <v>77.727043659999993</v>
      </c>
      <c r="T63" s="804"/>
      <c r="U63" s="804">
        <v>31.9</v>
      </c>
      <c r="V63" s="804">
        <v>33</v>
      </c>
      <c r="W63" s="804">
        <v>33.9</v>
      </c>
      <c r="X63" s="804">
        <v>35</v>
      </c>
      <c r="Y63" s="805">
        <f>SUM(U63:X63)</f>
        <v>133.80000000000001</v>
      </c>
      <c r="Z63" s="804">
        <v>35.200000000000003</v>
      </c>
      <c r="AA63" s="804">
        <v>35.725068520000008</v>
      </c>
      <c r="AB63" s="804">
        <v>36.587086020000001</v>
      </c>
      <c r="AC63" s="804">
        <v>37.299999999999997</v>
      </c>
      <c r="AD63" s="805">
        <f>SUM(Z63:AC63)</f>
        <v>144.81215453999999</v>
      </c>
      <c r="AE63" s="804">
        <v>35.1</v>
      </c>
      <c r="AF63" s="804">
        <v>34.885761370000004</v>
      </c>
      <c r="AG63" s="804">
        <v>34.550704719999992</v>
      </c>
      <c r="AH63" s="804">
        <v>34.945810060000007</v>
      </c>
      <c r="AI63" s="805">
        <f>SUM(AE63:AH63)</f>
        <v>139.48227615000002</v>
      </c>
      <c r="AJ63" s="804">
        <v>34.890583450000001</v>
      </c>
      <c r="AK63" s="804">
        <v>35.505658619999991</v>
      </c>
      <c r="AL63" s="804">
        <v>36.55217858000001</v>
      </c>
      <c r="AM63" s="804">
        <v>35.734480649999995</v>
      </c>
      <c r="AN63" s="805">
        <f>AM63+AL63+AK63+AJ63</f>
        <v>142.6829013</v>
      </c>
      <c r="AO63" s="804">
        <v>35.9</v>
      </c>
      <c r="AP63" s="804">
        <v>36.4</v>
      </c>
      <c r="AQ63" s="804">
        <v>36.700000000000003</v>
      </c>
      <c r="AR63" s="804">
        <v>37.299999999999997</v>
      </c>
      <c r="AS63" s="805">
        <f>AR63+AQ63+AP63+AO63</f>
        <v>146.30000000000001</v>
      </c>
      <c r="AT63" s="804">
        <v>37.297041499999999</v>
      </c>
      <c r="AU63" s="804">
        <v>37.558685179999991</v>
      </c>
      <c r="AV63" s="804">
        <v>37.575876399999991</v>
      </c>
      <c r="AW63" s="804">
        <v>38.428227079999999</v>
      </c>
      <c r="AX63" s="805">
        <f>AW63+AV63+AU63+AT63</f>
        <v>150.85983016</v>
      </c>
      <c r="AY63" s="804">
        <v>38.743665390000004</v>
      </c>
      <c r="AZ63" s="804">
        <v>39.336580330000004</v>
      </c>
      <c r="BA63" s="804">
        <v>39.462188670000003</v>
      </c>
      <c r="BB63" s="804">
        <v>40.000788719999981</v>
      </c>
      <c r="BC63" s="805">
        <f>BB63+BA63+AZ63+AY63</f>
        <v>157.54322310999999</v>
      </c>
      <c r="BD63" s="804">
        <v>40.799999999999997</v>
      </c>
      <c r="BE63" s="804">
        <v>41.017910769999986</v>
      </c>
      <c r="BF63" s="804">
        <v>42.455206420000032</v>
      </c>
      <c r="BG63" s="804">
        <v>43.857880809999976</v>
      </c>
      <c r="BH63" s="805">
        <f>SUM(BD63:BG63)</f>
        <v>168.13099800000001</v>
      </c>
      <c r="BI63" s="804">
        <v>45</v>
      </c>
      <c r="BJ63" s="804">
        <v>46</v>
      </c>
      <c r="BK63" s="804">
        <v>47.5</v>
      </c>
      <c r="BL63" s="1171">
        <f t="shared" ref="BL63:BL65" ca="1" si="86">BM63-BJ63-BK63-BI63</f>
        <v>48.878013351588606</v>
      </c>
      <c r="BM63" s="805">
        <f ca="1">Model!N6</f>
        <v>187.37801335158861</v>
      </c>
      <c r="BN63" s="805">
        <f ca="1">Model!O6</f>
        <v>208.40147837195119</v>
      </c>
      <c r="BO63" s="805">
        <f ca="1">Model!P6</f>
        <v>229.76209426355169</v>
      </c>
      <c r="BP63" s="636"/>
      <c r="BQ63" s="692">
        <v>35.444625358205855</v>
      </c>
      <c r="BR63" s="659">
        <f>$AR63/BQ63-1</f>
        <v>5.2345725848237823E-2</v>
      </c>
      <c r="BS63" s="573"/>
      <c r="BT63" s="659"/>
      <c r="BU63" s="218"/>
      <c r="BV63" s="218">
        <v>19.565000000000001</v>
      </c>
      <c r="BW63" s="218">
        <v>24.524000000000001</v>
      </c>
      <c r="BX63" s="218"/>
      <c r="BY63" s="218">
        <v>27</v>
      </c>
      <c r="BZ63" s="218">
        <v>32.299999999999997</v>
      </c>
      <c r="CA63" s="218">
        <v>41.552999999999997</v>
      </c>
      <c r="CB63" s="218">
        <v>50.386587310000003</v>
      </c>
      <c r="CC63" s="218">
        <f>+'Model also  old'!F91</f>
        <v>60.246208092485546</v>
      </c>
      <c r="CG63" s="313">
        <f t="shared" si="79"/>
        <v>0.2412836333102113</v>
      </c>
      <c r="CH63" s="313">
        <f t="shared" si="79"/>
        <v>0.26275912869620099</v>
      </c>
      <c r="CI63" s="313">
        <f t="shared" si="79"/>
        <v>0.19729313772472779</v>
      </c>
      <c r="CJ63" s="313">
        <f t="shared" si="79"/>
        <v>0.15612005212455116</v>
      </c>
      <c r="CK63" s="575">
        <f t="shared" si="79"/>
        <v>0.21200845450388672</v>
      </c>
      <c r="CL63" s="313">
        <f t="shared" si="79"/>
        <v>0.16193644201680679</v>
      </c>
      <c r="CM63" s="313">
        <f t="shared" si="79"/>
        <v>0.19841269841269837</v>
      </c>
      <c r="CN63" s="313">
        <f t="shared" si="79"/>
        <v>0.66564219164324778</v>
      </c>
      <c r="CO63" s="313">
        <f t="shared" si="79"/>
        <v>1.1053133198356098</v>
      </c>
      <c r="CP63" s="575">
        <f t="shared" si="79"/>
        <v>0.5433488986886601</v>
      </c>
      <c r="CQ63" s="313">
        <f t="shared" si="80"/>
        <v>1.3070730652484248</v>
      </c>
      <c r="CR63" s="313">
        <f t="shared" si="80"/>
        <v>1.185430463576159</v>
      </c>
      <c r="CS63" s="313">
        <f t="shared" si="80"/>
        <v>0.5841121495327104</v>
      </c>
      <c r="CT63" s="313">
        <f t="shared" si="80"/>
        <v>0.27737226277372273</v>
      </c>
      <c r="CU63" s="575">
        <f t="shared" si="80"/>
        <v>0.72140858187375478</v>
      </c>
      <c r="CV63" s="313">
        <f t="shared" si="81"/>
        <v>0.10344827586206917</v>
      </c>
      <c r="CW63" s="313">
        <f t="shared" si="81"/>
        <v>8.2577833939394107E-2</v>
      </c>
      <c r="CX63" s="313">
        <f t="shared" si="81"/>
        <v>7.926507433628327E-2</v>
      </c>
      <c r="CY63" s="313">
        <f t="shared" si="81"/>
        <v>6.5714285714285614E-2</v>
      </c>
      <c r="CZ63" s="575">
        <f t="shared" si="81"/>
        <v>8.2303098206277792E-2</v>
      </c>
      <c r="DA63" s="704">
        <f t="shared" si="81"/>
        <v>-2.8409090909091717E-3</v>
      </c>
      <c r="DB63" s="704">
        <f t="shared" si="81"/>
        <v>-2.3493507074174858E-2</v>
      </c>
      <c r="DC63" s="704">
        <f t="shared" si="81"/>
        <v>-5.565847192331308E-2</v>
      </c>
      <c r="DD63" s="704">
        <f t="shared" si="81"/>
        <v>-6.3115011796246456E-2</v>
      </c>
      <c r="DE63" s="705">
        <f t="shared" si="81"/>
        <v>-3.6805462959448976E-2</v>
      </c>
      <c r="DF63" s="704">
        <f t="shared" si="82"/>
        <v>-5.9662834757834293E-3</v>
      </c>
      <c r="DG63" s="704">
        <f t="shared" si="82"/>
        <v>1.7769348457822964E-2</v>
      </c>
      <c r="DH63" s="704">
        <f t="shared" si="82"/>
        <v>5.7928597295482831E-2</v>
      </c>
      <c r="DI63" s="704">
        <f t="shared" si="82"/>
        <v>2.2568387702156079E-2</v>
      </c>
      <c r="DJ63" s="705">
        <f t="shared" si="82"/>
        <v>2.2946464872411587E-2</v>
      </c>
      <c r="DK63" s="704">
        <f t="shared" si="82"/>
        <v>2.893091631576028E-2</v>
      </c>
      <c r="DL63" s="704">
        <f t="shared" si="82"/>
        <v>2.5188699907575662E-2</v>
      </c>
      <c r="DM63" s="704">
        <f t="shared" si="82"/>
        <v>4.0441206445864797E-3</v>
      </c>
      <c r="DN63" s="704">
        <f t="shared" si="82"/>
        <v>4.380976920676205E-2</v>
      </c>
      <c r="DO63" s="705">
        <f t="shared" si="82"/>
        <v>2.5350610809313556E-2</v>
      </c>
      <c r="DP63" s="704">
        <f t="shared" si="83"/>
        <v>3.8914805013927634E-2</v>
      </c>
      <c r="DQ63" s="704">
        <f t="shared" si="83"/>
        <v>3.1832010439560188E-2</v>
      </c>
      <c r="DR63" s="704">
        <f t="shared" si="83"/>
        <v>2.3865841961852485E-2</v>
      </c>
      <c r="DS63" s="704">
        <f t="shared" si="83"/>
        <v>3.0247374798927584E-2</v>
      </c>
      <c r="DT63" s="705">
        <f t="shared" si="83"/>
        <v>3.116767026657552E-2</v>
      </c>
      <c r="DU63" s="704">
        <f t="shared" si="83"/>
        <v>3.8786558714047237E-2</v>
      </c>
      <c r="DV63" s="704">
        <f t="shared" si="83"/>
        <v>4.733645870401082E-2</v>
      </c>
      <c r="DW63" s="704">
        <f t="shared" si="83"/>
        <v>5.020008714953117E-2</v>
      </c>
      <c r="DX63" s="704">
        <f t="shared" si="83"/>
        <v>4.0922045056260847E-2</v>
      </c>
      <c r="DY63" s="705">
        <f t="shared" si="83"/>
        <v>4.4302004999685174E-2</v>
      </c>
      <c r="DZ63" s="704">
        <f t="shared" si="84"/>
        <v>5.3075376046654243E-2</v>
      </c>
      <c r="EA63" s="704">
        <f t="shared" si="84"/>
        <v>4.2742160754571712E-2</v>
      </c>
      <c r="EB63" s="704">
        <f t="shared" si="84"/>
        <v>7.5845204000947408E-2</v>
      </c>
      <c r="EC63" s="704">
        <f t="shared" si="84"/>
        <v>9.642540093394425E-2</v>
      </c>
      <c r="ED63" s="705">
        <f t="shared" si="84"/>
        <v>6.7205524179275056E-2</v>
      </c>
      <c r="EE63" s="704">
        <f t="shared" si="84"/>
        <v>0.10294117647058831</v>
      </c>
      <c r="EF63" s="704">
        <f t="shared" si="84"/>
        <v>0.12146131132655968</v>
      </c>
      <c r="EG63" s="704">
        <f t="shared" si="84"/>
        <v>0.11882626432416643</v>
      </c>
      <c r="EH63" s="704">
        <f t="shared" ca="1" si="84"/>
        <v>0.11446363683956196</v>
      </c>
      <c r="EI63" s="705">
        <f t="shared" ca="1" si="84"/>
        <v>0.11447630467041292</v>
      </c>
      <c r="EJ63" s="705">
        <f t="shared" ca="1" si="85"/>
        <v>0.11219814237711545</v>
      </c>
      <c r="EK63" s="705">
        <f t="shared" ca="1" si="85"/>
        <v>0.10249742976139764</v>
      </c>
    </row>
    <row r="64" spans="2:141">
      <c r="B64" s="212" t="s">
        <v>1513</v>
      </c>
      <c r="C64" s="314"/>
      <c r="D64" s="688"/>
      <c r="E64" s="804"/>
      <c r="F64" s="804"/>
      <c r="G64" s="804"/>
      <c r="H64" s="804"/>
      <c r="I64" s="805"/>
      <c r="J64" s="804"/>
      <c r="K64" s="804"/>
      <c r="L64" s="804"/>
      <c r="M64" s="804"/>
      <c r="N64" s="805"/>
      <c r="O64" s="804"/>
      <c r="P64" s="804"/>
      <c r="Q64" s="804"/>
      <c r="R64" s="804"/>
      <c r="S64" s="805"/>
      <c r="T64" s="804"/>
      <c r="U64" s="804"/>
      <c r="V64" s="804"/>
      <c r="W64" s="804"/>
      <c r="X64" s="804"/>
      <c r="Y64" s="805"/>
      <c r="Z64" s="804"/>
      <c r="AA64" s="804"/>
      <c r="AB64" s="804"/>
      <c r="AC64" s="804"/>
      <c r="AD64" s="805"/>
      <c r="AE64" s="804"/>
      <c r="AF64" s="804"/>
      <c r="AG64" s="804"/>
      <c r="AH64" s="804"/>
      <c r="AI64" s="805">
        <v>48</v>
      </c>
      <c r="AJ64" s="804">
        <v>11.606999999999999</v>
      </c>
      <c r="AK64" s="804">
        <v>12.984999999999999</v>
      </c>
      <c r="AL64" s="804">
        <v>12.224</v>
      </c>
      <c r="AM64" s="804">
        <v>19.295999999999999</v>
      </c>
      <c r="AN64" s="805">
        <f>AM64+AL64+AK64+AJ64</f>
        <v>56.111999999999995</v>
      </c>
      <c r="AO64" s="804">
        <v>13.6</v>
      </c>
      <c r="AP64" s="804">
        <v>14.8</v>
      </c>
      <c r="AQ64" s="804">
        <v>15.3</v>
      </c>
      <c r="AR64" s="804">
        <v>18.2</v>
      </c>
      <c r="AS64" s="805">
        <f>AR64+AQ64+AP64+AO64</f>
        <v>61.9</v>
      </c>
      <c r="AT64" s="804">
        <v>18.680568119999997</v>
      </c>
      <c r="AU64" s="804">
        <v>15.05306946</v>
      </c>
      <c r="AV64" s="804">
        <v>13.409018740000008</v>
      </c>
      <c r="AW64" s="804">
        <v>3.1987176899999903</v>
      </c>
      <c r="AX64" s="805">
        <f>AW64+AV64+AU64+AT64</f>
        <v>50.341374009999996</v>
      </c>
      <c r="AY64" s="804">
        <v>10.4278718</v>
      </c>
      <c r="AZ64" s="804">
        <v>11.436752669999999</v>
      </c>
      <c r="BA64" s="804">
        <v>11.189002300000004</v>
      </c>
      <c r="BB64" s="804">
        <v>12.320141900000003</v>
      </c>
      <c r="BC64" s="805">
        <f>BB64+BA64+AZ64+AY64</f>
        <v>45.373768670000004</v>
      </c>
      <c r="BD64" s="804">
        <v>11.4</v>
      </c>
      <c r="BE64" s="804">
        <v>11.601689829999998</v>
      </c>
      <c r="BF64" s="804">
        <v>10.90991373</v>
      </c>
      <c r="BG64" s="804">
        <v>10.831201150000009</v>
      </c>
      <c r="BH64" s="805">
        <f>SUM(BD64:BG64)</f>
        <v>44.742804710000001</v>
      </c>
      <c r="BI64" s="804">
        <v>11</v>
      </c>
      <c r="BJ64" s="804">
        <v>11.3</v>
      </c>
      <c r="BK64" s="804">
        <v>11.6</v>
      </c>
      <c r="BL64" s="1171">
        <f t="shared" si="86"/>
        <v>11.290232757099993</v>
      </c>
      <c r="BM64" s="805">
        <f>Model!N7</f>
        <v>45.190232757099999</v>
      </c>
      <c r="BN64" s="805">
        <f>Model!O7</f>
        <v>45.190232757099999</v>
      </c>
      <c r="BO64" s="805">
        <f>Model!P7</f>
        <v>46.094037412242002</v>
      </c>
      <c r="BP64" s="636"/>
      <c r="BQ64" s="692"/>
      <c r="BR64" s="659"/>
      <c r="BS64" s="573"/>
      <c r="BT64" s="659"/>
      <c r="BU64" s="218"/>
      <c r="BV64" s="218"/>
      <c r="BW64" s="218"/>
      <c r="BX64" s="218"/>
      <c r="BY64" s="218"/>
      <c r="BZ64" s="218"/>
      <c r="CA64" s="218"/>
      <c r="CB64" s="218"/>
      <c r="CC64" s="218"/>
      <c r="CG64" s="313"/>
      <c r="CH64" s="313"/>
      <c r="CI64" s="313"/>
      <c r="CJ64" s="313"/>
      <c r="CK64" s="575"/>
      <c r="CL64" s="313"/>
      <c r="CM64" s="313"/>
      <c r="CN64" s="313"/>
      <c r="CO64" s="313"/>
      <c r="CP64" s="575"/>
      <c r="CQ64" s="313"/>
      <c r="CR64" s="313"/>
      <c r="CS64" s="313"/>
      <c r="CT64" s="313"/>
      <c r="CU64" s="575"/>
      <c r="CV64" s="313"/>
      <c r="CW64" s="313"/>
      <c r="CX64" s="313"/>
      <c r="CY64" s="313"/>
      <c r="CZ64" s="575"/>
      <c r="DA64" s="704"/>
      <c r="DB64" s="704"/>
      <c r="DC64" s="704"/>
      <c r="DD64" s="704"/>
      <c r="DE64" s="705"/>
      <c r="DF64" s="704"/>
      <c r="DG64" s="704"/>
      <c r="DH64" s="704"/>
      <c r="DI64" s="704"/>
      <c r="DJ64" s="705"/>
      <c r="DK64" s="704"/>
      <c r="DL64" s="704"/>
      <c r="DM64" s="704"/>
      <c r="DN64" s="704"/>
      <c r="DO64" s="705"/>
      <c r="DP64" s="704"/>
      <c r="DQ64" s="704"/>
      <c r="DR64" s="704"/>
      <c r="DS64" s="704"/>
      <c r="DT64" s="705">
        <f t="shared" ref="DT64:EI65" si="87">IFERROR(AX64/AS64-1,"N/A")</f>
        <v>-0.18673062988691447</v>
      </c>
      <c r="DU64" s="704">
        <f t="shared" si="87"/>
        <v>-0.44177972891329809</v>
      </c>
      <c r="DV64" s="704">
        <f t="shared" si="87"/>
        <v>-0.24023783319471914</v>
      </c>
      <c r="DW64" s="704">
        <f t="shared" si="87"/>
        <v>-0.16556143913629895</v>
      </c>
      <c r="DX64" s="704">
        <f t="shared" si="87"/>
        <v>2.8515877592186136</v>
      </c>
      <c r="DY64" s="705">
        <f t="shared" si="87"/>
        <v>-9.867838210004376E-2</v>
      </c>
      <c r="DZ64" s="704">
        <f t="shared" si="87"/>
        <v>9.3224026785599712E-2</v>
      </c>
      <c r="EA64" s="704">
        <f t="shared" si="87"/>
        <v>1.442167761769042E-2</v>
      </c>
      <c r="EB64" s="704">
        <f t="shared" si="87"/>
        <v>-2.4943114901317398E-2</v>
      </c>
      <c r="EC64" s="704">
        <f t="shared" si="87"/>
        <v>-0.12085418837586548</v>
      </c>
      <c r="ED64" s="705">
        <f t="shared" si="87"/>
        <v>-1.3905919179624582E-2</v>
      </c>
      <c r="EE64" s="704">
        <f t="shared" si="87"/>
        <v>-3.5087719298245612E-2</v>
      </c>
      <c r="EF64" s="704">
        <f t="shared" si="87"/>
        <v>-2.6003955839250081E-2</v>
      </c>
      <c r="EG64" s="704">
        <f t="shared" si="87"/>
        <v>6.3253137199646758E-2</v>
      </c>
      <c r="EH64" s="704">
        <f t="shared" si="87"/>
        <v>4.238048954524154E-2</v>
      </c>
      <c r="EI64" s="705">
        <f t="shared" si="87"/>
        <v>1.0000000000000009E-2</v>
      </c>
      <c r="EJ64" s="705">
        <f t="shared" si="85"/>
        <v>0</v>
      </c>
      <c r="EK64" s="705">
        <f t="shared" si="85"/>
        <v>2.0000000000000018E-2</v>
      </c>
    </row>
    <row r="65" spans="2:141">
      <c r="B65" s="212" t="s">
        <v>80</v>
      </c>
      <c r="C65" s="314"/>
      <c r="D65" s="688"/>
      <c r="E65" s="804">
        <f>+BV65*0.49</f>
        <v>4.8970599999999997</v>
      </c>
      <c r="F65" s="804">
        <f>+BV65-E65</f>
        <v>5.09694</v>
      </c>
      <c r="G65" s="804">
        <v>4.6760000000000002</v>
      </c>
      <c r="H65" s="804">
        <v>5.0179999999999989</v>
      </c>
      <c r="I65" s="805">
        <f>SUM(E65:H65)</f>
        <v>19.687999999999999</v>
      </c>
      <c r="J65" s="804">
        <v>4.9000000000000004</v>
      </c>
      <c r="K65" s="804">
        <v>4.9000000000000004</v>
      </c>
      <c r="L65" s="804">
        <v>5.202</v>
      </c>
      <c r="M65" s="804">
        <v>5.0373845199999945</v>
      </c>
      <c r="N65" s="805">
        <f>SUM(J65:M65)</f>
        <v>20.039384519999995</v>
      </c>
      <c r="O65" s="804">
        <v>5.5492235400000007</v>
      </c>
      <c r="P65" s="804">
        <v>5.5</v>
      </c>
      <c r="Q65" s="804">
        <v>6.3</v>
      </c>
      <c r="R65" s="804">
        <v>11.8</v>
      </c>
      <c r="S65" s="805">
        <f>SUM(O65:R65)</f>
        <v>29.149223540000001</v>
      </c>
      <c r="T65" s="804"/>
      <c r="U65" s="804">
        <v>17.899999999999999</v>
      </c>
      <c r="V65" s="804">
        <v>21.9</v>
      </c>
      <c r="W65" s="804">
        <v>19.899999999999999</v>
      </c>
      <c r="X65" s="804">
        <v>25.8</v>
      </c>
      <c r="Y65" s="805">
        <f>SUM(U65:X65)</f>
        <v>85.5</v>
      </c>
      <c r="Z65" s="804">
        <v>25.1</v>
      </c>
      <c r="AA65" s="804">
        <v>20.415798977846006</v>
      </c>
      <c r="AB65" s="804">
        <v>20.729772346727572</v>
      </c>
      <c r="AC65" s="804">
        <v>29.1</v>
      </c>
      <c r="AD65" s="805">
        <f>SUM(Z65:AC65)</f>
        <v>95.345571324573569</v>
      </c>
      <c r="AE65" s="804">
        <v>23.3</v>
      </c>
      <c r="AF65" s="804">
        <v>20.584690987634659</v>
      </c>
      <c r="AG65" s="804">
        <v>30.957470976371667</v>
      </c>
      <c r="AH65" s="804">
        <v>30.169875003993326</v>
      </c>
      <c r="AI65" s="805">
        <v>57</v>
      </c>
      <c r="AJ65" s="804">
        <v>12.7681873377702</v>
      </c>
      <c r="AK65" s="804">
        <v>18.4938555223058</v>
      </c>
      <c r="AL65" s="804">
        <v>15.2761305999638</v>
      </c>
      <c r="AM65" s="804">
        <v>15.721141717670399</v>
      </c>
      <c r="AN65" s="805">
        <f>AM65+AL65+AK65+AJ65</f>
        <v>62.259315177710199</v>
      </c>
      <c r="AO65" s="804">
        <v>11.6</v>
      </c>
      <c r="AP65" s="804">
        <v>12.3</v>
      </c>
      <c r="AQ65" s="804">
        <v>9.8000000000000007</v>
      </c>
      <c r="AR65" s="804">
        <v>11.3</v>
      </c>
      <c r="AS65" s="805">
        <f>AR65+AQ65+AP65+AO65</f>
        <v>45.000000000000007</v>
      </c>
      <c r="AT65" s="804">
        <v>8.8970947585008062</v>
      </c>
      <c r="AU65" s="804">
        <v>9.5685351117040582</v>
      </c>
      <c r="AV65" s="804">
        <v>9.6846759595020337</v>
      </c>
      <c r="AW65" s="804">
        <v>15.253338380709467</v>
      </c>
      <c r="AX65" s="805">
        <f>AW65+AV65+AU65+AT65</f>
        <v>43.403644210416367</v>
      </c>
      <c r="AY65" s="804">
        <v>10.358437927325255</v>
      </c>
      <c r="AZ65" s="804">
        <v>10.293509564462951</v>
      </c>
      <c r="BA65" s="804">
        <v>10.149688341489144</v>
      </c>
      <c r="BB65" s="804">
        <v>10.287589521241337</v>
      </c>
      <c r="BC65" s="805">
        <f>BB65+BA65+AZ65+AY65</f>
        <v>41.089225354518689</v>
      </c>
      <c r="BD65" s="804">
        <v>10.6</v>
      </c>
      <c r="BE65" s="804">
        <v>10.537117713968938</v>
      </c>
      <c r="BF65" s="804">
        <v>11.204113690690457</v>
      </c>
      <c r="BG65" s="804">
        <v>18.135148376187196</v>
      </c>
      <c r="BH65" s="805">
        <f>SUM(BD65:BG65)</f>
        <v>50.476379780846592</v>
      </c>
      <c r="BI65" s="804">
        <v>12.3</v>
      </c>
      <c r="BJ65" s="804">
        <v>12.3</v>
      </c>
      <c r="BK65" s="804">
        <v>13.1</v>
      </c>
      <c r="BL65" s="1171">
        <f t="shared" ca="1" si="86"/>
        <v>15.72111840404752</v>
      </c>
      <c r="BM65" s="805">
        <f ca="1">Model!N8</f>
        <v>53.421118404047526</v>
      </c>
      <c r="BN65" s="805">
        <f ca="1">Model!O8</f>
        <v>57.288307367756289</v>
      </c>
      <c r="BO65" s="805">
        <f ca="1">Model!P8</f>
        <v>63.326315046344178</v>
      </c>
      <c r="BP65" s="636"/>
      <c r="BQ65" s="692">
        <v>24.515608731352785</v>
      </c>
      <c r="BR65" s="659">
        <f>$AR65/BQ65-1</f>
        <v>-0.53906916512545999</v>
      </c>
      <c r="BS65" s="573"/>
      <c r="BT65" s="659"/>
      <c r="BU65" s="218"/>
      <c r="BV65" s="315">
        <v>9.9939999999999998</v>
      </c>
      <c r="BW65" s="315">
        <v>9.8260000000000005</v>
      </c>
      <c r="BX65" s="218"/>
      <c r="BY65" s="315">
        <v>17.899999999999999</v>
      </c>
      <c r="BZ65" s="315">
        <v>21.2</v>
      </c>
      <c r="CA65" s="315">
        <v>19.707999999999998</v>
      </c>
      <c r="CB65" s="315">
        <v>20.065384519999995</v>
      </c>
      <c r="CC65" s="315">
        <f>+'Model also  old'!F92</f>
        <v>18</v>
      </c>
      <c r="CG65" s="313">
        <f t="shared" ref="CG65:CP66" si="88">IFERROR(J65/E65-1,"N/A")</f>
        <v>6.0036021612974722E-4</v>
      </c>
      <c r="CH65" s="313">
        <f t="shared" si="88"/>
        <v>-3.86388695962675E-2</v>
      </c>
      <c r="CI65" s="313">
        <f t="shared" si="88"/>
        <v>0.11248930710008542</v>
      </c>
      <c r="CJ65" s="313">
        <f t="shared" si="88"/>
        <v>3.8629972100430177E-3</v>
      </c>
      <c r="CK65" s="575">
        <f t="shared" si="88"/>
        <v>1.7847649329540749E-2</v>
      </c>
      <c r="CL65" s="313">
        <f t="shared" si="88"/>
        <v>0.13249460000000002</v>
      </c>
      <c r="CM65" s="313">
        <f t="shared" si="88"/>
        <v>0.12244897959183665</v>
      </c>
      <c r="CN65" s="313">
        <f t="shared" si="88"/>
        <v>0.21107266435986149</v>
      </c>
      <c r="CO65" s="313">
        <f t="shared" si="88"/>
        <v>1.3424854610860666</v>
      </c>
      <c r="CP65" s="575">
        <f t="shared" si="88"/>
        <v>0.45459674726576926</v>
      </c>
      <c r="CQ65" s="313">
        <f t="shared" ref="CQ65:CU66" si="89">IFERROR(U65/O65-1,"N/A")</f>
        <v>2.2256765060864705</v>
      </c>
      <c r="CR65" s="313">
        <f t="shared" si="89"/>
        <v>2.9818181818181815</v>
      </c>
      <c r="CS65" s="313">
        <f t="shared" si="89"/>
        <v>2.1587301587301586</v>
      </c>
      <c r="CT65" s="313">
        <f t="shared" si="89"/>
        <v>1.1864406779661016</v>
      </c>
      <c r="CU65" s="575">
        <f t="shared" si="89"/>
        <v>1.9331827615467247</v>
      </c>
      <c r="CV65" s="313">
        <f t="shared" ref="CV65:DE66" si="90">IFERROR(Z65/U65-1,"N/A")</f>
        <v>0.40223463687150862</v>
      </c>
      <c r="CW65" s="313">
        <f t="shared" si="90"/>
        <v>-6.7771736171415187E-2</v>
      </c>
      <c r="CX65" s="313">
        <f t="shared" si="90"/>
        <v>4.1697102850631884E-2</v>
      </c>
      <c r="CY65" s="313">
        <f t="shared" si="90"/>
        <v>0.12790697674418605</v>
      </c>
      <c r="CZ65" s="575">
        <f t="shared" si="90"/>
        <v>0.11515288098916465</v>
      </c>
      <c r="DA65" s="704">
        <f t="shared" si="90"/>
        <v>-7.1713147410358613E-2</v>
      </c>
      <c r="DB65" s="704">
        <f t="shared" si="90"/>
        <v>8.2726132820922782E-3</v>
      </c>
      <c r="DC65" s="704">
        <f t="shared" si="90"/>
        <v>0.49338210080530165</v>
      </c>
      <c r="DD65" s="704">
        <f t="shared" si="90"/>
        <v>3.6765464054753449E-2</v>
      </c>
      <c r="DE65" s="705">
        <f t="shared" si="90"/>
        <v>-0.40217464526001223</v>
      </c>
      <c r="DF65" s="704">
        <f t="shared" ref="DF65:DO66" si="91">IFERROR(AJ65/AE65-1,"N/A")</f>
        <v>-0.45200912713432617</v>
      </c>
      <c r="DG65" s="704">
        <f t="shared" si="91"/>
        <v>-0.10157235134522224</v>
      </c>
      <c r="DH65" s="704">
        <f t="shared" si="91"/>
        <v>-0.50654462014602775</v>
      </c>
      <c r="DI65" s="704">
        <f t="shared" si="91"/>
        <v>-0.47891260021496518</v>
      </c>
      <c r="DJ65" s="705">
        <f t="shared" si="91"/>
        <v>9.2268687328249221E-2</v>
      </c>
      <c r="DK65" s="704">
        <f t="shared" si="91"/>
        <v>-9.1492026774586011E-2</v>
      </c>
      <c r="DL65" s="704">
        <f t="shared" si="91"/>
        <v>-0.3349142375874663</v>
      </c>
      <c r="DM65" s="704">
        <f t="shared" si="91"/>
        <v>-0.358476288490017</v>
      </c>
      <c r="DN65" s="704">
        <f t="shared" si="91"/>
        <v>-0.28122268707119924</v>
      </c>
      <c r="DO65" s="705">
        <f t="shared" si="91"/>
        <v>-0.2772165920625046</v>
      </c>
      <c r="DP65" s="704">
        <f t="shared" ref="DP65:DS66" si="92">IFERROR(AT65/AO65-1,"N/A")</f>
        <v>-0.23300907254303393</v>
      </c>
      <c r="DQ65" s="704">
        <f t="shared" si="92"/>
        <v>-0.22207031612162131</v>
      </c>
      <c r="DR65" s="704">
        <f t="shared" si="92"/>
        <v>-1.1767759234486475E-2</v>
      </c>
      <c r="DS65" s="704">
        <f t="shared" si="92"/>
        <v>0.34985295404508543</v>
      </c>
      <c r="DT65" s="705">
        <f t="shared" si="87"/>
        <v>-3.5474573101858642E-2</v>
      </c>
      <c r="DU65" s="704">
        <f t="shared" si="87"/>
        <v>0.16424947789031874</v>
      </c>
      <c r="DV65" s="704">
        <f t="shared" si="87"/>
        <v>7.5766503889620251E-2</v>
      </c>
      <c r="DW65" s="704">
        <f t="shared" si="87"/>
        <v>4.8015275258731505E-2</v>
      </c>
      <c r="DX65" s="704">
        <f t="shared" si="87"/>
        <v>-0.3255516094593558</v>
      </c>
      <c r="DY65" s="705">
        <f t="shared" si="87"/>
        <v>-5.332314597082255E-2</v>
      </c>
      <c r="DZ65" s="704">
        <f t="shared" si="87"/>
        <v>2.3320318601080858E-2</v>
      </c>
      <c r="EA65" s="704">
        <f t="shared" si="87"/>
        <v>2.3666189648962277E-2</v>
      </c>
      <c r="EB65" s="704">
        <f t="shared" si="87"/>
        <v>0.10388746075001265</v>
      </c>
      <c r="EC65" s="704">
        <f t="shared" si="87"/>
        <v>0.76281803805863224</v>
      </c>
      <c r="ED65" s="705">
        <f t="shared" si="87"/>
        <v>0.22845780968940987</v>
      </c>
      <c r="EE65" s="704">
        <f t="shared" si="87"/>
        <v>0.16037735849056611</v>
      </c>
      <c r="EF65" s="704">
        <f t="shared" si="87"/>
        <v>0.16730213459550036</v>
      </c>
      <c r="EG65" s="704">
        <f t="shared" si="87"/>
        <v>0.16921341229202636</v>
      </c>
      <c r="EH65" s="704">
        <f t="shared" ca="1" si="87"/>
        <v>-0.13311332899318751</v>
      </c>
      <c r="EI65" s="705">
        <f t="shared" ca="1" si="87"/>
        <v>5.8338942610110189E-2</v>
      </c>
      <c r="EJ65" s="705">
        <f t="shared" ca="1" si="85"/>
        <v>7.239064024192654E-2</v>
      </c>
      <c r="EK65" s="705">
        <f t="shared" ca="1" si="85"/>
        <v>0.10539685942940391</v>
      </c>
    </row>
    <row r="66" spans="2:141" s="7" customFormat="1">
      <c r="B66" s="7" t="s">
        <v>7</v>
      </c>
      <c r="C66" s="27"/>
      <c r="D66" s="585"/>
      <c r="E66" s="806">
        <f>+E65+E63+E62</f>
        <v>50.164239999999999</v>
      </c>
      <c r="F66" s="806">
        <f>+F65+F63+F62</f>
        <v>52.211759999999998</v>
      </c>
      <c r="G66" s="807">
        <v>51.107786809999986</v>
      </c>
      <c r="H66" s="807">
        <v>52.718213190000029</v>
      </c>
      <c r="I66" s="808">
        <f>SUM(I62:I65)</f>
        <v>206.202</v>
      </c>
      <c r="J66" s="807">
        <f>+J65+J63+J62</f>
        <v>52.400000000000006</v>
      </c>
      <c r="K66" s="807">
        <f>+K65+K63+K62</f>
        <v>53</v>
      </c>
      <c r="L66" s="807">
        <v>53.903897409999985</v>
      </c>
      <c r="M66" s="807">
        <v>53.672637200000025</v>
      </c>
      <c r="N66" s="808">
        <f>SUM(N62:N65)</f>
        <v>212.97653461000002</v>
      </c>
      <c r="O66" s="807">
        <f>+O65+O63+O62</f>
        <v>53.615176787563165</v>
      </c>
      <c r="P66" s="807">
        <f>+P65+P63+P62</f>
        <v>54.300000000000004</v>
      </c>
      <c r="Q66" s="807">
        <f>+Q65+Q63+Q62</f>
        <v>74</v>
      </c>
      <c r="R66" s="807">
        <f>+R65+R63+R62</f>
        <v>96.9</v>
      </c>
      <c r="S66" s="808">
        <f>SUM(S62:S65)</f>
        <v>278.81517678756313</v>
      </c>
      <c r="T66" s="809">
        <v>110.6</v>
      </c>
      <c r="U66" s="807">
        <f>+U65+U63+U62</f>
        <v>116.1</v>
      </c>
      <c r="V66" s="807">
        <f>+V65+V63+V62</f>
        <v>119.9</v>
      </c>
      <c r="W66" s="807">
        <f>+W65+W63+W62</f>
        <v>118.2</v>
      </c>
      <c r="X66" s="807">
        <f>+X65+X63+X62</f>
        <v>124.1</v>
      </c>
      <c r="Y66" s="808">
        <f t="shared" ref="Y66:AE66" si="93">SUM(Y62:Y65)</f>
        <v>478.3</v>
      </c>
      <c r="Z66" s="807">
        <f t="shared" si="93"/>
        <v>121</v>
      </c>
      <c r="AA66" s="807">
        <f t="shared" si="93"/>
        <v>124.36948038000001</v>
      </c>
      <c r="AB66" s="807">
        <f t="shared" si="93"/>
        <v>123.26492087999996</v>
      </c>
      <c r="AC66" s="807">
        <f t="shared" si="93"/>
        <v>128.19999999999999</v>
      </c>
      <c r="AD66" s="808">
        <f t="shared" si="93"/>
        <v>496.83440125999994</v>
      </c>
      <c r="AE66" s="807">
        <f t="shared" si="93"/>
        <v>123.39999999999999</v>
      </c>
      <c r="AF66" s="807">
        <v>116.59352496999999</v>
      </c>
      <c r="AG66" s="807">
        <f t="shared" ref="AG66:AX66" si="94">SUM(AG62:AG65)</f>
        <v>127.72728695000001</v>
      </c>
      <c r="AH66" s="807">
        <f t="shared" si="94"/>
        <v>126.62886659</v>
      </c>
      <c r="AI66" s="808">
        <f t="shared" si="94"/>
        <v>494.33764154200037</v>
      </c>
      <c r="AJ66" s="807">
        <f t="shared" si="94"/>
        <v>120.14045779999998</v>
      </c>
      <c r="AK66" s="807">
        <f t="shared" si="94"/>
        <v>126.33641969000001</v>
      </c>
      <c r="AL66" s="807">
        <f t="shared" si="94"/>
        <v>123.21828449999998</v>
      </c>
      <c r="AM66" s="807">
        <f t="shared" si="94"/>
        <v>129.70959167000001</v>
      </c>
      <c r="AN66" s="810">
        <f t="shared" si="94"/>
        <v>499.40475366000004</v>
      </c>
      <c r="AO66" s="807">
        <f t="shared" si="94"/>
        <v>118.49999999999999</v>
      </c>
      <c r="AP66" s="807">
        <f t="shared" si="94"/>
        <v>119.89999999999999</v>
      </c>
      <c r="AQ66" s="807">
        <f t="shared" si="94"/>
        <v>118.5</v>
      </c>
      <c r="AR66" s="807">
        <f t="shared" si="94"/>
        <v>123.1</v>
      </c>
      <c r="AS66" s="810">
        <f t="shared" si="94"/>
        <v>480</v>
      </c>
      <c r="AT66" s="807">
        <f t="shared" si="94"/>
        <v>120.31740826000001</v>
      </c>
      <c r="AU66" s="807">
        <f t="shared" si="94"/>
        <v>116.89861353000001</v>
      </c>
      <c r="AV66" s="807">
        <f t="shared" si="94"/>
        <v>114.62449000999999</v>
      </c>
      <c r="AW66" s="807">
        <f t="shared" si="94"/>
        <v>111.00315124999999</v>
      </c>
      <c r="AX66" s="810">
        <f t="shared" si="94"/>
        <v>462.84366304999998</v>
      </c>
      <c r="AY66" s="807">
        <f t="shared" ref="AY66:BD66" si="95">SUM(AY62:AY65)</f>
        <v>111.44918919</v>
      </c>
      <c r="AZ66" s="807">
        <f t="shared" si="95"/>
        <v>112.58421442000001</v>
      </c>
      <c r="BA66" s="807">
        <f t="shared" si="95"/>
        <v>110.42555842000002</v>
      </c>
      <c r="BB66" s="807">
        <f t="shared" si="95"/>
        <v>112.07723925999994</v>
      </c>
      <c r="BC66" s="810">
        <f t="shared" si="95"/>
        <v>446.53620129000001</v>
      </c>
      <c r="BD66" s="807">
        <f t="shared" si="95"/>
        <v>110.8</v>
      </c>
      <c r="BE66" s="807">
        <f t="shared" ref="BE66:BO66" si="96">SUM(BE62:BE65)</f>
        <v>110.40893118999998</v>
      </c>
      <c r="BF66" s="807">
        <f t="shared" si="96"/>
        <v>111.38130171000002</v>
      </c>
      <c r="BG66" s="807">
        <f t="shared" si="96"/>
        <v>119.47097866000001</v>
      </c>
      <c r="BH66" s="810">
        <f t="shared" si="96"/>
        <v>452.06121156</v>
      </c>
      <c r="BI66" s="807">
        <v>112.3</v>
      </c>
      <c r="BJ66" s="807">
        <f>SUM(BJ62:BJ65)</f>
        <v>110.39999999999999</v>
      </c>
      <c r="BK66" s="807">
        <f>SUM(BK62:BK65)</f>
        <v>102.39999999999999</v>
      </c>
      <c r="BL66" s="807">
        <f ca="1">SUM(BL62:BL65)</f>
        <v>108.76462054566302</v>
      </c>
      <c r="BM66" s="810">
        <f t="shared" ca="1" si="96"/>
        <v>433.86462054566306</v>
      </c>
      <c r="BN66" s="810">
        <f t="shared" ca="1" si="96"/>
        <v>434.14953674314324</v>
      </c>
      <c r="BO66" s="810">
        <f t="shared" ca="1" si="96"/>
        <v>462.82185958200864</v>
      </c>
      <c r="BP66" s="635"/>
      <c r="BQ66" s="892">
        <v>115.80571381212425</v>
      </c>
      <c r="BR66" s="661">
        <f>$AR66/BQ66-1</f>
        <v>6.2987273665179533E-2</v>
      </c>
      <c r="BS66" s="660">
        <v>121.2</v>
      </c>
      <c r="BT66" s="661">
        <f>$AR66/BS66-1</f>
        <v>1.5676567656765616E-2</v>
      </c>
      <c r="BU66" s="79"/>
      <c r="BV66" s="27">
        <v>102.37599999999999</v>
      </c>
      <c r="BW66" s="27">
        <v>105.398</v>
      </c>
      <c r="BX66" s="27"/>
      <c r="BY66" s="27">
        <v>204.7</v>
      </c>
      <c r="BZ66" s="27">
        <v>205.3</v>
      </c>
      <c r="CA66" s="27">
        <v>206.22200000000001</v>
      </c>
      <c r="CB66" s="27">
        <v>212.99453461000002</v>
      </c>
      <c r="CC66" s="27">
        <f>+'Model also  old'!F94</f>
        <v>222.1912219231572</v>
      </c>
      <c r="CG66" s="588">
        <f t="shared" si="88"/>
        <v>4.4568800404431563E-2</v>
      </c>
      <c r="CH66" s="588">
        <f t="shared" si="88"/>
        <v>1.509698198260323E-2</v>
      </c>
      <c r="CI66" s="588">
        <f t="shared" si="88"/>
        <v>5.4710070118960896E-2</v>
      </c>
      <c r="CJ66" s="588">
        <f t="shared" si="88"/>
        <v>1.8104255668912606E-2</v>
      </c>
      <c r="CK66" s="589">
        <f t="shared" si="88"/>
        <v>3.2853874404709993E-2</v>
      </c>
      <c r="CL66" s="588">
        <f t="shared" si="88"/>
        <v>2.3190396709220629E-2</v>
      </c>
      <c r="CM66" s="588">
        <f t="shared" si="88"/>
        <v>2.4528301886792558E-2</v>
      </c>
      <c r="CN66" s="588">
        <f t="shared" si="88"/>
        <v>0.37281353585894683</v>
      </c>
      <c r="CO66" s="588">
        <f t="shared" si="88"/>
        <v>0.80538920863758046</v>
      </c>
      <c r="CP66" s="589">
        <f t="shared" si="88"/>
        <v>0.30913566275329818</v>
      </c>
      <c r="CQ66" s="588">
        <f t="shared" si="89"/>
        <v>1.165431636270033</v>
      </c>
      <c r="CR66" s="588">
        <f t="shared" si="89"/>
        <v>1.2081031307550645</v>
      </c>
      <c r="CS66" s="588">
        <f t="shared" si="89"/>
        <v>0.59729729729729741</v>
      </c>
      <c r="CT66" s="588">
        <f t="shared" si="89"/>
        <v>0.28070175438596467</v>
      </c>
      <c r="CU66" s="589">
        <f t="shared" si="89"/>
        <v>0.71547333079515174</v>
      </c>
      <c r="CV66" s="588">
        <f t="shared" si="90"/>
        <v>4.2204995693367886E-2</v>
      </c>
      <c r="CW66" s="588">
        <f t="shared" si="90"/>
        <v>3.7276733778148552E-2</v>
      </c>
      <c r="CX66" s="588">
        <f t="shared" si="90"/>
        <v>4.285043045685244E-2</v>
      </c>
      <c r="CY66" s="588">
        <f t="shared" si="90"/>
        <v>3.3037872683319813E-2</v>
      </c>
      <c r="CZ66" s="589">
        <f t="shared" si="90"/>
        <v>3.875057758728806E-2</v>
      </c>
      <c r="DA66" s="716">
        <f t="shared" si="90"/>
        <v>1.9834710743801498E-2</v>
      </c>
      <c r="DB66" s="716">
        <f t="shared" si="90"/>
        <v>-6.2523019202470498E-2</v>
      </c>
      <c r="DC66" s="716">
        <f t="shared" si="90"/>
        <v>3.6201427284768384E-2</v>
      </c>
      <c r="DD66" s="716">
        <f t="shared" si="90"/>
        <v>-1.2255330811232312E-2</v>
      </c>
      <c r="DE66" s="717">
        <f t="shared" si="90"/>
        <v>-5.0253358295392347E-3</v>
      </c>
      <c r="DF66" s="716">
        <f t="shared" si="91"/>
        <v>-2.6414442463533305E-2</v>
      </c>
      <c r="DG66" s="716">
        <f t="shared" si="91"/>
        <v>8.3562914171322333E-2</v>
      </c>
      <c r="DH66" s="716">
        <f t="shared" si="91"/>
        <v>-3.5301794609988946E-2</v>
      </c>
      <c r="DI66" s="716">
        <f t="shared" si="91"/>
        <v>2.432877402255218E-2</v>
      </c>
      <c r="DJ66" s="717">
        <f t="shared" si="91"/>
        <v>1.0250306050321623E-2</v>
      </c>
      <c r="DK66" s="716">
        <f t="shared" si="91"/>
        <v>-1.3654499325538527E-2</v>
      </c>
      <c r="DL66" s="716">
        <f t="shared" si="91"/>
        <v>-5.0946668472903411E-2</v>
      </c>
      <c r="DM66" s="716">
        <f t="shared" si="91"/>
        <v>-3.8292080750401802E-2</v>
      </c>
      <c r="DN66" s="716">
        <f t="shared" si="91"/>
        <v>-5.0956845865460565E-2</v>
      </c>
      <c r="DO66" s="717">
        <f t="shared" si="91"/>
        <v>-3.8855764823598427E-2</v>
      </c>
      <c r="DP66" s="716">
        <f t="shared" si="92"/>
        <v>1.5336778565401055E-2</v>
      </c>
      <c r="DQ66" s="716">
        <f t="shared" si="92"/>
        <v>-2.5032414261884739E-2</v>
      </c>
      <c r="DR66" s="716">
        <f t="shared" si="92"/>
        <v>-3.2704725654008504E-2</v>
      </c>
      <c r="DS66" s="716">
        <f t="shared" si="92"/>
        <v>-9.8268470755483395E-2</v>
      </c>
      <c r="DT66" s="717">
        <f t="shared" ref="DT66:EB66" si="97">IFERROR(AX66/AS66-1,"N/A")</f>
        <v>-3.5742368645833356E-2</v>
      </c>
      <c r="DU66" s="716">
        <f t="shared" si="97"/>
        <v>-7.3706865849671788E-2</v>
      </c>
      <c r="DV66" s="716">
        <f t="shared" si="97"/>
        <v>-3.6907188030017024E-2</v>
      </c>
      <c r="DW66" s="716">
        <f t="shared" si="97"/>
        <v>-3.6632063441535467E-2</v>
      </c>
      <c r="DX66" s="716">
        <f t="shared" si="97"/>
        <v>9.6761938549014825E-3</v>
      </c>
      <c r="DY66" s="717">
        <f t="shared" si="97"/>
        <v>-3.5233196566933023E-2</v>
      </c>
      <c r="DZ66" s="716">
        <f t="shared" si="97"/>
        <v>-5.8249790305181515E-3</v>
      </c>
      <c r="EA66" s="716">
        <f t="shared" si="97"/>
        <v>-1.9321387471649021E-2</v>
      </c>
      <c r="EB66" s="716">
        <f t="shared" si="97"/>
        <v>8.6550913001939289E-3</v>
      </c>
      <c r="EC66" s="1150">
        <f>IFERROR((BG66-6)/BB66-1,"N/A")</f>
        <v>1.2435525796337998E-2</v>
      </c>
      <c r="ED66" s="717">
        <f>IFERROR(BH66/BC66-1,"N/A")</f>
        <v>1.2373039977584765E-2</v>
      </c>
      <c r="EE66" s="716">
        <f>IFERROR(BI66/BD66-1,"N/A")</f>
        <v>1.3537906137184086E-2</v>
      </c>
      <c r="EF66" s="716">
        <f>IFERROR(BJ66/BE66-1,"N/A")</f>
        <v>-8.0891916113379203E-5</v>
      </c>
      <c r="EG66" s="716">
        <f>IFERROR(BK66/BF66-1,"N/A")</f>
        <v>-8.0635632481512509E-2</v>
      </c>
      <c r="EH66" s="1150">
        <f ca="1">IFERROR((BL66-6)/BG66-1,"N/A")</f>
        <v>-0.13983612004955004</v>
      </c>
      <c r="EI66" s="717">
        <f ca="1">IFERROR(BM66/BH66-1,"N/A")</f>
        <v>-4.0252493576131143E-2</v>
      </c>
      <c r="EJ66" s="717">
        <f t="shared" ca="1" si="85"/>
        <v>6.5669377955246411E-4</v>
      </c>
      <c r="EK66" s="717">
        <f t="shared" ca="1" si="85"/>
        <v>6.6042504741468555E-2</v>
      </c>
    </row>
    <row r="67" spans="2:141" s="7" customFormat="1">
      <c r="C67" s="27"/>
      <c r="D67" s="582"/>
      <c r="E67" s="811"/>
      <c r="F67" s="811"/>
      <c r="G67" s="812"/>
      <c r="H67" s="812"/>
      <c r="I67" s="813"/>
      <c r="J67" s="812"/>
      <c r="K67" s="812"/>
      <c r="L67" s="812"/>
      <c r="M67" s="812"/>
      <c r="N67" s="813"/>
      <c r="O67" s="812"/>
      <c r="P67" s="812"/>
      <c r="Q67" s="812"/>
      <c r="R67" s="812"/>
      <c r="S67" s="813"/>
      <c r="T67" s="814"/>
      <c r="U67" s="812"/>
      <c r="V67" s="812"/>
      <c r="W67" s="812"/>
      <c r="X67" s="815"/>
      <c r="Y67" s="813"/>
      <c r="Z67" s="812"/>
      <c r="AA67" s="812"/>
      <c r="AB67" s="812"/>
      <c r="AC67" s="812"/>
      <c r="AD67" s="813"/>
      <c r="AE67" s="812"/>
      <c r="AF67" s="812"/>
      <c r="AG67" s="812"/>
      <c r="AH67" s="812"/>
      <c r="AI67" s="813"/>
      <c r="AJ67" s="812"/>
      <c r="AK67" s="812"/>
      <c r="AL67" s="812"/>
      <c r="AM67" s="812"/>
      <c r="AN67" s="813"/>
      <c r="AO67" s="812"/>
      <c r="AP67" s="812"/>
      <c r="AQ67" s="812"/>
      <c r="AR67" s="812"/>
      <c r="AS67" s="813"/>
      <c r="AT67" s="812"/>
      <c r="AU67" s="812"/>
      <c r="AV67" s="812"/>
      <c r="AW67" s="812"/>
      <c r="AX67" s="813"/>
      <c r="AY67" s="812"/>
      <c r="AZ67" s="812"/>
      <c r="BA67" s="812"/>
      <c r="BB67" s="1136"/>
      <c r="BC67" s="813"/>
      <c r="BD67" s="812"/>
      <c r="BE67" s="812"/>
      <c r="BF67" s="812"/>
      <c r="BG67" s="1136"/>
      <c r="BH67" s="813"/>
      <c r="BI67" s="812"/>
      <c r="BJ67" s="812"/>
      <c r="BK67" s="812"/>
      <c r="BL67" s="1136"/>
      <c r="BM67" s="813"/>
      <c r="BN67" s="813"/>
      <c r="BO67" s="813"/>
      <c r="BP67" s="9"/>
      <c r="BQ67" s="695"/>
      <c r="BR67" s="464"/>
      <c r="BS67" s="464"/>
      <c r="BT67" s="464"/>
      <c r="BU67" s="27"/>
      <c r="BV67" s="27"/>
      <c r="BW67" s="27"/>
      <c r="BX67" s="27"/>
      <c r="BY67" s="27"/>
      <c r="BZ67" s="27"/>
      <c r="CA67" s="27"/>
      <c r="CB67" s="27"/>
      <c r="CC67" s="27"/>
      <c r="CG67" s="588"/>
      <c r="CH67" s="588"/>
      <c r="CI67" s="588"/>
      <c r="CJ67" s="588"/>
      <c r="CK67" s="589"/>
      <c r="CL67" s="588"/>
      <c r="CM67" s="588"/>
      <c r="CN67" s="588"/>
      <c r="CO67" s="588"/>
      <c r="CP67" s="589"/>
      <c r="CQ67" s="588"/>
      <c r="CR67" s="588"/>
      <c r="CS67" s="588"/>
      <c r="CT67" s="588"/>
      <c r="CU67" s="589"/>
      <c r="CV67" s="588"/>
      <c r="CW67" s="588"/>
      <c r="CX67" s="588"/>
      <c r="CY67" s="588"/>
      <c r="CZ67" s="589"/>
      <c r="DA67" s="704"/>
      <c r="DB67" s="704"/>
      <c r="DC67" s="704"/>
      <c r="DD67" s="704"/>
      <c r="DE67" s="705"/>
      <c r="DF67" s="704"/>
      <c r="DG67" s="704"/>
      <c r="DH67" s="704"/>
      <c r="DI67" s="704"/>
      <c r="DJ67" s="707"/>
      <c r="DK67" s="704"/>
      <c r="DL67" s="704"/>
      <c r="DM67" s="704"/>
      <c r="DN67" s="704"/>
      <c r="DO67" s="707"/>
      <c r="DP67" s="704"/>
      <c r="DQ67" s="704"/>
      <c r="DR67" s="704"/>
      <c r="DS67" s="704"/>
      <c r="DT67" s="707"/>
      <c r="DU67" s="704"/>
      <c r="DV67" s="704"/>
      <c r="DW67" s="704"/>
      <c r="DX67" s="704"/>
      <c r="DY67" s="707"/>
      <c r="DZ67" s="704"/>
      <c r="EA67" s="704"/>
      <c r="EB67" s="704"/>
      <c r="EC67" s="704"/>
      <c r="ED67" s="707"/>
      <c r="EE67" s="704"/>
      <c r="EF67" s="704"/>
      <c r="EG67" s="704"/>
      <c r="EH67" s="704"/>
      <c r="EI67" s="707"/>
      <c r="EJ67" s="707"/>
      <c r="EK67" s="707"/>
    </row>
    <row r="68" spans="2:141" s="6" customFormat="1" hidden="1" outlineLevel="1">
      <c r="B68" s="6" t="s">
        <v>1483</v>
      </c>
      <c r="C68" s="34"/>
      <c r="D68" s="861"/>
      <c r="E68" s="816"/>
      <c r="F68" s="816"/>
      <c r="G68" s="816"/>
      <c r="H68" s="816"/>
      <c r="I68" s="862"/>
      <c r="J68" s="816"/>
      <c r="K68" s="816"/>
      <c r="L68" s="816"/>
      <c r="M68" s="816"/>
      <c r="N68" s="862"/>
      <c r="O68" s="816"/>
      <c r="P68" s="816"/>
      <c r="Q68" s="816"/>
      <c r="R68" s="816"/>
      <c r="S68" s="862"/>
      <c r="T68" s="819"/>
      <c r="U68" s="816"/>
      <c r="V68" s="816"/>
      <c r="W68" s="816"/>
      <c r="X68" s="863"/>
      <c r="Y68" s="862"/>
      <c r="Z68" s="816"/>
      <c r="AA68" s="816"/>
      <c r="AB68" s="816"/>
      <c r="AC68" s="816"/>
      <c r="AD68" s="862"/>
      <c r="AE68" s="816"/>
      <c r="AF68" s="816"/>
      <c r="AG68" s="816"/>
      <c r="AH68" s="816"/>
      <c r="AI68" s="862"/>
      <c r="AJ68" s="867">
        <v>5.5</v>
      </c>
      <c r="AK68" s="867">
        <v>11.8</v>
      </c>
      <c r="AL68" s="867">
        <v>7.3</v>
      </c>
      <c r="AM68" s="867">
        <v>7.1</v>
      </c>
      <c r="AN68" s="862"/>
      <c r="AO68" s="867">
        <v>3.5</v>
      </c>
      <c r="AP68" s="867">
        <f>AP66-116.4</f>
        <v>3.4999999999999858</v>
      </c>
      <c r="AQ68" s="867">
        <v>1.3</v>
      </c>
      <c r="AR68" s="867">
        <v>1.5</v>
      </c>
      <c r="AS68" s="862"/>
      <c r="AT68" s="867"/>
      <c r="AU68" s="867"/>
      <c r="AV68" s="867"/>
      <c r="AW68" s="867"/>
      <c r="AX68" s="862"/>
      <c r="AY68" s="867"/>
      <c r="AZ68" s="867"/>
      <c r="BA68" s="867"/>
      <c r="BB68" s="867"/>
      <c r="BC68" s="862"/>
      <c r="BD68" s="867"/>
      <c r="BE68" s="867"/>
      <c r="BF68" s="867"/>
      <c r="BG68" s="867"/>
      <c r="BH68" s="862"/>
      <c r="BI68" s="867"/>
      <c r="BJ68" s="867"/>
      <c r="BK68" s="867"/>
      <c r="BL68" s="867"/>
      <c r="BM68" s="862"/>
      <c r="BN68" s="862"/>
      <c r="BO68" s="862"/>
      <c r="BP68" s="63"/>
      <c r="BQ68" s="893">
        <v>1.6832288599999963</v>
      </c>
      <c r="BR68" s="659">
        <f>$AR68/BQ68-1</f>
        <v>-0.1088555836667372</v>
      </c>
      <c r="BS68" s="864"/>
      <c r="BT68" s="864"/>
      <c r="BU68" s="34"/>
      <c r="BV68" s="34"/>
      <c r="BW68" s="34"/>
      <c r="BX68" s="34"/>
      <c r="BY68" s="34"/>
      <c r="BZ68" s="34"/>
      <c r="CA68" s="34"/>
      <c r="CB68" s="34"/>
      <c r="CC68" s="34"/>
      <c r="CG68" s="865"/>
      <c r="CH68" s="865"/>
      <c r="CI68" s="865"/>
      <c r="CJ68" s="865"/>
      <c r="CK68" s="866"/>
      <c r="CL68" s="865"/>
      <c r="CM68" s="865"/>
      <c r="CN68" s="865"/>
      <c r="CO68" s="865"/>
      <c r="CP68" s="866"/>
      <c r="CQ68" s="865"/>
      <c r="CR68" s="865"/>
      <c r="CS68" s="865"/>
      <c r="CT68" s="865"/>
      <c r="CU68" s="866"/>
      <c r="CV68" s="865"/>
      <c r="CW68" s="865"/>
      <c r="CX68" s="865"/>
      <c r="CY68" s="865"/>
      <c r="CZ68" s="866"/>
      <c r="DA68" s="859"/>
      <c r="DB68" s="859"/>
      <c r="DC68" s="859"/>
      <c r="DD68" s="859"/>
      <c r="DE68" s="860"/>
      <c r="DF68" s="859"/>
      <c r="DG68" s="859"/>
      <c r="DH68" s="859"/>
      <c r="DI68" s="859"/>
      <c r="DJ68" s="860"/>
      <c r="DK68" s="859"/>
      <c r="DL68" s="859"/>
      <c r="DM68" s="859"/>
      <c r="DN68" s="859"/>
      <c r="DO68" s="860"/>
      <c r="DP68" s="859"/>
      <c r="DQ68" s="859"/>
      <c r="DR68" s="859"/>
      <c r="DS68" s="859"/>
      <c r="DT68" s="860"/>
      <c r="DU68" s="859"/>
      <c r="DV68" s="859"/>
      <c r="DW68" s="859"/>
      <c r="DX68" s="859"/>
      <c r="DY68" s="860"/>
      <c r="DZ68" s="859"/>
      <c r="EA68" s="859"/>
      <c r="EB68" s="859"/>
      <c r="EC68" s="859"/>
      <c r="ED68" s="860"/>
      <c r="EE68" s="859"/>
      <c r="EF68" s="859"/>
      <c r="EG68" s="859"/>
      <c r="EH68" s="859"/>
      <c r="EI68" s="860"/>
      <c r="EJ68" s="860"/>
      <c r="EK68" s="860"/>
    </row>
    <row r="69" spans="2:141" s="6" customFormat="1" hidden="1" outlineLevel="1">
      <c r="B69" s="6" t="s">
        <v>1484</v>
      </c>
      <c r="C69" s="34"/>
      <c r="D69" s="861"/>
      <c r="E69" s="816"/>
      <c r="F69" s="816"/>
      <c r="G69" s="816"/>
      <c r="H69" s="816"/>
      <c r="I69" s="862"/>
      <c r="J69" s="816"/>
      <c r="K69" s="816"/>
      <c r="L69" s="816"/>
      <c r="M69" s="816"/>
      <c r="N69" s="862"/>
      <c r="O69" s="816"/>
      <c r="P69" s="816"/>
      <c r="Q69" s="816"/>
      <c r="R69" s="816"/>
      <c r="S69" s="862"/>
      <c r="T69" s="819"/>
      <c r="U69" s="816"/>
      <c r="V69" s="816"/>
      <c r="W69" s="816"/>
      <c r="X69" s="863"/>
      <c r="Y69" s="862"/>
      <c r="Z69" s="816"/>
      <c r="AA69" s="816"/>
      <c r="AB69" s="816"/>
      <c r="AC69" s="816"/>
      <c r="AD69" s="862"/>
      <c r="AE69" s="816"/>
      <c r="AF69" s="816"/>
      <c r="AG69" s="816"/>
      <c r="AH69" s="816"/>
      <c r="AI69" s="862"/>
      <c r="AJ69" s="816">
        <f>AJ65-AJ68</f>
        <v>7.2681873377702004</v>
      </c>
      <c r="AK69" s="816">
        <f>AK65-AK68</f>
        <v>6.6938555223057996</v>
      </c>
      <c r="AL69" s="816">
        <f>AL65-AL68</f>
        <v>7.9761305999637999</v>
      </c>
      <c r="AM69" s="816">
        <f>AM65-AM68</f>
        <v>8.6211417176703993</v>
      </c>
      <c r="AN69" s="862"/>
      <c r="AO69" s="816">
        <f>AO65-AO68</f>
        <v>8.1</v>
      </c>
      <c r="AP69" s="816">
        <f>AP65-AP68</f>
        <v>8.8000000000000149</v>
      </c>
      <c r="AQ69" s="816">
        <f>AQ65-AQ68</f>
        <v>8.5</v>
      </c>
      <c r="AR69" s="816">
        <f>AR65-AR68</f>
        <v>9.8000000000000007</v>
      </c>
      <c r="AS69" s="862"/>
      <c r="AT69" s="816">
        <f>AT65-AT68</f>
        <v>8.8970947585008062</v>
      </c>
      <c r="AU69" s="816">
        <f>AU65-AU68</f>
        <v>9.5685351117040582</v>
      </c>
      <c r="AV69" s="816">
        <f>AV65-AV68</f>
        <v>9.6846759595020337</v>
      </c>
      <c r="AW69" s="816">
        <f>AW65-AW68</f>
        <v>15.253338380709467</v>
      </c>
      <c r="AX69" s="862"/>
      <c r="AY69" s="816">
        <f>AY65-AY68</f>
        <v>10.358437927325255</v>
      </c>
      <c r="AZ69" s="816">
        <f>AZ65-AZ68</f>
        <v>10.293509564462951</v>
      </c>
      <c r="BA69" s="816">
        <f>BA65-BA68</f>
        <v>10.149688341489144</v>
      </c>
      <c r="BB69" s="816">
        <f>BB65-BB68</f>
        <v>10.287589521241337</v>
      </c>
      <c r="BC69" s="862"/>
      <c r="BD69" s="816">
        <f>BD65-BD68</f>
        <v>10.6</v>
      </c>
      <c r="BE69" s="816">
        <f>BE65-BE68</f>
        <v>10.537117713968938</v>
      </c>
      <c r="BF69" s="816">
        <f>BF65-BF68</f>
        <v>11.204113690690457</v>
      </c>
      <c r="BG69" s="816">
        <f>BG65-BG68</f>
        <v>18.135148376187196</v>
      </c>
      <c r="BH69" s="862"/>
      <c r="BI69" s="816"/>
      <c r="BJ69" s="816"/>
      <c r="BK69" s="816"/>
      <c r="BL69" s="816"/>
      <c r="BM69" s="862"/>
      <c r="BN69" s="862"/>
      <c r="BO69" s="862"/>
      <c r="BP69" s="63"/>
      <c r="BQ69" s="893">
        <v>22.832379871352789</v>
      </c>
      <c r="BR69" s="659">
        <f>$AR69/BQ69-1</f>
        <v>-0.57078499678012917</v>
      </c>
      <c r="BS69" s="864"/>
      <c r="BT69" s="864"/>
      <c r="BU69" s="34"/>
      <c r="BV69" s="34"/>
      <c r="BW69" s="34"/>
      <c r="BX69" s="34"/>
      <c r="BY69" s="34"/>
      <c r="BZ69" s="34"/>
      <c r="CA69" s="34"/>
      <c r="CB69" s="34"/>
      <c r="CC69" s="34"/>
      <c r="CG69" s="865"/>
      <c r="CH69" s="865"/>
      <c r="CI69" s="865"/>
      <c r="CJ69" s="865"/>
      <c r="CK69" s="866"/>
      <c r="CL69" s="865"/>
      <c r="CM69" s="865"/>
      <c r="CN69" s="865"/>
      <c r="CO69" s="865"/>
      <c r="CP69" s="866"/>
      <c r="CQ69" s="865"/>
      <c r="CR69" s="865"/>
      <c r="CS69" s="865"/>
      <c r="CT69" s="865"/>
      <c r="CU69" s="866"/>
      <c r="CV69" s="865"/>
      <c r="CW69" s="865"/>
      <c r="CX69" s="865"/>
      <c r="CY69" s="865"/>
      <c r="CZ69" s="866"/>
      <c r="DA69" s="859"/>
      <c r="DB69" s="859"/>
      <c r="DC69" s="859"/>
      <c r="DD69" s="859"/>
      <c r="DE69" s="860"/>
      <c r="DF69" s="704"/>
      <c r="DG69" s="704"/>
      <c r="DH69" s="704"/>
      <c r="DI69" s="704"/>
      <c r="DJ69" s="705"/>
      <c r="DK69" s="704">
        <f t="shared" ref="DK69:EI69" si="98">IFERROR(AO69/AJ69-1,"N/A")</f>
        <v>0.11444568275052069</v>
      </c>
      <c r="DL69" s="704">
        <f t="shared" si="98"/>
        <v>0.31463847265241274</v>
      </c>
      <c r="DM69" s="704">
        <f t="shared" si="98"/>
        <v>6.5679641709800674E-2</v>
      </c>
      <c r="DN69" s="704">
        <f t="shared" si="98"/>
        <v>0.13674039018675965</v>
      </c>
      <c r="DO69" s="705" t="str">
        <f t="shared" si="98"/>
        <v>N/A</v>
      </c>
      <c r="DP69" s="704">
        <f t="shared" si="98"/>
        <v>9.8406760308741514E-2</v>
      </c>
      <c r="DQ69" s="704">
        <f t="shared" si="98"/>
        <v>8.7333535420913933E-2</v>
      </c>
      <c r="DR69" s="704">
        <f t="shared" si="98"/>
        <v>0.139373642294357</v>
      </c>
      <c r="DS69" s="704">
        <f t="shared" si="98"/>
        <v>0.55646310007239452</v>
      </c>
      <c r="DT69" s="705" t="str">
        <f t="shared" si="98"/>
        <v>N/A</v>
      </c>
      <c r="DU69" s="704">
        <f t="shared" si="98"/>
        <v>0.16424947789031874</v>
      </c>
      <c r="DV69" s="704">
        <f t="shared" si="98"/>
        <v>7.5766503889620251E-2</v>
      </c>
      <c r="DW69" s="704">
        <f t="shared" si="98"/>
        <v>4.8015275258731505E-2</v>
      </c>
      <c r="DX69" s="704">
        <f t="shared" si="98"/>
        <v>-0.3255516094593558</v>
      </c>
      <c r="DY69" s="705" t="str">
        <f t="shared" si="98"/>
        <v>N/A</v>
      </c>
      <c r="DZ69" s="704">
        <f t="shared" si="98"/>
        <v>2.3320318601080858E-2</v>
      </c>
      <c r="EA69" s="704">
        <f t="shared" si="98"/>
        <v>2.3666189648962277E-2</v>
      </c>
      <c r="EB69" s="704">
        <f t="shared" si="98"/>
        <v>0.10388746075001265</v>
      </c>
      <c r="EC69" s="704">
        <f t="shared" si="98"/>
        <v>0.76281803805863224</v>
      </c>
      <c r="ED69" s="705" t="str">
        <f t="shared" si="98"/>
        <v>N/A</v>
      </c>
      <c r="EE69" s="704">
        <f t="shared" si="98"/>
        <v>-1</v>
      </c>
      <c r="EF69" s="704">
        <f t="shared" si="98"/>
        <v>-1</v>
      </c>
      <c r="EG69" s="704">
        <f t="shared" si="98"/>
        <v>-1</v>
      </c>
      <c r="EH69" s="704">
        <f t="shared" si="98"/>
        <v>-1</v>
      </c>
      <c r="EI69" s="705" t="str">
        <f t="shared" si="98"/>
        <v>N/A</v>
      </c>
      <c r="EJ69" s="705" t="str">
        <f>IFERROR(BN69/BM69-1,"N/A")</f>
        <v>N/A</v>
      </c>
      <c r="EK69" s="705" t="str">
        <f>IFERROR(BO69/BN69-1,"N/A")</f>
        <v>N/A</v>
      </c>
    </row>
    <row r="70" spans="2:141" s="6" customFormat="1" hidden="1" outlineLevel="1">
      <c r="B70" s="19" t="s">
        <v>1487</v>
      </c>
      <c r="C70" s="34"/>
      <c r="D70" s="861"/>
      <c r="E70" s="816"/>
      <c r="F70" s="816"/>
      <c r="G70" s="816"/>
      <c r="H70" s="816"/>
      <c r="I70" s="862"/>
      <c r="J70" s="816"/>
      <c r="K70" s="816"/>
      <c r="L70" s="816"/>
      <c r="M70" s="816"/>
      <c r="N70" s="862"/>
      <c r="O70" s="816"/>
      <c r="P70" s="816"/>
      <c r="Q70" s="816"/>
      <c r="R70" s="816"/>
      <c r="S70" s="862"/>
      <c r="T70" s="819"/>
      <c r="U70" s="816"/>
      <c r="V70" s="816"/>
      <c r="W70" s="816"/>
      <c r="X70" s="863"/>
      <c r="Y70" s="862"/>
      <c r="Z70" s="816"/>
      <c r="AA70" s="816"/>
      <c r="AB70" s="816"/>
      <c r="AC70" s="816"/>
      <c r="AD70" s="862"/>
      <c r="AE70" s="816"/>
      <c r="AF70" s="816"/>
      <c r="AG70" s="816"/>
      <c r="AH70" s="816"/>
      <c r="AI70" s="862"/>
      <c r="AJ70" s="811">
        <f>AJ66-AJ68</f>
        <v>114.64045779999998</v>
      </c>
      <c r="AK70" s="811">
        <f t="shared" ref="AK70:AR70" si="99">AK66-AK68</f>
        <v>114.53641969000002</v>
      </c>
      <c r="AL70" s="811">
        <f t="shared" si="99"/>
        <v>115.91828449999998</v>
      </c>
      <c r="AM70" s="811">
        <f t="shared" si="99"/>
        <v>122.60959167000001</v>
      </c>
      <c r="AN70" s="862"/>
      <c r="AO70" s="811">
        <f t="shared" si="99"/>
        <v>114.99999999999999</v>
      </c>
      <c r="AP70" s="811">
        <f t="shared" si="99"/>
        <v>116.4</v>
      </c>
      <c r="AQ70" s="811">
        <f t="shared" si="99"/>
        <v>117.2</v>
      </c>
      <c r="AR70" s="811">
        <f t="shared" si="99"/>
        <v>121.6</v>
      </c>
      <c r="AS70" s="862"/>
      <c r="AT70" s="811">
        <f>AT66-AT68</f>
        <v>120.31740826000001</v>
      </c>
      <c r="AU70" s="811">
        <f>AU66-AU68</f>
        <v>116.89861353000001</v>
      </c>
      <c r="AV70" s="811">
        <f>AV66-AV68</f>
        <v>114.62449000999999</v>
      </c>
      <c r="AW70" s="811">
        <f>AW66-AW68</f>
        <v>111.00315124999999</v>
      </c>
      <c r="AX70" s="862"/>
      <c r="AY70" s="811">
        <f>AY66-AY68</f>
        <v>111.44918919</v>
      </c>
      <c r="AZ70" s="811">
        <f>AZ66-AZ68</f>
        <v>112.58421442000001</v>
      </c>
      <c r="BA70" s="811">
        <f>BA66-BA68</f>
        <v>110.42555842000002</v>
      </c>
      <c r="BB70" s="811">
        <f>BB66-BB68</f>
        <v>112.07723925999994</v>
      </c>
      <c r="BC70" s="862"/>
      <c r="BD70" s="811">
        <f>BD66-BD68</f>
        <v>110.8</v>
      </c>
      <c r="BE70" s="811">
        <f>BE66-BE68</f>
        <v>110.40893118999998</v>
      </c>
      <c r="BF70" s="811">
        <f>BF66-BF68</f>
        <v>111.38130171000002</v>
      </c>
      <c r="BG70" s="811">
        <f>BG66-BG68</f>
        <v>119.47097866000001</v>
      </c>
      <c r="BH70" s="862"/>
      <c r="BI70" s="811"/>
      <c r="BJ70" s="811"/>
      <c r="BK70" s="811"/>
      <c r="BL70" s="811"/>
      <c r="BM70" s="862"/>
      <c r="BN70" s="862"/>
      <c r="BO70" s="862"/>
      <c r="BP70" s="635"/>
      <c r="BQ70" s="893">
        <v>114.12248495212425</v>
      </c>
      <c r="BR70" s="659">
        <f>$AR70/BQ70-1</f>
        <v>6.5521838671955379E-2</v>
      </c>
      <c r="BS70" s="864"/>
      <c r="BT70" s="864"/>
      <c r="BU70" s="34"/>
      <c r="BV70" s="34"/>
      <c r="BW70" s="34"/>
      <c r="BX70" s="34"/>
      <c r="BY70" s="34"/>
      <c r="BZ70" s="34"/>
      <c r="CA70" s="34"/>
      <c r="CB70" s="34"/>
      <c r="CC70" s="34"/>
      <c r="CG70" s="865"/>
      <c r="CH70" s="865"/>
      <c r="CI70" s="865"/>
      <c r="CJ70" s="865"/>
      <c r="CK70" s="866"/>
      <c r="CL70" s="865"/>
      <c r="CM70" s="865"/>
      <c r="CN70" s="865"/>
      <c r="CO70" s="865"/>
      <c r="CP70" s="866"/>
      <c r="CQ70" s="865"/>
      <c r="CR70" s="865"/>
      <c r="CS70" s="865"/>
      <c r="CT70" s="865"/>
      <c r="CU70" s="866"/>
      <c r="CV70" s="865"/>
      <c r="CW70" s="865"/>
      <c r="CX70" s="865"/>
      <c r="CY70" s="865"/>
      <c r="CZ70" s="866"/>
      <c r="DA70" s="859"/>
      <c r="DB70" s="859"/>
      <c r="DC70" s="859"/>
      <c r="DD70" s="859"/>
      <c r="DE70" s="860"/>
      <c r="DF70" s="704"/>
      <c r="DG70" s="704"/>
      <c r="DH70" s="704"/>
      <c r="DI70" s="704"/>
      <c r="DJ70" s="705"/>
      <c r="DK70" s="706">
        <f>IFERROR(AO70/AJ70-1,"N/A")</f>
        <v>3.1362592831516434E-3</v>
      </c>
      <c r="DL70" s="706">
        <f>IFERROR(AP70/AK70-1,"N/A")</f>
        <v>1.6270635270806411E-2</v>
      </c>
      <c r="DM70" s="706">
        <f>IFERROR(AQ70/AL70-1,"N/A")</f>
        <v>1.105706063136247E-2</v>
      </c>
      <c r="DN70" s="706">
        <f>IFERROR(AR70/AM70-1,"N/A")</f>
        <v>-8.2341981263366337E-3</v>
      </c>
      <c r="DO70" s="705"/>
      <c r="DP70" s="706">
        <f>IFERROR(AT70/AO70-1,"N/A")</f>
        <v>4.6238332695652362E-2</v>
      </c>
      <c r="DQ70" s="706">
        <f>IFERROR(AU70/AP70-1,"N/A")</f>
        <v>4.2836213917525345E-3</v>
      </c>
      <c r="DR70" s="706">
        <f>IFERROR(AV70/AQ70-1,"N/A")</f>
        <v>-2.1975341211604271E-2</v>
      </c>
      <c r="DS70" s="706">
        <f>IFERROR(AW70/AR70-1,"N/A")</f>
        <v>-8.7145137746710621E-2</v>
      </c>
      <c r="DT70" s="705"/>
      <c r="DU70" s="706">
        <f>IFERROR(AY70/AT70-1,"N/A")</f>
        <v>-7.3706865849671788E-2</v>
      </c>
      <c r="DV70" s="706">
        <f>IFERROR(AZ70/AU70-1,"N/A")</f>
        <v>-3.6907188030017024E-2</v>
      </c>
      <c r="DW70" s="706">
        <f>IFERROR(BA70/AV70-1,"N/A")</f>
        <v>-3.6632063441535467E-2</v>
      </c>
      <c r="DX70" s="706">
        <f>IFERROR(BB70/AW70-1,"N/A")</f>
        <v>9.6761938549014825E-3</v>
      </c>
      <c r="DY70" s="705"/>
      <c r="DZ70" s="706">
        <f>IFERROR(BD70/AY70-1,"N/A")</f>
        <v>-5.8249790305181515E-3</v>
      </c>
      <c r="EA70" s="706">
        <f>IFERROR(BE70/AZ70-1,"N/A")</f>
        <v>-1.9321387471649021E-2</v>
      </c>
      <c r="EB70" s="706">
        <f>IFERROR(BF70/BA70-1,"N/A")</f>
        <v>8.6550913001939289E-3</v>
      </c>
      <c r="EC70" s="706">
        <f>IFERROR(BG70/BB70-1,"N/A")</f>
        <v>6.5970035029573326E-2</v>
      </c>
      <c r="ED70" s="705"/>
      <c r="EE70" s="706">
        <f>IFERROR(BI70/BD70-1,"N/A")</f>
        <v>-1</v>
      </c>
      <c r="EF70" s="706">
        <f>IFERROR(BJ70/BE70-1,"N/A")</f>
        <v>-1</v>
      </c>
      <c r="EG70" s="706">
        <f>IFERROR(BK70/BF70-1,"N/A")</f>
        <v>-1</v>
      </c>
      <c r="EH70" s="706">
        <f>IFERROR(BL70/BG70-1,"N/A")</f>
        <v>-1</v>
      </c>
      <c r="EI70" s="705"/>
      <c r="EJ70" s="705"/>
      <c r="EK70" s="705"/>
    </row>
    <row r="71" spans="2:141" s="7" customFormat="1" hidden="1" outlineLevel="1">
      <c r="C71" s="27"/>
      <c r="D71" s="582"/>
      <c r="E71" s="811"/>
      <c r="F71" s="811"/>
      <c r="G71" s="812"/>
      <c r="H71" s="812"/>
      <c r="I71" s="813"/>
      <c r="J71" s="812"/>
      <c r="K71" s="812"/>
      <c r="L71" s="812"/>
      <c r="M71" s="812"/>
      <c r="N71" s="813"/>
      <c r="O71" s="812"/>
      <c r="P71" s="812"/>
      <c r="Q71" s="812"/>
      <c r="R71" s="812"/>
      <c r="S71" s="813"/>
      <c r="T71" s="814"/>
      <c r="U71" s="812"/>
      <c r="V71" s="812"/>
      <c r="W71" s="812"/>
      <c r="X71" s="815"/>
      <c r="Y71" s="813"/>
      <c r="Z71" s="812"/>
      <c r="AA71" s="812"/>
      <c r="AB71" s="812"/>
      <c r="AC71" s="812"/>
      <c r="AD71" s="813"/>
      <c r="AE71" s="812"/>
      <c r="AF71" s="812"/>
      <c r="AG71" s="812"/>
      <c r="AH71" s="812"/>
      <c r="AI71" s="813"/>
      <c r="AJ71" s="812"/>
      <c r="AK71" s="812"/>
      <c r="AL71" s="812"/>
      <c r="AM71" s="812"/>
      <c r="AN71" s="813"/>
      <c r="AO71" s="812"/>
      <c r="AP71" s="812"/>
      <c r="AQ71" s="812"/>
      <c r="AR71" s="812"/>
      <c r="AS71" s="813"/>
      <c r="AT71" s="812"/>
      <c r="AU71" s="812"/>
      <c r="AV71" s="812"/>
      <c r="AW71" s="812"/>
      <c r="AX71" s="813"/>
      <c r="AY71" s="812"/>
      <c r="AZ71" s="812"/>
      <c r="BA71" s="812"/>
      <c r="BB71" s="812"/>
      <c r="BC71" s="813"/>
      <c r="BD71" s="812"/>
      <c r="BE71" s="812"/>
      <c r="BF71" s="812"/>
      <c r="BG71" s="812"/>
      <c r="BH71" s="813"/>
      <c r="BI71" s="812"/>
      <c r="BJ71" s="812"/>
      <c r="BK71" s="812"/>
      <c r="BL71" s="812"/>
      <c r="BM71" s="813"/>
      <c r="BN71" s="813"/>
      <c r="BO71" s="813"/>
      <c r="BP71" s="9"/>
      <c r="BQ71" s="695"/>
      <c r="BR71" s="659"/>
      <c r="BS71" s="464"/>
      <c r="BT71" s="464"/>
      <c r="BU71" s="27"/>
      <c r="BV71" s="27"/>
      <c r="BW71" s="27"/>
      <c r="BX71" s="27"/>
      <c r="BY71" s="27"/>
      <c r="BZ71" s="27"/>
      <c r="CA71" s="27"/>
      <c r="CB71" s="27"/>
      <c r="CC71" s="27"/>
      <c r="CG71" s="588"/>
      <c r="CH71" s="588"/>
      <c r="CI71" s="588"/>
      <c r="CJ71" s="588"/>
      <c r="CK71" s="589"/>
      <c r="CL71" s="588"/>
      <c r="CM71" s="588"/>
      <c r="CN71" s="588"/>
      <c r="CO71" s="588"/>
      <c r="CP71" s="589"/>
      <c r="CQ71" s="588"/>
      <c r="CR71" s="588"/>
      <c r="CS71" s="588"/>
      <c r="CT71" s="588"/>
      <c r="CU71" s="589"/>
      <c r="CV71" s="588"/>
      <c r="CW71" s="588"/>
      <c r="CX71" s="588"/>
      <c r="CY71" s="588"/>
      <c r="CZ71" s="589"/>
      <c r="DA71" s="704"/>
      <c r="DB71" s="704"/>
      <c r="DC71" s="704"/>
      <c r="DD71" s="704"/>
      <c r="DE71" s="705"/>
      <c r="DF71" s="704"/>
      <c r="DG71" s="704"/>
      <c r="DH71" s="704"/>
      <c r="DI71" s="704"/>
      <c r="DJ71" s="707"/>
      <c r="DK71" s="704"/>
      <c r="DL71" s="704"/>
      <c r="DM71" s="704"/>
      <c r="DN71" s="704"/>
      <c r="DO71" s="707"/>
      <c r="DP71" s="704"/>
      <c r="DQ71" s="704"/>
      <c r="DR71" s="704"/>
      <c r="DS71" s="704"/>
      <c r="DT71" s="707"/>
      <c r="DU71" s="704"/>
      <c r="DV71" s="704"/>
      <c r="DW71" s="704"/>
      <c r="DX71" s="704"/>
      <c r="DY71" s="707"/>
      <c r="DZ71" s="704"/>
      <c r="EA71" s="704"/>
      <c r="EB71" s="704"/>
      <c r="EC71" s="704"/>
      <c r="ED71" s="707"/>
      <c r="EE71" s="704"/>
      <c r="EF71" s="704"/>
      <c r="EG71" s="704"/>
      <c r="EH71" s="704"/>
      <c r="EI71" s="707"/>
      <c r="EJ71" s="707"/>
      <c r="EK71" s="707"/>
    </row>
    <row r="72" spans="2:141" collapsed="1">
      <c r="B72" s="212" t="s">
        <v>122</v>
      </c>
      <c r="C72" s="314"/>
      <c r="D72" s="688"/>
      <c r="E72" s="804">
        <f>+BV72*0.49</f>
        <v>0.98881999999999992</v>
      </c>
      <c r="F72" s="804">
        <f>+BV72-E72</f>
        <v>1.0291799999999998</v>
      </c>
      <c r="G72" s="804">
        <v>1.4707209599999995</v>
      </c>
      <c r="H72" s="804">
        <v>3.3882790400000005</v>
      </c>
      <c r="I72" s="805">
        <f>SUM(E72:H72)</f>
        <v>6.8769999999999998</v>
      </c>
      <c r="J72" s="804">
        <v>0.4</v>
      </c>
      <c r="K72" s="804">
        <v>2.4</v>
      </c>
      <c r="L72" s="804">
        <v>1.8052467599999997</v>
      </c>
      <c r="M72" s="804">
        <v>1.9742558900000002</v>
      </c>
      <c r="N72" s="805">
        <f>SUM(J72:M72)</f>
        <v>6.5795026500000002</v>
      </c>
      <c r="O72" s="804">
        <v>1.8856292699999997</v>
      </c>
      <c r="P72" s="804">
        <v>1.7</v>
      </c>
      <c r="Q72" s="804">
        <v>2.6</v>
      </c>
      <c r="R72" s="804">
        <v>6.9</v>
      </c>
      <c r="S72" s="805">
        <f>SUM(O72:R72)</f>
        <v>13.08562927</v>
      </c>
      <c r="T72" s="804"/>
      <c r="U72" s="804">
        <v>3.4</v>
      </c>
      <c r="V72" s="804">
        <v>4.5</v>
      </c>
      <c r="W72" s="804">
        <v>4.5999999999999996</v>
      </c>
      <c r="X72" s="804">
        <v>5.8</v>
      </c>
      <c r="Y72" s="805">
        <f>SUM(U72:X72)</f>
        <v>18.3</v>
      </c>
      <c r="Z72" s="804">
        <v>2.0331771399999998</v>
      </c>
      <c r="AA72" s="804">
        <v>4.4692436300000002</v>
      </c>
      <c r="AB72" s="804">
        <v>5.9828082900000004</v>
      </c>
      <c r="AC72" s="804">
        <v>5</v>
      </c>
      <c r="AD72" s="805">
        <f>SUM(Z72:AC72)</f>
        <v>17.485229060000002</v>
      </c>
      <c r="AE72" s="804">
        <v>4.3</v>
      </c>
      <c r="AF72" s="804">
        <v>5.1341004699999999</v>
      </c>
      <c r="AG72" s="804">
        <v>4.3527645599999998</v>
      </c>
      <c r="AH72" s="804">
        <v>6.9889869500000001</v>
      </c>
      <c r="AI72" s="805">
        <f>SUM(AE72:AH72)</f>
        <v>20.775851980000002</v>
      </c>
      <c r="AJ72" s="804">
        <v>5.0099375199999994</v>
      </c>
      <c r="AK72" s="804">
        <v>4.5418147599999994</v>
      </c>
      <c r="AL72" s="804">
        <v>4.9445404500000025</v>
      </c>
      <c r="AM72" s="804">
        <v>8.0951752799999994</v>
      </c>
      <c r="AN72" s="805">
        <f>AM72+AL72+AK72+AJ72</f>
        <v>22.59146801</v>
      </c>
      <c r="AO72" s="804">
        <v>4.6035414100000001</v>
      </c>
      <c r="AP72" s="804">
        <v>6.2535331300000001</v>
      </c>
      <c r="AQ72" s="804">
        <v>6.4425720300000009</v>
      </c>
      <c r="AR72" s="804">
        <v>7.3258216499999982</v>
      </c>
      <c r="AS72" s="805">
        <f>AR72+AQ72+AP72+AO72</f>
        <v>24.625468220000002</v>
      </c>
      <c r="AT72" s="804">
        <v>5</v>
      </c>
      <c r="AU72" s="804">
        <v>6</v>
      </c>
      <c r="AV72" s="804">
        <v>6.4762211599999988</v>
      </c>
      <c r="AW72" s="804">
        <v>4.8927148699999998</v>
      </c>
      <c r="AX72" s="805">
        <f>AW72+AV72+AU72+AT72</f>
        <v>22.36893603</v>
      </c>
      <c r="AY72" s="804">
        <v>5.8292560700000005</v>
      </c>
      <c r="AZ72" s="804">
        <v>5.7533146899999998</v>
      </c>
      <c r="BA72" s="804">
        <v>6.4400028600000025</v>
      </c>
      <c r="BB72" s="804">
        <v>3.5868779299999987</v>
      </c>
      <c r="BC72" s="805">
        <f>BB72+BA72+AZ72+AY72</f>
        <v>21.609451550000003</v>
      </c>
      <c r="BD72" s="804">
        <v>4.7</v>
      </c>
      <c r="BE72" s="804">
        <v>6.0324632099999995</v>
      </c>
      <c r="BF72" s="804">
        <v>5.7117438699999985</v>
      </c>
      <c r="BG72" s="804">
        <v>10.71190277</v>
      </c>
      <c r="BH72" s="805">
        <f>SUM(BD72:BG72)</f>
        <v>27.15610985</v>
      </c>
      <c r="BI72" s="804">
        <v>6.1</v>
      </c>
      <c r="BJ72" s="804">
        <v>6.6</v>
      </c>
      <c r="BK72" s="804">
        <v>5.2</v>
      </c>
      <c r="BL72" s="837">
        <f ca="1">BM72-BJ72-BI72-BK72</f>
        <v>8.1630087127101625</v>
      </c>
      <c r="BM72" s="805">
        <f ca="1">Fixed!N219</f>
        <v>26.063008712710165</v>
      </c>
      <c r="BN72" s="805">
        <f ca="1">Fixed!O219</f>
        <v>26.080124128408222</v>
      </c>
      <c r="BO72" s="805">
        <f ca="1">Fixed!P219</f>
        <v>27.802520849816709</v>
      </c>
      <c r="BP72" s="215"/>
      <c r="BQ72" s="692">
        <v>7.2804665934194617</v>
      </c>
      <c r="BR72" s="659">
        <f>$AR72/BQ72-1</f>
        <v>6.22969091315273E-3</v>
      </c>
      <c r="BS72" s="573"/>
      <c r="BT72" s="573"/>
      <c r="BU72" s="218"/>
      <c r="BV72" s="218">
        <v>2.0179999999999998</v>
      </c>
      <c r="BW72" s="218">
        <v>2.8690000000000002</v>
      </c>
      <c r="BX72" s="218"/>
      <c r="BY72" s="218">
        <v>6.7</v>
      </c>
      <c r="BZ72" s="218">
        <v>7</v>
      </c>
      <c r="CA72" s="218">
        <v>6.8769999999999998</v>
      </c>
      <c r="CB72" s="218">
        <v>6.6485026500000002</v>
      </c>
      <c r="CC72" s="218"/>
      <c r="CG72" s="313">
        <f t="shared" ref="CG72:CP74" si="100">IFERROR(J72/E72-1,"N/A")</f>
        <v>-0.59547743775409068</v>
      </c>
      <c r="CH72" s="313">
        <f t="shared" si="100"/>
        <v>1.3319535941234775</v>
      </c>
      <c r="CI72" s="313">
        <f t="shared" si="100"/>
        <v>0.22745701536748375</v>
      </c>
      <c r="CJ72" s="313">
        <f t="shared" si="100"/>
        <v>-0.41732783318814259</v>
      </c>
      <c r="CK72" s="575">
        <f t="shared" si="100"/>
        <v>-4.3259757161552947E-2</v>
      </c>
      <c r="CL72" s="313">
        <f t="shared" si="100"/>
        <v>3.7140731749999993</v>
      </c>
      <c r="CM72" s="313">
        <f t="shared" si="100"/>
        <v>-0.29166666666666663</v>
      </c>
      <c r="CN72" s="313">
        <f t="shared" si="100"/>
        <v>0.44024631845897932</v>
      </c>
      <c r="CO72" s="313">
        <f t="shared" si="100"/>
        <v>2.4949876735583651</v>
      </c>
      <c r="CP72" s="575">
        <f t="shared" si="100"/>
        <v>0.98884778471819601</v>
      </c>
      <c r="CQ72" s="313">
        <f t="shared" ref="CQ72:CU74" si="101">IFERROR(U72/O72-1,"N/A")</f>
        <v>0.80311159467735704</v>
      </c>
      <c r="CR72" s="313">
        <f t="shared" si="101"/>
        <v>1.6470588235294117</v>
      </c>
      <c r="CS72" s="313">
        <f t="shared" si="101"/>
        <v>0.76923076923076894</v>
      </c>
      <c r="CT72" s="313">
        <f t="shared" si="101"/>
        <v>-0.15942028985507251</v>
      </c>
      <c r="CU72" s="575">
        <f t="shared" si="101"/>
        <v>0.39848070141757885</v>
      </c>
      <c r="CV72" s="313">
        <f t="shared" ref="CV72:DE74" si="102">IFERROR(Z72/U72-1,"N/A")</f>
        <v>-0.4020067235294118</v>
      </c>
      <c r="CW72" s="313">
        <f t="shared" si="102"/>
        <v>-6.8347488888887975E-3</v>
      </c>
      <c r="CX72" s="313">
        <f t="shared" si="102"/>
        <v>0.30061049782608706</v>
      </c>
      <c r="CY72" s="313">
        <f t="shared" si="102"/>
        <v>-0.13793103448275856</v>
      </c>
      <c r="CZ72" s="575">
        <f t="shared" si="102"/>
        <v>-4.4523002185792304E-2</v>
      </c>
      <c r="DA72" s="704">
        <f t="shared" si="102"/>
        <v>1.1149165586231216</v>
      </c>
      <c r="DB72" s="704">
        <f t="shared" si="102"/>
        <v>0.14876272028159709</v>
      </c>
      <c r="DC72" s="704">
        <f t="shared" si="102"/>
        <v>-0.27245461512188962</v>
      </c>
      <c r="DD72" s="704">
        <f t="shared" si="102"/>
        <v>0.39779739000000003</v>
      </c>
      <c r="DE72" s="705">
        <f t="shared" si="102"/>
        <v>0.18819444164605081</v>
      </c>
      <c r="DF72" s="704">
        <f t="shared" ref="DF72:DO74" si="103">IFERROR(AJ72/AE72-1,"N/A")</f>
        <v>0.16510174883720929</v>
      </c>
      <c r="DG72" s="704">
        <f t="shared" si="103"/>
        <v>-0.11536309300156733</v>
      </c>
      <c r="DH72" s="704">
        <f t="shared" si="103"/>
        <v>0.13595403147649288</v>
      </c>
      <c r="DI72" s="704">
        <f t="shared" si="103"/>
        <v>0.15827591865799651</v>
      </c>
      <c r="DJ72" s="705">
        <f t="shared" si="103"/>
        <v>8.7390689524925902E-2</v>
      </c>
      <c r="DK72" s="704">
        <f t="shared" si="103"/>
        <v>-8.1117999651221018E-2</v>
      </c>
      <c r="DL72" s="704">
        <f t="shared" si="103"/>
        <v>0.37687982897831818</v>
      </c>
      <c r="DM72" s="704">
        <f t="shared" si="103"/>
        <v>0.3029667964390903</v>
      </c>
      <c r="DN72" s="704">
        <f t="shared" si="103"/>
        <v>-9.5038538807278417E-2</v>
      </c>
      <c r="DO72" s="705">
        <f t="shared" si="103"/>
        <v>9.0033999078752203E-2</v>
      </c>
      <c r="DP72" s="704">
        <f t="shared" ref="DP72:DY74" si="104">IFERROR(AT72/AO72-1,"N/A")</f>
        <v>8.612034837762006E-2</v>
      </c>
      <c r="DQ72" s="704">
        <f t="shared" si="104"/>
        <v>-4.0542382158931689E-2</v>
      </c>
      <c r="DR72" s="704">
        <f t="shared" si="104"/>
        <v>5.2229342323701911E-3</v>
      </c>
      <c r="DS72" s="704">
        <f t="shared" si="104"/>
        <v>-0.33212749316658552</v>
      </c>
      <c r="DT72" s="705">
        <f t="shared" si="104"/>
        <v>-9.1634082643241688E-2</v>
      </c>
      <c r="DU72" s="704">
        <f t="shared" si="104"/>
        <v>0.16585121400000014</v>
      </c>
      <c r="DV72" s="704">
        <f t="shared" si="104"/>
        <v>-4.1114218333333397E-2</v>
      </c>
      <c r="DW72" s="704">
        <f t="shared" si="104"/>
        <v>-5.5925051206862086E-3</v>
      </c>
      <c r="DX72" s="704">
        <f t="shared" si="104"/>
        <v>-0.26689414255607358</v>
      </c>
      <c r="DY72" s="705">
        <f t="shared" si="104"/>
        <v>-3.3952642136461875E-2</v>
      </c>
      <c r="DZ72" s="704">
        <f t="shared" ref="DZ72:EI74" si="105">IFERROR(BD72/AY72-1,"N/A")</f>
        <v>-0.19372215878654997</v>
      </c>
      <c r="EA72" s="704">
        <f t="shared" si="105"/>
        <v>4.8519598708062217E-2</v>
      </c>
      <c r="EB72" s="704">
        <f t="shared" si="105"/>
        <v>-0.11308364387900349</v>
      </c>
      <c r="EC72" s="704">
        <f t="shared" si="105"/>
        <v>1.9864140846298621</v>
      </c>
      <c r="ED72" s="705">
        <f t="shared" si="105"/>
        <v>0.2566774213203018</v>
      </c>
      <c r="EE72" s="704">
        <f t="shared" si="105"/>
        <v>0.2978723404255319</v>
      </c>
      <c r="EF72" s="704">
        <f t="shared" si="105"/>
        <v>9.4080439489327539E-2</v>
      </c>
      <c r="EG72" s="704">
        <f t="shared" si="105"/>
        <v>-8.9595031158145821E-2</v>
      </c>
      <c r="EH72" s="704">
        <f t="shared" ca="1" si="105"/>
        <v>-0.23794970062912901</v>
      </c>
      <c r="EI72" s="705">
        <f t="shared" ca="1" si="105"/>
        <v>-4.0252493576131143E-2</v>
      </c>
      <c r="EJ72" s="705">
        <f t="shared" ref="EJ72:EK74" ca="1" si="106">IFERROR(BN72/BM72-1,"N/A")</f>
        <v>6.5669377955246411E-4</v>
      </c>
      <c r="EK72" s="705">
        <f t="shared" ca="1" si="106"/>
        <v>6.6042504741468555E-2</v>
      </c>
    </row>
    <row r="73" spans="2:141">
      <c r="B73" s="212" t="s">
        <v>79</v>
      </c>
      <c r="C73" s="314"/>
      <c r="D73" s="688"/>
      <c r="E73" s="804">
        <f>+BV73*0.49</f>
        <v>2.0834799999999998</v>
      </c>
      <c r="F73" s="804">
        <f>+BV73-E73</f>
        <v>2.16852</v>
      </c>
      <c r="G73" s="804">
        <v>1.9718058000000067</v>
      </c>
      <c r="H73" s="804">
        <v>4.1521941999999932</v>
      </c>
      <c r="I73" s="805">
        <f>SUM(E73:H73)</f>
        <v>10.375999999999999</v>
      </c>
      <c r="J73" s="804">
        <v>2.2000000000000002</v>
      </c>
      <c r="K73" s="804">
        <v>2.6</v>
      </c>
      <c r="L73" s="804">
        <v>1.4093287899999991</v>
      </c>
      <c r="M73" s="804">
        <v>3.9356731899999975</v>
      </c>
      <c r="N73" s="805">
        <f>SUM(J73:M73)</f>
        <v>10.145001979999996</v>
      </c>
      <c r="O73" s="804">
        <v>3.4494693900000017</v>
      </c>
      <c r="P73" s="804">
        <v>6.2</v>
      </c>
      <c r="Q73" s="804">
        <v>5.4</v>
      </c>
      <c r="R73" s="804">
        <v>3.4</v>
      </c>
      <c r="S73" s="805">
        <f>SUM(O73:R73)</f>
        <v>18.449469390000001</v>
      </c>
      <c r="T73" s="804"/>
      <c r="U73" s="804">
        <v>3.3</v>
      </c>
      <c r="V73" s="804">
        <v>2.5</v>
      </c>
      <c r="W73" s="804">
        <v>5.0999999999999996</v>
      </c>
      <c r="X73" s="804">
        <v>9.4</v>
      </c>
      <c r="Y73" s="805">
        <f>SUM(U73:X73)</f>
        <v>20.299999999999997</v>
      </c>
      <c r="Z73" s="804">
        <v>4.8778638699999997</v>
      </c>
      <c r="AA73" s="804">
        <v>2.5239325500000005</v>
      </c>
      <c r="AB73" s="804">
        <v>0.46051030999999965</v>
      </c>
      <c r="AC73" s="804">
        <v>7.9</v>
      </c>
      <c r="AD73" s="805">
        <f>SUM(Z73:AC73)</f>
        <v>15.762306730000001</v>
      </c>
      <c r="AE73" s="804">
        <v>7.8</v>
      </c>
      <c r="AF73" s="804">
        <v>1.8234534700000005</v>
      </c>
      <c r="AG73" s="804">
        <v>2.1871761999999979</v>
      </c>
      <c r="AH73" s="804">
        <v>8.8457246600000001</v>
      </c>
      <c r="AI73" s="805">
        <f>SUM(AE73:AH73)</f>
        <v>20.656354329999999</v>
      </c>
      <c r="AJ73" s="804">
        <v>3.75038239</v>
      </c>
      <c r="AK73" s="804">
        <v>0.6949080000000003</v>
      </c>
      <c r="AL73" s="804">
        <v>2.3960736199999992</v>
      </c>
      <c r="AM73" s="804">
        <v>2.4360368900000013</v>
      </c>
      <c r="AN73" s="805">
        <f>AM73+AL73+AK73+AJ73</f>
        <v>9.2774009000000017</v>
      </c>
      <c r="AO73" s="804">
        <v>1.8930019299999998</v>
      </c>
      <c r="AP73" s="804">
        <v>1.9721326399999999</v>
      </c>
      <c r="AQ73" s="804">
        <v>1.3798339900000005</v>
      </c>
      <c r="AR73" s="804">
        <v>1.8588339699999987</v>
      </c>
      <c r="AS73" s="805">
        <f>AR73+AQ73+AP73+AO73</f>
        <v>7.1038025299999985</v>
      </c>
      <c r="AT73" s="804">
        <v>1.1000000000000001</v>
      </c>
      <c r="AU73" s="804">
        <v>1.9</v>
      </c>
      <c r="AV73" s="804">
        <v>3.3130137000000004</v>
      </c>
      <c r="AW73" s="804">
        <v>4.6927975399999999</v>
      </c>
      <c r="AX73" s="805">
        <f>AW73+AV73+AU73+AT73</f>
        <v>11.00581124</v>
      </c>
      <c r="AY73" s="804">
        <v>1.5323304800000002</v>
      </c>
      <c r="AZ73" s="804">
        <v>1.6167716599999999</v>
      </c>
      <c r="BA73" s="804">
        <v>1.3029938499999998</v>
      </c>
      <c r="BB73" s="804">
        <v>7.1251554400000003</v>
      </c>
      <c r="BC73" s="805">
        <f>BB73+BA73+AZ73+AY73</f>
        <v>11.57725143</v>
      </c>
      <c r="BD73" s="804">
        <v>3.6</v>
      </c>
      <c r="BE73" s="804">
        <v>2.9001463800000007</v>
      </c>
      <c r="BF73" s="804">
        <v>1.5589887399999989</v>
      </c>
      <c r="BG73" s="804">
        <v>2.0000566400000017</v>
      </c>
      <c r="BH73" s="805">
        <f>SUM(BD73:BG73)</f>
        <v>10.059191760000001</v>
      </c>
      <c r="BI73" s="804">
        <v>2.1</v>
      </c>
      <c r="BJ73" s="804">
        <v>1.6</v>
      </c>
      <c r="BK73" s="804">
        <v>7.1</v>
      </c>
      <c r="BL73" s="837">
        <f ca="1">BM73-BJ73-BI73-BK73</f>
        <v>2.2159386163698898</v>
      </c>
      <c r="BM73" s="805">
        <f ca="1">Fixed!N221</f>
        <v>13.015938616369889</v>
      </c>
      <c r="BN73" s="805">
        <f ca="1">Fixed!O221</f>
        <v>9.55128980834915</v>
      </c>
      <c r="BO73" s="805">
        <f ca="1">Fixed!P221</f>
        <v>10.182080910804189</v>
      </c>
      <c r="BP73" s="215"/>
      <c r="BQ73" s="692">
        <v>1.8454486986786911</v>
      </c>
      <c r="BR73" s="659">
        <f>$AR73/BQ73-1</f>
        <v>7.2531256658021626E-3</v>
      </c>
      <c r="BS73" s="573"/>
      <c r="BT73" s="573"/>
      <c r="BU73" s="218"/>
      <c r="BV73" s="218">
        <v>4.2519999999999998</v>
      </c>
      <c r="BW73" s="218">
        <v>4.819</v>
      </c>
      <c r="BX73" s="218"/>
      <c r="BY73" s="218">
        <v>11.3</v>
      </c>
      <c r="BZ73" s="218">
        <v>10.7</v>
      </c>
      <c r="CA73" s="218">
        <v>10.366</v>
      </c>
      <c r="CB73" s="218">
        <v>10.164001979999997</v>
      </c>
      <c r="CG73" s="313">
        <f t="shared" si="100"/>
        <v>5.5925662833336665E-2</v>
      </c>
      <c r="CH73" s="313">
        <f t="shared" si="100"/>
        <v>0.19897441573054442</v>
      </c>
      <c r="CI73" s="313">
        <f t="shared" si="100"/>
        <v>-0.28525984151177852</v>
      </c>
      <c r="CJ73" s="313">
        <f t="shared" si="100"/>
        <v>-5.2146166477472611E-2</v>
      </c>
      <c r="CK73" s="575">
        <f t="shared" si="100"/>
        <v>-2.2262723592907041E-2</v>
      </c>
      <c r="CL73" s="313">
        <f t="shared" si="100"/>
        <v>0.56794063181818255</v>
      </c>
      <c r="CM73" s="313">
        <f t="shared" si="100"/>
        <v>1.3846153846153846</v>
      </c>
      <c r="CN73" s="313">
        <f t="shared" si="100"/>
        <v>2.8316112168545167</v>
      </c>
      <c r="CO73" s="313">
        <f t="shared" si="100"/>
        <v>-0.13610713190339818</v>
      </c>
      <c r="CP73" s="575">
        <f t="shared" si="100"/>
        <v>0.81857720938562184</v>
      </c>
      <c r="CQ73" s="313">
        <f t="shared" si="101"/>
        <v>-4.3331125196620968E-2</v>
      </c>
      <c r="CR73" s="313">
        <f t="shared" si="101"/>
        <v>-0.59677419354838712</v>
      </c>
      <c r="CS73" s="313">
        <f t="shared" si="101"/>
        <v>-5.5555555555555691E-2</v>
      </c>
      <c r="CT73" s="313">
        <f t="shared" si="101"/>
        <v>1.7647058823529416</v>
      </c>
      <c r="CU73" s="575">
        <f t="shared" si="101"/>
        <v>0.10030264669850197</v>
      </c>
      <c r="CV73" s="313">
        <f t="shared" si="102"/>
        <v>0.47814056666666671</v>
      </c>
      <c r="CW73" s="313">
        <f t="shared" si="102"/>
        <v>9.5730200000001542E-3</v>
      </c>
      <c r="CX73" s="313">
        <f t="shared" si="102"/>
        <v>-0.90970386078431376</v>
      </c>
      <c r="CY73" s="313">
        <f t="shared" si="102"/>
        <v>-0.15957446808510634</v>
      </c>
      <c r="CZ73" s="575">
        <f t="shared" si="102"/>
        <v>-0.22353168817733982</v>
      </c>
      <c r="DA73" s="704">
        <f t="shared" si="102"/>
        <v>0.59906061503106289</v>
      </c>
      <c r="DB73" s="704">
        <f t="shared" si="102"/>
        <v>-0.27753478594346748</v>
      </c>
      <c r="DC73" s="704">
        <f t="shared" si="102"/>
        <v>3.749461961014509</v>
      </c>
      <c r="DD73" s="704">
        <f t="shared" si="102"/>
        <v>0.1197119822784809</v>
      </c>
      <c r="DE73" s="705">
        <f t="shared" si="102"/>
        <v>0.31049056992941781</v>
      </c>
      <c r="DF73" s="704">
        <f t="shared" si="103"/>
        <v>-0.5191817448717948</v>
      </c>
      <c r="DG73" s="704">
        <f t="shared" si="103"/>
        <v>-0.61890554849200508</v>
      </c>
      <c r="DH73" s="704">
        <f t="shared" si="103"/>
        <v>9.5510101106623946E-2</v>
      </c>
      <c r="DI73" s="704">
        <f t="shared" si="103"/>
        <v>-0.72460855569972016</v>
      </c>
      <c r="DJ73" s="705">
        <f t="shared" si="103"/>
        <v>-0.55086939583883476</v>
      </c>
      <c r="DK73" s="704">
        <f t="shared" si="103"/>
        <v>-0.49525095492995852</v>
      </c>
      <c r="DL73" s="704">
        <f t="shared" si="103"/>
        <v>1.8379765954629952</v>
      </c>
      <c r="DM73" s="704">
        <f t="shared" si="103"/>
        <v>-0.42412704748195473</v>
      </c>
      <c r="DN73" s="704">
        <f t="shared" si="103"/>
        <v>-0.23694342329930906</v>
      </c>
      <c r="DO73" s="705">
        <f t="shared" si="103"/>
        <v>-0.23428958103987974</v>
      </c>
      <c r="DP73" s="704">
        <f t="shared" si="104"/>
        <v>-0.4189123726883891</v>
      </c>
      <c r="DQ73" s="704">
        <f t="shared" si="104"/>
        <v>-3.6575957690148098E-2</v>
      </c>
      <c r="DR73" s="704">
        <f t="shared" si="104"/>
        <v>1.4010234013730876</v>
      </c>
      <c r="DS73" s="704">
        <f t="shared" si="104"/>
        <v>1.524592091460435</v>
      </c>
      <c r="DT73" s="705">
        <f t="shared" si="104"/>
        <v>0.54928451255809363</v>
      </c>
      <c r="DU73" s="704">
        <f t="shared" si="104"/>
        <v>0.39302770909090912</v>
      </c>
      <c r="DV73" s="704">
        <f t="shared" si="104"/>
        <v>-0.14906754736842109</v>
      </c>
      <c r="DW73" s="704">
        <f t="shared" si="104"/>
        <v>-0.60670435802906586</v>
      </c>
      <c r="DX73" s="704">
        <f t="shared" si="104"/>
        <v>0.51831724664601664</v>
      </c>
      <c r="DY73" s="705">
        <f t="shared" si="104"/>
        <v>5.1921678242411895E-2</v>
      </c>
      <c r="DZ73" s="704">
        <f t="shared" si="105"/>
        <v>1.3493626518477919</v>
      </c>
      <c r="EA73" s="704">
        <f t="shared" si="105"/>
        <v>0.79378848092871745</v>
      </c>
      <c r="EB73" s="704">
        <f t="shared" si="105"/>
        <v>0.1964666909210655</v>
      </c>
      <c r="EC73" s="704">
        <f t="shared" si="105"/>
        <v>-0.7192964200090487</v>
      </c>
      <c r="ED73" s="705">
        <f t="shared" si="105"/>
        <v>-0.13112435876327855</v>
      </c>
      <c r="EE73" s="704">
        <f t="shared" si="105"/>
        <v>-0.41666666666666663</v>
      </c>
      <c r="EF73" s="704">
        <f t="shared" si="105"/>
        <v>-0.44830370941483311</v>
      </c>
      <c r="EG73" s="704">
        <f t="shared" si="105"/>
        <v>3.5542343044761218</v>
      </c>
      <c r="EH73" s="704">
        <f t="shared" ca="1" si="105"/>
        <v>0.10793793138272711</v>
      </c>
      <c r="EI73" s="705">
        <f t="shared" ca="1" si="105"/>
        <v>0.29393483362423622</v>
      </c>
      <c r="EJ73" s="705">
        <f t="shared" ca="1" si="106"/>
        <v>-0.26618509122832823</v>
      </c>
      <c r="EK73" s="705">
        <f t="shared" ca="1" si="106"/>
        <v>6.6042504741468555E-2</v>
      </c>
    </row>
    <row r="74" spans="2:141">
      <c r="B74" s="7" t="s">
        <v>123</v>
      </c>
      <c r="C74" s="27"/>
      <c r="D74" s="585"/>
      <c r="E74" s="807">
        <f>+E66+E72+E73</f>
        <v>53.236539999999998</v>
      </c>
      <c r="F74" s="807">
        <f>+F66+F72+F73</f>
        <v>55.409459999999996</v>
      </c>
      <c r="G74" s="807">
        <v>54.550313569999993</v>
      </c>
      <c r="H74" s="807">
        <v>60.25868643000004</v>
      </c>
      <c r="I74" s="808">
        <f>SUM(I66:I73)</f>
        <v>223.45500000000001</v>
      </c>
      <c r="J74" s="807">
        <f>+J66+J72+J73</f>
        <v>55.000000000000007</v>
      </c>
      <c r="K74" s="807">
        <f>+K66+K72+K73</f>
        <v>58</v>
      </c>
      <c r="L74" s="807">
        <v>57.118472959999984</v>
      </c>
      <c r="M74" s="807">
        <v>59.582566280000037</v>
      </c>
      <c r="N74" s="808">
        <f>SUM(N66:N73)</f>
        <v>229.70103924</v>
      </c>
      <c r="O74" s="807">
        <f>+O66+O72+O73</f>
        <v>58.950275447563172</v>
      </c>
      <c r="P74" s="807">
        <f>+P66+P72+P73</f>
        <v>62.20000000000001</v>
      </c>
      <c r="Q74" s="807">
        <f>+Q66+Q72+Q73</f>
        <v>82</v>
      </c>
      <c r="R74" s="807">
        <f>+R66+R72+R73</f>
        <v>107.20000000000002</v>
      </c>
      <c r="S74" s="808">
        <f>SUM(S66:S73)</f>
        <v>310.35027544756315</v>
      </c>
      <c r="T74" s="809">
        <v>119.9</v>
      </c>
      <c r="U74" s="807">
        <f>+U66+U72+U73</f>
        <v>122.8</v>
      </c>
      <c r="V74" s="807">
        <f>+V66+V72+V73</f>
        <v>126.9</v>
      </c>
      <c r="W74" s="807">
        <f>+W66+W72+W73</f>
        <v>127.89999999999999</v>
      </c>
      <c r="X74" s="807">
        <f>+X66+X72+X73</f>
        <v>139.30000000000001</v>
      </c>
      <c r="Y74" s="808">
        <f>SUM(Y66:Y73)</f>
        <v>516.9</v>
      </c>
      <c r="Z74" s="807">
        <f>+Z66+Z72+Z73</f>
        <v>127.91104101000001</v>
      </c>
      <c r="AA74" s="807">
        <f>+AA66+AA72+AA73</f>
        <v>131.36265656000003</v>
      </c>
      <c r="AB74" s="807">
        <f>+AB66+AB72+AB73</f>
        <v>129.70823947999995</v>
      </c>
      <c r="AC74" s="807">
        <f>+AC66+AC72+AC73</f>
        <v>141.1</v>
      </c>
      <c r="AD74" s="808">
        <f>SUM(AD66:AD73)</f>
        <v>530.08193704999996</v>
      </c>
      <c r="AE74" s="807">
        <f>+AE66+AE72+AE73</f>
        <v>135.5</v>
      </c>
      <c r="AF74" s="807">
        <f>+AF66+AF72+AF73</f>
        <v>123.55107891</v>
      </c>
      <c r="AG74" s="807">
        <f>+AG66+AG72+AG73</f>
        <v>134.26722771000001</v>
      </c>
      <c r="AH74" s="807">
        <f>+AH66+AH72+AH73</f>
        <v>142.4635782</v>
      </c>
      <c r="AI74" s="808">
        <f>SUM(AI66:AI73)</f>
        <v>535.76984785200034</v>
      </c>
      <c r="AJ74" s="807">
        <f>+AJ66+AJ72+AJ73</f>
        <v>128.90077770999997</v>
      </c>
      <c r="AK74" s="807">
        <f>+AK66+AK72+AK73</f>
        <v>131.57314245000001</v>
      </c>
      <c r="AL74" s="807">
        <f>+AL66+AL72+AL73</f>
        <v>130.55889857</v>
      </c>
      <c r="AM74" s="807">
        <f>+AM66+AM72+AM73</f>
        <v>140.24080384000001</v>
      </c>
      <c r="AN74" s="808">
        <f>AN66+AN72+AN73</f>
        <v>531.27362257000004</v>
      </c>
      <c r="AO74" s="807">
        <f>+AO66+AO72+AO73</f>
        <v>124.99654333999999</v>
      </c>
      <c r="AP74" s="807">
        <f>+AP66+AP72+AP73</f>
        <v>128.12566576999998</v>
      </c>
      <c r="AQ74" s="807">
        <f>+AQ66+AQ72+AQ73</f>
        <v>126.32240602</v>
      </c>
      <c r="AR74" s="807">
        <f>+AR66+AR72+AR73</f>
        <v>132.28465562</v>
      </c>
      <c r="AS74" s="808">
        <f>AS66+AS72+AS73</f>
        <v>511.72927075000001</v>
      </c>
      <c r="AT74" s="807">
        <f>+AT66+AT72+AT73</f>
        <v>126.41740826</v>
      </c>
      <c r="AU74" s="807">
        <f>+AU66+AU72+AU73</f>
        <v>124.79861353000001</v>
      </c>
      <c r="AV74" s="807">
        <f>+AV66+AV72+AV73</f>
        <v>124.41372486999998</v>
      </c>
      <c r="AW74" s="807">
        <f>+AW66+AW72+AW73</f>
        <v>120.58866365999999</v>
      </c>
      <c r="AX74" s="808">
        <f>AX66+AX72+AX73</f>
        <v>496.21841031999998</v>
      </c>
      <c r="AY74" s="807">
        <f>+AY66+AY72+AY73</f>
        <v>118.81077574</v>
      </c>
      <c r="AZ74" s="807">
        <f>+AZ66+AZ72+AZ73</f>
        <v>119.95430077</v>
      </c>
      <c r="BA74" s="807">
        <f>+BA66+BA72+BA73</f>
        <v>118.16855513000002</v>
      </c>
      <c r="BB74" s="807">
        <f>+BB66+BB72+BB73</f>
        <v>122.78927262999994</v>
      </c>
      <c r="BC74" s="808">
        <f>BC66+BC72+BC73</f>
        <v>479.72290427000002</v>
      </c>
      <c r="BD74" s="807">
        <f>+BD66+BD72+BD73</f>
        <v>119.1</v>
      </c>
      <c r="BE74" s="807">
        <f>+BE66+BE72+BE73</f>
        <v>119.34154077999997</v>
      </c>
      <c r="BF74" s="807">
        <f>+BF66+BF72+BF73</f>
        <v>118.65203432000001</v>
      </c>
      <c r="BG74" s="807">
        <f>+BG66+BG72+BG73</f>
        <v>132.18293807000001</v>
      </c>
      <c r="BH74" s="808">
        <f>BH66+BH72+BH73</f>
        <v>489.27651316999999</v>
      </c>
      <c r="BI74" s="807">
        <f>+BI66+BI72+BI73</f>
        <v>120.49999999999999</v>
      </c>
      <c r="BJ74" s="807">
        <f>+BJ66+BJ72+BJ73</f>
        <v>118.59999999999998</v>
      </c>
      <c r="BK74" s="807">
        <f>+BK66+BK72+BK73</f>
        <v>114.69999999999999</v>
      </c>
      <c r="BL74" s="807">
        <f ca="1">+BL66+BL72+BL73</f>
        <v>119.14356787474307</v>
      </c>
      <c r="BM74" s="808">
        <f ca="1">BM66+BM72+BM73</f>
        <v>472.94356787474311</v>
      </c>
      <c r="BN74" s="808">
        <f ca="1">BN66+BN72+BN73</f>
        <v>469.78095067990063</v>
      </c>
      <c r="BO74" s="808">
        <f ca="1">BO66+BO72+BO73</f>
        <v>500.80646134262952</v>
      </c>
      <c r="BP74" s="9"/>
      <c r="BQ74" s="695">
        <v>124.93162910422241</v>
      </c>
      <c r="BR74" s="662">
        <f>$AR74/BQ74-1</f>
        <v>5.8856404647084526E-2</v>
      </c>
      <c r="BS74" s="464"/>
      <c r="BT74" s="464"/>
      <c r="BU74" s="27"/>
      <c r="BV74" s="27">
        <v>108.64599999999999</v>
      </c>
      <c r="BW74" s="27">
        <v>113.086</v>
      </c>
      <c r="BX74" s="27"/>
      <c r="BY74" s="27">
        <v>222.6</v>
      </c>
      <c r="BZ74" s="27">
        <v>223</v>
      </c>
      <c r="CA74" s="27">
        <v>223.46500000000003</v>
      </c>
      <c r="CB74" s="27">
        <v>229.80703924000002</v>
      </c>
      <c r="CC74" s="7"/>
      <c r="CD74" s="7"/>
      <c r="CE74" s="7"/>
      <c r="CF74" s="7"/>
      <c r="CG74" s="588">
        <f t="shared" si="100"/>
        <v>3.3124992721164981E-2</v>
      </c>
      <c r="CH74" s="588">
        <f t="shared" si="100"/>
        <v>4.675266642194309E-2</v>
      </c>
      <c r="CI74" s="588">
        <f t="shared" si="100"/>
        <v>4.7078728277234916E-2</v>
      </c>
      <c r="CJ74" s="588">
        <f t="shared" si="100"/>
        <v>-1.1220293538682147E-2</v>
      </c>
      <c r="CK74" s="589">
        <f t="shared" si="100"/>
        <v>2.7952112237363158E-2</v>
      </c>
      <c r="CL74" s="588">
        <f t="shared" si="100"/>
        <v>7.1823189955693811E-2</v>
      </c>
      <c r="CM74" s="588">
        <f t="shared" si="100"/>
        <v>7.2413793103448532E-2</v>
      </c>
      <c r="CN74" s="588">
        <f t="shared" si="100"/>
        <v>0.43561260920656131</v>
      </c>
      <c r="CO74" s="588">
        <f t="shared" si="100"/>
        <v>0.79918400117625743</v>
      </c>
      <c r="CP74" s="589">
        <f t="shared" si="100"/>
        <v>0.35110522997372207</v>
      </c>
      <c r="CQ74" s="588">
        <f t="shared" si="101"/>
        <v>1.0831115557590865</v>
      </c>
      <c r="CR74" s="588">
        <f t="shared" si="101"/>
        <v>1.040192926045016</v>
      </c>
      <c r="CS74" s="588">
        <f t="shared" si="101"/>
        <v>0.55975609756097544</v>
      </c>
      <c r="CT74" s="588">
        <f t="shared" si="101"/>
        <v>0.29944029850746268</v>
      </c>
      <c r="CU74" s="589">
        <f t="shared" si="101"/>
        <v>0.66553742945633543</v>
      </c>
      <c r="CV74" s="588">
        <f t="shared" si="102"/>
        <v>4.1620855130293233E-2</v>
      </c>
      <c r="CW74" s="588">
        <f t="shared" si="102"/>
        <v>3.516671836091434E-2</v>
      </c>
      <c r="CX74" s="588">
        <f t="shared" si="102"/>
        <v>1.4137916184518762E-2</v>
      </c>
      <c r="CY74" s="588">
        <f t="shared" si="102"/>
        <v>1.2921751615218913E-2</v>
      </c>
      <c r="CZ74" s="589">
        <f t="shared" si="102"/>
        <v>2.5501909556974178E-2</v>
      </c>
      <c r="DA74" s="716">
        <f t="shared" si="102"/>
        <v>5.9329975974526716E-2</v>
      </c>
      <c r="DB74" s="716">
        <f t="shared" si="102"/>
        <v>-5.9465740527499755E-2</v>
      </c>
      <c r="DC74" s="716">
        <f t="shared" si="102"/>
        <v>3.5148023350536794E-2</v>
      </c>
      <c r="DD74" s="716">
        <f t="shared" si="102"/>
        <v>9.6639135364990914E-3</v>
      </c>
      <c r="DE74" s="717">
        <f t="shared" si="102"/>
        <v>1.0730248296432432E-2</v>
      </c>
      <c r="DF74" s="716">
        <f t="shared" si="103"/>
        <v>-4.870274752767545E-2</v>
      </c>
      <c r="DG74" s="716">
        <f t="shared" si="103"/>
        <v>6.492912575732035E-2</v>
      </c>
      <c r="DH74" s="716">
        <f t="shared" si="103"/>
        <v>-2.7619019199603412E-2</v>
      </c>
      <c r="DI74" s="716">
        <f t="shared" si="103"/>
        <v>-1.5602404404580605E-2</v>
      </c>
      <c r="DJ74" s="717">
        <f t="shared" si="103"/>
        <v>-8.392083466485678E-3</v>
      </c>
      <c r="DK74" s="716">
        <f t="shared" si="103"/>
        <v>-3.0288679706678701E-2</v>
      </c>
      <c r="DL74" s="716">
        <f t="shared" si="103"/>
        <v>-2.6201978730652553E-2</v>
      </c>
      <c r="DM74" s="716">
        <f t="shared" si="103"/>
        <v>-3.2448899281488419E-2</v>
      </c>
      <c r="DN74" s="716">
        <f t="shared" si="103"/>
        <v>-5.673204946170407E-2</v>
      </c>
      <c r="DO74" s="717">
        <f t="shared" si="103"/>
        <v>-3.6787732327939748E-2</v>
      </c>
      <c r="DP74" s="716">
        <f t="shared" si="104"/>
        <v>1.1367233701296442E-2</v>
      </c>
      <c r="DQ74" s="716">
        <f t="shared" si="104"/>
        <v>-2.5967102063472636E-2</v>
      </c>
      <c r="DR74" s="716">
        <f t="shared" si="104"/>
        <v>-1.5109600981617066E-2</v>
      </c>
      <c r="DS74" s="716">
        <f t="shared" si="104"/>
        <v>-8.8415333624164427E-2</v>
      </c>
      <c r="DT74" s="717">
        <f t="shared" si="104"/>
        <v>-3.0310676595198482E-2</v>
      </c>
      <c r="DU74" s="716">
        <f t="shared" si="104"/>
        <v>-6.0170767813524595E-2</v>
      </c>
      <c r="DV74" s="716">
        <f t="shared" si="104"/>
        <v>-3.8817039893119465E-2</v>
      </c>
      <c r="DW74" s="716">
        <f t="shared" si="104"/>
        <v>-5.0196790961170468E-2</v>
      </c>
      <c r="DX74" s="716">
        <f t="shared" si="104"/>
        <v>1.8248887608578013E-2</v>
      </c>
      <c r="DY74" s="717">
        <f t="shared" si="104"/>
        <v>-3.3242430564723313E-2</v>
      </c>
      <c r="DZ74" s="716">
        <f t="shared" si="105"/>
        <v>2.4343268377686744E-3</v>
      </c>
      <c r="EA74" s="716">
        <f t="shared" si="105"/>
        <v>-5.1082786199965202E-3</v>
      </c>
      <c r="EB74" s="716">
        <f t="shared" si="105"/>
        <v>4.0914369264151151E-3</v>
      </c>
      <c r="EC74" s="716">
        <f t="shared" si="105"/>
        <v>7.6502329876209307E-2</v>
      </c>
      <c r="ED74" s="717">
        <f t="shared" si="105"/>
        <v>1.9914848373849825E-2</v>
      </c>
      <c r="EE74" s="716">
        <f t="shared" si="105"/>
        <v>1.1754827875734675E-2</v>
      </c>
      <c r="EF74" s="716">
        <f t="shared" si="105"/>
        <v>-6.2136015267892919E-3</v>
      </c>
      <c r="EG74" s="716">
        <f t="shared" si="105"/>
        <v>-3.3307767057255355E-2</v>
      </c>
      <c r="EH74" s="716">
        <f t="shared" ca="1" si="105"/>
        <v>-9.8646394047858799E-2</v>
      </c>
      <c r="EI74" s="717">
        <f t="shared" ca="1" si="105"/>
        <v>-3.3381829815284814E-2</v>
      </c>
      <c r="EJ74" s="717">
        <f t="shared" ca="1" si="106"/>
        <v>-6.6870920965355074E-3</v>
      </c>
      <c r="EK74" s="717">
        <f t="shared" ca="1" si="106"/>
        <v>6.6042504741468555E-2</v>
      </c>
    </row>
    <row r="75" spans="2:141">
      <c r="C75" s="218"/>
      <c r="D75" s="561"/>
      <c r="E75" s="816"/>
      <c r="F75" s="816"/>
      <c r="G75" s="817"/>
      <c r="H75" s="817"/>
      <c r="I75" s="818"/>
      <c r="J75" s="817"/>
      <c r="K75" s="817"/>
      <c r="L75" s="817"/>
      <c r="M75" s="817"/>
      <c r="N75" s="818"/>
      <c r="O75" s="816"/>
      <c r="P75" s="816"/>
      <c r="Q75" s="816"/>
      <c r="R75" s="816"/>
      <c r="S75" s="818"/>
      <c r="T75" s="819"/>
      <c r="U75" s="816"/>
      <c r="V75" s="816"/>
      <c r="W75" s="816"/>
      <c r="X75" s="816"/>
      <c r="Y75" s="818"/>
      <c r="Z75" s="816"/>
      <c r="AA75" s="816"/>
      <c r="AB75" s="816"/>
      <c r="AC75" s="816"/>
      <c r="AD75" s="818"/>
      <c r="AE75" s="816"/>
      <c r="AF75" s="816"/>
      <c r="AG75" s="816"/>
      <c r="AH75" s="816"/>
      <c r="AI75" s="818"/>
      <c r="AJ75" s="816"/>
      <c r="AK75" s="816"/>
      <c r="AL75" s="816"/>
      <c r="AM75" s="816"/>
      <c r="AN75" s="818"/>
      <c r="AO75" s="816"/>
      <c r="AP75" s="816"/>
      <c r="AQ75" s="816"/>
      <c r="AR75" s="816"/>
      <c r="AS75" s="818"/>
      <c r="AT75" s="816"/>
      <c r="AU75" s="816"/>
      <c r="AV75" s="816"/>
      <c r="AW75" s="816"/>
      <c r="AX75" s="818"/>
      <c r="AY75" s="816"/>
      <c r="AZ75" s="816"/>
      <c r="BA75" s="816"/>
      <c r="BB75" s="816"/>
      <c r="BC75" s="818"/>
      <c r="BD75" s="816"/>
      <c r="BE75" s="816"/>
      <c r="BF75" s="816"/>
      <c r="BG75" s="816"/>
      <c r="BH75" s="818"/>
      <c r="BI75" s="816"/>
      <c r="BJ75" s="816"/>
      <c r="BK75" s="816"/>
      <c r="BL75" s="816"/>
      <c r="BM75" s="818"/>
      <c r="BN75" s="818"/>
      <c r="BO75" s="818"/>
      <c r="BP75" s="215"/>
      <c r="BQ75" s="692"/>
      <c r="BR75" s="659"/>
      <c r="BS75" s="573"/>
      <c r="BT75" s="573"/>
      <c r="BU75" s="218"/>
      <c r="BV75" s="218"/>
      <c r="BW75" s="218"/>
      <c r="BX75" s="218"/>
      <c r="BY75" s="218"/>
      <c r="BZ75" s="218"/>
      <c r="CA75" s="218"/>
      <c r="CB75" s="218"/>
      <c r="CG75" s="313"/>
      <c r="CH75" s="313"/>
      <c r="CI75" s="313"/>
      <c r="CJ75" s="313"/>
      <c r="CK75" s="575"/>
      <c r="CL75" s="313"/>
      <c r="CM75" s="313"/>
      <c r="CN75" s="313"/>
      <c r="CO75" s="313"/>
      <c r="CP75" s="575"/>
      <c r="CQ75" s="313"/>
      <c r="CR75" s="313"/>
      <c r="CS75" s="313"/>
      <c r="CT75" s="313"/>
      <c r="CU75" s="575"/>
      <c r="CV75" s="313"/>
      <c r="CW75" s="313"/>
      <c r="CX75" s="313"/>
      <c r="CY75" s="313"/>
      <c r="CZ75" s="575"/>
      <c r="DA75" s="704"/>
      <c r="DB75" s="704"/>
      <c r="DC75" s="704"/>
      <c r="DD75" s="704"/>
      <c r="DE75" s="705"/>
      <c r="DF75" s="841"/>
      <c r="DG75" s="841"/>
      <c r="DH75" s="841"/>
      <c r="DI75" s="841"/>
      <c r="DJ75" s="705"/>
      <c r="DK75" s="704"/>
      <c r="DL75" s="704"/>
      <c r="DM75" s="704"/>
      <c r="DN75" s="704"/>
      <c r="DO75" s="705"/>
      <c r="DP75" s="704"/>
      <c r="DQ75" s="704"/>
      <c r="DR75" s="704"/>
      <c r="DS75" s="704"/>
      <c r="DT75" s="705"/>
      <c r="DU75" s="704"/>
      <c r="DV75" s="704"/>
      <c r="DW75" s="704"/>
      <c r="DX75" s="704"/>
      <c r="DY75" s="705"/>
      <c r="DZ75" s="704"/>
      <c r="EA75" s="704"/>
      <c r="EB75" s="704"/>
      <c r="EC75" s="704"/>
      <c r="ED75" s="705"/>
      <c r="EE75" s="704"/>
      <c r="EF75" s="704"/>
      <c r="EG75" s="704"/>
      <c r="EH75" s="704"/>
      <c r="EI75" s="705"/>
      <c r="EJ75" s="705"/>
      <c r="EK75" s="705"/>
    </row>
    <row r="76" spans="2:141">
      <c r="B76" s="212" t="s">
        <v>1548</v>
      </c>
      <c r="C76" s="218"/>
      <c r="D76" s="561"/>
      <c r="E76" s="816"/>
      <c r="F76" s="816"/>
      <c r="G76" s="817"/>
      <c r="H76" s="817"/>
      <c r="I76" s="818"/>
      <c r="J76" s="817"/>
      <c r="K76" s="817"/>
      <c r="L76" s="817"/>
      <c r="M76" s="817"/>
      <c r="N76" s="818"/>
      <c r="O76" s="816"/>
      <c r="P76" s="816"/>
      <c r="Q76" s="816"/>
      <c r="R76" s="816"/>
      <c r="S76" s="818"/>
      <c r="T76" s="819"/>
      <c r="U76" s="816"/>
      <c r="V76" s="816"/>
      <c r="W76" s="816"/>
      <c r="X76" s="816"/>
      <c r="Y76" s="818"/>
      <c r="Z76" s="816"/>
      <c r="AA76" s="816"/>
      <c r="AB76" s="816"/>
      <c r="AC76" s="816"/>
      <c r="AD76" s="818"/>
      <c r="AE76" s="816"/>
      <c r="AF76" s="816"/>
      <c r="AG76" s="816"/>
      <c r="AH76" s="816"/>
      <c r="AI76" s="818"/>
      <c r="AJ76" s="816"/>
      <c r="AK76" s="816"/>
      <c r="AL76" s="816"/>
      <c r="AM76" s="816"/>
      <c r="AN76" s="818"/>
      <c r="AO76" s="816">
        <f>AO77+AO78</f>
        <v>-38.675306450000008</v>
      </c>
      <c r="AP76" s="816">
        <f>AP77+AP78</f>
        <v>-38.353594459999989</v>
      </c>
      <c r="AQ76" s="816">
        <f>AQ77+AQ78</f>
        <v>-37.07982801</v>
      </c>
      <c r="AR76" s="816">
        <f>AR77+AR78</f>
        <v>-33.182234690000044</v>
      </c>
      <c r="AS76" s="818">
        <f>AR76+AQ76+AP76+AO76</f>
        <v>-147.29096361000006</v>
      </c>
      <c r="AT76" s="819">
        <v>-34.488</v>
      </c>
      <c r="AU76" s="819">
        <f>-70.766-AT76</f>
        <v>-36.278000000000006</v>
      </c>
      <c r="AV76" s="819">
        <v>-34.755195089999994</v>
      </c>
      <c r="AW76" s="819">
        <v>-32.230531620000022</v>
      </c>
      <c r="AX76" s="818">
        <f>AW76+AV76+AU76+AT76</f>
        <v>-137.75172671000001</v>
      </c>
      <c r="AY76" s="819">
        <v>-33.598212919999995</v>
      </c>
      <c r="AZ76" s="819">
        <v>-33.120557429999991</v>
      </c>
      <c r="BA76" s="819">
        <v>-31.072850560000006</v>
      </c>
      <c r="BB76" s="819">
        <v>-37.515471919999982</v>
      </c>
      <c r="BC76" s="818">
        <f>BB76+BA76+AZ76+AY76</f>
        <v>-135.30709282999999</v>
      </c>
      <c r="BD76" s="819">
        <v>-33.799999999999997</v>
      </c>
      <c r="BE76" s="819">
        <v>-31.5</v>
      </c>
      <c r="BF76" s="819">
        <v>-28.8</v>
      </c>
      <c r="BG76" s="819">
        <v>-41.6</v>
      </c>
      <c r="BH76" s="805">
        <f>SUM(BD76:BG76)</f>
        <v>-135.69999999999999</v>
      </c>
      <c r="BI76" s="819">
        <v>-31.5</v>
      </c>
      <c r="BJ76" s="819">
        <v>-29.9</v>
      </c>
      <c r="BK76" s="819">
        <v>-23.7</v>
      </c>
      <c r="BL76" s="837">
        <f ca="1">BM76-BJ76-BI76-BK76</f>
        <v>-33.135891968685783</v>
      </c>
      <c r="BM76" s="818">
        <f ca="1">Fixed!N240</f>
        <v>-118.23589196868579</v>
      </c>
      <c r="BN76" s="818">
        <f ca="1">Fixed!O240</f>
        <v>-122.14304717677413</v>
      </c>
      <c r="BO76" s="818">
        <f ca="1">Fixed!P240</f>
        <v>-130.20967994908364</v>
      </c>
      <c r="BP76" s="215"/>
      <c r="BQ76" s="692"/>
      <c r="BR76" s="659"/>
      <c r="BS76" s="573"/>
      <c r="BT76" s="573"/>
      <c r="BU76" s="218"/>
      <c r="BV76" s="218"/>
      <c r="BW76" s="218"/>
      <c r="BX76" s="218"/>
      <c r="BY76" s="218"/>
      <c r="BZ76" s="218"/>
      <c r="CA76" s="218"/>
      <c r="CB76" s="218"/>
      <c r="CG76" s="313"/>
      <c r="CH76" s="313"/>
      <c r="CI76" s="313"/>
      <c r="CJ76" s="313"/>
      <c r="CK76" s="575"/>
      <c r="CL76" s="313"/>
      <c r="CM76" s="313"/>
      <c r="CN76" s="313"/>
      <c r="CO76" s="313"/>
      <c r="CP76" s="575"/>
      <c r="CQ76" s="313"/>
      <c r="CR76" s="313"/>
      <c r="CS76" s="313"/>
      <c r="CT76" s="313"/>
      <c r="CU76" s="575"/>
      <c r="CV76" s="313"/>
      <c r="CW76" s="313"/>
      <c r="CX76" s="313"/>
      <c r="CY76" s="313"/>
      <c r="CZ76" s="575"/>
      <c r="DA76" s="704"/>
      <c r="DB76" s="704"/>
      <c r="DC76" s="704"/>
      <c r="DD76" s="704"/>
      <c r="DE76" s="705"/>
      <c r="DF76" s="841"/>
      <c r="DG76" s="841"/>
      <c r="DH76" s="841"/>
      <c r="DI76" s="841"/>
      <c r="DJ76" s="705"/>
      <c r="DK76" s="704"/>
      <c r="DL76" s="704"/>
      <c r="DM76" s="704"/>
      <c r="DN76" s="704"/>
      <c r="DO76" s="705"/>
      <c r="DP76" s="704"/>
      <c r="DQ76" s="704"/>
      <c r="DR76" s="704"/>
      <c r="DS76" s="704"/>
      <c r="DT76" s="705"/>
      <c r="DU76" s="704">
        <f t="shared" ref="DU76:EI79" si="107">IFERROR(AY76/AT76-1,"N/A")</f>
        <v>-2.5799903734632479E-2</v>
      </c>
      <c r="DV76" s="704">
        <f t="shared" si="107"/>
        <v>-8.703463724571403E-2</v>
      </c>
      <c r="DW76" s="704">
        <f t="shared" si="107"/>
        <v>-0.10595090951048924</v>
      </c>
      <c r="DX76" s="704">
        <f t="shared" si="107"/>
        <v>0.16397310358729844</v>
      </c>
      <c r="DY76" s="705">
        <f t="shared" si="107"/>
        <v>-1.7746665964823549E-2</v>
      </c>
      <c r="DZ76" s="704">
        <f t="shared" si="107"/>
        <v>6.0058872916983752E-3</v>
      </c>
      <c r="EA76" s="704">
        <f t="shared" si="107"/>
        <v>-4.8929050588143785E-2</v>
      </c>
      <c r="EB76" s="704">
        <f t="shared" si="107"/>
        <v>-7.3145865893805007E-2</v>
      </c>
      <c r="EC76" s="704">
        <f t="shared" si="107"/>
        <v>0.10887582831718312</v>
      </c>
      <c r="ED76" s="705">
        <f t="shared" si="107"/>
        <v>2.9038179875289227E-3</v>
      </c>
      <c r="EE76" s="704">
        <f t="shared" si="107"/>
        <v>-6.8047337278106412E-2</v>
      </c>
      <c r="EF76" s="704">
        <f t="shared" si="107"/>
        <v>-5.0793650793650835E-2</v>
      </c>
      <c r="EG76" s="704">
        <f t="shared" si="107"/>
        <v>-0.17708333333333337</v>
      </c>
      <c r="EH76" s="704">
        <f t="shared" ca="1" si="107"/>
        <v>-0.20346413536813024</v>
      </c>
      <c r="EI76" s="705">
        <f t="shared" ca="1" si="107"/>
        <v>-0.12869644827792337</v>
      </c>
      <c r="EJ76" s="705">
        <f ca="1">IFERROR(BN76/BM76-1,"N/A")</f>
        <v>3.304542421960277E-2</v>
      </c>
      <c r="EK76" s="705">
        <f ca="1">IFERROR(BO76/BN76-1,"N/A")</f>
        <v>6.6042504741468333E-2</v>
      </c>
    </row>
    <row r="77" spans="2:141" hidden="1" outlineLevel="1">
      <c r="B77" s="212" t="s">
        <v>864</v>
      </c>
      <c r="C77" s="314"/>
      <c r="D77" s="688"/>
      <c r="E77" s="804">
        <f>+BV77*0.49</f>
        <v>-7.6802599999999996</v>
      </c>
      <c r="F77" s="804">
        <f>+BV77-E77</f>
        <v>-7.9937399999999998</v>
      </c>
      <c r="G77" s="804">
        <v>-7.5909999999999993</v>
      </c>
      <c r="H77" s="804">
        <v>-7.7520000000000024</v>
      </c>
      <c r="I77" s="805">
        <f>SUM(E77:H77)</f>
        <v>-31.017000000000003</v>
      </c>
      <c r="J77" s="804">
        <v>-7.5</v>
      </c>
      <c r="K77" s="804">
        <v>-8.6999999999999993</v>
      </c>
      <c r="L77" s="804">
        <v>-8.1839999999999993</v>
      </c>
      <c r="M77" s="804">
        <v>-8.0235465900000058</v>
      </c>
      <c r="N77" s="805">
        <f>SUM(J77:M77)</f>
        <v>-32.40754659000001</v>
      </c>
      <c r="O77" s="804">
        <v>-7.8175534899999981</v>
      </c>
      <c r="P77" s="804">
        <v>-7.9</v>
      </c>
      <c r="Q77" s="804">
        <v>-9.6999999999999993</v>
      </c>
      <c r="R77" s="804">
        <v>-11.2</v>
      </c>
      <c r="S77" s="805">
        <f>SUM(O77:R77)</f>
        <v>-36.617553489999992</v>
      </c>
      <c r="T77" s="804"/>
      <c r="U77" s="804">
        <v>-12.386873750000001</v>
      </c>
      <c r="V77" s="804">
        <v>-13.251795829999997</v>
      </c>
      <c r="W77" s="804">
        <v>-12.2</v>
      </c>
      <c r="X77" s="804">
        <v>-14.5</v>
      </c>
      <c r="Y77" s="805">
        <f>SUM(U77:X77)</f>
        <v>-52.338669580000001</v>
      </c>
      <c r="Z77" s="804">
        <v>-12.978205760000003</v>
      </c>
      <c r="AA77" s="804">
        <v>-12.355594849999999</v>
      </c>
      <c r="AB77" s="804">
        <v>-12.794884110000003</v>
      </c>
      <c r="AC77" s="804">
        <v>-13.5</v>
      </c>
      <c r="AD77" s="805">
        <f>SUM(Z77:AC77)</f>
        <v>-51.62868472000001</v>
      </c>
      <c r="AE77" s="804">
        <v>-12.978205760000003</v>
      </c>
      <c r="AF77" s="804">
        <v>-14.912694189999995</v>
      </c>
      <c r="AG77" s="804">
        <v>-10.75485459000001</v>
      </c>
      <c r="AH77" s="804">
        <v>-12.970170569999995</v>
      </c>
      <c r="AI77" s="805">
        <f>SUM(AE77:AH77)</f>
        <v>-51.615925109999999</v>
      </c>
      <c r="AJ77" s="804">
        <v>-12.013728849999998</v>
      </c>
      <c r="AK77" s="804">
        <v>-12.756095230000001</v>
      </c>
      <c r="AL77" s="804">
        <v>-12.849391759999991</v>
      </c>
      <c r="AM77" s="804">
        <v>-13.753490160000009</v>
      </c>
      <c r="AN77" s="805">
        <f>AM77+AL77+AK77+AJ77</f>
        <v>-51.372706000000001</v>
      </c>
      <c r="AO77" s="804">
        <v>-11.2912233</v>
      </c>
      <c r="AP77" s="804">
        <v>-9.9339980699999995</v>
      </c>
      <c r="AQ77" s="804">
        <v>-9.273895299999996</v>
      </c>
      <c r="AR77" s="804">
        <v>-4.7461821100000092</v>
      </c>
      <c r="AS77" s="805">
        <f>AR77+AQ77+AP77+AO77</f>
        <v>-35.245298780000006</v>
      </c>
      <c r="AT77" s="804">
        <v>-9.8533126800000002</v>
      </c>
      <c r="AU77" s="804">
        <v>-9.3396916099999991</v>
      </c>
      <c r="AV77" s="804"/>
      <c r="AW77" s="804"/>
      <c r="AX77" s="805">
        <f>AW77+AV77+AU77+AT77</f>
        <v>-19.193004289999998</v>
      </c>
      <c r="AY77" s="804"/>
      <c r="AZ77" s="804"/>
      <c r="BA77" s="804"/>
      <c r="BB77" s="804"/>
      <c r="BC77" s="805">
        <f>BB77+BA77+AZ77+AY77</f>
        <v>0</v>
      </c>
      <c r="BD77" s="804"/>
      <c r="BE77" s="804"/>
      <c r="BF77" s="804"/>
      <c r="BG77" s="804"/>
      <c r="BH77" s="805">
        <f>Model!M41</f>
        <v>-33.193817642252064</v>
      </c>
      <c r="BI77" s="804"/>
      <c r="BJ77" s="804"/>
      <c r="BK77" s="804"/>
      <c r="BL77" s="804"/>
      <c r="BM77" s="805">
        <f ca="1">Model!N41</f>
        <v>-31.857683710840043</v>
      </c>
      <c r="BN77" s="805">
        <f ca="1">Model!O41</f>
        <v>-31.878604453563899</v>
      </c>
      <c r="BO77" s="805">
        <f ca="1">Model!P41</f>
        <v>-33.983947339339792</v>
      </c>
      <c r="BP77" s="215"/>
      <c r="BQ77" s="692">
        <v>-9.6799144625125884</v>
      </c>
      <c r="BR77" s="659">
        <f>$AR77/BQ77-1</f>
        <v>-0.5096875981311042</v>
      </c>
      <c r="BS77" s="573"/>
      <c r="BT77" s="573"/>
      <c r="BU77" s="218"/>
      <c r="BV77" s="218">
        <v>-15.673999999999999</v>
      </c>
      <c r="BW77" s="218">
        <v>-16.247</v>
      </c>
      <c r="BX77" s="218"/>
      <c r="BY77" s="218">
        <v>-37.4</v>
      </c>
      <c r="BZ77" s="218">
        <v>-34.700000000000003</v>
      </c>
      <c r="CA77" s="218">
        <v>-31.01</v>
      </c>
      <c r="CB77" s="218">
        <v>-32.464546590000005</v>
      </c>
      <c r="CG77" s="313">
        <f t="shared" ref="CG77:CP79" si="108">IFERROR(J77/E77-1,"N/A")</f>
        <v>-2.347055959043054E-2</v>
      </c>
      <c r="CH77" s="313">
        <f t="shared" si="108"/>
        <v>8.835163515450839E-2</v>
      </c>
      <c r="CI77" s="313">
        <f t="shared" si="108"/>
        <v>7.8118824924252372E-2</v>
      </c>
      <c r="CJ77" s="313">
        <f t="shared" si="108"/>
        <v>3.5029229876161416E-2</v>
      </c>
      <c r="CK77" s="575">
        <f t="shared" si="108"/>
        <v>4.4831756456137128E-2</v>
      </c>
      <c r="CL77" s="313">
        <f t="shared" si="108"/>
        <v>4.2340465333333022E-2</v>
      </c>
      <c r="CM77" s="313">
        <f t="shared" si="108"/>
        <v>-9.1954022988505635E-2</v>
      </c>
      <c r="CN77" s="313">
        <f t="shared" si="108"/>
        <v>0.18523949169110465</v>
      </c>
      <c r="CO77" s="313">
        <f t="shared" si="108"/>
        <v>0.3958914395734805</v>
      </c>
      <c r="CP77" s="575">
        <f t="shared" si="108"/>
        <v>0.12990822641597499</v>
      </c>
      <c r="CQ77" s="313">
        <f t="shared" ref="CQ77:CU79" si="109">IFERROR(U77/O77-1,"N/A")</f>
        <v>0.58449491466159498</v>
      </c>
      <c r="CR77" s="313">
        <f t="shared" si="109"/>
        <v>0.67744251012658174</v>
      </c>
      <c r="CS77" s="313">
        <f t="shared" si="109"/>
        <v>0.25773195876288657</v>
      </c>
      <c r="CT77" s="313">
        <f t="shared" si="109"/>
        <v>0.29464285714285721</v>
      </c>
      <c r="CU77" s="575">
        <f t="shared" si="109"/>
        <v>0.42933278145666787</v>
      </c>
      <c r="CV77" s="313">
        <f t="shared" ref="CV77:DE79" si="110">IFERROR(Z77/U77-1,"N/A")</f>
        <v>4.7738599902982237E-2</v>
      </c>
      <c r="CW77" s="313">
        <f t="shared" si="110"/>
        <v>-6.7628643807742583E-2</v>
      </c>
      <c r="CX77" s="313">
        <f t="shared" si="110"/>
        <v>4.8760992622951083E-2</v>
      </c>
      <c r="CY77" s="313">
        <f t="shared" si="110"/>
        <v>-6.8965517241379337E-2</v>
      </c>
      <c r="CZ77" s="575">
        <f t="shared" si="110"/>
        <v>-1.3565206484944636E-2</v>
      </c>
      <c r="DA77" s="704">
        <f t="shared" si="110"/>
        <v>0</v>
      </c>
      <c r="DB77" s="704">
        <f t="shared" si="110"/>
        <v>0.20695882076450545</v>
      </c>
      <c r="DC77" s="704">
        <f t="shared" si="110"/>
        <v>-0.15944103146706756</v>
      </c>
      <c r="DD77" s="704">
        <f t="shared" si="110"/>
        <v>-3.9246624444444822E-2</v>
      </c>
      <c r="DE77" s="705">
        <f t="shared" si="110"/>
        <v>-2.4714187605612281E-4</v>
      </c>
      <c r="DF77" s="847">
        <f>IFERROR(-12.9/AE77-1,"N/A")</f>
        <v>-6.025930043507266E-3</v>
      </c>
      <c r="DG77" s="847">
        <f>IFERROR(-13.6/AF77-1,"N/A")</f>
        <v>-8.8025287267021746E-2</v>
      </c>
      <c r="DH77" s="847">
        <f>IFERROR(-13.7/AG77-1,"N/A")</f>
        <v>0.27384335002896454</v>
      </c>
      <c r="DI77" s="847">
        <f>IFERROR(-14.5/AH77-1,"N/A")</f>
        <v>0.11794983124882719</v>
      </c>
      <c r="DJ77" s="705">
        <f t="shared" ref="DJ77:DT79" si="111">IFERROR(AN77/AI77-1,"N/A")</f>
        <v>-4.7120943678073957E-3</v>
      </c>
      <c r="DK77" s="704">
        <f t="shared" si="111"/>
        <v>-6.01399914232289E-2</v>
      </c>
      <c r="DL77" s="704">
        <f t="shared" si="111"/>
        <v>-0.22123519063756647</v>
      </c>
      <c r="DM77" s="704">
        <f t="shared" si="111"/>
        <v>-0.2782619229596901</v>
      </c>
      <c r="DN77" s="704">
        <f t="shared" si="111"/>
        <v>-0.6549107132236458</v>
      </c>
      <c r="DO77" s="705">
        <f t="shared" si="111"/>
        <v>-0.3139294866032557</v>
      </c>
      <c r="DP77" s="704">
        <f t="shared" si="111"/>
        <v>-0.12734763823154571</v>
      </c>
      <c r="DQ77" s="704">
        <f t="shared" si="111"/>
        <v>-5.9825505885164776E-2</v>
      </c>
      <c r="DR77" s="704">
        <f t="shared" si="111"/>
        <v>-1</v>
      </c>
      <c r="DS77" s="704">
        <f t="shared" si="111"/>
        <v>-1</v>
      </c>
      <c r="DT77" s="705">
        <f t="shared" si="111"/>
        <v>-0.45544498261166411</v>
      </c>
      <c r="DU77" s="704">
        <f t="shared" si="107"/>
        <v>-1</v>
      </c>
      <c r="DV77" s="704">
        <f t="shared" si="107"/>
        <v>-1</v>
      </c>
      <c r="DW77" s="704" t="str">
        <f t="shared" si="107"/>
        <v>N/A</v>
      </c>
      <c r="DX77" s="704" t="str">
        <f t="shared" si="107"/>
        <v>N/A</v>
      </c>
      <c r="DY77" s="705">
        <f t="shared" si="107"/>
        <v>-1</v>
      </c>
      <c r="DZ77" s="704" t="str">
        <f t="shared" si="107"/>
        <v>N/A</v>
      </c>
      <c r="EA77" s="704" t="str">
        <f t="shared" si="107"/>
        <v>N/A</v>
      </c>
      <c r="EB77" s="704" t="str">
        <f t="shared" si="107"/>
        <v>N/A</v>
      </c>
      <c r="EC77" s="704" t="str">
        <f t="shared" si="107"/>
        <v>N/A</v>
      </c>
      <c r="ED77" s="705" t="str">
        <f t="shared" si="107"/>
        <v>N/A</v>
      </c>
      <c r="EE77" s="704" t="str">
        <f t="shared" si="107"/>
        <v>N/A</v>
      </c>
      <c r="EF77" s="704" t="str">
        <f t="shared" si="107"/>
        <v>N/A</v>
      </c>
      <c r="EG77" s="704" t="str">
        <f t="shared" si="107"/>
        <v>N/A</v>
      </c>
      <c r="EH77" s="704" t="str">
        <f t="shared" si="107"/>
        <v>N/A</v>
      </c>
      <c r="EI77" s="705">
        <f t="shared" ca="1" si="107"/>
        <v>-4.0252493576131143E-2</v>
      </c>
      <c r="EJ77" s="705">
        <f t="shared" ref="EJ77:EK79" ca="1" si="112">IFERROR(BN77/BM77-1,"N/A")</f>
        <v>6.5669377955246411E-4</v>
      </c>
      <c r="EK77" s="705">
        <f t="shared" ca="1" si="112"/>
        <v>6.6042504741468555E-2</v>
      </c>
    </row>
    <row r="78" spans="2:141" hidden="1" outlineLevel="1">
      <c r="B78" s="212" t="s">
        <v>82</v>
      </c>
      <c r="C78" s="314"/>
      <c r="D78" s="688"/>
      <c r="E78" s="804">
        <f>+BV78*0.49</f>
        <v>-11.05293</v>
      </c>
      <c r="F78" s="804">
        <f>+BV78-E78</f>
        <v>-11.504069999999999</v>
      </c>
      <c r="G78" s="804">
        <v>-10.915000000000003</v>
      </c>
      <c r="H78" s="804">
        <v>-17.567999999999998</v>
      </c>
      <c r="I78" s="805">
        <f>SUM(E78:H78)</f>
        <v>-51.04</v>
      </c>
      <c r="J78" s="804">
        <v>-11.1</v>
      </c>
      <c r="K78" s="804">
        <v>-8.9</v>
      </c>
      <c r="L78" s="804">
        <v>-8.9180000000000028</v>
      </c>
      <c r="M78" s="804">
        <v>-9.7577732101039878</v>
      </c>
      <c r="N78" s="805">
        <f>SUM(J78:M78)</f>
        <v>-38.675773210103991</v>
      </c>
      <c r="O78" s="804">
        <v>-10.012020264369111</v>
      </c>
      <c r="P78" s="804">
        <v>-9.4</v>
      </c>
      <c r="Q78" s="804">
        <v>-13.2</v>
      </c>
      <c r="R78" s="804">
        <v>-19</v>
      </c>
      <c r="S78" s="805">
        <f>SUM(O78:R78)</f>
        <v>-51.612020264369107</v>
      </c>
      <c r="T78" s="804"/>
      <c r="U78" s="804">
        <v>-21.608598580000006</v>
      </c>
      <c r="V78" s="804">
        <v>-23.619742330000001</v>
      </c>
      <c r="W78" s="804">
        <v>-22.9</v>
      </c>
      <c r="X78" s="804">
        <v>-21.5</v>
      </c>
      <c r="Y78" s="805">
        <f>SUM(U78:X78)</f>
        <v>-89.628340910000006</v>
      </c>
      <c r="Z78" s="804">
        <v>-22.807984529999995</v>
      </c>
      <c r="AA78" s="804">
        <v>-29.278668130000014</v>
      </c>
      <c r="AB78" s="804">
        <v>-23.818200859999994</v>
      </c>
      <c r="AC78" s="804">
        <v>-24.1</v>
      </c>
      <c r="AD78" s="805">
        <f>SUM(Z78:AC78)</f>
        <v>-100.00485352000001</v>
      </c>
      <c r="AE78" s="804">
        <v>-24.8</v>
      </c>
      <c r="AF78" s="804">
        <v>-26.626120320000016</v>
      </c>
      <c r="AG78" s="804">
        <v>-35.750586579999997</v>
      </c>
      <c r="AH78" s="804">
        <v>-32.355956909999975</v>
      </c>
      <c r="AI78" s="805">
        <f>SUM(AE78:AH78)</f>
        <v>-119.53266380999999</v>
      </c>
      <c r="AJ78" s="804">
        <v>-28.1800487</v>
      </c>
      <c r="AK78" s="804">
        <v>-30.823512980000007</v>
      </c>
      <c r="AL78" s="804">
        <v>-31.573237359999993</v>
      </c>
      <c r="AM78" s="804">
        <v>-25.359165740000034</v>
      </c>
      <c r="AN78" s="805">
        <f>AM78+AL78+AK78+AJ78</f>
        <v>-115.93596478000003</v>
      </c>
      <c r="AO78" s="804">
        <v>-27.384083150000006</v>
      </c>
      <c r="AP78" s="804">
        <v>-28.419596389999992</v>
      </c>
      <c r="AQ78" s="804">
        <v>-27.80593271</v>
      </c>
      <c r="AR78" s="804">
        <v>-28.436052580000034</v>
      </c>
      <c r="AS78" s="805">
        <f>AR78+AQ78+AP78+AO78</f>
        <v>-112.04566483000004</v>
      </c>
      <c r="AT78" s="804">
        <v>-25.060697499999996</v>
      </c>
      <c r="AU78" s="804">
        <v>-27.36788429000001</v>
      </c>
      <c r="AV78" s="804"/>
      <c r="AW78" s="804"/>
      <c r="AX78" s="805">
        <f>AW78+AV78+AU78+AT78</f>
        <v>-52.42858179000001</v>
      </c>
      <c r="AY78" s="804"/>
      <c r="AZ78" s="804"/>
      <c r="BA78" s="804"/>
      <c r="BB78" s="804"/>
      <c r="BC78" s="805">
        <f>BB78+BA78+AZ78+AY78</f>
        <v>0</v>
      </c>
      <c r="BD78" s="804"/>
      <c r="BE78" s="804"/>
      <c r="BF78" s="804"/>
      <c r="BG78" s="804"/>
      <c r="BH78" s="805">
        <f>Model!M43</f>
        <v>-105.5239562356156</v>
      </c>
      <c r="BI78" s="804"/>
      <c r="BJ78" s="804"/>
      <c r="BK78" s="804"/>
      <c r="BL78" s="804"/>
      <c r="BM78" s="805">
        <f ca="1">Model!N43</f>
        <v>-101.27635386511355</v>
      </c>
      <c r="BN78" s="805">
        <f ca="1">Model!O43</f>
        <v>-101.34286141671251</v>
      </c>
      <c r="BO78" s="805">
        <f ca="1">Model!P43</f>
        <v>-108.03579782233973</v>
      </c>
      <c r="BP78" s="215"/>
      <c r="BQ78" s="692">
        <v>-26.11668387566516</v>
      </c>
      <c r="BR78" s="659">
        <f>$AR78/BQ78-1</f>
        <v>8.8807932713693472E-2</v>
      </c>
      <c r="BS78" s="573"/>
      <c r="BT78" s="573"/>
      <c r="BU78" s="218"/>
      <c r="BV78" s="218">
        <v>-22.556999999999999</v>
      </c>
      <c r="BW78" s="218">
        <v>-19.97</v>
      </c>
      <c r="BX78" s="218"/>
      <c r="BY78" s="218">
        <v>-49.8</v>
      </c>
      <c r="BZ78" s="218">
        <v>-46.1</v>
      </c>
      <c r="CA78" s="218">
        <v>-51.04</v>
      </c>
      <c r="CB78" s="218">
        <v>-38.645773210103989</v>
      </c>
      <c r="CG78" s="313">
        <f t="shared" si="108"/>
        <v>4.2585993035331171E-3</v>
      </c>
      <c r="CH78" s="313">
        <f t="shared" si="108"/>
        <v>-0.22636075754059204</v>
      </c>
      <c r="CI78" s="313">
        <f t="shared" si="108"/>
        <v>-0.18295923041685747</v>
      </c>
      <c r="CJ78" s="313">
        <f t="shared" si="108"/>
        <v>-0.44457119705692227</v>
      </c>
      <c r="CK78" s="575">
        <f t="shared" si="108"/>
        <v>-0.24224582268605033</v>
      </c>
      <c r="CL78" s="313">
        <f t="shared" si="108"/>
        <v>-9.8016192399179136E-2</v>
      </c>
      <c r="CM78" s="313">
        <f t="shared" si="108"/>
        <v>5.6179775280898792E-2</v>
      </c>
      <c r="CN78" s="313">
        <f t="shared" si="108"/>
        <v>0.48015250056066328</v>
      </c>
      <c r="CO78" s="313">
        <f t="shared" si="108"/>
        <v>0.94716556645586536</v>
      </c>
      <c r="CP78" s="575">
        <f t="shared" si="108"/>
        <v>0.33447933888715475</v>
      </c>
      <c r="CQ78" s="313">
        <f t="shared" si="109"/>
        <v>1.1582655657321155</v>
      </c>
      <c r="CR78" s="313">
        <f t="shared" si="109"/>
        <v>1.5127385457446807</v>
      </c>
      <c r="CS78" s="313">
        <f t="shared" si="109"/>
        <v>0.73484848484848486</v>
      </c>
      <c r="CT78" s="313">
        <f t="shared" si="109"/>
        <v>0.13157894736842102</v>
      </c>
      <c r="CU78" s="575">
        <f t="shared" si="109"/>
        <v>0.73657881344117548</v>
      </c>
      <c r="CV78" s="313">
        <f t="shared" si="110"/>
        <v>5.5505031738156685E-2</v>
      </c>
      <c r="CW78" s="313">
        <f t="shared" si="110"/>
        <v>0.23958456959170449</v>
      </c>
      <c r="CX78" s="313">
        <f t="shared" si="110"/>
        <v>4.0096107423580607E-2</v>
      </c>
      <c r="CY78" s="313">
        <f t="shared" si="110"/>
        <v>0.12093023255813962</v>
      </c>
      <c r="CZ78" s="575">
        <f t="shared" si="110"/>
        <v>0.11577267307022399</v>
      </c>
      <c r="DA78" s="704">
        <f t="shared" si="110"/>
        <v>8.7338513728814959E-2</v>
      </c>
      <c r="DB78" s="704">
        <f t="shared" si="110"/>
        <v>-9.0596600850231246E-2</v>
      </c>
      <c r="DC78" s="704">
        <f t="shared" si="110"/>
        <v>0.50097762589781114</v>
      </c>
      <c r="DD78" s="704">
        <f t="shared" si="110"/>
        <v>0.34257082614107781</v>
      </c>
      <c r="DE78" s="705">
        <f t="shared" si="110"/>
        <v>0.19526862549820745</v>
      </c>
      <c r="DF78" s="847">
        <f>IFERROR(-28.3/AE78-1,"N/A")</f>
        <v>0.1411290322580645</v>
      </c>
      <c r="DG78" s="847">
        <f>IFERROR(-30.9/AF78-1,"N/A")</f>
        <v>0.16051454844473478</v>
      </c>
      <c r="DH78" s="847">
        <f>IFERROR(-31.6/AG78-1,"N/A")</f>
        <v>-0.11609841899271001</v>
      </c>
      <c r="DI78" s="847">
        <f>IFERROR(-25.6/AH78-1,"N/A")</f>
        <v>-0.20880102321782879</v>
      </c>
      <c r="DJ78" s="705">
        <f t="shared" si="111"/>
        <v>-3.0089675201390942E-2</v>
      </c>
      <c r="DK78" s="704">
        <f t="shared" si="111"/>
        <v>-2.8245712364577846E-2</v>
      </c>
      <c r="DL78" s="704">
        <f t="shared" si="111"/>
        <v>-7.7989701938251166E-2</v>
      </c>
      <c r="DM78" s="704">
        <f t="shared" si="111"/>
        <v>-0.11931955557945972</v>
      </c>
      <c r="DN78" s="704">
        <f t="shared" si="111"/>
        <v>0.12133233685786049</v>
      </c>
      <c r="DO78" s="705">
        <f t="shared" si="111"/>
        <v>-3.3555592152808011E-2</v>
      </c>
      <c r="DP78" s="704">
        <f t="shared" si="111"/>
        <v>-8.4844383405986323E-2</v>
      </c>
      <c r="DQ78" s="704">
        <f t="shared" si="111"/>
        <v>-3.7006581148001372E-2</v>
      </c>
      <c r="DR78" s="704">
        <f t="shared" si="111"/>
        <v>-1</v>
      </c>
      <c r="DS78" s="704">
        <f t="shared" si="111"/>
        <v>-1</v>
      </c>
      <c r="DT78" s="705">
        <f t="shared" si="111"/>
        <v>-0.53207844435974694</v>
      </c>
      <c r="DU78" s="704">
        <f t="shared" si="107"/>
        <v>-1</v>
      </c>
      <c r="DV78" s="704">
        <f t="shared" si="107"/>
        <v>-1</v>
      </c>
      <c r="DW78" s="704" t="str">
        <f t="shared" si="107"/>
        <v>N/A</v>
      </c>
      <c r="DX78" s="704" t="str">
        <f t="shared" si="107"/>
        <v>N/A</v>
      </c>
      <c r="DY78" s="705">
        <f t="shared" si="107"/>
        <v>-1</v>
      </c>
      <c r="DZ78" s="704" t="str">
        <f t="shared" si="107"/>
        <v>N/A</v>
      </c>
      <c r="EA78" s="704" t="str">
        <f t="shared" si="107"/>
        <v>N/A</v>
      </c>
      <c r="EB78" s="704" t="str">
        <f t="shared" si="107"/>
        <v>N/A</v>
      </c>
      <c r="EC78" s="704" t="str">
        <f t="shared" si="107"/>
        <v>N/A</v>
      </c>
      <c r="ED78" s="705" t="str">
        <f t="shared" si="107"/>
        <v>N/A</v>
      </c>
      <c r="EE78" s="704" t="str">
        <f t="shared" si="107"/>
        <v>N/A</v>
      </c>
      <c r="EF78" s="704" t="str">
        <f t="shared" si="107"/>
        <v>N/A</v>
      </c>
      <c r="EG78" s="704" t="str">
        <f t="shared" si="107"/>
        <v>N/A</v>
      </c>
      <c r="EH78" s="704" t="str">
        <f t="shared" si="107"/>
        <v>N/A</v>
      </c>
      <c r="EI78" s="705">
        <f t="shared" ca="1" si="107"/>
        <v>-4.0252493576131032E-2</v>
      </c>
      <c r="EJ78" s="705">
        <f t="shared" ca="1" si="112"/>
        <v>6.5669377955224206E-4</v>
      </c>
      <c r="EK78" s="705">
        <f t="shared" ca="1" si="112"/>
        <v>6.6042504741468555E-2</v>
      </c>
    </row>
    <row r="79" spans="2:141" collapsed="1">
      <c r="B79" s="7" t="s">
        <v>181</v>
      </c>
      <c r="C79" s="27"/>
      <c r="D79" s="585"/>
      <c r="E79" s="806">
        <f>+E74+E77+E78</f>
        <v>34.503349999999998</v>
      </c>
      <c r="F79" s="806">
        <f>+F74+F77+F78</f>
        <v>35.911649999999995</v>
      </c>
      <c r="G79" s="807">
        <v>36.044313569999986</v>
      </c>
      <c r="H79" s="807">
        <f>+H74+H77+H78</f>
        <v>34.93868643000004</v>
      </c>
      <c r="I79" s="808">
        <f>SUM(I74:I78)</f>
        <v>141.39800000000002</v>
      </c>
      <c r="J79" s="807">
        <f>+J74+J77+J78</f>
        <v>36.400000000000006</v>
      </c>
      <c r="K79" s="807">
        <f>+K74+K77+K78</f>
        <v>40.4</v>
      </c>
      <c r="L79" s="807">
        <v>40.016472959999987</v>
      </c>
      <c r="M79" s="807">
        <v>41.801246479896065</v>
      </c>
      <c r="N79" s="808">
        <f>SUM(N74:N78)</f>
        <v>158.61771943989601</v>
      </c>
      <c r="O79" s="820">
        <f>O74+O77+O78</f>
        <v>41.120701693194064</v>
      </c>
      <c r="P79" s="820">
        <f>P74+P77+P78</f>
        <v>44.900000000000013</v>
      </c>
      <c r="Q79" s="820">
        <f>Q74+Q77+Q78</f>
        <v>59.099999999999994</v>
      </c>
      <c r="R79" s="820">
        <f>R74+R77+R78</f>
        <v>77.000000000000014</v>
      </c>
      <c r="S79" s="808">
        <f>SUM(S74:S78)</f>
        <v>222.12070169319406</v>
      </c>
      <c r="T79" s="821">
        <v>85.3</v>
      </c>
      <c r="U79" s="820">
        <f>+U74+U77+U78</f>
        <v>88.804527669999985</v>
      </c>
      <c r="V79" s="820">
        <f>+V74+V77+V78</f>
        <v>90.028461840000006</v>
      </c>
      <c r="W79" s="820">
        <f>+W74+W77+W78</f>
        <v>92.799999999999983</v>
      </c>
      <c r="X79" s="820">
        <f>+X74+X77+X78</f>
        <v>103.30000000000001</v>
      </c>
      <c r="Y79" s="808">
        <f>SUM(Y74:Y78)</f>
        <v>374.93298950999997</v>
      </c>
      <c r="Z79" s="820">
        <f>+Z74+Z77+Z78</f>
        <v>92.124850719999998</v>
      </c>
      <c r="AA79" s="820">
        <f>+AA74+AA77+AA78</f>
        <v>89.728393580000017</v>
      </c>
      <c r="AB79" s="820">
        <f>+AB74+AB77+AB78</f>
        <v>93.095154509999958</v>
      </c>
      <c r="AC79" s="820">
        <f>+AC74+AC77+AC78</f>
        <v>103.5</v>
      </c>
      <c r="AD79" s="808">
        <f>SUM(AD74:AD78)</f>
        <v>378.44839880999996</v>
      </c>
      <c r="AE79" s="820">
        <f>+AE74+AE77+AE78</f>
        <v>97.721794239999994</v>
      </c>
      <c r="AF79" s="820">
        <f>+AF74+AF77+AF78</f>
        <v>82.012264399999992</v>
      </c>
      <c r="AG79" s="820">
        <f>+AG74+AG77+AG78</f>
        <v>87.761786540000003</v>
      </c>
      <c r="AH79" s="820">
        <f>+AH74+AH77+AH78</f>
        <v>97.137450720000032</v>
      </c>
      <c r="AI79" s="808">
        <f>SUM(AI74:AI78)</f>
        <v>364.62125893200039</v>
      </c>
      <c r="AJ79" s="820">
        <f>+AJ74+AJ77+AJ78</f>
        <v>88.707000159999978</v>
      </c>
      <c r="AK79" s="820">
        <f>+AK74+AK77+AK78</f>
        <v>87.993534240000002</v>
      </c>
      <c r="AL79" s="820">
        <f>+AL74+AL77+AL78</f>
        <v>86.136269450000015</v>
      </c>
      <c r="AM79" s="820">
        <f>+AM74+AM77+AM78</f>
        <v>101.12814793999996</v>
      </c>
      <c r="AN79" s="808">
        <f>AN74+AN77+AN78</f>
        <v>363.96495178999999</v>
      </c>
      <c r="AO79" s="820">
        <f>+AO74+AO77+AO78</f>
        <v>86.32123688999998</v>
      </c>
      <c r="AP79" s="820">
        <f>+AP74+AP77+AP78</f>
        <v>89.772071309999987</v>
      </c>
      <c r="AQ79" s="820">
        <f>+AQ74+AQ77+AQ78</f>
        <v>89.242578010000017</v>
      </c>
      <c r="AR79" s="820">
        <f>+AR74+AR77+AR78</f>
        <v>99.102420929999951</v>
      </c>
      <c r="AS79" s="808">
        <f>AS74+AS77+AS78</f>
        <v>364.43830714000001</v>
      </c>
      <c r="AT79" s="820">
        <f t="shared" ref="AT79:BI79" si="113">+AT74+AT76</f>
        <v>91.929408260000002</v>
      </c>
      <c r="AU79" s="820">
        <f t="shared" si="113"/>
        <v>88.520613530000006</v>
      </c>
      <c r="AV79" s="820">
        <f t="shared" si="113"/>
        <v>89.658529779999981</v>
      </c>
      <c r="AW79" s="820">
        <f t="shared" si="113"/>
        <v>88.358132039999973</v>
      </c>
      <c r="AX79" s="808">
        <f t="shared" si="113"/>
        <v>358.46668360999996</v>
      </c>
      <c r="AY79" s="820">
        <f t="shared" si="113"/>
        <v>85.212562820000002</v>
      </c>
      <c r="AZ79" s="820">
        <f t="shared" si="113"/>
        <v>86.833743340000012</v>
      </c>
      <c r="BA79" s="820">
        <f t="shared" si="113"/>
        <v>87.095704570000009</v>
      </c>
      <c r="BB79" s="820">
        <f t="shared" si="113"/>
        <v>85.273800709999961</v>
      </c>
      <c r="BC79" s="808">
        <f t="shared" si="113"/>
        <v>344.41581144000003</v>
      </c>
      <c r="BD79" s="820">
        <f t="shared" si="113"/>
        <v>85.3</v>
      </c>
      <c r="BE79" s="820">
        <f t="shared" si="113"/>
        <v>87.841540779999974</v>
      </c>
      <c r="BF79" s="820">
        <f t="shared" si="113"/>
        <v>89.852034320000016</v>
      </c>
      <c r="BG79" s="820">
        <f t="shared" si="113"/>
        <v>90.582938070000012</v>
      </c>
      <c r="BH79" s="808">
        <f>BH74+BH77+BH78</f>
        <v>350.55873929213237</v>
      </c>
      <c r="BI79" s="820">
        <f t="shared" si="113"/>
        <v>88.999999999999986</v>
      </c>
      <c r="BJ79" s="820">
        <f t="shared" ref="BJ79:BK79" si="114">+BJ74+BJ76</f>
        <v>88.699999999999989</v>
      </c>
      <c r="BK79" s="820">
        <f t="shared" si="114"/>
        <v>90.999999999999986</v>
      </c>
      <c r="BL79" s="820">
        <f t="shared" ref="BL79" ca="1" si="115">+BL74+BL76</f>
        <v>86.007675906057287</v>
      </c>
      <c r="BM79" s="808">
        <f ca="1">BM74+BM77+BM78</f>
        <v>339.80953029878953</v>
      </c>
      <c r="BN79" s="808">
        <f ca="1">BN74+BN77+BN78</f>
        <v>336.55948480962422</v>
      </c>
      <c r="BO79" s="808">
        <f ca="1">BO74+BO77+BO78</f>
        <v>358.78671618094995</v>
      </c>
      <c r="BP79" s="9"/>
      <c r="BQ79" s="695">
        <v>89.135030766044665</v>
      </c>
      <c r="BR79" s="662">
        <f>$AR79/BQ79-1</f>
        <v>0.1118234893542247</v>
      </c>
      <c r="BS79" s="464"/>
      <c r="BT79" s="464"/>
      <c r="BU79" s="27"/>
      <c r="BV79" s="27">
        <v>70.414999999999978</v>
      </c>
      <c r="BW79" s="27">
        <v>76.869</v>
      </c>
      <c r="BX79" s="27"/>
      <c r="BY79" s="27">
        <v>135.4</v>
      </c>
      <c r="BZ79" s="27">
        <v>142.19999999999999</v>
      </c>
      <c r="CA79" s="27">
        <v>141.41500000000005</v>
      </c>
      <c r="CB79" s="27">
        <v>158.69671943989604</v>
      </c>
      <c r="CC79" s="7"/>
      <c r="CD79" s="7"/>
      <c r="CE79" s="7"/>
      <c r="CF79" s="7"/>
      <c r="CG79" s="588">
        <f t="shared" si="108"/>
        <v>5.4970024649780624E-2</v>
      </c>
      <c r="CH79" s="588">
        <f t="shared" si="108"/>
        <v>0.1249831182916965</v>
      </c>
      <c r="CI79" s="588">
        <f t="shared" si="108"/>
        <v>0.11020210947521192</v>
      </c>
      <c r="CJ79" s="588">
        <f t="shared" si="108"/>
        <v>0.19641723118713195</v>
      </c>
      <c r="CK79" s="589">
        <f t="shared" si="108"/>
        <v>0.12178191657517057</v>
      </c>
      <c r="CL79" s="588">
        <f t="shared" si="108"/>
        <v>0.12968960695588061</v>
      </c>
      <c r="CM79" s="588">
        <f t="shared" si="108"/>
        <v>0.11138613861386171</v>
      </c>
      <c r="CN79" s="588">
        <f t="shared" si="108"/>
        <v>0.47689178051937975</v>
      </c>
      <c r="CO79" s="588">
        <f t="shared" si="108"/>
        <v>0.8420503330452711</v>
      </c>
      <c r="CP79" s="589">
        <f t="shared" si="108"/>
        <v>0.40035238482520752</v>
      </c>
      <c r="CQ79" s="588">
        <f t="shared" si="109"/>
        <v>1.1596063299838613</v>
      </c>
      <c r="CR79" s="588">
        <f t="shared" si="109"/>
        <v>1.0050882369710465</v>
      </c>
      <c r="CS79" s="588">
        <f t="shared" si="109"/>
        <v>0.57021996615905235</v>
      </c>
      <c r="CT79" s="588">
        <f t="shared" si="109"/>
        <v>0.34155844155844139</v>
      </c>
      <c r="CU79" s="589">
        <f t="shared" si="109"/>
        <v>0.68796958884039117</v>
      </c>
      <c r="CV79" s="588">
        <f t="shared" si="110"/>
        <v>3.7389118968555568E-2</v>
      </c>
      <c r="CW79" s="588">
        <f t="shared" si="110"/>
        <v>-3.3330377290381463E-3</v>
      </c>
      <c r="CX79" s="588">
        <f t="shared" si="110"/>
        <v>3.1805442887928859E-3</v>
      </c>
      <c r="CY79" s="588">
        <f t="shared" si="110"/>
        <v>1.9361084220714808E-3</v>
      </c>
      <c r="CZ79" s="589">
        <f t="shared" si="110"/>
        <v>9.3761002588603759E-3</v>
      </c>
      <c r="DA79" s="716">
        <f t="shared" si="110"/>
        <v>6.0753895135321256E-2</v>
      </c>
      <c r="DB79" s="716">
        <f t="shared" si="110"/>
        <v>-8.5994286447583446E-2</v>
      </c>
      <c r="DC79" s="716">
        <f t="shared" si="110"/>
        <v>-5.7289426050923686E-2</v>
      </c>
      <c r="DD79" s="716">
        <f t="shared" si="110"/>
        <v>-6.1473906086956243E-2</v>
      </c>
      <c r="DE79" s="717">
        <f t="shared" si="110"/>
        <v>-3.6536394186044596E-2</v>
      </c>
      <c r="DF79" s="846">
        <f>IFERROR(87.8/AE79-1,"N/A")</f>
        <v>-0.10153102813106918</v>
      </c>
      <c r="DG79" s="846">
        <f>IFERROR(87.1/AF79-1,"N/A")</f>
        <v>6.2036277588745747E-2</v>
      </c>
      <c r="DH79" s="846">
        <f>IFERROR(85.2/AG79-1,"N/A")</f>
        <v>-2.9190227785898526E-2</v>
      </c>
      <c r="DI79" s="846">
        <f>IFERROR(100.1/AH79-1,"N/A")</f>
        <v>3.0498528199381703E-2</v>
      </c>
      <c r="DJ79" s="717">
        <f t="shared" si="111"/>
        <v>-1.799969491419029E-3</v>
      </c>
      <c r="DK79" s="716">
        <f t="shared" si="111"/>
        <v>-2.6894870367578871E-2</v>
      </c>
      <c r="DL79" s="716">
        <f t="shared" si="111"/>
        <v>2.0212133600056026E-2</v>
      </c>
      <c r="DM79" s="716">
        <f t="shared" si="111"/>
        <v>3.6062724562306858E-2</v>
      </c>
      <c r="DN79" s="716">
        <f t="shared" si="111"/>
        <v>-2.0031287542236931E-2</v>
      </c>
      <c r="DO79" s="717">
        <f t="shared" si="111"/>
        <v>1.3005520110440649E-3</v>
      </c>
      <c r="DP79" s="716">
        <f t="shared" si="111"/>
        <v>6.4968616901847298E-2</v>
      </c>
      <c r="DQ79" s="716">
        <f t="shared" si="111"/>
        <v>-1.3940391056350476E-2</v>
      </c>
      <c r="DR79" s="716">
        <f t="shared" si="111"/>
        <v>4.6609116329354716E-3</v>
      </c>
      <c r="DS79" s="716">
        <f t="shared" si="111"/>
        <v>-0.10841600829902132</v>
      </c>
      <c r="DT79" s="717">
        <f t="shared" si="111"/>
        <v>-1.6385828308948969E-2</v>
      </c>
      <c r="DU79" s="716">
        <f t="shared" si="107"/>
        <v>-7.3065252644757939E-2</v>
      </c>
      <c r="DV79" s="716">
        <f t="shared" si="107"/>
        <v>-1.9056241509536109E-2</v>
      </c>
      <c r="DW79" s="716">
        <f t="shared" si="107"/>
        <v>-2.8584287700105238E-2</v>
      </c>
      <c r="DX79" s="716">
        <f t="shared" si="107"/>
        <v>-3.4907158614486455E-2</v>
      </c>
      <c r="DY79" s="717">
        <f t="shared" si="107"/>
        <v>-3.919714944914332E-2</v>
      </c>
      <c r="DZ79" s="716">
        <f t="shared" si="107"/>
        <v>1.0261066808270325E-3</v>
      </c>
      <c r="EA79" s="716">
        <f t="shared" si="107"/>
        <v>1.1606057751695653E-2</v>
      </c>
      <c r="EB79" s="716">
        <f t="shared" si="107"/>
        <v>3.1647137635641975E-2</v>
      </c>
      <c r="EC79" s="716">
        <f t="shared" si="107"/>
        <v>6.2259888920108253E-2</v>
      </c>
      <c r="ED79" s="717">
        <f t="shared" si="107"/>
        <v>1.7835789322356632E-2</v>
      </c>
      <c r="EE79" s="716">
        <f t="shared" si="107"/>
        <v>4.3376318874560171E-2</v>
      </c>
      <c r="EF79" s="716">
        <f t="shared" si="107"/>
        <v>9.7728160546504128E-3</v>
      </c>
      <c r="EG79" s="716">
        <f t="shared" si="107"/>
        <v>1.2776179066926741E-2</v>
      </c>
      <c r="EH79" s="716">
        <f t="shared" ca="1" si="107"/>
        <v>-5.0509094333052951E-2</v>
      </c>
      <c r="EI79" s="717">
        <f t="shared" ca="1" si="107"/>
        <v>-3.0663075223993141E-2</v>
      </c>
      <c r="EJ79" s="717">
        <f t="shared" ca="1" si="112"/>
        <v>-9.5643152983602153E-3</v>
      </c>
      <c r="EK79" s="717">
        <f t="shared" ca="1" si="112"/>
        <v>6.6042504741468333E-2</v>
      </c>
    </row>
    <row r="80" spans="2:141" s="6" customFormat="1">
      <c r="B80" s="6" t="s">
        <v>26</v>
      </c>
      <c r="C80" s="34"/>
      <c r="D80" s="553"/>
      <c r="E80" s="78">
        <f t="shared" ref="E80:AM80" si="116">+E79/E66</f>
        <v>0.68780768930218017</v>
      </c>
      <c r="F80" s="78">
        <f t="shared" si="116"/>
        <v>0.68780768930218017</v>
      </c>
      <c r="G80" s="78">
        <f t="shared" si="116"/>
        <v>0.70526070134869134</v>
      </c>
      <c r="H80" s="78">
        <f t="shared" si="116"/>
        <v>0.6627441317875975</v>
      </c>
      <c r="I80" s="553">
        <f t="shared" si="116"/>
        <v>0.68572564766588118</v>
      </c>
      <c r="J80" s="78">
        <f t="shared" si="116"/>
        <v>0.69465648854961837</v>
      </c>
      <c r="K80" s="78">
        <f t="shared" si="116"/>
        <v>0.76226415094339617</v>
      </c>
      <c r="L80" s="78">
        <f t="shared" si="116"/>
        <v>0.74236696941650693</v>
      </c>
      <c r="M80" s="78">
        <f t="shared" si="116"/>
        <v>0.77881856865226007</v>
      </c>
      <c r="N80" s="553">
        <f t="shared" si="116"/>
        <v>0.74476617684833124</v>
      </c>
      <c r="O80" s="78">
        <f t="shared" si="116"/>
        <v>0.76696010639160328</v>
      </c>
      <c r="P80" s="78">
        <f t="shared" si="116"/>
        <v>0.82688766114180501</v>
      </c>
      <c r="Q80" s="78">
        <f t="shared" si="116"/>
        <v>0.7986486486486486</v>
      </c>
      <c r="R80" s="78">
        <f t="shared" si="116"/>
        <v>0.7946336429308567</v>
      </c>
      <c r="S80" s="553">
        <f t="shared" si="116"/>
        <v>0.79665929327238116</v>
      </c>
      <c r="T80" s="567">
        <f t="shared" si="116"/>
        <v>0.77124773960216997</v>
      </c>
      <c r="U80" s="78">
        <f t="shared" si="116"/>
        <v>0.76489687915589999</v>
      </c>
      <c r="V80" s="78">
        <f t="shared" si="116"/>
        <v>0.75086290108423692</v>
      </c>
      <c r="W80" s="78">
        <f t="shared" si="116"/>
        <v>0.78510998307952606</v>
      </c>
      <c r="X80" s="78">
        <f t="shared" si="116"/>
        <v>0.83239323126510889</v>
      </c>
      <c r="Y80" s="553">
        <f t="shared" si="116"/>
        <v>0.78388666006690355</v>
      </c>
      <c r="Z80" s="78">
        <f t="shared" si="116"/>
        <v>0.76136240264462807</v>
      </c>
      <c r="AA80" s="78">
        <f t="shared" si="116"/>
        <v>0.72146633809068594</v>
      </c>
      <c r="AB80" s="78">
        <f t="shared" si="116"/>
        <v>0.75524450788906383</v>
      </c>
      <c r="AC80" s="78">
        <f t="shared" si="116"/>
        <v>0.80733229329173173</v>
      </c>
      <c r="AD80" s="553">
        <f t="shared" si="116"/>
        <v>0.76171939352475104</v>
      </c>
      <c r="AE80" s="78">
        <f t="shared" si="116"/>
        <v>0.79191081231766614</v>
      </c>
      <c r="AF80" s="78">
        <f t="shared" si="116"/>
        <v>0.70340325006128857</v>
      </c>
      <c r="AG80" s="78">
        <f t="shared" si="116"/>
        <v>0.68710287860694275</v>
      </c>
      <c r="AH80" s="78">
        <f t="shared" si="116"/>
        <v>0.76710353125494268</v>
      </c>
      <c r="AI80" s="553">
        <f t="shared" si="116"/>
        <v>0.73759557899460726</v>
      </c>
      <c r="AJ80" s="78">
        <f t="shared" si="116"/>
        <v>0.73836076359615799</v>
      </c>
      <c r="AK80" s="78">
        <f t="shared" si="116"/>
        <v>0.69650172496510132</v>
      </c>
      <c r="AL80" s="78">
        <f t="shared" si="116"/>
        <v>0.69905428240238188</v>
      </c>
      <c r="AM80" s="78">
        <f t="shared" si="116"/>
        <v>0.77965049953502763</v>
      </c>
      <c r="AN80" s="553">
        <f>AN79/AN66</f>
        <v>0.72879753170669881</v>
      </c>
      <c r="AO80" s="78">
        <f>+AO79/AO66</f>
        <v>0.72844925645569614</v>
      </c>
      <c r="AP80" s="78">
        <f>+AP79/AP66</f>
        <v>0.74872453135946615</v>
      </c>
      <c r="AQ80" s="78">
        <f>+AQ79/AQ66</f>
        <v>0.75310192413502119</v>
      </c>
      <c r="AR80" s="78">
        <f>+AR79/AR66</f>
        <v>0.8050562220146219</v>
      </c>
      <c r="AS80" s="553">
        <f>AS79/AS66</f>
        <v>0.75924647320833338</v>
      </c>
      <c r="AT80" s="78">
        <f>+AT79/AT66</f>
        <v>0.76405741770422009</v>
      </c>
      <c r="AU80" s="78">
        <f>+AU79/AU66</f>
        <v>0.75724262980486701</v>
      </c>
      <c r="AV80" s="78">
        <f>+AV79/AV66</f>
        <v>0.78219348912416586</v>
      </c>
      <c r="AW80" s="78">
        <f>+AW79/AW66</f>
        <v>0.79599660951066897</v>
      </c>
      <c r="AX80" s="553">
        <f>AX79/AX66</f>
        <v>0.77448761261591603</v>
      </c>
      <c r="AY80" s="78">
        <f>+AY79/AY66</f>
        <v>0.76458665549130678</v>
      </c>
      <c r="AZ80" s="78">
        <f>+AZ79/AZ66</f>
        <v>0.77127813865683859</v>
      </c>
      <c r="BA80" s="78">
        <f>+BA79/BA66</f>
        <v>0.78872777114455994</v>
      </c>
      <c r="BB80" s="78">
        <f>+BB79/BB66</f>
        <v>0.76084851191042802</v>
      </c>
      <c r="BC80" s="553">
        <f>BC79/BC66</f>
        <v>0.77130546290539481</v>
      </c>
      <c r="BD80" s="78">
        <f>+BD79/BD66</f>
        <v>0.76985559566786999</v>
      </c>
      <c r="BE80" s="78">
        <f>+BE79/BE66</f>
        <v>0.79560176729576026</v>
      </c>
      <c r="BF80" s="78">
        <f>+BF79/BF66</f>
        <v>0.80670662795758052</v>
      </c>
      <c r="BG80" s="78">
        <f>+BG79/BG66</f>
        <v>0.75820035196822255</v>
      </c>
      <c r="BH80" s="553">
        <f>BH79/BH66</f>
        <v>0.77546741531396424</v>
      </c>
      <c r="BI80" s="78">
        <f>+BI79/BI66</f>
        <v>0.79252003561887785</v>
      </c>
      <c r="BJ80" s="78">
        <f>+BJ79/BJ66</f>
        <v>0.80344202898550721</v>
      </c>
      <c r="BK80" s="78">
        <f>+BK79/BK66</f>
        <v>0.88867187499999989</v>
      </c>
      <c r="BL80" s="78">
        <f ca="1">+BL79/BL66</f>
        <v>0.79076886835594107</v>
      </c>
      <c r="BM80" s="553">
        <f ca="1">BM79/BM66</f>
        <v>0.78321557971566735</v>
      </c>
      <c r="BN80" s="553">
        <f ca="1">BN79/BN66</f>
        <v>0.77521557971566735</v>
      </c>
      <c r="BO80" s="553">
        <f ca="1">BO79/BO66</f>
        <v>0.77521557971566724</v>
      </c>
      <c r="BP80" s="633"/>
      <c r="BQ80" s="894">
        <v>0.76969458441965666</v>
      </c>
      <c r="BR80" s="567"/>
      <c r="BS80" s="567"/>
      <c r="BT80" s="567"/>
      <c r="BU80" s="34"/>
      <c r="BV80" s="226">
        <v>0.68780768930218006</v>
      </c>
      <c r="BW80" s="226">
        <v>0.7293212394922105</v>
      </c>
      <c r="BX80" s="226"/>
      <c r="BY80" s="226">
        <v>0.66200000000000003</v>
      </c>
      <c r="BZ80" s="226">
        <v>0.69299999999999995</v>
      </c>
      <c r="CA80" s="226">
        <v>0.68574157946290915</v>
      </c>
      <c r="CB80" s="226">
        <v>0.74507413878236328</v>
      </c>
      <c r="CC80" s="226"/>
      <c r="CK80" s="689"/>
      <c r="CP80" s="689"/>
      <c r="CU80" s="689"/>
      <c r="CZ80" s="689"/>
      <c r="DA80" s="710"/>
      <c r="DB80" s="710"/>
      <c r="DC80" s="710"/>
      <c r="DD80" s="710"/>
      <c r="DE80" s="711"/>
      <c r="DF80" s="710"/>
      <c r="DG80" s="710"/>
      <c r="DH80" s="710"/>
      <c r="DI80" s="710"/>
      <c r="DJ80" s="711"/>
      <c r="DK80" s="710"/>
      <c r="DL80" s="710"/>
      <c r="DM80" s="710"/>
      <c r="DN80" s="710"/>
      <c r="DO80" s="711"/>
      <c r="DP80" s="710"/>
      <c r="DQ80" s="710"/>
      <c r="DR80" s="710"/>
      <c r="DS80" s="710"/>
      <c r="DT80" s="711"/>
      <c r="DU80" s="710"/>
      <c r="DV80" s="710"/>
      <c r="DW80" s="710"/>
      <c r="DX80" s="710"/>
      <c r="DY80" s="711"/>
      <c r="DZ80" s="710"/>
      <c r="EA80" s="710"/>
      <c r="EB80" s="710"/>
      <c r="EC80" s="710"/>
      <c r="ED80" s="711"/>
      <c r="EE80" s="710"/>
      <c r="EF80" s="710"/>
      <c r="EG80" s="710"/>
      <c r="EH80" s="710"/>
      <c r="EI80" s="711"/>
      <c r="EJ80" s="711"/>
      <c r="EK80" s="711"/>
    </row>
    <row r="81" spans="2:141">
      <c r="B81" s="6"/>
      <c r="C81" s="218"/>
      <c r="D81" s="560"/>
      <c r="E81" s="78"/>
      <c r="F81" s="78"/>
      <c r="G81" s="213"/>
      <c r="H81" s="213"/>
      <c r="I81" s="560"/>
      <c r="J81" s="78"/>
      <c r="K81" s="78"/>
      <c r="L81" s="213"/>
      <c r="M81" s="213"/>
      <c r="N81" s="560"/>
      <c r="O81" s="213"/>
      <c r="P81" s="213"/>
      <c r="Q81" s="213"/>
      <c r="R81" s="213"/>
      <c r="S81" s="560"/>
      <c r="T81" s="563"/>
      <c r="U81" s="213"/>
      <c r="V81" s="213"/>
      <c r="W81" s="213"/>
      <c r="X81" s="213"/>
      <c r="Y81" s="560"/>
      <c r="Z81" s="213"/>
      <c r="AA81" s="213"/>
      <c r="AB81" s="213"/>
      <c r="AC81" s="213"/>
      <c r="AD81" s="560"/>
      <c r="AE81" s="213"/>
      <c r="AF81" s="213"/>
      <c r="AG81" s="213"/>
      <c r="AH81" s="213"/>
      <c r="AI81" s="560"/>
      <c r="AJ81" s="213"/>
      <c r="AK81" s="213"/>
      <c r="AL81" s="213"/>
      <c r="AM81" s="213"/>
      <c r="AN81" s="560"/>
      <c r="AP81" s="213"/>
      <c r="AQ81" s="213"/>
      <c r="AR81" s="213"/>
      <c r="AS81" s="560"/>
      <c r="AT81" s="213"/>
      <c r="AU81" s="213"/>
      <c r="AV81" s="213"/>
      <c r="AW81" s="213"/>
      <c r="AX81" s="560"/>
      <c r="AY81" s="213"/>
      <c r="AZ81" s="213"/>
      <c r="BA81" s="213"/>
      <c r="BB81" s="213"/>
      <c r="BC81" s="560"/>
      <c r="BD81" s="213"/>
      <c r="BE81" s="213"/>
      <c r="BF81" s="213"/>
      <c r="BG81" s="213"/>
      <c r="BH81" s="560"/>
      <c r="BI81" s="213"/>
      <c r="BJ81" s="213"/>
      <c r="BK81" s="213"/>
      <c r="BL81" s="213"/>
      <c r="BM81" s="560"/>
      <c r="BN81" s="560"/>
      <c r="BO81" s="560"/>
      <c r="BP81" s="634"/>
      <c r="BQ81" s="895"/>
      <c r="BR81" s="563"/>
      <c r="BS81" s="563"/>
      <c r="BT81" s="563"/>
      <c r="BU81" s="218"/>
      <c r="BV81" s="222"/>
      <c r="BW81" s="222"/>
      <c r="BX81" s="222"/>
      <c r="BY81" s="222"/>
      <c r="BZ81" s="222"/>
      <c r="CA81" s="222"/>
      <c r="CB81" s="222"/>
      <c r="CC81" s="222"/>
      <c r="DA81" s="708"/>
      <c r="DB81" s="708"/>
      <c r="DC81" s="708"/>
      <c r="DD81" s="708"/>
      <c r="DE81" s="709"/>
      <c r="DF81" s="841"/>
      <c r="DG81" s="841"/>
      <c r="DH81" s="841"/>
      <c r="DI81" s="841"/>
      <c r="DJ81" s="709"/>
      <c r="DK81" s="708"/>
      <c r="DL81" s="708"/>
      <c r="DM81" s="708"/>
      <c r="DN81" s="708"/>
      <c r="DO81" s="709"/>
      <c r="DP81" s="708"/>
      <c r="DQ81" s="708"/>
      <c r="DR81" s="708"/>
      <c r="DS81" s="708"/>
      <c r="DT81" s="709"/>
      <c r="DU81" s="708"/>
      <c r="DV81" s="708"/>
      <c r="DW81" s="708"/>
      <c r="DX81" s="708"/>
      <c r="DY81" s="709"/>
      <c r="DZ81" s="708"/>
      <c r="EA81" s="708"/>
      <c r="EB81" s="708"/>
      <c r="EC81" s="708"/>
      <c r="ED81" s="709"/>
      <c r="EE81" s="708"/>
      <c r="EF81" s="708"/>
      <c r="EG81" s="708"/>
      <c r="EH81" s="708"/>
      <c r="EI81" s="709"/>
      <c r="EJ81" s="709"/>
      <c r="EK81" s="709"/>
    </row>
    <row r="82" spans="2:141">
      <c r="B82" s="6" t="s">
        <v>1539</v>
      </c>
      <c r="C82" s="218"/>
      <c r="D82" s="560"/>
      <c r="E82" s="78"/>
      <c r="F82" s="78"/>
      <c r="G82" s="213"/>
      <c r="H82" s="213"/>
      <c r="I82" s="560"/>
      <c r="J82" s="78"/>
      <c r="K82" s="78"/>
      <c r="L82" s="213"/>
      <c r="M82" s="213"/>
      <c r="N82" s="560"/>
      <c r="O82" s="213"/>
      <c r="P82" s="213"/>
      <c r="Q82" s="213"/>
      <c r="R82" s="213"/>
      <c r="S82" s="560"/>
      <c r="T82" s="563"/>
      <c r="U82" s="213"/>
      <c r="V82" s="213"/>
      <c r="W82" s="213"/>
      <c r="X82" s="213"/>
      <c r="Y82" s="560"/>
      <c r="Z82" s="213"/>
      <c r="AA82" s="213"/>
      <c r="AB82" s="213"/>
      <c r="AC82" s="213"/>
      <c r="AD82" s="560"/>
      <c r="AE82" s="213"/>
      <c r="AF82" s="213"/>
      <c r="AG82" s="213"/>
      <c r="AH82" s="213"/>
      <c r="AI82" s="560"/>
      <c r="AJ82" s="213"/>
      <c r="AK82" s="213"/>
      <c r="AL82" s="213"/>
      <c r="AM82" s="213"/>
      <c r="AN82" s="560"/>
      <c r="AO82" s="816">
        <f>AO86-AO79</f>
        <v>-29.203568940000004</v>
      </c>
      <c r="AP82" s="816">
        <f>AP86-AP79</f>
        <v>-29.029162809999995</v>
      </c>
      <c r="AQ82" s="816">
        <f>AQ86-AQ79</f>
        <v>-29.711616239999984</v>
      </c>
      <c r="AR82" s="816">
        <f>AR86-AR79</f>
        <v>-34.309998489999998</v>
      </c>
      <c r="AS82" s="818">
        <f>AR82+AQ82+AP82+AO82</f>
        <v>-122.25434647999998</v>
      </c>
      <c r="AT82" s="816">
        <f t="shared" ref="AT82:BB82" si="117">AT86-AT79</f>
        <v>-29.901408260000004</v>
      </c>
      <c r="AU82" s="816">
        <f t="shared" si="117"/>
        <v>-31.17861353</v>
      </c>
      <c r="AV82" s="816">
        <f t="shared" si="117"/>
        <v>-31.380529779999996</v>
      </c>
      <c r="AW82" s="816">
        <f t="shared" si="117"/>
        <v>-39.553132039999973</v>
      </c>
      <c r="AX82" s="818">
        <f>AW82+AV82+AU82+AT82</f>
        <v>-132.01368360999999</v>
      </c>
      <c r="AY82" s="816">
        <f t="shared" si="117"/>
        <v>-36.245562820000004</v>
      </c>
      <c r="AZ82" s="816">
        <f t="shared" si="117"/>
        <v>-38.263743340000005</v>
      </c>
      <c r="BA82" s="816">
        <f t="shared" si="117"/>
        <v>-38.749704570000006</v>
      </c>
      <c r="BB82" s="939">
        <f t="shared" si="117"/>
        <v>-49.573800709999958</v>
      </c>
      <c r="BC82" s="818">
        <f>BB82+BA82+AZ82+AY82</f>
        <v>-162.83281143999997</v>
      </c>
      <c r="BD82" s="816">
        <f>BD86-BD79</f>
        <v>-41.139999999999993</v>
      </c>
      <c r="BE82" s="816">
        <f>BE86-BE79</f>
        <v>-39.170679869999987</v>
      </c>
      <c r="BF82" s="816">
        <f>BF86-BF79</f>
        <v>-41.229541699999992</v>
      </c>
      <c r="BG82" s="816">
        <f>BG86-BG79</f>
        <v>-38.98293807000001</v>
      </c>
      <c r="BH82" s="803">
        <f ca="1">Fixed!M246</f>
        <v>162.72196663848587</v>
      </c>
      <c r="BI82" s="816">
        <f>BI86-BI79</f>
        <v>-41.099999999999987</v>
      </c>
      <c r="BJ82" s="816">
        <f>BJ86-BJ79</f>
        <v>-43.599999999999987</v>
      </c>
      <c r="BK82" s="816">
        <f>BK86-BK79</f>
        <v>-42.399999999999984</v>
      </c>
      <c r="BL82" s="816">
        <f ca="1">BL86-BL79</f>
        <v>-42.627926362037293</v>
      </c>
      <c r="BM82" s="803">
        <f ca="1">Fixed!N246</f>
        <v>169.72792636203735</v>
      </c>
      <c r="BN82" s="803">
        <f ca="1">Fixed!O246</f>
        <v>155.37214127419594</v>
      </c>
      <c r="BO82" s="803">
        <f ca="1">Fixed!P246</f>
        <v>160.91279971048294</v>
      </c>
      <c r="BP82" s="634"/>
      <c r="BQ82" s="895"/>
      <c r="BR82" s="563"/>
      <c r="BS82" s="563"/>
      <c r="BT82" s="563"/>
      <c r="BU82" s="218"/>
      <c r="BV82" s="222"/>
      <c r="BW82" s="222"/>
      <c r="BX82" s="222"/>
      <c r="BY82" s="222"/>
      <c r="BZ82" s="222"/>
      <c r="CA82" s="222"/>
      <c r="CB82" s="222"/>
      <c r="CC82" s="222"/>
      <c r="DA82" s="708"/>
      <c r="DB82" s="708"/>
      <c r="DC82" s="708"/>
      <c r="DD82" s="708"/>
      <c r="DE82" s="709"/>
      <c r="DF82" s="841"/>
      <c r="DG82" s="841"/>
      <c r="DH82" s="841"/>
      <c r="DI82" s="841"/>
      <c r="DJ82" s="709"/>
      <c r="DK82" s="708"/>
      <c r="DL82" s="708"/>
      <c r="DM82" s="708"/>
      <c r="DN82" s="708"/>
      <c r="DO82" s="709"/>
      <c r="DP82" s="708"/>
      <c r="DQ82" s="708"/>
      <c r="DR82" s="708"/>
      <c r="DS82" s="708"/>
      <c r="DT82" s="709"/>
      <c r="DU82" s="704">
        <f t="shared" ref="DU82:EI86" si="118">IFERROR(AY82/AT82-1,"N/A")</f>
        <v>0.21216908932301903</v>
      </c>
      <c r="DV82" s="704">
        <f t="shared" si="118"/>
        <v>0.22724326093534297</v>
      </c>
      <c r="DW82" s="704">
        <f t="shared" si="118"/>
        <v>0.23483270810477719</v>
      </c>
      <c r="DX82" s="704">
        <f t="shared" si="118"/>
        <v>0.25334703355137878</v>
      </c>
      <c r="DY82" s="705">
        <f t="shared" si="118"/>
        <v>0.23345404042392359</v>
      </c>
      <c r="DZ82" s="704">
        <f t="shared" si="118"/>
        <v>0.135035485703626</v>
      </c>
      <c r="EA82" s="704">
        <f t="shared" si="118"/>
        <v>2.3702242667196005E-2</v>
      </c>
      <c r="EB82" s="704">
        <f t="shared" si="118"/>
        <v>6.3996284810900805E-2</v>
      </c>
      <c r="EC82" s="704">
        <f t="shared" si="118"/>
        <v>-0.21363830265819372</v>
      </c>
      <c r="ED82" s="705">
        <f t="shared" ca="1" si="118"/>
        <v>-1.9993192723227349</v>
      </c>
      <c r="EE82" s="704">
        <f t="shared" si="118"/>
        <v>-9.7228974234342402E-4</v>
      </c>
      <c r="EF82" s="704">
        <f t="shared" si="118"/>
        <v>0.11307743814251037</v>
      </c>
      <c r="EG82" s="704">
        <f t="shared" si="118"/>
        <v>2.8388826354574626E-2</v>
      </c>
      <c r="EH82" s="704">
        <f t="shared" ca="1" si="118"/>
        <v>9.350214407883084E-2</v>
      </c>
      <c r="EI82" s="705">
        <f t="shared" ca="1" si="118"/>
        <v>4.3054787674219774E-2</v>
      </c>
      <c r="EJ82" s="705">
        <f ca="1">IFERROR(BN82/BM82-1,"N/A")</f>
        <v>-8.4581161129724025E-2</v>
      </c>
      <c r="EK82" s="705">
        <f ca="1">IFERROR(BO82/BN82-1,"N/A")</f>
        <v>3.5660565599781702E-2</v>
      </c>
    </row>
    <row r="83" spans="2:141" hidden="1" outlineLevel="1">
      <c r="B83" s="212" t="s">
        <v>83</v>
      </c>
      <c r="C83" s="314"/>
      <c r="D83" s="688"/>
      <c r="E83" s="802">
        <f>+BV83*0.49</f>
        <v>-7.2250499999999995</v>
      </c>
      <c r="F83" s="802">
        <f>+BV83-E83</f>
        <v>-7.5199499999999997</v>
      </c>
      <c r="G83" s="802">
        <v>-6.5019999999999998</v>
      </c>
      <c r="H83" s="802">
        <v>-7.3279999999999994</v>
      </c>
      <c r="I83" s="803">
        <f>SUM(E83:H83)</f>
        <v>-28.574999999999999</v>
      </c>
      <c r="J83" s="802">
        <v>-7.8</v>
      </c>
      <c r="K83" s="802">
        <v>-7.6</v>
      </c>
      <c r="L83" s="802">
        <v>-7.75</v>
      </c>
      <c r="M83" s="802">
        <v>-7.4350637999999982</v>
      </c>
      <c r="N83" s="803">
        <f>SUM(J83:M83)</f>
        <v>-30.585063799999997</v>
      </c>
      <c r="O83" s="802">
        <v>-9.2976965500000013</v>
      </c>
      <c r="P83" s="802">
        <v>-9.5</v>
      </c>
      <c r="Q83" s="802">
        <v>-12.1</v>
      </c>
      <c r="R83" s="802">
        <v>-13.6</v>
      </c>
      <c r="S83" s="803">
        <f>SUM(O83:R83)</f>
        <v>-44.497696550000001</v>
      </c>
      <c r="T83" s="802"/>
      <c r="U83" s="802">
        <v>-19.480093480000001</v>
      </c>
      <c r="V83" s="802">
        <v>-17.966081019999994</v>
      </c>
      <c r="W83" s="802">
        <v>-18.5</v>
      </c>
      <c r="X83" s="802">
        <v>-18</v>
      </c>
      <c r="Y83" s="803">
        <f>SUM(U83:X83)</f>
        <v>-73.946174499999998</v>
      </c>
      <c r="Z83" s="802">
        <v>-18.53444696</v>
      </c>
      <c r="AA83" s="802">
        <v>-15.442553039999998</v>
      </c>
      <c r="AB83" s="802">
        <v>-17.088095139999997</v>
      </c>
      <c r="AC83" s="802">
        <v>-18</v>
      </c>
      <c r="AD83" s="803">
        <f>SUM(Z83:AC83)</f>
        <v>-69.065095139999997</v>
      </c>
      <c r="AE83" s="802">
        <v>-19.600000000000001</v>
      </c>
      <c r="AF83" s="802">
        <v>-15.932664029999996</v>
      </c>
      <c r="AG83" s="802">
        <v>-18.716389660000001</v>
      </c>
      <c r="AH83" s="802">
        <v>-19.679890650000001</v>
      </c>
      <c r="AI83" s="803">
        <f>SUM(AE83:AH83)</f>
        <v>-73.928944340000001</v>
      </c>
      <c r="AJ83" s="802">
        <v>-18.487594030000004</v>
      </c>
      <c r="AK83" s="802">
        <v>-18.777957279999992</v>
      </c>
      <c r="AL83" s="802">
        <v>-16.517416640000011</v>
      </c>
      <c r="AM83" s="802">
        <v>-21.02090110999999</v>
      </c>
      <c r="AN83" s="803">
        <f>AM83+AL83+AK83+AJ83</f>
        <v>-74.803869060000011</v>
      </c>
      <c r="AO83" s="802">
        <v>-19.265773330000005</v>
      </c>
      <c r="AP83" s="802">
        <v>-18.452456250000004</v>
      </c>
      <c r="AQ83" s="802">
        <v>-18.976738669999985</v>
      </c>
      <c r="AR83" s="802">
        <v>-20.357986510000003</v>
      </c>
      <c r="AS83" s="803">
        <f>AR83+AQ83+AP83+AO83</f>
        <v>-77.052954760000006</v>
      </c>
      <c r="AT83" s="802">
        <v>-20.091162780000001</v>
      </c>
      <c r="AU83" s="802">
        <v>-20.03731303</v>
      </c>
      <c r="AV83" s="802"/>
      <c r="AW83" s="802"/>
      <c r="AX83" s="803">
        <f>AW83+AV83+AU83+AT83</f>
        <v>-40.128475809999998</v>
      </c>
      <c r="AY83" s="802"/>
      <c r="AZ83" s="802"/>
      <c r="BA83" s="802"/>
      <c r="BB83" s="802"/>
      <c r="BC83" s="803">
        <f>BB83+BA83+AZ83+AY83</f>
        <v>0</v>
      </c>
      <c r="BD83" s="802"/>
      <c r="BE83" s="802"/>
      <c r="BF83" s="802"/>
      <c r="BG83" s="802"/>
      <c r="BH83" s="803">
        <f>Model!M49</f>
        <v>-72.568025173090561</v>
      </c>
      <c r="BI83" s="802"/>
      <c r="BJ83" s="802"/>
      <c r="BK83" s="802"/>
      <c r="BL83" s="802"/>
      <c r="BM83" s="803">
        <f ca="1">Model!N49</f>
        <v>-69.646981205978207</v>
      </c>
      <c r="BN83" s="803">
        <f ca="1">Model!O49</f>
        <v>-69.692717945300771</v>
      </c>
      <c r="BO83" s="803">
        <f ca="1">Model!P49</f>
        <v>-74.295399600649134</v>
      </c>
      <c r="BP83" s="215"/>
      <c r="BQ83" s="692"/>
      <c r="BR83" s="573"/>
      <c r="BS83" s="573"/>
      <c r="BT83" s="573"/>
      <c r="BU83" s="218"/>
      <c r="BV83" s="218">
        <v>-14.744999999999999</v>
      </c>
      <c r="BW83" s="218">
        <v>-15.401</v>
      </c>
      <c r="BX83" s="218"/>
      <c r="BY83" s="218">
        <v>-30.6</v>
      </c>
      <c r="BZ83" s="218">
        <v>-29.5</v>
      </c>
      <c r="CA83" s="218">
        <v>-28.524999999999999</v>
      </c>
      <c r="CB83" s="218">
        <v>-30.586063799999998</v>
      </c>
      <c r="CG83" s="313">
        <f t="shared" ref="CG83:CP86" si="119">IFERROR(J83/E83-1,"N/A")</f>
        <v>7.9577303963294321E-2</v>
      </c>
      <c r="CH83" s="313">
        <f t="shared" si="119"/>
        <v>1.0645017586553118E-2</v>
      </c>
      <c r="CI83" s="313">
        <f t="shared" si="119"/>
        <v>0.19194094124884664</v>
      </c>
      <c r="CJ83" s="313">
        <f t="shared" si="119"/>
        <v>1.4610234716156967E-2</v>
      </c>
      <c r="CK83" s="575">
        <f t="shared" si="119"/>
        <v>7.0343440069991159E-2</v>
      </c>
      <c r="CL83" s="313">
        <f t="shared" si="119"/>
        <v>0.1920123782051284</v>
      </c>
      <c r="CM83" s="313">
        <f t="shared" si="119"/>
        <v>0.25</v>
      </c>
      <c r="CN83" s="313">
        <f t="shared" si="119"/>
        <v>0.56129032258064515</v>
      </c>
      <c r="CO83" s="313">
        <f t="shared" si="119"/>
        <v>0.82917058492490714</v>
      </c>
      <c r="CP83" s="575">
        <f t="shared" si="119"/>
        <v>0.4548832345414302</v>
      </c>
      <c r="CQ83" s="313">
        <f t="shared" ref="CQ83:CU86" si="120">IFERROR(U83/O83-1,"N/A")</f>
        <v>1.0951526407903684</v>
      </c>
      <c r="CR83" s="313">
        <f t="shared" si="120"/>
        <v>0.89116642315789396</v>
      </c>
      <c r="CS83" s="313">
        <f t="shared" si="120"/>
        <v>0.52892561983471076</v>
      </c>
      <c r="CT83" s="313">
        <f t="shared" si="120"/>
        <v>0.32352941176470584</v>
      </c>
      <c r="CU83" s="575">
        <f t="shared" si="120"/>
        <v>0.66179780602598393</v>
      </c>
      <c r="CV83" s="313">
        <f t="shared" ref="CV83:DE84" si="121">IFERROR(Z83/U83-1,"N/A")</f>
        <v>-4.8544249593611366E-2</v>
      </c>
      <c r="CW83" s="313">
        <f t="shared" si="121"/>
        <v>-0.14046068127995093</v>
      </c>
      <c r="CX83" s="313">
        <f t="shared" si="121"/>
        <v>-7.6319181621621768E-2</v>
      </c>
      <c r="CY83" s="313">
        <f t="shared" si="121"/>
        <v>0</v>
      </c>
      <c r="CZ83" s="575">
        <f t="shared" si="121"/>
        <v>-6.6008544634043265E-2</v>
      </c>
      <c r="DA83" s="704">
        <f t="shared" si="121"/>
        <v>5.7490414593951433E-2</v>
      </c>
      <c r="DB83" s="704">
        <f t="shared" si="121"/>
        <v>3.173769186548947E-2</v>
      </c>
      <c r="DC83" s="704">
        <f t="shared" si="121"/>
        <v>9.528824053586149E-2</v>
      </c>
      <c r="DD83" s="704">
        <f t="shared" si="121"/>
        <v>9.3327258333333329E-2</v>
      </c>
      <c r="DE83" s="705">
        <f t="shared" si="121"/>
        <v>7.0424129441082117E-2</v>
      </c>
      <c r="DF83" s="704">
        <f t="shared" ref="DF83:DO84" si="122">IFERROR(AJ83/AE83-1,"N/A")</f>
        <v>-5.6755406632652883E-2</v>
      </c>
      <c r="DG83" s="704">
        <f t="shared" si="122"/>
        <v>0.17858239178598923</v>
      </c>
      <c r="DH83" s="704">
        <f t="shared" si="122"/>
        <v>-0.1174891664442933</v>
      </c>
      <c r="DI83" s="704">
        <f t="shared" si="122"/>
        <v>6.8141154026178041E-2</v>
      </c>
      <c r="DJ83" s="705">
        <f t="shared" si="122"/>
        <v>1.1834670815482173E-2</v>
      </c>
      <c r="DK83" s="704">
        <f t="shared" si="122"/>
        <v>4.2091972526941079E-2</v>
      </c>
      <c r="DL83" s="704">
        <f t="shared" si="122"/>
        <v>-1.7334208675970908E-2</v>
      </c>
      <c r="DM83" s="704">
        <f t="shared" si="122"/>
        <v>0.14889265577065269</v>
      </c>
      <c r="DN83" s="704">
        <f t="shared" si="122"/>
        <v>-3.1535974434731884E-2</v>
      </c>
      <c r="DO83" s="705">
        <f t="shared" si="122"/>
        <v>3.0066435443279138E-2</v>
      </c>
      <c r="DP83" s="704">
        <f t="shared" ref="DP83:DT84" si="123">IFERROR(AT83/AO83-1,"N/A")</f>
        <v>4.2842269337547201E-2</v>
      </c>
      <c r="DQ83" s="704">
        <f t="shared" si="123"/>
        <v>8.5888662112394654E-2</v>
      </c>
      <c r="DR83" s="704">
        <f t="shared" si="123"/>
        <v>-1</v>
      </c>
      <c r="DS83" s="704">
        <f t="shared" si="123"/>
        <v>-1</v>
      </c>
      <c r="DT83" s="705">
        <f t="shared" si="123"/>
        <v>-0.47920912397208126</v>
      </c>
      <c r="DU83" s="704">
        <f t="shared" si="118"/>
        <v>-1</v>
      </c>
      <c r="DV83" s="704">
        <f t="shared" si="118"/>
        <v>-1</v>
      </c>
      <c r="DW83" s="704" t="str">
        <f t="shared" si="118"/>
        <v>N/A</v>
      </c>
      <c r="DX83" s="704" t="str">
        <f t="shared" si="118"/>
        <v>N/A</v>
      </c>
      <c r="DY83" s="705">
        <f t="shared" si="118"/>
        <v>-1</v>
      </c>
      <c r="DZ83" s="704" t="str">
        <f t="shared" si="118"/>
        <v>N/A</v>
      </c>
      <c r="EA83" s="704" t="str">
        <f t="shared" si="118"/>
        <v>N/A</v>
      </c>
      <c r="EB83" s="704" t="str">
        <f t="shared" si="118"/>
        <v>N/A</v>
      </c>
      <c r="EC83" s="704" t="str">
        <f t="shared" si="118"/>
        <v>N/A</v>
      </c>
      <c r="ED83" s="705" t="str">
        <f t="shared" si="118"/>
        <v>N/A</v>
      </c>
      <c r="EE83" s="704" t="str">
        <f t="shared" si="118"/>
        <v>N/A</v>
      </c>
      <c r="EF83" s="704" t="str">
        <f t="shared" si="118"/>
        <v>N/A</v>
      </c>
      <c r="EG83" s="704" t="str">
        <f t="shared" si="118"/>
        <v>N/A</v>
      </c>
      <c r="EH83" s="704" t="str">
        <f t="shared" si="118"/>
        <v>N/A</v>
      </c>
      <c r="EI83" s="705">
        <f t="shared" ca="1" si="118"/>
        <v>-4.0252493576131143E-2</v>
      </c>
      <c r="EJ83" s="705">
        <f t="shared" ref="EJ83:EK86" ca="1" si="124">IFERROR(BN83/BM83-1,"N/A")</f>
        <v>6.5669377955224206E-4</v>
      </c>
      <c r="EK83" s="705">
        <f t="shared" ca="1" si="124"/>
        <v>6.6042504741468555E-2</v>
      </c>
    </row>
    <row r="84" spans="2:141" hidden="1" outlineLevel="1">
      <c r="B84" s="212" t="s">
        <v>84</v>
      </c>
      <c r="C84" s="314"/>
      <c r="D84" s="688"/>
      <c r="E84" s="802">
        <f>+BV84*0.49</f>
        <v>-1.5851499999999998</v>
      </c>
      <c r="F84" s="802">
        <f>+BV84-E84</f>
        <v>-1.64985</v>
      </c>
      <c r="G84" s="802">
        <v>-1.9810000000000003</v>
      </c>
      <c r="H84" s="802">
        <v>-1.62</v>
      </c>
      <c r="I84" s="803">
        <f>SUM(E84:H84)</f>
        <v>-6.8360000000000003</v>
      </c>
      <c r="J84" s="802">
        <v>-1.9</v>
      </c>
      <c r="K84" s="802">
        <v>-2.7</v>
      </c>
      <c r="L84" s="802">
        <v>-1.6529999999999996</v>
      </c>
      <c r="M84" s="802">
        <v>-2.4923164499999997</v>
      </c>
      <c r="N84" s="803">
        <f>SUM(J84:M84)</f>
        <v>-8.7453164499999989</v>
      </c>
      <c r="O84" s="802">
        <v>-1.9900997199999999</v>
      </c>
      <c r="P84" s="802">
        <v>-1.8</v>
      </c>
      <c r="Q84" s="802">
        <v>-3.2</v>
      </c>
      <c r="R84" s="802">
        <v>-2.6</v>
      </c>
      <c r="S84" s="803">
        <f>SUM(O84:R84)</f>
        <v>-9.5900997199999996</v>
      </c>
      <c r="T84" s="802"/>
      <c r="U84" s="802">
        <v>-2.6492100700000001</v>
      </c>
      <c r="V84" s="802">
        <v>-3.5500762399999992</v>
      </c>
      <c r="W84" s="802">
        <v>-2.5</v>
      </c>
      <c r="X84" s="802">
        <v>-1</v>
      </c>
      <c r="Y84" s="803">
        <f>SUM(U84:X84)</f>
        <v>-9.6992863099999997</v>
      </c>
      <c r="Z84" s="802">
        <v>-2.3677559100000001</v>
      </c>
      <c r="AA84" s="802">
        <v>-1.8578946700000005</v>
      </c>
      <c r="AB84" s="802">
        <v>-0.8729994300000008</v>
      </c>
      <c r="AC84" s="802">
        <v>-1.2</v>
      </c>
      <c r="AD84" s="803">
        <f>SUM(Z84:AC84)</f>
        <v>-6.298650010000002</v>
      </c>
      <c r="AE84" s="802">
        <v>-1.7</v>
      </c>
      <c r="AF84" s="802">
        <v>-1.2992500499999997</v>
      </c>
      <c r="AG84" s="802">
        <v>-2.6816216600000007</v>
      </c>
      <c r="AH84" s="802">
        <v>-3.6936189499999981</v>
      </c>
      <c r="AI84" s="803">
        <f>SUM(AE84:AH84)</f>
        <v>-9.3744906599999975</v>
      </c>
      <c r="AJ84" s="802">
        <v>-3.2877347700000001</v>
      </c>
      <c r="AK84" s="802">
        <v>-3.1675576500000004</v>
      </c>
      <c r="AL84" s="802">
        <v>-1.1002077099999996</v>
      </c>
      <c r="AM84" s="802">
        <v>-2.3567724099999996</v>
      </c>
      <c r="AN84" s="803">
        <f>AM84+AL84+AK84+AJ84</f>
        <v>-9.91227254</v>
      </c>
      <c r="AO84" s="802">
        <v>-2.3540005399999999</v>
      </c>
      <c r="AP84" s="802">
        <v>-2.5466550500000005</v>
      </c>
      <c r="AQ84" s="802">
        <v>-2.0931685099999995</v>
      </c>
      <c r="AR84" s="802">
        <v>-3.5649844500000016</v>
      </c>
      <c r="AS84" s="803">
        <f>AR84+AQ84+AP84+AO84</f>
        <v>-10.55880855</v>
      </c>
      <c r="AT84" s="802">
        <v>-2.2866931400000001</v>
      </c>
      <c r="AU84" s="802">
        <v>-3.2298322399999999</v>
      </c>
      <c r="AV84" s="802"/>
      <c r="AW84" s="802"/>
      <c r="AX84" s="803">
        <f>AW84+AV84+AU84+AT84</f>
        <v>-5.51652538</v>
      </c>
      <c r="AY84" s="802"/>
      <c r="AZ84" s="802"/>
      <c r="BA84" s="802"/>
      <c r="BB84" s="802"/>
      <c r="BC84" s="803">
        <f>BB84+BA84+AZ84+AY84</f>
        <v>0</v>
      </c>
      <c r="BD84" s="802"/>
      <c r="BE84" s="802"/>
      <c r="BF84" s="802"/>
      <c r="BG84" s="802"/>
      <c r="BH84" s="803">
        <f>Model!M51</f>
        <v>-9.9442245536314289</v>
      </c>
      <c r="BI84" s="802"/>
      <c r="BJ84" s="802"/>
      <c r="BK84" s="802"/>
      <c r="BL84" s="802"/>
      <c r="BM84" s="803">
        <f ca="1">Model!N51</f>
        <v>-9.5439447186667756</v>
      </c>
      <c r="BN84" s="803">
        <f ca="1">Model!O51</f>
        <v>-9.5502121677959142</v>
      </c>
      <c r="BO84" s="803">
        <f ca="1">Model!P51</f>
        <v>-10.180932100169608</v>
      </c>
      <c r="BP84" s="215"/>
      <c r="BQ84" s="692"/>
      <c r="BR84" s="573"/>
      <c r="BS84" s="573"/>
      <c r="BT84" s="573"/>
      <c r="BU84" s="218"/>
      <c r="BV84" s="218">
        <v>-3.2349999999999999</v>
      </c>
      <c r="BW84" s="218">
        <v>-4.5990000000000002</v>
      </c>
      <c r="BX84" s="218"/>
      <c r="BY84" s="218">
        <v>-7.8</v>
      </c>
      <c r="BZ84" s="218">
        <v>-7</v>
      </c>
      <c r="CA84" s="218">
        <v>-6.8360000000000003</v>
      </c>
      <c r="CB84" s="218">
        <v>-8.7443164499999995</v>
      </c>
      <c r="CG84" s="313">
        <f t="shared" si="119"/>
        <v>0.19862473582941687</v>
      </c>
      <c r="CH84" s="313">
        <f t="shared" si="119"/>
        <v>0.63651241021911087</v>
      </c>
      <c r="CI84" s="313">
        <f t="shared" si="119"/>
        <v>-0.16557294295810232</v>
      </c>
      <c r="CJ84" s="313">
        <f t="shared" si="119"/>
        <v>0.5384669444444441</v>
      </c>
      <c r="CK84" s="575">
        <f t="shared" si="119"/>
        <v>0.27930316705675806</v>
      </c>
      <c r="CL84" s="313">
        <f t="shared" si="119"/>
        <v>4.7420905263157787E-2</v>
      </c>
      <c r="CM84" s="313">
        <f t="shared" si="119"/>
        <v>-0.33333333333333337</v>
      </c>
      <c r="CN84" s="313">
        <f t="shared" si="119"/>
        <v>0.93587416817906899</v>
      </c>
      <c r="CO84" s="313">
        <f t="shared" si="119"/>
        <v>4.3206210832496872E-2</v>
      </c>
      <c r="CP84" s="575">
        <f t="shared" si="119"/>
        <v>9.6598364945387427E-2</v>
      </c>
      <c r="CQ84" s="313">
        <f t="shared" si="120"/>
        <v>0.33119463480955624</v>
      </c>
      <c r="CR84" s="313">
        <f t="shared" si="120"/>
        <v>0.97226457777777719</v>
      </c>
      <c r="CS84" s="313">
        <f t="shared" si="120"/>
        <v>-0.21875</v>
      </c>
      <c r="CT84" s="313">
        <f t="shared" si="120"/>
        <v>-0.61538461538461542</v>
      </c>
      <c r="CU84" s="575">
        <f t="shared" si="120"/>
        <v>1.1385344593684898E-2</v>
      </c>
      <c r="CV84" s="313">
        <f t="shared" si="121"/>
        <v>-0.10624078595624542</v>
      </c>
      <c r="CW84" s="313">
        <f t="shared" si="121"/>
        <v>-0.47666062799823117</v>
      </c>
      <c r="CX84" s="313">
        <f t="shared" si="121"/>
        <v>-0.6508002279999997</v>
      </c>
      <c r="CY84" s="313">
        <f t="shared" si="121"/>
        <v>0.19999999999999996</v>
      </c>
      <c r="CZ84" s="575">
        <f t="shared" si="121"/>
        <v>-0.35060685820707538</v>
      </c>
      <c r="DA84" s="704">
        <f t="shared" si="121"/>
        <v>-0.28202058631964311</v>
      </c>
      <c r="DB84" s="704">
        <f t="shared" si="121"/>
        <v>-0.30068691676692338</v>
      </c>
      <c r="DC84" s="704">
        <f t="shared" si="121"/>
        <v>2.0717335749004993</v>
      </c>
      <c r="DD84" s="704">
        <f t="shared" si="121"/>
        <v>2.0780157916666653</v>
      </c>
      <c r="DE84" s="705">
        <f t="shared" si="121"/>
        <v>0.48833331668161617</v>
      </c>
      <c r="DF84" s="704">
        <f t="shared" si="122"/>
        <v>0.93396162941176475</v>
      </c>
      <c r="DG84" s="704">
        <f t="shared" si="122"/>
        <v>1.4379892461809036</v>
      </c>
      <c r="DH84" s="704">
        <f t="shared" si="122"/>
        <v>-0.58972299246717774</v>
      </c>
      <c r="DI84" s="704">
        <f t="shared" si="122"/>
        <v>-0.36193407010758361</v>
      </c>
      <c r="DJ84" s="705">
        <f t="shared" si="122"/>
        <v>5.7366517233268244E-2</v>
      </c>
      <c r="DK84" s="704">
        <f t="shared" si="122"/>
        <v>-0.28400533963997354</v>
      </c>
      <c r="DL84" s="704">
        <f t="shared" si="122"/>
        <v>-0.19601935263909087</v>
      </c>
      <c r="DM84" s="704">
        <f t="shared" si="122"/>
        <v>0.9025212157438891</v>
      </c>
      <c r="DN84" s="704">
        <f t="shared" si="122"/>
        <v>0.51265537345627799</v>
      </c>
      <c r="DO84" s="705">
        <f t="shared" si="122"/>
        <v>6.5225810467878897E-2</v>
      </c>
      <c r="DP84" s="704">
        <f t="shared" si="123"/>
        <v>-2.859277169069796E-2</v>
      </c>
      <c r="DQ84" s="704">
        <f t="shared" si="123"/>
        <v>0.26826451819613317</v>
      </c>
      <c r="DR84" s="704">
        <f t="shared" si="123"/>
        <v>-1</v>
      </c>
      <c r="DS84" s="704">
        <f t="shared" si="123"/>
        <v>-1</v>
      </c>
      <c r="DT84" s="705">
        <f t="shared" si="123"/>
        <v>-0.47754281613525418</v>
      </c>
      <c r="DU84" s="704">
        <f t="shared" si="118"/>
        <v>-1</v>
      </c>
      <c r="DV84" s="704">
        <f t="shared" si="118"/>
        <v>-1</v>
      </c>
      <c r="DW84" s="704" t="str">
        <f t="shared" si="118"/>
        <v>N/A</v>
      </c>
      <c r="DX84" s="704" t="str">
        <f t="shared" si="118"/>
        <v>N/A</v>
      </c>
      <c r="DY84" s="705">
        <f t="shared" si="118"/>
        <v>-1</v>
      </c>
      <c r="DZ84" s="704" t="str">
        <f t="shared" si="118"/>
        <v>N/A</v>
      </c>
      <c r="EA84" s="704" t="str">
        <f t="shared" si="118"/>
        <v>N/A</v>
      </c>
      <c r="EB84" s="704" t="str">
        <f t="shared" si="118"/>
        <v>N/A</v>
      </c>
      <c r="EC84" s="704" t="str">
        <f t="shared" si="118"/>
        <v>N/A</v>
      </c>
      <c r="ED84" s="705" t="str">
        <f t="shared" si="118"/>
        <v>N/A</v>
      </c>
      <c r="EE84" s="704" t="str">
        <f t="shared" si="118"/>
        <v>N/A</v>
      </c>
      <c r="EF84" s="704" t="str">
        <f t="shared" si="118"/>
        <v>N/A</v>
      </c>
      <c r="EG84" s="704" t="str">
        <f t="shared" si="118"/>
        <v>N/A</v>
      </c>
      <c r="EH84" s="704" t="str">
        <f t="shared" si="118"/>
        <v>N/A</v>
      </c>
      <c r="EI84" s="705">
        <f t="shared" ca="1" si="118"/>
        <v>-4.0252493576131032E-2</v>
      </c>
      <c r="EJ84" s="705">
        <f t="shared" ca="1" si="124"/>
        <v>6.5669377955224206E-4</v>
      </c>
      <c r="EK84" s="705">
        <f t="shared" ca="1" si="124"/>
        <v>6.6042504741468777E-2</v>
      </c>
    </row>
    <row r="85" spans="2:141" hidden="1" outlineLevel="1">
      <c r="B85" s="212" t="s">
        <v>75</v>
      </c>
      <c r="C85" s="314"/>
      <c r="D85" s="688"/>
      <c r="E85" s="802">
        <f>+BV85*0.49</f>
        <v>-4.6682299999999994</v>
      </c>
      <c r="F85" s="802">
        <f>+BV85-E85</f>
        <v>-4.8587699999999998</v>
      </c>
      <c r="G85" s="802">
        <v>-4.1830000000000007</v>
      </c>
      <c r="H85" s="802">
        <v>-4.2070000000000007</v>
      </c>
      <c r="I85" s="803">
        <f>SUM(E85:H85)</f>
        <v>-17.917000000000002</v>
      </c>
      <c r="J85" s="802">
        <v>-5</v>
      </c>
      <c r="K85" s="802">
        <v>-4.7</v>
      </c>
      <c r="L85" s="802">
        <v>-4.8999999999999986</v>
      </c>
      <c r="M85" s="802">
        <v>-5.8836705900000013</v>
      </c>
      <c r="N85" s="803">
        <f>SUM(J85:M85)</f>
        <v>-20.483670589999999</v>
      </c>
      <c r="O85" s="802">
        <v>-5.4377517199999987</v>
      </c>
      <c r="P85" s="802">
        <v>-5.9</v>
      </c>
      <c r="Q85" s="802">
        <v>-6.8</v>
      </c>
      <c r="R85" s="802">
        <v>-8.9</v>
      </c>
      <c r="S85" s="803">
        <f>SUM(O85:R85)</f>
        <v>-27.037751720000003</v>
      </c>
      <c r="T85" s="802"/>
      <c r="U85" s="802">
        <v>-10.25977363</v>
      </c>
      <c r="V85" s="802">
        <v>-9.4536165000000079</v>
      </c>
      <c r="W85" s="802">
        <v>-8.1999999999999993</v>
      </c>
      <c r="X85" s="802">
        <v>-13.2</v>
      </c>
      <c r="Y85" s="803">
        <f>SUM(U85:X85)</f>
        <v>-41.113390130000006</v>
      </c>
      <c r="Z85" s="802">
        <v>-10.14603868</v>
      </c>
      <c r="AA85" s="802">
        <v>-9.9959325099999958</v>
      </c>
      <c r="AB85" s="802">
        <v>-6.8493318600000013</v>
      </c>
      <c r="AC85" s="802">
        <v>-11.5</v>
      </c>
      <c r="AD85" s="803">
        <f>SUM(Z85:AC85)</f>
        <v>-38.491303049999999</v>
      </c>
      <c r="AE85" s="802">
        <v>-11</v>
      </c>
      <c r="AF85" s="802">
        <v>-12.17540885</v>
      </c>
      <c r="AG85" s="802">
        <v>-7.7361586400000011</v>
      </c>
      <c r="AH85" s="802">
        <v>-14.421681459999999</v>
      </c>
      <c r="AI85" s="803">
        <f>SUM(AE85:AH85)</f>
        <v>-45.333248949999998</v>
      </c>
      <c r="AJ85" s="802">
        <v>-10.11701729</v>
      </c>
      <c r="AK85" s="802">
        <v>-7.6970644900000007</v>
      </c>
      <c r="AL85" s="802">
        <v>-7.2952949699999943</v>
      </c>
      <c r="AM85" s="802">
        <v>-14.685362360000005</v>
      </c>
      <c r="AN85" s="803">
        <f>AM85+AL85+AK85+AJ85</f>
        <v>-39.794739110000002</v>
      </c>
      <c r="AO85" s="802">
        <v>-7.5837950700000007</v>
      </c>
      <c r="AP85" s="802">
        <v>-8.0300515099999981</v>
      </c>
      <c r="AQ85" s="802">
        <v>-8.6417090600000002</v>
      </c>
      <c r="AR85" s="802">
        <v>-10.387027529999997</v>
      </c>
      <c r="AS85" s="803">
        <f>AR85+AQ85+AP85+AO85</f>
        <v>-34.642583169999995</v>
      </c>
      <c r="AT85" s="802">
        <v>-7.5744222200000015</v>
      </c>
      <c r="AU85" s="802">
        <v>-7.9574664899999972</v>
      </c>
      <c r="AV85" s="802"/>
      <c r="AW85" s="802"/>
      <c r="AX85" s="803">
        <f>AW85+AV85+AU85+AT85</f>
        <v>-15.531888709999999</v>
      </c>
      <c r="AY85" s="802"/>
      <c r="AZ85" s="802"/>
      <c r="BA85" s="802"/>
      <c r="BB85" s="802"/>
      <c r="BC85" s="803">
        <f>BB85+BA85+AZ85+AY85</f>
        <v>0</v>
      </c>
      <c r="BD85" s="802"/>
      <c r="BE85" s="802"/>
      <c r="BF85" s="802"/>
      <c r="BG85" s="802"/>
      <c r="BH85" s="803">
        <f ca="1">Model!M53</f>
        <v>-77.191943033896223</v>
      </c>
      <c r="BI85" s="802"/>
      <c r="BJ85" s="802"/>
      <c r="BK85" s="802"/>
      <c r="BL85" s="802"/>
      <c r="BM85" s="803">
        <f ca="1">Model!N53</f>
        <v>-75.638854830124586</v>
      </c>
      <c r="BN85" s="803">
        <f ca="1">Model!O53</f>
        <v>-65.050792467597006</v>
      </c>
      <c r="BO85" s="803">
        <f ca="1">Model!P53</f>
        <v>-64.626402797068323</v>
      </c>
      <c r="BP85" s="215"/>
      <c r="BQ85" s="692"/>
      <c r="BR85" s="573"/>
      <c r="BS85" s="573"/>
      <c r="BT85" s="573"/>
      <c r="BU85" s="218"/>
      <c r="BV85" s="218">
        <v>-9.5269999999999992</v>
      </c>
      <c r="BW85" s="218">
        <v>-9.6460000000000008</v>
      </c>
      <c r="BX85" s="218"/>
      <c r="BY85" s="218">
        <v>-18.600000000000001</v>
      </c>
      <c r="BZ85" s="218">
        <v>-18.600000000000001</v>
      </c>
      <c r="CA85" s="218">
        <v>-17.977</v>
      </c>
      <c r="CB85" s="218">
        <v>-20.429670590000001</v>
      </c>
      <c r="CG85" s="313">
        <f t="shared" si="119"/>
        <v>7.10697630579471E-2</v>
      </c>
      <c r="CH85" s="313">
        <f t="shared" si="119"/>
        <v>-3.2676994383352143E-2</v>
      </c>
      <c r="CI85" s="313">
        <f t="shared" si="119"/>
        <v>0.171408080325125</v>
      </c>
      <c r="CJ85" s="313">
        <f t="shared" si="119"/>
        <v>0.39854304492512482</v>
      </c>
      <c r="CK85" s="575">
        <f t="shared" si="119"/>
        <v>0.14325336775129749</v>
      </c>
      <c r="CL85" s="313">
        <f t="shared" si="119"/>
        <v>8.7550343999999836E-2</v>
      </c>
      <c r="CM85" s="313">
        <f t="shared" si="119"/>
        <v>0.25531914893617014</v>
      </c>
      <c r="CN85" s="313">
        <f t="shared" si="119"/>
        <v>0.38775510204081676</v>
      </c>
      <c r="CO85" s="313">
        <f t="shared" si="119"/>
        <v>0.51266116344558954</v>
      </c>
      <c r="CP85" s="575">
        <f t="shared" si="119"/>
        <v>0.31996614577465743</v>
      </c>
      <c r="CQ85" s="313">
        <f t="shared" si="120"/>
        <v>0.88676757569946618</v>
      </c>
      <c r="CR85" s="313">
        <f t="shared" si="120"/>
        <v>0.60230788135593349</v>
      </c>
      <c r="CS85" s="313">
        <f t="shared" si="120"/>
        <v>0.20588235294117641</v>
      </c>
      <c r="CT85" s="313">
        <f t="shared" si="120"/>
        <v>0.48314606741573018</v>
      </c>
      <c r="CU85" s="575">
        <f t="shared" si="120"/>
        <v>0.52059204314640417</v>
      </c>
      <c r="CV85" s="313">
        <f t="shared" ref="CV85:DE86" si="125">IFERROR(Z85/U85-1,"N/A")</f>
        <v>-1.10855223615689E-2</v>
      </c>
      <c r="CW85" s="313">
        <f t="shared" si="125"/>
        <v>5.7365983695233158E-2</v>
      </c>
      <c r="CX85" s="313">
        <f t="shared" si="125"/>
        <v>-0.1647156268292681</v>
      </c>
      <c r="CY85" s="313">
        <f t="shared" si="125"/>
        <v>-0.12878787878787878</v>
      </c>
      <c r="CZ85" s="575">
        <f t="shared" si="125"/>
        <v>-6.3776961026784762E-2</v>
      </c>
      <c r="DA85" s="704">
        <f t="shared" si="125"/>
        <v>8.4166968699157296E-2</v>
      </c>
      <c r="DB85" s="704">
        <f t="shared" si="125"/>
        <v>0.21803632005514673</v>
      </c>
      <c r="DC85" s="704">
        <f t="shared" si="125"/>
        <v>0.12947639246085529</v>
      </c>
      <c r="DD85" s="704">
        <f t="shared" si="125"/>
        <v>0.25405925739130431</v>
      </c>
      <c r="DE85" s="705">
        <f t="shared" si="125"/>
        <v>0.17775303400647013</v>
      </c>
      <c r="DF85" s="847">
        <f>IFERROR(-11.1/AE85-1,"N/A")</f>
        <v>9.0909090909090384E-3</v>
      </c>
      <c r="DG85" s="847">
        <f>IFERROR(-8.8/AF85-1,"N/A")</f>
        <v>-0.27723166355928974</v>
      </c>
      <c r="DH85" s="847">
        <f>IFERROR(-8.3/AG85-1,"N/A")</f>
        <v>7.2883893187588367E-2</v>
      </c>
      <c r="DI85" s="847">
        <f>IFERROR(-16.1/AH85-1,"N/A")</f>
        <v>0.11637467826861858</v>
      </c>
      <c r="DJ85" s="705">
        <f t="shared" ref="DJ85:DT86" si="126">IFERROR(AN85/AI85-1,"N/A")</f>
        <v>-0.12217323858937745</v>
      </c>
      <c r="DK85" s="704">
        <f t="shared" si="126"/>
        <v>-0.25039220032804743</v>
      </c>
      <c r="DL85" s="704">
        <f t="shared" si="126"/>
        <v>4.3261560356238737E-2</v>
      </c>
      <c r="DM85" s="704">
        <f t="shared" si="126"/>
        <v>0.1845592392818638</v>
      </c>
      <c r="DN85" s="704">
        <f t="shared" si="126"/>
        <v>-0.29269518345068646</v>
      </c>
      <c r="DO85" s="705">
        <f t="shared" si="126"/>
        <v>-0.12946826779686882</v>
      </c>
      <c r="DP85" s="704">
        <f t="shared" si="126"/>
        <v>-1.2359049675638722E-3</v>
      </c>
      <c r="DQ85" s="704">
        <f t="shared" si="126"/>
        <v>-9.0391724025193909E-3</v>
      </c>
      <c r="DR85" s="704">
        <f t="shared" si="126"/>
        <v>-1</v>
      </c>
      <c r="DS85" s="704">
        <f t="shared" si="126"/>
        <v>-1</v>
      </c>
      <c r="DT85" s="705">
        <f t="shared" si="126"/>
        <v>-0.55165327499450445</v>
      </c>
      <c r="DU85" s="704">
        <f t="shared" si="118"/>
        <v>-1</v>
      </c>
      <c r="DV85" s="704">
        <f t="shared" si="118"/>
        <v>-1</v>
      </c>
      <c r="DW85" s="704" t="str">
        <f t="shared" si="118"/>
        <v>N/A</v>
      </c>
      <c r="DX85" s="704" t="str">
        <f t="shared" si="118"/>
        <v>N/A</v>
      </c>
      <c r="DY85" s="705">
        <f t="shared" si="118"/>
        <v>-1</v>
      </c>
      <c r="DZ85" s="704" t="str">
        <f t="shared" si="118"/>
        <v>N/A</v>
      </c>
      <c r="EA85" s="704" t="str">
        <f t="shared" si="118"/>
        <v>N/A</v>
      </c>
      <c r="EB85" s="704" t="str">
        <f t="shared" si="118"/>
        <v>N/A</v>
      </c>
      <c r="EC85" s="704" t="str">
        <f t="shared" si="118"/>
        <v>N/A</v>
      </c>
      <c r="ED85" s="705" t="str">
        <f t="shared" ca="1" si="118"/>
        <v>N/A</v>
      </c>
      <c r="EE85" s="704" t="str">
        <f t="shared" si="118"/>
        <v>N/A</v>
      </c>
      <c r="EF85" s="704" t="str">
        <f t="shared" si="118"/>
        <v>N/A</v>
      </c>
      <c r="EG85" s="704" t="str">
        <f t="shared" si="118"/>
        <v>N/A</v>
      </c>
      <c r="EH85" s="704" t="str">
        <f t="shared" si="118"/>
        <v>N/A</v>
      </c>
      <c r="EI85" s="705">
        <f t="shared" ca="1" si="118"/>
        <v>-2.0119822648973273E-2</v>
      </c>
      <c r="EJ85" s="705">
        <f t="shared" ca="1" si="124"/>
        <v>-0.13998179092355434</v>
      </c>
      <c r="EK85" s="705">
        <f t="shared" ca="1" si="124"/>
        <v>-6.5239738738014363E-3</v>
      </c>
    </row>
    <row r="86" spans="2:141" s="7" customFormat="1" collapsed="1">
      <c r="B86" s="7" t="s">
        <v>28</v>
      </c>
      <c r="C86" s="27"/>
      <c r="D86" s="585"/>
      <c r="E86" s="822">
        <f>+E79+E83+E84+E85</f>
        <v>21.024920000000002</v>
      </c>
      <c r="F86" s="822">
        <f>+F79+F83+F84+F85</f>
        <v>21.883079999999993</v>
      </c>
      <c r="G86" s="719">
        <f>+G79+G83+G84+G85</f>
        <v>23.378313569999985</v>
      </c>
      <c r="H86" s="719">
        <f>+H79+H83+H84+H85</f>
        <v>21.783686430000039</v>
      </c>
      <c r="I86" s="718">
        <f>SUM(I79+I83+I84+I85)</f>
        <v>88.070000000000022</v>
      </c>
      <c r="J86" s="719">
        <f>+J79+J83+J84+J85</f>
        <v>21.700000000000006</v>
      </c>
      <c r="K86" s="719">
        <f>+K79+K83+K84+K85</f>
        <v>25.4</v>
      </c>
      <c r="L86" s="719">
        <f>+L79+L83+L84+L85</f>
        <v>25.71347295999999</v>
      </c>
      <c r="M86" s="719">
        <f>+M79+M83+M84+M85</f>
        <v>25.990195639896069</v>
      </c>
      <c r="N86" s="718">
        <f>SUM(N79+N83+N84+N85)</f>
        <v>98.803668599896</v>
      </c>
      <c r="O86" s="719">
        <f>+O79+O83+O84+O85</f>
        <v>24.395153703194065</v>
      </c>
      <c r="P86" s="719">
        <f>+P79+P83+P84+P85</f>
        <v>27.700000000000017</v>
      </c>
      <c r="Q86" s="719">
        <f>+Q79+Q83+Q84+Q85</f>
        <v>36.999999999999993</v>
      </c>
      <c r="R86" s="719">
        <f>+R79+R83+R84+R85</f>
        <v>51.900000000000013</v>
      </c>
      <c r="S86" s="718">
        <f>SUM(S79+S83+S84+S85)</f>
        <v>140.99515370319403</v>
      </c>
      <c r="T86" s="823">
        <v>51.6</v>
      </c>
      <c r="U86" s="719">
        <f>+U79+U83+U84+U85</f>
        <v>56.415450489999984</v>
      </c>
      <c r="V86" s="719">
        <f>+V79+V83+V84+V85</f>
        <v>59.05868808000001</v>
      </c>
      <c r="W86" s="719">
        <f>+W79+W83+W84+W85</f>
        <v>63.59999999999998</v>
      </c>
      <c r="X86" s="719">
        <f>+X79+X83+X84+X85</f>
        <v>71.100000000000009</v>
      </c>
      <c r="Y86" s="718">
        <f>SUM(Y79+Y83+Y84+Y85)</f>
        <v>250.17413857</v>
      </c>
      <c r="Z86" s="719">
        <v>61.1</v>
      </c>
      <c r="AA86" s="719">
        <f>AA79+AA83+AA84+AA85</f>
        <v>62.43201336000002</v>
      </c>
      <c r="AB86" s="719">
        <f>AB79+AB83+AB84+AB85</f>
        <v>68.284728079999951</v>
      </c>
      <c r="AC86" s="719">
        <f>AC79+AC83+AC84+AC85</f>
        <v>72.8</v>
      </c>
      <c r="AD86" s="718">
        <f>SUM(AD79+AD83+AD84+AD85)</f>
        <v>264.59335060999996</v>
      </c>
      <c r="AE86" s="719">
        <f>AE79+AE83+AE84+AE85-3</f>
        <v>62.421794239999983</v>
      </c>
      <c r="AF86" s="719">
        <f>AF79+AF83+AF84+AF85</f>
        <v>52.60494147</v>
      </c>
      <c r="AG86" s="719">
        <f>AG79+AG83+AG84+AG85</f>
        <v>58.627616579999994</v>
      </c>
      <c r="AH86" s="824">
        <f>AH79+AH83+AH84+AH85</f>
        <v>59.342259660000025</v>
      </c>
      <c r="AI86" s="718">
        <f>SUM(AI79+AI83+AI84+AI85)</f>
        <v>235.98457498200042</v>
      </c>
      <c r="AJ86" s="719">
        <f>AJ79+AJ83+AJ84+AJ85</f>
        <v>56.814654069999982</v>
      </c>
      <c r="AK86" s="719">
        <f t="shared" ref="AK86:AR86" si="127">AK79+AK83+AK84+AK85</f>
        <v>58.350954819999998</v>
      </c>
      <c r="AL86" s="719">
        <f t="shared" si="127"/>
        <v>61.223350130000007</v>
      </c>
      <c r="AM86" s="719">
        <f t="shared" si="127"/>
        <v>63.065112059999969</v>
      </c>
      <c r="AN86" s="718">
        <f>AN79+AN83+AN84+AN85</f>
        <v>239.45407107999998</v>
      </c>
      <c r="AO86" s="719">
        <f t="shared" si="127"/>
        <v>57.117667949999976</v>
      </c>
      <c r="AP86" s="719">
        <f t="shared" si="127"/>
        <v>60.742908499999992</v>
      </c>
      <c r="AQ86" s="719">
        <f t="shared" si="127"/>
        <v>59.530961770000033</v>
      </c>
      <c r="AR86" s="719">
        <f t="shared" si="127"/>
        <v>64.792422439999953</v>
      </c>
      <c r="AS86" s="718">
        <f>AS79+AS83+AS84+AS85</f>
        <v>242.18396066</v>
      </c>
      <c r="AT86" s="823">
        <v>62.027999999999999</v>
      </c>
      <c r="AU86" s="823">
        <f>119.37-AT86</f>
        <v>57.342000000000006</v>
      </c>
      <c r="AV86" s="823">
        <f>177.648-AU86-AT86</f>
        <v>58.277999999999984</v>
      </c>
      <c r="AW86" s="823">
        <f>226.453-AV86-AU86-AT86</f>
        <v>48.805</v>
      </c>
      <c r="AX86" s="718">
        <f>AW86+AV86+AU86+AT86</f>
        <v>226.45299999999997</v>
      </c>
      <c r="AY86" s="823">
        <v>48.966999999999999</v>
      </c>
      <c r="AZ86" s="823">
        <f>97.537-AY86</f>
        <v>48.570000000000007</v>
      </c>
      <c r="BA86" s="823">
        <f>145.883-AZ86-AY86</f>
        <v>48.346000000000004</v>
      </c>
      <c r="BB86" s="823">
        <v>35.700000000000003</v>
      </c>
      <c r="BC86" s="813">
        <f>BB86+BA86+AZ86+AY86</f>
        <v>181.58300000000003</v>
      </c>
      <c r="BD86" s="719">
        <f>BD92</f>
        <v>44.160000000000004</v>
      </c>
      <c r="BE86" s="823">
        <v>48.670860909999988</v>
      </c>
      <c r="BF86" s="823">
        <v>48.622492620000024</v>
      </c>
      <c r="BG86" s="823">
        <v>51.6</v>
      </c>
      <c r="BH86" s="718">
        <f ca="1">BH79+BH83+BH84+BH85</f>
        <v>190.85454653151413</v>
      </c>
      <c r="BI86" s="823">
        <v>47.9</v>
      </c>
      <c r="BJ86" s="823">
        <v>45.1</v>
      </c>
      <c r="BK86" s="823">
        <v>48.6</v>
      </c>
      <c r="BL86" s="823">
        <f ca="1">BM86-BI86-BJ86-BK86</f>
        <v>43.379749544019994</v>
      </c>
      <c r="BM86" s="718">
        <f ca="1">BM79+BM83+BM84+BM85</f>
        <v>184.97974954402</v>
      </c>
      <c r="BN86" s="718">
        <f ca="1">BN79+BN83+BN84+BN85</f>
        <v>192.26576222893053</v>
      </c>
      <c r="BO86" s="718">
        <f ca="1">BO79+BO83+BO84+BO85</f>
        <v>209.68398168306285</v>
      </c>
      <c r="BP86" s="635"/>
      <c r="BQ86" s="892">
        <v>61.811971339639285</v>
      </c>
      <c r="BR86" s="661">
        <f>$AR86/BQ86-1</f>
        <v>4.8218023722038206E-2</v>
      </c>
      <c r="BS86" s="660">
        <v>60.1</v>
      </c>
      <c r="BT86" s="661">
        <f>$AR86/BS86-1</f>
        <v>7.8076912479200455E-2</v>
      </c>
      <c r="BU86" s="79"/>
      <c r="BV86" s="27">
        <v>42.90799999999998</v>
      </c>
      <c r="BW86" s="27">
        <v>47.222999999999999</v>
      </c>
      <c r="BX86" s="27"/>
      <c r="BY86" s="27">
        <v>78.400000000000006</v>
      </c>
      <c r="BZ86" s="27">
        <v>87.1</v>
      </c>
      <c r="CA86" s="27">
        <v>88.077000000000055</v>
      </c>
      <c r="CB86" s="27">
        <v>98.936668599896052</v>
      </c>
      <c r="CC86" s="27">
        <f>+'Model also  old'!F112</f>
        <v>105.42774962306055</v>
      </c>
      <c r="CG86" s="588">
        <f t="shared" si="119"/>
        <v>3.2108564503456227E-2</v>
      </c>
      <c r="CH86" s="588">
        <f t="shared" si="119"/>
        <v>0.1607141225092632</v>
      </c>
      <c r="CI86" s="588">
        <f t="shared" si="119"/>
        <v>9.988570745310632E-2</v>
      </c>
      <c r="CJ86" s="588">
        <f t="shared" si="119"/>
        <v>0.19310364310527861</v>
      </c>
      <c r="CK86" s="589">
        <f t="shared" si="119"/>
        <v>0.12187655955371834</v>
      </c>
      <c r="CL86" s="588">
        <f t="shared" si="119"/>
        <v>0.12420063148359706</v>
      </c>
      <c r="CM86" s="588">
        <f t="shared" si="119"/>
        <v>9.0551181102362932E-2</v>
      </c>
      <c r="CN86" s="588">
        <f t="shared" si="119"/>
        <v>0.43893436944738595</v>
      </c>
      <c r="CO86" s="588">
        <f t="shared" si="119"/>
        <v>0.99690686130624129</v>
      </c>
      <c r="CP86" s="589">
        <f t="shared" si="119"/>
        <v>0.42702346685275261</v>
      </c>
      <c r="CQ86" s="588">
        <f t="shared" si="120"/>
        <v>1.3125679459282722</v>
      </c>
      <c r="CR86" s="588">
        <f t="shared" si="120"/>
        <v>1.1320826021660642</v>
      </c>
      <c r="CS86" s="588">
        <f t="shared" si="120"/>
        <v>0.71891891891891868</v>
      </c>
      <c r="CT86" s="588">
        <f t="shared" si="120"/>
        <v>0.36994219653179172</v>
      </c>
      <c r="CU86" s="589">
        <f t="shared" si="120"/>
        <v>0.77434565656516363</v>
      </c>
      <c r="CV86" s="588">
        <f t="shared" si="125"/>
        <v>8.3036641014333279E-2</v>
      </c>
      <c r="CW86" s="588">
        <f t="shared" si="125"/>
        <v>5.7118188528511693E-2</v>
      </c>
      <c r="CX86" s="588">
        <f t="shared" si="125"/>
        <v>7.3659246540880075E-2</v>
      </c>
      <c r="CY86" s="588">
        <f t="shared" si="125"/>
        <v>2.3909985935302247E-2</v>
      </c>
      <c r="CZ86" s="589">
        <f t="shared" si="125"/>
        <v>5.7636701069184948E-2</v>
      </c>
      <c r="DA86" s="716">
        <f t="shared" si="125"/>
        <v>2.1633293617020932E-2</v>
      </c>
      <c r="DB86" s="716">
        <f t="shared" si="125"/>
        <v>-0.1574043725505766</v>
      </c>
      <c r="DC86" s="716">
        <f t="shared" si="125"/>
        <v>-0.14142417743373059</v>
      </c>
      <c r="DD86" s="716">
        <f t="shared" si="125"/>
        <v>-0.18485907060439521</v>
      </c>
      <c r="DE86" s="717">
        <f t="shared" si="125"/>
        <v>-0.10812356229680065</v>
      </c>
      <c r="DF86" s="846">
        <f>IFERROR(54.9/AE86-1,"N/A")</f>
        <v>-0.12049948790449871</v>
      </c>
      <c r="DG86" s="846">
        <f>IFERROR(56.4/AF86-1,"N/A")</f>
        <v>7.2142624322931281E-2</v>
      </c>
      <c r="DH86" s="846">
        <f>IFERROR(59.3/AG86-1,"N/A")</f>
        <v>1.1468714903027033E-2</v>
      </c>
      <c r="DI86" s="846">
        <f>IFERROR(60.6/AH86-1,"N/A")</f>
        <v>2.1194682292284828E-2</v>
      </c>
      <c r="DJ86" s="717">
        <f t="shared" si="126"/>
        <v>1.4702215592964807E-2</v>
      </c>
      <c r="DK86" s="716">
        <f t="shared" si="126"/>
        <v>5.3333754285762591E-3</v>
      </c>
      <c r="DL86" s="716">
        <f t="shared" si="126"/>
        <v>4.0992537095213777E-2</v>
      </c>
      <c r="DM86" s="716">
        <f t="shared" si="126"/>
        <v>-2.7642857772506746E-2</v>
      </c>
      <c r="DN86" s="716">
        <f t="shared" si="126"/>
        <v>2.7389317541474112E-2</v>
      </c>
      <c r="DO86" s="717">
        <f t="shared" si="126"/>
        <v>1.1400472615426871E-2</v>
      </c>
      <c r="DP86" s="716">
        <f t="shared" si="126"/>
        <v>8.596870681587454E-2</v>
      </c>
      <c r="DQ86" s="716">
        <f t="shared" si="126"/>
        <v>-5.5988568607971523E-2</v>
      </c>
      <c r="DR86" s="716">
        <f t="shared" si="126"/>
        <v>-2.1047228748645286E-2</v>
      </c>
      <c r="DS86" s="716">
        <f t="shared" si="126"/>
        <v>-0.24674833627041592</v>
      </c>
      <c r="DT86" s="717">
        <f t="shared" si="126"/>
        <v>-6.4954593265094784E-2</v>
      </c>
      <c r="DU86" s="716">
        <f t="shared" si="118"/>
        <v>-0.21056619591152381</v>
      </c>
      <c r="DV86" s="716">
        <f t="shared" si="118"/>
        <v>-0.15297687558857376</v>
      </c>
      <c r="DW86" s="716">
        <f t="shared" si="118"/>
        <v>-0.17042451697038308</v>
      </c>
      <c r="DX86" s="716">
        <f t="shared" si="118"/>
        <v>-0.26851756992111453</v>
      </c>
      <c r="DY86" s="717">
        <f t="shared" si="118"/>
        <v>-0.19814266094951249</v>
      </c>
      <c r="DZ86" s="716">
        <f t="shared" si="118"/>
        <v>-9.8168154062940216E-2</v>
      </c>
      <c r="EA86" s="716">
        <f t="shared" si="118"/>
        <v>2.0766092238002631E-3</v>
      </c>
      <c r="EB86" s="716">
        <f t="shared" si="118"/>
        <v>5.7190381830971582E-3</v>
      </c>
      <c r="EC86" s="716">
        <f t="shared" si="118"/>
        <v>0.44537815126050417</v>
      </c>
      <c r="ED86" s="717">
        <f t="shared" ca="1" si="118"/>
        <v>5.1059551453132235E-2</v>
      </c>
      <c r="EE86" s="716">
        <f t="shared" si="118"/>
        <v>8.4692028985507095E-2</v>
      </c>
      <c r="EF86" s="716">
        <f>IFERROR(BJ86/BE86-1,"N/A")</f>
        <v>-7.3367531275090103E-2</v>
      </c>
      <c r="EG86" s="716">
        <f t="shared" si="118"/>
        <v>-4.6259701607254122E-4</v>
      </c>
      <c r="EH86" s="716">
        <f t="shared" ca="1" si="118"/>
        <v>-0.15930717937945749</v>
      </c>
      <c r="EI86" s="717">
        <f t="shared" ca="1" si="118"/>
        <v>-3.0781540677230268E-2</v>
      </c>
      <c r="EJ86" s="717">
        <f t="shared" ca="1" si="124"/>
        <v>3.9388163855074598E-2</v>
      </c>
      <c r="EK86" s="717">
        <f t="shared" ca="1" si="124"/>
        <v>9.0594494059698993E-2</v>
      </c>
    </row>
    <row r="87" spans="2:141">
      <c r="B87" s="6" t="s">
        <v>26</v>
      </c>
      <c r="C87" s="34"/>
      <c r="D87" s="553"/>
      <c r="E87" s="78">
        <f t="shared" ref="E87:AM87" si="128">+E86/E66</f>
        <v>0.41912166914120502</v>
      </c>
      <c r="F87" s="78">
        <f t="shared" si="128"/>
        <v>0.41912166914120486</v>
      </c>
      <c r="G87" s="78">
        <f t="shared" si="128"/>
        <v>0.45743153889468907</v>
      </c>
      <c r="H87" s="78">
        <f t="shared" si="128"/>
        <v>0.41320987779859208</v>
      </c>
      <c r="I87" s="553">
        <f t="shared" si="128"/>
        <v>0.42710545969486241</v>
      </c>
      <c r="J87" s="78">
        <f t="shared" si="128"/>
        <v>0.4141221374045802</v>
      </c>
      <c r="K87" s="78">
        <f t="shared" si="128"/>
        <v>0.47924528301886787</v>
      </c>
      <c r="L87" s="78">
        <f t="shared" si="128"/>
        <v>0.47702437477609466</v>
      </c>
      <c r="M87" s="78">
        <f t="shared" si="128"/>
        <v>0.48423548749894585</v>
      </c>
      <c r="N87" s="553">
        <f t="shared" si="128"/>
        <v>0.46391809680265506</v>
      </c>
      <c r="O87" s="78">
        <f t="shared" si="128"/>
        <v>0.45500463049583534</v>
      </c>
      <c r="P87" s="78">
        <f t="shared" si="128"/>
        <v>0.51012891344383082</v>
      </c>
      <c r="Q87" s="78">
        <f t="shared" si="128"/>
        <v>0.49999999999999989</v>
      </c>
      <c r="R87" s="78">
        <f t="shared" si="128"/>
        <v>0.53560371517027872</v>
      </c>
      <c r="S87" s="553">
        <f t="shared" si="128"/>
        <v>0.50569397020529505</v>
      </c>
      <c r="T87" s="567">
        <f t="shared" si="128"/>
        <v>0.46654611211573238</v>
      </c>
      <c r="U87" s="78">
        <f t="shared" si="128"/>
        <v>0.48592119285099039</v>
      </c>
      <c r="V87" s="78">
        <f t="shared" si="128"/>
        <v>0.49256620583819855</v>
      </c>
      <c r="W87" s="78">
        <f t="shared" si="128"/>
        <v>0.53807106598984755</v>
      </c>
      <c r="X87" s="78">
        <f t="shared" si="128"/>
        <v>0.57292506043513303</v>
      </c>
      <c r="Y87" s="553">
        <f t="shared" si="128"/>
        <v>0.52304858576207403</v>
      </c>
      <c r="Z87" s="78">
        <f t="shared" si="128"/>
        <v>0.50495867768595037</v>
      </c>
      <c r="AA87" s="78">
        <f t="shared" si="128"/>
        <v>0.50198821422461914</v>
      </c>
      <c r="AB87" s="78">
        <f t="shared" si="128"/>
        <v>0.55396724057833158</v>
      </c>
      <c r="AC87" s="78">
        <f t="shared" si="128"/>
        <v>0.56786271450858039</v>
      </c>
      <c r="AD87" s="553">
        <f t="shared" si="128"/>
        <v>0.53255843383424406</v>
      </c>
      <c r="AE87" s="78">
        <f t="shared" si="128"/>
        <v>0.50584922398703391</v>
      </c>
      <c r="AF87" s="78">
        <f t="shared" si="128"/>
        <v>0.45118235754117114</v>
      </c>
      <c r="AG87" s="78">
        <f t="shared" si="128"/>
        <v>0.45900619969286832</v>
      </c>
      <c r="AH87" s="78">
        <f t="shared" si="128"/>
        <v>0.46863137338296557</v>
      </c>
      <c r="AI87" s="553">
        <f t="shared" si="128"/>
        <v>0.47737528998578288</v>
      </c>
      <c r="AJ87" s="78">
        <f t="shared" si="128"/>
        <v>0.47290192754700816</v>
      </c>
      <c r="AK87" s="78">
        <f t="shared" si="128"/>
        <v>0.46186962526862463</v>
      </c>
      <c r="AL87" s="78">
        <f t="shared" si="128"/>
        <v>0.4968690351309023</v>
      </c>
      <c r="AM87" s="78">
        <f t="shared" si="128"/>
        <v>0.48620237908424496</v>
      </c>
      <c r="AN87" s="553">
        <f>AN86/AN66</f>
        <v>0.47947895835012977</v>
      </c>
      <c r="AO87" s="78">
        <f>+AO86/AO66</f>
        <v>0.4820056367088606</v>
      </c>
      <c r="AP87" s="78">
        <f>+AP86/AP66</f>
        <v>0.50661308173477893</v>
      </c>
      <c r="AQ87" s="78">
        <f>+AQ86/AQ66</f>
        <v>0.50237098540084413</v>
      </c>
      <c r="AR87" s="78">
        <f>+AR86/AR66</f>
        <v>0.52633974362307034</v>
      </c>
      <c r="AS87" s="553">
        <f>AS86/AS66</f>
        <v>0.50454991804166671</v>
      </c>
      <c r="AT87" s="78">
        <f>+AT86/AT66</f>
        <v>0.51553637081311243</v>
      </c>
      <c r="AU87" s="78">
        <f>+AU86/AU66</f>
        <v>0.4905276313245937</v>
      </c>
      <c r="AV87" s="78">
        <f>+AV86/AV66</f>
        <v>0.50842538095406786</v>
      </c>
      <c r="AW87" s="78">
        <f>+AW86/AW66</f>
        <v>0.43967220254929479</v>
      </c>
      <c r="AX87" s="553">
        <f>AX86/AX66</f>
        <v>0.48926455751331471</v>
      </c>
      <c r="AY87" s="78">
        <f>+AY86/AY66</f>
        <v>0.43936613945679259</v>
      </c>
      <c r="AZ87" s="78">
        <f>+AZ86/AZ66</f>
        <v>0.43141039132544495</v>
      </c>
      <c r="BA87" s="78">
        <f>+BA86/BA66</f>
        <v>0.43781530917070455</v>
      </c>
      <c r="BB87" s="78">
        <f>+BB86/BB66</f>
        <v>0.31853032993775066</v>
      </c>
      <c r="BC87" s="553">
        <f>BC86/BC66</f>
        <v>0.40664788090063975</v>
      </c>
      <c r="BD87" s="78">
        <f>+BD86/BD66</f>
        <v>0.39855595667870042</v>
      </c>
      <c r="BE87" s="78">
        <f>+BE86/BE66</f>
        <v>0.44082358542393202</v>
      </c>
      <c r="BF87" s="78">
        <f>+BF86/BF66</f>
        <v>0.43654089037850247</v>
      </c>
      <c r="BG87" s="78">
        <f>+BG86/BG66</f>
        <v>0.43190405384430114</v>
      </c>
      <c r="BH87" s="553">
        <f ca="1">BH86/BH66</f>
        <v>0.42218739774841951</v>
      </c>
      <c r="BI87" s="78">
        <f>+BI86/BI66</f>
        <v>0.42653606411398043</v>
      </c>
      <c r="BJ87" s="78">
        <f>+BJ86/BJ66</f>
        <v>0.40851449275362323</v>
      </c>
      <c r="BK87" s="78">
        <f>+BK86/BK66</f>
        <v>0.47460937500000006</v>
      </c>
      <c r="BL87" s="78"/>
      <c r="BM87" s="553">
        <f ca="1">BM86/BM66</f>
        <v>0.42635361535442684</v>
      </c>
      <c r="BN87" s="553">
        <f ca="1">BN86/BN66</f>
        <v>0.44285608058285481</v>
      </c>
      <c r="BO87" s="553">
        <f ca="1">BO86/BO66</f>
        <v>0.45305548418226427</v>
      </c>
      <c r="BP87" s="633"/>
      <c r="BQ87" s="563">
        <v>0.53375579930295192</v>
      </c>
      <c r="BR87" s="563"/>
      <c r="BS87" s="563"/>
      <c r="BT87" s="563"/>
      <c r="BU87" s="218"/>
      <c r="BV87" s="222">
        <v>0.4191216691412048</v>
      </c>
      <c r="BW87" s="222">
        <v>0.44804455492514089</v>
      </c>
      <c r="BX87" s="222"/>
      <c r="BY87" s="222">
        <v>0.38300000000000001</v>
      </c>
      <c r="BZ87" s="222">
        <v>0.42399999999999999</v>
      </c>
      <c r="CA87" s="222">
        <v>0.42709798178661856</v>
      </c>
      <c r="CB87" s="222">
        <v>0.46450332061830762</v>
      </c>
      <c r="CC87" s="213">
        <f>+CC86/CC66</f>
        <v>0.47449106544596875</v>
      </c>
      <c r="DA87" s="708"/>
      <c r="DB87" s="708"/>
      <c r="DC87" s="708"/>
      <c r="DD87" s="708"/>
      <c r="DE87" s="709"/>
      <c r="DF87" s="708"/>
      <c r="DG87" s="708"/>
      <c r="DH87" s="708"/>
      <c r="DI87" s="708"/>
      <c r="DJ87" s="709"/>
      <c r="DK87" s="708"/>
      <c r="DL87" s="708"/>
      <c r="DM87" s="708"/>
      <c r="DN87" s="708"/>
      <c r="DO87" s="709"/>
      <c r="DP87" s="708"/>
      <c r="DQ87" s="708"/>
      <c r="DR87" s="708"/>
      <c r="DS87" s="708"/>
      <c r="DT87" s="709"/>
      <c r="DU87" s="708"/>
      <c r="DV87" s="708"/>
      <c r="DW87" s="708"/>
      <c r="DX87" s="708"/>
      <c r="DY87" s="709"/>
      <c r="DZ87" s="708"/>
      <c r="EA87" s="708"/>
      <c r="EB87" s="708"/>
      <c r="EC87" s="708"/>
      <c r="ED87" s="709"/>
      <c r="EE87" s="708"/>
      <c r="EF87" s="708"/>
      <c r="EG87" s="708"/>
      <c r="EH87" s="708"/>
      <c r="EI87" s="709"/>
      <c r="EJ87" s="709"/>
      <c r="EK87" s="709"/>
    </row>
    <row r="88" spans="2:141">
      <c r="B88" s="6"/>
      <c r="C88" s="34"/>
      <c r="D88" s="553"/>
      <c r="E88" s="78"/>
      <c r="F88" s="78"/>
      <c r="G88" s="78"/>
      <c r="H88" s="78"/>
      <c r="I88" s="553"/>
      <c r="J88" s="78"/>
      <c r="K88" s="78"/>
      <c r="L88" s="78"/>
      <c r="M88" s="78"/>
      <c r="N88" s="553"/>
      <c r="O88" s="78"/>
      <c r="P88" s="78"/>
      <c r="Q88" s="78"/>
      <c r="R88" s="78"/>
      <c r="S88" s="553"/>
      <c r="T88" s="567"/>
      <c r="U88" s="78"/>
      <c r="V88" s="78"/>
      <c r="W88" s="78"/>
      <c r="X88" s="78"/>
      <c r="Y88" s="553"/>
      <c r="Z88" s="78"/>
      <c r="AA88" s="78"/>
      <c r="AB88" s="78"/>
      <c r="AC88" s="78"/>
      <c r="AD88" s="553"/>
      <c r="AE88" s="78"/>
      <c r="AF88" s="78"/>
      <c r="AG88" s="78"/>
      <c r="AH88" s="78"/>
      <c r="AI88" s="553"/>
      <c r="AJ88" s="78"/>
      <c r="AK88" s="78"/>
      <c r="AL88" s="78"/>
      <c r="AM88" s="78"/>
      <c r="AN88" s="553"/>
      <c r="AO88" s="78"/>
      <c r="AP88" s="78"/>
      <c r="AQ88" s="78"/>
      <c r="AR88" s="78"/>
      <c r="AS88" s="553"/>
      <c r="AT88" s="78"/>
      <c r="AU88" s="78"/>
      <c r="AV88" s="78"/>
      <c r="AW88" s="78"/>
      <c r="AX88" s="553"/>
      <c r="AY88" s="78"/>
      <c r="AZ88" s="78"/>
      <c r="BA88" s="78"/>
      <c r="BB88" s="78"/>
      <c r="BC88" s="553"/>
      <c r="BD88" s="78"/>
      <c r="BE88" s="1157">
        <f>220-BI86</f>
        <v>172.1</v>
      </c>
      <c r="BF88" s="78">
        <f>BE88/SUM(BE86:BG86)-1</f>
        <v>0.15586086228707408</v>
      </c>
      <c r="BG88" s="78"/>
      <c r="BH88" s="553"/>
      <c r="BI88" s="78"/>
      <c r="BJ88" s="1158"/>
      <c r="BK88" s="1166">
        <f>(BK86-5)/BF86-1</f>
        <v>-0.10329566316668237</v>
      </c>
      <c r="BL88" s="78"/>
      <c r="BM88" s="553"/>
      <c r="BN88" s="553"/>
      <c r="BO88" s="553"/>
      <c r="BP88" s="1159"/>
      <c r="BQ88" s="563"/>
      <c r="BR88" s="563"/>
      <c r="BS88" s="563"/>
      <c r="BT88" s="563"/>
      <c r="BU88" s="218"/>
      <c r="BV88" s="222"/>
      <c r="BW88" s="222"/>
      <c r="BX88" s="222"/>
      <c r="BY88" s="222"/>
      <c r="BZ88" s="222"/>
      <c r="CA88" s="222"/>
      <c r="CB88" s="222"/>
      <c r="CC88" s="213"/>
      <c r="DA88" s="708"/>
      <c r="DB88" s="708"/>
      <c r="DC88" s="708"/>
      <c r="DD88" s="708"/>
      <c r="DE88" s="709"/>
      <c r="DF88" s="708"/>
      <c r="DG88" s="708"/>
      <c r="DH88" s="708"/>
      <c r="DI88" s="708"/>
      <c r="DJ88" s="709"/>
      <c r="DK88" s="708"/>
      <c r="DL88" s="708"/>
      <c r="DM88" s="708"/>
      <c r="DN88" s="708"/>
      <c r="DO88" s="709"/>
      <c r="DP88" s="708"/>
      <c r="DQ88" s="708"/>
      <c r="DR88" s="708"/>
      <c r="DS88" s="708"/>
      <c r="DT88" s="709"/>
      <c r="DU88" s="708"/>
      <c r="DV88" s="708"/>
      <c r="DW88" s="708"/>
      <c r="DX88" s="708"/>
      <c r="DY88" s="709"/>
      <c r="DZ88" s="708"/>
      <c r="EA88" s="708"/>
      <c r="EB88" s="708"/>
      <c r="EC88" s="708"/>
      <c r="ED88" s="709"/>
      <c r="EE88" s="708"/>
      <c r="EF88" s="708"/>
      <c r="EG88" s="708"/>
      <c r="EH88" s="708"/>
      <c r="EI88" s="709"/>
      <c r="EJ88" s="709"/>
      <c r="EK88" s="709"/>
    </row>
    <row r="89" spans="2:141">
      <c r="B89" s="6" t="s">
        <v>93</v>
      </c>
      <c r="C89" s="34"/>
      <c r="D89" s="553"/>
      <c r="E89" s="78"/>
      <c r="F89" s="78"/>
      <c r="G89" s="78"/>
      <c r="H89" s="78"/>
      <c r="I89" s="553"/>
      <c r="J89" s="78"/>
      <c r="K89" s="78"/>
      <c r="L89" s="78"/>
      <c r="M89" s="78"/>
      <c r="N89" s="553"/>
      <c r="O89" s="78"/>
      <c r="P89" s="78"/>
      <c r="Q89" s="78"/>
      <c r="R89" s="78"/>
      <c r="S89" s="553"/>
      <c r="T89" s="567"/>
      <c r="U89" s="78"/>
      <c r="V89" s="78"/>
      <c r="W89" s="78"/>
      <c r="X89" s="78"/>
      <c r="Y89" s="553"/>
      <c r="Z89" s="78"/>
      <c r="AA89" s="78"/>
      <c r="AB89" s="78"/>
      <c r="AC89" s="78"/>
      <c r="AD89" s="553"/>
      <c r="AE89" s="78"/>
      <c r="AF89" s="78"/>
      <c r="AG89" s="78"/>
      <c r="AH89" s="78"/>
      <c r="AI89" s="553"/>
      <c r="AJ89" s="78"/>
      <c r="AK89" s="78"/>
      <c r="AL89" s="78"/>
      <c r="AM89" s="78"/>
      <c r="AN89" s="553"/>
      <c r="AO89" s="804">
        <v>34.051000000000002</v>
      </c>
      <c r="AP89" s="804"/>
      <c r="AQ89" s="804"/>
      <c r="AR89" s="804"/>
      <c r="AS89" s="927">
        <v>140.916</v>
      </c>
      <c r="AT89" s="804">
        <v>33.700000000000003</v>
      </c>
      <c r="AU89" s="804">
        <f>65.904-AT89</f>
        <v>32.203999999999994</v>
      </c>
      <c r="AV89" s="804">
        <f>99.223-AU89-AT89</f>
        <v>33.319000000000003</v>
      </c>
      <c r="AW89" s="804">
        <f>134.528-AV89-AU89-AT89</f>
        <v>35.304999999999993</v>
      </c>
      <c r="AX89" s="927">
        <f>AW89+AU89+AV89+AT89</f>
        <v>134.52799999999999</v>
      </c>
      <c r="AY89" s="804">
        <v>30.58</v>
      </c>
      <c r="AZ89" s="804">
        <f>60.644-AY89</f>
        <v>30.064</v>
      </c>
      <c r="BA89" s="804">
        <f>91.454-AZ89-AY89</f>
        <v>30.809999999999995</v>
      </c>
      <c r="BB89" s="804">
        <f>120-AY89-AZ89-BA89</f>
        <v>28.546000000000006</v>
      </c>
      <c r="BC89" s="927">
        <f>BB89+AZ89+BA89+AY89</f>
        <v>120</v>
      </c>
      <c r="BD89" s="804">
        <v>29.079000000000001</v>
      </c>
      <c r="BE89" s="804" t="s">
        <v>1587</v>
      </c>
      <c r="BF89" s="804"/>
      <c r="BG89" s="804"/>
      <c r="BH89" s="561">
        <f>Fixed!M256</f>
        <v>109.92509165424961</v>
      </c>
      <c r="BI89" s="804"/>
      <c r="BJ89" s="804"/>
      <c r="BK89" s="804"/>
      <c r="BL89" s="804"/>
      <c r="BM89" s="561">
        <f ca="1">Fixed!N256</f>
        <v>84.659302819880537</v>
      </c>
      <c r="BN89" s="561">
        <f ca="1">Fixed!O256</f>
        <v>69.339703159512112</v>
      </c>
      <c r="BO89" s="561">
        <f ca="1">Fixed!P256</f>
        <v>68.311376548882961</v>
      </c>
      <c r="BP89" s="633"/>
      <c r="BQ89" s="563"/>
      <c r="BR89" s="563"/>
      <c r="BS89" s="563"/>
      <c r="BT89" s="563"/>
      <c r="BU89" s="218"/>
      <c r="BV89" s="222"/>
      <c r="BW89" s="222"/>
      <c r="BX89" s="222"/>
      <c r="BY89" s="222"/>
      <c r="BZ89" s="222"/>
      <c r="CA89" s="222"/>
      <c r="CB89" s="222"/>
      <c r="CC89" s="213"/>
      <c r="DA89" s="708"/>
      <c r="DB89" s="708"/>
      <c r="DC89" s="708"/>
      <c r="DD89" s="708"/>
      <c r="DE89" s="709"/>
      <c r="DF89" s="708"/>
      <c r="DG89" s="708"/>
      <c r="DH89" s="708"/>
      <c r="DI89" s="708"/>
      <c r="DJ89" s="709"/>
      <c r="DK89" s="708"/>
      <c r="DL89" s="708"/>
      <c r="DM89" s="708"/>
      <c r="DN89" s="708"/>
      <c r="DO89" s="709"/>
      <c r="DP89" s="708"/>
      <c r="DQ89" s="708"/>
      <c r="DR89" s="708"/>
      <c r="DS89" s="708"/>
      <c r="DT89" s="705">
        <f t="shared" ref="DT89:EI92" si="129">IFERROR(AX89/AS89-1,"N/A")</f>
        <v>-4.533197081949536E-2</v>
      </c>
      <c r="DU89" s="704">
        <f t="shared" si="129"/>
        <v>-9.2581602373887351E-2</v>
      </c>
      <c r="DV89" s="704">
        <f t="shared" si="129"/>
        <v>-6.6451372500310302E-2</v>
      </c>
      <c r="DW89" s="704">
        <f t="shared" si="129"/>
        <v>-7.5302380023410276E-2</v>
      </c>
      <c r="DX89" s="704">
        <f t="shared" si="129"/>
        <v>-0.19144597082566173</v>
      </c>
      <c r="DY89" s="705">
        <f t="shared" si="129"/>
        <v>-0.10799238820171264</v>
      </c>
      <c r="DZ89" s="704">
        <f t="shared" si="129"/>
        <v>-4.9084368868541506E-2</v>
      </c>
      <c r="EA89" s="704" t="str">
        <f t="shared" si="129"/>
        <v>N/A</v>
      </c>
      <c r="EB89" s="704">
        <f t="shared" si="129"/>
        <v>-1</v>
      </c>
      <c r="EC89" s="704">
        <f t="shared" si="129"/>
        <v>-1</v>
      </c>
      <c r="ED89" s="705">
        <f t="shared" si="129"/>
        <v>-8.3957569547919886E-2</v>
      </c>
      <c r="EE89" s="704">
        <f t="shared" si="129"/>
        <v>-1</v>
      </c>
      <c r="EF89" s="704" t="str">
        <f t="shared" si="129"/>
        <v>N/A</v>
      </c>
      <c r="EG89" s="704" t="str">
        <f t="shared" si="129"/>
        <v>N/A</v>
      </c>
      <c r="EH89" s="704" t="str">
        <f t="shared" si="129"/>
        <v>N/A</v>
      </c>
      <c r="EI89" s="705">
        <f t="shared" ca="1" si="129"/>
        <v>-0.22984551073960668</v>
      </c>
      <c r="EJ89" s="705">
        <f t="shared" ref="EJ89:EK92" ca="1" si="130">IFERROR(BN89/BM89-1,"N/A")</f>
        <v>-0.18095589202951623</v>
      </c>
      <c r="EK89" s="705">
        <f t="shared" ca="1" si="130"/>
        <v>-1.4830271313154397E-2</v>
      </c>
    </row>
    <row r="90" spans="2:141">
      <c r="B90" s="6" t="s">
        <v>91</v>
      </c>
      <c r="C90" s="34"/>
      <c r="D90" s="553"/>
      <c r="E90" s="78"/>
      <c r="F90" s="78"/>
      <c r="G90" s="78"/>
      <c r="H90" s="78"/>
      <c r="I90" s="553"/>
      <c r="J90" s="78"/>
      <c r="K90" s="78"/>
      <c r="L90" s="78"/>
      <c r="M90" s="78"/>
      <c r="N90" s="553"/>
      <c r="O90" s="78"/>
      <c r="P90" s="78"/>
      <c r="Q90" s="78"/>
      <c r="R90" s="78"/>
      <c r="S90" s="553"/>
      <c r="T90" s="567"/>
      <c r="U90" s="78"/>
      <c r="V90" s="78"/>
      <c r="W90" s="78"/>
      <c r="X90" s="78"/>
      <c r="Y90" s="553"/>
      <c r="Z90" s="78"/>
      <c r="AA90" s="78"/>
      <c r="AB90" s="78"/>
      <c r="AC90" s="78"/>
      <c r="AD90" s="553"/>
      <c r="AE90" s="78"/>
      <c r="AF90" s="78"/>
      <c r="AG90" s="78"/>
      <c r="AH90" s="78"/>
      <c r="AI90" s="553"/>
      <c r="AJ90" s="78"/>
      <c r="AK90" s="78"/>
      <c r="AL90" s="78"/>
      <c r="AM90" s="78"/>
      <c r="AN90" s="553"/>
      <c r="AO90" s="804">
        <v>29.341000000000001</v>
      </c>
      <c r="AP90" s="804"/>
      <c r="AQ90" s="804"/>
      <c r="AR90" s="804"/>
      <c r="AS90" s="927">
        <v>120.70399999999999</v>
      </c>
      <c r="AT90" s="804">
        <v>30.67</v>
      </c>
      <c r="AU90" s="804">
        <f>60.288-AT90</f>
        <v>29.617999999999995</v>
      </c>
      <c r="AV90" s="804">
        <f>91.844-AU90-AT90</f>
        <v>31.555999999999997</v>
      </c>
      <c r="AW90" s="804">
        <f>122.961-AV90-AU90-AT90</f>
        <v>31.117000000000004</v>
      </c>
      <c r="AX90" s="927">
        <f>AW90+AU90+AV90+AT90</f>
        <v>122.961</v>
      </c>
      <c r="AY90" s="804">
        <v>30.097999999999999</v>
      </c>
      <c r="AZ90" s="804">
        <f>59.987-AY90</f>
        <v>29.889000000000003</v>
      </c>
      <c r="BA90" s="804">
        <f>89.245-AZ90-AY90</f>
        <v>29.258000000000003</v>
      </c>
      <c r="BB90" s="804">
        <f>116.36-AY90-AZ90-BA90</f>
        <v>27.114999999999995</v>
      </c>
      <c r="BC90" s="927">
        <f>BB90+AZ90+BA90+AY90</f>
        <v>116.36</v>
      </c>
      <c r="BD90" s="804">
        <v>29.51</v>
      </c>
      <c r="BE90" s="804" t="s">
        <v>1587</v>
      </c>
      <c r="BF90" s="804"/>
      <c r="BG90" s="804"/>
      <c r="BH90" s="561">
        <f ca="1">Fixed!M258</f>
        <v>117.6916986</v>
      </c>
      <c r="BI90" s="804"/>
      <c r="BJ90" s="804"/>
      <c r="BK90" s="804"/>
      <c r="BL90" s="804"/>
      <c r="BM90" s="561">
        <f ca="1">Fixed!N258</f>
        <v>130.44918949038617</v>
      </c>
      <c r="BN90" s="561">
        <f ca="1">Fixed!O258</f>
        <v>146.70894979748576</v>
      </c>
      <c r="BO90" s="561">
        <f ca="1">Fixed!P258</f>
        <v>164.66081173510355</v>
      </c>
      <c r="BP90" s="633"/>
      <c r="BQ90" s="563"/>
      <c r="BR90" s="563"/>
      <c r="BS90" s="563"/>
      <c r="BT90" s="563"/>
      <c r="BU90" s="218"/>
      <c r="BV90" s="222"/>
      <c r="BW90" s="222"/>
      <c r="BX90" s="222"/>
      <c r="BY90" s="222"/>
      <c r="BZ90" s="222"/>
      <c r="CA90" s="222"/>
      <c r="CB90" s="222"/>
      <c r="CC90" s="213"/>
      <c r="DA90" s="708"/>
      <c r="DB90" s="708"/>
      <c r="DC90" s="708"/>
      <c r="DD90" s="708"/>
      <c r="DE90" s="709"/>
      <c r="DF90" s="708"/>
      <c r="DG90" s="708"/>
      <c r="DH90" s="708"/>
      <c r="DI90" s="708"/>
      <c r="DJ90" s="709"/>
      <c r="DK90" s="708"/>
      <c r="DL90" s="708"/>
      <c r="DM90" s="708"/>
      <c r="DN90" s="708"/>
      <c r="DO90" s="709"/>
      <c r="DP90" s="708"/>
      <c r="DQ90" s="708"/>
      <c r="DR90" s="708"/>
      <c r="DS90" s="708"/>
      <c r="DT90" s="705">
        <f t="shared" si="129"/>
        <v>1.8698634676564296E-2</v>
      </c>
      <c r="DU90" s="704">
        <f t="shared" si="129"/>
        <v>-1.8650146723182326E-2</v>
      </c>
      <c r="DV90" s="704">
        <f t="shared" si="129"/>
        <v>9.1498413127155676E-3</v>
      </c>
      <c r="DW90" s="704">
        <f t="shared" si="129"/>
        <v>-7.2822917987070412E-2</v>
      </c>
      <c r="DX90" s="704">
        <f t="shared" si="129"/>
        <v>-0.12861136999068068</v>
      </c>
      <c r="DY90" s="705">
        <f t="shared" si="129"/>
        <v>-5.3683688323940104E-2</v>
      </c>
      <c r="DZ90" s="704">
        <f t="shared" si="129"/>
        <v>-1.953618180609995E-2</v>
      </c>
      <c r="EA90" s="704" t="str">
        <f t="shared" si="129"/>
        <v>N/A</v>
      </c>
      <c r="EB90" s="704">
        <f t="shared" si="129"/>
        <v>-1</v>
      </c>
      <c r="EC90" s="704">
        <f t="shared" si="129"/>
        <v>-1</v>
      </c>
      <c r="ED90" s="705">
        <f t="shared" ca="1" si="129"/>
        <v>1.1444642488827705E-2</v>
      </c>
      <c r="EE90" s="704">
        <f t="shared" si="129"/>
        <v>-1</v>
      </c>
      <c r="EF90" s="704" t="str">
        <f t="shared" si="129"/>
        <v>N/A</v>
      </c>
      <c r="EG90" s="704" t="str">
        <f t="shared" si="129"/>
        <v>N/A</v>
      </c>
      <c r="EH90" s="704" t="str">
        <f t="shared" si="129"/>
        <v>N/A</v>
      </c>
      <c r="EI90" s="705">
        <f t="shared" ca="1" si="129"/>
        <v>0.10839754241074551</v>
      </c>
      <c r="EJ90" s="705">
        <f t="shared" ca="1" si="130"/>
        <v>0.12464439503702618</v>
      </c>
      <c r="EK90" s="705">
        <f t="shared" ca="1" si="130"/>
        <v>0.12236378191240682</v>
      </c>
    </row>
    <row r="91" spans="2:141">
      <c r="B91" s="6" t="s">
        <v>169</v>
      </c>
      <c r="C91" s="34"/>
      <c r="D91" s="553"/>
      <c r="E91" s="78"/>
      <c r="F91" s="78"/>
      <c r="G91" s="78"/>
      <c r="H91" s="78"/>
      <c r="I91" s="553"/>
      <c r="J91" s="78"/>
      <c r="K91" s="78"/>
      <c r="L91" s="78"/>
      <c r="M91" s="78"/>
      <c r="N91" s="553"/>
      <c r="O91" s="78"/>
      <c r="P91" s="78"/>
      <c r="Q91" s="78"/>
      <c r="R91" s="78"/>
      <c r="S91" s="553"/>
      <c r="T91" s="567"/>
      <c r="U91" s="78"/>
      <c r="V91" s="78"/>
      <c r="W91" s="78"/>
      <c r="X91" s="78"/>
      <c r="Y91" s="553"/>
      <c r="Z91" s="78"/>
      <c r="AA91" s="78"/>
      <c r="AB91" s="78"/>
      <c r="AC91" s="78"/>
      <c r="AD91" s="553"/>
      <c r="AE91" s="78"/>
      <c r="AF91" s="78"/>
      <c r="AG91" s="78"/>
      <c r="AH91" s="78"/>
      <c r="AI91" s="553"/>
      <c r="AJ91" s="78"/>
      <c r="AK91" s="78"/>
      <c r="AL91" s="78"/>
      <c r="AM91" s="78"/>
      <c r="AN91" s="582"/>
      <c r="AO91" s="804">
        <v>-6.2960000000000003</v>
      </c>
      <c r="AP91" s="804"/>
      <c r="AQ91" s="804"/>
      <c r="AR91" s="804"/>
      <c r="AS91" s="928">
        <v>-26.149000000000001</v>
      </c>
      <c r="AT91" s="804">
        <f>AT86-AT90-AT89</f>
        <v>-2.3420000000000059</v>
      </c>
      <c r="AU91" s="804">
        <f>AU86-AU90-AU89</f>
        <v>-4.4799999999999827</v>
      </c>
      <c r="AV91" s="804">
        <f>AV86-AV90-AV89</f>
        <v>-6.5970000000000155</v>
      </c>
      <c r="AW91" s="804">
        <f>-31.036-AV91-AU91-AT91</f>
        <v>-17.616999999999997</v>
      </c>
      <c r="AX91" s="928">
        <f>AW91+AU91+AV91+AT91</f>
        <v>-31.036000000000001</v>
      </c>
      <c r="AY91" s="804">
        <v>-11.711</v>
      </c>
      <c r="AZ91" s="804">
        <f>-23.094-AY91</f>
        <v>-11.383000000000001</v>
      </c>
      <c r="BA91" s="804">
        <f>-34.816-AZ91-AY91</f>
        <v>-11.722</v>
      </c>
      <c r="BB91" s="804">
        <f>-54.8-AY91-AZ91-BA91</f>
        <v>-19.983999999999995</v>
      </c>
      <c r="BC91" s="928">
        <f>BB91+AZ91+BA91+AY91</f>
        <v>-54.8</v>
      </c>
      <c r="BD91" s="804">
        <v>-14.429</v>
      </c>
      <c r="BE91" s="804" t="s">
        <v>1587</v>
      </c>
      <c r="BF91" s="804"/>
      <c r="BG91" s="804"/>
      <c r="BH91" s="959">
        <f ca="1">Fixed!M260</f>
        <v>-36.762243722735533</v>
      </c>
      <c r="BI91" s="804"/>
      <c r="BJ91" s="804"/>
      <c r="BK91" s="804"/>
      <c r="BL91" s="804"/>
      <c r="BM91" s="959">
        <f ca="1">Fixed!N260</f>
        <v>-30.128742766246784</v>
      </c>
      <c r="BN91" s="959">
        <f ca="1">Fixed!O260</f>
        <v>-23.782890728067407</v>
      </c>
      <c r="BO91" s="959">
        <f ca="1">Fixed!P260</f>
        <v>-23.288206600923601</v>
      </c>
      <c r="BP91" s="633"/>
      <c r="BQ91" s="563"/>
      <c r="BR91" s="563"/>
      <c r="BS91" s="563"/>
      <c r="BT91" s="563"/>
      <c r="BU91" s="218"/>
      <c r="BV91" s="222"/>
      <c r="BW91" s="222"/>
      <c r="BX91" s="222"/>
      <c r="BY91" s="222"/>
      <c r="BZ91" s="222"/>
      <c r="CA91" s="222"/>
      <c r="CB91" s="222"/>
      <c r="CC91" s="213"/>
      <c r="DA91" s="708"/>
      <c r="DB91" s="708"/>
      <c r="DC91" s="708"/>
      <c r="DD91" s="708"/>
      <c r="DE91" s="709"/>
      <c r="DF91" s="708"/>
      <c r="DG91" s="708"/>
      <c r="DH91" s="708"/>
      <c r="DI91" s="708"/>
      <c r="DJ91" s="709"/>
      <c r="DK91" s="708"/>
      <c r="DL91" s="708"/>
      <c r="DM91" s="708"/>
      <c r="DN91" s="708"/>
      <c r="DO91" s="709"/>
      <c r="DP91" s="708"/>
      <c r="DQ91" s="708"/>
      <c r="DR91" s="708"/>
      <c r="DS91" s="708"/>
      <c r="DT91" s="957">
        <f t="shared" si="129"/>
        <v>0.18689051206547092</v>
      </c>
      <c r="DU91" s="958">
        <f t="shared" si="129"/>
        <v>4.0004269854824814</v>
      </c>
      <c r="DV91" s="958">
        <f t="shared" si="129"/>
        <v>1.5408482142857243</v>
      </c>
      <c r="DW91" s="958">
        <f t="shared" si="129"/>
        <v>0.77686827345762799</v>
      </c>
      <c r="DX91" s="958">
        <f t="shared" si="129"/>
        <v>0.13435885792132596</v>
      </c>
      <c r="DY91" s="957">
        <f t="shared" si="129"/>
        <v>0.76569145508441783</v>
      </c>
      <c r="DZ91" s="958">
        <f t="shared" si="129"/>
        <v>0.23208948851507127</v>
      </c>
      <c r="EA91" s="958" t="str">
        <f t="shared" si="129"/>
        <v>N/A</v>
      </c>
      <c r="EB91" s="958">
        <f t="shared" si="129"/>
        <v>-1</v>
      </c>
      <c r="EC91" s="958">
        <f t="shared" si="129"/>
        <v>-1</v>
      </c>
      <c r="ED91" s="957">
        <f t="shared" ca="1" si="129"/>
        <v>-0.32915613644643182</v>
      </c>
      <c r="EE91" s="958">
        <f t="shared" si="129"/>
        <v>-1</v>
      </c>
      <c r="EF91" s="958" t="str">
        <f t="shared" si="129"/>
        <v>N/A</v>
      </c>
      <c r="EG91" s="958" t="str">
        <f t="shared" si="129"/>
        <v>N/A</v>
      </c>
      <c r="EH91" s="958" t="str">
        <f t="shared" si="129"/>
        <v>N/A</v>
      </c>
      <c r="EI91" s="957">
        <f t="shared" ca="1" si="129"/>
        <v>-0.18044331043880968</v>
      </c>
      <c r="EJ91" s="957">
        <f t="shared" ca="1" si="130"/>
        <v>-0.21062452182002867</v>
      </c>
      <c r="EK91" s="957">
        <f t="shared" ca="1" si="130"/>
        <v>-2.0800000000000152E-2</v>
      </c>
    </row>
    <row r="92" spans="2:141">
      <c r="B92" s="7" t="s">
        <v>28</v>
      </c>
      <c r="C92" s="34"/>
      <c r="D92" s="553"/>
      <c r="E92" s="78"/>
      <c r="F92" s="78"/>
      <c r="G92" s="78"/>
      <c r="H92" s="78"/>
      <c r="I92" s="553"/>
      <c r="J92" s="78"/>
      <c r="K92" s="78"/>
      <c r="L92" s="78"/>
      <c r="M92" s="78"/>
      <c r="N92" s="553"/>
      <c r="O92" s="78"/>
      <c r="P92" s="78"/>
      <c r="Q92" s="78"/>
      <c r="R92" s="78"/>
      <c r="S92" s="553"/>
      <c r="T92" s="567"/>
      <c r="U92" s="78"/>
      <c r="V92" s="78"/>
      <c r="W92" s="78"/>
      <c r="X92" s="78"/>
      <c r="Y92" s="553"/>
      <c r="Z92" s="78"/>
      <c r="AA92" s="78"/>
      <c r="AB92" s="78"/>
      <c r="AC92" s="78"/>
      <c r="AD92" s="553"/>
      <c r="AE92" s="78"/>
      <c r="AF92" s="78"/>
      <c r="AG92" s="78"/>
      <c r="AH92" s="78"/>
      <c r="AI92" s="553"/>
      <c r="AJ92" s="78"/>
      <c r="AK92" s="78"/>
      <c r="AL92" s="78"/>
      <c r="AM92" s="78"/>
      <c r="AN92" s="582"/>
      <c r="AO92" s="719">
        <f>AO91+AO90+AO89</f>
        <v>57.096000000000004</v>
      </c>
      <c r="AP92" s="823">
        <f>AP86</f>
        <v>60.742908499999992</v>
      </c>
      <c r="AQ92" s="823">
        <f>AQ86</f>
        <v>59.530961770000033</v>
      </c>
      <c r="AR92" s="823">
        <f>AR86</f>
        <v>64.792422439999953</v>
      </c>
      <c r="AS92" s="718">
        <v>235.471</v>
      </c>
      <c r="AT92" s="719">
        <f>AT91+AT90+AT89</f>
        <v>62.027999999999999</v>
      </c>
      <c r="AU92" s="719">
        <f>AU91+AU90+AU89</f>
        <v>57.342000000000006</v>
      </c>
      <c r="AV92" s="719">
        <f>AV91+AV90+AV89</f>
        <v>58.277999999999984</v>
      </c>
      <c r="AW92" s="719">
        <f>AW91+AW90+AW89</f>
        <v>48.805</v>
      </c>
      <c r="AX92" s="718">
        <f>AW92+AU92+AV92+AT92</f>
        <v>226.45299999999997</v>
      </c>
      <c r="AY92" s="719">
        <f>AY91+AY90+AY89</f>
        <v>48.966999999999999</v>
      </c>
      <c r="AZ92" s="719">
        <f>AZ91+AZ90+AZ89</f>
        <v>48.57</v>
      </c>
      <c r="BA92" s="719">
        <f>BA91+BA90+BA89</f>
        <v>48.345999999999997</v>
      </c>
      <c r="BB92" s="719">
        <f>BB91+BB90+BB89</f>
        <v>35.677000000000007</v>
      </c>
      <c r="BC92" s="718">
        <f>BB92+AZ92+BA92+AY92</f>
        <v>181.56</v>
      </c>
      <c r="BD92" s="719">
        <f t="shared" ref="BD92:BO92" si="131">BD91+BD90+BD89</f>
        <v>44.160000000000004</v>
      </c>
      <c r="BE92" s="719" t="e">
        <f t="shared" si="131"/>
        <v>#VALUE!</v>
      </c>
      <c r="BF92" s="719">
        <f t="shared" si="131"/>
        <v>0</v>
      </c>
      <c r="BG92" s="719">
        <f t="shared" si="131"/>
        <v>0</v>
      </c>
      <c r="BH92" s="582">
        <f t="shared" ca="1" si="131"/>
        <v>190.85454653151407</v>
      </c>
      <c r="BI92" s="719"/>
      <c r="BJ92" s="719"/>
      <c r="BK92" s="719"/>
      <c r="BL92" s="719"/>
      <c r="BM92" s="582">
        <f t="shared" ca="1" si="131"/>
        <v>184.97974954401991</v>
      </c>
      <c r="BN92" s="582">
        <f t="shared" ca="1" si="131"/>
        <v>192.26576222893047</v>
      </c>
      <c r="BO92" s="582">
        <f t="shared" ca="1" si="131"/>
        <v>209.68398168306288</v>
      </c>
      <c r="BP92" s="633"/>
      <c r="BQ92" s="563"/>
      <c r="BR92" s="563"/>
      <c r="BS92" s="563"/>
      <c r="BT92" s="563"/>
      <c r="BU92" s="218"/>
      <c r="BV92" s="222"/>
      <c r="BW92" s="222"/>
      <c r="BX92" s="222"/>
      <c r="BY92" s="222"/>
      <c r="BZ92" s="222"/>
      <c r="CA92" s="222"/>
      <c r="CB92" s="222"/>
      <c r="CC92" s="213"/>
      <c r="DA92" s="708"/>
      <c r="DB92" s="708"/>
      <c r="DC92" s="708"/>
      <c r="DD92" s="708"/>
      <c r="DE92" s="709"/>
      <c r="DF92" s="708"/>
      <c r="DG92" s="708"/>
      <c r="DH92" s="708"/>
      <c r="DI92" s="708"/>
      <c r="DJ92" s="709"/>
      <c r="DK92" s="708"/>
      <c r="DL92" s="708"/>
      <c r="DM92" s="708"/>
      <c r="DN92" s="708"/>
      <c r="DO92" s="709"/>
      <c r="DP92" s="708"/>
      <c r="DQ92" s="708"/>
      <c r="DR92" s="708"/>
      <c r="DS92" s="708"/>
      <c r="DT92" s="707">
        <f t="shared" si="129"/>
        <v>-3.8297709696735627E-2</v>
      </c>
      <c r="DU92" s="706">
        <f t="shared" si="129"/>
        <v>-0.21056619591152381</v>
      </c>
      <c r="DV92" s="706">
        <f t="shared" si="129"/>
        <v>-0.15297687558857387</v>
      </c>
      <c r="DW92" s="706">
        <f t="shared" si="129"/>
        <v>-0.17042451697038319</v>
      </c>
      <c r="DX92" s="706">
        <f t="shared" si="129"/>
        <v>-0.26898883311136135</v>
      </c>
      <c r="DY92" s="707">
        <f t="shared" si="129"/>
        <v>-0.19824422727894964</v>
      </c>
      <c r="DZ92" s="706">
        <f t="shared" si="129"/>
        <v>-9.8168154062940216E-2</v>
      </c>
      <c r="EA92" s="706" t="str">
        <f t="shared" si="129"/>
        <v>N/A</v>
      </c>
      <c r="EB92" s="706">
        <f t="shared" si="129"/>
        <v>-1</v>
      </c>
      <c r="EC92" s="706">
        <f t="shared" si="129"/>
        <v>-1</v>
      </c>
      <c r="ED92" s="707">
        <f t="shared" ca="1" si="129"/>
        <v>5.1192699556697807E-2</v>
      </c>
      <c r="EE92" s="706">
        <f t="shared" si="129"/>
        <v>-1</v>
      </c>
      <c r="EF92" s="706" t="str">
        <f t="shared" si="129"/>
        <v>N/A</v>
      </c>
      <c r="EG92" s="706" t="str">
        <f t="shared" si="129"/>
        <v>N/A</v>
      </c>
      <c r="EH92" s="706" t="str">
        <f t="shared" si="129"/>
        <v>N/A</v>
      </c>
      <c r="EI92" s="707">
        <f t="shared" ca="1" si="129"/>
        <v>-3.0781540677230379E-2</v>
      </c>
      <c r="EJ92" s="707">
        <f t="shared" ca="1" si="130"/>
        <v>3.938816385507482E-2</v>
      </c>
      <c r="EK92" s="707">
        <f t="shared" ca="1" si="130"/>
        <v>9.0594494059699437E-2</v>
      </c>
    </row>
    <row r="93" spans="2:141">
      <c r="B93" s="7"/>
      <c r="C93" s="34"/>
      <c r="D93" s="553"/>
      <c r="E93" s="78"/>
      <c r="F93" s="78"/>
      <c r="G93" s="78"/>
      <c r="H93" s="78"/>
      <c r="I93" s="553"/>
      <c r="J93" s="78"/>
      <c r="K93" s="78"/>
      <c r="L93" s="78"/>
      <c r="M93" s="78"/>
      <c r="N93" s="553"/>
      <c r="O93" s="78"/>
      <c r="P93" s="78"/>
      <c r="Q93" s="78"/>
      <c r="R93" s="78"/>
      <c r="S93" s="553"/>
      <c r="T93" s="567"/>
      <c r="U93" s="78"/>
      <c r="V93" s="78"/>
      <c r="W93" s="78"/>
      <c r="X93" s="78"/>
      <c r="Y93" s="553"/>
      <c r="Z93" s="78"/>
      <c r="AA93" s="78"/>
      <c r="AB93" s="78"/>
      <c r="AC93" s="78"/>
      <c r="AD93" s="553"/>
      <c r="AE93" s="78"/>
      <c r="AF93" s="78"/>
      <c r="AG93" s="78"/>
      <c r="AH93" s="78"/>
      <c r="AI93" s="553"/>
      <c r="AJ93" s="78"/>
      <c r="AK93" s="78"/>
      <c r="AL93" s="78"/>
      <c r="AM93" s="78"/>
      <c r="AN93" s="582"/>
      <c r="AO93" s="922">
        <f>AO92-AO86</f>
        <v>-2.1667949999972791E-2</v>
      </c>
      <c r="AP93" s="922">
        <f>AP92-AP86</f>
        <v>0</v>
      </c>
      <c r="AQ93" s="922">
        <f>AQ92-AQ86</f>
        <v>0</v>
      </c>
      <c r="AR93" s="922">
        <f>AR92-AR86</f>
        <v>0</v>
      </c>
      <c r="AS93" s="582"/>
      <c r="AT93" s="922">
        <f t="shared" ref="AT93:BB93" si="132">AT92-AT86</f>
        <v>0</v>
      </c>
      <c r="AU93" s="922">
        <f t="shared" si="132"/>
        <v>0</v>
      </c>
      <c r="AV93" s="922">
        <f t="shared" si="132"/>
        <v>0</v>
      </c>
      <c r="AW93" s="922">
        <f t="shared" si="132"/>
        <v>0</v>
      </c>
      <c r="AX93" s="582">
        <f t="shared" si="132"/>
        <v>0</v>
      </c>
      <c r="AY93" s="922">
        <f t="shared" si="132"/>
        <v>0</v>
      </c>
      <c r="AZ93" s="922">
        <f t="shared" si="132"/>
        <v>0</v>
      </c>
      <c r="BA93" s="922">
        <f t="shared" si="132"/>
        <v>0</v>
      </c>
      <c r="BB93" s="922">
        <f t="shared" si="132"/>
        <v>-2.2999999999996135E-2</v>
      </c>
      <c r="BC93" s="582"/>
      <c r="BD93" s="922">
        <f>BD92-BD86</f>
        <v>0</v>
      </c>
      <c r="BE93" s="922" t="e">
        <f>BE92-BE86</f>
        <v>#VALUE!</v>
      </c>
      <c r="BF93" s="922">
        <f>BF92-BF86</f>
        <v>-48.622492620000024</v>
      </c>
      <c r="BG93" s="922">
        <f>BG92-BG86</f>
        <v>-51.6</v>
      </c>
      <c r="BH93" s="582"/>
      <c r="BI93" s="922"/>
      <c r="BJ93" s="922"/>
      <c r="BK93" s="922"/>
      <c r="BL93" s="922"/>
      <c r="BM93" s="582"/>
      <c r="BN93" s="582"/>
      <c r="BO93" s="582"/>
      <c r="BP93" s="633"/>
      <c r="BQ93" s="563"/>
      <c r="BR93" s="563"/>
      <c r="BS93" s="563"/>
      <c r="BT93" s="563"/>
      <c r="BU93" s="218"/>
      <c r="BV93" s="222"/>
      <c r="BW93" s="222"/>
      <c r="BX93" s="222"/>
      <c r="BY93" s="222"/>
      <c r="BZ93" s="222"/>
      <c r="CA93" s="222"/>
      <c r="CB93" s="222"/>
      <c r="CC93" s="213"/>
      <c r="DA93" s="708"/>
      <c r="DB93" s="708"/>
      <c r="DC93" s="708"/>
      <c r="DD93" s="708"/>
      <c r="DE93" s="709"/>
      <c r="DF93" s="708"/>
      <c r="DG93" s="708"/>
      <c r="DH93" s="708"/>
      <c r="DI93" s="708"/>
      <c r="DJ93" s="709"/>
      <c r="DK93" s="708"/>
      <c r="DL93" s="708"/>
      <c r="DM93" s="708"/>
      <c r="DN93" s="708"/>
      <c r="DO93" s="709"/>
      <c r="DP93" s="708"/>
      <c r="DQ93" s="708"/>
      <c r="DR93" s="708"/>
      <c r="DS93" s="708"/>
      <c r="DT93" s="709"/>
      <c r="DU93" s="708"/>
      <c r="DV93" s="708"/>
      <c r="DW93" s="708"/>
      <c r="DX93" s="708"/>
      <c r="DY93" s="709"/>
      <c r="DZ93" s="708"/>
      <c r="EA93" s="708"/>
      <c r="EB93" s="708"/>
      <c r="EC93" s="708"/>
      <c r="ED93" s="709"/>
      <c r="EE93" s="708"/>
      <c r="EF93" s="708"/>
      <c r="EG93" s="708"/>
      <c r="EH93" s="708"/>
      <c r="EI93" s="709"/>
      <c r="EJ93" s="709"/>
      <c r="EK93" s="709"/>
    </row>
    <row r="94" spans="2:141">
      <c r="B94" s="7"/>
      <c r="C94" s="34"/>
      <c r="D94" s="553"/>
      <c r="E94" s="78"/>
      <c r="F94" s="78"/>
      <c r="G94" s="78"/>
      <c r="H94" s="78"/>
      <c r="I94" s="553"/>
      <c r="J94" s="78"/>
      <c r="K94" s="78"/>
      <c r="L94" s="78"/>
      <c r="M94" s="78"/>
      <c r="N94" s="553"/>
      <c r="O94" s="78"/>
      <c r="P94" s="78"/>
      <c r="Q94" s="78"/>
      <c r="R94" s="78"/>
      <c r="S94" s="553"/>
      <c r="T94" s="567"/>
      <c r="U94" s="78"/>
      <c r="V94" s="78"/>
      <c r="W94" s="78"/>
      <c r="X94" s="78"/>
      <c r="Y94" s="553"/>
      <c r="Z94" s="78"/>
      <c r="AA94" s="78"/>
      <c r="AB94" s="78"/>
      <c r="AC94" s="78"/>
      <c r="AD94" s="553"/>
      <c r="AE94" s="78"/>
      <c r="AF94" s="78"/>
      <c r="AG94" s="78"/>
      <c r="AH94" s="78"/>
      <c r="AI94" s="553"/>
      <c r="AJ94" s="78"/>
      <c r="AK94" s="78"/>
      <c r="AL94" s="78"/>
      <c r="AM94" s="78"/>
      <c r="AN94" s="582"/>
      <c r="AO94" s="78"/>
      <c r="AP94" s="78"/>
      <c r="AQ94" s="78"/>
      <c r="AR94" s="78"/>
      <c r="AS94" s="582"/>
      <c r="AT94" s="78"/>
      <c r="AU94" s="78"/>
      <c r="AV94" s="78"/>
      <c r="AW94" s="78"/>
      <c r="AX94" s="582"/>
      <c r="AY94" s="78"/>
      <c r="AZ94" s="78"/>
      <c r="BA94" s="78"/>
      <c r="BB94" s="78"/>
      <c r="BC94" s="582"/>
      <c r="BD94" s="78"/>
      <c r="BE94" s="78"/>
      <c r="BF94" s="78"/>
      <c r="BG94" s="78"/>
      <c r="BH94" s="582"/>
      <c r="BI94" s="78"/>
      <c r="BJ94" s="78"/>
      <c r="BK94" s="78"/>
      <c r="BL94" s="78"/>
      <c r="BM94" s="582"/>
      <c r="BN94" s="582"/>
      <c r="BO94" s="582"/>
      <c r="BP94" s="633"/>
      <c r="BQ94" s="563"/>
      <c r="BR94" s="563"/>
      <c r="BS94" s="563"/>
      <c r="BT94" s="563"/>
      <c r="BU94" s="218"/>
      <c r="BV94" s="222"/>
      <c r="BW94" s="222"/>
      <c r="BX94" s="222"/>
      <c r="BY94" s="222"/>
      <c r="BZ94" s="222"/>
      <c r="CA94" s="222"/>
      <c r="CB94" s="222"/>
      <c r="CC94" s="213"/>
      <c r="DA94" s="708"/>
      <c r="DB94" s="708"/>
      <c r="DC94" s="708"/>
      <c r="DD94" s="708"/>
      <c r="DE94" s="709"/>
      <c r="DF94" s="708"/>
      <c r="DG94" s="708"/>
      <c r="DH94" s="708"/>
      <c r="DI94" s="708"/>
      <c r="DJ94" s="709"/>
      <c r="DK94" s="708"/>
      <c r="DL94" s="708"/>
      <c r="DM94" s="708"/>
      <c r="DN94" s="708"/>
      <c r="DO94" s="709"/>
      <c r="DP94" s="708"/>
      <c r="DQ94" s="708"/>
      <c r="DR94" s="708"/>
      <c r="DS94" s="708"/>
      <c r="DT94" s="709"/>
      <c r="DU94" s="708"/>
      <c r="DV94" s="708"/>
      <c r="DW94" s="708"/>
      <c r="DX94" s="708"/>
      <c r="DY94" s="709"/>
      <c r="DZ94" s="708"/>
      <c r="EA94" s="708"/>
      <c r="EB94" s="708"/>
      <c r="EC94" s="708"/>
      <c r="ED94" s="709"/>
      <c r="EE94" s="708"/>
      <c r="EF94" s="708"/>
      <c r="EG94" s="708"/>
      <c r="EH94" s="708"/>
      <c r="EI94" s="709"/>
      <c r="EJ94" s="709"/>
      <c r="EK94" s="709"/>
    </row>
    <row r="95" spans="2:141">
      <c r="B95" s="212" t="s">
        <v>85</v>
      </c>
      <c r="C95" s="314"/>
      <c r="D95" s="578"/>
      <c r="E95" s="832">
        <f>+BV95*0.49</f>
        <v>-0.73499999999999999</v>
      </c>
      <c r="F95" s="832">
        <f>+BV95-E95</f>
        <v>-0.76500000000000001</v>
      </c>
      <c r="G95" s="802">
        <v>-2.032</v>
      </c>
      <c r="H95" s="802">
        <v>6.6609999999999996</v>
      </c>
      <c r="I95" s="803">
        <f>SUM(E95:H95)</f>
        <v>3.1289999999999996</v>
      </c>
      <c r="J95" s="802">
        <v>-0.6</v>
      </c>
      <c r="K95" s="802">
        <v>-2.8</v>
      </c>
      <c r="L95" s="802">
        <v>-4.6849999999999996</v>
      </c>
      <c r="M95" s="802">
        <v>-6.7562998199999971</v>
      </c>
      <c r="N95" s="803">
        <f>SUM(J95:M95)</f>
        <v>-14.841299819999996</v>
      </c>
      <c r="O95" s="802">
        <v>-4.3</v>
      </c>
      <c r="P95" s="802">
        <v>-2.1</v>
      </c>
      <c r="Q95" s="802">
        <v>-14.2</v>
      </c>
      <c r="R95" s="802">
        <v>-47.5</v>
      </c>
      <c r="S95" s="803">
        <f>SUM(O95:R95)</f>
        <v>-68.099999999999994</v>
      </c>
      <c r="T95" s="802">
        <v>-8.1999999999999993</v>
      </c>
      <c r="U95" s="802">
        <v>-10.39837681</v>
      </c>
      <c r="V95" s="802">
        <v>-12.653965719999999</v>
      </c>
      <c r="W95" s="802">
        <v>-6.4</v>
      </c>
      <c r="X95" s="802">
        <v>-1.8</v>
      </c>
      <c r="Y95" s="803">
        <f>SUM(U95:X95)</f>
        <v>-31.252342529999996</v>
      </c>
      <c r="Z95" s="802">
        <v>-4.54992543</v>
      </c>
      <c r="AA95" s="802">
        <v>-12.155090280000003</v>
      </c>
      <c r="AB95" s="802">
        <v>-19.144551729999996</v>
      </c>
      <c r="AC95" s="802">
        <v>-32.200000000000003</v>
      </c>
      <c r="AD95" s="803">
        <f>SUM(Z95:AC95)</f>
        <v>-68.049567440000004</v>
      </c>
      <c r="AE95" s="802">
        <v>-10.9</v>
      </c>
      <c r="AF95" s="802">
        <v>-14.35359074</v>
      </c>
      <c r="AG95" s="802">
        <v>-8.7069097699999976</v>
      </c>
      <c r="AH95" s="802">
        <v>-12.42824919000001</v>
      </c>
      <c r="AI95" s="803">
        <f>SUM(AE95:AH95)</f>
        <v>-46.388749700000005</v>
      </c>
      <c r="AJ95" s="802">
        <v>-9.3319797900000019</v>
      </c>
      <c r="AK95" s="802">
        <v>-8</v>
      </c>
      <c r="AL95" s="802">
        <v>-4.133611589999993</v>
      </c>
      <c r="AM95" s="802">
        <v>-3.8581905100000005</v>
      </c>
      <c r="AN95" s="803">
        <f>AM95+AL95+AK95+AJ95</f>
        <v>-25.323781889999996</v>
      </c>
      <c r="AO95" s="802">
        <v>-1.5972569299999999</v>
      </c>
      <c r="AP95" s="802">
        <v>-3.70474199</v>
      </c>
      <c r="AQ95" s="802">
        <v>-4.3859365700000001</v>
      </c>
      <c r="AR95" s="802">
        <v>-2.8804565600000007</v>
      </c>
      <c r="AS95" s="803">
        <f>AR95+AQ95+AP95+AO95</f>
        <v>-12.568392050000002</v>
      </c>
      <c r="AT95" s="923">
        <f>AT96-AT92</f>
        <v>-13.729999999999997</v>
      </c>
      <c r="AU95" s="923">
        <f>AU96-AU92</f>
        <v>-2.6130000000000067</v>
      </c>
      <c r="AV95" s="923">
        <f>AV96-AV92</f>
        <v>-5.4579999999999771</v>
      </c>
      <c r="AW95" s="923">
        <f>AW96-AW92</f>
        <v>-2.2889999999999944</v>
      </c>
      <c r="AX95" s="803">
        <f ca="1">Model!K59</f>
        <v>-24.052999999999969</v>
      </c>
      <c r="AY95" s="923">
        <f>AY96-AY92</f>
        <v>-1.6629999999999967</v>
      </c>
      <c r="AZ95" s="923">
        <f>AZ96-AZ92</f>
        <v>-2.1180000000000021</v>
      </c>
      <c r="BA95" s="923">
        <f>BA96-BA92</f>
        <v>-3.4010000000000034</v>
      </c>
      <c r="BB95" s="940">
        <f>BB96-BB92</f>
        <v>-11.077999999999989</v>
      </c>
      <c r="BC95" s="803">
        <f ca="1">Model!L59</f>
        <v>-18.283000000000015</v>
      </c>
      <c r="BD95" s="923">
        <f>BD96-BD92</f>
        <v>-3.159000000000006</v>
      </c>
      <c r="BE95" s="923">
        <f>BE96-BE86</f>
        <v>-2.8940786100000011</v>
      </c>
      <c r="BF95" s="923">
        <f>BF96-BF86</f>
        <v>-12.526047049999995</v>
      </c>
      <c r="BG95" s="923">
        <f>BG96-BG86</f>
        <v>-31.1</v>
      </c>
      <c r="BH95" s="803">
        <f ca="1">Model!M16</f>
        <v>-47.554546531514063</v>
      </c>
      <c r="BI95" s="923">
        <f>BI96-BI86</f>
        <v>-15.799999999999997</v>
      </c>
      <c r="BJ95" s="923">
        <f>BJ96-BJ86</f>
        <v>-10.100000000000001</v>
      </c>
      <c r="BK95" s="923">
        <f>BK96-BK86</f>
        <v>-10.300000000000004</v>
      </c>
      <c r="BL95" s="923">
        <f ca="1">BL96-BL86</f>
        <v>-8.8000000000000753</v>
      </c>
      <c r="BM95" s="803">
        <f>Model!N16</f>
        <v>-45</v>
      </c>
      <c r="BN95" s="803">
        <f>Model!O16</f>
        <v>-25</v>
      </c>
      <c r="BO95" s="803">
        <f>Model!P16</f>
        <v>-20</v>
      </c>
      <c r="BP95" s="215"/>
      <c r="BQ95" s="573">
        <v>-3.312064509999999</v>
      </c>
      <c r="BR95" s="659">
        <f>$AR95/BQ95-1</f>
        <v>-0.13031387181525589</v>
      </c>
      <c r="BS95" s="573">
        <f>BS96-BS86</f>
        <v>-2.7000000000000028</v>
      </c>
      <c r="BT95" s="659">
        <f>$AR95/BS95-1</f>
        <v>6.683576296296212E-2</v>
      </c>
      <c r="BU95" s="218"/>
      <c r="BV95" s="218">
        <v>-1.5</v>
      </c>
      <c r="BW95" s="218">
        <v>-3.3410000000000002</v>
      </c>
      <c r="BX95" s="218"/>
      <c r="BY95" s="218">
        <v>-4.5</v>
      </c>
      <c r="BZ95" s="218">
        <v>30.7</v>
      </c>
      <c r="CA95" s="218">
        <v>3.089</v>
      </c>
      <c r="CB95" s="218">
        <v>-14.782299819999997</v>
      </c>
      <c r="CG95" s="313">
        <f t="shared" ref="CG95:CP96" si="133">IFERROR(J95/E95-1,"N/A")</f>
        <v>-0.18367346938775508</v>
      </c>
      <c r="CH95" s="313">
        <f t="shared" si="133"/>
        <v>2.6601307189542482</v>
      </c>
      <c r="CI95" s="313">
        <f t="shared" si="133"/>
        <v>1.3056102362204722</v>
      </c>
      <c r="CJ95" s="313">
        <f t="shared" si="133"/>
        <v>-2.0143071340639542</v>
      </c>
      <c r="CK95" s="575">
        <f t="shared" si="133"/>
        <v>-5.743144717162032</v>
      </c>
      <c r="CL95" s="313">
        <f t="shared" si="133"/>
        <v>6.166666666666667</v>
      </c>
      <c r="CM95" s="313">
        <f t="shared" si="133"/>
        <v>-0.24999999999999989</v>
      </c>
      <c r="CN95" s="313">
        <f t="shared" si="133"/>
        <v>2.0309498399146211</v>
      </c>
      <c r="CO95" s="313">
        <f t="shared" si="133"/>
        <v>6.0304754474321154</v>
      </c>
      <c r="CP95" s="575">
        <f t="shared" si="133"/>
        <v>3.5885468810642225</v>
      </c>
      <c r="CQ95" s="313">
        <f t="shared" ref="CQ95:CU96" si="134">IFERROR(U95/O95-1,"N/A")</f>
        <v>1.4182271651162792</v>
      </c>
      <c r="CR95" s="313">
        <f t="shared" si="134"/>
        <v>5.0256979619047613</v>
      </c>
      <c r="CS95" s="313">
        <f t="shared" si="134"/>
        <v>-0.54929577464788726</v>
      </c>
      <c r="CT95" s="313">
        <f t="shared" si="134"/>
        <v>-0.96210526315789469</v>
      </c>
      <c r="CU95" s="575">
        <f t="shared" si="134"/>
        <v>-0.54108160748898682</v>
      </c>
      <c r="CV95" s="313">
        <f t="shared" ref="CV95:EI95" si="135">IFERROR(Z95/U95-1,"N/A")</f>
        <v>-0.56243887741936915</v>
      </c>
      <c r="CW95" s="313">
        <f t="shared" si="135"/>
        <v>-3.9424434287150589E-2</v>
      </c>
      <c r="CX95" s="313">
        <f t="shared" si="135"/>
        <v>1.9913362078124992</v>
      </c>
      <c r="CY95" s="313">
        <f t="shared" si="135"/>
        <v>16.888888888888889</v>
      </c>
      <c r="CZ95" s="575">
        <f t="shared" si="135"/>
        <v>1.1774229363663644</v>
      </c>
      <c r="DA95" s="704">
        <f t="shared" si="135"/>
        <v>1.3956436578346296</v>
      </c>
      <c r="DB95" s="704">
        <f t="shared" si="135"/>
        <v>0.18087076355306153</v>
      </c>
      <c r="DC95" s="704">
        <f t="shared" si="135"/>
        <v>-0.54520169013119024</v>
      </c>
      <c r="DD95" s="704">
        <f t="shared" si="135"/>
        <v>-0.61402952826086932</v>
      </c>
      <c r="DE95" s="705">
        <f t="shared" si="135"/>
        <v>-0.31830941113767641</v>
      </c>
      <c r="DF95" s="704">
        <f t="shared" si="135"/>
        <v>-0.14385506513761448</v>
      </c>
      <c r="DG95" s="704">
        <f t="shared" si="135"/>
        <v>-0.44264817459885297</v>
      </c>
      <c r="DH95" s="704">
        <f t="shared" si="135"/>
        <v>-0.52524929059877068</v>
      </c>
      <c r="DI95" s="704">
        <f t="shared" si="135"/>
        <v>-0.68956282972630056</v>
      </c>
      <c r="DJ95" s="705">
        <f t="shared" si="135"/>
        <v>-0.45409647697402822</v>
      </c>
      <c r="DK95" s="704">
        <f t="shared" si="135"/>
        <v>-0.82884050695099076</v>
      </c>
      <c r="DL95" s="704">
        <f t="shared" si="135"/>
        <v>-0.53690725124999994</v>
      </c>
      <c r="DM95" s="704">
        <f t="shared" si="135"/>
        <v>6.1042256754463953E-2</v>
      </c>
      <c r="DN95" s="704">
        <f t="shared" si="135"/>
        <v>-0.25341774789653915</v>
      </c>
      <c r="DO95" s="705">
        <f t="shared" si="135"/>
        <v>-0.50369213790444611</v>
      </c>
      <c r="DP95" s="704">
        <f t="shared" si="135"/>
        <v>7.595987121495849</v>
      </c>
      <c r="DQ95" s="704">
        <f t="shared" si="135"/>
        <v>-0.29468772533873366</v>
      </c>
      <c r="DR95" s="704">
        <f t="shared" si="135"/>
        <v>0.24443204156962461</v>
      </c>
      <c r="DS95" s="704">
        <f t="shared" si="135"/>
        <v>-0.20533430991926027</v>
      </c>
      <c r="DT95" s="705">
        <f t="shared" ca="1" si="135"/>
        <v>0.91376907279081609</v>
      </c>
      <c r="DU95" s="704">
        <f t="shared" si="135"/>
        <v>-0.87887836853605261</v>
      </c>
      <c r="DV95" s="704">
        <f t="shared" si="135"/>
        <v>-0.1894374282433996</v>
      </c>
      <c r="DW95" s="704">
        <f t="shared" si="135"/>
        <v>-0.3768779772810521</v>
      </c>
      <c r="DX95" s="704">
        <f t="shared" si="135"/>
        <v>3.8396679772826632</v>
      </c>
      <c r="DY95" s="705">
        <f t="shared" ca="1" si="135"/>
        <v>-0.23988691639296389</v>
      </c>
      <c r="DZ95" s="704">
        <f t="shared" si="135"/>
        <v>0.89957907396272541</v>
      </c>
      <c r="EA95" s="704">
        <f t="shared" si="135"/>
        <v>0.36642049575070734</v>
      </c>
      <c r="EB95" s="704">
        <f t="shared" si="135"/>
        <v>2.6830482358129912</v>
      </c>
      <c r="EC95" s="704">
        <f t="shared" si="135"/>
        <v>1.8073659505325903</v>
      </c>
      <c r="ED95" s="705">
        <f t="shared" ca="1" si="135"/>
        <v>1.6010253531430303</v>
      </c>
      <c r="EE95" s="704">
        <f t="shared" si="135"/>
        <v>4.0015827793605467</v>
      </c>
      <c r="EF95" s="704">
        <f t="shared" si="135"/>
        <v>2.4898844713827581</v>
      </c>
      <c r="EG95" s="704">
        <f t="shared" si="135"/>
        <v>-0.1777134511082642</v>
      </c>
      <c r="EH95" s="704">
        <f t="shared" ca="1" si="135"/>
        <v>-0.71704180064308443</v>
      </c>
      <c r="EI95" s="705">
        <f t="shared" ca="1" si="135"/>
        <v>-5.3718239744357188E-2</v>
      </c>
      <c r="EJ95" s="705">
        <f t="shared" ref="EJ95:EK96" si="136">IFERROR(BN95/BM95-1,"N/A")</f>
        <v>-0.44444444444444442</v>
      </c>
      <c r="EK95" s="705">
        <f t="shared" si="136"/>
        <v>-0.19999999999999996</v>
      </c>
    </row>
    <row r="96" spans="2:141" s="7" customFormat="1">
      <c r="B96" s="7" t="s">
        <v>27</v>
      </c>
      <c r="C96" s="27"/>
      <c r="D96" s="585"/>
      <c r="E96" s="586">
        <f>+E86+E95</f>
        <v>20.289920000000002</v>
      </c>
      <c r="F96" s="586">
        <f>+F86+F95</f>
        <v>21.118079999999992</v>
      </c>
      <c r="G96" s="59">
        <f>+G86+G95</f>
        <v>21.346313569999985</v>
      </c>
      <c r="H96" s="59">
        <f>+H86+H95</f>
        <v>28.44468643000004</v>
      </c>
      <c r="I96" s="585">
        <f>I86+I95</f>
        <v>91.199000000000026</v>
      </c>
      <c r="J96" s="59">
        <f>+J86+J95</f>
        <v>21.100000000000005</v>
      </c>
      <c r="K96" s="59">
        <f>+K86+K95</f>
        <v>22.599999999999998</v>
      </c>
      <c r="L96" s="59">
        <f>+L86+L95</f>
        <v>21.028472959999991</v>
      </c>
      <c r="M96" s="59">
        <f>+M86+M95</f>
        <v>19.23389581989607</v>
      </c>
      <c r="N96" s="585">
        <f>N86+N95</f>
        <v>83.962368779895996</v>
      </c>
      <c r="O96" s="59">
        <f>+O86+O95</f>
        <v>20.095153703194065</v>
      </c>
      <c r="P96" s="59">
        <f>+P86+P95</f>
        <v>25.600000000000016</v>
      </c>
      <c r="Q96" s="59">
        <f>+Q86+Q95</f>
        <v>22.799999999999994</v>
      </c>
      <c r="R96" s="59">
        <f>+R86+R95</f>
        <v>4.4000000000000128</v>
      </c>
      <c r="S96" s="585">
        <f>S86+S95</f>
        <v>72.89515370319404</v>
      </c>
      <c r="T96" s="587">
        <f>+T86+T95</f>
        <v>43.400000000000006</v>
      </c>
      <c r="U96" s="59">
        <f>+U86+U95</f>
        <v>46.017073679999982</v>
      </c>
      <c r="V96" s="59">
        <f>+V86+V95</f>
        <v>46.404722360000008</v>
      </c>
      <c r="W96" s="59">
        <f>+W86+W95</f>
        <v>57.199999999999982</v>
      </c>
      <c r="X96" s="59">
        <f>+X86+X95</f>
        <v>69.300000000000011</v>
      </c>
      <c r="Y96" s="585">
        <f t="shared" ref="Y96:AP96" si="137">Y86+Y95</f>
        <v>218.92179604</v>
      </c>
      <c r="Z96" s="59">
        <f t="shared" si="137"/>
        <v>56.55007457</v>
      </c>
      <c r="AA96" s="59">
        <f t="shared" si="137"/>
        <v>50.276923080000017</v>
      </c>
      <c r="AB96" s="59">
        <f t="shared" si="137"/>
        <v>49.140176349999955</v>
      </c>
      <c r="AC96" s="59">
        <f t="shared" si="137"/>
        <v>40.599999999999994</v>
      </c>
      <c r="AD96" s="585">
        <f t="shared" si="137"/>
        <v>196.54378316999995</v>
      </c>
      <c r="AE96" s="59">
        <f t="shared" si="137"/>
        <v>51.521794239999984</v>
      </c>
      <c r="AF96" s="59">
        <f t="shared" si="137"/>
        <v>38.251350729999999</v>
      </c>
      <c r="AG96" s="59">
        <f t="shared" si="137"/>
        <v>49.920706809999999</v>
      </c>
      <c r="AH96" s="59">
        <f t="shared" si="137"/>
        <v>46.914010470000015</v>
      </c>
      <c r="AI96" s="585">
        <f t="shared" si="137"/>
        <v>189.59582528200042</v>
      </c>
      <c r="AJ96" s="59">
        <f t="shared" si="137"/>
        <v>47.482674279999983</v>
      </c>
      <c r="AK96" s="59">
        <f t="shared" si="137"/>
        <v>50.350954819999998</v>
      </c>
      <c r="AL96" s="59">
        <f t="shared" si="137"/>
        <v>57.089738540000013</v>
      </c>
      <c r="AM96" s="59">
        <f t="shared" si="137"/>
        <v>59.206921549999969</v>
      </c>
      <c r="AN96" s="585">
        <f t="shared" si="137"/>
        <v>214.13028918999998</v>
      </c>
      <c r="AO96" s="59">
        <f t="shared" si="137"/>
        <v>55.520411019999976</v>
      </c>
      <c r="AP96" s="59">
        <f t="shared" si="137"/>
        <v>57.038166509999989</v>
      </c>
      <c r="AQ96" s="587">
        <f>167.692-AP96-AO96</f>
        <v>55.133422470000035</v>
      </c>
      <c r="AR96" s="587">
        <f>222.903-AQ96-AP96-AO96</f>
        <v>55.210999999999991</v>
      </c>
      <c r="AS96" s="585">
        <f>AS86+AS95</f>
        <v>229.61556861</v>
      </c>
      <c r="AT96" s="587">
        <v>48.298000000000002</v>
      </c>
      <c r="AU96" s="587">
        <f>103.027-AT96</f>
        <v>54.728999999999999</v>
      </c>
      <c r="AV96" s="587">
        <f>155.847-AU96-AT96</f>
        <v>52.820000000000007</v>
      </c>
      <c r="AW96" s="587">
        <f>202.363-AV96-AU96-AT96</f>
        <v>46.516000000000005</v>
      </c>
      <c r="AX96" s="585">
        <f ca="1">AX86+AX95</f>
        <v>202.4</v>
      </c>
      <c r="AY96" s="587">
        <v>47.304000000000002</v>
      </c>
      <c r="AZ96" s="587">
        <f>93.756-AY96</f>
        <v>46.451999999999998</v>
      </c>
      <c r="BA96" s="587">
        <f>138.701-AZ96-AY96</f>
        <v>44.944999999999993</v>
      </c>
      <c r="BB96" s="587">
        <f>163.3-BA96-AZ96-AY96</f>
        <v>24.599000000000018</v>
      </c>
      <c r="BC96" s="585">
        <f ca="1">Model!L17</f>
        <v>163.30000000000001</v>
      </c>
      <c r="BD96" s="587">
        <v>41.000999999999998</v>
      </c>
      <c r="BE96" s="587">
        <v>45.776782299999986</v>
      </c>
      <c r="BF96" s="823">
        <v>36.096445570000029</v>
      </c>
      <c r="BG96" s="823">
        <v>20.5</v>
      </c>
      <c r="BH96" s="585">
        <f>Model!M17</f>
        <v>143.30000000000001</v>
      </c>
      <c r="BI96" s="587">
        <v>32.1</v>
      </c>
      <c r="BJ96" s="587">
        <v>35</v>
      </c>
      <c r="BK96" s="823">
        <v>38.299999999999997</v>
      </c>
      <c r="BL96" s="823">
        <f ca="1">BM96-BI96-BJ96-BK96</f>
        <v>34.579749544019919</v>
      </c>
      <c r="BM96" s="585">
        <f ca="1">Model!N17</f>
        <v>139.97974954401991</v>
      </c>
      <c r="BN96" s="585">
        <f ca="1">Model!O17</f>
        <v>167.26576222893047</v>
      </c>
      <c r="BO96" s="585">
        <f ca="1">Model!P17</f>
        <v>189.68398168306288</v>
      </c>
      <c r="BP96" s="635"/>
      <c r="BQ96" s="660">
        <v>58.499906829639286</v>
      </c>
      <c r="BR96" s="661">
        <f>$AR96/BQ96-1</f>
        <v>-5.622071910673454E-2</v>
      </c>
      <c r="BS96" s="660">
        <v>57.4</v>
      </c>
      <c r="BT96" s="661">
        <f>$AR96/BS96-1</f>
        <v>-3.8135888501742321E-2</v>
      </c>
      <c r="BU96" s="27"/>
      <c r="BV96" s="27">
        <v>41.40799999999998</v>
      </c>
      <c r="BW96" s="27">
        <v>43.881999999999998</v>
      </c>
      <c r="BX96" s="27"/>
      <c r="BY96" s="27">
        <v>73.900000000000006</v>
      </c>
      <c r="BZ96" s="27">
        <v>117.8</v>
      </c>
      <c r="CA96" s="27">
        <v>91.166000000000054</v>
      </c>
      <c r="CB96" s="27">
        <v>84.15436877989606</v>
      </c>
      <c r="CG96" s="588">
        <f t="shared" si="133"/>
        <v>3.9925243667791932E-2</v>
      </c>
      <c r="CH96" s="588">
        <f t="shared" si="133"/>
        <v>7.0173046034488262E-2</v>
      </c>
      <c r="CI96" s="588">
        <f t="shared" si="133"/>
        <v>-1.4889718965183985E-2</v>
      </c>
      <c r="CJ96" s="588">
        <f t="shared" si="133"/>
        <v>-0.32381410260123433</v>
      </c>
      <c r="CK96" s="589">
        <f t="shared" si="133"/>
        <v>-7.9349896600884096E-2</v>
      </c>
      <c r="CL96" s="588">
        <f t="shared" si="133"/>
        <v>-4.7623047241987737E-2</v>
      </c>
      <c r="CM96" s="588">
        <f t="shared" si="133"/>
        <v>0.13274336283185928</v>
      </c>
      <c r="CN96" s="588">
        <f t="shared" si="133"/>
        <v>8.4244207526137149E-2</v>
      </c>
      <c r="CO96" s="588">
        <f t="shared" si="133"/>
        <v>-0.77123719285988168</v>
      </c>
      <c r="CP96" s="589">
        <f t="shared" si="133"/>
        <v>-0.13181161081477133</v>
      </c>
      <c r="CQ96" s="588">
        <f t="shared" si="134"/>
        <v>1.289958781090871</v>
      </c>
      <c r="CR96" s="588">
        <f t="shared" si="134"/>
        <v>0.81268446718749932</v>
      </c>
      <c r="CS96" s="588">
        <f t="shared" si="134"/>
        <v>1.5087719298245612</v>
      </c>
      <c r="CT96" s="588">
        <f t="shared" si="134"/>
        <v>14.749999999999957</v>
      </c>
      <c r="CU96" s="589">
        <f t="shared" si="134"/>
        <v>2.0032421212990394</v>
      </c>
      <c r="CV96" s="588">
        <f t="shared" ref="CV96:DE96" si="138">IFERROR(Z96/U96-1,"N/A")</f>
        <v>0.22889332257948181</v>
      </c>
      <c r="CW96" s="588">
        <f t="shared" si="138"/>
        <v>8.3444109199924288E-2</v>
      </c>
      <c r="CX96" s="588">
        <f t="shared" si="138"/>
        <v>-0.14090600786713336</v>
      </c>
      <c r="CY96" s="588">
        <f t="shared" si="138"/>
        <v>-0.41414141414141437</v>
      </c>
      <c r="CZ96" s="589">
        <f t="shared" si="138"/>
        <v>-0.10221920920980965</v>
      </c>
      <c r="DA96" s="716">
        <f t="shared" si="138"/>
        <v>-8.8917306798168783E-2</v>
      </c>
      <c r="DB96" s="716">
        <f t="shared" si="138"/>
        <v>-0.23918672053309775</v>
      </c>
      <c r="DC96" s="716">
        <f t="shared" si="138"/>
        <v>1.5883753742370166E-2</v>
      </c>
      <c r="DD96" s="716">
        <f t="shared" si="138"/>
        <v>0.15551749926108438</v>
      </c>
      <c r="DE96" s="717">
        <f t="shared" si="138"/>
        <v>-3.5350687648003198E-2</v>
      </c>
      <c r="DF96" s="846">
        <f>IFERROR(45.6/AE96-1,"N/A")</f>
        <v>-0.11493765555630586</v>
      </c>
      <c r="DG96" s="846">
        <f>IFERROR(48.4/AF96-1,"N/A")</f>
        <v>0.26531479480646314</v>
      </c>
      <c r="DH96" s="846">
        <f>IFERROR(55.2/AG96-1,"N/A")</f>
        <v>0.1057535745656244</v>
      </c>
      <c r="DI96" s="846">
        <f>IFERROR(56.8/AH96-1,"N/A")</f>
        <v>0.21072573909070824</v>
      </c>
      <c r="DJ96" s="717">
        <f t="shared" ref="DJ96:EI96" si="139">IFERROR(AN96/AI96-1,"N/A")</f>
        <v>0.12940403023910241</v>
      </c>
      <c r="DK96" s="716">
        <f t="shared" si="139"/>
        <v>0.16927725453293485</v>
      </c>
      <c r="DL96" s="716">
        <f t="shared" si="139"/>
        <v>0.13281201347434535</v>
      </c>
      <c r="DM96" s="716">
        <f t="shared" si="139"/>
        <v>-3.4267385348582091E-2</v>
      </c>
      <c r="DN96" s="716">
        <f t="shared" si="139"/>
        <v>-6.7490783938587984E-2</v>
      </c>
      <c r="DO96" s="717">
        <f t="shared" si="139"/>
        <v>7.2317090116381211E-2</v>
      </c>
      <c r="DP96" s="716">
        <f t="shared" si="139"/>
        <v>-0.13008569078132837</v>
      </c>
      <c r="DQ96" s="716">
        <f t="shared" si="139"/>
        <v>-4.0484585169741516E-2</v>
      </c>
      <c r="DR96" s="716">
        <f t="shared" si="139"/>
        <v>-4.1960436453202909E-2</v>
      </c>
      <c r="DS96" s="716">
        <f t="shared" si="139"/>
        <v>-0.15748673271630631</v>
      </c>
      <c r="DT96" s="717">
        <f t="shared" ca="1" si="139"/>
        <v>-0.11852666948827584</v>
      </c>
      <c r="DU96" s="716">
        <f t="shared" si="139"/>
        <v>-2.0580562342125908E-2</v>
      </c>
      <c r="DV96" s="716">
        <f t="shared" si="139"/>
        <v>-0.15123609055528153</v>
      </c>
      <c r="DW96" s="716">
        <f t="shared" si="139"/>
        <v>-0.14909125331313922</v>
      </c>
      <c r="DX96" s="716">
        <f t="shared" si="139"/>
        <v>-0.47117120990626848</v>
      </c>
      <c r="DY96" s="717">
        <f t="shared" ca="1" si="139"/>
        <v>-0.19318181818181812</v>
      </c>
      <c r="DZ96" s="716">
        <f t="shared" si="139"/>
        <v>-0.13324454591577883</v>
      </c>
      <c r="EA96" s="716">
        <f t="shared" si="139"/>
        <v>-1.4535815465426927E-2</v>
      </c>
      <c r="EB96" s="716">
        <f t="shared" si="139"/>
        <v>-0.19687516809433681</v>
      </c>
      <c r="EC96" s="716">
        <f t="shared" si="139"/>
        <v>-0.16663278995081166</v>
      </c>
      <c r="ED96" s="717">
        <f t="shared" ca="1" si="139"/>
        <v>-0.12247397428046536</v>
      </c>
      <c r="EE96" s="716">
        <f t="shared" si="139"/>
        <v>-0.21709226604229159</v>
      </c>
      <c r="EF96" s="716">
        <f t="shared" si="139"/>
        <v>-0.23542026674950434</v>
      </c>
      <c r="EG96" s="716">
        <f t="shared" si="139"/>
        <v>6.1046299578908059E-2</v>
      </c>
      <c r="EH96" s="716">
        <f t="shared" ca="1" si="139"/>
        <v>0.68681705092780088</v>
      </c>
      <c r="EI96" s="717">
        <f t="shared" ca="1" si="139"/>
        <v>-2.3169926419958853E-2</v>
      </c>
      <c r="EJ96" s="717">
        <f t="shared" ca="1" si="136"/>
        <v>0.19492828622564318</v>
      </c>
      <c r="EK96" s="717">
        <f t="shared" ca="1" si="136"/>
        <v>0.13402754488063984</v>
      </c>
    </row>
    <row r="97" spans="2:141">
      <c r="B97" s="6" t="s">
        <v>26</v>
      </c>
      <c r="C97" s="78"/>
      <c r="D97" s="553"/>
      <c r="E97" s="78">
        <f t="shared" ref="E97:AM97" si="140">+E96/E66</f>
        <v>0.40446979760881463</v>
      </c>
      <c r="F97" s="78">
        <f t="shared" si="140"/>
        <v>0.40446979760881441</v>
      </c>
      <c r="G97" s="78">
        <f t="shared" si="140"/>
        <v>0.41767243119639974</v>
      </c>
      <c r="H97" s="78">
        <f t="shared" si="140"/>
        <v>0.5395608976253321</v>
      </c>
      <c r="I97" s="553">
        <f t="shared" si="140"/>
        <v>0.44227990029194686</v>
      </c>
      <c r="J97" s="78">
        <f t="shared" si="140"/>
        <v>0.40267175572519087</v>
      </c>
      <c r="K97" s="78">
        <f t="shared" si="140"/>
        <v>0.4264150943396226</v>
      </c>
      <c r="L97" s="78">
        <f t="shared" si="140"/>
        <v>0.39011043672880863</v>
      </c>
      <c r="M97" s="78">
        <f t="shared" si="140"/>
        <v>0.35835570643240278</v>
      </c>
      <c r="N97" s="553">
        <f t="shared" si="140"/>
        <v>0.39423295591529295</v>
      </c>
      <c r="O97" s="78">
        <f t="shared" si="140"/>
        <v>0.37480345878213039</v>
      </c>
      <c r="P97" s="78">
        <f t="shared" si="140"/>
        <v>0.47145488029465954</v>
      </c>
      <c r="Q97" s="78">
        <f t="shared" si="140"/>
        <v>0.30810810810810801</v>
      </c>
      <c r="R97" s="78">
        <f t="shared" si="140"/>
        <v>4.5407636738906215E-2</v>
      </c>
      <c r="S97" s="553">
        <f t="shared" si="140"/>
        <v>0.26144614702496932</v>
      </c>
      <c r="T97" s="567">
        <f t="shared" si="140"/>
        <v>0.39240506329113933</v>
      </c>
      <c r="U97" s="78">
        <f t="shared" si="140"/>
        <v>0.39635722377260968</v>
      </c>
      <c r="V97" s="78">
        <f t="shared" si="140"/>
        <v>0.38702854345287746</v>
      </c>
      <c r="W97" s="78">
        <f t="shared" si="140"/>
        <v>0.48392554991539749</v>
      </c>
      <c r="X97" s="78">
        <f t="shared" si="140"/>
        <v>0.55842062852538288</v>
      </c>
      <c r="Y97" s="720">
        <f t="shared" si="140"/>
        <v>0.45770812469161615</v>
      </c>
      <c r="Z97" s="721">
        <f t="shared" si="140"/>
        <v>0.46735598818181817</v>
      </c>
      <c r="AA97" s="721">
        <f t="shared" si="140"/>
        <v>0.40425450782927852</v>
      </c>
      <c r="AB97" s="721">
        <f t="shared" si="140"/>
        <v>0.39865499445571029</v>
      </c>
      <c r="AC97" s="721">
        <f t="shared" si="140"/>
        <v>0.31669266770670823</v>
      </c>
      <c r="AD97" s="720">
        <f t="shared" si="140"/>
        <v>0.39559213828904338</v>
      </c>
      <c r="AE97" s="721">
        <f t="shared" si="140"/>
        <v>0.41751859189627216</v>
      </c>
      <c r="AF97" s="721">
        <f t="shared" si="140"/>
        <v>0.3280743998420344</v>
      </c>
      <c r="AG97" s="721">
        <f t="shared" si="140"/>
        <v>0.3908382304365543</v>
      </c>
      <c r="AH97" s="721">
        <f t="shared" si="140"/>
        <v>0.37048432741563253</v>
      </c>
      <c r="AI97" s="720">
        <f t="shared" si="140"/>
        <v>0.38353507673538512</v>
      </c>
      <c r="AJ97" s="721">
        <f t="shared" si="140"/>
        <v>0.39522634713982246</v>
      </c>
      <c r="AK97" s="721">
        <f t="shared" si="140"/>
        <v>0.3985466340074339</v>
      </c>
      <c r="AL97" s="721">
        <f t="shared" si="140"/>
        <v>0.463321971829595</v>
      </c>
      <c r="AM97" s="721">
        <f t="shared" si="140"/>
        <v>0.45645754325270682</v>
      </c>
      <c r="AN97" s="720">
        <f>AN96/AN66</f>
        <v>0.42877102714921717</v>
      </c>
      <c r="AO97" s="721">
        <f>+AO96/AO66</f>
        <v>0.46852667527426145</v>
      </c>
      <c r="AP97" s="721">
        <f>+AP96/AP66</f>
        <v>0.47571448298582147</v>
      </c>
      <c r="AQ97" s="721">
        <f>+AQ96/AQ66</f>
        <v>0.46526094911392435</v>
      </c>
      <c r="AR97" s="721">
        <f>+AR96/AR66</f>
        <v>0.44850528025995123</v>
      </c>
      <c r="AS97" s="720">
        <f>AS96/AS66</f>
        <v>0.47836576793750002</v>
      </c>
      <c r="AT97" s="721">
        <f>+AT96/AT66</f>
        <v>0.40142154571373745</v>
      </c>
      <c r="AU97" s="721">
        <f>+AU96/AU66</f>
        <v>0.46817492823347084</v>
      </c>
      <c r="AV97" s="721">
        <f>+AV96/AV66</f>
        <v>0.46080902951360503</v>
      </c>
      <c r="AW97" s="721">
        <f>+AW96/AW66</f>
        <v>0.41905116635145989</v>
      </c>
      <c r="AX97" s="720">
        <f ca="1">AX96/AX66</f>
        <v>0.43729668602621696</v>
      </c>
      <c r="AY97" s="721">
        <f>+AY96/AY66</f>
        <v>0.42444454144350519</v>
      </c>
      <c r="AZ97" s="721">
        <f>+AZ96/AZ66</f>
        <v>0.41259780724417472</v>
      </c>
      <c r="BA97" s="721">
        <f>+BA96/BA66</f>
        <v>0.40701627995443906</v>
      </c>
      <c r="BB97" s="721">
        <f>+BB96/BB66</f>
        <v>0.21948256543805977</v>
      </c>
      <c r="BC97" s="720">
        <f ca="1">BC96/BC66</f>
        <v>0.36570383213777979</v>
      </c>
      <c r="BD97" s="721">
        <f>+BD96/BD66</f>
        <v>0.37004512635379061</v>
      </c>
      <c r="BE97" s="721">
        <f>+BE96/BE66</f>
        <v>0.41461122580041881</v>
      </c>
      <c r="BF97" s="721">
        <f>+BF96/BF66</f>
        <v>0.32407993995242762</v>
      </c>
      <c r="BG97" s="721">
        <f>+BG96/BG66</f>
        <v>0.17158978883349174</v>
      </c>
      <c r="BH97" s="720">
        <f>BH96/BH66</f>
        <v>0.31699246990355967</v>
      </c>
      <c r="BI97" s="721"/>
      <c r="BJ97" s="721"/>
      <c r="BK97" s="721"/>
      <c r="BL97" s="721"/>
      <c r="BM97" s="720">
        <f ca="1">BM96/BM66</f>
        <v>0.32263462590697095</v>
      </c>
      <c r="BN97" s="720">
        <f ca="1">BN96/BN66</f>
        <v>0.38527223473208549</v>
      </c>
      <c r="BO97" s="720">
        <f ca="1">BO96/BO66</f>
        <v>0.40984231352938566</v>
      </c>
      <c r="BP97" s="633"/>
      <c r="BQ97" s="571">
        <v>0.50515561714464086</v>
      </c>
      <c r="BR97" s="571"/>
      <c r="BS97" s="571"/>
      <c r="BT97" s="571"/>
      <c r="BU97" s="218"/>
      <c r="BV97" s="222">
        <v>0.40446979760881441</v>
      </c>
      <c r="BW97" s="222">
        <v>0.41634566120799255</v>
      </c>
      <c r="BX97" s="222"/>
      <c r="BY97" s="222">
        <v>0.36099999999999999</v>
      </c>
      <c r="BZ97" s="222">
        <v>0.57399999999999995</v>
      </c>
      <c r="CA97" s="222">
        <v>0.4420769849967513</v>
      </c>
      <c r="CB97" s="222">
        <v>0.39510107117999749</v>
      </c>
      <c r="CC97" s="222"/>
      <c r="DA97" s="708"/>
      <c r="DB97" s="708"/>
      <c r="DC97" s="708"/>
      <c r="DD97" s="708"/>
      <c r="DE97" s="709"/>
      <c r="DF97" s="708"/>
      <c r="DG97" s="708"/>
      <c r="DH97" s="708"/>
      <c r="DI97" s="708"/>
      <c r="DJ97" s="709"/>
      <c r="DK97" s="708"/>
      <c r="DL97" s="708"/>
      <c r="DM97" s="708"/>
      <c r="DN97" s="708"/>
      <c r="DO97" s="709"/>
      <c r="DP97" s="708"/>
      <c r="DQ97" s="708"/>
      <c r="DR97" s="708"/>
      <c r="DS97" s="708"/>
      <c r="DT97" s="709"/>
      <c r="DU97" s="708"/>
      <c r="DV97" s="708"/>
      <c r="DW97" s="708"/>
      <c r="DX97" s="708"/>
      <c r="DY97" s="709"/>
      <c r="DZ97" s="708"/>
      <c r="EA97" s="708"/>
      <c r="EB97" s="708"/>
      <c r="EC97" s="708"/>
      <c r="ED97" s="709"/>
      <c r="EE97" s="708"/>
      <c r="EF97" s="708"/>
      <c r="EG97" s="708"/>
      <c r="EH97" s="708"/>
      <c r="EI97" s="709"/>
      <c r="EJ97" s="709"/>
      <c r="EK97" s="709"/>
    </row>
    <row r="98" spans="2:141">
      <c r="B98" s="6"/>
      <c r="C98" s="78"/>
      <c r="D98" s="553"/>
      <c r="E98" s="78"/>
      <c r="F98" s="78"/>
      <c r="G98" s="78"/>
      <c r="H98" s="78"/>
      <c r="I98" s="553"/>
      <c r="J98" s="78"/>
      <c r="K98" s="78"/>
      <c r="L98" s="78"/>
      <c r="M98" s="78"/>
      <c r="N98" s="553"/>
      <c r="O98" s="78"/>
      <c r="P98" s="78"/>
      <c r="Q98" s="78"/>
      <c r="R98" s="78"/>
      <c r="S98" s="553"/>
      <c r="T98" s="567"/>
      <c r="U98" s="78"/>
      <c r="V98" s="78"/>
      <c r="W98" s="78"/>
      <c r="X98" s="78"/>
      <c r="Y98" s="553"/>
      <c r="Z98" s="78"/>
      <c r="AA98" s="78"/>
      <c r="AB98" s="78"/>
      <c r="AC98" s="78"/>
      <c r="AD98" s="553"/>
      <c r="AE98" s="78"/>
      <c r="AF98" s="78"/>
      <c r="AG98" s="78"/>
      <c r="AH98" s="78"/>
      <c r="AI98" s="553"/>
      <c r="AJ98" s="78"/>
      <c r="AK98" s="78"/>
      <c r="AL98" s="78"/>
      <c r="AM98" s="78"/>
      <c r="AN98" s="553"/>
      <c r="AO98" s="78"/>
      <c r="AP98" s="78"/>
      <c r="AQ98" s="78"/>
      <c r="AR98" s="78"/>
      <c r="AS98" s="553"/>
      <c r="AT98" s="78"/>
      <c r="AU98" s="78"/>
      <c r="AV98" s="78"/>
      <c r="AW98" s="78"/>
      <c r="AX98" s="553"/>
      <c r="AY98" s="78"/>
      <c r="AZ98" s="78"/>
      <c r="BA98" s="78"/>
      <c r="BB98" s="78"/>
      <c r="BC98" s="553"/>
      <c r="BD98" s="78"/>
      <c r="BE98" s="78"/>
      <c r="BF98" s="78"/>
      <c r="BG98" s="78"/>
      <c r="BH98" s="553"/>
      <c r="BI98" s="78"/>
      <c r="BJ98" s="78"/>
      <c r="BK98" s="78"/>
      <c r="BL98" s="1157"/>
      <c r="BM98" s="553"/>
      <c r="BN98" s="553"/>
      <c r="BO98" s="553"/>
      <c r="BP98" s="633"/>
      <c r="BQ98" s="571"/>
      <c r="BR98" s="571"/>
      <c r="BS98" s="571"/>
      <c r="BT98" s="571"/>
      <c r="BU98" s="218"/>
      <c r="BV98" s="222"/>
      <c r="BW98" s="222"/>
      <c r="BX98" s="222"/>
      <c r="BY98" s="222"/>
      <c r="BZ98" s="222"/>
      <c r="CA98" s="222"/>
      <c r="CB98" s="222"/>
      <c r="CC98" s="222"/>
      <c r="DA98" s="708"/>
      <c r="DB98" s="708"/>
      <c r="DC98" s="708"/>
      <c r="DD98" s="708"/>
      <c r="DE98" s="709"/>
      <c r="DF98" s="708"/>
      <c r="DG98" s="708"/>
      <c r="DH98" s="708"/>
      <c r="DI98" s="708"/>
      <c r="DJ98" s="709"/>
      <c r="DK98" s="708"/>
      <c r="DL98" s="708"/>
      <c r="DM98" s="708"/>
      <c r="DN98" s="708"/>
      <c r="DO98" s="709"/>
      <c r="DP98" s="708"/>
      <c r="DQ98" s="708"/>
      <c r="DR98" s="708"/>
      <c r="DS98" s="708"/>
      <c r="DT98" s="709"/>
      <c r="DU98" s="708"/>
      <c r="DV98" s="708"/>
      <c r="DW98" s="708"/>
      <c r="DX98" s="708"/>
      <c r="DY98" s="709"/>
      <c r="DZ98" s="708"/>
      <c r="EA98" s="708"/>
      <c r="EB98" s="708"/>
      <c r="EC98" s="708"/>
      <c r="ED98" s="709"/>
      <c r="EE98" s="708"/>
      <c r="EF98" s="708"/>
      <c r="EG98" s="708"/>
      <c r="EH98" s="708"/>
      <c r="EI98" s="709"/>
      <c r="EJ98" s="709"/>
      <c r="EK98" s="709"/>
    </row>
    <row r="99" spans="2:141">
      <c r="B99" s="6" t="s">
        <v>93</v>
      </c>
      <c r="C99" s="78"/>
      <c r="D99" s="553"/>
      <c r="E99" s="78"/>
      <c r="F99" s="78"/>
      <c r="G99" s="78"/>
      <c r="H99" s="78"/>
      <c r="I99" s="553"/>
      <c r="J99" s="78"/>
      <c r="K99" s="78"/>
      <c r="L99" s="78"/>
      <c r="M99" s="78"/>
      <c r="N99" s="553"/>
      <c r="O99" s="78"/>
      <c r="P99" s="78"/>
      <c r="Q99" s="78"/>
      <c r="R99" s="78"/>
      <c r="S99" s="553"/>
      <c r="T99" s="567"/>
      <c r="U99" s="78"/>
      <c r="V99" s="78"/>
      <c r="W99" s="78"/>
      <c r="X99" s="78"/>
      <c r="Y99" s="553"/>
      <c r="Z99" s="78"/>
      <c r="AA99" s="78"/>
      <c r="AB99" s="78"/>
      <c r="AC99" s="78"/>
      <c r="AD99" s="553"/>
      <c r="AE99" s="78"/>
      <c r="AF99" s="78"/>
      <c r="AG99" s="78"/>
      <c r="AH99" s="78"/>
      <c r="AI99" s="553"/>
      <c r="AJ99" s="78"/>
      <c r="AK99" s="78"/>
      <c r="AL99" s="78"/>
      <c r="AM99" s="78"/>
      <c r="AN99" s="553"/>
      <c r="AO99" s="804">
        <v>33.585999999999999</v>
      </c>
      <c r="AP99" s="804"/>
      <c r="AQ99" s="804"/>
      <c r="AR99" s="804"/>
      <c r="AS99" s="927">
        <v>139.893</v>
      </c>
      <c r="AT99" s="804">
        <v>33.540999999999997</v>
      </c>
      <c r="AU99" s="804">
        <f>65.249-AT99</f>
        <v>31.707999999999998</v>
      </c>
      <c r="AV99" s="804">
        <f>96.792-AU99-AT99</f>
        <v>31.543000000000006</v>
      </c>
      <c r="AW99" s="804">
        <f>132.311-AV99-AU99-AT99</f>
        <v>35.519000000000005</v>
      </c>
      <c r="AX99" s="927">
        <f>AW99+AU99+AV99+AT99</f>
        <v>132.31100000000001</v>
      </c>
      <c r="AY99" s="804">
        <v>30.385000000000002</v>
      </c>
      <c r="AZ99" s="804">
        <f>60.455-AY99</f>
        <v>30.069999999999997</v>
      </c>
      <c r="BA99" s="804">
        <f>90.901-AZ99-AY99</f>
        <v>30.446000000000002</v>
      </c>
      <c r="BB99" s="804">
        <f>116.51-BA99-AZ99-AY99</f>
        <v>25.609000000000012</v>
      </c>
      <c r="BC99" s="927">
        <f>BB99+AZ99+BA99+AY99</f>
        <v>116.51000000000002</v>
      </c>
      <c r="BD99" s="804">
        <v>28.475000000000001</v>
      </c>
      <c r="BE99" s="804"/>
      <c r="BF99" s="804"/>
      <c r="BG99" s="804"/>
      <c r="BH99" s="553"/>
      <c r="BI99" s="804"/>
      <c r="BJ99" s="804"/>
      <c r="BK99" s="804"/>
      <c r="BL99" s="804"/>
      <c r="BM99" s="553"/>
      <c r="BN99" s="553"/>
      <c r="BO99" s="553"/>
      <c r="BP99" s="633"/>
      <c r="BQ99" s="571"/>
      <c r="BR99" s="571"/>
      <c r="BS99" s="571"/>
      <c r="BT99" s="571"/>
      <c r="BU99" s="218"/>
      <c r="BV99" s="222"/>
      <c r="BW99" s="222"/>
      <c r="BX99" s="222"/>
      <c r="BY99" s="222"/>
      <c r="BZ99" s="222"/>
      <c r="CA99" s="222"/>
      <c r="CB99" s="222"/>
      <c r="CC99" s="222"/>
      <c r="DA99" s="708"/>
      <c r="DB99" s="708"/>
      <c r="DC99" s="708"/>
      <c r="DD99" s="708"/>
      <c r="DE99" s="709"/>
      <c r="DF99" s="708"/>
      <c r="DG99" s="708"/>
      <c r="DH99" s="708"/>
      <c r="DI99" s="708"/>
      <c r="DJ99" s="709"/>
      <c r="DK99" s="708"/>
      <c r="DL99" s="708"/>
      <c r="DM99" s="708"/>
      <c r="DN99" s="708"/>
      <c r="DO99" s="709"/>
      <c r="DP99" s="708"/>
      <c r="DQ99" s="708"/>
      <c r="DR99" s="708"/>
      <c r="DS99" s="708"/>
      <c r="DT99" s="705">
        <f t="shared" ref="DT99:EI102" si="141">IFERROR(AX99/AS99-1,"N/A")</f>
        <v>-5.4198566046907204E-2</v>
      </c>
      <c r="DU99" s="704">
        <f t="shared" si="141"/>
        <v>-9.409379565308118E-2</v>
      </c>
      <c r="DV99" s="704">
        <f t="shared" si="141"/>
        <v>-5.1658887347041826E-2</v>
      </c>
      <c r="DW99" s="704">
        <f t="shared" si="141"/>
        <v>-3.4777922201439493E-2</v>
      </c>
      <c r="DX99" s="704">
        <f t="shared" si="141"/>
        <v>-0.27900560263520913</v>
      </c>
      <c r="DY99" s="705">
        <f t="shared" si="141"/>
        <v>-0.11942317721126727</v>
      </c>
      <c r="DZ99" s="704">
        <f t="shared" si="141"/>
        <v>-6.2859963797926577E-2</v>
      </c>
      <c r="EA99" s="704">
        <f t="shared" si="141"/>
        <v>-1</v>
      </c>
      <c r="EB99" s="704">
        <f t="shared" si="141"/>
        <v>-1</v>
      </c>
      <c r="EC99" s="704">
        <f t="shared" si="141"/>
        <v>-1</v>
      </c>
      <c r="ED99" s="705">
        <f t="shared" si="141"/>
        <v>-1</v>
      </c>
      <c r="EE99" s="704">
        <f t="shared" si="141"/>
        <v>-1</v>
      </c>
      <c r="EF99" s="704" t="str">
        <f t="shared" si="141"/>
        <v>N/A</v>
      </c>
      <c r="EG99" s="704" t="str">
        <f t="shared" si="141"/>
        <v>N/A</v>
      </c>
      <c r="EH99" s="704" t="str">
        <f t="shared" si="141"/>
        <v>N/A</v>
      </c>
      <c r="EI99" s="705" t="str">
        <f t="shared" si="141"/>
        <v>N/A</v>
      </c>
      <c r="EJ99" s="705" t="str">
        <f t="shared" ref="EJ99:EK102" si="142">IFERROR(BN99/BM99-1,"N/A")</f>
        <v>N/A</v>
      </c>
      <c r="EK99" s="705" t="str">
        <f t="shared" si="142"/>
        <v>N/A</v>
      </c>
    </row>
    <row r="100" spans="2:141">
      <c r="B100" s="6" t="s">
        <v>91</v>
      </c>
      <c r="C100" s="78"/>
      <c r="D100" s="553"/>
      <c r="E100" s="78"/>
      <c r="F100" s="78"/>
      <c r="G100" s="78"/>
      <c r="H100" s="78"/>
      <c r="I100" s="553"/>
      <c r="J100" s="78"/>
      <c r="K100" s="78"/>
      <c r="L100" s="78"/>
      <c r="M100" s="78"/>
      <c r="N100" s="553"/>
      <c r="O100" s="78"/>
      <c r="P100" s="78"/>
      <c r="Q100" s="78"/>
      <c r="R100" s="78"/>
      <c r="S100" s="553"/>
      <c r="T100" s="567"/>
      <c r="U100" s="78"/>
      <c r="V100" s="78"/>
      <c r="W100" s="78"/>
      <c r="X100" s="78"/>
      <c r="Y100" s="553"/>
      <c r="Z100" s="78"/>
      <c r="AA100" s="78"/>
      <c r="AB100" s="78"/>
      <c r="AC100" s="78"/>
      <c r="AD100" s="553"/>
      <c r="AE100" s="78"/>
      <c r="AF100" s="78"/>
      <c r="AG100" s="78"/>
      <c r="AH100" s="78"/>
      <c r="AI100" s="553"/>
      <c r="AJ100" s="78"/>
      <c r="AK100" s="78"/>
      <c r="AL100" s="78"/>
      <c r="AM100" s="78"/>
      <c r="AN100" s="553"/>
      <c r="AO100" s="804">
        <v>28.983000000000001</v>
      </c>
      <c r="AP100" s="804"/>
      <c r="AQ100" s="804"/>
      <c r="AR100" s="804"/>
      <c r="AS100" s="927">
        <v>119.627</v>
      </c>
      <c r="AT100" s="804">
        <v>30.478000000000002</v>
      </c>
      <c r="AU100" s="804">
        <f>59.586-AT100</f>
        <v>29.107999999999997</v>
      </c>
      <c r="AV100" s="804">
        <f>90.027-AU100-AT100</f>
        <v>30.441000000000003</v>
      </c>
      <c r="AW100" s="804">
        <f>121.144-AV100-AU100-AT100</f>
        <v>31.117000000000004</v>
      </c>
      <c r="AX100" s="927">
        <f>AW100+AU100+AV100+AT100</f>
        <v>121.14400000000001</v>
      </c>
      <c r="AY100" s="804">
        <v>29.977</v>
      </c>
      <c r="AZ100" s="804">
        <f>59.866-AY100</f>
        <v>29.888999999999999</v>
      </c>
      <c r="BA100" s="804">
        <f>88.78-AZ100-AY100</f>
        <v>28.914000000000005</v>
      </c>
      <c r="BB100" s="804">
        <f>113.753-BA100-AZ100-AY100</f>
        <v>24.973000000000003</v>
      </c>
      <c r="BC100" s="927">
        <f>BB100+AZ100+BA100+AY100</f>
        <v>113.75300000000001</v>
      </c>
      <c r="BD100" s="804">
        <v>29.085000000000001</v>
      </c>
      <c r="BE100" s="804"/>
      <c r="BF100" s="804"/>
      <c r="BG100" s="804"/>
      <c r="BH100" s="553"/>
      <c r="BI100" s="804"/>
      <c r="BJ100" s="804"/>
      <c r="BK100" s="804"/>
      <c r="BL100" s="804"/>
      <c r="BM100" s="553"/>
      <c r="BN100" s="553"/>
      <c r="BO100" s="553"/>
      <c r="BP100" s="633"/>
      <c r="BQ100" s="571"/>
      <c r="BR100" s="571"/>
      <c r="BS100" s="571"/>
      <c r="BT100" s="571"/>
      <c r="BU100" s="218"/>
      <c r="BV100" s="222"/>
      <c r="BW100" s="222"/>
      <c r="BX100" s="222"/>
      <c r="BY100" s="222"/>
      <c r="BZ100" s="222"/>
      <c r="CA100" s="222"/>
      <c r="CB100" s="222"/>
      <c r="CC100" s="222"/>
      <c r="DA100" s="708"/>
      <c r="DB100" s="708"/>
      <c r="DC100" s="708"/>
      <c r="DD100" s="708"/>
      <c r="DE100" s="709"/>
      <c r="DF100" s="708"/>
      <c r="DG100" s="708"/>
      <c r="DH100" s="708"/>
      <c r="DI100" s="708"/>
      <c r="DJ100" s="709"/>
      <c r="DK100" s="708"/>
      <c r="DL100" s="708"/>
      <c r="DM100" s="708"/>
      <c r="DN100" s="708"/>
      <c r="DO100" s="709"/>
      <c r="DP100" s="708"/>
      <c r="DQ100" s="708"/>
      <c r="DR100" s="708"/>
      <c r="DS100" s="708"/>
      <c r="DT100" s="705">
        <f t="shared" si="141"/>
        <v>1.2681083701840068E-2</v>
      </c>
      <c r="DU100" s="704">
        <f t="shared" si="141"/>
        <v>-1.6438086488614778E-2</v>
      </c>
      <c r="DV100" s="704">
        <f t="shared" si="141"/>
        <v>2.6831111721863588E-2</v>
      </c>
      <c r="DW100" s="704">
        <f t="shared" si="141"/>
        <v>-5.0162609638316646E-2</v>
      </c>
      <c r="DX100" s="704">
        <f t="shared" si="141"/>
        <v>-0.19744834013561718</v>
      </c>
      <c r="DY100" s="705">
        <f t="shared" si="141"/>
        <v>-6.1010037641154202E-2</v>
      </c>
      <c r="DZ100" s="704">
        <f t="shared" si="141"/>
        <v>-2.9756146378890458E-2</v>
      </c>
      <c r="EA100" s="704">
        <f t="shared" si="141"/>
        <v>-1</v>
      </c>
      <c r="EB100" s="704">
        <f t="shared" si="141"/>
        <v>-1</v>
      </c>
      <c r="EC100" s="704">
        <f t="shared" si="141"/>
        <v>-1</v>
      </c>
      <c r="ED100" s="705">
        <f t="shared" si="141"/>
        <v>-1</v>
      </c>
      <c r="EE100" s="704">
        <f t="shared" si="141"/>
        <v>-1</v>
      </c>
      <c r="EF100" s="704" t="str">
        <f t="shared" si="141"/>
        <v>N/A</v>
      </c>
      <c r="EG100" s="704" t="str">
        <f t="shared" si="141"/>
        <v>N/A</v>
      </c>
      <c r="EH100" s="704" t="str">
        <f t="shared" si="141"/>
        <v>N/A</v>
      </c>
      <c r="EI100" s="705" t="str">
        <f t="shared" si="141"/>
        <v>N/A</v>
      </c>
      <c r="EJ100" s="705" t="str">
        <f t="shared" si="142"/>
        <v>N/A</v>
      </c>
      <c r="EK100" s="705" t="str">
        <f t="shared" si="142"/>
        <v>N/A</v>
      </c>
    </row>
    <row r="101" spans="2:141">
      <c r="B101" s="6" t="s">
        <v>169</v>
      </c>
      <c r="C101" s="78"/>
      <c r="D101" s="553"/>
      <c r="E101" s="78"/>
      <c r="F101" s="78"/>
      <c r="G101" s="78"/>
      <c r="H101" s="78"/>
      <c r="I101" s="553"/>
      <c r="J101" s="78"/>
      <c r="K101" s="78"/>
      <c r="L101" s="78"/>
      <c r="M101" s="78"/>
      <c r="N101" s="553"/>
      <c r="O101" s="78"/>
      <c r="P101" s="78"/>
      <c r="Q101" s="78"/>
      <c r="R101" s="78"/>
      <c r="S101" s="553"/>
      <c r="T101" s="567"/>
      <c r="U101" s="78"/>
      <c r="V101" s="78"/>
      <c r="W101" s="78"/>
      <c r="X101" s="78"/>
      <c r="Y101" s="553"/>
      <c r="Z101" s="78"/>
      <c r="AA101" s="78"/>
      <c r="AB101" s="78"/>
      <c r="AC101" s="78"/>
      <c r="AD101" s="553"/>
      <c r="AE101" s="78"/>
      <c r="AF101" s="78"/>
      <c r="AG101" s="78"/>
      <c r="AH101" s="78"/>
      <c r="AI101" s="553"/>
      <c r="AJ101" s="78"/>
      <c r="AK101" s="78"/>
      <c r="AL101" s="78"/>
      <c r="AM101" s="78"/>
      <c r="AN101" s="553"/>
      <c r="AO101" s="804">
        <v>-7.0709999999999997</v>
      </c>
      <c r="AP101" s="804"/>
      <c r="AQ101" s="804"/>
      <c r="AR101" s="804"/>
      <c r="AS101" s="928">
        <v>-36.6</v>
      </c>
      <c r="AT101" s="804">
        <f>AT96-AT100-AT99</f>
        <v>-15.720999999999997</v>
      </c>
      <c r="AU101" s="804">
        <f>AU96-AU100-AU99</f>
        <v>-6.0869999999999962</v>
      </c>
      <c r="AV101" s="804">
        <f>AV96-AV100-AV99</f>
        <v>-9.1640000000000015</v>
      </c>
      <c r="AW101" s="804">
        <f>AW96-AW100-AW99</f>
        <v>-20.120000000000005</v>
      </c>
      <c r="AX101" s="928">
        <f>AW101+AU101+AV101+AT101</f>
        <v>-51.091999999999999</v>
      </c>
      <c r="AY101" s="804">
        <v>-13.058</v>
      </c>
      <c r="AZ101" s="804">
        <f>-26.565-AY101</f>
        <v>-13.507000000000001</v>
      </c>
      <c r="BA101" s="804">
        <f>-40.98-AZ101-AY101</f>
        <v>-14.414999999999996</v>
      </c>
      <c r="BB101" s="804">
        <f>-66.96-BA101-AZ101-AY101</f>
        <v>-25.979999999999997</v>
      </c>
      <c r="BC101" s="928">
        <f>BB101+AZ101+BA101+AY101</f>
        <v>-66.95999999999998</v>
      </c>
      <c r="BD101" s="804">
        <v>-16.559000000000001</v>
      </c>
      <c r="BE101" s="804"/>
      <c r="BF101" s="804"/>
      <c r="BG101" s="804"/>
      <c r="BH101" s="553"/>
      <c r="BI101" s="804"/>
      <c r="BJ101" s="804"/>
      <c r="BK101" s="804"/>
      <c r="BL101" s="804"/>
      <c r="BM101" s="553"/>
      <c r="BN101" s="553"/>
      <c r="BO101" s="553"/>
      <c r="BP101" s="633"/>
      <c r="BQ101" s="571"/>
      <c r="BR101" s="571"/>
      <c r="BS101" s="571"/>
      <c r="BT101" s="571"/>
      <c r="BU101" s="218"/>
      <c r="BV101" s="222"/>
      <c r="BW101" s="222"/>
      <c r="BX101" s="222"/>
      <c r="BY101" s="222"/>
      <c r="BZ101" s="222"/>
      <c r="CA101" s="222"/>
      <c r="CB101" s="222"/>
      <c r="CC101" s="222"/>
      <c r="DA101" s="708"/>
      <c r="DB101" s="708"/>
      <c r="DC101" s="708"/>
      <c r="DD101" s="708"/>
      <c r="DE101" s="709"/>
      <c r="DF101" s="708"/>
      <c r="DG101" s="708"/>
      <c r="DH101" s="708"/>
      <c r="DI101" s="708"/>
      <c r="DJ101" s="709"/>
      <c r="DK101" s="708"/>
      <c r="DL101" s="708"/>
      <c r="DM101" s="708"/>
      <c r="DN101" s="708"/>
      <c r="DO101" s="709"/>
      <c r="DP101" s="708"/>
      <c r="DQ101" s="708"/>
      <c r="DR101" s="708"/>
      <c r="DS101" s="708"/>
      <c r="DT101" s="957">
        <f t="shared" si="141"/>
        <v>0.39595628415300532</v>
      </c>
      <c r="DU101" s="958">
        <f t="shared" si="141"/>
        <v>-0.16939126009795802</v>
      </c>
      <c r="DV101" s="958">
        <f t="shared" si="141"/>
        <v>1.2189912929193381</v>
      </c>
      <c r="DW101" s="958">
        <f t="shared" si="141"/>
        <v>0.57300305543430752</v>
      </c>
      <c r="DX101" s="958">
        <f t="shared" si="141"/>
        <v>0.29125248508946266</v>
      </c>
      <c r="DY101" s="957">
        <f t="shared" si="141"/>
        <v>0.31057699835590658</v>
      </c>
      <c r="DZ101" s="958">
        <f t="shared" si="141"/>
        <v>0.26811150252718652</v>
      </c>
      <c r="EA101" s="958">
        <f t="shared" si="141"/>
        <v>-1</v>
      </c>
      <c r="EB101" s="958">
        <f t="shared" si="141"/>
        <v>-1</v>
      </c>
      <c r="EC101" s="958">
        <f t="shared" si="141"/>
        <v>-1</v>
      </c>
      <c r="ED101" s="957">
        <f t="shared" si="141"/>
        <v>-1</v>
      </c>
      <c r="EE101" s="958">
        <f t="shared" si="141"/>
        <v>-1</v>
      </c>
      <c r="EF101" s="958" t="str">
        <f t="shared" si="141"/>
        <v>N/A</v>
      </c>
      <c r="EG101" s="958" t="str">
        <f t="shared" si="141"/>
        <v>N/A</v>
      </c>
      <c r="EH101" s="958" t="str">
        <f t="shared" si="141"/>
        <v>N/A</v>
      </c>
      <c r="EI101" s="957" t="str">
        <f t="shared" si="141"/>
        <v>N/A</v>
      </c>
      <c r="EJ101" s="957" t="str">
        <f t="shared" si="142"/>
        <v>N/A</v>
      </c>
      <c r="EK101" s="957" t="str">
        <f t="shared" si="142"/>
        <v>N/A</v>
      </c>
    </row>
    <row r="102" spans="2:141">
      <c r="B102" s="7" t="s">
        <v>27</v>
      </c>
      <c r="C102" s="78"/>
      <c r="D102" s="553"/>
      <c r="E102" s="78"/>
      <c r="F102" s="78"/>
      <c r="G102" s="78"/>
      <c r="H102" s="78"/>
      <c r="I102" s="553"/>
      <c r="J102" s="78"/>
      <c r="K102" s="78"/>
      <c r="L102" s="78"/>
      <c r="M102" s="78"/>
      <c r="N102" s="553"/>
      <c r="O102" s="78"/>
      <c r="P102" s="78"/>
      <c r="Q102" s="78"/>
      <c r="R102" s="78"/>
      <c r="S102" s="553"/>
      <c r="T102" s="567"/>
      <c r="U102" s="78"/>
      <c r="V102" s="78"/>
      <c r="W102" s="78"/>
      <c r="X102" s="78"/>
      <c r="Y102" s="553"/>
      <c r="Z102" s="78"/>
      <c r="AA102" s="78"/>
      <c r="AB102" s="78"/>
      <c r="AC102" s="78"/>
      <c r="AD102" s="553"/>
      <c r="AE102" s="78"/>
      <c r="AF102" s="78"/>
      <c r="AG102" s="78"/>
      <c r="AH102" s="78"/>
      <c r="AI102" s="553"/>
      <c r="AJ102" s="78"/>
      <c r="AK102" s="78"/>
      <c r="AL102" s="78"/>
      <c r="AM102" s="78"/>
      <c r="AN102" s="553"/>
      <c r="AO102" s="719">
        <f>AO101+AO100+AO99</f>
        <v>55.497999999999998</v>
      </c>
      <c r="AP102" s="719"/>
      <c r="AQ102" s="719"/>
      <c r="AR102" s="719"/>
      <c r="AS102" s="718">
        <v>222.90299999999999</v>
      </c>
      <c r="AT102" s="719">
        <f>AT101+AT100+AT99</f>
        <v>48.298000000000002</v>
      </c>
      <c r="AU102" s="719">
        <f>AU101+AU100+AU99</f>
        <v>54.728999999999999</v>
      </c>
      <c r="AV102" s="719">
        <f>AV101+AV100+AV99</f>
        <v>52.820000000000007</v>
      </c>
      <c r="AW102" s="719">
        <f>AW101+AW100+AW99</f>
        <v>46.516000000000005</v>
      </c>
      <c r="AX102" s="718">
        <f>AW102+AU102+AV102+AT102</f>
        <v>202.363</v>
      </c>
      <c r="AY102" s="719">
        <f>AY101+AY100+AY99</f>
        <v>47.304000000000002</v>
      </c>
      <c r="AZ102" s="719">
        <f>AZ101+AZ100+AZ99</f>
        <v>46.451999999999998</v>
      </c>
      <c r="BA102" s="719">
        <f>BA101+BA100+BA99</f>
        <v>44.945000000000007</v>
      </c>
      <c r="BB102" s="719">
        <f>BB101+BB100+BB99</f>
        <v>24.602000000000018</v>
      </c>
      <c r="BC102" s="718">
        <f>BB102+AZ102+BA102+AY102</f>
        <v>163.30300000000003</v>
      </c>
      <c r="BD102" s="719">
        <f>BD101+BD100+BD99</f>
        <v>41.001000000000005</v>
      </c>
      <c r="BE102" s="719">
        <f>BE101+BE100+BE99</f>
        <v>0</v>
      </c>
      <c r="BF102" s="719">
        <f>BF101+BF100+BF99</f>
        <v>0</v>
      </c>
      <c r="BG102" s="719">
        <f>BG101+BG100+BG99</f>
        <v>0</v>
      </c>
      <c r="BH102" s="553"/>
      <c r="BI102" s="719"/>
      <c r="BJ102" s="719"/>
      <c r="BK102" s="719"/>
      <c r="BL102" s="719"/>
      <c r="BM102" s="553"/>
      <c r="BN102" s="553"/>
      <c r="BO102" s="553"/>
      <c r="BP102" s="633"/>
      <c r="BQ102" s="571"/>
      <c r="BR102" s="571"/>
      <c r="BS102" s="571"/>
      <c r="BT102" s="571"/>
      <c r="BU102" s="218"/>
      <c r="BV102" s="222"/>
      <c r="BW102" s="222"/>
      <c r="BX102" s="222"/>
      <c r="BY102" s="222"/>
      <c r="BZ102" s="222"/>
      <c r="CA102" s="222"/>
      <c r="CB102" s="222"/>
      <c r="CC102" s="222"/>
      <c r="DA102" s="708"/>
      <c r="DB102" s="708"/>
      <c r="DC102" s="708"/>
      <c r="DD102" s="708"/>
      <c r="DE102" s="709"/>
      <c r="DF102" s="708"/>
      <c r="DG102" s="708"/>
      <c r="DH102" s="708"/>
      <c r="DI102" s="708"/>
      <c r="DJ102" s="709"/>
      <c r="DK102" s="708"/>
      <c r="DL102" s="708"/>
      <c r="DM102" s="708"/>
      <c r="DN102" s="708"/>
      <c r="DO102" s="709"/>
      <c r="DP102" s="708"/>
      <c r="DQ102" s="708"/>
      <c r="DR102" s="708"/>
      <c r="DS102" s="708"/>
      <c r="DT102" s="707">
        <f t="shared" si="141"/>
        <v>-9.2147705504187938E-2</v>
      </c>
      <c r="DU102" s="706">
        <f t="shared" si="141"/>
        <v>-2.0580562342125908E-2</v>
      </c>
      <c r="DV102" s="706">
        <f t="shared" si="141"/>
        <v>-0.15123609055528153</v>
      </c>
      <c r="DW102" s="706">
        <f t="shared" si="141"/>
        <v>-0.14909125331313899</v>
      </c>
      <c r="DX102" s="706">
        <f t="shared" si="141"/>
        <v>-0.47110671596869858</v>
      </c>
      <c r="DY102" s="707">
        <f t="shared" si="141"/>
        <v>-0.19301947490400906</v>
      </c>
      <c r="DZ102" s="706">
        <f t="shared" si="141"/>
        <v>-0.13324454591577872</v>
      </c>
      <c r="EA102" s="706">
        <f t="shared" si="141"/>
        <v>-1</v>
      </c>
      <c r="EB102" s="706">
        <f t="shared" si="141"/>
        <v>-1</v>
      </c>
      <c r="EC102" s="706">
        <f t="shared" si="141"/>
        <v>-1</v>
      </c>
      <c r="ED102" s="707">
        <f t="shared" si="141"/>
        <v>-1</v>
      </c>
      <c r="EE102" s="706">
        <f t="shared" si="141"/>
        <v>-1</v>
      </c>
      <c r="EF102" s="706" t="str">
        <f t="shared" si="141"/>
        <v>N/A</v>
      </c>
      <c r="EG102" s="706" t="str">
        <f t="shared" si="141"/>
        <v>N/A</v>
      </c>
      <c r="EH102" s="706" t="str">
        <f t="shared" si="141"/>
        <v>N/A</v>
      </c>
      <c r="EI102" s="707" t="str">
        <f t="shared" si="141"/>
        <v>N/A</v>
      </c>
      <c r="EJ102" s="707" t="str">
        <f t="shared" si="142"/>
        <v>N/A</v>
      </c>
      <c r="EK102" s="707" t="str">
        <f t="shared" si="142"/>
        <v>N/A</v>
      </c>
    </row>
    <row r="103" spans="2:141">
      <c r="B103" s="7"/>
      <c r="C103" s="78"/>
      <c r="D103" s="553"/>
      <c r="E103" s="78"/>
      <c r="F103" s="78"/>
      <c r="G103" s="78"/>
      <c r="H103" s="78"/>
      <c r="I103" s="553"/>
      <c r="J103" s="78"/>
      <c r="K103" s="78"/>
      <c r="L103" s="78"/>
      <c r="M103" s="78"/>
      <c r="N103" s="553"/>
      <c r="O103" s="78"/>
      <c r="P103" s="78"/>
      <c r="Q103" s="78"/>
      <c r="R103" s="78"/>
      <c r="S103" s="553"/>
      <c r="T103" s="567"/>
      <c r="U103" s="78"/>
      <c r="V103" s="78"/>
      <c r="W103" s="78"/>
      <c r="X103" s="78"/>
      <c r="Y103" s="553"/>
      <c r="Z103" s="78"/>
      <c r="AA103" s="78"/>
      <c r="AB103" s="78"/>
      <c r="AC103" s="78"/>
      <c r="AD103" s="553"/>
      <c r="AE103" s="78"/>
      <c r="AF103" s="78"/>
      <c r="AG103" s="78"/>
      <c r="AH103" s="78"/>
      <c r="AI103" s="553"/>
      <c r="AJ103" s="78"/>
      <c r="AK103" s="78"/>
      <c r="AL103" s="78"/>
      <c r="AM103" s="78"/>
      <c r="AN103" s="553"/>
      <c r="AO103" s="922">
        <f>AO102-AO96</f>
        <v>-2.2411019999978521E-2</v>
      </c>
      <c r="AP103" s="922">
        <f>AP102-AP96</f>
        <v>-57.038166509999989</v>
      </c>
      <c r="AQ103" s="922">
        <f>AQ102-AQ96</f>
        <v>-55.133422470000035</v>
      </c>
      <c r="AR103" s="922">
        <f>AR102-AR96</f>
        <v>-55.210999999999991</v>
      </c>
      <c r="AS103" s="553"/>
      <c r="AT103" s="922">
        <f>AT102-AT96</f>
        <v>0</v>
      </c>
      <c r="AU103" s="922">
        <f>AU102-AU96</f>
        <v>0</v>
      </c>
      <c r="AV103" s="922">
        <f>AV102-AV96</f>
        <v>0</v>
      </c>
      <c r="AW103" s="922">
        <f>AW102-AW96</f>
        <v>0</v>
      </c>
      <c r="AX103" s="553"/>
      <c r="AY103" s="922">
        <f>AY102-AY96</f>
        <v>0</v>
      </c>
      <c r="AZ103" s="922">
        <f>AZ102-AZ96</f>
        <v>0</v>
      </c>
      <c r="BA103" s="922">
        <f>BA102-BA96</f>
        <v>0</v>
      </c>
      <c r="BB103" s="922">
        <f>BB102-BB96</f>
        <v>3.0000000000001137E-3</v>
      </c>
      <c r="BC103" s="553"/>
      <c r="BD103" s="922">
        <f>BD102-BD96</f>
        <v>0</v>
      </c>
      <c r="BE103" s="922">
        <f>BE102-BE96</f>
        <v>-45.776782299999986</v>
      </c>
      <c r="BF103" s="922">
        <f>BF102-BF96</f>
        <v>-36.096445570000029</v>
      </c>
      <c r="BG103" s="922">
        <f>BG102-BG96</f>
        <v>-20.5</v>
      </c>
      <c r="BH103" s="553"/>
      <c r="BI103" s="922"/>
      <c r="BJ103" s="922"/>
      <c r="BK103" s="922"/>
      <c r="BL103" s="922"/>
      <c r="BM103" s="553"/>
      <c r="BN103" s="553"/>
      <c r="BO103" s="553"/>
      <c r="BP103" s="633"/>
      <c r="BQ103" s="571"/>
      <c r="BR103" s="571"/>
      <c r="BS103" s="571"/>
      <c r="BT103" s="571"/>
      <c r="BU103" s="218"/>
      <c r="BV103" s="222"/>
      <c r="BW103" s="222"/>
      <c r="BX103" s="222"/>
      <c r="BY103" s="222"/>
      <c r="BZ103" s="222"/>
      <c r="CA103" s="222"/>
      <c r="CB103" s="222"/>
      <c r="CC103" s="222"/>
      <c r="DA103" s="708"/>
      <c r="DB103" s="708"/>
      <c r="DC103" s="708"/>
      <c r="DD103" s="708"/>
      <c r="DE103" s="709"/>
      <c r="DF103" s="708"/>
      <c r="DG103" s="708"/>
      <c r="DH103" s="708"/>
      <c r="DI103" s="708"/>
      <c r="DJ103" s="709"/>
      <c r="DK103" s="708"/>
      <c r="DL103" s="708"/>
      <c r="DM103" s="708"/>
      <c r="DN103" s="708"/>
      <c r="DO103" s="709"/>
      <c r="DP103" s="708"/>
      <c r="DQ103" s="708"/>
      <c r="DR103" s="708"/>
      <c r="DS103" s="708"/>
      <c r="DT103" s="709"/>
      <c r="DU103" s="708"/>
      <c r="DV103" s="708"/>
      <c r="DW103" s="708"/>
      <c r="DX103" s="708"/>
      <c r="DY103" s="709"/>
      <c r="DZ103" s="708"/>
      <c r="EA103" s="708"/>
      <c r="EB103" s="708"/>
      <c r="EC103" s="708"/>
      <c r="ED103" s="709"/>
      <c r="EE103" s="708"/>
      <c r="EF103" s="708"/>
      <c r="EG103" s="708"/>
      <c r="EH103" s="708"/>
      <c r="EI103" s="709"/>
      <c r="EJ103" s="709"/>
      <c r="EK103" s="709"/>
    </row>
    <row r="104" spans="2:141">
      <c r="B104" s="7"/>
      <c r="C104" s="78"/>
      <c r="D104" s="553"/>
      <c r="E104" s="78"/>
      <c r="F104" s="78"/>
      <c r="G104" s="78"/>
      <c r="H104" s="78"/>
      <c r="I104" s="553"/>
      <c r="J104" s="78"/>
      <c r="K104" s="78"/>
      <c r="L104" s="78"/>
      <c r="M104" s="78"/>
      <c r="N104" s="553"/>
      <c r="O104" s="78"/>
      <c r="P104" s="78"/>
      <c r="Q104" s="78"/>
      <c r="R104" s="78"/>
      <c r="S104" s="553"/>
      <c r="T104" s="567"/>
      <c r="U104" s="78"/>
      <c r="V104" s="78"/>
      <c r="W104" s="78"/>
      <c r="X104" s="78"/>
      <c r="Y104" s="553"/>
      <c r="Z104" s="78"/>
      <c r="AA104" s="78"/>
      <c r="AB104" s="78"/>
      <c r="AC104" s="78"/>
      <c r="AD104" s="553"/>
      <c r="AE104" s="78"/>
      <c r="AF104" s="78"/>
      <c r="AG104" s="78"/>
      <c r="AH104" s="78"/>
      <c r="AI104" s="553"/>
      <c r="AJ104" s="78"/>
      <c r="AK104" s="78"/>
      <c r="AL104" s="78"/>
      <c r="AM104" s="78"/>
      <c r="AN104" s="553"/>
      <c r="AO104" s="78"/>
      <c r="AP104" s="78"/>
      <c r="AQ104" s="78"/>
      <c r="AR104" s="78"/>
      <c r="AS104" s="553"/>
      <c r="AT104" s="78"/>
      <c r="AU104" s="78"/>
      <c r="AV104" s="78"/>
      <c r="AW104" s="78"/>
      <c r="AX104" s="553"/>
      <c r="AY104" s="78"/>
      <c r="AZ104" s="78"/>
      <c r="BA104" s="78"/>
      <c r="BB104" s="78"/>
      <c r="BC104" s="553"/>
      <c r="BD104" s="78"/>
      <c r="BE104" s="78"/>
      <c r="BF104" s="78"/>
      <c r="BG104" s="78"/>
      <c r="BH104" s="553"/>
      <c r="BI104" s="78"/>
      <c r="BJ104" s="78"/>
      <c r="BK104" s="78"/>
      <c r="BL104" s="78"/>
      <c r="BM104" s="553"/>
      <c r="BN104" s="553"/>
      <c r="BO104" s="553"/>
      <c r="BP104" s="633"/>
      <c r="BQ104" s="571"/>
      <c r="BR104" s="571"/>
      <c r="BS104" s="571"/>
      <c r="BT104" s="571"/>
      <c r="BU104" s="218"/>
      <c r="BV104" s="222"/>
      <c r="BW104" s="222"/>
      <c r="BX104" s="222"/>
      <c r="BY104" s="222"/>
      <c r="BZ104" s="222"/>
      <c r="CA104" s="222"/>
      <c r="CB104" s="222"/>
      <c r="CC104" s="222"/>
      <c r="DA104" s="708"/>
      <c r="DB104" s="708"/>
      <c r="DC104" s="708"/>
      <c r="DD104" s="708"/>
      <c r="DE104" s="709"/>
      <c r="DF104" s="708"/>
      <c r="DG104" s="708"/>
      <c r="DH104" s="708"/>
      <c r="DI104" s="708"/>
      <c r="DJ104" s="709"/>
      <c r="DK104" s="708"/>
      <c r="DL104" s="708"/>
      <c r="DM104" s="708"/>
      <c r="DN104" s="708"/>
      <c r="DO104" s="709"/>
      <c r="DP104" s="708"/>
      <c r="DQ104" s="708"/>
      <c r="DR104" s="708"/>
      <c r="DS104" s="708"/>
      <c r="DT104" s="709"/>
      <c r="DU104" s="708"/>
      <c r="DV104" s="708"/>
      <c r="DW104" s="708"/>
      <c r="DX104" s="708"/>
      <c r="DY104" s="709"/>
      <c r="DZ104" s="708"/>
      <c r="EA104" s="708"/>
      <c r="EB104" s="708"/>
      <c r="EC104" s="708"/>
      <c r="ED104" s="709"/>
      <c r="EE104" s="708"/>
      <c r="EF104" s="708"/>
      <c r="EG104" s="708"/>
      <c r="EH104" s="708"/>
      <c r="EI104" s="709"/>
      <c r="EJ104" s="709"/>
      <c r="EK104" s="709"/>
    </row>
    <row r="105" spans="2:141" hidden="1" outlineLevel="1">
      <c r="B105" s="212" t="s">
        <v>29</v>
      </c>
      <c r="C105" s="314"/>
      <c r="D105" s="559"/>
      <c r="E105" s="832">
        <f>+BV105*0.49</f>
        <v>-15.558479999999999</v>
      </c>
      <c r="F105" s="832">
        <f>+BV105-E105</f>
        <v>-16.193519999999999</v>
      </c>
      <c r="G105" s="802">
        <v>-14.956999999999997</v>
      </c>
      <c r="H105" s="802">
        <v>-16.163000000000004</v>
      </c>
      <c r="I105" s="803">
        <f>SUM(E105:H105)</f>
        <v>-62.872</v>
      </c>
      <c r="J105" s="802">
        <v>-14.1</v>
      </c>
      <c r="K105" s="802">
        <v>-12.4</v>
      </c>
      <c r="L105" s="802">
        <v>-13.633000000000001</v>
      </c>
      <c r="M105" s="802">
        <v>-10.612175909999998</v>
      </c>
      <c r="N105" s="803">
        <f>SUM(J105:M105)</f>
        <v>-50.74517591</v>
      </c>
      <c r="O105" s="802">
        <v>-11.549218094493062</v>
      </c>
      <c r="P105" s="802">
        <v>-12</v>
      </c>
      <c r="Q105" s="802">
        <v>-20.7</v>
      </c>
      <c r="R105" s="802">
        <v>-31.6</v>
      </c>
      <c r="S105" s="803">
        <f>SUM(O105:R105)</f>
        <v>-75.849218094493068</v>
      </c>
      <c r="T105" s="802">
        <v>-31.4</v>
      </c>
      <c r="U105" s="802">
        <v>-39.728087780000003</v>
      </c>
      <c r="V105" s="802">
        <v>-40.004950709999989</v>
      </c>
      <c r="W105" s="802">
        <v>-43.6</v>
      </c>
      <c r="X105" s="802">
        <v>-39.1</v>
      </c>
      <c r="Y105" s="803">
        <f>SUM(U105:X105)</f>
        <v>-162.43303848999997</v>
      </c>
      <c r="Z105" s="802">
        <v>-43.05286856</v>
      </c>
      <c r="AA105" s="802">
        <v>-38.765202000000002</v>
      </c>
      <c r="AB105" s="802">
        <v>-36.147907269999997</v>
      </c>
      <c r="AC105" s="802">
        <v>-37.6</v>
      </c>
      <c r="AD105" s="803">
        <f>SUM(Z105:AC105)</f>
        <v>-155.56597782999998</v>
      </c>
      <c r="AE105" s="802">
        <v>-33</v>
      </c>
      <c r="AF105" s="802">
        <v>-40.127002110000006</v>
      </c>
      <c r="AG105" s="802">
        <v>-37.875467079999986</v>
      </c>
      <c r="AH105" s="802">
        <v>-171.97284922999998</v>
      </c>
      <c r="AI105" s="803">
        <f>SUM(AE105:AH105)</f>
        <v>-282.97531842000001</v>
      </c>
      <c r="AJ105" s="802">
        <v>-41.182456569999999</v>
      </c>
      <c r="AK105" s="802">
        <v>-42.013116110000013</v>
      </c>
      <c r="AL105" s="802">
        <v>-48.690949979999978</v>
      </c>
      <c r="AM105" s="802">
        <v>-52.290825890000036</v>
      </c>
      <c r="AN105" s="803">
        <f>AM105+AL105+AK105+AJ105</f>
        <v>-184.17734855000003</v>
      </c>
      <c r="AO105" s="802">
        <v>-48.458302549999999</v>
      </c>
      <c r="AP105" s="802">
        <v>-50.732074889999993</v>
      </c>
      <c r="AQ105" s="802">
        <v>-50.479813280000016</v>
      </c>
      <c r="AR105" s="802">
        <v>-204.53651202999998</v>
      </c>
      <c r="AS105" s="803">
        <f>AR105+AQ105+AP105+AO105</f>
        <v>-354.20670274999998</v>
      </c>
      <c r="AT105" s="802">
        <v>-50.976590229999992</v>
      </c>
      <c r="AU105" s="802">
        <v>-50.925144370000005</v>
      </c>
      <c r="AV105" s="802">
        <f>-152.508-AU105-AT105</f>
        <v>-50.606265400000019</v>
      </c>
      <c r="AW105" s="802">
        <f>-214.758-AV105-AU105-AT105</f>
        <v>-62.250000000000007</v>
      </c>
      <c r="AX105" s="803">
        <f>AW105+AV105+AU105+AT105</f>
        <v>-214.75800000000004</v>
      </c>
      <c r="AY105" s="802"/>
      <c r="AZ105" s="802"/>
      <c r="BA105" s="802"/>
      <c r="BB105" s="802"/>
      <c r="BC105" s="803">
        <f>Model!L63</f>
        <v>-233.5</v>
      </c>
      <c r="BD105" s="802"/>
      <c r="BE105" s="802"/>
      <c r="BF105" s="802"/>
      <c r="BG105" s="802"/>
      <c r="BH105" s="803">
        <f>Model!M63</f>
        <v>-187</v>
      </c>
      <c r="BI105" s="802"/>
      <c r="BJ105" s="802"/>
      <c r="BK105" s="802"/>
      <c r="BL105" s="802"/>
      <c r="BM105" s="803">
        <f ca="1">Model!N63</f>
        <v>-193.26969502103239</v>
      </c>
      <c r="BN105" s="803">
        <f ca="1">Model!O63</f>
        <v>-187.46621537875632</v>
      </c>
      <c r="BO105" s="803">
        <f>Model!U63</f>
        <v>0</v>
      </c>
      <c r="BP105" s="215"/>
      <c r="BQ105" s="573">
        <v>-42.343685548306439</v>
      </c>
      <c r="BR105" s="573"/>
      <c r="BS105" s="573"/>
      <c r="BT105" s="573"/>
      <c r="BU105" s="218"/>
      <c r="BV105" s="218">
        <v>-31.751999999999999</v>
      </c>
      <c r="BW105" s="218">
        <v>-26.533999999999999</v>
      </c>
      <c r="BX105" s="218"/>
      <c r="BY105" s="218">
        <v>-57.4</v>
      </c>
      <c r="BZ105" s="218">
        <v>-62.9</v>
      </c>
      <c r="CA105" s="218">
        <v>-62.832000000000001</v>
      </c>
      <c r="CB105" s="218">
        <v>-50.789175909999997</v>
      </c>
      <c r="CG105" s="313">
        <f t="shared" ref="CG105:CP106" si="143">IFERROR(J105/E105-1,"N/A")</f>
        <v>-9.3741805112067533E-2</v>
      </c>
      <c r="CH105" s="313">
        <f t="shared" si="143"/>
        <v>-0.23426160587691858</v>
      </c>
      <c r="CI105" s="313">
        <f t="shared" si="143"/>
        <v>-8.8520425218960752E-2</v>
      </c>
      <c r="CJ105" s="313">
        <f t="shared" si="143"/>
        <v>-0.34342783456041603</v>
      </c>
      <c r="CK105" s="575">
        <f t="shared" si="143"/>
        <v>-0.19288115679475759</v>
      </c>
      <c r="CL105" s="313">
        <f t="shared" si="143"/>
        <v>-0.1809065181210594</v>
      </c>
      <c r="CM105" s="313">
        <f t="shared" si="143"/>
        <v>-3.2258064516129115E-2</v>
      </c>
      <c r="CN105" s="313">
        <f t="shared" si="143"/>
        <v>0.5183745323846547</v>
      </c>
      <c r="CO105" s="313">
        <f t="shared" si="143"/>
        <v>1.977711665165943</v>
      </c>
      <c r="CP105" s="575">
        <f t="shared" si="143"/>
        <v>0.49470795468355022</v>
      </c>
      <c r="CQ105" s="313">
        <f t="shared" ref="CQ105:CU106" si="144">IFERROR(U105/O105-1,"N/A")</f>
        <v>2.4398941517039399</v>
      </c>
      <c r="CR105" s="313">
        <f t="shared" si="144"/>
        <v>2.3337458924999992</v>
      </c>
      <c r="CS105" s="313">
        <f t="shared" si="144"/>
        <v>1.106280193236715</v>
      </c>
      <c r="CT105" s="313">
        <f t="shared" si="144"/>
        <v>0.23734177215189867</v>
      </c>
      <c r="CU105" s="575">
        <f t="shared" si="144"/>
        <v>1.1415255499093035</v>
      </c>
      <c r="CV105" s="313">
        <f t="shared" ref="CV105:DE106" si="145">IFERROR(Z105/U105-1,"N/A")</f>
        <v>8.3688417081925648E-2</v>
      </c>
      <c r="CW105" s="313">
        <f t="shared" si="145"/>
        <v>-3.0989882202006713E-2</v>
      </c>
      <c r="CX105" s="313">
        <f t="shared" si="145"/>
        <v>-0.17091955802752301</v>
      </c>
      <c r="CY105" s="313">
        <f t="shared" si="145"/>
        <v>-3.8363171355498715E-2</v>
      </c>
      <c r="CZ105" s="575">
        <f t="shared" si="145"/>
        <v>-4.2276255642553662E-2</v>
      </c>
      <c r="DA105" s="704">
        <f t="shared" si="145"/>
        <v>-0.23350055167613204</v>
      </c>
      <c r="DB105" s="704">
        <f t="shared" si="145"/>
        <v>3.512944702313181E-2</v>
      </c>
      <c r="DC105" s="704">
        <f t="shared" si="145"/>
        <v>4.7791419765916388E-2</v>
      </c>
      <c r="DD105" s="704">
        <f t="shared" si="145"/>
        <v>3.5737459901595736</v>
      </c>
      <c r="DE105" s="705">
        <f t="shared" si="145"/>
        <v>0.81900517302845555</v>
      </c>
      <c r="DF105" s="704">
        <f t="shared" ref="DF105:DO106" si="146">IFERROR(AJ105/AE105-1,"N/A")</f>
        <v>0.24795322939393927</v>
      </c>
      <c r="DG105" s="704">
        <f t="shared" si="146"/>
        <v>4.7003611055458583E-2</v>
      </c>
      <c r="DH105" s="704">
        <f t="shared" si="146"/>
        <v>0.285553782799713</v>
      </c>
      <c r="DI105" s="704">
        <f t="shared" si="146"/>
        <v>-0.69593557282949225</v>
      </c>
      <c r="DJ105" s="705">
        <f t="shared" si="146"/>
        <v>-0.34913988407766794</v>
      </c>
      <c r="DK105" s="704">
        <f t="shared" si="146"/>
        <v>0.17667343296126248</v>
      </c>
      <c r="DL105" s="704">
        <f t="shared" si="146"/>
        <v>0.20752944764134473</v>
      </c>
      <c r="DM105" s="704">
        <f t="shared" si="146"/>
        <v>3.6739133262645662E-2</v>
      </c>
      <c r="DN105" s="704">
        <f t="shared" si="146"/>
        <v>2.9115181018610574</v>
      </c>
      <c r="DO105" s="705">
        <f t="shared" si="146"/>
        <v>0.92318276671162303</v>
      </c>
      <c r="DP105" s="704">
        <f t="shared" ref="DP105:DY106" si="147">IFERROR(AT105/AO105-1,"N/A")</f>
        <v>5.196813646952636E-2</v>
      </c>
      <c r="DQ105" s="704">
        <f t="shared" si="147"/>
        <v>3.8056689070697924E-3</v>
      </c>
      <c r="DR105" s="704">
        <f t="shared" si="147"/>
        <v>2.5050037189837671E-3</v>
      </c>
      <c r="DS105" s="704">
        <f t="shared" si="147"/>
        <v>-0.69565336094677499</v>
      </c>
      <c r="DT105" s="705">
        <f t="shared" si="147"/>
        <v>-0.39369300938504037</v>
      </c>
      <c r="DU105" s="704">
        <f t="shared" si="147"/>
        <v>-1</v>
      </c>
      <c r="DV105" s="704">
        <f t="shared" si="147"/>
        <v>-1</v>
      </c>
      <c r="DW105" s="704">
        <f t="shared" si="147"/>
        <v>-1</v>
      </c>
      <c r="DX105" s="704">
        <f t="shared" si="147"/>
        <v>-1</v>
      </c>
      <c r="DY105" s="705">
        <f t="shared" si="147"/>
        <v>8.7270322875049766E-2</v>
      </c>
      <c r="DZ105" s="704" t="str">
        <f t="shared" ref="DZ105:EI106" si="148">IFERROR(BD105/AY105-1,"N/A")</f>
        <v>N/A</v>
      </c>
      <c r="EA105" s="704" t="str">
        <f t="shared" si="148"/>
        <v>N/A</v>
      </c>
      <c r="EB105" s="704" t="str">
        <f t="shared" si="148"/>
        <v>N/A</v>
      </c>
      <c r="EC105" s="704" t="str">
        <f t="shared" si="148"/>
        <v>N/A</v>
      </c>
      <c r="ED105" s="705">
        <f t="shared" si="148"/>
        <v>-0.19914346895074941</v>
      </c>
      <c r="EE105" s="704" t="str">
        <f t="shared" si="148"/>
        <v>N/A</v>
      </c>
      <c r="EF105" s="704" t="str">
        <f t="shared" si="148"/>
        <v>N/A</v>
      </c>
      <c r="EG105" s="704" t="str">
        <f t="shared" si="148"/>
        <v>N/A</v>
      </c>
      <c r="EH105" s="704" t="str">
        <f t="shared" si="148"/>
        <v>N/A</v>
      </c>
      <c r="EI105" s="705">
        <f t="shared" ca="1" si="148"/>
        <v>3.3527780861135836E-2</v>
      </c>
      <c r="EJ105" s="705">
        <f t="shared" ref="EJ105:EK106" ca="1" si="149">IFERROR(BN105/BM105-1,"N/A")</f>
        <v>-3.0027882238053527E-2</v>
      </c>
      <c r="EK105" s="705">
        <f t="shared" ca="1" si="149"/>
        <v>-1</v>
      </c>
    </row>
    <row r="106" spans="2:141" hidden="1" outlineLevel="1">
      <c r="B106" s="7" t="s">
        <v>182</v>
      </c>
      <c r="C106" s="27"/>
      <c r="D106" s="585"/>
      <c r="E106" s="586">
        <f t="shared" ref="E106:O106" si="150">+E96+E105</f>
        <v>4.7314400000000028</v>
      </c>
      <c r="F106" s="586">
        <f t="shared" si="150"/>
        <v>4.9245599999999925</v>
      </c>
      <c r="G106" s="59">
        <f t="shared" si="150"/>
        <v>6.3893135699999881</v>
      </c>
      <c r="H106" s="59">
        <f t="shared" si="150"/>
        <v>12.281686430000036</v>
      </c>
      <c r="I106" s="585">
        <f>I96+I105</f>
        <v>28.327000000000027</v>
      </c>
      <c r="J106" s="59">
        <f t="shared" si="150"/>
        <v>7.0000000000000053</v>
      </c>
      <c r="K106" s="59">
        <f t="shared" si="150"/>
        <v>10.199999999999998</v>
      </c>
      <c r="L106" s="59">
        <f t="shared" si="150"/>
        <v>7.3954729599999904</v>
      </c>
      <c r="M106" s="59">
        <f t="shared" si="150"/>
        <v>8.621719909896072</v>
      </c>
      <c r="N106" s="585">
        <f>N96+N105</f>
        <v>33.217192869895996</v>
      </c>
      <c r="O106" s="59">
        <f t="shared" si="150"/>
        <v>8.5459356087010026</v>
      </c>
      <c r="P106" s="59">
        <f>+P96+P105</f>
        <v>13.600000000000016</v>
      </c>
      <c r="Q106" s="59">
        <f>+Q96+Q105</f>
        <v>2.0999999999999943</v>
      </c>
      <c r="R106" s="59">
        <f>+R96+R105</f>
        <v>-27.199999999999989</v>
      </c>
      <c r="S106" s="585">
        <f>S96+S105</f>
        <v>-2.9540643912990276</v>
      </c>
      <c r="T106" s="587">
        <f>+T96+T105</f>
        <v>12.000000000000007</v>
      </c>
      <c r="U106" s="59">
        <f>+U96+U105</f>
        <v>6.2889858999999788</v>
      </c>
      <c r="V106" s="59">
        <f>+V96+V105</f>
        <v>6.3997716500000195</v>
      </c>
      <c r="W106" s="59">
        <f>+W96+W105</f>
        <v>13.59999999999998</v>
      </c>
      <c r="X106" s="59">
        <f>+X96+X105</f>
        <v>30.20000000000001</v>
      </c>
      <c r="Y106" s="585">
        <f>Y96+Y105</f>
        <v>56.488757550000031</v>
      </c>
      <c r="Z106" s="59">
        <f>+Z96+Z105</f>
        <v>13.497206009999999</v>
      </c>
      <c r="AA106" s="59">
        <f>+AA96+AA105</f>
        <v>11.511721080000015</v>
      </c>
      <c r="AB106" s="59">
        <f>+AB96+AB105</f>
        <v>12.992269079999957</v>
      </c>
      <c r="AC106" s="59">
        <f>+AC96+AC105</f>
        <v>2.9999999999999929</v>
      </c>
      <c r="AD106" s="585">
        <f>AD96+AD105</f>
        <v>40.977805339999975</v>
      </c>
      <c r="AE106" s="59">
        <f>+AE96+AE105</f>
        <v>18.521794239999984</v>
      </c>
      <c r="AF106" s="59">
        <f>+AF96+AF105</f>
        <v>-1.8756513800000079</v>
      </c>
      <c r="AG106" s="59">
        <f>+AG96+AG105</f>
        <v>12.045239730000013</v>
      </c>
      <c r="AH106" s="59">
        <f>+AH96+AH105</f>
        <v>-125.05883875999996</v>
      </c>
      <c r="AI106" s="585">
        <f>AI96+AI105</f>
        <v>-93.379493137999589</v>
      </c>
      <c r="AJ106" s="59">
        <f>+AJ96+AJ105</f>
        <v>6.3002177099999841</v>
      </c>
      <c r="AK106" s="59">
        <f>+AK96+AK105</f>
        <v>8.3378387099999856</v>
      </c>
      <c r="AL106" s="59">
        <f>+AL96+AL105</f>
        <v>8.3987885600000354</v>
      </c>
      <c r="AM106" s="59">
        <f>+AM96+AM105</f>
        <v>6.9160956599999324</v>
      </c>
      <c r="AN106" s="585">
        <f>AN96+AN105</f>
        <v>29.952940639999952</v>
      </c>
      <c r="AO106" s="59">
        <f>+AO96+AO105</f>
        <v>7.062108469999977</v>
      </c>
      <c r="AP106" s="59">
        <f>+AP96+AP105</f>
        <v>6.3060916199999966</v>
      </c>
      <c r="AQ106" s="59">
        <f>+AQ96+AQ105</f>
        <v>4.6536091900000187</v>
      </c>
      <c r="AR106" s="59">
        <f>+AR96+AR105</f>
        <v>-149.32551203</v>
      </c>
      <c r="AS106" s="585">
        <f>AS96+AS105</f>
        <v>-124.59113413999998</v>
      </c>
      <c r="AT106" s="59">
        <f>+AT96+AT105</f>
        <v>-2.6785902299999904</v>
      </c>
      <c r="AU106" s="59">
        <f>+AU96+AU105</f>
        <v>3.8038556299999939</v>
      </c>
      <c r="AV106" s="59">
        <f>+AV96+AV105</f>
        <v>2.213734599999988</v>
      </c>
      <c r="AW106" s="59">
        <f>+AW96+AW105</f>
        <v>-15.734000000000002</v>
      </c>
      <c r="AX106" s="585">
        <f ca="1">AX96+AX105</f>
        <v>-12.358000000000033</v>
      </c>
      <c r="AY106" s="59">
        <f>+AY96+AY105</f>
        <v>47.304000000000002</v>
      </c>
      <c r="AZ106" s="59">
        <f>+AZ96+AZ105</f>
        <v>46.451999999999998</v>
      </c>
      <c r="BA106" s="59">
        <f>+BA96+BA105</f>
        <v>44.944999999999993</v>
      </c>
      <c r="BB106" s="59">
        <f>+BB96+BB105</f>
        <v>24.599000000000018</v>
      </c>
      <c r="BC106" s="585">
        <f ca="1">BC96+BC105</f>
        <v>-70.199999999999989</v>
      </c>
      <c r="BD106" s="59">
        <f>+BD96+BD105</f>
        <v>41.000999999999998</v>
      </c>
      <c r="BE106" s="59">
        <f>+BE96+BE105</f>
        <v>45.776782299999986</v>
      </c>
      <c r="BF106" s="59">
        <f>+BF96+BF105</f>
        <v>36.096445570000029</v>
      </c>
      <c r="BG106" s="59">
        <f>+BG96+BG105</f>
        <v>20.5</v>
      </c>
      <c r="BH106" s="585">
        <f>BH96+BH105</f>
        <v>-43.699999999999989</v>
      </c>
      <c r="BI106" s="59"/>
      <c r="BJ106" s="59"/>
      <c r="BK106" s="59"/>
      <c r="BL106" s="59"/>
      <c r="BM106" s="585">
        <f ca="1">BM96+BM105</f>
        <v>-53.289945477012481</v>
      </c>
      <c r="BN106" s="585">
        <f ca="1">BN96+BN105</f>
        <v>-20.200453149825847</v>
      </c>
      <c r="BO106" s="585">
        <f ca="1">BO96+BO105</f>
        <v>189.68398168306288</v>
      </c>
      <c r="BP106" s="9"/>
      <c r="BQ106" s="464">
        <v>16.156221281332847</v>
      </c>
      <c r="BR106" s="659">
        <f>$AR106/BQ106-1</f>
        <v>-10.242601313125926</v>
      </c>
      <c r="BS106" s="464"/>
      <c r="BT106" s="464"/>
      <c r="BU106" s="27"/>
      <c r="BV106" s="27">
        <v>9.655999999999981</v>
      </c>
      <c r="BW106" s="27">
        <v>17.347999999999999</v>
      </c>
      <c r="BX106" s="27"/>
      <c r="BY106" s="27">
        <v>16.5</v>
      </c>
      <c r="BZ106" s="27">
        <v>54.9</v>
      </c>
      <c r="CA106" s="27">
        <v>28.334000000000053</v>
      </c>
      <c r="CB106" s="27">
        <v>33.365192869896063</v>
      </c>
      <c r="CC106" s="7"/>
      <c r="CD106" s="7"/>
      <c r="CE106" s="7"/>
      <c r="CF106" s="7"/>
      <c r="CG106" s="588">
        <f t="shared" si="143"/>
        <v>0.4794650254467987</v>
      </c>
      <c r="CH106" s="588">
        <f t="shared" si="143"/>
        <v>1.0712510356255205</v>
      </c>
      <c r="CI106" s="588">
        <f t="shared" si="143"/>
        <v>0.1574753498911472</v>
      </c>
      <c r="CJ106" s="588">
        <f t="shared" si="143"/>
        <v>-0.29800195119490225</v>
      </c>
      <c r="CK106" s="589">
        <f t="shared" si="143"/>
        <v>0.17263363116094066</v>
      </c>
      <c r="CL106" s="588">
        <f t="shared" si="143"/>
        <v>0.2208479441001423</v>
      </c>
      <c r="CM106" s="588">
        <f t="shared" si="143"/>
        <v>0.33333333333333526</v>
      </c>
      <c r="CN106" s="588">
        <f t="shared" si="143"/>
        <v>-0.71604250176313311</v>
      </c>
      <c r="CO106" s="588">
        <f t="shared" si="143"/>
        <v>-4.1548229685331854</v>
      </c>
      <c r="CP106" s="589">
        <f t="shared" si="143"/>
        <v>-1.0889317891150347</v>
      </c>
      <c r="CQ106" s="588">
        <f t="shared" si="144"/>
        <v>-0.26409626892146498</v>
      </c>
      <c r="CR106" s="588">
        <f t="shared" si="144"/>
        <v>-0.52942855514705789</v>
      </c>
      <c r="CS106" s="588">
        <f t="shared" si="144"/>
        <v>5.4761904761904843</v>
      </c>
      <c r="CT106" s="588">
        <f t="shared" si="144"/>
        <v>-2.1102941176470598</v>
      </c>
      <c r="CU106" s="589">
        <f t="shared" si="144"/>
        <v>-20.12238531982694</v>
      </c>
      <c r="CV106" s="588">
        <f t="shared" si="145"/>
        <v>1.1461657291996863</v>
      </c>
      <c r="CW106" s="588">
        <f t="shared" si="145"/>
        <v>0.79877059832282926</v>
      </c>
      <c r="CX106" s="588">
        <f t="shared" si="145"/>
        <v>-4.4686097058825314E-2</v>
      </c>
      <c r="CY106" s="588">
        <f t="shared" si="145"/>
        <v>-0.90066225165562941</v>
      </c>
      <c r="CZ106" s="589">
        <f t="shared" si="145"/>
        <v>-0.27458476487592787</v>
      </c>
      <c r="DA106" s="716">
        <f t="shared" si="145"/>
        <v>0.37226876631187955</v>
      </c>
      <c r="DB106" s="716">
        <f t="shared" si="145"/>
        <v>-1.1629340536454351</v>
      </c>
      <c r="DC106" s="716">
        <f t="shared" si="145"/>
        <v>-7.2891759258417954E-2</v>
      </c>
      <c r="DD106" s="716">
        <f t="shared" si="145"/>
        <v>-42.68627958666675</v>
      </c>
      <c r="DE106" s="717">
        <f t="shared" si="145"/>
        <v>-3.2787821935121633</v>
      </c>
      <c r="DF106" s="716">
        <f t="shared" si="146"/>
        <v>-0.65984841272051686</v>
      </c>
      <c r="DG106" s="716">
        <f t="shared" si="146"/>
        <v>-5.4453030018829782</v>
      </c>
      <c r="DH106" s="716">
        <f t="shared" si="146"/>
        <v>-0.30272964687602555</v>
      </c>
      <c r="DI106" s="716">
        <f t="shared" si="146"/>
        <v>-1.0553027337257832</v>
      </c>
      <c r="DJ106" s="717">
        <f t="shared" si="146"/>
        <v>-1.3207657231094028</v>
      </c>
      <c r="DK106" s="716">
        <f t="shared" si="146"/>
        <v>0.12093086224475802</v>
      </c>
      <c r="DL106" s="716">
        <f t="shared" si="146"/>
        <v>-0.24367790750895835</v>
      </c>
      <c r="DM106" s="716">
        <f t="shared" si="146"/>
        <v>-0.44591899691781278</v>
      </c>
      <c r="DN106" s="716">
        <f t="shared" si="146"/>
        <v>-22.591013104928837</v>
      </c>
      <c r="DO106" s="717">
        <f t="shared" si="146"/>
        <v>-5.159562683258474</v>
      </c>
      <c r="DP106" s="716">
        <f t="shared" si="147"/>
        <v>-1.3792904401537744</v>
      </c>
      <c r="DQ106" s="716">
        <f t="shared" si="147"/>
        <v>-0.39679664375063484</v>
      </c>
      <c r="DR106" s="716">
        <f t="shared" si="147"/>
        <v>-0.52429726914821151</v>
      </c>
      <c r="DS106" s="716">
        <f t="shared" si="147"/>
        <v>-0.89463287427510052</v>
      </c>
      <c r="DT106" s="717">
        <f t="shared" ca="1" si="147"/>
        <v>-0.9008115618715401</v>
      </c>
      <c r="DU106" s="716">
        <f t="shared" si="147"/>
        <v>-18.660036040675088</v>
      </c>
      <c r="DV106" s="716">
        <f t="shared" si="147"/>
        <v>11.211819931767513</v>
      </c>
      <c r="DW106" s="716">
        <f t="shared" si="147"/>
        <v>19.302795104706878</v>
      </c>
      <c r="DX106" s="716">
        <f t="shared" si="147"/>
        <v>-2.5634295156984885</v>
      </c>
      <c r="DY106" s="717">
        <f t="shared" ca="1" si="147"/>
        <v>4.6805308302314135</v>
      </c>
      <c r="DZ106" s="716">
        <f t="shared" si="148"/>
        <v>-0.13324454591577883</v>
      </c>
      <c r="EA106" s="716">
        <f t="shared" si="148"/>
        <v>-1.4535815465426927E-2</v>
      </c>
      <c r="EB106" s="716">
        <f t="shared" si="148"/>
        <v>-0.19687516809433681</v>
      </c>
      <c r="EC106" s="716">
        <f t="shared" si="148"/>
        <v>-0.16663278995081166</v>
      </c>
      <c r="ED106" s="717">
        <f t="shared" ca="1" si="148"/>
        <v>-0.37749287749287752</v>
      </c>
      <c r="EE106" s="716">
        <f t="shared" si="148"/>
        <v>-1</v>
      </c>
      <c r="EF106" s="716">
        <f t="shared" si="148"/>
        <v>-1</v>
      </c>
      <c r="EG106" s="716">
        <f t="shared" si="148"/>
        <v>-1</v>
      </c>
      <c r="EH106" s="716">
        <f t="shared" si="148"/>
        <v>-1</v>
      </c>
      <c r="EI106" s="717">
        <f t="shared" ca="1" si="148"/>
        <v>0.21944955324971382</v>
      </c>
      <c r="EJ106" s="717">
        <f t="shared" ca="1" si="149"/>
        <v>-0.62093312408173407</v>
      </c>
      <c r="EK106" s="717">
        <f t="shared" ca="1" si="149"/>
        <v>-10.390085473636921</v>
      </c>
    </row>
    <row r="107" spans="2:141" hidden="1" outlineLevel="1">
      <c r="B107" s="6" t="s">
        <v>26</v>
      </c>
      <c r="C107" s="34"/>
      <c r="D107" s="553"/>
      <c r="E107" s="78">
        <f t="shared" ref="E107:AM107" si="151">+E106/E66</f>
        <v>9.4318981011174544E-2</v>
      </c>
      <c r="F107" s="78">
        <f t="shared" si="151"/>
        <v>9.4318981011174349E-2</v>
      </c>
      <c r="G107" s="78">
        <f t="shared" si="151"/>
        <v>0.12501644013177704</v>
      </c>
      <c r="H107" s="78">
        <f t="shared" si="151"/>
        <v>0.23296856412291522</v>
      </c>
      <c r="I107" s="553">
        <f t="shared" si="151"/>
        <v>0.13737500121240351</v>
      </c>
      <c r="J107" s="78">
        <f t="shared" si="151"/>
        <v>0.13358778625954207</v>
      </c>
      <c r="K107" s="78">
        <f t="shared" si="151"/>
        <v>0.1924528301886792</v>
      </c>
      <c r="L107" s="78">
        <f t="shared" si="151"/>
        <v>0.13719737004820023</v>
      </c>
      <c r="M107" s="78">
        <f t="shared" si="151"/>
        <v>0.1606352949971325</v>
      </c>
      <c r="N107" s="553">
        <f t="shared" si="151"/>
        <v>0.15596644452274006</v>
      </c>
      <c r="O107" s="78">
        <f t="shared" si="151"/>
        <v>0.15939396493202199</v>
      </c>
      <c r="P107" s="78">
        <f t="shared" si="151"/>
        <v>0.250460405156538</v>
      </c>
      <c r="Q107" s="78">
        <f t="shared" si="151"/>
        <v>2.83783783783783E-2</v>
      </c>
      <c r="R107" s="78">
        <f t="shared" si="151"/>
        <v>-0.28070175438596479</v>
      </c>
      <c r="S107" s="553">
        <f t="shared" si="151"/>
        <v>-1.0595063099989746E-2</v>
      </c>
      <c r="T107" s="567">
        <f t="shared" si="151"/>
        <v>0.10849909584086806</v>
      </c>
      <c r="U107" s="78">
        <f t="shared" si="151"/>
        <v>5.4168698535744866E-2</v>
      </c>
      <c r="V107" s="78">
        <f t="shared" si="151"/>
        <v>5.3375910341951785E-2</v>
      </c>
      <c r="W107" s="78">
        <f t="shared" si="151"/>
        <v>0.11505922165820626</v>
      </c>
      <c r="X107" s="78">
        <f t="shared" si="151"/>
        <v>0.24335213537469791</v>
      </c>
      <c r="Y107" s="720">
        <f t="shared" si="151"/>
        <v>0.11810319370687859</v>
      </c>
      <c r="Z107" s="721">
        <f t="shared" si="151"/>
        <v>0.11154715710743801</v>
      </c>
      <c r="AA107" s="721">
        <f t="shared" si="151"/>
        <v>9.2560659132987957E-2</v>
      </c>
      <c r="AB107" s="721">
        <f t="shared" si="151"/>
        <v>0.10540118784198226</v>
      </c>
      <c r="AC107" s="721">
        <f t="shared" si="151"/>
        <v>2.3400936037441443E-2</v>
      </c>
      <c r="AD107" s="720">
        <f t="shared" si="151"/>
        <v>8.2477793880773878E-2</v>
      </c>
      <c r="AE107" s="721">
        <f t="shared" si="151"/>
        <v>0.15009557730956227</v>
      </c>
      <c r="AF107" s="721">
        <f t="shared" si="151"/>
        <v>-1.6087097293632908E-2</v>
      </c>
      <c r="AG107" s="721">
        <f t="shared" si="151"/>
        <v>9.430435749187431E-2</v>
      </c>
      <c r="AH107" s="721">
        <f t="shared" si="151"/>
        <v>-0.98760134341971573</v>
      </c>
      <c r="AI107" s="720">
        <f t="shared" si="151"/>
        <v>-0.18889820497326176</v>
      </c>
      <c r="AJ107" s="721">
        <f t="shared" si="151"/>
        <v>5.2440433683780964E-2</v>
      </c>
      <c r="AK107" s="721">
        <f t="shared" si="151"/>
        <v>6.5997110971318398E-2</v>
      </c>
      <c r="AL107" s="721">
        <f t="shared" si="151"/>
        <v>6.8161868947299267E-2</v>
      </c>
      <c r="AM107" s="721">
        <f t="shared" si="151"/>
        <v>5.3319847599208249E-2</v>
      </c>
      <c r="AN107" s="720">
        <f>AN106/AN66</f>
        <v>5.9977283797326898E-2</v>
      </c>
      <c r="AO107" s="721">
        <f>+AO106/AO66</f>
        <v>5.9595852067510363E-2</v>
      </c>
      <c r="AP107" s="721">
        <f>+AP106/AP66</f>
        <v>5.2594592326939089E-2</v>
      </c>
      <c r="AQ107" s="721">
        <f>+AQ106/AQ66</f>
        <v>3.9270963628692139E-2</v>
      </c>
      <c r="AR107" s="721">
        <f>+AR106/AR66</f>
        <v>-1.2130423398050365</v>
      </c>
      <c r="AS107" s="720">
        <f>AS106/AS66</f>
        <v>-0.25956486279166663</v>
      </c>
      <c r="AT107" s="721">
        <f>+AT106/AT66</f>
        <v>-2.226269887904906E-2</v>
      </c>
      <c r="AU107" s="721">
        <f>+AU106/AU66</f>
        <v>3.2539783964364986E-2</v>
      </c>
      <c r="AV107" s="721">
        <f>+AV106/AV66</f>
        <v>1.9312928675249582E-2</v>
      </c>
      <c r="AW107" s="721">
        <f>+AW106/AW66</f>
        <v>-0.14174372369451091</v>
      </c>
      <c r="AX107" s="720">
        <f ca="1">AX106/AX66</f>
        <v>-2.6700160305889346E-2</v>
      </c>
      <c r="AY107" s="721">
        <f>+AY106/AY66</f>
        <v>0.42444454144350519</v>
      </c>
      <c r="AZ107" s="721">
        <f>+AZ106/AZ66</f>
        <v>0.41259780724417472</v>
      </c>
      <c r="BA107" s="721">
        <f>+BA106/BA66</f>
        <v>0.40701627995443906</v>
      </c>
      <c r="BB107" s="721">
        <f>+BB106/BB66</f>
        <v>0.21948256543805977</v>
      </c>
      <c r="BC107" s="720">
        <f ca="1">BC106/BC66</f>
        <v>-0.15721009807760034</v>
      </c>
      <c r="BD107" s="721">
        <f>+BD106/BD66</f>
        <v>0.37004512635379061</v>
      </c>
      <c r="BE107" s="721">
        <f>+BE106/BE66</f>
        <v>0.41461122580041881</v>
      </c>
      <c r="BF107" s="721">
        <f>+BF106/BF66</f>
        <v>0.32407993995242762</v>
      </c>
      <c r="BG107" s="721">
        <f>+BG106/BG66</f>
        <v>0.17158978883349174</v>
      </c>
      <c r="BH107" s="720">
        <f>BH106/BH66</f>
        <v>-9.6668324736814734E-2</v>
      </c>
      <c r="BI107" s="721"/>
      <c r="BJ107" s="721"/>
      <c r="BK107" s="721"/>
      <c r="BL107" s="721"/>
      <c r="BM107" s="720">
        <f ca="1">BM106/BM66</f>
        <v>-0.1228262065019055</v>
      </c>
      <c r="BN107" s="720">
        <f ca="1">BN106/BN66</f>
        <v>-4.6528791211810236E-2</v>
      </c>
      <c r="BO107" s="720">
        <f ca="1">BO106/BO66</f>
        <v>0.40984231352938566</v>
      </c>
      <c r="BP107" s="633"/>
      <c r="BQ107" s="563">
        <v>0.13951143470816701</v>
      </c>
      <c r="BR107" s="563"/>
      <c r="BS107" s="563"/>
      <c r="BT107" s="563"/>
      <c r="BU107" s="218"/>
      <c r="BV107" s="222">
        <v>9.4318981011174322E-2</v>
      </c>
      <c r="BW107" s="222">
        <v>0.16459515360822785</v>
      </c>
      <c r="BX107" s="222"/>
      <c r="BY107" s="222">
        <v>8.1000000000000003E-2</v>
      </c>
      <c r="BZ107" s="222">
        <v>0.26700000000000002</v>
      </c>
      <c r="CA107" s="222">
        <v>0.13739562219355864</v>
      </c>
      <c r="CB107" s="222">
        <v>0.15664811743169291</v>
      </c>
      <c r="CC107" s="222"/>
      <c r="DA107" s="708"/>
      <c r="DB107" s="708"/>
      <c r="DC107" s="708"/>
      <c r="DD107" s="708"/>
      <c r="DE107" s="709"/>
      <c r="DF107" s="708"/>
      <c r="DG107" s="708"/>
      <c r="DH107" s="708"/>
      <c r="DI107" s="708"/>
      <c r="DJ107" s="709"/>
      <c r="DK107" s="708"/>
      <c r="DL107" s="708"/>
      <c r="DM107" s="708"/>
      <c r="DN107" s="708"/>
      <c r="DO107" s="709"/>
      <c r="DP107" s="708"/>
      <c r="DQ107" s="708"/>
      <c r="DR107" s="708"/>
      <c r="DS107" s="708"/>
      <c r="DT107" s="709"/>
      <c r="DU107" s="708"/>
      <c r="DV107" s="708"/>
      <c r="DW107" s="708"/>
      <c r="DX107" s="708"/>
      <c r="DY107" s="709"/>
      <c r="DZ107" s="708"/>
      <c r="EA107" s="708"/>
      <c r="EB107" s="708"/>
      <c r="EC107" s="708"/>
      <c r="ED107" s="709"/>
      <c r="EE107" s="708"/>
      <c r="EF107" s="708"/>
      <c r="EG107" s="708"/>
      <c r="EH107" s="708"/>
      <c r="EI107" s="709"/>
      <c r="EJ107" s="709"/>
      <c r="EK107" s="709"/>
    </row>
    <row r="108" spans="2:141" hidden="1" outlineLevel="1">
      <c r="B108" s="6"/>
      <c r="C108" s="34"/>
      <c r="D108" s="553"/>
      <c r="E108" s="78"/>
      <c r="F108" s="78"/>
      <c r="G108" s="78"/>
      <c r="H108" s="78"/>
      <c r="I108" s="553"/>
      <c r="J108" s="78"/>
      <c r="K108" s="78"/>
      <c r="L108" s="78"/>
      <c r="M108" s="78"/>
      <c r="N108" s="553"/>
      <c r="O108" s="78"/>
      <c r="P108" s="78"/>
      <c r="Q108" s="78"/>
      <c r="R108" s="78"/>
      <c r="S108" s="553"/>
      <c r="T108" s="567"/>
      <c r="U108" s="78"/>
      <c r="V108" s="78"/>
      <c r="W108" s="78"/>
      <c r="X108" s="78"/>
      <c r="Y108" s="553"/>
      <c r="Z108" s="78"/>
      <c r="AA108" s="78"/>
      <c r="AB108" s="78"/>
      <c r="AC108" s="78"/>
      <c r="AD108" s="553"/>
      <c r="AE108" s="78"/>
      <c r="AF108" s="78"/>
      <c r="AG108" s="78"/>
      <c r="AH108" s="78"/>
      <c r="AI108" s="553"/>
      <c r="AJ108" s="78"/>
      <c r="AK108" s="78"/>
      <c r="AL108" s="78"/>
      <c r="AM108" s="78"/>
      <c r="AN108" s="553"/>
      <c r="AO108" s="78"/>
      <c r="AP108" s="78"/>
      <c r="AQ108" s="78"/>
      <c r="AR108" s="78"/>
      <c r="AS108" s="553"/>
      <c r="AT108" s="78"/>
      <c r="AU108" s="78"/>
      <c r="AV108" s="78"/>
      <c r="AW108" s="78"/>
      <c r="AX108" s="553"/>
      <c r="AY108" s="78"/>
      <c r="AZ108" s="78"/>
      <c r="BA108" s="78"/>
      <c r="BB108" s="78"/>
      <c r="BC108" s="553"/>
      <c r="BD108" s="78"/>
      <c r="BE108" s="78"/>
      <c r="BF108" s="78"/>
      <c r="BG108" s="78"/>
      <c r="BH108" s="553"/>
      <c r="BI108" s="78"/>
      <c r="BJ108" s="78"/>
      <c r="BK108" s="78"/>
      <c r="BL108" s="78"/>
      <c r="BM108" s="553"/>
      <c r="BN108" s="553"/>
      <c r="BO108" s="553"/>
      <c r="BP108" s="633"/>
      <c r="BQ108" s="563"/>
      <c r="BR108" s="563"/>
      <c r="BS108" s="563"/>
      <c r="BT108" s="563"/>
      <c r="BU108" s="218"/>
      <c r="BV108" s="222"/>
      <c r="BW108" s="222"/>
      <c r="BX108" s="222"/>
      <c r="BY108" s="222"/>
      <c r="BZ108" s="222"/>
      <c r="CA108" s="222"/>
      <c r="CB108" s="222"/>
      <c r="CC108" s="222"/>
      <c r="DA108" s="708"/>
      <c r="DB108" s="708"/>
      <c r="DC108" s="708"/>
      <c r="DD108" s="708"/>
      <c r="DE108" s="709"/>
      <c r="DF108" s="708"/>
      <c r="DG108" s="708"/>
      <c r="DH108" s="708"/>
      <c r="DI108" s="708"/>
      <c r="DJ108" s="709"/>
      <c r="DK108" s="708"/>
      <c r="DL108" s="708"/>
      <c r="DM108" s="708"/>
      <c r="DN108" s="708"/>
      <c r="DO108" s="709"/>
      <c r="DP108" s="708"/>
      <c r="DQ108" s="708"/>
      <c r="DR108" s="708"/>
      <c r="DS108" s="708"/>
      <c r="DT108" s="709"/>
      <c r="DU108" s="708"/>
      <c r="DV108" s="708"/>
      <c r="DW108" s="708"/>
      <c r="DX108" s="708"/>
      <c r="DY108" s="709"/>
      <c r="DZ108" s="708"/>
      <c r="EA108" s="708"/>
      <c r="EB108" s="708"/>
      <c r="EC108" s="708"/>
      <c r="ED108" s="709"/>
      <c r="EE108" s="708"/>
      <c r="EF108" s="708"/>
      <c r="EG108" s="708"/>
      <c r="EH108" s="708"/>
      <c r="EI108" s="709"/>
      <c r="EJ108" s="709"/>
      <c r="EK108" s="709"/>
    </row>
    <row r="109" spans="2:141" hidden="1" outlineLevel="1">
      <c r="B109" s="212" t="s">
        <v>151</v>
      </c>
      <c r="C109" s="314"/>
      <c r="D109" s="559"/>
      <c r="E109" s="832">
        <f>+BV109*0.49</f>
        <v>0</v>
      </c>
      <c r="F109" s="832">
        <f>+BV109-E109</f>
        <v>0</v>
      </c>
      <c r="G109" s="802">
        <v>0</v>
      </c>
      <c r="H109" s="802">
        <v>-0.02</v>
      </c>
      <c r="I109" s="803">
        <f>SUM(E109:H109)</f>
        <v>-0.02</v>
      </c>
      <c r="J109" s="802">
        <v>0</v>
      </c>
      <c r="K109" s="802">
        <v>0</v>
      </c>
      <c r="L109" s="802">
        <v>0.03</v>
      </c>
      <c r="M109" s="802">
        <v>-3.1671629999999881E-2</v>
      </c>
      <c r="N109" s="803">
        <f>SUM(J109:M109)</f>
        <v>-1.6716299999998824E-3</v>
      </c>
      <c r="O109" s="802">
        <v>0</v>
      </c>
      <c r="P109" s="802">
        <v>0</v>
      </c>
      <c r="Q109" s="802">
        <v>0</v>
      </c>
      <c r="R109" s="802">
        <v>0</v>
      </c>
      <c r="S109" s="803">
        <f>SUM(O109:R109)</f>
        <v>0</v>
      </c>
      <c r="T109" s="802"/>
      <c r="U109" s="802">
        <v>5.0000000000000001E-3</v>
      </c>
      <c r="V109" s="802">
        <v>0</v>
      </c>
      <c r="W109" s="802">
        <v>0</v>
      </c>
      <c r="X109" s="802">
        <v>5.3537410000000001E-2</v>
      </c>
      <c r="Y109" s="803">
        <f>SUM(U109:X109)</f>
        <v>5.8537409999999998E-2</v>
      </c>
      <c r="Z109" s="802">
        <v>0</v>
      </c>
      <c r="AA109" s="802">
        <v>0</v>
      </c>
      <c r="AB109" s="802">
        <v>3.8299999999999998E-6</v>
      </c>
      <c r="AC109" s="802">
        <v>0.1</v>
      </c>
      <c r="AD109" s="803">
        <f>SUM(Z109:AC109)</f>
        <v>0.10000383</v>
      </c>
      <c r="AE109" s="802">
        <v>0</v>
      </c>
      <c r="AF109" s="802">
        <v>0</v>
      </c>
      <c r="AG109" s="802">
        <v>0</v>
      </c>
      <c r="AH109" s="802">
        <v>-4.82301E-3</v>
      </c>
      <c r="AI109" s="803">
        <f>SUM(AE109:AH109)</f>
        <v>-4.82301E-3</v>
      </c>
      <c r="AJ109" s="802">
        <v>0</v>
      </c>
      <c r="AK109" s="802">
        <v>0</v>
      </c>
      <c r="AL109" s="802">
        <v>0</v>
      </c>
      <c r="AM109" s="802">
        <v>-0.16755636999999998</v>
      </c>
      <c r="AN109" s="803">
        <f>AM109+AL109+AK109+AJ109</f>
        <v>-0.16755636999999998</v>
      </c>
      <c r="AO109" s="802">
        <v>0</v>
      </c>
      <c r="AP109" s="802">
        <v>-2.0512250000000003E-2</v>
      </c>
      <c r="AQ109" s="802">
        <v>0</v>
      </c>
      <c r="AR109" s="802">
        <v>9.3899559999999993E-2</v>
      </c>
      <c r="AS109" s="803">
        <f>AR109+AQ109+AP109+AO109</f>
        <v>7.3387309999999983E-2</v>
      </c>
      <c r="AT109" s="802">
        <v>0</v>
      </c>
      <c r="AU109" s="802">
        <v>0.01</v>
      </c>
      <c r="AV109" s="802">
        <f>0.01-AU109-AT109</f>
        <v>0</v>
      </c>
      <c r="AW109" s="802">
        <f>0.065-AV109-AU109-AT109</f>
        <v>5.5E-2</v>
      </c>
      <c r="AX109" s="803">
        <f>AW109+AV109+AU109+AT109</f>
        <v>6.5000000000000002E-2</v>
      </c>
      <c r="AY109" s="802"/>
      <c r="AZ109" s="802"/>
      <c r="BA109" s="802"/>
      <c r="BB109" s="802"/>
      <c r="BC109" s="803">
        <f>Model!L68</f>
        <v>0</v>
      </c>
      <c r="BD109" s="802"/>
      <c r="BE109" s="802"/>
      <c r="BF109" s="802"/>
      <c r="BG109" s="802"/>
      <c r="BH109" s="803">
        <f>Model!M68</f>
        <v>0</v>
      </c>
      <c r="BI109" s="802"/>
      <c r="BJ109" s="802"/>
      <c r="BK109" s="802"/>
      <c r="BL109" s="802"/>
      <c r="BM109" s="803">
        <f>Model!N68</f>
        <v>0</v>
      </c>
      <c r="BN109" s="803">
        <f>Model!O68</f>
        <v>0</v>
      </c>
      <c r="BO109" s="803">
        <f>Model!U68</f>
        <v>0</v>
      </c>
      <c r="BP109" s="215"/>
      <c r="BQ109" s="573">
        <v>2.0512250000000003E-2</v>
      </c>
      <c r="BR109" s="659">
        <f>$AR109/BQ109-1</f>
        <v>3.5777308681397688</v>
      </c>
      <c r="BS109" s="573"/>
      <c r="BT109" s="573"/>
      <c r="BU109" s="218"/>
      <c r="BV109" s="218">
        <v>0</v>
      </c>
      <c r="BW109" s="218">
        <v>-1.2E-2</v>
      </c>
      <c r="BX109" s="218"/>
      <c r="BY109" s="218">
        <v>0.1</v>
      </c>
      <c r="BZ109" s="218">
        <v>0</v>
      </c>
      <c r="CA109" s="218">
        <v>-0.02</v>
      </c>
      <c r="CB109" s="218">
        <v>-4.3671629999999885E-2</v>
      </c>
      <c r="CG109" s="313" t="str">
        <f t="shared" ref="CG109:CP113" si="152">IFERROR(J109/E109-1,"N/A")</f>
        <v>N/A</v>
      </c>
      <c r="CH109" s="313" t="str">
        <f t="shared" si="152"/>
        <v>N/A</v>
      </c>
      <c r="CI109" s="313" t="str">
        <f t="shared" si="152"/>
        <v>N/A</v>
      </c>
      <c r="CJ109" s="313">
        <f t="shared" si="152"/>
        <v>0.58358149999999398</v>
      </c>
      <c r="CK109" s="575">
        <f t="shared" si="152"/>
        <v>-0.91641850000000591</v>
      </c>
      <c r="CL109" s="313" t="str">
        <f t="shared" si="152"/>
        <v>N/A</v>
      </c>
      <c r="CM109" s="313" t="str">
        <f t="shared" si="152"/>
        <v>N/A</v>
      </c>
      <c r="CN109" s="313">
        <f t="shared" si="152"/>
        <v>-1</v>
      </c>
      <c r="CO109" s="313">
        <f t="shared" si="152"/>
        <v>-1</v>
      </c>
      <c r="CP109" s="575">
        <f t="shared" si="152"/>
        <v>-1</v>
      </c>
      <c r="CQ109" s="313" t="str">
        <f t="shared" ref="CQ109:CU113" si="153">IFERROR(U109/O109-1,"N/A")</f>
        <v>N/A</v>
      </c>
      <c r="CR109" s="313" t="str">
        <f t="shared" si="153"/>
        <v>N/A</v>
      </c>
      <c r="CS109" s="313" t="str">
        <f t="shared" si="153"/>
        <v>N/A</v>
      </c>
      <c r="CT109" s="313" t="str">
        <f t="shared" si="153"/>
        <v>N/A</v>
      </c>
      <c r="CU109" s="575" t="str">
        <f t="shared" si="153"/>
        <v>N/A</v>
      </c>
      <c r="CV109" s="313">
        <f t="shared" ref="CV109:DE113" si="154">IFERROR(Z109/U109-1,"N/A")</f>
        <v>-1</v>
      </c>
      <c r="CW109" s="313" t="str">
        <f t="shared" si="154"/>
        <v>N/A</v>
      </c>
      <c r="CX109" s="313" t="str">
        <f t="shared" si="154"/>
        <v>N/A</v>
      </c>
      <c r="CY109" s="313">
        <f t="shared" si="154"/>
        <v>0.8678527780854548</v>
      </c>
      <c r="CZ109" s="575">
        <f t="shared" si="154"/>
        <v>0.70837469577147338</v>
      </c>
      <c r="DA109" s="704" t="str">
        <f t="shared" si="154"/>
        <v>N/A</v>
      </c>
      <c r="DB109" s="704" t="str">
        <f t="shared" si="154"/>
        <v>N/A</v>
      </c>
      <c r="DC109" s="704">
        <f t="shared" si="154"/>
        <v>-1</v>
      </c>
      <c r="DD109" s="704">
        <f t="shared" si="154"/>
        <v>-1.0482301000000001</v>
      </c>
      <c r="DE109" s="705">
        <f t="shared" si="154"/>
        <v>-1.0482282528579154</v>
      </c>
      <c r="DF109" s="704" t="str">
        <f t="shared" ref="DF109:DO113" si="155">IFERROR(AJ109/AE109-1,"N/A")</f>
        <v>N/A</v>
      </c>
      <c r="DG109" s="704" t="str">
        <f t="shared" si="155"/>
        <v>N/A</v>
      </c>
      <c r="DH109" s="704" t="str">
        <f t="shared" si="155"/>
        <v>N/A</v>
      </c>
      <c r="DI109" s="704">
        <f t="shared" si="155"/>
        <v>33.74103723608286</v>
      </c>
      <c r="DJ109" s="705">
        <f t="shared" si="155"/>
        <v>33.74103723608286</v>
      </c>
      <c r="DK109" s="704" t="str">
        <f t="shared" si="155"/>
        <v>N/A</v>
      </c>
      <c r="DL109" s="704" t="str">
        <f t="shared" si="155"/>
        <v>N/A</v>
      </c>
      <c r="DM109" s="704" t="str">
        <f t="shared" si="155"/>
        <v>N/A</v>
      </c>
      <c r="DN109" s="704">
        <f t="shared" si="155"/>
        <v>-1.5604057906005007</v>
      </c>
      <c r="DO109" s="705">
        <f t="shared" si="155"/>
        <v>-1.4379857954669224</v>
      </c>
      <c r="DP109" s="704" t="str">
        <f t="shared" ref="DP109:DY113" si="156">IFERROR(AT109/AO109-1,"N/A")</f>
        <v>N/A</v>
      </c>
      <c r="DQ109" s="704">
        <f t="shared" si="156"/>
        <v>-1.4875135589708588</v>
      </c>
      <c r="DR109" s="704" t="str">
        <f t="shared" si="156"/>
        <v>N/A</v>
      </c>
      <c r="DS109" s="704">
        <f t="shared" si="156"/>
        <v>-0.41426775588724796</v>
      </c>
      <c r="DT109" s="705">
        <f t="shared" si="156"/>
        <v>-0.11428828771622757</v>
      </c>
      <c r="DU109" s="704" t="str">
        <f t="shared" si="156"/>
        <v>N/A</v>
      </c>
      <c r="DV109" s="704">
        <f t="shared" si="156"/>
        <v>-1</v>
      </c>
      <c r="DW109" s="704" t="str">
        <f t="shared" si="156"/>
        <v>N/A</v>
      </c>
      <c r="DX109" s="704">
        <f t="shared" si="156"/>
        <v>-1</v>
      </c>
      <c r="DY109" s="705">
        <f t="shared" si="156"/>
        <v>-1</v>
      </c>
      <c r="DZ109" s="704" t="str">
        <f t="shared" ref="DZ109:EI113" si="157">IFERROR(BD109/AY109-1,"N/A")</f>
        <v>N/A</v>
      </c>
      <c r="EA109" s="704" t="str">
        <f t="shared" si="157"/>
        <v>N/A</v>
      </c>
      <c r="EB109" s="704" t="str">
        <f t="shared" si="157"/>
        <v>N/A</v>
      </c>
      <c r="EC109" s="704" t="str">
        <f t="shared" si="157"/>
        <v>N/A</v>
      </c>
      <c r="ED109" s="705" t="str">
        <f t="shared" si="157"/>
        <v>N/A</v>
      </c>
      <c r="EE109" s="704" t="str">
        <f t="shared" si="157"/>
        <v>N/A</v>
      </c>
      <c r="EF109" s="704" t="str">
        <f t="shared" si="157"/>
        <v>N/A</v>
      </c>
      <c r="EG109" s="704" t="str">
        <f t="shared" si="157"/>
        <v>N/A</v>
      </c>
      <c r="EH109" s="704" t="str">
        <f t="shared" si="157"/>
        <v>N/A</v>
      </c>
      <c r="EI109" s="705" t="str">
        <f t="shared" si="157"/>
        <v>N/A</v>
      </c>
      <c r="EJ109" s="705" t="str">
        <f t="shared" ref="EJ109:EK113" si="158">IFERROR(BN109/BM109-1,"N/A")</f>
        <v>N/A</v>
      </c>
      <c r="EK109" s="705" t="str">
        <f t="shared" si="158"/>
        <v>N/A</v>
      </c>
    </row>
    <row r="110" spans="2:141" hidden="1" outlineLevel="1">
      <c r="B110" s="212" t="s">
        <v>87</v>
      </c>
      <c r="C110" s="314"/>
      <c r="D110" s="559"/>
      <c r="E110" s="832">
        <f>+BV110*0.49</f>
        <v>6.3210000000000002E-2</v>
      </c>
      <c r="F110" s="832">
        <f>+BV110-E110</f>
        <v>6.5790000000000001E-2</v>
      </c>
      <c r="G110" s="802">
        <v>0</v>
      </c>
      <c r="H110" s="802">
        <v>0.318</v>
      </c>
      <c r="I110" s="803">
        <f>SUM(E110:H110)</f>
        <v>0.44700000000000001</v>
      </c>
      <c r="J110" s="802">
        <v>0</v>
      </c>
      <c r="K110" s="802">
        <v>0.1</v>
      </c>
      <c r="L110" s="802">
        <v>1.3999999999999999E-2</v>
      </c>
      <c r="M110" s="802">
        <v>6.6274590000000924E-2</v>
      </c>
      <c r="N110" s="803">
        <f>SUM(J110:M110)</f>
        <v>0.18027459000000093</v>
      </c>
      <c r="O110" s="802">
        <v>1.133079999999907E-3</v>
      </c>
      <c r="P110" s="802">
        <v>0</v>
      </c>
      <c r="Q110" s="802">
        <v>0</v>
      </c>
      <c r="R110" s="802">
        <v>1.1000000000000001</v>
      </c>
      <c r="S110" s="803">
        <f>SUM(O110:R110)</f>
        <v>1.1011330800000001</v>
      </c>
      <c r="T110" s="802"/>
      <c r="U110" s="802">
        <v>0.48304228999999999</v>
      </c>
      <c r="V110" s="802">
        <v>2.5154449999999939E-2</v>
      </c>
      <c r="W110" s="802">
        <v>0.1</v>
      </c>
      <c r="X110" s="802">
        <v>-0.30971915000000005</v>
      </c>
      <c r="Y110" s="803">
        <f>SUM(U110:X110)</f>
        <v>0.29847758999999985</v>
      </c>
      <c r="Z110" s="802">
        <v>2.4294690000000001E-2</v>
      </c>
      <c r="AA110" s="802">
        <v>0.39186758999999999</v>
      </c>
      <c r="AB110" s="802">
        <v>-0.13295811000000002</v>
      </c>
      <c r="AC110" s="802">
        <v>-0.1</v>
      </c>
      <c r="AD110" s="803">
        <f>SUM(Z110:AC110)</f>
        <v>0.18320416999999997</v>
      </c>
      <c r="AE110" s="802">
        <v>2.4</v>
      </c>
      <c r="AF110" s="802">
        <v>-2.1538393999999998</v>
      </c>
      <c r="AG110" s="802">
        <v>4.1532510000000189E-2</v>
      </c>
      <c r="AH110" s="802">
        <v>6.3089680000000037E-2</v>
      </c>
      <c r="AI110" s="803">
        <f>SUM(AE110:AH110)</f>
        <v>0.35078279000000029</v>
      </c>
      <c r="AJ110" s="802">
        <v>9.1460710000000001E-2</v>
      </c>
      <c r="AK110" s="802">
        <v>-2.3298460000000007E-2</v>
      </c>
      <c r="AL110" s="802">
        <v>2.0734710000000017E-2</v>
      </c>
      <c r="AM110" s="802">
        <v>2.2901899999999836E-3</v>
      </c>
      <c r="AN110" s="803">
        <f>AM110+AL110+AK110+AJ110</f>
        <v>9.1187149999999995E-2</v>
      </c>
      <c r="AO110" s="802">
        <v>5.1279129999999992E-2</v>
      </c>
      <c r="AP110" s="802">
        <v>2.447044000000001E-2</v>
      </c>
      <c r="AQ110" s="802">
        <v>3.178819999999985E-3</v>
      </c>
      <c r="AR110" s="802">
        <v>4.4081000000000259E-3</v>
      </c>
      <c r="AS110" s="803">
        <f>AR110+AQ110+AP110+AO110</f>
        <v>8.3336490000000013E-2</v>
      </c>
      <c r="AT110" s="802">
        <v>4.4821099999999992E-3</v>
      </c>
      <c r="AU110" s="802">
        <v>5.5015109999999999E-2</v>
      </c>
      <c r="AV110" s="802">
        <f>0.166-AU110-AT110</f>
        <v>0.10650278000000001</v>
      </c>
      <c r="AW110" s="802">
        <f>0.147-AV110-AU110-AT110</f>
        <v>-1.900000000000001E-2</v>
      </c>
      <c r="AX110" s="803">
        <f>AW110+AV110+AU110+AT110</f>
        <v>0.14700000000000002</v>
      </c>
      <c r="AY110" s="802"/>
      <c r="AZ110" s="802"/>
      <c r="BA110" s="802"/>
      <c r="BB110" s="802"/>
      <c r="BC110" s="803">
        <f>Model!L69</f>
        <v>3.178819999999985E-3</v>
      </c>
      <c r="BD110" s="802"/>
      <c r="BE110" s="802"/>
      <c r="BF110" s="802"/>
      <c r="BG110" s="802"/>
      <c r="BH110" s="803">
        <f>Model!M69</f>
        <v>0.20350444025943107</v>
      </c>
      <c r="BI110" s="802"/>
      <c r="BJ110" s="802"/>
      <c r="BK110" s="802"/>
      <c r="BL110" s="802"/>
      <c r="BM110" s="803">
        <f ca="1">Model!N69</f>
        <v>0.19531287908517417</v>
      </c>
      <c r="BN110" s="803">
        <f ca="1">Model!O69</f>
        <v>0.19544113983793585</v>
      </c>
      <c r="BO110" s="803">
        <f>Model!U69</f>
        <v>0</v>
      </c>
      <c r="BP110" s="215"/>
      <c r="BQ110" s="573">
        <v>4.8747363507261776E-2</v>
      </c>
      <c r="BR110" s="659">
        <f>$AR110/BQ110-1</f>
        <v>-0.90957254540866894</v>
      </c>
      <c r="BS110" s="573"/>
      <c r="BT110" s="573"/>
      <c r="BU110" s="218"/>
      <c r="BV110" s="218">
        <v>0.129</v>
      </c>
      <c r="BW110" s="218">
        <v>8.2000000000000003E-2</v>
      </c>
      <c r="BX110" s="218"/>
      <c r="BY110" s="218">
        <v>0.5</v>
      </c>
      <c r="BZ110" s="218">
        <v>0.6</v>
      </c>
      <c r="CA110" s="218">
        <v>0.44700000000000001</v>
      </c>
      <c r="CB110" s="218">
        <v>0.11227459000000092</v>
      </c>
      <c r="CG110" s="313">
        <f t="shared" si="152"/>
        <v>-1</v>
      </c>
      <c r="CH110" s="313">
        <f t="shared" si="152"/>
        <v>0.51998784009727927</v>
      </c>
      <c r="CI110" s="313" t="str">
        <f t="shared" si="152"/>
        <v>N/A</v>
      </c>
      <c r="CJ110" s="313">
        <f t="shared" si="152"/>
        <v>-0.79158933962263855</v>
      </c>
      <c r="CK110" s="575">
        <f t="shared" si="152"/>
        <v>-0.59670114093959525</v>
      </c>
      <c r="CL110" s="313" t="str">
        <f t="shared" si="152"/>
        <v>N/A</v>
      </c>
      <c r="CM110" s="313">
        <f t="shared" si="152"/>
        <v>-1</v>
      </c>
      <c r="CN110" s="313">
        <f t="shared" si="152"/>
        <v>-1</v>
      </c>
      <c r="CO110" s="313">
        <f t="shared" si="152"/>
        <v>15.597613052000543</v>
      </c>
      <c r="CP110" s="575">
        <f t="shared" si="152"/>
        <v>5.1080881115857446</v>
      </c>
      <c r="CQ110" s="313">
        <f t="shared" si="153"/>
        <v>425.30907791156812</v>
      </c>
      <c r="CR110" s="313" t="str">
        <f t="shared" si="153"/>
        <v>N/A</v>
      </c>
      <c r="CS110" s="313" t="str">
        <f t="shared" si="153"/>
        <v>N/A</v>
      </c>
      <c r="CT110" s="313">
        <f t="shared" si="153"/>
        <v>-1.2815628636363636</v>
      </c>
      <c r="CU110" s="575">
        <f t="shared" si="153"/>
        <v>-0.7289359520467773</v>
      </c>
      <c r="CV110" s="313">
        <f t="shared" si="154"/>
        <v>-0.94970483847283849</v>
      </c>
      <c r="CW110" s="313">
        <f t="shared" si="154"/>
        <v>14.578459874892948</v>
      </c>
      <c r="CX110" s="313">
        <f t="shared" si="154"/>
        <v>-2.3295811000000004</v>
      </c>
      <c r="CY110" s="313">
        <f t="shared" si="154"/>
        <v>-0.67712684217298158</v>
      </c>
      <c r="CZ110" s="575">
        <f t="shared" si="154"/>
        <v>-0.38620460584662297</v>
      </c>
      <c r="DA110" s="704">
        <f t="shared" si="154"/>
        <v>97.787018891782523</v>
      </c>
      <c r="DB110" s="704">
        <f t="shared" si="154"/>
        <v>-6.4963448240258908</v>
      </c>
      <c r="DC110" s="704">
        <f t="shared" si="154"/>
        <v>-1.3123728969974091</v>
      </c>
      <c r="DD110" s="704">
        <f t="shared" si="154"/>
        <v>-1.6308968000000004</v>
      </c>
      <c r="DE110" s="705">
        <f t="shared" si="154"/>
        <v>0.91470963788651938</v>
      </c>
      <c r="DF110" s="704">
        <f t="shared" si="155"/>
        <v>-0.96189137083333331</v>
      </c>
      <c r="DG110" s="704">
        <f t="shared" si="155"/>
        <v>-0.98918282393756929</v>
      </c>
      <c r="DH110" s="704">
        <f t="shared" si="155"/>
        <v>-0.50075952548979286</v>
      </c>
      <c r="DI110" s="704">
        <f t="shared" si="155"/>
        <v>-0.96369945132072343</v>
      </c>
      <c r="DJ110" s="705">
        <f t="shared" si="155"/>
        <v>-0.74004668244984328</v>
      </c>
      <c r="DK110" s="704">
        <f t="shared" si="155"/>
        <v>-0.43933159932827992</v>
      </c>
      <c r="DL110" s="704">
        <f t="shared" si="155"/>
        <v>-2.0503028955561868</v>
      </c>
      <c r="DM110" s="704">
        <f t="shared" si="155"/>
        <v>-0.84669088692342542</v>
      </c>
      <c r="DN110" s="704">
        <f t="shared" si="155"/>
        <v>0.92477480034410142</v>
      </c>
      <c r="DO110" s="705">
        <f t="shared" si="155"/>
        <v>-8.6093928804661379E-2</v>
      </c>
      <c r="DP110" s="704">
        <f t="shared" si="156"/>
        <v>-0.91259387591014118</v>
      </c>
      <c r="DQ110" s="704">
        <f t="shared" si="156"/>
        <v>1.2482272488766029</v>
      </c>
      <c r="DR110" s="704">
        <f t="shared" si="156"/>
        <v>32.503872506150238</v>
      </c>
      <c r="DS110" s="704">
        <f t="shared" si="156"/>
        <v>-5.3102470452121997</v>
      </c>
      <c r="DT110" s="705">
        <f t="shared" si="156"/>
        <v>0.76393318221105777</v>
      </c>
      <c r="DU110" s="704">
        <f t="shared" si="156"/>
        <v>-1</v>
      </c>
      <c r="DV110" s="704">
        <f t="shared" si="156"/>
        <v>-1</v>
      </c>
      <c r="DW110" s="704">
        <f t="shared" si="156"/>
        <v>-1</v>
      </c>
      <c r="DX110" s="704">
        <f t="shared" si="156"/>
        <v>-1</v>
      </c>
      <c r="DY110" s="705">
        <f t="shared" si="156"/>
        <v>-0.97837537414965992</v>
      </c>
      <c r="DZ110" s="704" t="str">
        <f t="shared" si="157"/>
        <v>N/A</v>
      </c>
      <c r="EA110" s="704" t="str">
        <f t="shared" si="157"/>
        <v>N/A</v>
      </c>
      <c r="EB110" s="704" t="str">
        <f t="shared" si="157"/>
        <v>N/A</v>
      </c>
      <c r="EC110" s="704" t="str">
        <f t="shared" si="157"/>
        <v>N/A</v>
      </c>
      <c r="ED110" s="705">
        <f t="shared" si="157"/>
        <v>63.018862426759625</v>
      </c>
      <c r="EE110" s="704" t="str">
        <f t="shared" si="157"/>
        <v>N/A</v>
      </c>
      <c r="EF110" s="704" t="str">
        <f t="shared" si="157"/>
        <v>N/A</v>
      </c>
      <c r="EG110" s="704" t="str">
        <f t="shared" si="157"/>
        <v>N/A</v>
      </c>
      <c r="EH110" s="704" t="str">
        <f t="shared" si="157"/>
        <v>N/A</v>
      </c>
      <c r="EI110" s="705">
        <f t="shared" ca="1" si="157"/>
        <v>-4.0252493576131032E-2</v>
      </c>
      <c r="EJ110" s="705">
        <f t="shared" ca="1" si="158"/>
        <v>6.5669377955224206E-4</v>
      </c>
      <c r="EK110" s="705">
        <f t="shared" ca="1" si="158"/>
        <v>-1</v>
      </c>
    </row>
    <row r="111" spans="2:141" hidden="1" outlineLevel="1">
      <c r="B111" s="212" t="s">
        <v>88</v>
      </c>
      <c r="C111" s="314"/>
      <c r="D111" s="559"/>
      <c r="E111" s="832">
        <f>+BV111*0.49</f>
        <v>-6.6336199999999996</v>
      </c>
      <c r="F111" s="832">
        <f>+BV111-E111</f>
        <v>-6.9043800000000006</v>
      </c>
      <c r="G111" s="802">
        <v>-7.8359999999999994</v>
      </c>
      <c r="H111" s="802">
        <v>-6.9870000000000019</v>
      </c>
      <c r="I111" s="803">
        <f>SUM(E111:H111)</f>
        <v>-28.361000000000001</v>
      </c>
      <c r="J111" s="802">
        <v>-8.5</v>
      </c>
      <c r="K111" s="802">
        <v>-12</v>
      </c>
      <c r="L111" s="802">
        <v>-12.765000000000001</v>
      </c>
      <c r="M111" s="802">
        <v>-12.627435287806996</v>
      </c>
      <c r="N111" s="803">
        <f>SUM(J111:M111)</f>
        <v>-45.892435287806997</v>
      </c>
      <c r="O111" s="802">
        <v>-15.097242424941498</v>
      </c>
      <c r="P111" s="802">
        <v>-10.199999999999999</v>
      </c>
      <c r="Q111" s="802">
        <v>-14.9</v>
      </c>
      <c r="R111" s="802">
        <v>-17.8</v>
      </c>
      <c r="S111" s="803">
        <f>SUM(O111:R111)</f>
        <v>-57.997242424941504</v>
      </c>
      <c r="T111" s="802"/>
      <c r="U111" s="802">
        <v>-24.61970221</v>
      </c>
      <c r="V111" s="802">
        <v>-19.470857680000002</v>
      </c>
      <c r="W111" s="802">
        <v>-18.899999999999999</v>
      </c>
      <c r="X111" s="802">
        <v>-12.9</v>
      </c>
      <c r="Y111" s="803">
        <f>SUM(U111:X111)</f>
        <v>-75.890559890000006</v>
      </c>
      <c r="Z111" s="802">
        <v>-14.75168322</v>
      </c>
      <c r="AA111" s="802">
        <v>-14.431223580000001</v>
      </c>
      <c r="AB111" s="802">
        <v>-14.44447671</v>
      </c>
      <c r="AC111" s="802">
        <v>-14</v>
      </c>
      <c r="AD111" s="803">
        <f>SUM(Z111:AC111)</f>
        <v>-57.627383510000001</v>
      </c>
      <c r="AE111" s="802">
        <v>-12.7</v>
      </c>
      <c r="AF111" s="802">
        <v>-32.419364550000004</v>
      </c>
      <c r="AG111" s="802">
        <v>-14.500656050000003</v>
      </c>
      <c r="AH111" s="802">
        <v>-15.990078799999985</v>
      </c>
      <c r="AI111" s="803">
        <f>SUM(AE111:AH111)</f>
        <v>-75.610099399999996</v>
      </c>
      <c r="AJ111" s="802">
        <v>-15.600949570000001</v>
      </c>
      <c r="AK111" s="802">
        <v>-15.151726729999996</v>
      </c>
      <c r="AL111" s="802">
        <v>-15.721596870000006</v>
      </c>
      <c r="AM111" s="802">
        <v>-16.101936589999994</v>
      </c>
      <c r="AN111" s="803">
        <f>AM111+AL111+AK111+AJ111</f>
        <v>-62.576209759999998</v>
      </c>
      <c r="AO111" s="802">
        <v>-15.14873824</v>
      </c>
      <c r="AP111" s="802">
        <v>-15.753162800000002</v>
      </c>
      <c r="AQ111" s="802">
        <v>-16.322405389999997</v>
      </c>
      <c r="AR111" s="802">
        <v>-17.483428439999997</v>
      </c>
      <c r="AS111" s="803">
        <f>AR111+AQ111+AP111+AO111</f>
        <v>-64.707734869999996</v>
      </c>
      <c r="AT111" s="802">
        <v>-22.482648670000003</v>
      </c>
      <c r="AU111" s="802">
        <v>-31.944565009999998</v>
      </c>
      <c r="AV111" s="802">
        <f>-67.915-AU111-AT111</f>
        <v>-13.487786320000005</v>
      </c>
      <c r="AW111" s="802">
        <f>-82.261-AV111-AU111-AT111</f>
        <v>-14.345999999999997</v>
      </c>
      <c r="AX111" s="803">
        <f>AW111+AV111+AU111+AT111</f>
        <v>-82.260999999999996</v>
      </c>
      <c r="AY111" s="802"/>
      <c r="AZ111" s="802"/>
      <c r="BA111" s="802"/>
      <c r="BB111" s="802"/>
      <c r="BC111" s="803">
        <f>Model!L70</f>
        <v>-58.9</v>
      </c>
      <c r="BD111" s="802"/>
      <c r="BE111" s="802"/>
      <c r="BF111" s="802"/>
      <c r="BG111" s="802"/>
      <c r="BH111" s="803">
        <f>Model!M70</f>
        <v>-47.825710110107565</v>
      </c>
      <c r="BI111" s="802"/>
      <c r="BJ111" s="802"/>
      <c r="BK111" s="802"/>
      <c r="BL111" s="802"/>
      <c r="BM111" s="803">
        <f>Model!N70</f>
        <v>-53.612663818220199</v>
      </c>
      <c r="BN111" s="803">
        <f ca="1">Model!O70</f>
        <v>-53.29349719912706</v>
      </c>
      <c r="BO111" s="803">
        <f>Model!U70</f>
        <v>0</v>
      </c>
      <c r="BP111" s="215"/>
      <c r="BQ111" s="573">
        <v>-15.978002819079819</v>
      </c>
      <c r="BR111" s="659">
        <f>$AR111/BQ111-1</f>
        <v>9.4218635330474809E-2</v>
      </c>
      <c r="BS111" s="573"/>
      <c r="BT111" s="573"/>
      <c r="BU111" s="218"/>
      <c r="BV111" s="218">
        <v>-13.538</v>
      </c>
      <c r="BW111" s="218">
        <v>-20.475000000000001</v>
      </c>
      <c r="BX111" s="218"/>
      <c r="BY111" s="218">
        <v>-34.9</v>
      </c>
      <c r="BZ111" s="218">
        <v>-32.299999999999997</v>
      </c>
      <c r="CA111" s="218">
        <v>-28.321000000000002</v>
      </c>
      <c r="CB111" s="218">
        <v>-45.837435287806997</v>
      </c>
      <c r="CG111" s="313">
        <f t="shared" si="152"/>
        <v>0.28135166017950985</v>
      </c>
      <c r="CH111" s="313">
        <f t="shared" si="152"/>
        <v>0.73802716536459445</v>
      </c>
      <c r="CI111" s="313">
        <f t="shared" si="152"/>
        <v>0.62901990811638608</v>
      </c>
      <c r="CJ111" s="313">
        <f t="shared" si="152"/>
        <v>0.8072756959792462</v>
      </c>
      <c r="CK111" s="575">
        <f t="shared" si="152"/>
        <v>0.61815293141310246</v>
      </c>
      <c r="CL111" s="313">
        <f t="shared" si="152"/>
        <v>0.77614616764017619</v>
      </c>
      <c r="CM111" s="313">
        <f t="shared" si="152"/>
        <v>-0.15000000000000002</v>
      </c>
      <c r="CN111" s="313">
        <f t="shared" si="152"/>
        <v>0.16725421073247149</v>
      </c>
      <c r="CO111" s="313">
        <f t="shared" si="152"/>
        <v>0.40962908098904394</v>
      </c>
      <c r="CP111" s="575">
        <f t="shared" si="152"/>
        <v>0.26376475907676644</v>
      </c>
      <c r="CQ111" s="313">
        <f t="shared" si="153"/>
        <v>0.6307416624195461</v>
      </c>
      <c r="CR111" s="313">
        <f t="shared" si="153"/>
        <v>0.90890761568627476</v>
      </c>
      <c r="CS111" s="313">
        <f t="shared" si="153"/>
        <v>0.26845637583892601</v>
      </c>
      <c r="CT111" s="313">
        <f t="shared" si="153"/>
        <v>-0.2752808988764045</v>
      </c>
      <c r="CU111" s="575">
        <f t="shared" si="153"/>
        <v>0.30852014193977517</v>
      </c>
      <c r="CV111" s="313">
        <f t="shared" si="154"/>
        <v>-0.40081796708295769</v>
      </c>
      <c r="CW111" s="313">
        <f t="shared" si="154"/>
        <v>-0.25882958947291734</v>
      </c>
      <c r="CX111" s="313">
        <f t="shared" si="154"/>
        <v>-0.23574197301587296</v>
      </c>
      <c r="CY111" s="313">
        <f t="shared" si="154"/>
        <v>8.5271317829457294E-2</v>
      </c>
      <c r="CZ111" s="575">
        <f t="shared" si="154"/>
        <v>-0.24065149086357596</v>
      </c>
      <c r="DA111" s="704">
        <f t="shared" si="154"/>
        <v>-0.13908129597159291</v>
      </c>
      <c r="DB111" s="704">
        <f t="shared" si="154"/>
        <v>1.246473722084763</v>
      </c>
      <c r="DC111" s="704">
        <f t="shared" si="154"/>
        <v>3.889330235210986E-3</v>
      </c>
      <c r="DD111" s="704">
        <f t="shared" si="154"/>
        <v>0.14214848571428473</v>
      </c>
      <c r="DE111" s="705">
        <f t="shared" si="154"/>
        <v>0.31205157677997786</v>
      </c>
      <c r="DF111" s="704">
        <f t="shared" si="155"/>
        <v>0.22842122598425219</v>
      </c>
      <c r="DG111" s="704">
        <f t="shared" si="155"/>
        <v>-0.53263344484646924</v>
      </c>
      <c r="DH111" s="704">
        <f t="shared" si="155"/>
        <v>8.4199005602922483E-2</v>
      </c>
      <c r="DI111" s="704">
        <f t="shared" si="155"/>
        <v>6.9954495783979276E-3</v>
      </c>
      <c r="DJ111" s="705">
        <f t="shared" si="155"/>
        <v>-0.17238291899402003</v>
      </c>
      <c r="DK111" s="704">
        <f t="shared" si="155"/>
        <v>-2.8986141386520781E-2</v>
      </c>
      <c r="DL111" s="704">
        <f t="shared" si="155"/>
        <v>3.9694226322678938E-2</v>
      </c>
      <c r="DM111" s="704">
        <f t="shared" si="155"/>
        <v>3.8215489493084176E-2</v>
      </c>
      <c r="DN111" s="704">
        <f t="shared" si="155"/>
        <v>8.5796627149679061E-2</v>
      </c>
      <c r="DO111" s="705">
        <f t="shared" si="155"/>
        <v>3.4062866993304519E-2</v>
      </c>
      <c r="DP111" s="704">
        <f t="shared" si="156"/>
        <v>0.48412681728402496</v>
      </c>
      <c r="DQ111" s="704">
        <f t="shared" si="156"/>
        <v>1.0278191380082733</v>
      </c>
      <c r="DR111" s="704">
        <f t="shared" si="156"/>
        <v>-0.17366429777173864</v>
      </c>
      <c r="DS111" s="704">
        <f t="shared" si="156"/>
        <v>-0.17945155612739772</v>
      </c>
      <c r="DT111" s="705">
        <f t="shared" si="156"/>
        <v>0.27126996741989351</v>
      </c>
      <c r="DU111" s="704">
        <f t="shared" si="156"/>
        <v>-1</v>
      </c>
      <c r="DV111" s="704">
        <f t="shared" si="156"/>
        <v>-1</v>
      </c>
      <c r="DW111" s="704">
        <f t="shared" si="156"/>
        <v>-1</v>
      </c>
      <c r="DX111" s="704">
        <f t="shared" si="156"/>
        <v>-1</v>
      </c>
      <c r="DY111" s="705">
        <f t="shared" si="156"/>
        <v>-0.28398633617388558</v>
      </c>
      <c r="DZ111" s="704" t="str">
        <f t="shared" si="157"/>
        <v>N/A</v>
      </c>
      <c r="EA111" s="704" t="str">
        <f t="shared" si="157"/>
        <v>N/A</v>
      </c>
      <c r="EB111" s="704" t="str">
        <f t="shared" si="157"/>
        <v>N/A</v>
      </c>
      <c r="EC111" s="704" t="str">
        <f t="shared" si="157"/>
        <v>N/A</v>
      </c>
      <c r="ED111" s="705">
        <f t="shared" si="157"/>
        <v>-0.18801850407287668</v>
      </c>
      <c r="EE111" s="704" t="str">
        <f t="shared" si="157"/>
        <v>N/A</v>
      </c>
      <c r="EF111" s="704" t="str">
        <f t="shared" si="157"/>
        <v>N/A</v>
      </c>
      <c r="EG111" s="704" t="str">
        <f t="shared" si="157"/>
        <v>N/A</v>
      </c>
      <c r="EH111" s="704" t="str">
        <f t="shared" si="157"/>
        <v>N/A</v>
      </c>
      <c r="EI111" s="705">
        <f t="shared" si="157"/>
        <v>0.1210008945981047</v>
      </c>
      <c r="EJ111" s="705">
        <f t="shared" ca="1" si="158"/>
        <v>-5.953194569389586E-3</v>
      </c>
      <c r="EK111" s="705">
        <f t="shared" ca="1" si="158"/>
        <v>-1</v>
      </c>
    </row>
    <row r="112" spans="2:141" hidden="1" outlineLevel="1">
      <c r="B112" s="212" t="s">
        <v>152</v>
      </c>
      <c r="C112" s="314"/>
      <c r="D112" s="559"/>
      <c r="E112" s="832">
        <f>+BV112*0.49</f>
        <v>-3.5279999999999999E-2</v>
      </c>
      <c r="F112" s="832">
        <f>+BV112-E112</f>
        <v>-3.6719999999999996E-2</v>
      </c>
      <c r="G112" s="802">
        <v>0</v>
      </c>
      <c r="H112" s="802">
        <v>-0.41299999999999998</v>
      </c>
      <c r="I112" s="803">
        <f>SUM(E112:H112)</f>
        <v>-0.48499999999999999</v>
      </c>
      <c r="J112" s="802">
        <v>0</v>
      </c>
      <c r="K112" s="802">
        <v>-0.7</v>
      </c>
      <c r="L112" s="802">
        <v>-0.43399999999999989</v>
      </c>
      <c r="M112" s="802">
        <v>-0.36499999999999999</v>
      </c>
      <c r="N112" s="803">
        <f>SUM(J112:M112)</f>
        <v>-1.4989999999999999</v>
      </c>
      <c r="O112" s="802">
        <v>3.5551607799999996</v>
      </c>
      <c r="P112" s="802">
        <v>4.2</v>
      </c>
      <c r="Q112" s="802">
        <v>0.9</v>
      </c>
      <c r="R112" s="802">
        <v>-14.3</v>
      </c>
      <c r="S112" s="803">
        <f>SUM(O112:R112)</f>
        <v>-5.6448392200000015</v>
      </c>
      <c r="T112" s="802"/>
      <c r="U112" s="802">
        <v>0.42626881999999999</v>
      </c>
      <c r="V112" s="802">
        <v>-7.7628978299999991</v>
      </c>
      <c r="W112" s="802">
        <v>22.6</v>
      </c>
      <c r="X112" s="802">
        <v>-12.420327459999999</v>
      </c>
      <c r="Y112" s="803">
        <f>SUM(U112:X112)</f>
        <v>2.8430435300000028</v>
      </c>
      <c r="Z112" s="802">
        <v>-1.1744199799999999</v>
      </c>
      <c r="AA112" s="802">
        <v>-2.3254427699999995</v>
      </c>
      <c r="AB112" s="802">
        <v>2.5473059999999492E-2</v>
      </c>
      <c r="AC112" s="802">
        <v>-8.9</v>
      </c>
      <c r="AD112" s="803">
        <f>SUM(Z112:AC112)</f>
        <v>-12.374389690000001</v>
      </c>
      <c r="AE112" s="802">
        <v>0.3</v>
      </c>
      <c r="AF112" s="802">
        <v>1.7942268799999999</v>
      </c>
      <c r="AG112" s="802">
        <v>-6.2276300000000173E-2</v>
      </c>
      <c r="AH112" s="802">
        <v>-4.462936899999999</v>
      </c>
      <c r="AI112" s="803">
        <f>SUM(AE112:AH112)</f>
        <v>-2.4309863199999993</v>
      </c>
      <c r="AJ112" s="802">
        <v>-0.42432011999999997</v>
      </c>
      <c r="AK112" s="802">
        <v>-2.9814182799999998</v>
      </c>
      <c r="AL112" s="802">
        <v>-2.8188190400000011</v>
      </c>
      <c r="AM112" s="802">
        <v>2.1127705000000008</v>
      </c>
      <c r="AN112" s="803">
        <f>AM112+AL112+AK112+AJ112</f>
        <v>-4.11178694</v>
      </c>
      <c r="AO112" s="802">
        <v>2.59340298</v>
      </c>
      <c r="AP112" s="802">
        <v>-7.9481300399999988</v>
      </c>
      <c r="AQ112" s="802">
        <v>-0.78949523000000177</v>
      </c>
      <c r="AR112" s="802">
        <v>9.1246834200000002</v>
      </c>
      <c r="AS112" s="803">
        <f>AR112+AQ112+AP112+AO112</f>
        <v>2.9804611299999997</v>
      </c>
      <c r="AT112" s="802">
        <v>7.7402162199999998</v>
      </c>
      <c r="AU112" s="802">
        <v>3.8085002100000009</v>
      </c>
      <c r="AV112" s="802">
        <f>12.389-AU112-AT112</f>
        <v>0.84028356999999776</v>
      </c>
      <c r="AW112" s="802">
        <f>1.848-AV112-AU112-AT112</f>
        <v>-10.540999999999999</v>
      </c>
      <c r="AX112" s="803">
        <f>AW112+AV112+AU112+AT112</f>
        <v>1.8480000000000008</v>
      </c>
      <c r="AY112" s="802"/>
      <c r="AZ112" s="802"/>
      <c r="BA112" s="802"/>
      <c r="BB112" s="802"/>
      <c r="BC112" s="803">
        <f>Model!L71</f>
        <v>4</v>
      </c>
      <c r="BD112" s="802"/>
      <c r="BE112" s="802"/>
      <c r="BF112" s="802"/>
      <c r="BG112" s="802"/>
      <c r="BH112" s="803">
        <f>Model!M71</f>
        <v>0</v>
      </c>
      <c r="BI112" s="802"/>
      <c r="BJ112" s="802"/>
      <c r="BK112" s="802"/>
      <c r="BL112" s="802"/>
      <c r="BM112" s="803">
        <f>Model!N71</f>
        <v>0</v>
      </c>
      <c r="BN112" s="803">
        <f>Model!O71</f>
        <v>0</v>
      </c>
      <c r="BO112" s="803">
        <f>Model!U71</f>
        <v>0</v>
      </c>
      <c r="BP112" s="215"/>
      <c r="BQ112" s="573">
        <v>1.1442222900000001</v>
      </c>
      <c r="BR112" s="659">
        <f>$AR112/BQ112-1</f>
        <v>6.9745723359400733</v>
      </c>
      <c r="BS112" s="573"/>
      <c r="BT112" s="573"/>
      <c r="BU112" s="218"/>
      <c r="BV112" s="218">
        <v>-7.1999999999999995E-2</v>
      </c>
      <c r="BW112" s="218">
        <v>-0.754</v>
      </c>
      <c r="BX112" s="218"/>
      <c r="BY112" s="218">
        <v>-2.6</v>
      </c>
      <c r="BZ112" s="218">
        <v>-0.1</v>
      </c>
      <c r="CA112" s="218">
        <v>-0.48499999999999999</v>
      </c>
      <c r="CB112" s="218">
        <v>-1.5129999999999999</v>
      </c>
      <c r="CG112" s="313">
        <f t="shared" si="152"/>
        <v>-1</v>
      </c>
      <c r="CH112" s="313">
        <f t="shared" si="152"/>
        <v>18.063180827886711</v>
      </c>
      <c r="CI112" s="313" t="str">
        <f t="shared" si="152"/>
        <v>N/A</v>
      </c>
      <c r="CJ112" s="313">
        <f t="shared" si="152"/>
        <v>-0.11622276029055689</v>
      </c>
      <c r="CK112" s="575">
        <f t="shared" si="152"/>
        <v>2.0907216494845358</v>
      </c>
      <c r="CL112" s="313" t="str">
        <f t="shared" si="152"/>
        <v>N/A</v>
      </c>
      <c r="CM112" s="313">
        <f t="shared" si="152"/>
        <v>-7.0000000000000009</v>
      </c>
      <c r="CN112" s="313">
        <f t="shared" si="152"/>
        <v>-3.0737327188940098</v>
      </c>
      <c r="CO112" s="313">
        <f t="shared" si="152"/>
        <v>38.178082191780824</v>
      </c>
      <c r="CP112" s="575">
        <f t="shared" si="152"/>
        <v>2.7657366377585069</v>
      </c>
      <c r="CQ112" s="313">
        <f t="shared" si="153"/>
        <v>-0.88009858164558175</v>
      </c>
      <c r="CR112" s="313">
        <f t="shared" si="153"/>
        <v>-2.848309007142857</v>
      </c>
      <c r="CS112" s="313">
        <f t="shared" si="153"/>
        <v>24.111111111111111</v>
      </c>
      <c r="CT112" s="313">
        <f t="shared" si="153"/>
        <v>-0.13144563216783223</v>
      </c>
      <c r="CU112" s="575">
        <f t="shared" si="153"/>
        <v>-1.5036535885604909</v>
      </c>
      <c r="CV112" s="313">
        <f t="shared" si="154"/>
        <v>-3.7551158445039445</v>
      </c>
      <c r="CW112" s="313">
        <f t="shared" si="154"/>
        <v>-0.70044140462428328</v>
      </c>
      <c r="CX112" s="313">
        <f t="shared" si="154"/>
        <v>-0.99887287345132747</v>
      </c>
      <c r="CY112" s="313">
        <f t="shared" si="154"/>
        <v>-0.2834327413135691</v>
      </c>
      <c r="CZ112" s="575">
        <f t="shared" si="154"/>
        <v>-5.3525150281466107</v>
      </c>
      <c r="DA112" s="704">
        <f t="shared" si="154"/>
        <v>-1.2554452454053107</v>
      </c>
      <c r="DB112" s="704">
        <f t="shared" si="154"/>
        <v>-1.7715635504545229</v>
      </c>
      <c r="DC112" s="704">
        <f t="shared" si="154"/>
        <v>-3.4447906925984322</v>
      </c>
      <c r="DD112" s="704">
        <f t="shared" si="154"/>
        <v>-0.4985464157303372</v>
      </c>
      <c r="DE112" s="705">
        <f t="shared" si="154"/>
        <v>-0.80354697234365191</v>
      </c>
      <c r="DF112" s="704">
        <f t="shared" si="155"/>
        <v>-2.4144003999999999</v>
      </c>
      <c r="DG112" s="704">
        <f t="shared" si="155"/>
        <v>-2.6616729540915136</v>
      </c>
      <c r="DH112" s="704">
        <f t="shared" si="155"/>
        <v>44.263110364616928</v>
      </c>
      <c r="DI112" s="704">
        <f t="shared" si="155"/>
        <v>-1.4734036235197503</v>
      </c>
      <c r="DJ112" s="705">
        <f t="shared" si="155"/>
        <v>0.69140686073461799</v>
      </c>
      <c r="DK112" s="704">
        <f t="shared" si="155"/>
        <v>-7.1119019762720663</v>
      </c>
      <c r="DL112" s="704">
        <f t="shared" si="155"/>
        <v>1.6658889473234195</v>
      </c>
      <c r="DM112" s="704">
        <f t="shared" si="155"/>
        <v>-0.71991986048171386</v>
      </c>
      <c r="DN112" s="704">
        <f t="shared" si="155"/>
        <v>3.3188237529821611</v>
      </c>
      <c r="DO112" s="705">
        <f t="shared" si="155"/>
        <v>-1.7248578716483787</v>
      </c>
      <c r="DP112" s="704">
        <f t="shared" si="156"/>
        <v>1.984579056819006</v>
      </c>
      <c r="DQ112" s="704">
        <f t="shared" si="156"/>
        <v>-1.4791693380497335</v>
      </c>
      <c r="DR112" s="704">
        <f t="shared" si="156"/>
        <v>-2.0643301416779885</v>
      </c>
      <c r="DS112" s="704">
        <f t="shared" si="156"/>
        <v>-2.1552181609825096</v>
      </c>
      <c r="DT112" s="705">
        <f t="shared" si="156"/>
        <v>-0.37996171753462826</v>
      </c>
      <c r="DU112" s="704">
        <f t="shared" si="156"/>
        <v>-1</v>
      </c>
      <c r="DV112" s="704">
        <f t="shared" si="156"/>
        <v>-1</v>
      </c>
      <c r="DW112" s="704">
        <f t="shared" si="156"/>
        <v>-1</v>
      </c>
      <c r="DX112" s="704">
        <f t="shared" si="156"/>
        <v>-1</v>
      </c>
      <c r="DY112" s="705">
        <f t="shared" si="156"/>
        <v>1.1645021645021636</v>
      </c>
      <c r="DZ112" s="704" t="str">
        <f t="shared" si="157"/>
        <v>N/A</v>
      </c>
      <c r="EA112" s="704" t="str">
        <f t="shared" si="157"/>
        <v>N/A</v>
      </c>
      <c r="EB112" s="704" t="str">
        <f t="shared" si="157"/>
        <v>N/A</v>
      </c>
      <c r="EC112" s="704" t="str">
        <f t="shared" si="157"/>
        <v>N/A</v>
      </c>
      <c r="ED112" s="705">
        <f t="shared" si="157"/>
        <v>-1</v>
      </c>
      <c r="EE112" s="704" t="str">
        <f t="shared" si="157"/>
        <v>N/A</v>
      </c>
      <c r="EF112" s="704" t="str">
        <f t="shared" si="157"/>
        <v>N/A</v>
      </c>
      <c r="EG112" s="704" t="str">
        <f t="shared" si="157"/>
        <v>N/A</v>
      </c>
      <c r="EH112" s="704" t="str">
        <f t="shared" si="157"/>
        <v>N/A</v>
      </c>
      <c r="EI112" s="705" t="str">
        <f t="shared" si="157"/>
        <v>N/A</v>
      </c>
      <c r="EJ112" s="705" t="str">
        <f t="shared" si="158"/>
        <v>N/A</v>
      </c>
      <c r="EK112" s="705" t="str">
        <f t="shared" si="158"/>
        <v>N/A</v>
      </c>
    </row>
    <row r="113" spans="2:141" hidden="1" outlineLevel="1">
      <c r="B113" s="7" t="s">
        <v>183</v>
      </c>
      <c r="C113" s="27"/>
      <c r="D113" s="585"/>
      <c r="E113" s="586">
        <f t="shared" ref="E113:O113" si="159">+E106+E109+E110+E111+E112</f>
        <v>-1.8742499999999971</v>
      </c>
      <c r="F113" s="586">
        <f t="shared" si="159"/>
        <v>-1.9507500000000084</v>
      </c>
      <c r="G113" s="59">
        <f t="shared" si="159"/>
        <v>-1.4466864300000113</v>
      </c>
      <c r="H113" s="59">
        <f t="shared" si="159"/>
        <v>5.179686430000034</v>
      </c>
      <c r="I113" s="585">
        <f>I106+I109+I110+I111+I112</f>
        <v>-9.1999999999974436E-2</v>
      </c>
      <c r="J113" s="59">
        <f t="shared" si="159"/>
        <v>-1.4999999999999947</v>
      </c>
      <c r="K113" s="59">
        <f t="shared" si="159"/>
        <v>-2.400000000000003</v>
      </c>
      <c r="L113" s="59">
        <f t="shared" si="159"/>
        <v>-5.7595270400000098</v>
      </c>
      <c r="M113" s="59">
        <f t="shared" si="159"/>
        <v>-4.3361124179109236</v>
      </c>
      <c r="N113" s="585">
        <f>N106+N109+N110+N111+N112</f>
        <v>-13.995639457910995</v>
      </c>
      <c r="O113" s="59">
        <f t="shared" si="159"/>
        <v>-2.9950129562404957</v>
      </c>
      <c r="P113" s="59">
        <f>+P106+P109+P110+P111+P112</f>
        <v>7.6000000000000165</v>
      </c>
      <c r="Q113" s="59">
        <f>+Q106+Q109+Q110+Q111+Q112</f>
        <v>-11.900000000000006</v>
      </c>
      <c r="R113" s="59">
        <f>+R106+R109+R110+R111+R112</f>
        <v>-58.199999999999989</v>
      </c>
      <c r="S113" s="585">
        <f>S106+S109+S110+S111+S112</f>
        <v>-65.495012956240544</v>
      </c>
      <c r="T113" s="587">
        <f>+T106+T109+T110+T111+T112</f>
        <v>12.000000000000007</v>
      </c>
      <c r="U113" s="59">
        <f>+U106+U109+U110+U111+U112</f>
        <v>-17.416405200000021</v>
      </c>
      <c r="V113" s="59">
        <f>+V106+V109+V110+V111+V112</f>
        <v>-20.808829409999984</v>
      </c>
      <c r="W113" s="59">
        <f>+W106+W109+W110+W111+W112</f>
        <v>17.399999999999984</v>
      </c>
      <c r="X113" s="59">
        <f>+X106+X109+X110+X111+X112</f>
        <v>4.6234908000000097</v>
      </c>
      <c r="Y113" s="718">
        <f>Y106+Y109+Y110+Y111+Y112</f>
        <v>-16.201743809999975</v>
      </c>
      <c r="Z113" s="719">
        <f>+Z106+Z109+Z110+Z111+Z112</f>
        <v>-2.4046025000000011</v>
      </c>
      <c r="AA113" s="719">
        <f>+AA106+AA109+AA110+AA111+AA112</f>
        <v>-4.8530776799999851</v>
      </c>
      <c r="AB113" s="719">
        <f>+AB106+AB109+AB110+AB111+AB112</f>
        <v>-1.5596888500000432</v>
      </c>
      <c r="AC113" s="719">
        <f>+AC106+AC109+AC110+AC111+AC112</f>
        <v>-19.900000000000006</v>
      </c>
      <c r="AD113" s="718">
        <f>AD106+AD109+AD110+AD111+AD112</f>
        <v>-28.740759860000026</v>
      </c>
      <c r="AE113" s="719">
        <f t="shared" ref="AE113:AJ113" si="160">+AE106+AE109+AE110+AE111+AE112</f>
        <v>8.5217942399999842</v>
      </c>
      <c r="AF113" s="719">
        <f t="shared" si="160"/>
        <v>-34.654628450000018</v>
      </c>
      <c r="AG113" s="719">
        <f t="shared" si="160"/>
        <v>-2.476160109999991</v>
      </c>
      <c r="AH113" s="719">
        <f t="shared" si="160"/>
        <v>-145.45358778999992</v>
      </c>
      <c r="AI113" s="718">
        <f>AI106+AI109+AI110+AI111+AI112</f>
        <v>-171.07461907799956</v>
      </c>
      <c r="AJ113" s="719">
        <f t="shared" si="160"/>
        <v>-9.6335912700000179</v>
      </c>
      <c r="AK113" s="719">
        <f>+AK106+AK109+AK110+AK111+AK112</f>
        <v>-9.8186047600000101</v>
      </c>
      <c r="AL113" s="719">
        <f>+AL106+AL109+AL110+AL111+AL112</f>
        <v>-10.120892639999973</v>
      </c>
      <c r="AM113" s="719">
        <f>+AM106+AM109+AM110+AM111+AM112</f>
        <v>-7.2383366100000606</v>
      </c>
      <c r="AN113" s="718">
        <f>AN106+AN109+AN110+AN111+AN112</f>
        <v>-36.811425280000051</v>
      </c>
      <c r="AO113" s="719">
        <f>+AO106+AO109+AO110+AO111+AO112</f>
        <v>-5.4419476600000216</v>
      </c>
      <c r="AP113" s="719">
        <f>+AP106+AP109+AP110+AP111+AP112</f>
        <v>-17.391243030000005</v>
      </c>
      <c r="AQ113" s="719">
        <f>+AQ106+AQ109+AQ110+AQ111+AQ112</f>
        <v>-12.455112609999981</v>
      </c>
      <c r="AR113" s="719">
        <f>+AR106+AR109+AR110+AR111+AR112</f>
        <v>-157.58594939</v>
      </c>
      <c r="AS113" s="718">
        <f>AS106+AS109+AS110+AS111+AS112</f>
        <v>-186.16168407999996</v>
      </c>
      <c r="AT113" s="719">
        <f>+AT106+AT109+AT110+AT111+AT112</f>
        <v>-17.416540569999992</v>
      </c>
      <c r="AU113" s="719">
        <f>+AU106+AU109+AU110+AU111+AU112</f>
        <v>-24.267194060000001</v>
      </c>
      <c r="AV113" s="719">
        <f>+AV106+AV109+AV110+AV111+AV112</f>
        <v>-10.327265370000021</v>
      </c>
      <c r="AW113" s="719">
        <f>+AW106+AW109+AW110+AW111+AW112</f>
        <v>-40.584999999999994</v>
      </c>
      <c r="AX113" s="718">
        <f ca="1">AX106+AX109+AX110+AX111+AX112</f>
        <v>-92.559000000000026</v>
      </c>
      <c r="AY113" s="719">
        <f>+AY106+AY109+AY110+AY111+AY112</f>
        <v>47.304000000000002</v>
      </c>
      <c r="AZ113" s="719">
        <f>+AZ106+AZ109+AZ110+AZ111+AZ112</f>
        <v>46.451999999999998</v>
      </c>
      <c r="BA113" s="719">
        <f>+BA106+BA109+BA110+BA111+BA112</f>
        <v>44.944999999999993</v>
      </c>
      <c r="BB113" s="719">
        <f>+BB106+BB109+BB110+BB111+BB112</f>
        <v>24.599000000000018</v>
      </c>
      <c r="BC113" s="718">
        <f ca="1">BC106+BC109+BC110+BC111+BC112</f>
        <v>-125.09682117999998</v>
      </c>
      <c r="BD113" s="719">
        <f>+BD106+BD109+BD110+BD111+BD112</f>
        <v>41.000999999999998</v>
      </c>
      <c r="BE113" s="719">
        <f>+BE106+BE109+BE110+BE111+BE112</f>
        <v>45.776782299999986</v>
      </c>
      <c r="BF113" s="719">
        <f>+BF106+BF109+BF110+BF111+BF112</f>
        <v>36.096445570000029</v>
      </c>
      <c r="BG113" s="719">
        <f>+BG106+BG109+BG110+BG111+BG112</f>
        <v>20.5</v>
      </c>
      <c r="BH113" s="718">
        <f>BH106+BH109+BH110+BH111+BH112</f>
        <v>-91.322205669848131</v>
      </c>
      <c r="BI113" s="719"/>
      <c r="BJ113" s="719"/>
      <c r="BK113" s="719"/>
      <c r="BL113" s="719"/>
      <c r="BM113" s="718">
        <f ca="1">BM106+BM109+BM110+BM111+BM112</f>
        <v>-106.7072964161475</v>
      </c>
      <c r="BN113" s="718">
        <f ca="1">BN106+BN109+BN110+BN111+BN112</f>
        <v>-73.298509209114968</v>
      </c>
      <c r="BO113" s="718">
        <f ca="1">BO106+BO109+BO110+BO111+BO112</f>
        <v>189.68398168306288</v>
      </c>
      <c r="BP113" s="9"/>
      <c r="BQ113" s="660">
        <v>1.391700365760288</v>
      </c>
      <c r="BR113" s="896">
        <f>$AR113/BQ113-1</f>
        <v>-114.23267081553905</v>
      </c>
      <c r="BS113" s="660"/>
      <c r="BT113" s="660"/>
      <c r="BU113" s="27"/>
      <c r="BV113" s="27">
        <v>-3.8250000000000188</v>
      </c>
      <c r="BW113" s="27">
        <v>-3.8110000000000035</v>
      </c>
      <c r="BX113" s="27"/>
      <c r="BY113" s="27">
        <v>-20.5</v>
      </c>
      <c r="BZ113" s="27">
        <v>23.2</v>
      </c>
      <c r="CA113" s="27">
        <v>-4.499999999994897E-2</v>
      </c>
      <c r="CB113" s="27">
        <v>-13.916639457910934</v>
      </c>
      <c r="CC113" s="7"/>
      <c r="CD113" s="7"/>
      <c r="CE113" s="7"/>
      <c r="CF113" s="7"/>
      <c r="CG113" s="588">
        <f t="shared" si="152"/>
        <v>-0.19967987194878112</v>
      </c>
      <c r="CH113" s="588">
        <f t="shared" si="152"/>
        <v>0.23029603998461745</v>
      </c>
      <c r="CI113" s="588">
        <f t="shared" si="152"/>
        <v>2.9811855012699366</v>
      </c>
      <c r="CJ113" s="588">
        <f t="shared" si="152"/>
        <v>-1.8371380153047014</v>
      </c>
      <c r="CK113" s="589">
        <f t="shared" si="152"/>
        <v>151.1265158469009</v>
      </c>
      <c r="CL113" s="588">
        <f t="shared" si="152"/>
        <v>0.99667530416033756</v>
      </c>
      <c r="CM113" s="588">
        <f t="shared" si="152"/>
        <v>-4.1666666666666696</v>
      </c>
      <c r="CN113" s="588">
        <f t="shared" si="152"/>
        <v>1.0661418754273244</v>
      </c>
      <c r="CO113" s="588">
        <f t="shared" si="152"/>
        <v>12.422161233550284</v>
      </c>
      <c r="CP113" s="589">
        <f t="shared" si="152"/>
        <v>3.679672776167414</v>
      </c>
      <c r="CQ113" s="588">
        <f t="shared" si="153"/>
        <v>4.815135177866491</v>
      </c>
      <c r="CR113" s="588">
        <f t="shared" si="153"/>
        <v>-3.7380038697368341</v>
      </c>
      <c r="CS113" s="588">
        <f t="shared" si="153"/>
        <v>-2.4621848739495777</v>
      </c>
      <c r="CT113" s="588">
        <f t="shared" si="153"/>
        <v>-1.0794414226804125</v>
      </c>
      <c r="CU113" s="589">
        <f t="shared" si="153"/>
        <v>-0.75262629811486692</v>
      </c>
      <c r="CV113" s="588">
        <f t="shared" si="154"/>
        <v>-0.86193462586642178</v>
      </c>
      <c r="CW113" s="588">
        <f t="shared" si="154"/>
        <v>-0.76677795831860829</v>
      </c>
      <c r="CX113" s="588">
        <f t="shared" si="154"/>
        <v>-1.0896372902298876</v>
      </c>
      <c r="CY113" s="588">
        <f t="shared" si="154"/>
        <v>-5.3041071910427426</v>
      </c>
      <c r="CZ113" s="589">
        <f t="shared" si="154"/>
        <v>0.77393002858499527</v>
      </c>
      <c r="DA113" s="716">
        <f t="shared" si="154"/>
        <v>-4.5439513349919505</v>
      </c>
      <c r="DB113" s="716">
        <f t="shared" si="154"/>
        <v>6.1407528861149663</v>
      </c>
      <c r="DC113" s="716">
        <f t="shared" si="154"/>
        <v>0.58759877651232961</v>
      </c>
      <c r="DD113" s="716">
        <f t="shared" si="154"/>
        <v>6.3092255170854203</v>
      </c>
      <c r="DE113" s="717">
        <f t="shared" si="154"/>
        <v>4.9523345907111098</v>
      </c>
      <c r="DF113" s="716">
        <f t="shared" si="155"/>
        <v>-2.1304651343001724</v>
      </c>
      <c r="DG113" s="716">
        <f t="shared" si="155"/>
        <v>-0.71667262933820308</v>
      </c>
      <c r="DH113" s="716">
        <f t="shared" si="155"/>
        <v>3.0873336902273287</v>
      </c>
      <c r="DI113" s="716">
        <f t="shared" si="155"/>
        <v>-0.95023610816358495</v>
      </c>
      <c r="DJ113" s="717">
        <f t="shared" si="155"/>
        <v>-0.78482240394049163</v>
      </c>
      <c r="DK113" s="716">
        <f t="shared" si="155"/>
        <v>-0.4351070636610046</v>
      </c>
      <c r="DL113" s="716">
        <f t="shared" si="155"/>
        <v>0.77125400758060336</v>
      </c>
      <c r="DM113" s="716">
        <f t="shared" si="155"/>
        <v>0.23063380405545075</v>
      </c>
      <c r="DN113" s="716">
        <f t="shared" si="155"/>
        <v>20.771017000271652</v>
      </c>
      <c r="DO113" s="717">
        <f t="shared" si="155"/>
        <v>4.0571713174372288</v>
      </c>
      <c r="DP113" s="716">
        <f t="shared" si="156"/>
        <v>2.2004241235204973</v>
      </c>
      <c r="DQ113" s="716">
        <f t="shared" si="156"/>
        <v>0.39536857820564841</v>
      </c>
      <c r="DR113" s="716">
        <f t="shared" si="156"/>
        <v>-0.17084126869246863</v>
      </c>
      <c r="DS113" s="716">
        <f t="shared" si="156"/>
        <v>-0.74245800366656667</v>
      </c>
      <c r="DT113" s="717">
        <f t="shared" ca="1" si="156"/>
        <v>-0.50280316565988792</v>
      </c>
      <c r="DU113" s="716">
        <f t="shared" si="156"/>
        <v>-3.7160388028769149</v>
      </c>
      <c r="DV113" s="716">
        <f t="shared" si="156"/>
        <v>-2.9141891676948166</v>
      </c>
      <c r="DW113" s="716">
        <f t="shared" si="156"/>
        <v>-5.3520717624398477</v>
      </c>
      <c r="DX113" s="716">
        <f t="shared" si="156"/>
        <v>-1.6061106320068996</v>
      </c>
      <c r="DY113" s="717">
        <f t="shared" ca="1" si="156"/>
        <v>0.35153600600697876</v>
      </c>
      <c r="DZ113" s="716">
        <f t="shared" si="157"/>
        <v>-0.13324454591577883</v>
      </c>
      <c r="EA113" s="716">
        <f t="shared" si="157"/>
        <v>-1.4535815465426927E-2</v>
      </c>
      <c r="EB113" s="716">
        <f t="shared" si="157"/>
        <v>-0.19687516809433681</v>
      </c>
      <c r="EC113" s="716">
        <f t="shared" si="157"/>
        <v>-0.16663278995081166</v>
      </c>
      <c r="ED113" s="717">
        <f t="shared" ca="1" si="157"/>
        <v>-0.26998779978233056</v>
      </c>
      <c r="EE113" s="716">
        <f t="shared" si="157"/>
        <v>-1</v>
      </c>
      <c r="EF113" s="716">
        <f t="shared" si="157"/>
        <v>-1</v>
      </c>
      <c r="EG113" s="716">
        <f t="shared" si="157"/>
        <v>-1</v>
      </c>
      <c r="EH113" s="716">
        <f t="shared" si="157"/>
        <v>-1</v>
      </c>
      <c r="EI113" s="717">
        <f t="shared" ca="1" si="157"/>
        <v>0.16847042439951787</v>
      </c>
      <c r="EJ113" s="717">
        <f t="shared" ca="1" si="158"/>
        <v>-0.31308812357818239</v>
      </c>
      <c r="EK113" s="717">
        <f t="shared" ca="1" si="158"/>
        <v>-3.5878286438528946</v>
      </c>
    </row>
    <row r="114" spans="2:141" hidden="1" outlineLevel="1">
      <c r="B114" s="6" t="s">
        <v>26</v>
      </c>
      <c r="C114" s="34"/>
      <c r="D114" s="553"/>
      <c r="E114" s="78">
        <f t="shared" ref="E114:AM114" si="161">+E113/E66</f>
        <v>-3.7362272407595473E-2</v>
      </c>
      <c r="F114" s="78">
        <f t="shared" si="161"/>
        <v>-3.7362272407595695E-2</v>
      </c>
      <c r="G114" s="78">
        <f t="shared" si="161"/>
        <v>-2.830657557875204E-2</v>
      </c>
      <c r="H114" s="78">
        <f t="shared" si="161"/>
        <v>9.8252313888790035E-2</v>
      </c>
      <c r="I114" s="553">
        <f t="shared" si="161"/>
        <v>-4.4616444069395272E-4</v>
      </c>
      <c r="J114" s="78">
        <f t="shared" si="161"/>
        <v>-2.8625954198473177E-2</v>
      </c>
      <c r="K114" s="78">
        <f t="shared" si="161"/>
        <v>-4.5283018867924588E-2</v>
      </c>
      <c r="L114" s="78">
        <f t="shared" si="161"/>
        <v>-0.10684806325213009</v>
      </c>
      <c r="M114" s="78">
        <f t="shared" si="161"/>
        <v>-8.078813794360977E-2</v>
      </c>
      <c r="N114" s="553">
        <f t="shared" si="161"/>
        <v>-6.5714467011774969E-2</v>
      </c>
      <c r="O114" s="78">
        <f t="shared" si="161"/>
        <v>-5.58612903228407E-2</v>
      </c>
      <c r="P114" s="78">
        <f t="shared" si="161"/>
        <v>0.13996316758747726</v>
      </c>
      <c r="Q114" s="78">
        <f t="shared" si="161"/>
        <v>-0.16081081081081089</v>
      </c>
      <c r="R114" s="78">
        <f t="shared" si="161"/>
        <v>-0.60061919504643946</v>
      </c>
      <c r="S114" s="553">
        <f t="shared" si="161"/>
        <v>-0.2349047627566665</v>
      </c>
      <c r="T114" s="567">
        <f t="shared" si="161"/>
        <v>0.10849909584086806</v>
      </c>
      <c r="U114" s="78">
        <f t="shared" si="161"/>
        <v>-0.15001210335917331</v>
      </c>
      <c r="V114" s="78">
        <f t="shared" si="161"/>
        <v>-0.17355153803169293</v>
      </c>
      <c r="W114" s="78">
        <f t="shared" si="161"/>
        <v>0.14720812182741103</v>
      </c>
      <c r="X114" s="78">
        <f t="shared" si="161"/>
        <v>3.7256170829975906E-2</v>
      </c>
      <c r="Y114" s="553">
        <f t="shared" si="161"/>
        <v>-3.3873601944386315E-2</v>
      </c>
      <c r="Z114" s="78">
        <f t="shared" si="161"/>
        <v>-1.9872747933884306E-2</v>
      </c>
      <c r="AA114" s="78">
        <f t="shared" si="161"/>
        <v>-3.9021451767522329E-2</v>
      </c>
      <c r="AB114" s="78">
        <f t="shared" si="161"/>
        <v>-1.2653144453955566E-2</v>
      </c>
      <c r="AC114" s="78">
        <f t="shared" si="161"/>
        <v>-0.15522620904836198</v>
      </c>
      <c r="AD114" s="553">
        <f t="shared" si="161"/>
        <v>-5.7847765346183445E-2</v>
      </c>
      <c r="AE114" s="78">
        <f t="shared" si="161"/>
        <v>6.9058300162074426E-2</v>
      </c>
      <c r="AF114" s="78">
        <f t="shared" si="161"/>
        <v>-0.29722601198408577</v>
      </c>
      <c r="AG114" s="78">
        <f t="shared" si="161"/>
        <v>-1.938630475232208E-2</v>
      </c>
      <c r="AH114" s="78">
        <f t="shared" si="161"/>
        <v>-1.1486605835378023</v>
      </c>
      <c r="AI114" s="553">
        <f t="shared" si="161"/>
        <v>-0.34606836441659999</v>
      </c>
      <c r="AJ114" s="78">
        <f t="shared" si="161"/>
        <v>-8.018607092406152E-2</v>
      </c>
      <c r="AK114" s="78">
        <f t="shared" si="161"/>
        <v>-7.7717927926820835E-2</v>
      </c>
      <c r="AL114" s="78">
        <f t="shared" si="161"/>
        <v>-8.2137912251164111E-2</v>
      </c>
      <c r="AM114" s="78">
        <f t="shared" si="161"/>
        <v>-5.5804173899609809E-2</v>
      </c>
      <c r="AN114" s="553">
        <f>AN113/AN66</f>
        <v>-7.3710602492706057E-2</v>
      </c>
      <c r="AO114" s="78">
        <f>+AO113/AO66</f>
        <v>-4.5923608945147867E-2</v>
      </c>
      <c r="AP114" s="78">
        <f>+AP113/AP66</f>
        <v>-0.14504789849874902</v>
      </c>
      <c r="AQ114" s="78">
        <f>+AQ113/AQ66</f>
        <v>-0.105106435527426</v>
      </c>
      <c r="AR114" s="78">
        <f>+AR113/AR66</f>
        <v>-1.2801458114541024</v>
      </c>
      <c r="AS114" s="553">
        <f>AS113/AS66</f>
        <v>-0.38783684183333322</v>
      </c>
      <c r="AT114" s="78">
        <f>+AT113/AT66</f>
        <v>-0.14475495127324969</v>
      </c>
      <c r="AU114" s="78">
        <f>+AU113/AU66</f>
        <v>-0.20759180393334817</v>
      </c>
      <c r="AV114" s="78">
        <f>+AV113/AV66</f>
        <v>-9.0096500050722644E-2</v>
      </c>
      <c r="AW114" s="78">
        <f>+AW113/AW66</f>
        <v>-0.36562025080346533</v>
      </c>
      <c r="AX114" s="553">
        <f ca="1">AX113/AX66</f>
        <v>-0.1999789721437778</v>
      </c>
      <c r="AY114" s="78">
        <f>+AY113/AY66</f>
        <v>0.42444454144350519</v>
      </c>
      <c r="AZ114" s="78">
        <f>+AZ113/AZ66</f>
        <v>0.41259780724417472</v>
      </c>
      <c r="BA114" s="78">
        <f>+BA113/BA66</f>
        <v>0.40701627995443906</v>
      </c>
      <c r="BB114" s="78">
        <f>+BB113/BB66</f>
        <v>0.21948256543805977</v>
      </c>
      <c r="BC114" s="553">
        <f ca="1">BC113/BC66</f>
        <v>-0.28014933799008307</v>
      </c>
      <c r="BD114" s="78">
        <f>+BD113/BD66</f>
        <v>0.37004512635379061</v>
      </c>
      <c r="BE114" s="78">
        <f>+BE113/BE66</f>
        <v>0.41461122580041881</v>
      </c>
      <c r="BF114" s="78">
        <f>+BF113/BF66</f>
        <v>0.32407993995242762</v>
      </c>
      <c r="BG114" s="78">
        <f>+BG113/BG66</f>
        <v>0.17158978883349174</v>
      </c>
      <c r="BH114" s="553">
        <f>BH113/BH66</f>
        <v>-0.20201292067219828</v>
      </c>
      <c r="BI114" s="78"/>
      <c r="BJ114" s="78"/>
      <c r="BK114" s="78"/>
      <c r="BL114" s="78"/>
      <c r="BM114" s="553">
        <f ca="1">BM113/BM66</f>
        <v>-0.24594606557673179</v>
      </c>
      <c r="BN114" s="553">
        <f ca="1">BN113/BN66</f>
        <v>-0.1688324022155544</v>
      </c>
      <c r="BO114" s="553">
        <f ca="1">BO113/BO66</f>
        <v>0.40984231352938566</v>
      </c>
      <c r="BP114" s="633"/>
      <c r="BQ114" s="563">
        <v>1.2017544902992379E-2</v>
      </c>
      <c r="BR114" s="563"/>
      <c r="BS114" s="563"/>
      <c r="BT114" s="563"/>
      <c r="BU114" s="218"/>
      <c r="BV114" s="218">
        <v>-3.7362272407595716E-2</v>
      </c>
      <c r="BW114" s="218">
        <v>-3.615818136966549E-2</v>
      </c>
      <c r="BX114" s="218"/>
      <c r="BY114" s="218">
        <v>-0.1</v>
      </c>
      <c r="BZ114" s="218">
        <v>0.113</v>
      </c>
      <c r="CA114" s="218">
        <v>-2.1821144203794439E-4</v>
      </c>
      <c r="CB114" s="218">
        <v>-6.5338011998255063E-2</v>
      </c>
      <c r="DA114" s="708"/>
      <c r="DB114" s="708"/>
      <c r="DC114" s="708"/>
      <c r="DD114" s="708"/>
      <c r="DE114" s="709"/>
      <c r="DF114" s="708"/>
      <c r="DG114" s="708"/>
      <c r="DH114" s="708"/>
      <c r="DI114" s="708"/>
      <c r="DJ114" s="709"/>
      <c r="DK114" s="708"/>
      <c r="DL114" s="708"/>
      <c r="DM114" s="708"/>
      <c r="DN114" s="708"/>
      <c r="DO114" s="709"/>
      <c r="DP114" s="708"/>
      <c r="DQ114" s="708"/>
      <c r="DR114" s="708"/>
      <c r="DS114" s="708"/>
      <c r="DT114" s="709"/>
      <c r="DU114" s="708"/>
      <c r="DV114" s="708"/>
      <c r="DW114" s="708"/>
      <c r="DX114" s="708"/>
      <c r="DY114" s="709"/>
      <c r="DZ114" s="708"/>
      <c r="EA114" s="708"/>
      <c r="EB114" s="708"/>
      <c r="EC114" s="708"/>
      <c r="ED114" s="709"/>
      <c r="EE114" s="708"/>
      <c r="EF114" s="708"/>
      <c r="EG114" s="708"/>
      <c r="EH114" s="708"/>
      <c r="EI114" s="709"/>
      <c r="EJ114" s="709"/>
      <c r="EK114" s="709"/>
    </row>
    <row r="115" spans="2:141" hidden="1" outlineLevel="1">
      <c r="B115" s="6"/>
      <c r="C115" s="34"/>
      <c r="D115" s="553"/>
      <c r="E115" s="78"/>
      <c r="F115" s="78"/>
      <c r="G115" s="78"/>
      <c r="H115" s="78"/>
      <c r="I115" s="553"/>
      <c r="J115" s="78"/>
      <c r="K115" s="78"/>
      <c r="L115" s="78"/>
      <c r="M115" s="78"/>
      <c r="N115" s="553"/>
      <c r="O115" s="78"/>
      <c r="P115" s="78"/>
      <c r="Q115" s="78"/>
      <c r="R115" s="78"/>
      <c r="S115" s="553"/>
      <c r="T115" s="567"/>
      <c r="U115" s="78"/>
      <c r="V115" s="78"/>
      <c r="W115" s="78"/>
      <c r="X115" s="78"/>
      <c r="Y115" s="553"/>
      <c r="Z115" s="78"/>
      <c r="AA115" s="78"/>
      <c r="AB115" s="78"/>
      <c r="AC115" s="78"/>
      <c r="AD115" s="553"/>
      <c r="AE115" s="78"/>
      <c r="AF115" s="78"/>
      <c r="AG115" s="78"/>
      <c r="AH115" s="78"/>
      <c r="AI115" s="553"/>
      <c r="AJ115" s="78"/>
      <c r="AK115" s="78"/>
      <c r="AL115" s="78"/>
      <c r="AM115" s="78"/>
      <c r="AN115" s="553"/>
      <c r="AO115" s="78"/>
      <c r="AP115" s="78"/>
      <c r="AQ115" s="78"/>
      <c r="AR115" s="78"/>
      <c r="AS115" s="553"/>
      <c r="AT115" s="78"/>
      <c r="AU115" s="78"/>
      <c r="AV115" s="78"/>
      <c r="AW115" s="78"/>
      <c r="AX115" s="553"/>
      <c r="AY115" s="78"/>
      <c r="AZ115" s="78"/>
      <c r="BA115" s="78"/>
      <c r="BB115" s="78"/>
      <c r="BC115" s="553"/>
      <c r="BD115" s="78"/>
      <c r="BE115" s="78"/>
      <c r="BF115" s="78"/>
      <c r="BG115" s="78"/>
      <c r="BH115" s="553"/>
      <c r="BI115" s="78"/>
      <c r="BJ115" s="78"/>
      <c r="BK115" s="78"/>
      <c r="BL115" s="78"/>
      <c r="BM115" s="553"/>
      <c r="BN115" s="553"/>
      <c r="BO115" s="553"/>
      <c r="BP115" s="633"/>
      <c r="BQ115" s="563"/>
      <c r="BR115" s="563"/>
      <c r="BS115" s="563"/>
      <c r="BT115" s="563"/>
      <c r="BU115" s="218"/>
      <c r="BV115" s="218"/>
      <c r="BW115" s="218"/>
      <c r="BX115" s="218"/>
      <c r="BY115" s="218"/>
      <c r="BZ115" s="218"/>
      <c r="CA115" s="218"/>
      <c r="CB115" s="218"/>
      <c r="DA115" s="708"/>
      <c r="DB115" s="708"/>
      <c r="DC115" s="708"/>
      <c r="DD115" s="708"/>
      <c r="DE115" s="709"/>
      <c r="DF115" s="708"/>
      <c r="DG115" s="708"/>
      <c r="DH115" s="708"/>
      <c r="DI115" s="708"/>
      <c r="DJ115" s="709"/>
      <c r="DK115" s="708"/>
      <c r="DL115" s="708"/>
      <c r="DM115" s="708"/>
      <c r="DN115" s="708"/>
      <c r="DO115" s="709"/>
      <c r="DP115" s="708"/>
      <c r="DQ115" s="708"/>
      <c r="DR115" s="708"/>
      <c r="DS115" s="708"/>
      <c r="DT115" s="709"/>
      <c r="DU115" s="708"/>
      <c r="DV115" s="708"/>
      <c r="DW115" s="708"/>
      <c r="DX115" s="708"/>
      <c r="DY115" s="709"/>
      <c r="DZ115" s="708"/>
      <c r="EA115" s="708"/>
      <c r="EB115" s="708"/>
      <c r="EC115" s="708"/>
      <c r="ED115" s="709"/>
      <c r="EE115" s="708"/>
      <c r="EF115" s="708"/>
      <c r="EG115" s="708"/>
      <c r="EH115" s="708"/>
      <c r="EI115" s="709"/>
      <c r="EJ115" s="709"/>
      <c r="EK115" s="709"/>
    </row>
    <row r="116" spans="2:141" hidden="1" outlineLevel="1">
      <c r="B116" s="212" t="s">
        <v>86</v>
      </c>
      <c r="C116" s="314"/>
      <c r="D116" s="559"/>
      <c r="E116" s="832">
        <f>+BV116*0.49</f>
        <v>-0.63700000000000001</v>
      </c>
      <c r="F116" s="832">
        <f>+BV116-E116</f>
        <v>-0.66300000000000003</v>
      </c>
      <c r="G116" s="802">
        <v>-6.306</v>
      </c>
      <c r="H116" s="802">
        <v>-0.9870000000000001</v>
      </c>
      <c r="I116" s="803">
        <f>SUM(E116:H116)</f>
        <v>-8.593</v>
      </c>
      <c r="J116" s="802">
        <v>-0.8</v>
      </c>
      <c r="K116" s="802">
        <v>-1</v>
      </c>
      <c r="L116" s="802">
        <v>-2.9119999999999999</v>
      </c>
      <c r="M116" s="802">
        <v>-3.2751758100000004</v>
      </c>
      <c r="N116" s="803">
        <f>SUM(J116:M116)</f>
        <v>-7.9871758100000001</v>
      </c>
      <c r="O116" s="802">
        <v>-1.9016225600000003</v>
      </c>
      <c r="P116" s="802">
        <v>-2.7</v>
      </c>
      <c r="Q116" s="802">
        <v>3.4</v>
      </c>
      <c r="R116" s="802">
        <v>0.3</v>
      </c>
      <c r="S116" s="803">
        <f>SUM(O116:R116)</f>
        <v>-0.90162256000000096</v>
      </c>
      <c r="T116" s="802"/>
      <c r="U116" s="802">
        <v>-0.29239241000000016</v>
      </c>
      <c r="V116" s="802">
        <v>-0.71354811000000029</v>
      </c>
      <c r="W116" s="802">
        <v>-1.4</v>
      </c>
      <c r="X116" s="802">
        <v>2.8</v>
      </c>
      <c r="Y116" s="803">
        <f>SUM(U116:X116)</f>
        <v>0.39405947999999924</v>
      </c>
      <c r="Z116" s="802">
        <v>-0.86592131000000006</v>
      </c>
      <c r="AA116" s="802">
        <v>-0.17177052999999989</v>
      </c>
      <c r="AB116" s="802">
        <v>3.5238963499999993</v>
      </c>
      <c r="AC116" s="802">
        <v>9.5</v>
      </c>
      <c r="AD116" s="803">
        <f>SUM(Z116:AC116)</f>
        <v>11.98620451</v>
      </c>
      <c r="AE116" s="802">
        <v>-1</v>
      </c>
      <c r="AF116" s="802">
        <v>-5.7225763299999999</v>
      </c>
      <c r="AG116" s="802">
        <v>8.1055471299999997</v>
      </c>
      <c r="AH116" s="802">
        <v>8.4675011700000002</v>
      </c>
      <c r="AI116" s="803">
        <f>SUM(AE116:AH116)</f>
        <v>9.850471970000001</v>
      </c>
      <c r="AJ116" s="802">
        <v>-0.41235441999999994</v>
      </c>
      <c r="AK116" s="802">
        <v>-9.1550709599999998</v>
      </c>
      <c r="AL116" s="802">
        <v>-1.1290923800000019</v>
      </c>
      <c r="AM116" s="802">
        <v>11.957797979999999</v>
      </c>
      <c r="AN116" s="803">
        <f>AM116+AL116+AK116+AJ116</f>
        <v>1.2612802199999977</v>
      </c>
      <c r="AO116" s="802">
        <v>0.58043505000000006</v>
      </c>
      <c r="AP116" s="802">
        <v>2.6326330699999998</v>
      </c>
      <c r="AQ116" s="802">
        <v>-1.3799665799999998</v>
      </c>
      <c r="AR116" s="802">
        <v>-1.42327029</v>
      </c>
      <c r="AS116" s="803">
        <f>AR116+AQ116+AP116+AO116</f>
        <v>0.40983124999999976</v>
      </c>
      <c r="AT116" s="802">
        <v>3.0035510099999998</v>
      </c>
      <c r="AU116" s="802">
        <v>3.1845767</v>
      </c>
      <c r="AV116" s="802">
        <f>5.981-AU116-AT116</f>
        <v>-0.20712770999999996</v>
      </c>
      <c r="AW116" s="802">
        <f>6.724-AV116-AU116-AT116</f>
        <v>0.74300000000000033</v>
      </c>
      <c r="AX116" s="803">
        <f>AW116+AV116+AU116+AT116</f>
        <v>6.7240000000000002</v>
      </c>
      <c r="AY116" s="802"/>
      <c r="AZ116" s="802"/>
      <c r="BA116" s="802"/>
      <c r="BB116" s="802"/>
      <c r="BC116" s="803">
        <f>Model!L76</f>
        <v>0.2</v>
      </c>
      <c r="BD116" s="802"/>
      <c r="BE116" s="802"/>
      <c r="BF116" s="802"/>
      <c r="BG116" s="802"/>
      <c r="BH116" s="803">
        <f ca="1">Model!M76</f>
        <v>16.130297741500218</v>
      </c>
      <c r="BI116" s="802"/>
      <c r="BJ116" s="802"/>
      <c r="BK116" s="802"/>
      <c r="BL116" s="802"/>
      <c r="BM116" s="803">
        <f ca="1">Model!N76</f>
        <v>21.512188924844249</v>
      </c>
      <c r="BN116" s="803">
        <f ca="1">Model!O76</f>
        <v>17.48955276273449</v>
      </c>
      <c r="BO116" s="803">
        <f>Model!U76</f>
        <v>0</v>
      </c>
      <c r="BP116" s="215"/>
      <c r="BQ116" s="573">
        <v>6.9561123213353477</v>
      </c>
      <c r="BR116" s="659">
        <f>$AR116/BQ116-1</f>
        <v>-1.2046071460972008</v>
      </c>
      <c r="BS116" s="573"/>
      <c r="BT116" s="573"/>
      <c r="BU116" s="218"/>
      <c r="BV116" s="218">
        <v>-1.3</v>
      </c>
      <c r="BW116" s="218">
        <v>-1.8720000000000001</v>
      </c>
      <c r="BX116" s="218"/>
      <c r="BY116" s="218">
        <v>-1.1000000000000001</v>
      </c>
      <c r="BZ116" s="218">
        <v>-2.7</v>
      </c>
      <c r="CA116" s="218">
        <v>-8.593</v>
      </c>
      <c r="CB116" s="218">
        <v>-8.0091758100000003</v>
      </c>
      <c r="CG116" s="313">
        <f t="shared" ref="CG116:CP117" si="162">IFERROR(J116/E116-1,"N/A")</f>
        <v>0.25588697017268447</v>
      </c>
      <c r="CH116" s="313">
        <f t="shared" si="162"/>
        <v>0.50829562594268474</v>
      </c>
      <c r="CI116" s="313">
        <f t="shared" si="162"/>
        <v>-0.53821757056771324</v>
      </c>
      <c r="CJ116" s="313">
        <f t="shared" si="162"/>
        <v>2.3183138905775076</v>
      </c>
      <c r="CK116" s="575">
        <f t="shared" si="162"/>
        <v>-7.0502058652391453E-2</v>
      </c>
      <c r="CL116" s="313">
        <f t="shared" si="162"/>
        <v>1.3770282000000003</v>
      </c>
      <c r="CM116" s="313">
        <f t="shared" si="162"/>
        <v>1.7000000000000002</v>
      </c>
      <c r="CN116" s="313">
        <f t="shared" si="162"/>
        <v>-2.1675824175824179</v>
      </c>
      <c r="CO116" s="313">
        <f t="shared" si="162"/>
        <v>-1.0915981362234108</v>
      </c>
      <c r="CP116" s="575">
        <f t="shared" si="162"/>
        <v>-0.88711622462708739</v>
      </c>
      <c r="CQ116" s="313">
        <f t="shared" ref="CQ116:CU117" si="163">IFERROR(U116/O116-1,"N/A")</f>
        <v>-0.84624056521500246</v>
      </c>
      <c r="CR116" s="313">
        <f t="shared" si="163"/>
        <v>-0.73572292222222213</v>
      </c>
      <c r="CS116" s="313">
        <f t="shared" si="163"/>
        <v>-1.4117647058823528</v>
      </c>
      <c r="CT116" s="313">
        <f t="shared" si="163"/>
        <v>8.3333333333333339</v>
      </c>
      <c r="CU116" s="575">
        <f t="shared" si="163"/>
        <v>-1.4370559228242901</v>
      </c>
      <c r="CV116" s="313">
        <f t="shared" ref="CV116:DB117" si="164">IFERROR(Z116/U116-1,"N/A")</f>
        <v>1.9615040622976485</v>
      </c>
      <c r="CW116" s="313">
        <f t="shared" si="164"/>
        <v>-0.75927267188753422</v>
      </c>
      <c r="CX116" s="313">
        <f t="shared" si="164"/>
        <v>-3.517068821428571</v>
      </c>
      <c r="CY116" s="313">
        <f t="shared" si="164"/>
        <v>2.3928571428571432</v>
      </c>
      <c r="CZ116" s="575">
        <f t="shared" si="164"/>
        <v>29.417246934396868</v>
      </c>
      <c r="DA116" s="704">
        <f t="shared" si="164"/>
        <v>0.15483934677620992</v>
      </c>
      <c r="DB116" s="704">
        <f t="shared" si="164"/>
        <v>32.315239406899444</v>
      </c>
      <c r="DC116" s="704" t="str">
        <f>IFERROR(#REF!/AB116-1,"N/A")</f>
        <v>N/A</v>
      </c>
      <c r="DD116" s="704">
        <f t="shared" ref="DD116:DL117" si="165">IFERROR(AH116/AC116-1,"N/A")</f>
        <v>-0.10868408736842106</v>
      </c>
      <c r="DE116" s="705">
        <f t="shared" si="165"/>
        <v>-0.17818255463755639</v>
      </c>
      <c r="DF116" s="704">
        <f t="shared" si="165"/>
        <v>-0.58764558</v>
      </c>
      <c r="DG116" s="704">
        <f t="shared" si="165"/>
        <v>0.59981631210500597</v>
      </c>
      <c r="DH116" s="704">
        <f t="shared" si="165"/>
        <v>-1.139298724921485</v>
      </c>
      <c r="DI116" s="704">
        <f t="shared" si="165"/>
        <v>0.41219915296451015</v>
      </c>
      <c r="DJ116" s="705">
        <f t="shared" si="165"/>
        <v>-0.87195738195679595</v>
      </c>
      <c r="DK116" s="704">
        <f t="shared" si="165"/>
        <v>-2.4076120488777595</v>
      </c>
      <c r="DL116" s="704">
        <f t="shared" si="165"/>
        <v>-1.287560094455019</v>
      </c>
      <c r="DM116" s="704" t="str">
        <f>IFERROR(#REF!/AL116-1,"N/A")</f>
        <v>N/A</v>
      </c>
      <c r="DN116" s="704">
        <f t="shared" ref="DN116:DQ117" si="166">IFERROR(AR116/AM116-1,"N/A")</f>
        <v>-1.1190244468405044</v>
      </c>
      <c r="DO116" s="705">
        <f t="shared" si="166"/>
        <v>-0.67506725032126447</v>
      </c>
      <c r="DP116" s="704">
        <f t="shared" si="166"/>
        <v>4.1746547869567827</v>
      </c>
      <c r="DQ116" s="704">
        <f t="shared" si="166"/>
        <v>0.20965459877019632</v>
      </c>
      <c r="DR116" s="704" t="str">
        <f>IFERROR(#REF!/AQ116-1,"N/A")</f>
        <v>N/A</v>
      </c>
      <c r="DS116" s="704">
        <f t="shared" ref="DS116:DV117" si="167">IFERROR(AW116/AR116-1,"N/A")</f>
        <v>-1.5220371739790903</v>
      </c>
      <c r="DT116" s="705">
        <f t="shared" si="167"/>
        <v>15.406752779345169</v>
      </c>
      <c r="DU116" s="704">
        <f t="shared" si="167"/>
        <v>-1</v>
      </c>
      <c r="DV116" s="704">
        <f t="shared" si="167"/>
        <v>-1</v>
      </c>
      <c r="DW116" s="704" t="str">
        <f>IFERROR(#REF!/AV116-1,"N/A")</f>
        <v>N/A</v>
      </c>
      <c r="DX116" s="704">
        <f t="shared" ref="DX116:EA117" si="168">IFERROR(BB116/AW116-1,"N/A")</f>
        <v>-1</v>
      </c>
      <c r="DY116" s="705">
        <f t="shared" si="168"/>
        <v>-0.97025580011897683</v>
      </c>
      <c r="DZ116" s="704" t="str">
        <f t="shared" si="168"/>
        <v>N/A</v>
      </c>
      <c r="EA116" s="704" t="str">
        <f t="shared" si="168"/>
        <v>N/A</v>
      </c>
      <c r="EB116" s="704" t="str">
        <f>IFERROR(#REF!/BA116-1,"N/A")</f>
        <v>N/A</v>
      </c>
      <c r="EC116" s="704" t="str">
        <f t="shared" ref="EC116:EF117" si="169">IFERROR(BG116/BB116-1,"N/A")</f>
        <v>N/A</v>
      </c>
      <c r="ED116" s="705">
        <f t="shared" ca="1" si="169"/>
        <v>79.651488707501088</v>
      </c>
      <c r="EE116" s="704" t="str">
        <f t="shared" si="169"/>
        <v>N/A</v>
      </c>
      <c r="EF116" s="704" t="str">
        <f t="shared" si="169"/>
        <v>N/A</v>
      </c>
      <c r="EG116" s="704" t="str">
        <f>IFERROR(#REF!/BF116-1,"N/A")</f>
        <v>N/A</v>
      </c>
      <c r="EH116" s="704" t="str">
        <f>IFERROR(BL116/BG116-1,"N/A")</f>
        <v>N/A</v>
      </c>
      <c r="EI116" s="705">
        <f ca="1">IFERROR(BM116/BH116-1,"N/A")</f>
        <v>0.33365107511298064</v>
      </c>
      <c r="EJ116" s="705">
        <f t="shared" ref="EJ116:EK117" ca="1" si="170">IFERROR(BN116/BM116-1,"N/A")</f>
        <v>-0.18699334485037222</v>
      </c>
      <c r="EK116" s="705">
        <f t="shared" ca="1" si="170"/>
        <v>-1</v>
      </c>
    </row>
    <row r="117" spans="2:141" s="7" customFormat="1" hidden="1" outlineLevel="1">
      <c r="B117" s="7" t="s">
        <v>184</v>
      </c>
      <c r="C117" s="27"/>
      <c r="D117" s="585"/>
      <c r="E117" s="586">
        <f t="shared" ref="E117:O117" si="171">+E113+E116</f>
        <v>-2.5112499999999969</v>
      </c>
      <c r="F117" s="586">
        <f t="shared" si="171"/>
        <v>-2.6137500000000085</v>
      </c>
      <c r="G117" s="59">
        <f t="shared" si="171"/>
        <v>-7.7526864300000113</v>
      </c>
      <c r="H117" s="59">
        <f t="shared" si="171"/>
        <v>4.1926864300000339</v>
      </c>
      <c r="I117" s="585">
        <f>I113+I116</f>
        <v>-8.6849999999999739</v>
      </c>
      <c r="J117" s="59">
        <f t="shared" si="171"/>
        <v>-2.2999999999999945</v>
      </c>
      <c r="K117" s="59">
        <f t="shared" si="171"/>
        <v>-3.400000000000003</v>
      </c>
      <c r="L117" s="59">
        <f t="shared" si="171"/>
        <v>-8.6715270400000097</v>
      </c>
      <c r="M117" s="59">
        <f t="shared" si="171"/>
        <v>-7.611288227910924</v>
      </c>
      <c r="N117" s="585">
        <f>N113+N116</f>
        <v>-21.982815267910993</v>
      </c>
      <c r="O117" s="59">
        <f t="shared" si="171"/>
        <v>-4.8966355162404955</v>
      </c>
      <c r="P117" s="59">
        <f>+P113+P116</f>
        <v>4.9000000000000163</v>
      </c>
      <c r="Q117" s="59">
        <f>+Q113+Q116</f>
        <v>-8.5000000000000053</v>
      </c>
      <c r="R117" s="59">
        <f>+R113+R116</f>
        <v>-57.899999999999991</v>
      </c>
      <c r="S117" s="585">
        <f>S113+S116</f>
        <v>-66.396635516240551</v>
      </c>
      <c r="T117" s="587"/>
      <c r="U117" s="59">
        <f>+U116+U113</f>
        <v>-17.708797610000023</v>
      </c>
      <c r="V117" s="59">
        <f>+V116+V113</f>
        <v>-21.522377519999985</v>
      </c>
      <c r="W117" s="59">
        <f>+W116+W113</f>
        <v>15.999999999999984</v>
      </c>
      <c r="X117" s="59">
        <f>+X116+X113</f>
        <v>7.4234908000000095</v>
      </c>
      <c r="Y117" s="585">
        <f>Y113+Y116</f>
        <v>-15.807684329999976</v>
      </c>
      <c r="Z117" s="59">
        <f>+Z116+Z113</f>
        <v>-3.2705238100000011</v>
      </c>
      <c r="AA117" s="59">
        <f>+AA116+AA113</f>
        <v>-5.0248482099999849</v>
      </c>
      <c r="AB117" s="59">
        <f>+AB116+AB113</f>
        <v>1.9642074999999561</v>
      </c>
      <c r="AC117" s="59">
        <f>+AC116+AC113</f>
        <v>-10.400000000000006</v>
      </c>
      <c r="AD117" s="585">
        <f>AD113+AD116</f>
        <v>-16.754555350000025</v>
      </c>
      <c r="AE117" s="59">
        <f>+AE116+AE113</f>
        <v>7.5217942399999842</v>
      </c>
      <c r="AF117" s="59">
        <f>+AF116+AF113</f>
        <v>-40.377204780000021</v>
      </c>
      <c r="AG117" s="59">
        <f>+AG116+AG113</f>
        <v>5.6293870200000082</v>
      </c>
      <c r="AH117" s="59">
        <f>+AH116+AH113</f>
        <v>-136.98608661999992</v>
      </c>
      <c r="AI117" s="585">
        <f>AI113+AI116</f>
        <v>-161.22414710799956</v>
      </c>
      <c r="AJ117" s="59">
        <f>+AJ116+AJ113</f>
        <v>-10.045945690000018</v>
      </c>
      <c r="AK117" s="59">
        <f>+AK116+AK113</f>
        <v>-18.97367572000001</v>
      </c>
      <c r="AL117" s="59">
        <f>+AL116+AL113</f>
        <v>-11.249985019999974</v>
      </c>
      <c r="AM117" s="59">
        <f>+AM116+AM113</f>
        <v>4.7194613699999381</v>
      </c>
      <c r="AN117" s="585">
        <f>AN113+AN116</f>
        <v>-35.550145060000055</v>
      </c>
      <c r="AO117" s="59">
        <f>+AO116+AO113</f>
        <v>-4.8615126100000214</v>
      </c>
      <c r="AP117" s="59">
        <f>+AP116+AP113</f>
        <v>-14.758609960000005</v>
      </c>
      <c r="AQ117" s="59">
        <f>+AQ116+AQ113</f>
        <v>-13.835079189999981</v>
      </c>
      <c r="AR117" s="59">
        <f>+AR116+AR113</f>
        <v>-159.00921968</v>
      </c>
      <c r="AS117" s="585">
        <f>AR117+AQ117+AP117+AO117</f>
        <v>-192.46442144000002</v>
      </c>
      <c r="AT117" s="59">
        <f>+AT116+AT113</f>
        <v>-14.412989559999993</v>
      </c>
      <c r="AU117" s="59">
        <f>+AU116+AU113</f>
        <v>-21.08261736</v>
      </c>
      <c r="AV117" s="59">
        <f>+AV116+AV113</f>
        <v>-10.534393080000021</v>
      </c>
      <c r="AW117" s="59">
        <f>+AW116+AW113</f>
        <v>-39.841999999999992</v>
      </c>
      <c r="AX117" s="585">
        <f>AW117+AV117+AU117+AT117</f>
        <v>-85.872000000000014</v>
      </c>
      <c r="AY117" s="59">
        <f>+AY116+AY113</f>
        <v>47.304000000000002</v>
      </c>
      <c r="AZ117" s="59">
        <f>+AZ116+AZ113</f>
        <v>46.451999999999998</v>
      </c>
      <c r="BA117" s="59">
        <f>+BA116+BA113</f>
        <v>44.944999999999993</v>
      </c>
      <c r="BB117" s="59">
        <f>+BB116+BB113</f>
        <v>24.599000000000018</v>
      </c>
      <c r="BC117" s="585">
        <f ca="1">BC113+BC116</f>
        <v>-124.89682117999998</v>
      </c>
      <c r="BD117" s="59">
        <f>+BD116+BD113</f>
        <v>41.000999999999998</v>
      </c>
      <c r="BE117" s="59">
        <f>+BE116+BE113</f>
        <v>45.776782299999986</v>
      </c>
      <c r="BF117" s="59">
        <f>+BF116+BF113</f>
        <v>36.096445570000029</v>
      </c>
      <c r="BG117" s="59">
        <f>+BG116+BG113</f>
        <v>20.5</v>
      </c>
      <c r="BH117" s="585">
        <f ca="1">BH113+BH116</f>
        <v>-75.191907928347916</v>
      </c>
      <c r="BI117" s="59"/>
      <c r="BJ117" s="59"/>
      <c r="BK117" s="59"/>
      <c r="BL117" s="59"/>
      <c r="BM117" s="585">
        <f ca="1">BM113+BM116</f>
        <v>-85.195107491303247</v>
      </c>
      <c r="BN117" s="585">
        <f ca="1">BN113+BN116</f>
        <v>-55.808956446380478</v>
      </c>
      <c r="BO117" s="585">
        <f ca="1">BO113+BO116</f>
        <v>189.68398168306288</v>
      </c>
      <c r="BP117" s="9"/>
      <c r="BQ117" s="660">
        <v>8.3478126870956366</v>
      </c>
      <c r="BR117" s="661">
        <f>$AR117/BQ117-1</f>
        <v>-20.048010016540314</v>
      </c>
      <c r="BS117" s="660"/>
      <c r="BT117" s="660"/>
      <c r="BU117" s="27"/>
      <c r="BV117" s="27">
        <v>-5.1250000000000187</v>
      </c>
      <c r="BW117" s="27">
        <v>-5.6830000000000034</v>
      </c>
      <c r="BX117" s="27"/>
      <c r="BY117" s="27">
        <v>-21.6</v>
      </c>
      <c r="BZ117" s="27">
        <v>20.5</v>
      </c>
      <c r="CA117" s="27">
        <v>-8.6379999999999484</v>
      </c>
      <c r="CB117" s="27">
        <v>-21.925815267910934</v>
      </c>
      <c r="CG117" s="588">
        <f t="shared" si="162"/>
        <v>-8.4121453459433559E-2</v>
      </c>
      <c r="CH117" s="588">
        <f t="shared" si="162"/>
        <v>0.30081300813007816</v>
      </c>
      <c r="CI117" s="588">
        <f t="shared" si="162"/>
        <v>0.11851899574377556</v>
      </c>
      <c r="CJ117" s="588">
        <f t="shared" si="162"/>
        <v>-2.8153726387572613</v>
      </c>
      <c r="CK117" s="589">
        <f t="shared" si="162"/>
        <v>1.5311243831791663</v>
      </c>
      <c r="CL117" s="588">
        <f t="shared" si="162"/>
        <v>1.128971963582829</v>
      </c>
      <c r="CM117" s="588">
        <f t="shared" si="162"/>
        <v>-2.4411764705882391</v>
      </c>
      <c r="CN117" s="588">
        <f t="shared" si="162"/>
        <v>-1.9780488397116769E-2</v>
      </c>
      <c r="CO117" s="588">
        <f t="shared" si="162"/>
        <v>6.6071222460973402</v>
      </c>
      <c r="CP117" s="589">
        <f t="shared" si="162"/>
        <v>2.020388185364129</v>
      </c>
      <c r="CQ117" s="588">
        <f t="shared" si="163"/>
        <v>2.6165235397378237</v>
      </c>
      <c r="CR117" s="588">
        <f t="shared" si="163"/>
        <v>-5.3923219428571247</v>
      </c>
      <c r="CS117" s="588">
        <f t="shared" si="163"/>
        <v>-2.8823529411764675</v>
      </c>
      <c r="CT117" s="588">
        <f t="shared" si="163"/>
        <v>-1.128212276338515</v>
      </c>
      <c r="CU117" s="589">
        <f t="shared" si="163"/>
        <v>-0.76192040143158413</v>
      </c>
      <c r="CV117" s="588">
        <f t="shared" si="164"/>
        <v>-0.81531643864103109</v>
      </c>
      <c r="CW117" s="588">
        <f t="shared" si="164"/>
        <v>-0.76652912972414078</v>
      </c>
      <c r="CX117" s="588">
        <f t="shared" si="164"/>
        <v>-0.87723703125000263</v>
      </c>
      <c r="CY117" s="588">
        <f t="shared" si="164"/>
        <v>-2.4009581583909272</v>
      </c>
      <c r="CZ117" s="589">
        <f t="shared" si="164"/>
        <v>5.989941348987271E-2</v>
      </c>
      <c r="DA117" s="716">
        <f t="shared" si="164"/>
        <v>-3.2998744779051101</v>
      </c>
      <c r="DB117" s="716">
        <f t="shared" si="164"/>
        <v>7.0355073611268626</v>
      </c>
      <c r="DC117" s="716" t="str">
        <f>IFERROR(#REF!/AB117-1,"N/A")</f>
        <v>N/A</v>
      </c>
      <c r="DD117" s="716">
        <f t="shared" si="165"/>
        <v>12.171739098076909</v>
      </c>
      <c r="DE117" s="717">
        <f t="shared" si="165"/>
        <v>8.6227052130034192</v>
      </c>
      <c r="DF117" s="716">
        <f t="shared" si="165"/>
        <v>-2.3355783699289332</v>
      </c>
      <c r="DG117" s="716">
        <f t="shared" si="165"/>
        <v>-0.53008941992442704</v>
      </c>
      <c r="DH117" s="716">
        <f t="shared" si="165"/>
        <v>-2.9984387252166504</v>
      </c>
      <c r="DI117" s="716">
        <f t="shared" si="165"/>
        <v>-1.0344521220106955</v>
      </c>
      <c r="DJ117" s="717">
        <f t="shared" si="165"/>
        <v>-0.77949863157789878</v>
      </c>
      <c r="DK117" s="716">
        <f t="shared" si="165"/>
        <v>-0.51607217876567946</v>
      </c>
      <c r="DL117" s="716">
        <f t="shared" si="165"/>
        <v>-0.2221533572199158</v>
      </c>
      <c r="DM117" s="716" t="str">
        <f>IFERROR(#REF!/AL117-1,"N/A")</f>
        <v>N/A</v>
      </c>
      <c r="DN117" s="716">
        <f t="shared" si="166"/>
        <v>-34.692238841230747</v>
      </c>
      <c r="DO117" s="717">
        <f t="shared" si="166"/>
        <v>4.4138856849997818</v>
      </c>
      <c r="DP117" s="716">
        <f t="shared" si="166"/>
        <v>1.9647129846691747</v>
      </c>
      <c r="DQ117" s="716">
        <f t="shared" si="166"/>
        <v>0.42849614002537084</v>
      </c>
      <c r="DR117" s="716" t="str">
        <f>IFERROR(#REF!/AQ117-1,"N/A")</f>
        <v>N/A</v>
      </c>
      <c r="DS117" s="716">
        <f t="shared" si="167"/>
        <v>-0.74943591270883225</v>
      </c>
      <c r="DT117" s="717">
        <f t="shared" si="167"/>
        <v>-0.55382922538350676</v>
      </c>
      <c r="DU117" s="716">
        <f t="shared" si="167"/>
        <v>-4.2820394272179039</v>
      </c>
      <c r="DV117" s="716">
        <f t="shared" si="167"/>
        <v>-3.2033317404001869</v>
      </c>
      <c r="DW117" s="716" t="str">
        <f>IFERROR(#REF!/AV117-1,"N/A")</f>
        <v>N/A</v>
      </c>
      <c r="DX117" s="716">
        <f t="shared" si="168"/>
        <v>-1.6174137844485723</v>
      </c>
      <c r="DY117" s="717">
        <f t="shared" ca="1" si="168"/>
        <v>0.4544533862027198</v>
      </c>
      <c r="DZ117" s="716">
        <f t="shared" si="168"/>
        <v>-0.13324454591577883</v>
      </c>
      <c r="EA117" s="716">
        <f t="shared" si="168"/>
        <v>-1.4535815465426927E-2</v>
      </c>
      <c r="EB117" s="716" t="str">
        <f>IFERROR(#REF!/BA117-1,"N/A")</f>
        <v>N/A</v>
      </c>
      <c r="EC117" s="716">
        <f t="shared" si="169"/>
        <v>-0.16663278995081166</v>
      </c>
      <c r="ED117" s="717">
        <f t="shared" ca="1" si="169"/>
        <v>-0.39796780079789107</v>
      </c>
      <c r="EE117" s="716">
        <f t="shared" si="169"/>
        <v>-1</v>
      </c>
      <c r="EF117" s="716">
        <f t="shared" si="169"/>
        <v>-1</v>
      </c>
      <c r="EG117" s="716" t="str">
        <f>IFERROR(#REF!/BF117-1,"N/A")</f>
        <v>N/A</v>
      </c>
      <c r="EH117" s="716">
        <f>IFERROR(BL117/BG117-1,"N/A")</f>
        <v>-1</v>
      </c>
      <c r="EI117" s="717">
        <f ca="1">IFERROR(BM117/BH117-1,"N/A")</f>
        <v>0.13303558638899826</v>
      </c>
      <c r="EJ117" s="717">
        <f t="shared" ca="1" si="170"/>
        <v>-0.34492768317620259</v>
      </c>
      <c r="EK117" s="717">
        <f t="shared" ca="1" si="170"/>
        <v>-4.3988089683294005</v>
      </c>
    </row>
    <row r="118" spans="2:141" hidden="1" outlineLevel="1">
      <c r="B118" s="6" t="s">
        <v>26</v>
      </c>
      <c r="C118" s="34"/>
      <c r="D118" s="553"/>
      <c r="E118" s="78">
        <f t="shared" ref="E118:S118" si="172">+E117/E66</f>
        <v>-5.0060561069000482E-2</v>
      </c>
      <c r="F118" s="78">
        <f t="shared" si="172"/>
        <v>-5.0060561069000711E-2</v>
      </c>
      <c r="G118" s="78">
        <f t="shared" si="172"/>
        <v>-0.15169286157551015</v>
      </c>
      <c r="H118" s="78">
        <f t="shared" si="172"/>
        <v>7.9530131548451899E-2</v>
      </c>
      <c r="I118" s="553">
        <f t="shared" si="172"/>
        <v>-4.2118893124217877E-2</v>
      </c>
      <c r="J118" s="78">
        <f t="shared" si="172"/>
        <v>-4.3893129770992259E-2</v>
      </c>
      <c r="K118" s="78">
        <f t="shared" si="172"/>
        <v>-6.415094339622647E-2</v>
      </c>
      <c r="L118" s="78">
        <f t="shared" si="172"/>
        <v>-0.16087013104160647</v>
      </c>
      <c r="M118" s="78">
        <f t="shared" si="172"/>
        <v>-0.14180946987100757</v>
      </c>
      <c r="N118" s="553">
        <f t="shared" si="172"/>
        <v>-0.10321707651110791</v>
      </c>
      <c r="O118" s="78">
        <f t="shared" si="172"/>
        <v>-9.1329280431960508E-2</v>
      </c>
      <c r="P118" s="78">
        <f t="shared" si="172"/>
        <v>9.0239410681399929E-2</v>
      </c>
      <c r="Q118" s="78">
        <f t="shared" si="172"/>
        <v>-0.11486486486486494</v>
      </c>
      <c r="R118" s="78">
        <f t="shared" si="172"/>
        <v>-0.59752321981424139</v>
      </c>
      <c r="S118" s="553">
        <f t="shared" si="172"/>
        <v>-0.23813852703875568</v>
      </c>
      <c r="T118" s="567"/>
      <c r="U118" s="78">
        <f t="shared" ref="U118:AM118" si="173">+U117/U66</f>
        <v>-0.15253055650301484</v>
      </c>
      <c r="V118" s="78">
        <f t="shared" si="173"/>
        <v>-0.17950273160967459</v>
      </c>
      <c r="W118" s="78">
        <f t="shared" si="173"/>
        <v>0.13536379018612507</v>
      </c>
      <c r="X118" s="78">
        <f t="shared" si="173"/>
        <v>5.9818620467365108E-2</v>
      </c>
      <c r="Y118" s="720">
        <f t="shared" si="173"/>
        <v>-3.30497268032615E-2</v>
      </c>
      <c r="Z118" s="721">
        <f t="shared" si="173"/>
        <v>-2.7029122396694225E-2</v>
      </c>
      <c r="AA118" s="721">
        <f t="shared" si="173"/>
        <v>-4.0402582648468119E-2</v>
      </c>
      <c r="AB118" s="721">
        <f t="shared" si="173"/>
        <v>1.5934845745061064E-2</v>
      </c>
      <c r="AC118" s="721">
        <f t="shared" si="173"/>
        <v>-8.112324492979725E-2</v>
      </c>
      <c r="AD118" s="720">
        <f t="shared" si="173"/>
        <v>-3.3722615236605059E-2</v>
      </c>
      <c r="AE118" s="721">
        <f t="shared" si="173"/>
        <v>6.0954572447325647E-2</v>
      </c>
      <c r="AF118" s="721">
        <f t="shared" si="173"/>
        <v>-0.34630743680139398</v>
      </c>
      <c r="AG118" s="721">
        <f t="shared" si="173"/>
        <v>4.4073487775589268E-2</v>
      </c>
      <c r="AH118" s="721">
        <f t="shared" si="173"/>
        <v>-1.0817919350374872</v>
      </c>
      <c r="AI118" s="720">
        <f t="shared" si="173"/>
        <v>-0.32614175729181544</v>
      </c>
      <c r="AJ118" s="721">
        <f t="shared" si="173"/>
        <v>-8.3618340348957945E-2</v>
      </c>
      <c r="AK118" s="721">
        <f t="shared" si="173"/>
        <v>-0.15018373772627849</v>
      </c>
      <c r="AL118" s="721">
        <f t="shared" si="173"/>
        <v>-9.1301263166019608E-2</v>
      </c>
      <c r="AM118" s="721">
        <f t="shared" si="173"/>
        <v>3.6384829442736445E-2</v>
      </c>
      <c r="AN118" s="720">
        <f>AN117/AN66</f>
        <v>-7.1185035383549755E-2</v>
      </c>
      <c r="AO118" s="721">
        <f>+AO117/AO66</f>
        <v>-4.1025422869198497E-2</v>
      </c>
      <c r="AP118" s="721">
        <f>+AP117/AP66</f>
        <v>-0.12309099216013349</v>
      </c>
      <c r="AQ118" s="721">
        <f>+AQ117/AQ66</f>
        <v>-0.1167517231223627</v>
      </c>
      <c r="AR118" s="721">
        <f>+AR117/AR66</f>
        <v>-1.2917077147034932</v>
      </c>
      <c r="AS118" s="720">
        <f>AS117/AS66</f>
        <v>-0.40096754466666673</v>
      </c>
      <c r="AT118" s="721">
        <f>+AT117/AT66</f>
        <v>-0.1197913898615089</v>
      </c>
      <c r="AU118" s="721">
        <f>+AU117/AU66</f>
        <v>-0.18034959289392694</v>
      </c>
      <c r="AV118" s="721">
        <f>+AV117/AV66</f>
        <v>-9.1903511013056521E-2</v>
      </c>
      <c r="AW118" s="721">
        <f>+AW117/AW66</f>
        <v>-0.3589267471359287</v>
      </c>
      <c r="AX118" s="720">
        <f>AX117/AX66</f>
        <v>-0.1855313291622693</v>
      </c>
      <c r="AY118" s="721">
        <f>+AY117/AY66</f>
        <v>0.42444454144350519</v>
      </c>
      <c r="AZ118" s="721">
        <f>+AZ117/AZ66</f>
        <v>0.41259780724417472</v>
      </c>
      <c r="BA118" s="721">
        <f>+BA117/BA66</f>
        <v>0.40701627995443906</v>
      </c>
      <c r="BB118" s="721">
        <f>+BB117/BB66</f>
        <v>0.21948256543805977</v>
      </c>
      <c r="BC118" s="720">
        <f ca="1">BC117/BC66</f>
        <v>-0.27970144597276797</v>
      </c>
      <c r="BD118" s="721">
        <f>+BD117/BD66</f>
        <v>0.37004512635379061</v>
      </c>
      <c r="BE118" s="721">
        <f>+BE117/BE66</f>
        <v>0.41461122580041881</v>
      </c>
      <c r="BF118" s="721">
        <f>+BF117/BF66</f>
        <v>0.32407993995242762</v>
      </c>
      <c r="BG118" s="721">
        <f>+BG117/BG66</f>
        <v>0.17158978883349174</v>
      </c>
      <c r="BH118" s="720">
        <f ca="1">BH117/BH66</f>
        <v>-0.16633125339126345</v>
      </c>
      <c r="BI118" s="721"/>
      <c r="BJ118" s="721"/>
      <c r="BK118" s="721"/>
      <c r="BL118" s="721"/>
      <c r="BM118" s="720">
        <f ca="1">BM117/BM66</f>
        <v>-0.1963633434414519</v>
      </c>
      <c r="BN118" s="720">
        <f ca="1">BN117/BN66</f>
        <v>-0.12854777380402652</v>
      </c>
      <c r="BO118" s="720">
        <f ca="1">BO117/BO66</f>
        <v>0.40984231352938566</v>
      </c>
      <c r="BP118" s="633"/>
      <c r="BQ118" s="563">
        <v>7.208463565656692E-2</v>
      </c>
      <c r="BR118" s="659">
        <f>$AR118/BQ118-1</f>
        <v>-18.919320850251374</v>
      </c>
      <c r="BS118" s="563"/>
      <c r="BT118" s="563"/>
      <c r="BU118" s="218"/>
      <c r="BV118" s="218">
        <v>-5.0060561069000732E-2</v>
      </c>
      <c r="BW118" s="218">
        <v>-5.3919429211180508E-2</v>
      </c>
      <c r="BX118" s="218"/>
      <c r="BY118" s="218">
        <v>-0.105</v>
      </c>
      <c r="BZ118" s="218">
        <v>0.1</v>
      </c>
      <c r="CA118" s="218">
        <v>-4.1886898585019774E-2</v>
      </c>
      <c r="CB118" s="218">
        <v>-0.10294074121694165</v>
      </c>
      <c r="DA118" s="708"/>
      <c r="DB118" s="708"/>
      <c r="DC118" s="708"/>
      <c r="DD118" s="708"/>
      <c r="DE118" s="709"/>
      <c r="DF118" s="708"/>
      <c r="DG118" s="708"/>
      <c r="DH118" s="708"/>
      <c r="DI118" s="708"/>
      <c r="DJ118" s="709"/>
      <c r="DK118" s="708"/>
      <c r="DL118" s="708"/>
      <c r="DM118" s="708"/>
      <c r="DN118" s="708"/>
      <c r="DO118" s="709"/>
      <c r="DP118" s="708"/>
      <c r="DQ118" s="708"/>
      <c r="DR118" s="708"/>
      <c r="DS118" s="708"/>
      <c r="DT118" s="709"/>
      <c r="DU118" s="708"/>
      <c r="DV118" s="708"/>
      <c r="DW118" s="708"/>
      <c r="DX118" s="708"/>
      <c r="DY118" s="709"/>
      <c r="DZ118" s="708"/>
      <c r="EA118" s="708"/>
      <c r="EB118" s="708"/>
      <c r="EC118" s="708"/>
      <c r="ED118" s="709"/>
      <c r="EE118" s="708"/>
      <c r="EF118" s="708"/>
      <c r="EG118" s="708"/>
      <c r="EH118" s="708"/>
      <c r="EI118" s="709"/>
      <c r="EJ118" s="709"/>
      <c r="EK118" s="709"/>
    </row>
    <row r="119" spans="2:141" hidden="1" outlineLevel="1">
      <c r="B119" s="212" t="s">
        <v>871</v>
      </c>
      <c r="C119" s="218"/>
      <c r="D119" s="561"/>
      <c r="E119" s="63">
        <f t="shared" ref="E119:O119" si="174">+E117-E120</f>
        <v>-3.2976999999999967</v>
      </c>
      <c r="F119" s="63">
        <f t="shared" si="174"/>
        <v>-3.4323000000000086</v>
      </c>
      <c r="G119" s="215">
        <f t="shared" si="174"/>
        <v>-8.3556864300000111</v>
      </c>
      <c r="H119" s="215">
        <f t="shared" si="174"/>
        <v>3.0756864300000339</v>
      </c>
      <c r="I119" s="561">
        <f t="shared" si="174"/>
        <v>-12.009999999999973</v>
      </c>
      <c r="J119" s="215">
        <f t="shared" si="174"/>
        <v>-3.3999999999999946</v>
      </c>
      <c r="K119" s="215">
        <f t="shared" si="174"/>
        <v>-4.1000000000000032</v>
      </c>
      <c r="L119" s="215">
        <f t="shared" si="174"/>
        <v>-8.5365270400000099</v>
      </c>
      <c r="M119" s="215">
        <f t="shared" si="174"/>
        <v>-8.1414368084101127</v>
      </c>
      <c r="N119" s="561">
        <f>+N117-N120</f>
        <v>-24.177963848410183</v>
      </c>
      <c r="O119" s="215">
        <f t="shared" si="174"/>
        <v>-5.5431136122135953</v>
      </c>
      <c r="P119" s="215">
        <f>+P117-P120</f>
        <v>4.4000000000000163</v>
      </c>
      <c r="Q119" s="215">
        <f>+Q117-Q120</f>
        <v>-9.100000000000005</v>
      </c>
      <c r="R119" s="215">
        <f>+R117-R120</f>
        <v>-58.499999999999993</v>
      </c>
      <c r="S119" s="561">
        <f>+S117-S120</f>
        <v>-68.743113612213648</v>
      </c>
      <c r="T119" s="573"/>
      <c r="U119" s="215">
        <f t="shared" ref="U119:AD119" si="175">+U117-U120</f>
        <v>-18.432096940000022</v>
      </c>
      <c r="V119" s="215">
        <f t="shared" si="175"/>
        <v>-22.222377519999984</v>
      </c>
      <c r="W119" s="215">
        <f t="shared" si="175"/>
        <v>15.499999999999984</v>
      </c>
      <c r="X119" s="215">
        <f t="shared" si="175"/>
        <v>6.8503805400000095</v>
      </c>
      <c r="Y119" s="561">
        <f t="shared" si="175"/>
        <v>-18.304093919999975</v>
      </c>
      <c r="Z119" s="215">
        <f t="shared" si="175"/>
        <v>-3.9344186600000013</v>
      </c>
      <c r="AA119" s="215">
        <f t="shared" si="175"/>
        <v>-5.337521229999985</v>
      </c>
      <c r="AB119" s="215">
        <f t="shared" si="175"/>
        <v>1.963260849999956</v>
      </c>
      <c r="AC119" s="215">
        <f t="shared" si="175"/>
        <v>-10.400946650000005</v>
      </c>
      <c r="AD119" s="561">
        <f t="shared" si="175"/>
        <v>-17.733016520000024</v>
      </c>
      <c r="AE119" s="215">
        <f t="shared" ref="AE119:AM119" si="176">+AE117-AE120</f>
        <v>6.7217942399999844</v>
      </c>
      <c r="AF119" s="215">
        <f t="shared" si="176"/>
        <v>-40.831488550000024</v>
      </c>
      <c r="AG119" s="215">
        <f t="shared" si="176"/>
        <v>5.0200887400000083</v>
      </c>
      <c r="AH119" s="215">
        <f t="shared" si="176"/>
        <v>-137.61089388999991</v>
      </c>
      <c r="AI119" s="561">
        <f t="shared" si="176"/>
        <v>-163.71253642799957</v>
      </c>
      <c r="AJ119" s="215">
        <f t="shared" si="176"/>
        <v>-10.691706250000017</v>
      </c>
      <c r="AK119" s="215">
        <f>+AK117-AK120</f>
        <v>-19.547956700000011</v>
      </c>
      <c r="AL119" s="215">
        <f t="shared" si="176"/>
        <v>-11.700356939999974</v>
      </c>
      <c r="AM119" s="215">
        <f t="shared" si="176"/>
        <v>4.3413684199999381</v>
      </c>
      <c r="AN119" s="561">
        <f t="shared" ref="AN119:AS119" si="177">+AN117-AN120</f>
        <v>-37.598651470000057</v>
      </c>
      <c r="AO119" s="215">
        <f t="shared" si="177"/>
        <v>-5.6590366000000216</v>
      </c>
      <c r="AP119" s="215">
        <f t="shared" si="177"/>
        <v>-15.116134100000005</v>
      </c>
      <c r="AQ119" s="215">
        <f t="shared" si="177"/>
        <v>-14.39960572999998</v>
      </c>
      <c r="AR119" s="215">
        <f t="shared" si="177"/>
        <v>-159.61981521000001</v>
      </c>
      <c r="AS119" s="561">
        <f t="shared" si="177"/>
        <v>-194.79459164000002</v>
      </c>
      <c r="AT119" s="215">
        <f t="shared" ref="AT119:BB119" si="178">+AT117-AT120</f>
        <v>-14.852520729999993</v>
      </c>
      <c r="AU119" s="215">
        <f t="shared" si="178"/>
        <v>-21.659412450000001</v>
      </c>
      <c r="AV119" s="215">
        <f t="shared" si="178"/>
        <v>-11.08106682000002</v>
      </c>
      <c r="AW119" s="215">
        <f t="shared" si="178"/>
        <v>-40.163999999999994</v>
      </c>
      <c r="AX119" s="561">
        <f t="shared" si="178"/>
        <v>-87.757000000000019</v>
      </c>
      <c r="AY119" s="215">
        <f t="shared" si="178"/>
        <v>47.304000000000002</v>
      </c>
      <c r="AZ119" s="215">
        <f t="shared" si="178"/>
        <v>46.451999999999998</v>
      </c>
      <c r="BA119" s="215">
        <f t="shared" si="178"/>
        <v>44.944999999999993</v>
      </c>
      <c r="BB119" s="215">
        <f t="shared" si="178"/>
        <v>24.599000000000018</v>
      </c>
      <c r="BC119" s="561">
        <f ca="1">Model!L80</f>
        <v>-125.46134771999998</v>
      </c>
      <c r="BD119" s="215">
        <f>+BD117-BD120</f>
        <v>41.000999999999998</v>
      </c>
      <c r="BE119" s="215">
        <f>+BE117-BE120</f>
        <v>45.776782299999986</v>
      </c>
      <c r="BF119" s="215">
        <f>+BF117-BF120</f>
        <v>36.096445570000029</v>
      </c>
      <c r="BG119" s="215">
        <f>+BG117-BG120</f>
        <v>20.5</v>
      </c>
      <c r="BH119" s="561">
        <f ca="1">Model!M80</f>
        <v>-38.201887936833842</v>
      </c>
      <c r="BI119" s="215"/>
      <c r="BJ119" s="215"/>
      <c r="BK119" s="215"/>
      <c r="BL119" s="215"/>
      <c r="BM119" s="561">
        <f ca="1">Model!N80</f>
        <v>-50.75963403130325</v>
      </c>
      <c r="BN119" s="561">
        <f ca="1">Model!O80</f>
        <v>-41.37348298638048</v>
      </c>
      <c r="BO119" s="561">
        <f ca="1">Model!U80</f>
        <v>315.29291636204624</v>
      </c>
      <c r="BP119" s="215"/>
      <c r="BQ119" s="573">
        <v>8.0188809470956368</v>
      </c>
      <c r="BR119" s="659">
        <f>$AR119/BQ119-1</f>
        <v>-20.905497570432544</v>
      </c>
      <c r="BS119" s="573"/>
      <c r="BT119" s="573"/>
      <c r="BU119" s="218"/>
      <c r="BV119" s="218">
        <v>-6.73</v>
      </c>
      <c r="BW119" s="218">
        <v>-7.5149999999999997</v>
      </c>
      <c r="BX119" s="218"/>
      <c r="BY119" s="218">
        <v>-23.9</v>
      </c>
      <c r="BZ119" s="218">
        <v>17.600000000000001</v>
      </c>
      <c r="CA119" s="218">
        <v>-11.962999999999948</v>
      </c>
      <c r="CB119" s="218">
        <v>-24.152963848410124</v>
      </c>
      <c r="CG119" s="313">
        <f t="shared" ref="CG119:CP120" si="179">IFERROR(J119/E119-1,"N/A")</f>
        <v>3.1021621129877719E-2</v>
      </c>
      <c r="CH119" s="313">
        <f t="shared" si="179"/>
        <v>0.19453427730676021</v>
      </c>
      <c r="CI119" s="313">
        <f t="shared" si="179"/>
        <v>2.164281911665733E-2</v>
      </c>
      <c r="CJ119" s="313">
        <f t="shared" si="179"/>
        <v>-3.6470308315565259</v>
      </c>
      <c r="CK119" s="575">
        <f t="shared" si="179"/>
        <v>1.013152693456306</v>
      </c>
      <c r="CL119" s="313">
        <f t="shared" si="179"/>
        <v>0.63032753300400124</v>
      </c>
      <c r="CM119" s="313">
        <f t="shared" si="179"/>
        <v>-2.0731707317073202</v>
      </c>
      <c r="CN119" s="313">
        <f t="shared" si="179"/>
        <v>6.600728344907747E-2</v>
      </c>
      <c r="CO119" s="313">
        <f t="shared" si="179"/>
        <v>6.1854638654898642</v>
      </c>
      <c r="CP119" s="575">
        <f t="shared" si="179"/>
        <v>1.8432135163744916</v>
      </c>
      <c r="CQ119" s="313">
        <f t="shared" ref="CQ119:CU120" si="180">IFERROR(U119/O119-1,"N/A")</f>
        <v>2.3252244549682466</v>
      </c>
      <c r="CR119" s="313">
        <f t="shared" si="180"/>
        <v>-6.0505403454545235</v>
      </c>
      <c r="CS119" s="313">
        <f t="shared" si="180"/>
        <v>-2.7032967032967008</v>
      </c>
      <c r="CT119" s="313">
        <f t="shared" si="180"/>
        <v>-1.1171005220512822</v>
      </c>
      <c r="CU119" s="575">
        <f t="shared" si="180"/>
        <v>-0.73373196298242926</v>
      </c>
      <c r="CV119" s="313">
        <f t="shared" ref="CV119:EI119" si="181">IFERROR(Z119/U119-1,"N/A")</f>
        <v>-0.78654524914841317</v>
      </c>
      <c r="CW119" s="313">
        <f t="shared" si="181"/>
        <v>-0.75981322317127176</v>
      </c>
      <c r="CX119" s="313">
        <f t="shared" si="181"/>
        <v>-0.87333800967742203</v>
      </c>
      <c r="CY119" s="313">
        <f t="shared" si="181"/>
        <v>-2.518302025598127</v>
      </c>
      <c r="CZ119" s="575">
        <f t="shared" si="181"/>
        <v>-3.1199435628767258E-2</v>
      </c>
      <c r="DA119" s="704">
        <f t="shared" si="181"/>
        <v>-2.7084593229333613</v>
      </c>
      <c r="DB119" s="704">
        <f t="shared" si="181"/>
        <v>6.6498971695893641</v>
      </c>
      <c r="DC119" s="704">
        <f t="shared" si="181"/>
        <v>1.5570156609602441</v>
      </c>
      <c r="DD119" s="704">
        <f t="shared" si="181"/>
        <v>12.230612416418831</v>
      </c>
      <c r="DE119" s="705">
        <f t="shared" si="181"/>
        <v>8.2320748837829054</v>
      </c>
      <c r="DF119" s="704">
        <f t="shared" si="181"/>
        <v>-2.5906030247662031</v>
      </c>
      <c r="DG119" s="704">
        <f t="shared" si="181"/>
        <v>-0.52125290078360376</v>
      </c>
      <c r="DH119" s="704">
        <f t="shared" si="181"/>
        <v>-3.3307071938333812</v>
      </c>
      <c r="DI119" s="704">
        <f t="shared" si="181"/>
        <v>-1.0315481448981083</v>
      </c>
      <c r="DJ119" s="705">
        <f t="shared" si="181"/>
        <v>-0.7703373712828897</v>
      </c>
      <c r="DK119" s="704">
        <f t="shared" si="181"/>
        <v>-0.47070781148705687</v>
      </c>
      <c r="DL119" s="704">
        <f t="shared" si="181"/>
        <v>-0.22671538862166618</v>
      </c>
      <c r="DM119" s="704">
        <f t="shared" si="181"/>
        <v>0.23069798672313091</v>
      </c>
      <c r="DN119" s="704">
        <f t="shared" si="181"/>
        <v>-37.767166424913157</v>
      </c>
      <c r="DO119" s="705">
        <f t="shared" si="181"/>
        <v>4.1808930380236244</v>
      </c>
      <c r="DP119" s="704">
        <f t="shared" si="181"/>
        <v>1.6245670031538473</v>
      </c>
      <c r="DQ119" s="704">
        <f t="shared" si="181"/>
        <v>0.43286718063714402</v>
      </c>
      <c r="DR119" s="704">
        <f t="shared" si="181"/>
        <v>-0.2304604009459893</v>
      </c>
      <c r="DS119" s="704">
        <f t="shared" si="181"/>
        <v>-0.7483771050156951</v>
      </c>
      <c r="DT119" s="705">
        <f t="shared" si="181"/>
        <v>-0.54948954557124585</v>
      </c>
      <c r="DU119" s="704">
        <f t="shared" si="181"/>
        <v>-4.1849139186490145</v>
      </c>
      <c r="DV119" s="704">
        <f t="shared" si="181"/>
        <v>-3.1446565139859088</v>
      </c>
      <c r="DW119" s="704">
        <f t="shared" si="181"/>
        <v>-5.0560174151174291</v>
      </c>
      <c r="DX119" s="704">
        <f t="shared" si="181"/>
        <v>-1.6124638980181261</v>
      </c>
      <c r="DY119" s="705">
        <f t="shared" ca="1" si="181"/>
        <v>0.42964490262884958</v>
      </c>
      <c r="DZ119" s="704">
        <f t="shared" si="181"/>
        <v>-0.13324454591577883</v>
      </c>
      <c r="EA119" s="704">
        <f t="shared" si="181"/>
        <v>-1.4535815465426927E-2</v>
      </c>
      <c r="EB119" s="704">
        <f t="shared" si="181"/>
        <v>-0.19687516809433681</v>
      </c>
      <c r="EC119" s="704">
        <f t="shared" si="181"/>
        <v>-0.16663278995081166</v>
      </c>
      <c r="ED119" s="705">
        <f t="shared" ca="1" si="181"/>
        <v>-0.69550870741408422</v>
      </c>
      <c r="EE119" s="704">
        <f t="shared" si="181"/>
        <v>-1</v>
      </c>
      <c r="EF119" s="704">
        <f t="shared" si="181"/>
        <v>-1</v>
      </c>
      <c r="EG119" s="704">
        <f t="shared" si="181"/>
        <v>-1</v>
      </c>
      <c r="EH119" s="704">
        <f t="shared" si="181"/>
        <v>-1</v>
      </c>
      <c r="EI119" s="705">
        <f t="shared" ca="1" si="181"/>
        <v>0.32872056258668225</v>
      </c>
      <c r="EJ119" s="705">
        <f t="shared" ref="EJ119:EK120" ca="1" si="182">IFERROR(BN119/BM119-1,"N/A")</f>
        <v>-0.1849136863188251</v>
      </c>
      <c r="EK119" s="705">
        <f t="shared" ca="1" si="182"/>
        <v>-8.6206520119622478</v>
      </c>
    </row>
    <row r="120" spans="2:141" hidden="1" outlineLevel="1">
      <c r="B120" s="212" t="s">
        <v>872</v>
      </c>
      <c r="C120" s="314"/>
      <c r="D120" s="559"/>
      <c r="E120" s="832">
        <f>+BV120*0.49</f>
        <v>0.78644999999999998</v>
      </c>
      <c r="F120" s="832">
        <f>+BV120-E120</f>
        <v>0.81855</v>
      </c>
      <c r="G120" s="802">
        <v>0.6030000000000002</v>
      </c>
      <c r="H120" s="802">
        <v>1.117</v>
      </c>
      <c r="I120" s="803">
        <f>SUM(E120:H120)</f>
        <v>3.3250000000000002</v>
      </c>
      <c r="J120" s="802">
        <v>1.1000000000000001</v>
      </c>
      <c r="K120" s="802">
        <v>0.7</v>
      </c>
      <c r="L120" s="802">
        <v>-0.13500000000000001</v>
      </c>
      <c r="M120" s="802">
        <v>0.53014858049918878</v>
      </c>
      <c r="N120" s="803">
        <f>SUM(J120:M120)</f>
        <v>2.1951485804991888</v>
      </c>
      <c r="O120" s="802">
        <v>0.64647809597309935</v>
      </c>
      <c r="P120" s="802">
        <v>0.5</v>
      </c>
      <c r="Q120" s="802">
        <v>0.6</v>
      </c>
      <c r="R120" s="802">
        <v>0.6</v>
      </c>
      <c r="S120" s="803">
        <f>SUM(O120:R120)</f>
        <v>2.3464780959730995</v>
      </c>
      <c r="T120" s="802"/>
      <c r="U120" s="802">
        <v>0.72329932999999991</v>
      </c>
      <c r="V120" s="802">
        <v>0.7</v>
      </c>
      <c r="W120" s="802">
        <v>0.5</v>
      </c>
      <c r="X120" s="802">
        <v>0.5731102600000002</v>
      </c>
      <c r="Y120" s="803">
        <f>SUM(U120:X120)</f>
        <v>2.4964095899999998</v>
      </c>
      <c r="Z120" s="802">
        <v>0.66389485000000004</v>
      </c>
      <c r="AA120" s="802">
        <v>0.31267301999999997</v>
      </c>
      <c r="AB120" s="802">
        <v>9.4665000000009058E-4</v>
      </c>
      <c r="AC120" s="802">
        <v>9.4665000000009058E-4</v>
      </c>
      <c r="AD120" s="803">
        <f>SUM(Z120:AC120)</f>
        <v>0.9784611700000001</v>
      </c>
      <c r="AE120" s="802">
        <v>0.8</v>
      </c>
      <c r="AF120" s="802">
        <v>0.45428377000000014</v>
      </c>
      <c r="AG120" s="802">
        <v>0.60929827999999997</v>
      </c>
      <c r="AH120" s="802">
        <v>0.6248072699999998</v>
      </c>
      <c r="AI120" s="803">
        <f>SUM(AE120:AH120)</f>
        <v>2.48838932</v>
      </c>
      <c r="AJ120" s="802">
        <v>0.64576056000000004</v>
      </c>
      <c r="AK120" s="802">
        <v>0.57428097999999994</v>
      </c>
      <c r="AL120" s="802">
        <v>0.45037192000000004</v>
      </c>
      <c r="AM120" s="802">
        <v>0.37809294999999998</v>
      </c>
      <c r="AN120" s="803">
        <f>AM120+AL120+AK120+AJ120</f>
        <v>2.0485064099999999</v>
      </c>
      <c r="AO120" s="802">
        <v>0.79752399000000007</v>
      </c>
      <c r="AP120" s="802">
        <v>0.35752413999999988</v>
      </c>
      <c r="AQ120" s="802">
        <v>0.56452654000000002</v>
      </c>
      <c r="AR120" s="802">
        <v>0.61059553000000011</v>
      </c>
      <c r="AS120" s="803">
        <f>AR120+AQ120+AP120+AO120</f>
        <v>2.3301702</v>
      </c>
      <c r="AT120" s="802">
        <v>0.43953116999999997</v>
      </c>
      <c r="AU120" s="802">
        <v>0.57679509000000007</v>
      </c>
      <c r="AV120" s="802">
        <f>1.563-AU120-AT120</f>
        <v>0.54667373999999991</v>
      </c>
      <c r="AW120" s="802">
        <f>1.885-AV120-AU120-AT120</f>
        <v>0.32200000000000006</v>
      </c>
      <c r="AX120" s="803">
        <f>AW120+AV120+AU120+AT120</f>
        <v>1.885</v>
      </c>
      <c r="AY120" s="802"/>
      <c r="AZ120" s="802"/>
      <c r="BA120" s="802"/>
      <c r="BB120" s="802"/>
      <c r="BC120" s="803"/>
      <c r="BD120" s="802"/>
      <c r="BE120" s="802"/>
      <c r="BF120" s="802"/>
      <c r="BG120" s="802"/>
      <c r="BH120" s="803" t="e">
        <f>Model!#REF!</f>
        <v>#REF!</v>
      </c>
      <c r="BI120" s="802"/>
      <c r="BJ120" s="802"/>
      <c r="BK120" s="802"/>
      <c r="BL120" s="802"/>
      <c r="BM120" s="803" t="e">
        <f>Model!#REF!</f>
        <v>#REF!</v>
      </c>
      <c r="BN120" s="803" t="e">
        <f>Model!#REF!</f>
        <v>#REF!</v>
      </c>
      <c r="BO120" s="803" t="e">
        <f>Model!#REF!</f>
        <v>#REF!</v>
      </c>
      <c r="BP120" s="215"/>
      <c r="BQ120" s="573">
        <v>0.32893173999999981</v>
      </c>
      <c r="BR120" s="659">
        <f>$AR120/BQ120-1</f>
        <v>0.85629860468922958</v>
      </c>
      <c r="BS120" s="573"/>
      <c r="BT120" s="573"/>
      <c r="BU120" s="218"/>
      <c r="BV120" s="218">
        <v>1.605</v>
      </c>
      <c r="BW120" s="218">
        <v>1.8320000000000001</v>
      </c>
      <c r="BX120" s="218"/>
      <c r="BY120" s="218">
        <v>2.2999999999999998</v>
      </c>
      <c r="BZ120" s="218">
        <v>2.9</v>
      </c>
      <c r="CA120" s="218">
        <v>3.3250000000000002</v>
      </c>
      <c r="CB120" s="218">
        <v>2.2271485804991888</v>
      </c>
      <c r="CG120" s="313">
        <f t="shared" si="179"/>
        <v>0.39869031724839488</v>
      </c>
      <c r="CH120" s="313">
        <f t="shared" si="179"/>
        <v>-0.14482927127237188</v>
      </c>
      <c r="CI120" s="313">
        <f t="shared" si="179"/>
        <v>-1.2238805970149254</v>
      </c>
      <c r="CJ120" s="313">
        <f t="shared" si="179"/>
        <v>-0.52538175425318823</v>
      </c>
      <c r="CK120" s="575">
        <f t="shared" si="179"/>
        <v>-0.33980493819573276</v>
      </c>
      <c r="CL120" s="313">
        <f t="shared" si="179"/>
        <v>-0.4122926400244552</v>
      </c>
      <c r="CM120" s="313">
        <f t="shared" si="179"/>
        <v>-0.2857142857142857</v>
      </c>
      <c r="CN120" s="313">
        <f t="shared" si="179"/>
        <v>-5.4444444444444438</v>
      </c>
      <c r="CO120" s="313">
        <f t="shared" si="179"/>
        <v>0.13175819396713084</v>
      </c>
      <c r="CP120" s="575">
        <f t="shared" si="179"/>
        <v>6.8938165196771095E-2</v>
      </c>
      <c r="CQ120" s="313">
        <f t="shared" si="180"/>
        <v>0.11883037415407993</v>
      </c>
      <c r="CR120" s="313">
        <f t="shared" si="180"/>
        <v>0.39999999999999991</v>
      </c>
      <c r="CS120" s="313">
        <f t="shared" si="180"/>
        <v>-0.16666666666666663</v>
      </c>
      <c r="CT120" s="313">
        <f t="shared" si="180"/>
        <v>-4.4816233333332955E-2</v>
      </c>
      <c r="CU120" s="575">
        <f t="shared" si="180"/>
        <v>6.3896396171012615E-2</v>
      </c>
      <c r="CV120" s="313">
        <f t="shared" ref="CV120:DB120" si="183">IFERROR(Z120/U120-1,"N/A")</f>
        <v>-8.2129870077440659E-2</v>
      </c>
      <c r="CW120" s="313">
        <f t="shared" si="183"/>
        <v>-0.55332425714285716</v>
      </c>
      <c r="CX120" s="313">
        <f t="shared" si="183"/>
        <v>-0.99810669999999979</v>
      </c>
      <c r="CY120" s="313">
        <f t="shared" si="183"/>
        <v>-0.99834822360360453</v>
      </c>
      <c r="CZ120" s="575">
        <f t="shared" si="183"/>
        <v>-0.60805263129917708</v>
      </c>
      <c r="DA120" s="704">
        <f t="shared" si="183"/>
        <v>0.20501010062060288</v>
      </c>
      <c r="DB120" s="704">
        <f t="shared" si="183"/>
        <v>0.45290364355709412</v>
      </c>
      <c r="DC120" s="704">
        <f>IFERROR(AG116/AB120-1,"N/A")</f>
        <v>8561.3484181051335</v>
      </c>
      <c r="DD120" s="704">
        <f>IFERROR(AH120/AC120-1,"N/A")</f>
        <v>659.01929963549355</v>
      </c>
      <c r="DE120" s="705">
        <f>IFERROR(AI120/AD120-1,"N/A")</f>
        <v>1.5431661432205837</v>
      </c>
      <c r="DF120" s="704">
        <f>IFERROR(AJ120/AE120-1,"N/A")</f>
        <v>-0.19279930000000001</v>
      </c>
      <c r="DG120" s="704">
        <f>IFERROR(AK120/AF120-1,"N/A")</f>
        <v>0.26414593239815676</v>
      </c>
      <c r="DH120" s="704">
        <f>IFERROR(AL116/AG120-1,"N/A")</f>
        <v>-2.8531028513653478</v>
      </c>
      <c r="DI120" s="704">
        <f>IFERROR(AM120/AH120-1,"N/A")</f>
        <v>-0.39486467563029459</v>
      </c>
      <c r="DJ120" s="705">
        <f>IFERROR(AN120/AI120-1,"N/A")</f>
        <v>-0.1767741512409321</v>
      </c>
      <c r="DK120" s="704">
        <f>IFERROR(AO120/AJ120-1,"N/A")</f>
        <v>0.23501501856973128</v>
      </c>
      <c r="DL120" s="704">
        <f>IFERROR(AP120/AK120-1,"N/A")</f>
        <v>-0.37744039511808325</v>
      </c>
      <c r="DM120" s="704">
        <f>IFERROR(AQ116/AL120-1,"N/A")</f>
        <v>-4.0640599884646438</v>
      </c>
      <c r="DN120" s="704">
        <f>IFERROR(AR120/AM120-1,"N/A")</f>
        <v>0.61493497829039168</v>
      </c>
      <c r="DO120" s="705">
        <f>IFERROR(AS120/AN120-1,"N/A")</f>
        <v>0.13749714847121219</v>
      </c>
      <c r="DP120" s="704">
        <f>IFERROR(AT120/AO120-1,"N/A")</f>
        <v>-0.44888031518650628</v>
      </c>
      <c r="DQ120" s="704">
        <f>IFERROR(AU120/AP120-1,"N/A")</f>
        <v>0.61330390166101867</v>
      </c>
      <c r="DR120" s="704">
        <f>IFERROR(AV116/AQ120-1,"N/A")</f>
        <v>-1.3669051768584697</v>
      </c>
      <c r="DS120" s="704">
        <f>IFERROR(AW120/AR120-1,"N/A")</f>
        <v>-0.47264599202028224</v>
      </c>
      <c r="DT120" s="705">
        <f>IFERROR(AX120/AS120-1,"N/A")</f>
        <v>-0.19104621628068197</v>
      </c>
      <c r="DU120" s="704">
        <f>IFERROR(AY120/AT120-1,"N/A")</f>
        <v>-1</v>
      </c>
      <c r="DV120" s="704">
        <f>IFERROR(AZ120/AU120-1,"N/A")</f>
        <v>-1</v>
      </c>
      <c r="DW120" s="704">
        <f>IFERROR(BA116/AV120-1,"N/A")</f>
        <v>-1</v>
      </c>
      <c r="DX120" s="704">
        <f>IFERROR(BB120/AW120-1,"N/A")</f>
        <v>-1</v>
      </c>
      <c r="DY120" s="705">
        <f>IFERROR(BC120/AX120-1,"N/A")</f>
        <v>-1</v>
      </c>
      <c r="DZ120" s="704" t="str">
        <f>IFERROR(BD120/AY120-1,"N/A")</f>
        <v>N/A</v>
      </c>
      <c r="EA120" s="704" t="str">
        <f>IFERROR(BE120/AZ120-1,"N/A")</f>
        <v>N/A</v>
      </c>
      <c r="EB120" s="704" t="str">
        <f>IFERROR(BF116/BA120-1,"N/A")</f>
        <v>N/A</v>
      </c>
      <c r="EC120" s="704" t="str">
        <f>IFERROR(BG120/BB120-1,"N/A")</f>
        <v>N/A</v>
      </c>
      <c r="ED120" s="705" t="str">
        <f>IFERROR(BH120/BC120-1,"N/A")</f>
        <v>N/A</v>
      </c>
      <c r="EE120" s="704" t="str">
        <f>IFERROR(BI120/BD120-1,"N/A")</f>
        <v>N/A</v>
      </c>
      <c r="EF120" s="704" t="str">
        <f>IFERROR(BJ120/BE120-1,"N/A")</f>
        <v>N/A</v>
      </c>
      <c r="EG120" s="704" t="str">
        <f>IFERROR(BK116/BF120-1,"N/A")</f>
        <v>N/A</v>
      </c>
      <c r="EH120" s="704" t="str">
        <f>IFERROR(BL120/BG120-1,"N/A")</f>
        <v>N/A</v>
      </c>
      <c r="EI120" s="705" t="str">
        <f>IFERROR(BM120/BH120-1,"N/A")</f>
        <v>N/A</v>
      </c>
      <c r="EJ120" s="705" t="str">
        <f t="shared" si="182"/>
        <v>N/A</v>
      </c>
      <c r="EK120" s="705" t="str">
        <f t="shared" si="182"/>
        <v>N/A</v>
      </c>
    </row>
    <row r="121" spans="2:141" collapsed="1">
      <c r="C121" s="218"/>
      <c r="D121" s="554"/>
      <c r="E121" s="34"/>
      <c r="F121" s="34"/>
      <c r="G121" s="218"/>
      <c r="H121" s="218"/>
      <c r="I121" s="554"/>
      <c r="J121" s="34"/>
      <c r="K121" s="34"/>
      <c r="L121" s="218"/>
      <c r="M121" s="218"/>
      <c r="N121" s="554"/>
      <c r="O121" s="218"/>
      <c r="P121" s="218"/>
      <c r="Q121" s="218"/>
      <c r="R121" s="218"/>
      <c r="S121" s="554"/>
      <c r="T121" s="568"/>
      <c r="U121" s="218"/>
      <c r="V121" s="218"/>
      <c r="W121" s="218"/>
      <c r="X121" s="218"/>
      <c r="Y121" s="554"/>
      <c r="Z121" s="34"/>
      <c r="AA121" s="34"/>
      <c r="AB121" s="218"/>
      <c r="AC121" s="218"/>
      <c r="AD121" s="554"/>
      <c r="AE121" s="34"/>
      <c r="AF121" s="34"/>
      <c r="AH121" s="218"/>
      <c r="AI121" s="554"/>
      <c r="AJ121" s="34"/>
      <c r="AK121" s="34"/>
      <c r="AM121" s="218"/>
      <c r="AN121" s="554"/>
      <c r="AO121" s="34"/>
      <c r="AP121" s="34"/>
      <c r="AR121" s="218"/>
      <c r="AS121" s="554"/>
      <c r="AT121" s="34"/>
      <c r="AU121" s="34"/>
      <c r="AW121" s="218"/>
      <c r="AX121" s="554"/>
      <c r="AY121" s="34"/>
      <c r="AZ121" s="34"/>
      <c r="BB121" s="218">
        <v>7</v>
      </c>
      <c r="BC121" s="554"/>
      <c r="BD121" s="34"/>
      <c r="BE121" s="34"/>
      <c r="BG121" s="218"/>
      <c r="BH121" s="554"/>
      <c r="BI121" s="34"/>
      <c r="BJ121" s="34"/>
      <c r="BL121" s="218"/>
      <c r="BM121" s="554"/>
      <c r="BN121" s="554"/>
      <c r="BO121" s="554"/>
      <c r="BP121" s="218"/>
      <c r="BQ121" s="568"/>
      <c r="BR121" s="568"/>
      <c r="BS121" s="568"/>
      <c r="BT121" s="568"/>
      <c r="BU121" s="218"/>
      <c r="BV121" s="218"/>
      <c r="BW121" s="218"/>
      <c r="BX121" s="218"/>
      <c r="BY121" s="218"/>
      <c r="BZ121" s="218"/>
      <c r="CA121" s="218"/>
      <c r="CB121" s="218"/>
      <c r="DA121" s="708"/>
      <c r="DB121" s="708"/>
      <c r="DC121" s="708"/>
      <c r="DD121" s="708"/>
      <c r="DE121" s="709"/>
      <c r="DF121" s="215"/>
      <c r="DG121" s="215"/>
      <c r="DH121" s="215"/>
      <c r="DI121" s="215"/>
      <c r="DJ121" s="709"/>
      <c r="DK121" s="708"/>
      <c r="DL121" s="708"/>
      <c r="DM121" s="708"/>
      <c r="DN121" s="708"/>
      <c r="DO121" s="709"/>
      <c r="DP121" s="708"/>
      <c r="DQ121" s="708"/>
      <c r="DR121" s="708"/>
      <c r="DS121" s="708"/>
      <c r="DT121" s="709"/>
      <c r="DU121" s="708"/>
      <c r="DV121" s="708"/>
      <c r="DW121" s="708"/>
      <c r="DX121" s="708"/>
      <c r="DY121" s="709"/>
      <c r="DZ121" s="708"/>
      <c r="EA121" s="708"/>
      <c r="EB121" s="708"/>
      <c r="EC121" s="708"/>
      <c r="ED121" s="709"/>
      <c r="EE121" s="708"/>
      <c r="EF121" s="708"/>
      <c r="EG121" s="708"/>
      <c r="EH121" s="708"/>
      <c r="EI121" s="709"/>
      <c r="EJ121" s="709"/>
      <c r="EK121" s="709"/>
    </row>
    <row r="122" spans="2:141" hidden="1" outlineLevel="1">
      <c r="B122" s="212" t="s">
        <v>1514</v>
      </c>
      <c r="C122" s="218"/>
      <c r="D122" s="554"/>
      <c r="E122" s="34"/>
      <c r="F122" s="34"/>
      <c r="G122" s="218"/>
      <c r="H122" s="218"/>
      <c r="I122" s="554"/>
      <c r="J122" s="34"/>
      <c r="K122" s="34"/>
      <c r="L122" s="218"/>
      <c r="M122" s="218"/>
      <c r="N122" s="554"/>
      <c r="O122" s="218"/>
      <c r="P122" s="218"/>
      <c r="Q122" s="218"/>
      <c r="R122" s="218"/>
      <c r="S122" s="554"/>
      <c r="T122" s="568"/>
      <c r="U122" s="218"/>
      <c r="V122" s="218"/>
      <c r="W122" s="218"/>
      <c r="X122" s="218"/>
      <c r="Y122" s="554"/>
      <c r="Z122" s="34"/>
      <c r="AA122" s="34"/>
      <c r="AB122" s="218"/>
      <c r="AC122" s="218"/>
      <c r="AD122" s="554"/>
      <c r="AE122" s="34"/>
      <c r="AF122" s="34"/>
      <c r="AH122" s="218"/>
      <c r="AI122" s="554"/>
      <c r="AJ122" s="802">
        <v>15.7</v>
      </c>
      <c r="AK122" s="802">
        <v>17.3</v>
      </c>
      <c r="AL122" s="802">
        <v>22.4</v>
      </c>
      <c r="AM122" s="802">
        <v>17.358829122646434</v>
      </c>
      <c r="AN122" s="803">
        <f t="shared" ref="AN122:AN127" si="184">AM122+AL122+AK122+AJ122</f>
        <v>72.758829122646432</v>
      </c>
      <c r="AO122" s="802">
        <v>13.7</v>
      </c>
      <c r="AP122" s="802">
        <v>12.9</v>
      </c>
      <c r="AQ122" s="802">
        <v>12.8</v>
      </c>
      <c r="AR122" s="802">
        <v>28.197433594097816</v>
      </c>
      <c r="AS122" s="803">
        <f t="shared" ref="AS122:AS127" si="185">AR122+AQ122+AP122+AO122</f>
        <v>67.597433594097808</v>
      </c>
      <c r="AT122" s="802">
        <v>13.647197938198321</v>
      </c>
      <c r="AU122" s="802">
        <v>16.228767065201673</v>
      </c>
      <c r="AW122" s="218"/>
      <c r="AX122" s="554"/>
      <c r="AY122" s="34"/>
      <c r="AZ122" s="34"/>
      <c r="BB122" s="218"/>
      <c r="BC122" s="554"/>
      <c r="BD122" s="34"/>
      <c r="BE122" s="34"/>
      <c r="BG122" s="218"/>
      <c r="BH122" s="554"/>
      <c r="BI122" s="34"/>
      <c r="BJ122" s="34"/>
      <c r="BL122" s="218"/>
      <c r="BM122" s="554"/>
      <c r="BN122" s="554"/>
      <c r="BO122" s="554"/>
      <c r="BP122" s="218"/>
      <c r="BQ122" s="568"/>
      <c r="BR122" s="568"/>
      <c r="BS122" s="568"/>
      <c r="BT122" s="568"/>
      <c r="BU122" s="218"/>
      <c r="BV122" s="218"/>
      <c r="BW122" s="218"/>
      <c r="BX122" s="218"/>
      <c r="BY122" s="218"/>
      <c r="BZ122" s="218"/>
      <c r="CA122" s="218"/>
      <c r="CB122" s="218"/>
      <c r="DA122" s="708"/>
      <c r="DB122" s="708"/>
      <c r="DC122" s="708"/>
      <c r="DD122" s="708"/>
      <c r="DE122" s="709"/>
      <c r="DF122" s="215"/>
      <c r="DG122" s="215"/>
      <c r="DH122" s="215"/>
      <c r="DI122" s="215"/>
      <c r="DJ122" s="709"/>
      <c r="DK122" s="708"/>
      <c r="DL122" s="708"/>
      <c r="DM122" s="708"/>
      <c r="DN122" s="708"/>
      <c r="DO122" s="709"/>
      <c r="DP122" s="708"/>
      <c r="DQ122" s="708"/>
      <c r="DR122" s="708"/>
      <c r="DS122" s="708"/>
      <c r="DT122" s="709"/>
      <c r="DU122" s="708"/>
      <c r="DV122" s="708"/>
      <c r="DW122" s="708"/>
      <c r="DX122" s="708"/>
      <c r="DY122" s="709"/>
      <c r="DZ122" s="708"/>
      <c r="EA122" s="708"/>
      <c r="EB122" s="708"/>
      <c r="EC122" s="708"/>
      <c r="ED122" s="709"/>
      <c r="EE122" s="708"/>
      <c r="EF122" s="708"/>
      <c r="EG122" s="708"/>
      <c r="EH122" s="708"/>
      <c r="EI122" s="709"/>
      <c r="EJ122" s="709"/>
      <c r="EK122" s="709"/>
    </row>
    <row r="123" spans="2:141" hidden="1" outlineLevel="1">
      <c r="B123" s="212" t="s">
        <v>1515</v>
      </c>
      <c r="C123" s="218"/>
      <c r="D123" s="554"/>
      <c r="E123" s="34"/>
      <c r="F123" s="34"/>
      <c r="G123" s="218"/>
      <c r="H123" s="218"/>
      <c r="I123" s="554"/>
      <c r="J123" s="34"/>
      <c r="K123" s="34"/>
      <c r="L123" s="218"/>
      <c r="M123" s="218"/>
      <c r="N123" s="554"/>
      <c r="O123" s="218"/>
      <c r="P123" s="218"/>
      <c r="Q123" s="218"/>
      <c r="R123" s="218"/>
      <c r="S123" s="554"/>
      <c r="T123" s="568"/>
      <c r="U123" s="218"/>
      <c r="V123" s="218"/>
      <c r="W123" s="218"/>
      <c r="X123" s="218"/>
      <c r="Y123" s="554"/>
      <c r="Z123" s="34"/>
      <c r="AA123" s="34"/>
      <c r="AB123" s="218"/>
      <c r="AC123" s="218"/>
      <c r="AD123" s="554"/>
      <c r="AE123" s="34"/>
      <c r="AF123" s="34"/>
      <c r="AH123" s="218"/>
      <c r="AI123" s="554"/>
      <c r="AJ123" s="802">
        <v>8.8000000000000007</v>
      </c>
      <c r="AK123" s="802">
        <v>7.7</v>
      </c>
      <c r="AL123" s="802">
        <v>10.199999999999999</v>
      </c>
      <c r="AM123" s="802">
        <v>8.741784010000007</v>
      </c>
      <c r="AN123" s="803">
        <f t="shared" si="184"/>
        <v>35.441784010000006</v>
      </c>
      <c r="AO123" s="802">
        <v>8.1</v>
      </c>
      <c r="AP123" s="802">
        <v>8.4</v>
      </c>
      <c r="AQ123" s="802">
        <v>9.9</v>
      </c>
      <c r="AR123" s="802">
        <v>10.043040749907568</v>
      </c>
      <c r="AS123" s="803">
        <f t="shared" si="185"/>
        <v>36.443040749907567</v>
      </c>
      <c r="AT123" s="802">
        <v>9.2734299100000026</v>
      </c>
      <c r="AU123" s="802">
        <v>8.2444690599999966</v>
      </c>
      <c r="AW123" s="218"/>
      <c r="AX123" s="554"/>
      <c r="AY123" s="34"/>
      <c r="AZ123" s="34"/>
      <c r="BB123" s="218"/>
      <c r="BC123" s="554"/>
      <c r="BD123" s="34"/>
      <c r="BE123" s="34"/>
      <c r="BG123" s="218"/>
      <c r="BH123" s="554"/>
      <c r="BI123" s="34"/>
      <c r="BJ123" s="34"/>
      <c r="BL123" s="218"/>
      <c r="BM123" s="554"/>
      <c r="BN123" s="554"/>
      <c r="BO123" s="554"/>
      <c r="BP123" s="218"/>
      <c r="BQ123" s="568"/>
      <c r="BR123" s="568"/>
      <c r="BS123" s="568"/>
      <c r="BT123" s="568"/>
      <c r="BU123" s="218"/>
      <c r="BV123" s="218"/>
      <c r="BW123" s="218"/>
      <c r="BX123" s="218"/>
      <c r="BY123" s="218"/>
      <c r="BZ123" s="218"/>
      <c r="CA123" s="218"/>
      <c r="CB123" s="218"/>
      <c r="DA123" s="708"/>
      <c r="DB123" s="708"/>
      <c r="DC123" s="708"/>
      <c r="DD123" s="708"/>
      <c r="DE123" s="709"/>
      <c r="DF123" s="215"/>
      <c r="DG123" s="215"/>
      <c r="DH123" s="215"/>
      <c r="DI123" s="215"/>
      <c r="DJ123" s="709"/>
      <c r="DK123" s="708"/>
      <c r="DL123" s="708"/>
      <c r="DM123" s="708"/>
      <c r="DN123" s="708"/>
      <c r="DO123" s="709"/>
      <c r="DP123" s="708"/>
      <c r="DQ123" s="708"/>
      <c r="DR123" s="708"/>
      <c r="DS123" s="708"/>
      <c r="DT123" s="709"/>
      <c r="DU123" s="708"/>
      <c r="DV123" s="708"/>
      <c r="DW123" s="708"/>
      <c r="DX123" s="708"/>
      <c r="DY123" s="709"/>
      <c r="DZ123" s="708"/>
      <c r="EA123" s="708"/>
      <c r="EB123" s="708"/>
      <c r="EC123" s="708"/>
      <c r="ED123" s="709"/>
      <c r="EE123" s="708"/>
      <c r="EF123" s="708"/>
      <c r="EG123" s="708"/>
      <c r="EH123" s="708"/>
      <c r="EI123" s="709"/>
      <c r="EJ123" s="709"/>
      <c r="EK123" s="709"/>
    </row>
    <row r="124" spans="2:141" hidden="1" outlineLevel="1">
      <c r="B124" s="212" t="s">
        <v>1516</v>
      </c>
      <c r="C124" s="218"/>
      <c r="D124" s="554"/>
      <c r="E124" s="34"/>
      <c r="F124" s="34"/>
      <c r="G124" s="218"/>
      <c r="H124" s="218"/>
      <c r="I124" s="554"/>
      <c r="J124" s="34"/>
      <c r="K124" s="34"/>
      <c r="L124" s="218"/>
      <c r="M124" s="218"/>
      <c r="N124" s="554"/>
      <c r="O124" s="218"/>
      <c r="P124" s="218"/>
      <c r="Q124" s="218"/>
      <c r="R124" s="218"/>
      <c r="S124" s="554"/>
      <c r="T124" s="568"/>
      <c r="U124" s="218"/>
      <c r="V124" s="218"/>
      <c r="W124" s="218"/>
      <c r="X124" s="218"/>
      <c r="Y124" s="554"/>
      <c r="Z124" s="34"/>
      <c r="AA124" s="34"/>
      <c r="AB124" s="218"/>
      <c r="AC124" s="218"/>
      <c r="AD124" s="554"/>
      <c r="AE124" s="34"/>
      <c r="AF124" s="34"/>
      <c r="AH124" s="218"/>
      <c r="AI124" s="554"/>
      <c r="AJ124" s="802">
        <v>4.2</v>
      </c>
      <c r="AK124" s="802">
        <v>1.6</v>
      </c>
      <c r="AL124" s="802">
        <v>4</v>
      </c>
      <c r="AM124" s="802">
        <v>4.9143412514000033</v>
      </c>
      <c r="AN124" s="803">
        <f t="shared" si="184"/>
        <v>14.714341251400004</v>
      </c>
      <c r="AO124" s="802">
        <v>2.8</v>
      </c>
      <c r="AP124" s="802">
        <v>2.8</v>
      </c>
      <c r="AQ124" s="802">
        <v>1.9</v>
      </c>
      <c r="AR124" s="802">
        <v>5.9508883877000027</v>
      </c>
      <c r="AS124" s="803">
        <f t="shared" si="185"/>
        <v>13.450888387700005</v>
      </c>
      <c r="AT124" s="802">
        <v>2.3271394529</v>
      </c>
      <c r="AU124" s="802">
        <v>3.0193369437000004</v>
      </c>
      <c r="AW124" s="218"/>
      <c r="AX124" s="554"/>
      <c r="AY124" s="34"/>
      <c r="AZ124" s="34"/>
      <c r="BB124" s="218"/>
      <c r="BC124" s="554"/>
      <c r="BD124" s="34"/>
      <c r="BE124" s="34"/>
      <c r="BG124" s="218"/>
      <c r="BH124" s="554"/>
      <c r="BI124" s="34"/>
      <c r="BJ124" s="34"/>
      <c r="BL124" s="218"/>
      <c r="BM124" s="554"/>
      <c r="BN124" s="554"/>
      <c r="BO124" s="554"/>
      <c r="BP124" s="218"/>
      <c r="BQ124" s="568"/>
      <c r="BR124" s="568"/>
      <c r="BS124" s="568"/>
      <c r="BT124" s="568"/>
      <c r="BU124" s="218"/>
      <c r="BV124" s="218"/>
      <c r="BW124" s="218"/>
      <c r="BX124" s="218"/>
      <c r="BY124" s="218"/>
      <c r="BZ124" s="218"/>
      <c r="CA124" s="218"/>
      <c r="CB124" s="218"/>
      <c r="DA124" s="708"/>
      <c r="DB124" s="708"/>
      <c r="DC124" s="708"/>
      <c r="DD124" s="708"/>
      <c r="DE124" s="709"/>
      <c r="DF124" s="215"/>
      <c r="DG124" s="215"/>
      <c r="DH124" s="215"/>
      <c r="DI124" s="215"/>
      <c r="DJ124" s="709"/>
      <c r="DK124" s="708"/>
      <c r="DL124" s="708"/>
      <c r="DM124" s="708"/>
      <c r="DN124" s="708"/>
      <c r="DO124" s="709"/>
      <c r="DP124" s="708"/>
      <c r="DQ124" s="708"/>
      <c r="DR124" s="708"/>
      <c r="DS124" s="708"/>
      <c r="DT124" s="709"/>
      <c r="DU124" s="708"/>
      <c r="DV124" s="708"/>
      <c r="DW124" s="708"/>
      <c r="DX124" s="708"/>
      <c r="DY124" s="709"/>
      <c r="DZ124" s="708"/>
      <c r="EA124" s="708"/>
      <c r="EB124" s="708"/>
      <c r="EC124" s="708"/>
      <c r="ED124" s="709"/>
      <c r="EE124" s="708"/>
      <c r="EF124" s="708"/>
      <c r="EG124" s="708"/>
      <c r="EH124" s="708"/>
      <c r="EI124" s="709"/>
      <c r="EJ124" s="709"/>
      <c r="EK124" s="709"/>
    </row>
    <row r="125" spans="2:141" hidden="1" outlineLevel="1">
      <c r="B125" s="212" t="s">
        <v>169</v>
      </c>
      <c r="C125" s="218"/>
      <c r="D125" s="554"/>
      <c r="E125" s="34"/>
      <c r="F125" s="34"/>
      <c r="G125" s="218"/>
      <c r="H125" s="218"/>
      <c r="I125" s="554"/>
      <c r="J125" s="34"/>
      <c r="K125" s="34"/>
      <c r="L125" s="218"/>
      <c r="M125" s="218"/>
      <c r="N125" s="554"/>
      <c r="O125" s="218"/>
      <c r="P125" s="218"/>
      <c r="Q125" s="218"/>
      <c r="R125" s="218"/>
      <c r="S125" s="554"/>
      <c r="T125" s="568"/>
      <c r="U125" s="218"/>
      <c r="V125" s="218"/>
      <c r="W125" s="218"/>
      <c r="X125" s="218"/>
      <c r="Y125" s="554"/>
      <c r="Z125" s="34"/>
      <c r="AA125" s="34"/>
      <c r="AB125" s="218"/>
      <c r="AC125" s="218"/>
      <c r="AD125" s="554"/>
      <c r="AE125" s="34"/>
      <c r="AF125" s="34"/>
      <c r="AH125" s="218"/>
      <c r="AI125" s="554"/>
      <c r="AJ125" s="802">
        <v>0.6</v>
      </c>
      <c r="AK125" s="802">
        <v>1.2</v>
      </c>
      <c r="AL125" s="802">
        <v>0</v>
      </c>
      <c r="AM125" s="802">
        <v>14.772835050300007</v>
      </c>
      <c r="AN125" s="803">
        <f t="shared" si="184"/>
        <v>16.572835050300007</v>
      </c>
      <c r="AO125" s="802">
        <v>1</v>
      </c>
      <c r="AP125" s="802">
        <v>1.8</v>
      </c>
      <c r="AQ125" s="802">
        <v>2.7</v>
      </c>
      <c r="AR125" s="802">
        <v>2.4420677841000069</v>
      </c>
      <c r="AS125" s="803">
        <f t="shared" si="185"/>
        <v>7.9420677841000069</v>
      </c>
      <c r="AT125" s="802">
        <v>2.189222151500001</v>
      </c>
      <c r="AU125" s="802">
        <v>2.1724823734999985</v>
      </c>
      <c r="AW125" s="218"/>
      <c r="AX125" s="554"/>
      <c r="AY125" s="34"/>
      <c r="AZ125" s="34"/>
      <c r="BB125" s="218"/>
      <c r="BC125" s="554"/>
      <c r="BD125" s="34"/>
      <c r="BE125" s="34"/>
      <c r="BG125" s="218"/>
      <c r="BH125" s="554"/>
      <c r="BI125" s="34"/>
      <c r="BJ125" s="34"/>
      <c r="BL125" s="218"/>
      <c r="BM125" s="554"/>
      <c r="BN125" s="554"/>
      <c r="BO125" s="554"/>
      <c r="BP125" s="218"/>
      <c r="BQ125" s="568"/>
      <c r="BR125" s="568"/>
      <c r="BS125" s="568"/>
      <c r="BT125" s="568"/>
      <c r="BU125" s="218"/>
      <c r="BV125" s="218"/>
      <c r="BW125" s="218"/>
      <c r="BX125" s="218"/>
      <c r="BY125" s="218"/>
      <c r="BZ125" s="218"/>
      <c r="CA125" s="218"/>
      <c r="CB125" s="218"/>
      <c r="DA125" s="708"/>
      <c r="DB125" s="708"/>
      <c r="DC125" s="708"/>
      <c r="DD125" s="708"/>
      <c r="DE125" s="709"/>
      <c r="DF125" s="215"/>
      <c r="DG125" s="215"/>
      <c r="DH125" s="215"/>
      <c r="DI125" s="215"/>
      <c r="DJ125" s="709"/>
      <c r="DK125" s="708"/>
      <c r="DL125" s="708"/>
      <c r="DM125" s="708"/>
      <c r="DN125" s="708"/>
      <c r="DO125" s="709"/>
      <c r="DP125" s="708"/>
      <c r="DQ125" s="708"/>
      <c r="DR125" s="708"/>
      <c r="DS125" s="708"/>
      <c r="DT125" s="709"/>
      <c r="DU125" s="708"/>
      <c r="DV125" s="708"/>
      <c r="DW125" s="708"/>
      <c r="DX125" s="708"/>
      <c r="DY125" s="709"/>
      <c r="DZ125" s="708"/>
      <c r="EA125" s="708"/>
      <c r="EB125" s="708"/>
      <c r="EC125" s="708"/>
      <c r="ED125" s="709"/>
      <c r="EE125" s="708"/>
      <c r="EF125" s="708"/>
      <c r="EG125" s="708"/>
      <c r="EH125" s="708"/>
      <c r="EI125" s="709"/>
      <c r="EJ125" s="709"/>
      <c r="EK125" s="709"/>
    </row>
    <row r="126" spans="2:141" hidden="1" outlineLevel="1">
      <c r="B126" s="212" t="s">
        <v>1517</v>
      </c>
      <c r="C126" s="218"/>
      <c r="D126" s="554"/>
      <c r="E126" s="34"/>
      <c r="F126" s="34"/>
      <c r="G126" s="218"/>
      <c r="H126" s="218"/>
      <c r="I126" s="554"/>
      <c r="J126" s="34"/>
      <c r="K126" s="34"/>
      <c r="L126" s="218"/>
      <c r="M126" s="218"/>
      <c r="N126" s="554"/>
      <c r="O126" s="218"/>
      <c r="P126" s="218"/>
      <c r="Q126" s="218"/>
      <c r="R126" s="218"/>
      <c r="S126" s="554"/>
      <c r="T126" s="568"/>
      <c r="U126" s="218"/>
      <c r="V126" s="218"/>
      <c r="W126" s="218"/>
      <c r="X126" s="218"/>
      <c r="Y126" s="554"/>
      <c r="Z126" s="34"/>
      <c r="AA126" s="34"/>
      <c r="AB126" s="218"/>
      <c r="AC126" s="218"/>
      <c r="AD126" s="554"/>
      <c r="AE126" s="34"/>
      <c r="AF126" s="34"/>
      <c r="AH126" s="218"/>
      <c r="AI126" s="554"/>
      <c r="AJ126" s="802">
        <v>5</v>
      </c>
      <c r="AK126" s="802">
        <v>4.5</v>
      </c>
      <c r="AL126" s="802">
        <v>4.9000000000000004</v>
      </c>
      <c r="AM126" s="802">
        <v>8.1940859200073586</v>
      </c>
      <c r="AN126" s="803">
        <f t="shared" si="184"/>
        <v>22.594085920007359</v>
      </c>
      <c r="AO126" s="802">
        <v>4.5999999999999996</v>
      </c>
      <c r="AP126" s="802">
        <v>6.3</v>
      </c>
      <c r="AQ126" s="802">
        <v>6.4</v>
      </c>
      <c r="AR126" s="802">
        <v>7.3295809928945808</v>
      </c>
      <c r="AS126" s="803">
        <f t="shared" si="185"/>
        <v>24.629580992894581</v>
      </c>
      <c r="AT126" s="802">
        <v>5.0348879908016739</v>
      </c>
      <c r="AU126" s="802">
        <v>6.0424769775983247</v>
      </c>
      <c r="AW126" s="218"/>
      <c r="AX126" s="554"/>
      <c r="AY126" s="34"/>
      <c r="AZ126" s="34"/>
      <c r="BB126" s="218"/>
      <c r="BC126" s="554"/>
      <c r="BD126" s="34"/>
      <c r="BE126" s="34"/>
      <c r="BG126" s="218"/>
      <c r="BH126" s="554"/>
      <c r="BI126" s="34"/>
      <c r="BJ126" s="34"/>
      <c r="BL126" s="218"/>
      <c r="BM126" s="554"/>
      <c r="BN126" s="554"/>
      <c r="BO126" s="554"/>
      <c r="BP126" s="218"/>
      <c r="BQ126" s="568"/>
      <c r="BR126" s="568"/>
      <c r="BS126" s="568"/>
      <c r="BT126" s="568"/>
      <c r="BU126" s="218"/>
      <c r="BV126" s="218"/>
      <c r="BW126" s="218"/>
      <c r="BX126" s="218"/>
      <c r="BY126" s="218"/>
      <c r="BZ126" s="218"/>
      <c r="CA126" s="218"/>
      <c r="CB126" s="218"/>
      <c r="DA126" s="708"/>
      <c r="DB126" s="708"/>
      <c r="DC126" s="708"/>
      <c r="DD126" s="708"/>
      <c r="DE126" s="709"/>
      <c r="DF126" s="215"/>
      <c r="DG126" s="215"/>
      <c r="DH126" s="215"/>
      <c r="DI126" s="215"/>
      <c r="DJ126" s="709"/>
      <c r="DK126" s="708"/>
      <c r="DL126" s="708"/>
      <c r="DM126" s="708"/>
      <c r="DN126" s="708"/>
      <c r="DO126" s="709"/>
      <c r="DP126" s="708"/>
      <c r="DQ126" s="708"/>
      <c r="DR126" s="708"/>
      <c r="DS126" s="708"/>
      <c r="DT126" s="709"/>
      <c r="DU126" s="708"/>
      <c r="DV126" s="708"/>
      <c r="DW126" s="708"/>
      <c r="DX126" s="708"/>
      <c r="DY126" s="709"/>
      <c r="DZ126" s="708"/>
      <c r="EA126" s="708"/>
      <c r="EB126" s="708"/>
      <c r="EC126" s="708"/>
      <c r="ED126" s="709"/>
      <c r="EE126" s="708"/>
      <c r="EF126" s="708"/>
      <c r="EG126" s="708"/>
      <c r="EH126" s="708"/>
      <c r="EI126" s="709"/>
      <c r="EJ126" s="709"/>
      <c r="EK126" s="709"/>
    </row>
    <row r="127" spans="2:141" s="7" customFormat="1" hidden="1" outlineLevel="1">
      <c r="B127" s="7" t="s">
        <v>1349</v>
      </c>
      <c r="C127" s="590"/>
      <c r="D127" s="591"/>
      <c r="E127" s="833">
        <f>+BV127*0.49</f>
        <v>7.5923683520094984</v>
      </c>
      <c r="F127" s="833">
        <f>+BV127-E127</f>
        <v>7.9022609378058055</v>
      </c>
      <c r="G127" s="834">
        <v>11.151360631144463</v>
      </c>
      <c r="H127" s="834">
        <v>24.854010079040233</v>
      </c>
      <c r="I127" s="835">
        <f>SUM(E127:H127)</f>
        <v>51.5</v>
      </c>
      <c r="J127" s="834">
        <v>6</v>
      </c>
      <c r="K127" s="834">
        <v>12.5</v>
      </c>
      <c r="L127" s="834">
        <v>21.4732167397413</v>
      </c>
      <c r="M127" s="834">
        <v>44.056355217532484</v>
      </c>
      <c r="N127" s="835">
        <f>SUM(J127:M127)</f>
        <v>84.029571957273788</v>
      </c>
      <c r="O127" s="834">
        <v>14.694021029999998</v>
      </c>
      <c r="P127" s="834">
        <v>23.4</v>
      </c>
      <c r="Q127" s="834">
        <v>21</v>
      </c>
      <c r="R127" s="834">
        <v>54.1</v>
      </c>
      <c r="S127" s="835">
        <f>SUM(O127:R127)</f>
        <v>113.19402102999999</v>
      </c>
      <c r="T127" s="834"/>
      <c r="U127" s="834">
        <v>19.5</v>
      </c>
      <c r="V127" s="834">
        <v>28.3</v>
      </c>
      <c r="W127" s="834">
        <v>31.1</v>
      </c>
      <c r="X127" s="834">
        <v>73.447223860521575</v>
      </c>
      <c r="Y127" s="835">
        <f>SUM(U127:X127)</f>
        <v>152.34722386052158</v>
      </c>
      <c r="Z127" s="834">
        <v>21.9</v>
      </c>
      <c r="AA127" s="834">
        <v>24.7</v>
      </c>
      <c r="AB127" s="834">
        <v>22.2</v>
      </c>
      <c r="AC127" s="834">
        <v>86.5</v>
      </c>
      <c r="AD127" s="835">
        <f>SUM(Z127:AC127)</f>
        <v>155.30000000000001</v>
      </c>
      <c r="AE127" s="834">
        <v>31.45286661122995</v>
      </c>
      <c r="AF127" s="834">
        <v>45.679408636511994</v>
      </c>
      <c r="AG127" s="834">
        <v>47.030824565000003</v>
      </c>
      <c r="AH127" s="834">
        <v>34.868673407258044</v>
      </c>
      <c r="AI127" s="835">
        <f>SUM(AE127:AH127)</f>
        <v>159.03177321999999</v>
      </c>
      <c r="AJ127" s="834">
        <v>34.299999999999997</v>
      </c>
      <c r="AK127" s="834">
        <v>32.299999999999997</v>
      </c>
      <c r="AL127" s="834">
        <v>41.499999999999993</v>
      </c>
      <c r="AM127" s="834">
        <v>53.981875354353804</v>
      </c>
      <c r="AN127" s="835">
        <f t="shared" si="184"/>
        <v>162.0818753543538</v>
      </c>
      <c r="AO127" s="834">
        <v>30.199999999999996</v>
      </c>
      <c r="AP127" s="834">
        <v>32.200000000000003</v>
      </c>
      <c r="AQ127" s="834">
        <v>33.700000000000003</v>
      </c>
      <c r="AR127" s="834">
        <v>53.963011508699992</v>
      </c>
      <c r="AS127" s="835">
        <f t="shared" si="185"/>
        <v>150.06301150869999</v>
      </c>
      <c r="AT127" s="834">
        <v>32.471877443399997</v>
      </c>
      <c r="AU127" s="834">
        <v>35.707532419999993</v>
      </c>
      <c r="AV127" s="212"/>
      <c r="AW127" s="218"/>
      <c r="AX127" s="554"/>
      <c r="AY127" s="34"/>
      <c r="AZ127" s="34"/>
      <c r="BA127" s="212"/>
      <c r="BB127" s="218"/>
      <c r="BC127" s="554"/>
      <c r="BD127" s="34"/>
      <c r="BE127" s="34"/>
      <c r="BF127" s="212"/>
      <c r="BG127" s="218"/>
      <c r="BH127" s="554"/>
      <c r="BI127" s="34"/>
      <c r="BJ127" s="34"/>
      <c r="BK127" s="212"/>
      <c r="BL127" s="218"/>
      <c r="BM127" s="554"/>
      <c r="BN127" s="554"/>
      <c r="BO127" s="554"/>
      <c r="BU127" s="27"/>
      <c r="BV127" s="27">
        <v>15.494629289815304</v>
      </c>
      <c r="BW127" s="27">
        <v>18.538191279725798</v>
      </c>
      <c r="BX127" s="27"/>
      <c r="BY127" s="27">
        <v>68.099999999999994</v>
      </c>
      <c r="BZ127" s="27">
        <v>59.6</v>
      </c>
      <c r="CA127" s="27">
        <v>51.5</v>
      </c>
      <c r="CB127" s="27">
        <v>84.067763236999582</v>
      </c>
      <c r="CC127" s="7">
        <f>+'Model also  old'!F212</f>
        <v>115</v>
      </c>
      <c r="CG127" s="588">
        <f t="shared" ref="CG127:CP127" si="186">IFERROR(J127/E127-1,"N/A")</f>
        <v>-0.20973275770900146</v>
      </c>
      <c r="CH127" s="588">
        <f t="shared" si="186"/>
        <v>0.58182577092560983</v>
      </c>
      <c r="CI127" s="588">
        <f t="shared" si="186"/>
        <v>0.92561405285101128</v>
      </c>
      <c r="CJ127" s="588">
        <f t="shared" si="186"/>
        <v>0.77260551023457924</v>
      </c>
      <c r="CK127" s="589">
        <f t="shared" si="186"/>
        <v>0.63164217392764632</v>
      </c>
      <c r="CL127" s="588">
        <f t="shared" si="186"/>
        <v>1.4490035049999999</v>
      </c>
      <c r="CM127" s="588">
        <f t="shared" si="186"/>
        <v>0.87199999999999989</v>
      </c>
      <c r="CN127" s="588">
        <f t="shared" si="186"/>
        <v>-2.2037533802073517E-2</v>
      </c>
      <c r="CO127" s="588">
        <f t="shared" si="186"/>
        <v>0.22797266666468574</v>
      </c>
      <c r="CP127" s="589">
        <f t="shared" si="186"/>
        <v>0.34707363602370056</v>
      </c>
      <c r="CQ127" s="588">
        <f>IFERROR(U127/O127-1,"N/A")</f>
        <v>0.32707037509936132</v>
      </c>
      <c r="CR127" s="588">
        <f>IFERROR(V127/P127-1,"N/A")</f>
        <v>0.20940170940170955</v>
      </c>
      <c r="CS127" s="588">
        <f>IFERROR(W127/Q127-1,"N/A")</f>
        <v>0.48095238095238102</v>
      </c>
      <c r="CT127" s="588">
        <f>IFERROR(X127/R127-1,"N/A")</f>
        <v>0.35761966470465012</v>
      </c>
      <c r="CU127" s="589">
        <f>IFERROR(Y127/S127-1,"N/A")</f>
        <v>0.34589461947062339</v>
      </c>
      <c r="CV127" s="588">
        <f t="shared" ref="CV127:DE127" si="187">IFERROR(Z127/U127-1,"N/A")</f>
        <v>0.12307692307692308</v>
      </c>
      <c r="CW127" s="588">
        <f t="shared" si="187"/>
        <v>-0.12720848056537104</v>
      </c>
      <c r="CX127" s="588">
        <f t="shared" si="187"/>
        <v>-0.2861736334405145</v>
      </c>
      <c r="CY127" s="588">
        <f t="shared" si="187"/>
        <v>0.17771639897875557</v>
      </c>
      <c r="CZ127" s="589">
        <f t="shared" si="187"/>
        <v>1.9381883467609384E-2</v>
      </c>
      <c r="DA127" s="706">
        <f t="shared" si="187"/>
        <v>0.43620395485068286</v>
      </c>
      <c r="DB127" s="706">
        <f t="shared" si="187"/>
        <v>0.84936877070898764</v>
      </c>
      <c r="DC127" s="706">
        <f t="shared" si="187"/>
        <v>1.1185056110360363</v>
      </c>
      <c r="DD127" s="706">
        <f t="shared" si="187"/>
        <v>-0.59689394904903992</v>
      </c>
      <c r="DE127" s="707">
        <f t="shared" si="187"/>
        <v>2.4029447649710045E-2</v>
      </c>
      <c r="DF127" s="848">
        <f>IFERROR(39.8/AE127-1,"N/A")</f>
        <v>0.26538545729214325</v>
      </c>
      <c r="DG127" s="848">
        <f>IFERROR(22.8/AF127-1,"N/A")</f>
        <v>-0.50086919510215067</v>
      </c>
      <c r="DH127" s="848">
        <f>IFERROR(38.2/AG127-1,"N/A")</f>
        <v>-0.18776673908396313</v>
      </c>
      <c r="DI127" s="848">
        <f>IFERROR(52.9/AH127-1,"N/A")</f>
        <v>0.51712109555015839</v>
      </c>
      <c r="DJ127" s="707">
        <f t="shared" ref="DJ127:DX127" si="188">IFERROR(AN127/AI127-1,"N/A")</f>
        <v>1.9179199681905068E-2</v>
      </c>
      <c r="DK127" s="706">
        <f t="shared" si="188"/>
        <v>-0.11953352769679304</v>
      </c>
      <c r="DL127" s="706">
        <f t="shared" si="188"/>
        <v>-3.0959752321979561E-3</v>
      </c>
      <c r="DM127" s="706">
        <f t="shared" si="188"/>
        <v>-0.18795180722891547</v>
      </c>
      <c r="DN127" s="706">
        <f t="shared" si="188"/>
        <v>-3.4944776427237034E-4</v>
      </c>
      <c r="DO127" s="707">
        <f t="shared" si="188"/>
        <v>-7.4153040365416589E-2</v>
      </c>
      <c r="DP127" s="706">
        <f t="shared" si="188"/>
        <v>7.5227729913907249E-2</v>
      </c>
      <c r="DQ127" s="706">
        <f t="shared" si="188"/>
        <v>0.10892957826086924</v>
      </c>
      <c r="DR127" s="706">
        <f t="shared" si="188"/>
        <v>-1</v>
      </c>
      <c r="DS127" s="706">
        <f t="shared" si="188"/>
        <v>-1</v>
      </c>
      <c r="DT127" s="707">
        <f t="shared" si="188"/>
        <v>-1</v>
      </c>
      <c r="DU127" s="706">
        <f t="shared" si="188"/>
        <v>-1</v>
      </c>
      <c r="DV127" s="706">
        <f t="shared" si="188"/>
        <v>-1</v>
      </c>
      <c r="DW127" s="706" t="str">
        <f t="shared" si="188"/>
        <v>N/A</v>
      </c>
      <c r="DX127" s="706" t="str">
        <f t="shared" si="188"/>
        <v>N/A</v>
      </c>
      <c r="DY127" s="707" t="str">
        <f>IFERROR(BC131/AX127-1,"N/A")</f>
        <v>N/A</v>
      </c>
      <c r="DZ127" s="706" t="str">
        <f>IFERROR(BD131/AY127-1,"N/A")</f>
        <v>N/A</v>
      </c>
      <c r="EA127" s="706" t="str">
        <f>IFERROR(BE131/AZ127-1,"N/A")</f>
        <v>N/A</v>
      </c>
      <c r="EB127" s="706" t="str">
        <f>IFERROR(BF131/BA127-1,"N/A")</f>
        <v>N/A</v>
      </c>
      <c r="EC127" s="706" t="str">
        <f>IFERROR(BG131/BB127-1,"N/A")</f>
        <v>N/A</v>
      </c>
      <c r="ED127" s="707">
        <f>IFERROR(BH131/BC131-1,"N/A")</f>
        <v>6.9359699435584066E-2</v>
      </c>
      <c r="EE127" s="706" t="str">
        <f>IFERROR(BI131/BD127-1,"N/A")</f>
        <v>N/A</v>
      </c>
      <c r="EF127" s="706" t="str">
        <f>IFERROR(BJ131/BE127-1,"N/A")</f>
        <v>N/A</v>
      </c>
      <c r="EG127" s="706" t="str">
        <f>IFERROR(BK131/BF127-1,"N/A")</f>
        <v>N/A</v>
      </c>
      <c r="EH127" s="706" t="str">
        <f ca="1">IFERROR(BL131/BG127-1,"N/A")</f>
        <v>N/A</v>
      </c>
      <c r="EI127" s="707">
        <f ca="1">IFERROR(BM131/BH131-1,"N/A")</f>
        <v>3.3527780861135836E-2</v>
      </c>
      <c r="EJ127" s="707">
        <f ca="1">IFERROR(BN131/BM131-1,"N/A")</f>
        <v>-3.0027882238053527E-2</v>
      </c>
      <c r="EK127" s="707">
        <f ca="1">IFERROR(BO131/BN131-1,"N/A")</f>
        <v>1.6753503798723202E-2</v>
      </c>
    </row>
    <row r="128" spans="2:141" hidden="1" outlineLevel="1">
      <c r="B128" s="6" t="s">
        <v>865</v>
      </c>
      <c r="C128" s="34"/>
      <c r="D128" s="553"/>
      <c r="E128" s="78">
        <f t="shared" ref="E128:S128" si="189">+E127/E66</f>
        <v>0.15135021186425826</v>
      </c>
      <c r="F128" s="78">
        <f t="shared" si="189"/>
        <v>0.15135021186425829</v>
      </c>
      <c r="G128" s="78">
        <f t="shared" si="189"/>
        <v>0.21819298637605133</v>
      </c>
      <c r="H128" s="78">
        <f t="shared" si="189"/>
        <v>0.47145016067719686</v>
      </c>
      <c r="I128" s="553">
        <f t="shared" si="189"/>
        <v>0.24975509451896685</v>
      </c>
      <c r="J128" s="78">
        <f t="shared" si="189"/>
        <v>0.11450381679389311</v>
      </c>
      <c r="K128" s="78">
        <f t="shared" si="189"/>
        <v>0.23584905660377359</v>
      </c>
      <c r="L128" s="78">
        <f t="shared" si="189"/>
        <v>0.39836111619932135</v>
      </c>
      <c r="M128" s="78">
        <f t="shared" si="189"/>
        <v>0.820834553990063</v>
      </c>
      <c r="N128" s="553">
        <f t="shared" si="189"/>
        <v>0.39454849855242363</v>
      </c>
      <c r="O128" s="78">
        <f t="shared" si="189"/>
        <v>0.27406458227716773</v>
      </c>
      <c r="P128" s="78">
        <f t="shared" si="189"/>
        <v>0.43093922651933697</v>
      </c>
      <c r="Q128" s="78">
        <f t="shared" si="189"/>
        <v>0.28378378378378377</v>
      </c>
      <c r="R128" s="78">
        <f t="shared" si="189"/>
        <v>0.55830753353973162</v>
      </c>
      <c r="S128" s="553">
        <f t="shared" si="189"/>
        <v>0.40598227949494153</v>
      </c>
      <c r="T128" s="567"/>
      <c r="U128" s="78">
        <f t="shared" ref="U128:BB128" si="190">+U127/U66</f>
        <v>0.16795865633074936</v>
      </c>
      <c r="V128" s="78">
        <f t="shared" si="190"/>
        <v>0.23603002502085071</v>
      </c>
      <c r="W128" s="78">
        <f t="shared" si="190"/>
        <v>0.26311336717428091</v>
      </c>
      <c r="X128" s="78">
        <f t="shared" si="190"/>
        <v>0.59183903191395304</v>
      </c>
      <c r="Y128" s="720">
        <f t="shared" si="190"/>
        <v>0.31851813477006391</v>
      </c>
      <c r="Z128" s="721">
        <f t="shared" si="190"/>
        <v>0.18099173553719006</v>
      </c>
      <c r="AA128" s="721">
        <f t="shared" si="190"/>
        <v>0.19860177854350858</v>
      </c>
      <c r="AB128" s="721">
        <f t="shared" si="190"/>
        <v>0.18009990061659142</v>
      </c>
      <c r="AC128" s="721">
        <f t="shared" si="190"/>
        <v>0.67472698907956319</v>
      </c>
      <c r="AD128" s="720">
        <f t="shared" si="190"/>
        <v>0.31257899937313216</v>
      </c>
      <c r="AE128" s="721">
        <f t="shared" si="190"/>
        <v>0.25488546686572083</v>
      </c>
      <c r="AF128" s="721">
        <f t="shared" si="190"/>
        <v>0.39178340862638383</v>
      </c>
      <c r="AG128" s="721">
        <f t="shared" si="190"/>
        <v>0.36821282036164005</v>
      </c>
      <c r="AH128" s="721">
        <f t="shared" si="190"/>
        <v>0.27536117432177709</v>
      </c>
      <c r="AI128" s="720">
        <f t="shared" si="190"/>
        <v>0.32170678470676034</v>
      </c>
      <c r="AJ128" s="721">
        <f t="shared" si="190"/>
        <v>0.28549916179859941</v>
      </c>
      <c r="AK128" s="721">
        <f t="shared" si="190"/>
        <v>0.25566657721705771</v>
      </c>
      <c r="AL128" s="721">
        <f t="shared" si="190"/>
        <v>0.33680066370344575</v>
      </c>
      <c r="AM128" s="721">
        <f t="shared" si="190"/>
        <v>0.41617489238337529</v>
      </c>
      <c r="AN128" s="720">
        <f t="shared" si="190"/>
        <v>0.32455012525711924</v>
      </c>
      <c r="AO128" s="721">
        <f t="shared" si="190"/>
        <v>0.25485232067510549</v>
      </c>
      <c r="AP128" s="721">
        <f t="shared" si="190"/>
        <v>0.26855713094245209</v>
      </c>
      <c r="AQ128" s="721">
        <f t="shared" si="190"/>
        <v>0.28438818565400847</v>
      </c>
      <c r="AR128" s="721">
        <f t="shared" si="190"/>
        <v>0.43836727464419167</v>
      </c>
      <c r="AS128" s="720">
        <f t="shared" si="190"/>
        <v>0.31263127397645829</v>
      </c>
      <c r="AT128" s="721">
        <f>+AT127/AT66</f>
        <v>0.26988511399140069</v>
      </c>
      <c r="AU128" s="721">
        <f>+AU127/AU66</f>
        <v>0.30545727910482251</v>
      </c>
      <c r="AV128" s="721">
        <f>+AV127/AV66</f>
        <v>0</v>
      </c>
      <c r="AW128" s="721">
        <f>+AW127/AW66</f>
        <v>0</v>
      </c>
      <c r="AX128" s="720">
        <f t="shared" si="190"/>
        <v>0</v>
      </c>
      <c r="AY128" s="721">
        <f t="shared" si="190"/>
        <v>0</v>
      </c>
      <c r="AZ128" s="721">
        <f t="shared" si="190"/>
        <v>0</v>
      </c>
      <c r="BA128" s="721">
        <f t="shared" si="190"/>
        <v>0</v>
      </c>
      <c r="BB128" s="721">
        <f t="shared" si="190"/>
        <v>0</v>
      </c>
      <c r="BC128" s="720">
        <f>+BC131/BC66</f>
        <v>0.3916166247995449</v>
      </c>
      <c r="BD128" s="721">
        <f>+BD127/BD66</f>
        <v>0</v>
      </c>
      <c r="BE128" s="721">
        <f>+BE127/BE66</f>
        <v>0</v>
      </c>
      <c r="BF128" s="721">
        <f>+BF127/BF66</f>
        <v>0</v>
      </c>
      <c r="BG128" s="721">
        <f>+BG127/BG66</f>
        <v>0</v>
      </c>
      <c r="BH128" s="720">
        <f>+BH131/BH66</f>
        <v>0.41366079464037436</v>
      </c>
      <c r="BI128" s="721"/>
      <c r="BJ128" s="721"/>
      <c r="BK128" s="721"/>
      <c r="BL128" s="721"/>
      <c r="BM128" s="720">
        <f ca="1">+BM131/BM66</f>
        <v>0.44546083240887646</v>
      </c>
      <c r="BN128" s="720">
        <f ca="1">+BN131/BN66</f>
        <v>0.43180102594389574</v>
      </c>
      <c r="BO128" s="720">
        <f ca="1">+BO131/BO66</f>
        <v>0.41183649255975219</v>
      </c>
      <c r="BP128" s="633"/>
      <c r="BQ128" s="571">
        <v>0.43387527841105045</v>
      </c>
      <c r="BR128" s="571"/>
      <c r="BS128" s="571"/>
      <c r="BT128" s="571"/>
      <c r="BU128" s="218"/>
      <c r="BV128" s="222">
        <v>0.15135021186425829</v>
      </c>
      <c r="BW128" s="222">
        <v>0.17588750526315297</v>
      </c>
      <c r="BX128" s="222"/>
      <c r="BY128" s="222">
        <v>0.33268197361993157</v>
      </c>
      <c r="BZ128" s="222">
        <v>0.29030686799805161</v>
      </c>
      <c r="CA128" s="222">
        <v>0.24973087255481954</v>
      </c>
      <c r="CB128" s="222">
        <v>0.39469446195382624</v>
      </c>
      <c r="CC128" s="222">
        <f>+CC127/CC66</f>
        <v>0.51757220201872645</v>
      </c>
      <c r="DA128" s="708"/>
      <c r="DB128" s="708"/>
      <c r="DC128" s="708"/>
      <c r="DD128" s="708"/>
      <c r="DE128" s="709"/>
      <c r="DF128" s="708"/>
      <c r="DG128" s="708"/>
      <c r="DH128" s="708"/>
      <c r="DI128" s="708"/>
      <c r="DJ128" s="709"/>
      <c r="DK128" s="708"/>
      <c r="DL128" s="708"/>
      <c r="DM128" s="708"/>
      <c r="DN128" s="708"/>
      <c r="DO128" s="709"/>
      <c r="DP128" s="708"/>
      <c r="DQ128" s="708"/>
      <c r="DR128" s="708"/>
      <c r="DS128" s="708"/>
      <c r="DT128" s="709"/>
      <c r="DU128" s="708"/>
      <c r="DV128" s="708"/>
      <c r="DW128" s="708"/>
      <c r="DX128" s="708"/>
      <c r="DY128" s="709"/>
      <c r="DZ128" s="708"/>
      <c r="EA128" s="708"/>
      <c r="EB128" s="708"/>
      <c r="EC128" s="708"/>
      <c r="ED128" s="709"/>
      <c r="EE128" s="708"/>
      <c r="EF128" s="708"/>
      <c r="EG128" s="708"/>
      <c r="EH128" s="708"/>
      <c r="EI128" s="709"/>
      <c r="EJ128" s="709"/>
      <c r="EK128" s="709"/>
    </row>
    <row r="129" spans="2:141" hidden="1" outlineLevel="1">
      <c r="B129" s="6"/>
      <c r="C129" s="34"/>
      <c r="D129" s="553"/>
      <c r="E129" s="78"/>
      <c r="F129" s="78"/>
      <c r="G129" s="78"/>
      <c r="H129" s="78"/>
      <c r="I129" s="553"/>
      <c r="J129" s="78"/>
      <c r="K129" s="78"/>
      <c r="L129" s="78"/>
      <c r="M129" s="78"/>
      <c r="N129" s="553"/>
      <c r="O129" s="78"/>
      <c r="P129" s="78"/>
      <c r="Q129" s="78"/>
      <c r="R129" s="78"/>
      <c r="S129" s="553"/>
      <c r="T129" s="567"/>
      <c r="U129" s="78"/>
      <c r="V129" s="78"/>
      <c r="W129" s="78"/>
      <c r="X129" s="78"/>
      <c r="Y129" s="720"/>
      <c r="Z129" s="721"/>
      <c r="AA129" s="721"/>
      <c r="AB129" s="721"/>
      <c r="AC129" s="721"/>
      <c r="AD129" s="720"/>
      <c r="AE129" s="721"/>
      <c r="AF129" s="721"/>
      <c r="AG129" s="721"/>
      <c r="AH129" s="721"/>
      <c r="AI129" s="720"/>
      <c r="AJ129" s="721"/>
      <c r="AK129" s="721"/>
      <c r="AL129" s="721"/>
      <c r="AM129" s="721"/>
      <c r="AN129" s="720"/>
      <c r="AO129" s="721"/>
      <c r="AP129" s="721"/>
      <c r="AQ129" s="721"/>
      <c r="AR129" s="721"/>
      <c r="AS129" s="720"/>
      <c r="AT129" s="721"/>
      <c r="AU129" s="721"/>
      <c r="AV129" s="721"/>
      <c r="AW129" s="721"/>
      <c r="AX129" s="720"/>
      <c r="AY129" s="721"/>
      <c r="AZ129" s="721"/>
      <c r="BA129" s="721"/>
      <c r="BB129" s="721"/>
      <c r="BC129" s="720"/>
      <c r="BD129" s="721"/>
      <c r="BE129" s="721"/>
      <c r="BF129" s="721"/>
      <c r="BG129" s="721"/>
      <c r="BH129" s="720"/>
      <c r="BI129" s="721"/>
      <c r="BJ129" s="721"/>
      <c r="BK129" s="721"/>
      <c r="BL129" s="721"/>
      <c r="BM129" s="720"/>
      <c r="BN129" s="720"/>
      <c r="BO129" s="720"/>
      <c r="BP129" s="633"/>
      <c r="BQ129" s="571"/>
      <c r="BR129" s="571"/>
      <c r="BS129" s="571"/>
      <c r="BT129" s="571"/>
      <c r="BU129" s="218"/>
      <c r="BV129" s="222"/>
      <c r="BW129" s="222"/>
      <c r="BX129" s="222"/>
      <c r="BY129" s="222"/>
      <c r="BZ129" s="222"/>
      <c r="CA129" s="222"/>
      <c r="CB129" s="222"/>
      <c r="CC129" s="222"/>
      <c r="DA129" s="708"/>
      <c r="DB129" s="708"/>
      <c r="DC129" s="708"/>
      <c r="DD129" s="708"/>
      <c r="DE129" s="709"/>
      <c r="DF129" s="708"/>
      <c r="DG129" s="708"/>
      <c r="DH129" s="708"/>
      <c r="DI129" s="708"/>
      <c r="DJ129" s="709"/>
      <c r="DK129" s="708"/>
      <c r="DL129" s="708"/>
      <c r="DM129" s="708"/>
      <c r="DN129" s="708"/>
      <c r="DO129" s="709"/>
      <c r="DP129" s="708"/>
      <c r="DQ129" s="708"/>
      <c r="DR129" s="708"/>
      <c r="DS129" s="708"/>
      <c r="DT129" s="709"/>
      <c r="DU129" s="708"/>
      <c r="DV129" s="708"/>
      <c r="DW129" s="708"/>
      <c r="DX129" s="708"/>
      <c r="DY129" s="709"/>
      <c r="DZ129" s="708"/>
      <c r="EA129" s="708"/>
      <c r="EB129" s="708"/>
      <c r="EC129" s="708"/>
      <c r="ED129" s="709"/>
      <c r="EE129" s="708"/>
      <c r="EF129" s="708"/>
      <c r="EG129" s="708"/>
      <c r="EH129" s="708"/>
      <c r="EI129" s="709"/>
      <c r="EJ129" s="709"/>
      <c r="EK129" s="709"/>
    </row>
    <row r="130" spans="2:141" collapsed="1"/>
    <row r="131" spans="2:141" collapsed="1">
      <c r="B131" s="19" t="s">
        <v>1540</v>
      </c>
      <c r="C131" s="34"/>
      <c r="D131" s="553"/>
      <c r="E131" s="78"/>
      <c r="F131" s="78"/>
      <c r="G131" s="78"/>
      <c r="H131" s="78"/>
      <c r="I131" s="553"/>
      <c r="J131" s="78"/>
      <c r="K131" s="78"/>
      <c r="L131" s="78"/>
      <c r="M131" s="78"/>
      <c r="N131" s="553"/>
      <c r="O131" s="78"/>
      <c r="P131" s="78"/>
      <c r="Q131" s="78"/>
      <c r="R131" s="78"/>
      <c r="S131" s="553"/>
      <c r="T131" s="567"/>
      <c r="U131" s="78"/>
      <c r="V131" s="78"/>
      <c r="W131" s="78"/>
      <c r="X131" s="78"/>
      <c r="Y131" s="720"/>
      <c r="Z131" s="721"/>
      <c r="AA131" s="721"/>
      <c r="AB131" s="721"/>
      <c r="AC131" s="721"/>
      <c r="AD131" s="720"/>
      <c r="AE131" s="721"/>
      <c r="AF131" s="721"/>
      <c r="AG131" s="721"/>
      <c r="AH131" s="721"/>
      <c r="AI131" s="720"/>
      <c r="AJ131" s="721"/>
      <c r="AK131" s="721"/>
      <c r="AL131" s="721"/>
      <c r="AM131" s="721"/>
      <c r="AN131" s="720"/>
      <c r="AO131" s="834">
        <f>15.454+10.354</f>
        <v>25.808</v>
      </c>
      <c r="AP131" s="834">
        <f>29.001+19.492-AO131</f>
        <v>22.685000000000002</v>
      </c>
      <c r="AQ131" s="834">
        <f>49.911+25.927-AP131-AO131</f>
        <v>27.344999999999992</v>
      </c>
      <c r="AR131" s="834">
        <f>73.9+35.238-AQ131-AP131-AO131</f>
        <v>33.300000000000004</v>
      </c>
      <c r="AS131" s="835">
        <f>AR131+AQ131+AP131+AO131</f>
        <v>109.13800000000001</v>
      </c>
      <c r="AT131" s="834">
        <f>14.4+6.039</f>
        <v>20.439</v>
      </c>
      <c r="AU131" s="834">
        <f>34.996+13.206-AT131</f>
        <v>27.762999999999998</v>
      </c>
      <c r="AV131" s="834">
        <f>58.219+22.511-AU131-AT131</f>
        <v>32.528000000000006</v>
      </c>
      <c r="AW131" s="834">
        <f>99.7+34.469-AV131-AU131-AT131</f>
        <v>53.439000000000014</v>
      </c>
      <c r="AX131" s="835">
        <f>AW131+AV131+AU131+AT131</f>
        <v>134.16900000000001</v>
      </c>
      <c r="AY131" s="834">
        <f>20.543+6.338</f>
        <v>26.881</v>
      </c>
      <c r="AZ131" s="834">
        <f>50.045+21.674-AY131</f>
        <v>44.837999999999994</v>
      </c>
      <c r="BA131" s="834">
        <f>86.458+38.473-AZ131-AY131</f>
        <v>53.212000000000003</v>
      </c>
      <c r="BB131" s="834">
        <v>49.94</v>
      </c>
      <c r="BC131" s="835">
        <f>AY131+AZ131+BA131+BB131</f>
        <v>174.87099999999998</v>
      </c>
      <c r="BD131" s="834">
        <f>27.386+16.172</f>
        <v>43.558</v>
      </c>
      <c r="BE131" s="834">
        <f>58.978+29.053-BD131</f>
        <v>44.473000000000006</v>
      </c>
      <c r="BF131" s="834">
        <f>90.32+39.606-SUM(BD131:BE131)</f>
        <v>41.894999999999982</v>
      </c>
      <c r="BG131" s="834">
        <v>57.2</v>
      </c>
      <c r="BH131" s="835">
        <f>Model!M23</f>
        <v>187</v>
      </c>
      <c r="BI131" s="834">
        <v>46.3</v>
      </c>
      <c r="BJ131" s="834">
        <v>52.3</v>
      </c>
      <c r="BK131" s="834">
        <v>50</v>
      </c>
      <c r="BL131" s="834">
        <f ca="1">BM131-BI131-BJ131-BK131</f>
        <v>44.66969502103241</v>
      </c>
      <c r="BM131" s="835">
        <f ca="1">Model!N23</f>
        <v>193.26969502103239</v>
      </c>
      <c r="BN131" s="835">
        <f ca="1">Model!O23</f>
        <v>187.46621537875632</v>
      </c>
      <c r="BO131" s="835">
        <f ca="1">Model!P23</f>
        <v>190.60693133023656</v>
      </c>
      <c r="BP131" s="635"/>
      <c r="BQ131" s="464">
        <v>50.245236321825843</v>
      </c>
      <c r="BR131" s="662">
        <f>$AR127/BQ131-1</f>
        <v>7.3992590323616492E-2</v>
      </c>
      <c r="BS131" s="464">
        <v>39.200000000000003</v>
      </c>
      <c r="BT131" s="662">
        <f>$AR127/BS131-1</f>
        <v>0.37660743644642825</v>
      </c>
      <c r="BU131" s="218"/>
      <c r="BV131" s="222"/>
      <c r="BW131" s="222"/>
      <c r="BX131" s="222"/>
      <c r="BY131" s="222"/>
      <c r="BZ131" s="222"/>
      <c r="CA131" s="222"/>
      <c r="CB131" s="222"/>
      <c r="CC131" s="222"/>
      <c r="DA131" s="708"/>
      <c r="DB131" s="708"/>
      <c r="DC131" s="708"/>
      <c r="DD131" s="708"/>
      <c r="DE131" s="709"/>
      <c r="DF131" s="708"/>
      <c r="DG131" s="708"/>
      <c r="DH131" s="708"/>
      <c r="DI131" s="708"/>
      <c r="DJ131" s="709"/>
      <c r="DK131" s="708"/>
      <c r="DL131" s="708"/>
      <c r="DM131" s="708"/>
      <c r="DN131" s="708"/>
      <c r="DO131" s="709"/>
      <c r="DP131" s="708"/>
      <c r="DQ131" s="708"/>
      <c r="DR131" s="708"/>
      <c r="DS131" s="708"/>
      <c r="DT131" s="709"/>
      <c r="DU131" s="704">
        <f t="shared" ref="DU131:EI131" si="191">IFERROR(AY131/AT131-1,"N/A")</f>
        <v>0.31518176036009593</v>
      </c>
      <c r="DV131" s="704">
        <f t="shared" si="191"/>
        <v>0.61502719446745657</v>
      </c>
      <c r="DW131" s="704">
        <f t="shared" si="191"/>
        <v>0.63588293162813558</v>
      </c>
      <c r="DX131" s="704">
        <f t="shared" si="191"/>
        <v>-6.547652463556608E-2</v>
      </c>
      <c r="DY131" s="705">
        <f t="shared" si="191"/>
        <v>0.30336366820949667</v>
      </c>
      <c r="DZ131" s="704">
        <f t="shared" si="191"/>
        <v>0.62040102674751685</v>
      </c>
      <c r="EA131" s="704">
        <f t="shared" si="191"/>
        <v>-8.1404166109101395E-3</v>
      </c>
      <c r="EB131" s="704">
        <f t="shared" si="191"/>
        <v>-0.21267759152070997</v>
      </c>
      <c r="EC131" s="704">
        <f t="shared" si="191"/>
        <v>0.14537444933920707</v>
      </c>
      <c r="ED131" s="705">
        <f t="shared" si="191"/>
        <v>6.9359699435584066E-2</v>
      </c>
      <c r="EE131" s="704">
        <f t="shared" si="191"/>
        <v>6.2950548693695652E-2</v>
      </c>
      <c r="EF131" s="704">
        <f t="shared" si="191"/>
        <v>0.17599442358284789</v>
      </c>
      <c r="EG131" s="704">
        <f t="shared" si="191"/>
        <v>0.19345984007638184</v>
      </c>
      <c r="EH131" s="704">
        <f t="shared" ca="1" si="191"/>
        <v>-0.21906127585607682</v>
      </c>
      <c r="EI131" s="705">
        <f t="shared" ca="1" si="191"/>
        <v>3.3527780861135836E-2</v>
      </c>
      <c r="EJ131" s="705">
        <f ca="1">IFERROR(BN131/BM131-1,"N/A")</f>
        <v>-3.0027882238053527E-2</v>
      </c>
      <c r="EK131" s="705">
        <f ca="1">IFERROR(BO131/BN131-1,"N/A")</f>
        <v>1.6753503798723202E-2</v>
      </c>
    </row>
    <row r="132" spans="2:141">
      <c r="B132" s="6" t="s">
        <v>865</v>
      </c>
      <c r="C132" s="34"/>
      <c r="D132" s="553"/>
      <c r="E132" s="78"/>
      <c r="F132" s="78"/>
      <c r="G132" s="78"/>
      <c r="H132" s="78"/>
      <c r="I132" s="553"/>
      <c r="J132" s="78"/>
      <c r="K132" s="78"/>
      <c r="L132" s="78"/>
      <c r="M132" s="78"/>
      <c r="N132" s="553"/>
      <c r="O132" s="78"/>
      <c r="P132" s="78"/>
      <c r="Q132" s="78"/>
      <c r="R132" s="78"/>
      <c r="S132" s="553"/>
      <c r="T132" s="567"/>
      <c r="U132" s="78"/>
      <c r="V132" s="78"/>
      <c r="W132" s="78"/>
      <c r="X132" s="78"/>
      <c r="Y132" s="720"/>
      <c r="Z132" s="721"/>
      <c r="AA132" s="721"/>
      <c r="AB132" s="721"/>
      <c r="AC132" s="721"/>
      <c r="AD132" s="720"/>
      <c r="AE132" s="721"/>
      <c r="AF132" s="721"/>
      <c r="AG132" s="721"/>
      <c r="AH132" s="721"/>
      <c r="AI132" s="720"/>
      <c r="AJ132" s="721"/>
      <c r="AK132" s="721"/>
      <c r="AL132" s="721"/>
      <c r="AM132" s="721"/>
      <c r="AN132" s="720"/>
      <c r="AO132" s="721">
        <f t="shared" ref="AO132:BB132" si="192">AO131/AO66</f>
        <v>0.21778902953586501</v>
      </c>
      <c r="AP132" s="721">
        <f t="shared" si="192"/>
        <v>0.18919933277731446</v>
      </c>
      <c r="AQ132" s="721">
        <f t="shared" si="192"/>
        <v>0.230759493670886</v>
      </c>
      <c r="AR132" s="721">
        <f t="shared" si="192"/>
        <v>0.27051177904142976</v>
      </c>
      <c r="AS132" s="720">
        <f t="shared" si="192"/>
        <v>0.22737083333333336</v>
      </c>
      <c r="AT132" s="721">
        <f t="shared" si="192"/>
        <v>0.16987566716723423</v>
      </c>
      <c r="AU132" s="721">
        <f t="shared" si="192"/>
        <v>0.23749640104050596</v>
      </c>
      <c r="AV132" s="721">
        <f t="shared" si="192"/>
        <v>0.28377879803139994</v>
      </c>
      <c r="AW132" s="721">
        <f t="shared" si="192"/>
        <v>0.48141876512717491</v>
      </c>
      <c r="AX132" s="720">
        <f t="shared" si="192"/>
        <v>0.28987973847555093</v>
      </c>
      <c r="AY132" s="721">
        <f t="shared" si="192"/>
        <v>0.2411951149700419</v>
      </c>
      <c r="AZ132" s="721">
        <f t="shared" si="192"/>
        <v>0.39826187206609626</v>
      </c>
      <c r="BA132" s="721">
        <f t="shared" si="192"/>
        <v>0.48188119454746059</v>
      </c>
      <c r="BB132" s="721">
        <f t="shared" si="192"/>
        <v>0.44558556518462927</v>
      </c>
      <c r="BC132" s="720"/>
      <c r="BD132" s="721">
        <f>BD131/BD66</f>
        <v>0.39312274368231048</v>
      </c>
      <c r="BE132" s="721">
        <f>BE131/BE66</f>
        <v>0.40280255882078536</v>
      </c>
      <c r="BF132" s="721">
        <f>BF131/BF66</f>
        <v>0.37614033376159201</v>
      </c>
      <c r="BG132" s="721">
        <f>BG131/BG66</f>
        <v>0.47877736201345011</v>
      </c>
      <c r="BH132" s="720"/>
      <c r="BI132" s="721">
        <f>BI131/BI66</f>
        <v>0.41228851291184326</v>
      </c>
      <c r="BJ132" s="721">
        <f>BJ131/BJ66</f>
        <v>0.47373188405797101</v>
      </c>
      <c r="BK132" s="721">
        <f>BK131/BK66</f>
        <v>0.48828125000000006</v>
      </c>
      <c r="BL132" s="721"/>
      <c r="BM132" s="720"/>
      <c r="BN132" s="720"/>
      <c r="BO132" s="720"/>
      <c r="BP132" s="633"/>
      <c r="BQ132" s="571"/>
      <c r="BR132" s="571"/>
      <c r="BS132" s="571"/>
      <c r="BT132" s="571"/>
      <c r="BU132" s="218"/>
      <c r="BV132" s="222"/>
      <c r="BW132" s="222"/>
      <c r="BX132" s="222"/>
      <c r="BY132" s="222"/>
      <c r="BZ132" s="222"/>
      <c r="CA132" s="222"/>
      <c r="CB132" s="222"/>
      <c r="CC132" s="222"/>
      <c r="DA132" s="708"/>
      <c r="DB132" s="708"/>
      <c r="DC132" s="708"/>
      <c r="DD132" s="708"/>
      <c r="DE132" s="709"/>
      <c r="DF132" s="708"/>
      <c r="DG132" s="708"/>
      <c r="DH132" s="708"/>
      <c r="DI132" s="708"/>
      <c r="DJ132" s="709"/>
      <c r="DK132" s="708"/>
      <c r="DL132" s="708"/>
      <c r="DM132" s="708"/>
      <c r="DN132" s="708"/>
      <c r="DO132" s="709"/>
      <c r="DP132" s="708"/>
      <c r="DQ132" s="708"/>
      <c r="DR132" s="708"/>
      <c r="DS132" s="708"/>
      <c r="DT132" s="709"/>
      <c r="DU132" s="708"/>
      <c r="DV132" s="708"/>
      <c r="DW132" s="708"/>
      <c r="DX132" s="708"/>
      <c r="DY132" s="709"/>
      <c r="DZ132" s="708"/>
      <c r="EA132" s="708"/>
      <c r="EB132" s="708"/>
      <c r="EC132" s="708"/>
      <c r="ED132" s="709"/>
      <c r="EE132" s="708"/>
      <c r="EF132" s="708"/>
      <c r="EG132" s="708"/>
      <c r="EH132" s="708"/>
      <c r="EI132" s="709"/>
      <c r="EJ132" s="709"/>
      <c r="EK132" s="709"/>
    </row>
    <row r="133" spans="2:141">
      <c r="B133" s="6"/>
      <c r="C133" s="34"/>
      <c r="D133" s="553"/>
      <c r="E133" s="78"/>
      <c r="F133" s="78"/>
      <c r="G133" s="78"/>
      <c r="H133" s="78"/>
      <c r="I133" s="553"/>
      <c r="J133" s="78"/>
      <c r="K133" s="78"/>
      <c r="L133" s="78"/>
      <c r="M133" s="78"/>
      <c r="N133" s="553"/>
      <c r="O133" s="78"/>
      <c r="P133" s="78"/>
      <c r="Q133" s="78"/>
      <c r="R133" s="78"/>
      <c r="S133" s="553"/>
      <c r="T133" s="567"/>
      <c r="U133" s="78"/>
      <c r="V133" s="78"/>
      <c r="W133" s="78"/>
      <c r="X133" s="78"/>
      <c r="Y133" s="720"/>
      <c r="Z133" s="721"/>
      <c r="AA133" s="721"/>
      <c r="AB133" s="721"/>
      <c r="AC133" s="721"/>
      <c r="AD133" s="720"/>
      <c r="AE133" s="721"/>
      <c r="AF133" s="721"/>
      <c r="AG133" s="721"/>
      <c r="AH133" s="721"/>
      <c r="AI133" s="720"/>
      <c r="AJ133" s="721"/>
      <c r="AK133" s="721"/>
      <c r="AL133" s="721"/>
      <c r="AM133" s="721"/>
      <c r="AN133" s="720"/>
      <c r="AO133" s="721"/>
      <c r="AP133" s="721"/>
      <c r="AQ133" s="721"/>
      <c r="AR133" s="721"/>
      <c r="AS133" s="720"/>
      <c r="AT133" s="721"/>
      <c r="AU133" s="721"/>
      <c r="AV133" s="721"/>
      <c r="AW133" s="721"/>
      <c r="AX133" s="720"/>
      <c r="AY133" s="721"/>
      <c r="AZ133" s="721"/>
      <c r="BA133" s="721"/>
      <c r="BB133" s="721"/>
      <c r="BC133" s="720"/>
      <c r="BD133" s="721"/>
      <c r="BE133" s="721"/>
      <c r="BF133" s="721"/>
      <c r="BG133" s="721"/>
      <c r="BH133" s="720"/>
      <c r="BI133" s="721"/>
      <c r="BJ133" s="721"/>
      <c r="BK133" s="721"/>
      <c r="BL133" s="721"/>
      <c r="BM133" s="720"/>
      <c r="BN133" s="720"/>
      <c r="BO133" s="720"/>
      <c r="BP133" s="633"/>
      <c r="BQ133" s="571"/>
      <c r="BR133" s="571"/>
      <c r="BS133" s="571"/>
      <c r="BT133" s="571"/>
      <c r="BU133" s="218"/>
      <c r="BV133" s="222"/>
      <c r="BW133" s="222"/>
      <c r="BX133" s="222"/>
      <c r="BY133" s="222"/>
      <c r="BZ133" s="222"/>
      <c r="CA133" s="222"/>
      <c r="CB133" s="222"/>
      <c r="CC133" s="222"/>
      <c r="DA133" s="708"/>
      <c r="DB133" s="708"/>
      <c r="DC133" s="708"/>
      <c r="DD133" s="708"/>
      <c r="DE133" s="709"/>
      <c r="DF133" s="708"/>
      <c r="DG133" s="708"/>
      <c r="DH133" s="708"/>
      <c r="DI133" s="708"/>
      <c r="DJ133" s="709"/>
      <c r="DK133" s="708"/>
      <c r="DL133" s="708"/>
      <c r="DM133" s="708"/>
      <c r="DN133" s="708"/>
      <c r="DO133" s="709"/>
      <c r="DP133" s="708"/>
      <c r="DQ133" s="708"/>
      <c r="DR133" s="708"/>
      <c r="DS133" s="708"/>
      <c r="DT133" s="709"/>
      <c r="DU133" s="708"/>
      <c r="DV133" s="708"/>
      <c r="DW133" s="708"/>
      <c r="DX133" s="708"/>
      <c r="DY133" s="709"/>
      <c r="DZ133" s="708"/>
      <c r="EA133" s="708"/>
      <c r="EB133" s="708"/>
      <c r="EC133" s="708"/>
      <c r="ED133" s="709"/>
      <c r="EE133" s="708"/>
      <c r="EF133" s="708"/>
      <c r="EG133" s="708"/>
      <c r="EH133" s="708"/>
      <c r="EI133" s="709"/>
      <c r="EJ133" s="709"/>
      <c r="EK133" s="709"/>
    </row>
    <row r="134" spans="2:141" s="7" customFormat="1">
      <c r="B134" s="7" t="s">
        <v>1962</v>
      </c>
      <c r="C134" s="9"/>
      <c r="D134" s="582"/>
      <c r="E134" s="9">
        <f t="shared" ref="E134:S134" si="193">+E86-E127</f>
        <v>13.432551647990504</v>
      </c>
      <c r="F134" s="9">
        <f t="shared" si="193"/>
        <v>13.980819062194186</v>
      </c>
      <c r="G134" s="9">
        <f t="shared" si="193"/>
        <v>12.226952938855522</v>
      </c>
      <c r="H134" s="9">
        <f t="shared" si="193"/>
        <v>-3.0703236490401942</v>
      </c>
      <c r="I134" s="582">
        <f t="shared" si="193"/>
        <v>36.570000000000022</v>
      </c>
      <c r="J134" s="9">
        <f t="shared" si="193"/>
        <v>15.700000000000006</v>
      </c>
      <c r="K134" s="9">
        <f t="shared" si="193"/>
        <v>12.899999999999999</v>
      </c>
      <c r="L134" s="9">
        <f t="shared" si="193"/>
        <v>4.24025622025869</v>
      </c>
      <c r="M134" s="9">
        <f t="shared" si="193"/>
        <v>-18.066159577636416</v>
      </c>
      <c r="N134" s="582">
        <f t="shared" si="193"/>
        <v>14.774096642622212</v>
      </c>
      <c r="O134" s="9">
        <f t="shared" si="193"/>
        <v>9.701132673194067</v>
      </c>
      <c r="P134" s="9">
        <f t="shared" si="193"/>
        <v>4.3000000000000185</v>
      </c>
      <c r="Q134" s="9">
        <f t="shared" si="193"/>
        <v>15.999999999999993</v>
      </c>
      <c r="R134" s="9">
        <f t="shared" si="193"/>
        <v>-2.1999999999999886</v>
      </c>
      <c r="S134" s="582">
        <f t="shared" si="193"/>
        <v>27.801132673194047</v>
      </c>
      <c r="T134" s="464"/>
      <c r="U134" s="9">
        <f t="shared" ref="U134:AN134" si="194">+U86-U127</f>
        <v>36.915450489999984</v>
      </c>
      <c r="V134" s="9">
        <f t="shared" si="194"/>
        <v>30.75868808000001</v>
      </c>
      <c r="W134" s="9">
        <f t="shared" si="194"/>
        <v>32.499999999999979</v>
      </c>
      <c r="X134" s="9">
        <f t="shared" si="194"/>
        <v>-2.3472238605215665</v>
      </c>
      <c r="Y134" s="582">
        <f t="shared" si="194"/>
        <v>97.826914709478416</v>
      </c>
      <c r="Z134" s="9">
        <f t="shared" si="194"/>
        <v>39.200000000000003</v>
      </c>
      <c r="AA134" s="9">
        <f t="shared" si="194"/>
        <v>37.732013360000025</v>
      </c>
      <c r="AB134" s="9">
        <f t="shared" si="194"/>
        <v>46.084728079999948</v>
      </c>
      <c r="AC134" s="9">
        <f t="shared" si="194"/>
        <v>-13.700000000000003</v>
      </c>
      <c r="AD134" s="582">
        <f t="shared" si="194"/>
        <v>109.29335060999995</v>
      </c>
      <c r="AE134" s="9">
        <f t="shared" si="194"/>
        <v>30.968927628770032</v>
      </c>
      <c r="AF134" s="9">
        <f t="shared" si="194"/>
        <v>6.9255328334880062</v>
      </c>
      <c r="AG134" s="9">
        <f t="shared" si="194"/>
        <v>11.596792014999991</v>
      </c>
      <c r="AH134" s="9">
        <f t="shared" si="194"/>
        <v>24.473586252741981</v>
      </c>
      <c r="AI134" s="582">
        <f t="shared" si="194"/>
        <v>76.952801762000433</v>
      </c>
      <c r="AJ134" s="9">
        <f t="shared" si="194"/>
        <v>22.514654069999985</v>
      </c>
      <c r="AK134" s="9">
        <f t="shared" si="194"/>
        <v>26.050954820000001</v>
      </c>
      <c r="AL134" s="9">
        <f t="shared" si="194"/>
        <v>19.723350130000014</v>
      </c>
      <c r="AM134" s="9">
        <f t="shared" si="194"/>
        <v>9.0832367056461649</v>
      </c>
      <c r="AN134" s="582">
        <f t="shared" si="194"/>
        <v>77.372195725646179</v>
      </c>
      <c r="AO134" s="9">
        <f t="shared" ref="AO134:BA134" si="195">+AO86-AO131</f>
        <v>31.309667949999977</v>
      </c>
      <c r="AP134" s="9">
        <f t="shared" si="195"/>
        <v>38.057908499999989</v>
      </c>
      <c r="AQ134" s="9">
        <f t="shared" si="195"/>
        <v>32.185961770000041</v>
      </c>
      <c r="AR134" s="9">
        <f t="shared" si="195"/>
        <v>31.492422439999949</v>
      </c>
      <c r="AS134" s="582">
        <f t="shared" si="195"/>
        <v>133.04596065999999</v>
      </c>
      <c r="AT134" s="9">
        <f t="shared" si="195"/>
        <v>41.588999999999999</v>
      </c>
      <c r="AU134" s="9">
        <f t="shared" si="195"/>
        <v>29.579000000000008</v>
      </c>
      <c r="AV134" s="9">
        <f t="shared" si="195"/>
        <v>25.749999999999979</v>
      </c>
      <c r="AW134" s="9">
        <f t="shared" si="195"/>
        <v>-4.6340000000000146</v>
      </c>
      <c r="AX134" s="582">
        <f t="shared" si="195"/>
        <v>92.283999999999963</v>
      </c>
      <c r="AY134" s="9">
        <f t="shared" si="195"/>
        <v>22.085999999999999</v>
      </c>
      <c r="AZ134" s="9">
        <f t="shared" si="195"/>
        <v>3.7320000000000135</v>
      </c>
      <c r="BA134" s="9">
        <f t="shared" si="195"/>
        <v>-4.8659999999999997</v>
      </c>
      <c r="BB134" s="9">
        <f t="shared" ref="BB134:BO134" si="196">+BB86-BB131</f>
        <v>-14.239999999999995</v>
      </c>
      <c r="BC134" s="582">
        <f t="shared" si="196"/>
        <v>6.7120000000000459</v>
      </c>
      <c r="BD134" s="9">
        <f>+BD86-BD131</f>
        <v>0.60200000000000387</v>
      </c>
      <c r="BE134" s="9">
        <f>+BE86-BE131</f>
        <v>4.1978609099999815</v>
      </c>
      <c r="BF134" s="9">
        <f>+BF86-BF131</f>
        <v>6.7274926200000422</v>
      </c>
      <c r="BG134" s="9">
        <f>+BG86-BG131</f>
        <v>-5.6000000000000014</v>
      </c>
      <c r="BH134" s="582">
        <f t="shared" ca="1" si="196"/>
        <v>3.8545465315141314</v>
      </c>
      <c r="BI134" s="9">
        <f>+BI86-BI131</f>
        <v>1.6000000000000014</v>
      </c>
      <c r="BJ134" s="9">
        <f>+BJ86-BJ131</f>
        <v>-7.1999999999999957</v>
      </c>
      <c r="BK134" s="9">
        <f>+BK86-BK131</f>
        <v>-1.3999999999999986</v>
      </c>
      <c r="BL134" s="9">
        <f ca="1">+BL86-BL131</f>
        <v>-1.2899454770124166</v>
      </c>
      <c r="BM134" s="582">
        <f t="shared" ca="1" si="196"/>
        <v>-8.2899454770123953</v>
      </c>
      <c r="BN134" s="582">
        <f t="shared" ca="1" si="196"/>
        <v>4.7995468501742096</v>
      </c>
      <c r="BO134" s="582">
        <f t="shared" ca="1" si="196"/>
        <v>19.077050352826291</v>
      </c>
      <c r="BP134" s="635"/>
      <c r="BQ134" s="584">
        <v>11.566735017813443</v>
      </c>
      <c r="BR134" s="584"/>
      <c r="BS134" s="584"/>
      <c r="BT134" s="584"/>
      <c r="BU134" s="27"/>
      <c r="BV134" s="27"/>
      <c r="BW134" s="27"/>
      <c r="BX134" s="27"/>
      <c r="BY134" s="27"/>
      <c r="BZ134" s="27"/>
      <c r="CA134" s="27"/>
      <c r="CB134" s="27"/>
      <c r="CG134" s="588">
        <f t="shared" ref="CG134:CP134" si="197">IFERROR(J134/E134-1,"N/A")</f>
        <v>0.16880250390466278</v>
      </c>
      <c r="CH134" s="588">
        <f t="shared" si="197"/>
        <v>-7.7307277734310453E-2</v>
      </c>
      <c r="CI134" s="588">
        <f t="shared" si="197"/>
        <v>-0.65320417593301139</v>
      </c>
      <c r="CJ134" s="588">
        <f t="shared" si="197"/>
        <v>4.8841222107916966</v>
      </c>
      <c r="CK134" s="589">
        <f t="shared" si="197"/>
        <v>-0.59600501387415361</v>
      </c>
      <c r="CL134" s="588">
        <f t="shared" si="197"/>
        <v>-0.38209346030611058</v>
      </c>
      <c r="CM134" s="588">
        <f t="shared" si="197"/>
        <v>-0.66666666666666519</v>
      </c>
      <c r="CN134" s="588">
        <f t="shared" si="197"/>
        <v>2.7733568843214536</v>
      </c>
      <c r="CO134" s="588">
        <f t="shared" si="197"/>
        <v>-0.87822536435893628</v>
      </c>
      <c r="CP134" s="589">
        <f t="shared" si="197"/>
        <v>0.88174839691990159</v>
      </c>
      <c r="CQ134" s="588">
        <f>IFERROR(U134/O134-1,"N/A")</f>
        <v>2.8052722020804701</v>
      </c>
      <c r="CR134" s="588">
        <f>IFERROR(V134/P134-1,"N/A")</f>
        <v>6.1531832744185762</v>
      </c>
      <c r="CS134" s="588">
        <f>IFERROR(W134/Q134-1,"N/A")</f>
        <v>1.0312499999999996</v>
      </c>
      <c r="CT134" s="588">
        <f>IFERROR(X134/R134-1,"N/A")</f>
        <v>6.69199366007176E-2</v>
      </c>
      <c r="CU134" s="589">
        <f>IFERROR(Y134/S134-1,"N/A")</f>
        <v>2.5188103973836822</v>
      </c>
      <c r="CV134" s="588">
        <f t="shared" ref="CV134:EI134" si="198">IFERROR(Z134/U134-1,"N/A")</f>
        <v>6.1885998401099762E-2</v>
      </c>
      <c r="CW134" s="588">
        <f t="shared" si="198"/>
        <v>0.22671075118233763</v>
      </c>
      <c r="CX134" s="588">
        <f t="shared" si="198"/>
        <v>0.41799163323076849</v>
      </c>
      <c r="CY134" s="588">
        <f t="shared" si="198"/>
        <v>4.8366823166818804</v>
      </c>
      <c r="CZ134" s="589">
        <f t="shared" si="198"/>
        <v>0.11721146409016359</v>
      </c>
      <c r="DA134" s="706">
        <f t="shared" si="198"/>
        <v>-0.20997633600076449</v>
      </c>
      <c r="DB134" s="706">
        <f t="shared" si="198"/>
        <v>-0.81645472327671198</v>
      </c>
      <c r="DC134" s="706">
        <f t="shared" si="198"/>
        <v>-0.74835932643740999</v>
      </c>
      <c r="DD134" s="706">
        <f t="shared" si="198"/>
        <v>-2.7863931571344507</v>
      </c>
      <c r="DE134" s="707">
        <f t="shared" si="198"/>
        <v>-0.29590591438085589</v>
      </c>
      <c r="DF134" s="706">
        <f t="shared" si="198"/>
        <v>-0.27299213134251554</v>
      </c>
      <c r="DG134" s="706">
        <f t="shared" si="198"/>
        <v>2.7615813030344962</v>
      </c>
      <c r="DH134" s="706">
        <f t="shared" si="198"/>
        <v>0.70075914998636191</v>
      </c>
      <c r="DI134" s="706">
        <f t="shared" si="198"/>
        <v>-0.62885550928897915</v>
      </c>
      <c r="DJ134" s="707">
        <f t="shared" si="198"/>
        <v>5.4500155165611019E-3</v>
      </c>
      <c r="DK134" s="706">
        <f t="shared" si="198"/>
        <v>0.39063508826986815</v>
      </c>
      <c r="DL134" s="706">
        <f t="shared" si="198"/>
        <v>0.46090263343368654</v>
      </c>
      <c r="DM134" s="706">
        <f t="shared" si="198"/>
        <v>0.63187093256758087</v>
      </c>
      <c r="DN134" s="706">
        <f t="shared" si="198"/>
        <v>2.4670925640883246</v>
      </c>
      <c r="DO134" s="707">
        <f t="shared" si="198"/>
        <v>0.71955777411005939</v>
      </c>
      <c r="DP134" s="706">
        <f t="shared" si="198"/>
        <v>0.32831175553875624</v>
      </c>
      <c r="DQ134" s="706">
        <f t="shared" si="198"/>
        <v>-0.22278966013069224</v>
      </c>
      <c r="DR134" s="706">
        <f t="shared" si="198"/>
        <v>-0.19996176643690999</v>
      </c>
      <c r="DS134" s="706">
        <f t="shared" si="198"/>
        <v>-1.1471465083014434</v>
      </c>
      <c r="DT134" s="707">
        <f t="shared" si="198"/>
        <v>-0.30637503354323958</v>
      </c>
      <c r="DU134" s="706">
        <f t="shared" si="198"/>
        <v>-0.4689461155594028</v>
      </c>
      <c r="DV134" s="706">
        <f t="shared" si="198"/>
        <v>-0.87382940599749781</v>
      </c>
      <c r="DW134" s="706">
        <f t="shared" si="198"/>
        <v>-1.188970873786408</v>
      </c>
      <c r="DX134" s="706">
        <f t="shared" si="198"/>
        <v>2.0729391454466874</v>
      </c>
      <c r="DY134" s="707">
        <f t="shared" si="198"/>
        <v>-0.92726799878635469</v>
      </c>
      <c r="DZ134" s="706">
        <f t="shared" si="198"/>
        <v>-0.97274291406320723</v>
      </c>
      <c r="EA134" s="706">
        <f t="shared" si="198"/>
        <v>0.12482875401928362</v>
      </c>
      <c r="EB134" s="706">
        <f t="shared" si="198"/>
        <v>-2.3825508877928572</v>
      </c>
      <c r="EC134" s="706">
        <f t="shared" si="198"/>
        <v>-0.60674157303370757</v>
      </c>
      <c r="ED134" s="707">
        <f t="shared" ca="1" si="198"/>
        <v>-0.42572310317131923</v>
      </c>
      <c r="EE134" s="706">
        <f t="shared" si="198"/>
        <v>1.6578073089700851</v>
      </c>
      <c r="EF134" s="706">
        <f t="shared" si="198"/>
        <v>-2.7151592571465231</v>
      </c>
      <c r="EG134" s="706">
        <f t="shared" si="198"/>
        <v>-1.2081013059513381</v>
      </c>
      <c r="EH134" s="706">
        <f t="shared" ca="1" si="198"/>
        <v>-0.76965259339063996</v>
      </c>
      <c r="EI134" s="707">
        <f t="shared" ca="1" si="198"/>
        <v>-3.1506928011466924</v>
      </c>
      <c r="EJ134" s="707">
        <f ca="1">IFERROR(BN134/BM134-1,"N/A")</f>
        <v>-1.578960002026927</v>
      </c>
      <c r="EK134" s="707">
        <f ca="1">IFERROR(BO134/BN134-1,"N/A")</f>
        <v>2.9747607322832672</v>
      </c>
    </row>
    <row r="135" spans="2:141">
      <c r="DA135" s="708"/>
      <c r="DB135" s="708"/>
      <c r="DC135" s="708"/>
      <c r="DD135" s="708"/>
      <c r="DE135" s="709"/>
      <c r="DF135" s="708"/>
      <c r="DG135" s="708"/>
      <c r="DH135" s="708"/>
      <c r="DI135" s="708"/>
      <c r="DJ135" s="709"/>
      <c r="DK135" s="708"/>
      <c r="DL135" s="708"/>
      <c r="DM135" s="708"/>
      <c r="DN135" s="708"/>
      <c r="DO135" s="709"/>
      <c r="DP135" s="708"/>
      <c r="DQ135" s="708"/>
      <c r="DR135" s="708"/>
      <c r="DS135" s="708"/>
      <c r="DT135" s="709"/>
      <c r="DU135" s="708"/>
      <c r="DV135" s="708"/>
      <c r="DW135" s="708"/>
      <c r="DX135" s="708"/>
      <c r="DY135" s="709"/>
      <c r="DZ135" s="708"/>
      <c r="EA135" s="708"/>
      <c r="EB135" s="708"/>
      <c r="EC135" s="708"/>
      <c r="ED135" s="709"/>
      <c r="EE135" s="708"/>
      <c r="EF135" s="708"/>
      <c r="EG135" s="708"/>
      <c r="EH135" s="708"/>
      <c r="EI135" s="709"/>
      <c r="EJ135" s="709"/>
      <c r="EK135" s="709"/>
    </row>
    <row r="136" spans="2:141">
      <c r="DA136" s="708"/>
      <c r="DB136" s="708"/>
      <c r="DC136" s="708"/>
      <c r="DD136" s="708"/>
      <c r="DE136" s="709"/>
      <c r="DF136" s="708"/>
      <c r="DG136" s="708"/>
      <c r="DH136" s="708"/>
      <c r="DI136" s="708"/>
      <c r="DJ136" s="709"/>
      <c r="DK136" s="708"/>
      <c r="DL136" s="708"/>
      <c r="DM136" s="708"/>
      <c r="DN136" s="708"/>
      <c r="DO136" s="709"/>
      <c r="DP136" s="708"/>
      <c r="DQ136" s="708"/>
      <c r="DR136" s="708"/>
      <c r="DS136" s="708"/>
      <c r="DT136" s="709"/>
      <c r="DU136" s="708"/>
      <c r="DV136" s="708"/>
      <c r="DW136" s="708"/>
      <c r="DX136" s="708"/>
      <c r="DY136" s="709"/>
      <c r="DZ136" s="708"/>
      <c r="EA136" s="708"/>
      <c r="EB136" s="708"/>
      <c r="EC136" s="708"/>
      <c r="ED136" s="709"/>
      <c r="EE136" s="708"/>
      <c r="EF136" s="708"/>
      <c r="EG136" s="708"/>
      <c r="EH136" s="708"/>
      <c r="EI136" s="709"/>
      <c r="EJ136" s="709"/>
      <c r="EK136" s="709"/>
    </row>
    <row r="137" spans="2:141" s="512" customFormat="1" collapsed="1">
      <c r="B137" s="579" t="s">
        <v>1230</v>
      </c>
      <c r="C137" s="579"/>
      <c r="D137" s="552"/>
      <c r="E137" s="550"/>
      <c r="F137" s="550"/>
      <c r="G137" s="550"/>
      <c r="H137" s="550"/>
      <c r="I137" s="552"/>
      <c r="J137" s="550"/>
      <c r="K137" s="550"/>
      <c r="L137" s="550"/>
      <c r="M137" s="550"/>
      <c r="N137" s="552" t="str">
        <f>N$2</f>
        <v>FY14</v>
      </c>
      <c r="O137" s="550" t="str">
        <f t="shared" ref="O137:BO137" si="199">O$2</f>
        <v>1Q15</v>
      </c>
      <c r="P137" s="550" t="str">
        <f t="shared" si="199"/>
        <v>2Q15</v>
      </c>
      <c r="Q137" s="550" t="str">
        <f t="shared" si="199"/>
        <v>3Q15</v>
      </c>
      <c r="R137" s="550" t="str">
        <f t="shared" si="199"/>
        <v>4Q15</v>
      </c>
      <c r="S137" s="552" t="str">
        <f t="shared" si="199"/>
        <v>FY15</v>
      </c>
      <c r="T137" s="580" t="str">
        <f t="shared" si="199"/>
        <v>Q1 15</v>
      </c>
      <c r="U137" s="550" t="str">
        <f t="shared" si="199"/>
        <v>Q1 16</v>
      </c>
      <c r="V137" s="550" t="str">
        <f t="shared" si="199"/>
        <v>Q2 16</v>
      </c>
      <c r="W137" s="550" t="str">
        <f t="shared" si="199"/>
        <v>Q3 16</v>
      </c>
      <c r="X137" s="550" t="str">
        <f t="shared" si="199"/>
        <v>Q4 16</v>
      </c>
      <c r="Y137" s="552" t="str">
        <f t="shared" si="199"/>
        <v>FY16</v>
      </c>
      <c r="Z137" s="550" t="str">
        <f t="shared" si="199"/>
        <v>Q1 17</v>
      </c>
      <c r="AA137" s="550" t="str">
        <f t="shared" si="199"/>
        <v>Q2 17</v>
      </c>
      <c r="AB137" s="550" t="str">
        <f t="shared" si="199"/>
        <v>Q3 17</v>
      </c>
      <c r="AC137" s="550" t="str">
        <f t="shared" si="199"/>
        <v>Q4 17</v>
      </c>
      <c r="AD137" s="552">
        <f t="shared" si="199"/>
        <v>2017</v>
      </c>
      <c r="AE137" s="550" t="str">
        <f t="shared" si="199"/>
        <v>Q1 18</v>
      </c>
      <c r="AF137" s="550" t="str">
        <f t="shared" si="199"/>
        <v>Q2 18</v>
      </c>
      <c r="AG137" s="550" t="str">
        <f t="shared" si="199"/>
        <v>Q3 18</v>
      </c>
      <c r="AH137" s="550" t="str">
        <f t="shared" si="199"/>
        <v>Q4 18</v>
      </c>
      <c r="AI137" s="552">
        <f t="shared" si="199"/>
        <v>2018</v>
      </c>
      <c r="AJ137" s="209" t="str">
        <f>AJ$2</f>
        <v>Q1 19</v>
      </c>
      <c r="AK137" s="209" t="str">
        <f>AK$2</f>
        <v>Q2 19</v>
      </c>
      <c r="AL137" s="209" t="str">
        <f>AL$2</f>
        <v>Q3 19</v>
      </c>
      <c r="AM137" s="209" t="str">
        <f>AM$2</f>
        <v>Q4 19</v>
      </c>
      <c r="AN137" s="552">
        <f t="shared" si="199"/>
        <v>2019</v>
      </c>
      <c r="AO137" s="209" t="str">
        <f>AO$2</f>
        <v>Q1 20</v>
      </c>
      <c r="AP137" s="209" t="str">
        <f>AP$2</f>
        <v>Q2 20</v>
      </c>
      <c r="AQ137" s="209" t="str">
        <f>AQ$2</f>
        <v>Q3 20</v>
      </c>
      <c r="AR137" s="209" t="str">
        <f>AR$2</f>
        <v>Q4 20</v>
      </c>
      <c r="AS137" s="552">
        <f t="shared" si="199"/>
        <v>2020</v>
      </c>
      <c r="AT137" s="209" t="str">
        <f>AT$2</f>
        <v>Q1 21</v>
      </c>
      <c r="AU137" s="209" t="str">
        <f>AU$2</f>
        <v>Q2 21</v>
      </c>
      <c r="AV137" s="209" t="str">
        <f>AV$2</f>
        <v>Q3 21</v>
      </c>
      <c r="AW137" s="209" t="str">
        <f>AW$2</f>
        <v>Q4 21</v>
      </c>
      <c r="AX137" s="552">
        <f t="shared" si="199"/>
        <v>2021</v>
      </c>
      <c r="AY137" s="209" t="str">
        <f>AY$2</f>
        <v>Q1 22</v>
      </c>
      <c r="AZ137" s="209" t="str">
        <f>AZ$2</f>
        <v>Q2 22</v>
      </c>
      <c r="BA137" s="209" t="str">
        <f>BA$2</f>
        <v>Q3 22</v>
      </c>
      <c r="BB137" s="209" t="str">
        <f>BB$2</f>
        <v>Q4 22</v>
      </c>
      <c r="BC137" s="552">
        <f t="shared" si="199"/>
        <v>2022</v>
      </c>
      <c r="BD137" s="209" t="str">
        <f>BD$2</f>
        <v>Q1 23</v>
      </c>
      <c r="BE137" s="209" t="str">
        <f>BE$2</f>
        <v>Q2 23</v>
      </c>
      <c r="BF137" s="209" t="str">
        <f>BF$2</f>
        <v>Q3 23</v>
      </c>
      <c r="BG137" s="209" t="str">
        <f>BG$2</f>
        <v>Q4 23</v>
      </c>
      <c r="BH137" s="552">
        <f t="shared" si="199"/>
        <v>2023</v>
      </c>
      <c r="BI137" s="209" t="str">
        <f>BI$2</f>
        <v>Q1 24</v>
      </c>
      <c r="BJ137" s="209" t="str">
        <f>BJ$2</f>
        <v>Q2 24</v>
      </c>
      <c r="BK137" s="209" t="str">
        <f>BK$2</f>
        <v>Q3 24</v>
      </c>
      <c r="BL137" s="209" t="str">
        <f>BL$2</f>
        <v>Q4 24</v>
      </c>
      <c r="BM137" s="552">
        <f t="shared" si="199"/>
        <v>2024</v>
      </c>
      <c r="BN137" s="552">
        <f t="shared" si="199"/>
        <v>2025</v>
      </c>
      <c r="BO137" s="552">
        <f t="shared" si="199"/>
        <v>2026</v>
      </c>
      <c r="BP137" s="209"/>
      <c r="BQ137" s="566" t="s">
        <v>985</v>
      </c>
      <c r="BR137" s="566" t="s">
        <v>1087</v>
      </c>
      <c r="BS137" s="566" t="s">
        <v>1183</v>
      </c>
      <c r="BT137" s="566" t="s">
        <v>1087</v>
      </c>
      <c r="BV137" s="550" t="s">
        <v>78</v>
      </c>
      <c r="BW137" s="550" t="s">
        <v>6</v>
      </c>
      <c r="BX137" s="550"/>
      <c r="BY137" s="550" t="s">
        <v>860</v>
      </c>
      <c r="BZ137" s="550" t="s">
        <v>861</v>
      </c>
      <c r="CA137" s="550" t="s">
        <v>862</v>
      </c>
      <c r="CB137" s="550" t="s">
        <v>863</v>
      </c>
      <c r="CC137" s="550">
        <f>+CC85</f>
        <v>0</v>
      </c>
      <c r="CK137" s="581"/>
      <c r="CP137" s="581"/>
      <c r="CU137" s="581"/>
      <c r="CZ137" s="581"/>
      <c r="DA137" s="714"/>
      <c r="DB137" s="714"/>
      <c r="DC137" s="714"/>
      <c r="DD137" s="714"/>
      <c r="DE137" s="715"/>
      <c r="DF137" s="714"/>
      <c r="DG137" s="714"/>
      <c r="DH137" s="714"/>
      <c r="DI137" s="714"/>
      <c r="DJ137" s="715"/>
      <c r="DK137" s="714"/>
      <c r="DL137" s="714"/>
      <c r="DM137" s="714"/>
      <c r="DN137" s="714"/>
      <c r="DO137" s="715"/>
      <c r="DP137" s="714"/>
      <c r="DQ137" s="714"/>
      <c r="DR137" s="714"/>
      <c r="DS137" s="714"/>
      <c r="DT137" s="715"/>
      <c r="DU137" s="714"/>
      <c r="DV137" s="714"/>
      <c r="DW137" s="714"/>
      <c r="DX137" s="714"/>
      <c r="DY137" s="715"/>
      <c r="DZ137" s="714"/>
      <c r="EA137" s="714"/>
      <c r="EB137" s="714"/>
      <c r="EC137" s="714"/>
      <c r="ED137" s="715"/>
      <c r="EE137" s="714"/>
      <c r="EF137" s="714"/>
      <c r="EG137" s="714"/>
      <c r="EH137" s="714"/>
      <c r="EI137" s="715"/>
      <c r="EJ137" s="715"/>
      <c r="EK137" s="715"/>
    </row>
    <row r="138" spans="2:141">
      <c r="B138" s="212" t="s">
        <v>27</v>
      </c>
      <c r="D138" s="690"/>
      <c r="E138" s="691"/>
      <c r="F138" s="691"/>
      <c r="G138" s="691"/>
      <c r="H138" s="691"/>
      <c r="I138" s="690"/>
      <c r="J138" s="691"/>
      <c r="K138" s="691"/>
      <c r="L138" s="691"/>
      <c r="M138" s="691"/>
      <c r="N138" s="690"/>
      <c r="O138" s="691">
        <f t="shared" ref="O138:AC138" si="200">O96</f>
        <v>20.095153703194065</v>
      </c>
      <c r="P138" s="691">
        <f t="shared" si="200"/>
        <v>25.600000000000016</v>
      </c>
      <c r="Q138" s="691">
        <f t="shared" si="200"/>
        <v>22.799999999999994</v>
      </c>
      <c r="R138" s="691">
        <f t="shared" si="200"/>
        <v>4.4000000000000128</v>
      </c>
      <c r="S138" s="690">
        <f t="shared" si="200"/>
        <v>72.89515370319404</v>
      </c>
      <c r="T138" s="692">
        <f t="shared" si="200"/>
        <v>43.400000000000006</v>
      </c>
      <c r="U138" s="691">
        <f t="shared" si="200"/>
        <v>46.017073679999982</v>
      </c>
      <c r="V138" s="691">
        <f t="shared" si="200"/>
        <v>46.404722360000008</v>
      </c>
      <c r="W138" s="691">
        <f t="shared" si="200"/>
        <v>57.199999999999982</v>
      </c>
      <c r="X138" s="691">
        <f t="shared" si="200"/>
        <v>69.300000000000011</v>
      </c>
      <c r="Y138" s="818">
        <f t="shared" si="200"/>
        <v>218.92179604</v>
      </c>
      <c r="Z138" s="817">
        <f t="shared" si="200"/>
        <v>56.55007457</v>
      </c>
      <c r="AA138" s="817">
        <f t="shared" si="200"/>
        <v>50.276923080000017</v>
      </c>
      <c r="AB138" s="817">
        <f t="shared" si="200"/>
        <v>49.140176349999955</v>
      </c>
      <c r="AC138" s="817">
        <f t="shared" si="200"/>
        <v>40.599999999999994</v>
      </c>
      <c r="AD138" s="818">
        <f>Model!G125</f>
        <v>196.7</v>
      </c>
      <c r="AE138" s="817">
        <f t="shared" ref="AE138:AM138" si="201">AE96</f>
        <v>51.521794239999984</v>
      </c>
      <c r="AF138" s="817">
        <f t="shared" si="201"/>
        <v>38.251350729999999</v>
      </c>
      <c r="AG138" s="817">
        <f t="shared" si="201"/>
        <v>49.920706809999999</v>
      </c>
      <c r="AH138" s="817">
        <f t="shared" si="201"/>
        <v>46.914010470000015</v>
      </c>
      <c r="AI138" s="818">
        <f t="shared" si="201"/>
        <v>189.59582528200042</v>
      </c>
      <c r="AJ138" s="817">
        <f t="shared" si="201"/>
        <v>47.482674279999983</v>
      </c>
      <c r="AK138" s="817">
        <f t="shared" si="201"/>
        <v>50.350954819999998</v>
      </c>
      <c r="AL138" s="817">
        <f t="shared" si="201"/>
        <v>57.089738540000013</v>
      </c>
      <c r="AM138" s="817">
        <f t="shared" si="201"/>
        <v>59.206921549999969</v>
      </c>
      <c r="AN138" s="818">
        <f>AM138+AL138+AK138+AJ138</f>
        <v>214.13028918999998</v>
      </c>
      <c r="AO138" s="817">
        <f>AO96</f>
        <v>55.520411019999976</v>
      </c>
      <c r="AP138" s="817">
        <f>AP96</f>
        <v>57.038166509999989</v>
      </c>
      <c r="AQ138" s="817">
        <f>AQ96</f>
        <v>55.133422470000035</v>
      </c>
      <c r="AR138" s="817">
        <f>AR96</f>
        <v>55.210999999999991</v>
      </c>
      <c r="AS138" s="818">
        <f>AR138+AQ138+AP138+AO138</f>
        <v>222.90299999999999</v>
      </c>
      <c r="AT138" s="817">
        <f>AT96</f>
        <v>48.298000000000002</v>
      </c>
      <c r="AU138" s="817">
        <f>AU96</f>
        <v>54.728999999999999</v>
      </c>
      <c r="AV138" s="817">
        <f>AV96</f>
        <v>52.820000000000007</v>
      </c>
      <c r="AW138" s="817">
        <f>AW96</f>
        <v>46.516000000000005</v>
      </c>
      <c r="AX138" s="818">
        <f>AW138+AV138+AU138+AT138</f>
        <v>202.363</v>
      </c>
      <c r="AY138" s="817">
        <f>AY96</f>
        <v>47.304000000000002</v>
      </c>
      <c r="AZ138" s="817">
        <f>AZ96</f>
        <v>46.451999999999998</v>
      </c>
      <c r="BA138" s="817">
        <f>BA96</f>
        <v>44.944999999999993</v>
      </c>
      <c r="BB138" s="817">
        <f>BB96</f>
        <v>24.599000000000018</v>
      </c>
      <c r="BC138" s="818">
        <f ca="1">Model!L125</f>
        <v>163.30000000000001</v>
      </c>
      <c r="BD138" s="817">
        <f>BD96</f>
        <v>41.000999999999998</v>
      </c>
      <c r="BE138" s="817">
        <f>BE96</f>
        <v>45.776782299999986</v>
      </c>
      <c r="BF138" s="817">
        <f>BF96</f>
        <v>36.096445570000029</v>
      </c>
      <c r="BG138" s="817">
        <f>BG96</f>
        <v>20.5</v>
      </c>
      <c r="BH138" s="818">
        <f>Model!M125</f>
        <v>143.30000000000001</v>
      </c>
      <c r="BI138" s="817">
        <f>BI96</f>
        <v>32.1</v>
      </c>
      <c r="BJ138" s="817">
        <f>BJ96</f>
        <v>35</v>
      </c>
      <c r="BK138" s="817">
        <f>BK96</f>
        <v>38.299999999999997</v>
      </c>
      <c r="BL138" s="817">
        <f ca="1">BL96</f>
        <v>34.579749544019919</v>
      </c>
      <c r="BM138" s="818">
        <f ca="1">Model!N125</f>
        <v>139.97974954401991</v>
      </c>
      <c r="BN138" s="818">
        <f ca="1">Model!O125</f>
        <v>167.26576222893047</v>
      </c>
      <c r="BO138" s="818">
        <f ca="1">Model!P125</f>
        <v>189.68398168306288</v>
      </c>
      <c r="BP138" s="637"/>
      <c r="BQ138" s="692">
        <v>56.998883127400035</v>
      </c>
      <c r="BR138" s="659">
        <f>$AR138/BQ138-1</f>
        <v>-3.1366985268884817E-2</v>
      </c>
      <c r="BS138" s="592"/>
      <c r="BT138" s="592"/>
      <c r="DA138" s="708"/>
      <c r="DB138" s="708"/>
      <c r="DC138" s="708"/>
      <c r="DD138" s="708"/>
      <c r="DE138" s="709"/>
      <c r="DF138" s="704">
        <f t="shared" ref="DF138:DO140" si="202">IFERROR(AJ138/AE138-1,"N/A")</f>
        <v>-7.8396337308923703E-2</v>
      </c>
      <c r="DG138" s="704">
        <f t="shared" si="202"/>
        <v>0.31631834847888007</v>
      </c>
      <c r="DH138" s="704">
        <f t="shared" si="202"/>
        <v>0.14360837792793291</v>
      </c>
      <c r="DI138" s="704">
        <f t="shared" si="202"/>
        <v>0.26203070163572706</v>
      </c>
      <c r="DJ138" s="705">
        <f t="shared" si="202"/>
        <v>0.12940403023910241</v>
      </c>
      <c r="DK138" s="704">
        <f t="shared" si="202"/>
        <v>0.16927725453293485</v>
      </c>
      <c r="DL138" s="704">
        <f t="shared" si="202"/>
        <v>0.13281201347434535</v>
      </c>
      <c r="DM138" s="704">
        <f t="shared" si="202"/>
        <v>-3.4267385348582091E-2</v>
      </c>
      <c r="DN138" s="704">
        <f t="shared" si="202"/>
        <v>-6.7490783938587984E-2</v>
      </c>
      <c r="DO138" s="705">
        <f t="shared" si="202"/>
        <v>4.0969032653833892E-2</v>
      </c>
      <c r="DP138" s="704">
        <f t="shared" ref="DP138:DY140" si="203">IFERROR(AT138/AO138-1,"N/A")</f>
        <v>-0.13008569078132837</v>
      </c>
      <c r="DQ138" s="704">
        <f t="shared" si="203"/>
        <v>-4.0484585169741516E-2</v>
      </c>
      <c r="DR138" s="704">
        <f t="shared" si="203"/>
        <v>-4.1960436453202909E-2</v>
      </c>
      <c r="DS138" s="704">
        <f t="shared" si="203"/>
        <v>-0.15748673271630631</v>
      </c>
      <c r="DT138" s="705">
        <f t="shared" si="203"/>
        <v>-9.2147705504187938E-2</v>
      </c>
      <c r="DU138" s="704">
        <f t="shared" si="203"/>
        <v>-2.0580562342125908E-2</v>
      </c>
      <c r="DV138" s="704">
        <f t="shared" si="203"/>
        <v>-0.15123609055528153</v>
      </c>
      <c r="DW138" s="704">
        <f t="shared" si="203"/>
        <v>-0.14909125331313922</v>
      </c>
      <c r="DX138" s="704">
        <f t="shared" si="203"/>
        <v>-0.47117120990626848</v>
      </c>
      <c r="DY138" s="705">
        <f t="shared" ca="1" si="203"/>
        <v>-0.19303429974847175</v>
      </c>
      <c r="DZ138" s="704">
        <f t="shared" ref="DZ138:EI140" si="204">IFERROR(BD138/AY138-1,"N/A")</f>
        <v>-0.13324454591577883</v>
      </c>
      <c r="EA138" s="704">
        <f t="shared" si="204"/>
        <v>-1.4535815465426927E-2</v>
      </c>
      <c r="EB138" s="704">
        <f t="shared" si="204"/>
        <v>-0.19687516809433681</v>
      </c>
      <c r="EC138" s="704">
        <f t="shared" si="204"/>
        <v>-0.16663278995081166</v>
      </c>
      <c r="ED138" s="705">
        <f t="shared" ca="1" si="204"/>
        <v>-0.12247397428046536</v>
      </c>
      <c r="EE138" s="704">
        <f t="shared" si="204"/>
        <v>-0.21709226604229159</v>
      </c>
      <c r="EF138" s="704">
        <f t="shared" si="204"/>
        <v>-0.23542026674950434</v>
      </c>
      <c r="EG138" s="704">
        <f t="shared" si="204"/>
        <v>6.1046299578908059E-2</v>
      </c>
      <c r="EH138" s="704">
        <f t="shared" ca="1" si="204"/>
        <v>0.68681705092780088</v>
      </c>
      <c r="EI138" s="705">
        <f t="shared" ca="1" si="204"/>
        <v>-2.3169926419958853E-2</v>
      </c>
      <c r="EJ138" s="705">
        <f t="shared" ref="EJ138:EK140" ca="1" si="205">IFERROR(BN138/BM138-1,"N/A")</f>
        <v>0.19492828622564318</v>
      </c>
      <c r="EK138" s="705">
        <f t="shared" ca="1" si="205"/>
        <v>0.13402754488063984</v>
      </c>
    </row>
    <row r="139" spans="2:141">
      <c r="B139" s="212" t="s">
        <v>161</v>
      </c>
      <c r="D139" s="690"/>
      <c r="E139" s="691"/>
      <c r="F139" s="691"/>
      <c r="G139" s="691"/>
      <c r="H139" s="691"/>
      <c r="I139" s="690"/>
      <c r="J139" s="691"/>
      <c r="K139" s="691"/>
      <c r="L139" s="691"/>
      <c r="M139" s="691"/>
      <c r="N139" s="690"/>
      <c r="O139" s="691">
        <f t="shared" ref="O139:AC139" si="206">-O127</f>
        <v>-14.694021029999998</v>
      </c>
      <c r="P139" s="691">
        <f t="shared" si="206"/>
        <v>-23.4</v>
      </c>
      <c r="Q139" s="691">
        <f t="shared" si="206"/>
        <v>-21</v>
      </c>
      <c r="R139" s="691">
        <f t="shared" si="206"/>
        <v>-54.1</v>
      </c>
      <c r="S139" s="690">
        <f t="shared" si="206"/>
        <v>-113.19402102999999</v>
      </c>
      <c r="T139" s="692">
        <f t="shared" si="206"/>
        <v>0</v>
      </c>
      <c r="U139" s="691">
        <f t="shared" si="206"/>
        <v>-19.5</v>
      </c>
      <c r="V139" s="691">
        <f t="shared" si="206"/>
        <v>-28.3</v>
      </c>
      <c r="W139" s="691">
        <f t="shared" si="206"/>
        <v>-31.1</v>
      </c>
      <c r="X139" s="691">
        <f t="shared" si="206"/>
        <v>-73.447223860521575</v>
      </c>
      <c r="Y139" s="818">
        <f t="shared" si="206"/>
        <v>-152.34722386052158</v>
      </c>
      <c r="Z139" s="817">
        <f t="shared" si="206"/>
        <v>-21.9</v>
      </c>
      <c r="AA139" s="817">
        <f t="shared" si="206"/>
        <v>-24.7</v>
      </c>
      <c r="AB139" s="817">
        <f t="shared" si="206"/>
        <v>-22.2</v>
      </c>
      <c r="AC139" s="817">
        <f t="shared" si="206"/>
        <v>-86.5</v>
      </c>
      <c r="AD139" s="818">
        <f>Model!G126</f>
        <v>-155.9</v>
      </c>
      <c r="AE139" s="817">
        <f t="shared" ref="AE139:AM139" si="207">-AE127</f>
        <v>-31.45286661122995</v>
      </c>
      <c r="AF139" s="817">
        <f t="shared" si="207"/>
        <v>-45.679408636511994</v>
      </c>
      <c r="AG139" s="817">
        <f t="shared" si="207"/>
        <v>-47.030824565000003</v>
      </c>
      <c r="AH139" s="817">
        <f t="shared" si="207"/>
        <v>-34.868673407258044</v>
      </c>
      <c r="AI139" s="818">
        <f t="shared" si="207"/>
        <v>-159.03177321999999</v>
      </c>
      <c r="AJ139" s="817">
        <f t="shared" si="207"/>
        <v>-34.299999999999997</v>
      </c>
      <c r="AK139" s="817">
        <f t="shared" si="207"/>
        <v>-32.299999999999997</v>
      </c>
      <c r="AL139" s="817">
        <f t="shared" si="207"/>
        <v>-41.499999999999993</v>
      </c>
      <c r="AM139" s="817">
        <f t="shared" si="207"/>
        <v>-53.981875354353804</v>
      </c>
      <c r="AN139" s="818">
        <f>AM139+AL139+AK139+AJ139</f>
        <v>-162.0818753543538</v>
      </c>
      <c r="AO139" s="817">
        <f>-AO131</f>
        <v>-25.808</v>
      </c>
      <c r="AP139" s="817">
        <f>-AP131</f>
        <v>-22.685000000000002</v>
      </c>
      <c r="AQ139" s="817">
        <f>-AQ131</f>
        <v>-27.344999999999992</v>
      </c>
      <c r="AR139" s="817">
        <f>-AR131</f>
        <v>-33.300000000000004</v>
      </c>
      <c r="AS139" s="818">
        <f>AR139+AQ139+AP139+AO139</f>
        <v>-109.13800000000001</v>
      </c>
      <c r="AT139" s="817">
        <f>-AT131</f>
        <v>-20.439</v>
      </c>
      <c r="AU139" s="817">
        <f>-AU131</f>
        <v>-27.762999999999998</v>
      </c>
      <c r="AV139" s="817">
        <f>-AV131</f>
        <v>-32.528000000000006</v>
      </c>
      <c r="AW139" s="817">
        <f>-AW131</f>
        <v>-53.439000000000014</v>
      </c>
      <c r="AX139" s="818">
        <f>AW139+AV139+AU139+AT139</f>
        <v>-134.16900000000001</v>
      </c>
      <c r="AY139" s="817">
        <f>-AY131</f>
        <v>-26.881</v>
      </c>
      <c r="AZ139" s="817">
        <f>-AZ131</f>
        <v>-44.837999999999994</v>
      </c>
      <c r="BA139" s="817">
        <f>-BA131</f>
        <v>-53.212000000000003</v>
      </c>
      <c r="BB139" s="817">
        <f>-BB131</f>
        <v>-49.94</v>
      </c>
      <c r="BC139" s="818">
        <f>Model!L126</f>
        <v>-186</v>
      </c>
      <c r="BD139" s="817">
        <f>-BD131</f>
        <v>-43.558</v>
      </c>
      <c r="BE139" s="817">
        <f>-BE131</f>
        <v>-44.473000000000006</v>
      </c>
      <c r="BF139" s="817">
        <f>-BF131</f>
        <v>-41.894999999999982</v>
      </c>
      <c r="BG139" s="817">
        <f>-BG131</f>
        <v>-57.2</v>
      </c>
      <c r="BH139" s="818">
        <f>Model!M126</f>
        <v>-187</v>
      </c>
      <c r="BI139" s="817">
        <f>-BI131</f>
        <v>-46.3</v>
      </c>
      <c r="BJ139" s="817">
        <f>-BJ131</f>
        <v>-52.3</v>
      </c>
      <c r="BK139" s="817">
        <f>-BK131</f>
        <v>-50</v>
      </c>
      <c r="BL139" s="817">
        <f ca="1">-BL131</f>
        <v>-44.66969502103241</v>
      </c>
      <c r="BM139" s="818">
        <f ca="1">Model!N126</f>
        <v>-193.26969502103239</v>
      </c>
      <c r="BN139" s="818">
        <f ca="1">Model!O126</f>
        <v>-187.46621537875632</v>
      </c>
      <c r="BO139" s="818">
        <f ca="1">Model!P126</f>
        <v>-190.60693133023656</v>
      </c>
      <c r="BP139" s="637"/>
      <c r="BQ139" s="692">
        <v>-35</v>
      </c>
      <c r="BR139" s="659">
        <f>$AR139/BQ139-1</f>
        <v>-4.8571428571428488E-2</v>
      </c>
      <c r="BS139" s="592"/>
      <c r="BT139" s="592"/>
      <c r="DA139" s="708"/>
      <c r="DB139" s="708"/>
      <c r="DC139" s="708"/>
      <c r="DD139" s="708"/>
      <c r="DE139" s="709"/>
      <c r="DF139" s="704">
        <f t="shared" si="202"/>
        <v>9.0520632791972755E-2</v>
      </c>
      <c r="DG139" s="704">
        <f t="shared" si="202"/>
        <v>-0.29289802639471352</v>
      </c>
      <c r="DH139" s="704">
        <f t="shared" si="202"/>
        <v>-0.11759999141320621</v>
      </c>
      <c r="DI139" s="704">
        <f t="shared" si="202"/>
        <v>0.54814823964932602</v>
      </c>
      <c r="DJ139" s="705">
        <f t="shared" si="202"/>
        <v>1.9179199681905068E-2</v>
      </c>
      <c r="DK139" s="704">
        <f t="shared" si="202"/>
        <v>-0.24758017492711359</v>
      </c>
      <c r="DL139" s="704">
        <f t="shared" si="202"/>
        <v>-0.2976780185758513</v>
      </c>
      <c r="DM139" s="704">
        <f t="shared" si="202"/>
        <v>-0.34108433734939769</v>
      </c>
      <c r="DN139" s="704">
        <f t="shared" si="202"/>
        <v>-0.38312628486119726</v>
      </c>
      <c r="DO139" s="705">
        <f t="shared" si="202"/>
        <v>-0.32664895589716303</v>
      </c>
      <c r="DP139" s="704">
        <f t="shared" si="203"/>
        <v>-0.20803626782393059</v>
      </c>
      <c r="DQ139" s="704">
        <f t="shared" si="203"/>
        <v>0.22384835794577884</v>
      </c>
      <c r="DR139" s="704">
        <f t="shared" si="203"/>
        <v>0.18954104955202111</v>
      </c>
      <c r="DS139" s="704">
        <f t="shared" si="203"/>
        <v>0.60477477477477493</v>
      </c>
      <c r="DT139" s="705">
        <f t="shared" si="203"/>
        <v>0.22935182979347246</v>
      </c>
      <c r="DU139" s="704">
        <f t="shared" si="203"/>
        <v>0.31518176036009593</v>
      </c>
      <c r="DV139" s="704">
        <f t="shared" si="203"/>
        <v>0.61502719446745657</v>
      </c>
      <c r="DW139" s="704">
        <f t="shared" si="203"/>
        <v>0.63588293162813558</v>
      </c>
      <c r="DX139" s="704">
        <f t="shared" si="203"/>
        <v>-6.547652463556608E-2</v>
      </c>
      <c r="DY139" s="705">
        <f t="shared" si="203"/>
        <v>0.38631129396507369</v>
      </c>
      <c r="DZ139" s="704">
        <f t="shared" si="204"/>
        <v>0.62040102674751685</v>
      </c>
      <c r="EA139" s="704">
        <f t="shared" si="204"/>
        <v>-8.1404166109101395E-3</v>
      </c>
      <c r="EB139" s="704">
        <f t="shared" si="204"/>
        <v>-0.21267759152070997</v>
      </c>
      <c r="EC139" s="704">
        <f t="shared" si="204"/>
        <v>0.14537444933920707</v>
      </c>
      <c r="ED139" s="705">
        <f t="shared" si="204"/>
        <v>5.3763440860215006E-3</v>
      </c>
      <c r="EE139" s="704">
        <f t="shared" si="204"/>
        <v>6.2950548693695652E-2</v>
      </c>
      <c r="EF139" s="704">
        <f t="shared" si="204"/>
        <v>0.17599442358284789</v>
      </c>
      <c r="EG139" s="704">
        <f t="shared" si="204"/>
        <v>0.19345984007638184</v>
      </c>
      <c r="EH139" s="704">
        <f t="shared" ca="1" si="204"/>
        <v>-0.21906127585607682</v>
      </c>
      <c r="EI139" s="705">
        <f t="shared" ca="1" si="204"/>
        <v>3.3527780861135836E-2</v>
      </c>
      <c r="EJ139" s="705">
        <f t="shared" ca="1" si="205"/>
        <v>-3.0027882238053527E-2</v>
      </c>
      <c r="EK139" s="705">
        <f t="shared" ca="1" si="205"/>
        <v>1.6753503798723202E-2</v>
      </c>
    </row>
    <row r="140" spans="2:141" s="7" customFormat="1">
      <c r="B140" s="7" t="s">
        <v>351</v>
      </c>
      <c r="D140" s="693"/>
      <c r="E140" s="694"/>
      <c r="F140" s="694"/>
      <c r="G140" s="694"/>
      <c r="H140" s="694"/>
      <c r="I140" s="693"/>
      <c r="J140" s="694"/>
      <c r="K140" s="694"/>
      <c r="L140" s="694"/>
      <c r="M140" s="694"/>
      <c r="N140" s="693"/>
      <c r="O140" s="702">
        <f>SUM(O138:O139)</f>
        <v>5.4011326731940663</v>
      </c>
      <c r="P140" s="702">
        <f t="shared" ref="P140:Y140" si="208">SUM(P138:P139)</f>
        <v>2.2000000000000171</v>
      </c>
      <c r="Q140" s="702">
        <f t="shared" si="208"/>
        <v>1.7999999999999936</v>
      </c>
      <c r="R140" s="702">
        <f t="shared" si="208"/>
        <v>-49.699999999999989</v>
      </c>
      <c r="S140" s="701">
        <f t="shared" si="208"/>
        <v>-40.298867326805947</v>
      </c>
      <c r="T140" s="703">
        <f t="shared" si="208"/>
        <v>43.400000000000006</v>
      </c>
      <c r="U140" s="702">
        <f t="shared" si="208"/>
        <v>26.517073679999982</v>
      </c>
      <c r="V140" s="702">
        <f t="shared" si="208"/>
        <v>18.104722360000007</v>
      </c>
      <c r="W140" s="702">
        <f t="shared" si="208"/>
        <v>26.09999999999998</v>
      </c>
      <c r="X140" s="702">
        <f t="shared" si="208"/>
        <v>-4.1472238605215637</v>
      </c>
      <c r="Y140" s="808">
        <f t="shared" si="208"/>
        <v>66.574572179478423</v>
      </c>
      <c r="Z140" s="820">
        <f>SUM(Z138:Z139)</f>
        <v>34.650074570000001</v>
      </c>
      <c r="AA140" s="820">
        <f>SUM(AA138:AA139)</f>
        <v>25.576923080000018</v>
      </c>
      <c r="AB140" s="820">
        <f>SUM(AB138:AB139)</f>
        <v>26.940176349999955</v>
      </c>
      <c r="AC140" s="820">
        <f>SUM(AC138:AC139)</f>
        <v>-45.900000000000006</v>
      </c>
      <c r="AD140" s="808">
        <f>Model!G127</f>
        <v>40.799999999999983</v>
      </c>
      <c r="AE140" s="820">
        <f t="shared" ref="AE140:AM140" si="209">SUM(AE138:AE139)</f>
        <v>20.068927628770034</v>
      </c>
      <c r="AF140" s="820">
        <f t="shared" si="209"/>
        <v>-7.4280579065119952</v>
      </c>
      <c r="AG140" s="820">
        <f t="shared" si="209"/>
        <v>2.8898822449999955</v>
      </c>
      <c r="AH140" s="820">
        <f t="shared" si="209"/>
        <v>12.045337062741972</v>
      </c>
      <c r="AI140" s="808">
        <f t="shared" si="209"/>
        <v>30.564052062000428</v>
      </c>
      <c r="AJ140" s="820">
        <f t="shared" si="209"/>
        <v>13.182674279999986</v>
      </c>
      <c r="AK140" s="820">
        <f t="shared" si="209"/>
        <v>18.050954820000001</v>
      </c>
      <c r="AL140" s="820">
        <f t="shared" si="209"/>
        <v>15.58973854000002</v>
      </c>
      <c r="AM140" s="820">
        <f t="shared" si="209"/>
        <v>5.2250461956461649</v>
      </c>
      <c r="AN140" s="808">
        <f>AM140+AL140+AK140+AJ140</f>
        <v>52.048413835646173</v>
      </c>
      <c r="AO140" s="820">
        <f>SUM(AO138:AO139)</f>
        <v>29.712411019999976</v>
      </c>
      <c r="AP140" s="820">
        <f>SUM(AP138:AP139)</f>
        <v>34.353166509999987</v>
      </c>
      <c r="AQ140" s="820">
        <f>SUM(AQ138:AQ139)</f>
        <v>27.788422470000043</v>
      </c>
      <c r="AR140" s="820">
        <f>SUM(AR138:AR139)</f>
        <v>21.910999999999987</v>
      </c>
      <c r="AS140" s="808">
        <f>AR140+AQ140+AP140+AO140</f>
        <v>113.765</v>
      </c>
      <c r="AT140" s="820">
        <f>SUM(AT138:AT139)</f>
        <v>27.859000000000002</v>
      </c>
      <c r="AU140" s="820">
        <f>SUM(AU138:AU139)</f>
        <v>26.966000000000001</v>
      </c>
      <c r="AV140" s="820">
        <f>SUM(AV138:AV139)</f>
        <v>20.292000000000002</v>
      </c>
      <c r="AW140" s="820">
        <f>SUM(AW138:AW139)</f>
        <v>-6.9230000000000089</v>
      </c>
      <c r="AX140" s="808">
        <f>AW140+AV140+AU140+AT140</f>
        <v>68.193999999999988</v>
      </c>
      <c r="AY140" s="820">
        <f>SUM(AY138:AY139)</f>
        <v>20.423000000000002</v>
      </c>
      <c r="AZ140" s="820">
        <f>SUM(AZ138:AZ139)</f>
        <v>1.6140000000000043</v>
      </c>
      <c r="BA140" s="820">
        <f>SUM(BA138:BA139)</f>
        <v>-8.2670000000000101</v>
      </c>
      <c r="BB140" s="820">
        <f>SUM(BB138:BB139)</f>
        <v>-25.34099999999998</v>
      </c>
      <c r="BC140" s="808">
        <f ca="1">Model!L127</f>
        <v>-22.699999999999989</v>
      </c>
      <c r="BD140" s="820">
        <f>SUM(BD138:BD139)</f>
        <v>-2.5570000000000022</v>
      </c>
      <c r="BE140" s="820">
        <f>SUM(BE138:BE139)</f>
        <v>1.3037822999999804</v>
      </c>
      <c r="BF140" s="820">
        <f>SUM(BF138:BF139)</f>
        <v>-5.7985544299999532</v>
      </c>
      <c r="BG140" s="820">
        <f>SUM(BG138:BG139)</f>
        <v>-36.700000000000003</v>
      </c>
      <c r="BH140" s="808">
        <f>Model!M127</f>
        <v>-43.699999999999989</v>
      </c>
      <c r="BI140" s="820">
        <f>SUM(BI138:BI139)</f>
        <v>-14.199999999999996</v>
      </c>
      <c r="BJ140" s="820">
        <f>SUM(BJ138:BJ139)</f>
        <v>-17.299999999999997</v>
      </c>
      <c r="BK140" s="820">
        <f>SUM(BK138:BK139)</f>
        <v>-11.700000000000003</v>
      </c>
      <c r="BL140" s="820">
        <f ca="1">SUM(BL138:BL139)</f>
        <v>-10.089945477012492</v>
      </c>
      <c r="BM140" s="808">
        <f ca="1">Model!N127</f>
        <v>-53.289945477012481</v>
      </c>
      <c r="BN140" s="808">
        <f ca="1">Model!O127</f>
        <v>-20.200453149825847</v>
      </c>
      <c r="BO140" s="808">
        <f ca="1">Model!P127</f>
        <v>-0.92294964717368089</v>
      </c>
      <c r="BP140" s="638"/>
      <c r="BQ140" s="892">
        <v>21.998883127400035</v>
      </c>
      <c r="BR140" s="661">
        <f>$AR140/BQ140-1</f>
        <v>-3.9948904174407218E-3</v>
      </c>
      <c r="BS140" s="897"/>
      <c r="BT140" s="897"/>
      <c r="CK140" s="577"/>
      <c r="CP140" s="577"/>
      <c r="CU140" s="577"/>
      <c r="CZ140" s="577"/>
      <c r="DA140" s="712"/>
      <c r="DB140" s="712"/>
      <c r="DC140" s="712"/>
      <c r="DD140" s="712"/>
      <c r="DE140" s="713"/>
      <c r="DF140" s="716">
        <f t="shared" si="202"/>
        <v>-0.34313011019573281</v>
      </c>
      <c r="DG140" s="716">
        <f t="shared" si="202"/>
        <v>-3.430104213939309</v>
      </c>
      <c r="DH140" s="716">
        <f t="shared" si="202"/>
        <v>4.3945930035637302</v>
      </c>
      <c r="DI140" s="716">
        <f t="shared" si="202"/>
        <v>-0.56621834918941261</v>
      </c>
      <c r="DJ140" s="717">
        <f t="shared" si="202"/>
        <v>0.70292910540997111</v>
      </c>
      <c r="DK140" s="716">
        <f t="shared" si="202"/>
        <v>1.2538985936319444</v>
      </c>
      <c r="DL140" s="716">
        <f t="shared" si="202"/>
        <v>0.90312184881973923</v>
      </c>
      <c r="DM140" s="716">
        <f t="shared" si="202"/>
        <v>0.78248162396699228</v>
      </c>
      <c r="DN140" s="716">
        <f t="shared" si="202"/>
        <v>3.1934557474836494</v>
      </c>
      <c r="DO140" s="717">
        <f t="shared" si="202"/>
        <v>1.185753447919411</v>
      </c>
      <c r="DP140" s="716">
        <f t="shared" si="203"/>
        <v>-6.2378344818682319E-2</v>
      </c>
      <c r="DQ140" s="716">
        <f t="shared" si="203"/>
        <v>-0.21503597078451642</v>
      </c>
      <c r="DR140" s="716">
        <f t="shared" si="203"/>
        <v>-0.26976783148064865</v>
      </c>
      <c r="DS140" s="716">
        <f t="shared" si="203"/>
        <v>-1.3159600200812382</v>
      </c>
      <c r="DT140" s="717">
        <f t="shared" si="203"/>
        <v>-0.40057135322814585</v>
      </c>
      <c r="DU140" s="716">
        <f t="shared" si="203"/>
        <v>-0.26691553896406905</v>
      </c>
      <c r="DV140" s="716">
        <f t="shared" si="203"/>
        <v>-0.94014685159089206</v>
      </c>
      <c r="DW140" s="716">
        <f t="shared" si="203"/>
        <v>-1.407401931795782</v>
      </c>
      <c r="DX140" s="716">
        <f t="shared" si="203"/>
        <v>2.6604073378593021</v>
      </c>
      <c r="DY140" s="717">
        <f t="shared" ca="1" si="203"/>
        <v>-1.3328738598703698</v>
      </c>
      <c r="DZ140" s="716">
        <f t="shared" si="204"/>
        <v>-1.1252019781618765</v>
      </c>
      <c r="EA140" s="716">
        <f t="shared" si="204"/>
        <v>-0.19220427509295113</v>
      </c>
      <c r="EB140" s="716">
        <f t="shared" si="204"/>
        <v>-0.29859024676424994</v>
      </c>
      <c r="EC140" s="716">
        <f t="shared" si="204"/>
        <v>0.44824592557515608</v>
      </c>
      <c r="ED140" s="717">
        <f t="shared" ca="1" si="204"/>
        <v>0.92511013215859084</v>
      </c>
      <c r="EE140" s="716">
        <f t="shared" si="204"/>
        <v>4.5533828705514212</v>
      </c>
      <c r="EF140" s="716">
        <f t="shared" si="204"/>
        <v>-14.269086411128804</v>
      </c>
      <c r="EG140" s="716">
        <f t="shared" si="204"/>
        <v>1.0177442742397602</v>
      </c>
      <c r="EH140" s="716">
        <f t="shared" ca="1" si="204"/>
        <v>-0.72506960553099487</v>
      </c>
      <c r="EI140" s="717">
        <f t="shared" ca="1" si="204"/>
        <v>0.21944955324971382</v>
      </c>
      <c r="EJ140" s="717">
        <f t="shared" ca="1" si="205"/>
        <v>-0.62093312408173407</v>
      </c>
      <c r="EK140" s="717">
        <f t="shared" ca="1" si="205"/>
        <v>-0.95431044836825163</v>
      </c>
    </row>
    <row r="141" spans="2:141">
      <c r="D141" s="690"/>
      <c r="E141" s="691"/>
      <c r="F141" s="691"/>
      <c r="G141" s="691"/>
      <c r="H141" s="691"/>
      <c r="I141" s="690"/>
      <c r="J141" s="691"/>
      <c r="K141" s="691"/>
      <c r="L141" s="691"/>
      <c r="M141" s="691"/>
      <c r="N141" s="690"/>
      <c r="O141" s="691"/>
      <c r="P141" s="691"/>
      <c r="Q141" s="691"/>
      <c r="R141" s="691"/>
      <c r="S141" s="690"/>
      <c r="T141" s="692"/>
      <c r="U141" s="691"/>
      <c r="V141" s="691"/>
      <c r="W141" s="691"/>
      <c r="X141" s="691"/>
      <c r="Y141" s="818"/>
      <c r="Z141" s="836"/>
      <c r="AA141" s="836"/>
      <c r="AB141" s="836"/>
      <c r="AC141" s="836"/>
      <c r="AD141" s="818"/>
      <c r="AE141" s="836"/>
      <c r="AF141" s="836"/>
      <c r="AG141" s="836"/>
      <c r="AH141" s="836"/>
      <c r="AI141" s="818"/>
      <c r="AJ141" s="836"/>
      <c r="AK141" s="836"/>
      <c r="AL141" s="836"/>
      <c r="AM141" s="836"/>
      <c r="AN141" s="818"/>
      <c r="AO141" s="836"/>
      <c r="AP141" s="836"/>
      <c r="AQ141" s="836"/>
      <c r="AR141" s="836"/>
      <c r="AS141" s="818"/>
      <c r="AT141" s="836"/>
      <c r="AU141" s="836"/>
      <c r="AV141" s="836"/>
      <c r="AW141" s="836"/>
      <c r="AX141" s="818"/>
      <c r="AY141" s="836"/>
      <c r="AZ141" s="836"/>
      <c r="BA141" s="836"/>
      <c r="BB141" s="836"/>
      <c r="BC141" s="818"/>
      <c r="BD141" s="836"/>
      <c r="BE141" s="836"/>
      <c r="BF141" s="836"/>
      <c r="BG141" s="836"/>
      <c r="BH141" s="818"/>
      <c r="BI141" s="836"/>
      <c r="BJ141" s="836"/>
      <c r="BK141" s="836"/>
      <c r="BL141" s="836"/>
      <c r="BM141" s="818"/>
      <c r="BN141" s="818"/>
      <c r="BO141" s="818"/>
      <c r="BP141" s="637"/>
      <c r="BQ141" s="692"/>
      <c r="BR141" s="592"/>
      <c r="BS141" s="592"/>
      <c r="BT141" s="592"/>
      <c r="DA141" s="708"/>
      <c r="DB141" s="708"/>
      <c r="DC141" s="708"/>
      <c r="DD141" s="708"/>
      <c r="DE141" s="709"/>
      <c r="DF141" s="708"/>
      <c r="DG141" s="708"/>
      <c r="DH141" s="708"/>
      <c r="DI141" s="708"/>
      <c r="DJ141" s="709"/>
      <c r="DK141" s="708"/>
      <c r="DL141" s="708"/>
      <c r="DM141" s="708"/>
      <c r="DN141" s="708"/>
      <c r="DO141" s="709"/>
      <c r="DP141" s="708"/>
      <c r="DQ141" s="708"/>
      <c r="DR141" s="708"/>
      <c r="DS141" s="708"/>
      <c r="DT141" s="709"/>
      <c r="DU141" s="708"/>
      <c r="DV141" s="708"/>
      <c r="DW141" s="708"/>
      <c r="DX141" s="708"/>
      <c r="DY141" s="709"/>
      <c r="DZ141" s="708"/>
      <c r="EA141" s="708"/>
      <c r="EB141" s="708"/>
      <c r="EC141" s="708"/>
      <c r="ED141" s="709"/>
      <c r="EE141" s="708"/>
      <c r="EF141" s="708"/>
      <c r="EG141" s="708"/>
      <c r="EH141" s="708"/>
      <c r="EI141" s="709"/>
      <c r="EJ141" s="709"/>
      <c r="EK141" s="709"/>
    </row>
    <row r="142" spans="2:141">
      <c r="B142" s="212" t="s">
        <v>107</v>
      </c>
      <c r="D142" s="690"/>
      <c r="E142" s="691"/>
      <c r="F142" s="691"/>
      <c r="G142" s="691"/>
      <c r="H142" s="691"/>
      <c r="I142" s="690"/>
      <c r="J142" s="691"/>
      <c r="K142" s="691"/>
      <c r="L142" s="691"/>
      <c r="M142" s="691"/>
      <c r="N142" s="690"/>
      <c r="O142" s="691"/>
      <c r="P142" s="691"/>
      <c r="Q142" s="691"/>
      <c r="R142" s="691"/>
      <c r="S142" s="690"/>
      <c r="T142" s="692"/>
      <c r="U142" s="691"/>
      <c r="V142" s="691"/>
      <c r="W142" s="691"/>
      <c r="X142" s="691"/>
      <c r="Y142" s="818"/>
      <c r="Z142" s="804">
        <v>-28.351203152474135</v>
      </c>
      <c r="AA142" s="804">
        <v>-13.8</v>
      </c>
      <c r="AB142" s="804">
        <v>-11.2</v>
      </c>
      <c r="AC142" s="804">
        <v>-1.7</v>
      </c>
      <c r="AD142" s="818">
        <f>Model!G129</f>
        <v>-55</v>
      </c>
      <c r="AE142" s="804">
        <v>-22.3</v>
      </c>
      <c r="AF142" s="804">
        <v>-11.440128041597134</v>
      </c>
      <c r="AG142" s="804">
        <v>-5.6637752982313145</v>
      </c>
      <c r="AH142" s="804">
        <v>-13.563569447703991</v>
      </c>
      <c r="AI142" s="818">
        <f>SUM(AE142:AH142)</f>
        <v>-52.967472787532436</v>
      </c>
      <c r="AJ142" s="804">
        <v>-12.551631781075987</v>
      </c>
      <c r="AK142" s="804">
        <v>-14.3803386989056</v>
      </c>
      <c r="AL142" s="804">
        <v>-12.582060633810791</v>
      </c>
      <c r="AM142" s="804">
        <v>-14.866946114006382</v>
      </c>
      <c r="AN142" s="818">
        <f t="shared" ref="AN142:AN148" si="210">AM142+AL142+AK142+AJ142</f>
        <v>-54.380977227798752</v>
      </c>
      <c r="AO142" s="804">
        <v>-12.725028040974284</v>
      </c>
      <c r="AP142" s="804">
        <v>-14.358790770143028</v>
      </c>
      <c r="AQ142" s="804">
        <v>-12.872181188882692</v>
      </c>
      <c r="AR142" s="804">
        <v>-14.847999999999999</v>
      </c>
      <c r="AS142" s="818">
        <f t="shared" ref="AS142:AS148" si="211">AR142+AQ142+AP142+AO142</f>
        <v>-54.804000000000002</v>
      </c>
      <c r="AT142" s="804">
        <v>-14.378</v>
      </c>
      <c r="AU142" s="804">
        <v>-17.756999999999998</v>
      </c>
      <c r="AV142" s="804">
        <f>-43.765-AU142-AT142</f>
        <v>-11.630000000000003</v>
      </c>
      <c r="AW142" s="804">
        <f>-62.186-AV142-AU142-AT142</f>
        <v>-18.420999999999999</v>
      </c>
      <c r="AX142" s="818">
        <f t="shared" ref="AX142:AX148" si="212">AW142+AV142+AU142+AT142</f>
        <v>-62.186</v>
      </c>
      <c r="AY142" s="804">
        <v>-6.6929999999999996</v>
      </c>
      <c r="AZ142" s="804">
        <f>-26.133-AY142</f>
        <v>-19.439999999999998</v>
      </c>
      <c r="BA142" s="804">
        <f>-32.958-AZ142-AY142</f>
        <v>-6.8250000000000011</v>
      </c>
      <c r="BB142" s="804">
        <v>-15.3</v>
      </c>
      <c r="BC142" s="803">
        <f>AY142+AZ142+BA142+BB142</f>
        <v>-48.257999999999996</v>
      </c>
      <c r="BD142" s="804">
        <v>-15.236000000000001</v>
      </c>
      <c r="BE142" s="804">
        <v>-22.801999999999996</v>
      </c>
      <c r="BF142" s="804">
        <v>-2.740000000000002</v>
      </c>
      <c r="BG142" s="804">
        <v>-3.4</v>
      </c>
      <c r="BH142" s="803">
        <f>BD142+BE142+BF142+BG142</f>
        <v>-44.177999999999997</v>
      </c>
      <c r="BI142" s="804">
        <v>-27</v>
      </c>
      <c r="BJ142" s="804">
        <v>-4</v>
      </c>
      <c r="BK142" s="804">
        <v>-5.3</v>
      </c>
      <c r="BL142" s="837">
        <f>BM142-BI142-BJ142-BK142</f>
        <v>-1.0100000000000025</v>
      </c>
      <c r="BM142" s="818">
        <f>Model!N129</f>
        <v>-37.31</v>
      </c>
      <c r="BN142" s="818">
        <f>Model!O129</f>
        <v>-7.5150000000000006</v>
      </c>
      <c r="BO142" s="818">
        <f>Model!P129</f>
        <v>-9.6150000000000002</v>
      </c>
      <c r="BP142" s="637"/>
      <c r="BQ142" s="692">
        <v>-12.697417934802356</v>
      </c>
      <c r="BR142" s="659">
        <f t="shared" ref="BR142:BR149" si="213">$AR142/BQ142-1</f>
        <v>0.16937160580523325</v>
      </c>
      <c r="BS142" s="592"/>
      <c r="BT142" s="592"/>
      <c r="DA142" s="708"/>
      <c r="DB142" s="708"/>
      <c r="DC142" s="708"/>
      <c r="DD142" s="708"/>
      <c r="DE142" s="709"/>
      <c r="DF142" s="704">
        <f t="shared" ref="DF142:DF149" si="214">IFERROR(AJ142/AE142-1,"N/A")</f>
        <v>-0.4371465569024221</v>
      </c>
      <c r="DG142" s="704">
        <f t="shared" ref="DG142:DG149" si="215">IFERROR(AK142/AF142-1,"N/A")</f>
        <v>0.25700854453880639</v>
      </c>
      <c r="DH142" s="704">
        <f t="shared" ref="DH142:DH149" si="216">IFERROR(AL142/AG142-1,"N/A")</f>
        <v>1.2214971412689906</v>
      </c>
      <c r="DI142" s="704">
        <f t="shared" ref="DI142:DI149" si="217">IFERROR(AM142/AH142-1,"N/A")</f>
        <v>9.6093928027406017E-2</v>
      </c>
      <c r="DJ142" s="705">
        <f t="shared" ref="DJ142:DJ149" si="218">IFERROR(AN142/AI142-1,"N/A")</f>
        <v>2.6686273025263718E-2</v>
      </c>
      <c r="DK142" s="704">
        <f t="shared" ref="DK142:DK149" si="219">IFERROR(AO142/AJ142-1,"N/A")</f>
        <v>1.3814638839208637E-2</v>
      </c>
      <c r="DL142" s="704">
        <f t="shared" ref="DL142:DL149" si="220">IFERROR(AP142/AK142-1,"N/A")</f>
        <v>-1.4984298502102034E-3</v>
      </c>
      <c r="DM142" s="704">
        <f t="shared" ref="DM142:DM149" si="221">IFERROR(AQ142/AL142-1,"N/A")</f>
        <v>2.3058270303695894E-2</v>
      </c>
      <c r="DN142" s="704">
        <f t="shared" ref="DN142:DN149" si="222">IFERROR(AR142/AM142-1,"N/A")</f>
        <v>-1.2743783330547709E-3</v>
      </c>
      <c r="DO142" s="705">
        <f t="shared" ref="DO142:DO149" si="223">IFERROR(AS142/AN142-1,"N/A")</f>
        <v>7.7788740432014336E-3</v>
      </c>
      <c r="DP142" s="704">
        <f t="shared" ref="DP142:DP149" si="224">IFERROR(AT142/AO142-1,"N/A")</f>
        <v>0.12989927831225101</v>
      </c>
      <c r="DQ142" s="704">
        <f t="shared" ref="DQ142:DQ149" si="225">IFERROR(AU142/AP142-1,"N/A")</f>
        <v>0.23666402584004786</v>
      </c>
      <c r="DR142" s="704">
        <f t="shared" ref="DR142:DR149" si="226">IFERROR(AV142/AQ142-1,"N/A")</f>
        <v>-9.6501220007338295E-2</v>
      </c>
      <c r="DS142" s="704">
        <f t="shared" ref="DS142:DS149" si="227">IFERROR(AW142/AR142-1,"N/A")</f>
        <v>0.2406384698275863</v>
      </c>
      <c r="DT142" s="705">
        <f t="shared" ref="DT142:DT149" si="228">IFERROR(AX142/AS142-1,"N/A")</f>
        <v>0.13469819721188236</v>
      </c>
      <c r="DU142" s="704">
        <f t="shared" ref="DU142:DU149" si="229">IFERROR(AY142/AT142-1,"N/A")</f>
        <v>-0.53449714842119911</v>
      </c>
      <c r="DV142" s="704">
        <f t="shared" ref="DV142:DV149" si="230">IFERROR(AZ142/AU142-1,"N/A")</f>
        <v>9.4779523568170321E-2</v>
      </c>
      <c r="DW142" s="704">
        <f t="shared" ref="DW142:DW149" si="231">IFERROR(BA142/AV142-1,"N/A")</f>
        <v>-0.4131556319862425</v>
      </c>
      <c r="DX142" s="704">
        <f t="shared" ref="DX142:DX149" si="232">IFERROR(BB142/AW142-1,"N/A")</f>
        <v>-0.16942619836056672</v>
      </c>
      <c r="DY142" s="705">
        <f t="shared" ref="DY142:DY149" si="233">IFERROR(BC142/AX142-1,"N/A")</f>
        <v>-0.22397324156562581</v>
      </c>
      <c r="DZ142" s="704">
        <f t="shared" ref="DZ142:DZ149" si="234">IFERROR(BD142/AY142-1,"N/A")</f>
        <v>1.2764081876587481</v>
      </c>
      <c r="EA142" s="704">
        <f t="shared" ref="EA142:EA149" si="235">IFERROR(BE142/AZ142-1,"N/A")</f>
        <v>0.17294238683127561</v>
      </c>
      <c r="EB142" s="704">
        <f t="shared" ref="EB142:EB149" si="236">IFERROR(BF142/BA142-1,"N/A")</f>
        <v>-0.5985347985347983</v>
      </c>
      <c r="EC142" s="704">
        <f t="shared" ref="EC142:EC149" si="237">IFERROR(BG142/BB142-1,"N/A")</f>
        <v>-0.77777777777777779</v>
      </c>
      <c r="ED142" s="705">
        <f t="shared" ref="ED142:ED149" si="238">IFERROR(BH142/BC142-1,"N/A")</f>
        <v>-8.4545567574288216E-2</v>
      </c>
      <c r="EE142" s="704">
        <f t="shared" ref="EE142:EE149" si="239">IFERROR(BI142/BD142-1,"N/A")</f>
        <v>0.77211866631661841</v>
      </c>
      <c r="EF142" s="704">
        <f t="shared" ref="EF142:EF149" si="240">IFERROR(BJ142/BE142-1,"N/A")</f>
        <v>-0.82457679150951668</v>
      </c>
      <c r="EG142" s="704">
        <f t="shared" ref="EG142:EG149" si="241">IFERROR(BK142/BF142-1,"N/A")</f>
        <v>0.93430656934306433</v>
      </c>
      <c r="EH142" s="704">
        <f t="shared" ref="EH142:EH149" si="242">IFERROR(BL142/BG142-1,"N/A")</f>
        <v>-0.70294117647058751</v>
      </c>
      <c r="EI142" s="705">
        <f t="shared" ref="EI142:EI149" si="243">IFERROR(BM142/BH142-1,"N/A")</f>
        <v>-0.1554619946579745</v>
      </c>
      <c r="EJ142" s="705">
        <f t="shared" ref="EJ142:EK149" si="244">IFERROR(BN142/BM142-1,"N/A")</f>
        <v>-0.79857946931117663</v>
      </c>
      <c r="EK142" s="705">
        <f t="shared" si="244"/>
        <v>0.27944111776447089</v>
      </c>
    </row>
    <row r="143" spans="2:141">
      <c r="B143" s="212" t="s">
        <v>1481</v>
      </c>
      <c r="D143" s="690"/>
      <c r="E143" s="691"/>
      <c r="F143" s="691"/>
      <c r="G143" s="691"/>
      <c r="H143" s="691"/>
      <c r="I143" s="690"/>
      <c r="J143" s="691"/>
      <c r="K143" s="691"/>
      <c r="L143" s="691"/>
      <c r="M143" s="691"/>
      <c r="N143" s="690"/>
      <c r="O143" s="691"/>
      <c r="P143" s="691"/>
      <c r="Q143" s="691"/>
      <c r="R143" s="691"/>
      <c r="S143" s="690"/>
      <c r="T143" s="692"/>
      <c r="U143" s="691"/>
      <c r="V143" s="691"/>
      <c r="W143" s="691"/>
      <c r="X143" s="691"/>
      <c r="Y143" s="818"/>
      <c r="Z143" s="804">
        <v>-1.6520600200000006</v>
      </c>
      <c r="AA143" s="804">
        <v>-2.2999999999999998</v>
      </c>
      <c r="AB143" s="804">
        <v>-1.8</v>
      </c>
      <c r="AC143" s="804">
        <v>-1.1000000000000001</v>
      </c>
      <c r="AD143" s="818">
        <f>Model!G130</f>
        <v>-6.8</v>
      </c>
      <c r="AE143" s="804">
        <v>-1.53</v>
      </c>
      <c r="AF143" s="804">
        <v>-1.4669999999999999</v>
      </c>
      <c r="AG143" s="804">
        <v>-0.96600000000000019</v>
      </c>
      <c r="AH143" s="804">
        <v>-8.4999999999999964E-2</v>
      </c>
      <c r="AI143" s="818">
        <f>SUM(AE143:AH143)</f>
        <v>-4.048</v>
      </c>
      <c r="AJ143" s="804">
        <v>-0.42799999999999999</v>
      </c>
      <c r="AK143" s="804">
        <v>-1.7080000000000002</v>
      </c>
      <c r="AL143" s="804">
        <v>-8.4439999999999991</v>
      </c>
      <c r="AM143" s="804">
        <v>1.6600000000000001</v>
      </c>
      <c r="AN143" s="818">
        <f t="shared" si="210"/>
        <v>-8.92</v>
      </c>
      <c r="AO143" s="804">
        <v>-0.37</v>
      </c>
      <c r="AP143" s="804">
        <v>0.223</v>
      </c>
      <c r="AQ143" s="804">
        <v>-1.2989999999999999</v>
      </c>
      <c r="AR143" s="804">
        <v>0.11899999999999999</v>
      </c>
      <c r="AS143" s="818">
        <f t="shared" si="211"/>
        <v>-1.327</v>
      </c>
      <c r="AT143" s="804">
        <v>-0.17199999999999999</v>
      </c>
      <c r="AU143" s="804">
        <v>-1.8030000000000002</v>
      </c>
      <c r="AV143" s="804">
        <f>2.108-AU143-AT143</f>
        <v>4.0830000000000002</v>
      </c>
      <c r="AW143" s="804">
        <f>-3.553-AV143-AU143-AT143</f>
        <v>-5.6610000000000005</v>
      </c>
      <c r="AX143" s="818">
        <f t="shared" si="212"/>
        <v>-3.5530000000000004</v>
      </c>
      <c r="AY143" s="804">
        <v>-3.45</v>
      </c>
      <c r="AZ143" s="804">
        <f>-4.276-AY143</f>
        <v>-0.82599999999999962</v>
      </c>
      <c r="BA143" s="804">
        <f>-5.589-AZ143-AY143</f>
        <v>-1.3130000000000006</v>
      </c>
      <c r="BB143" s="804">
        <v>-4.5</v>
      </c>
      <c r="BC143" s="803">
        <f>AY143+AZ143+BA143+BB143</f>
        <v>-10.089</v>
      </c>
      <c r="BD143" s="804">
        <v>0.873</v>
      </c>
      <c r="BE143" s="804">
        <v>-0.253</v>
      </c>
      <c r="BF143" s="804">
        <v>3.0000000000000027E-3</v>
      </c>
      <c r="BG143" s="804">
        <v>-0.4</v>
      </c>
      <c r="BH143" s="803">
        <f>BD143+BE143+BF143+BG143</f>
        <v>0.22299999999999998</v>
      </c>
      <c r="BI143" s="804">
        <v>-0.1</v>
      </c>
      <c r="BJ143" s="804">
        <v>-0.7</v>
      </c>
      <c r="BK143" s="804">
        <v>-0.5</v>
      </c>
      <c r="BL143" s="837">
        <f>BM143-BI143-BJ143-BK143</f>
        <v>-0.7</v>
      </c>
      <c r="BM143" s="818">
        <f>Model!N130</f>
        <v>-2</v>
      </c>
      <c r="BN143" s="818">
        <f ca="1">Model!O130</f>
        <v>0</v>
      </c>
      <c r="BO143" s="818">
        <f ca="1">Model!P130</f>
        <v>0</v>
      </c>
      <c r="BP143" s="637"/>
      <c r="BQ143" s="692">
        <v>0</v>
      </c>
      <c r="BR143" s="659" t="e">
        <f t="shared" si="213"/>
        <v>#DIV/0!</v>
      </c>
      <c r="BS143" s="592"/>
      <c r="BT143" s="592"/>
      <c r="DA143" s="708"/>
      <c r="DB143" s="708"/>
      <c r="DC143" s="708"/>
      <c r="DD143" s="708"/>
      <c r="DE143" s="709"/>
      <c r="DF143" s="704">
        <f t="shared" si="214"/>
        <v>-0.72026143790849673</v>
      </c>
      <c r="DG143" s="704">
        <f t="shared" si="215"/>
        <v>0.16428084526244069</v>
      </c>
      <c r="DH143" s="704">
        <f t="shared" si="216"/>
        <v>7.7412008281573463</v>
      </c>
      <c r="DI143" s="704">
        <f t="shared" si="217"/>
        <v>-20.529411764705891</v>
      </c>
      <c r="DJ143" s="705">
        <f t="shared" si="218"/>
        <v>1.2035573122529644</v>
      </c>
      <c r="DK143" s="704">
        <f t="shared" si="219"/>
        <v>-0.13551401869158874</v>
      </c>
      <c r="DL143" s="704">
        <f t="shared" si="220"/>
        <v>-1.1305620608899298</v>
      </c>
      <c r="DM143" s="704">
        <f t="shared" si="221"/>
        <v>-0.84616295594504976</v>
      </c>
      <c r="DN143" s="704">
        <f t="shared" si="222"/>
        <v>-0.92831325301204815</v>
      </c>
      <c r="DO143" s="705">
        <f t="shared" si="223"/>
        <v>-0.85123318385650226</v>
      </c>
      <c r="DP143" s="704">
        <f t="shared" si="224"/>
        <v>-0.53513513513513522</v>
      </c>
      <c r="DQ143" s="704">
        <f t="shared" si="225"/>
        <v>-9.0852017937219731</v>
      </c>
      <c r="DR143" s="704">
        <f t="shared" si="226"/>
        <v>-4.1431870669745958</v>
      </c>
      <c r="DS143" s="704">
        <f t="shared" si="227"/>
        <v>-48.571428571428577</v>
      </c>
      <c r="DT143" s="705">
        <f t="shared" si="228"/>
        <v>1.6774679728711384</v>
      </c>
      <c r="DU143" s="704">
        <f t="shared" si="229"/>
        <v>19.058139534883722</v>
      </c>
      <c r="DV143" s="704">
        <f t="shared" si="230"/>
        <v>-0.54187465335551876</v>
      </c>
      <c r="DW143" s="704">
        <f t="shared" si="231"/>
        <v>-1.3215772716140095</v>
      </c>
      <c r="DX143" s="704">
        <f t="shared" si="232"/>
        <v>-0.20508744038155813</v>
      </c>
      <c r="DY143" s="705">
        <f t="shared" si="233"/>
        <v>1.8395721925133688</v>
      </c>
      <c r="DZ143" s="704">
        <f t="shared" si="234"/>
        <v>-1.2530434782608695</v>
      </c>
      <c r="EA143" s="704">
        <f t="shared" si="235"/>
        <v>-0.6937046004842613</v>
      </c>
      <c r="EB143" s="704">
        <f t="shared" si="236"/>
        <v>-1.0022848438690022</v>
      </c>
      <c r="EC143" s="704">
        <f t="shared" si="237"/>
        <v>-0.91111111111111109</v>
      </c>
      <c r="ED143" s="705">
        <f t="shared" si="238"/>
        <v>-1.0221032808008723</v>
      </c>
      <c r="EE143" s="704">
        <f t="shared" si="239"/>
        <v>-1.1145475372279496</v>
      </c>
      <c r="EF143" s="704">
        <f t="shared" si="240"/>
        <v>1.766798418972332</v>
      </c>
      <c r="EG143" s="704">
        <f t="shared" si="241"/>
        <v>-167.66666666666652</v>
      </c>
      <c r="EH143" s="704">
        <f t="shared" si="242"/>
        <v>0.74999999999999978</v>
      </c>
      <c r="EI143" s="705">
        <f t="shared" si="243"/>
        <v>-9.968609865470853</v>
      </c>
      <c r="EJ143" s="705">
        <f t="shared" ca="1" si="244"/>
        <v>-1</v>
      </c>
      <c r="EK143" s="705" t="str">
        <f t="shared" ca="1" si="244"/>
        <v>N/A</v>
      </c>
    </row>
    <row r="144" spans="2:141">
      <c r="B144" s="212" t="s">
        <v>1482</v>
      </c>
      <c r="D144" s="690"/>
      <c r="E144" s="691"/>
      <c r="F144" s="691"/>
      <c r="G144" s="691"/>
      <c r="H144" s="691"/>
      <c r="I144" s="690"/>
      <c r="J144" s="691"/>
      <c r="K144" s="691"/>
      <c r="L144" s="691"/>
      <c r="M144" s="691"/>
      <c r="N144" s="690"/>
      <c r="O144" s="691"/>
      <c r="P144" s="691"/>
      <c r="Q144" s="691"/>
      <c r="R144" s="691"/>
      <c r="S144" s="690"/>
      <c r="T144" s="692"/>
      <c r="U144" s="691"/>
      <c r="V144" s="691"/>
      <c r="W144" s="691"/>
      <c r="X144" s="691"/>
      <c r="Y144" s="818"/>
      <c r="Z144" s="691"/>
      <c r="AA144" s="691"/>
      <c r="AB144" s="691"/>
      <c r="AC144" s="691"/>
      <c r="AD144" s="818"/>
      <c r="AE144" s="691"/>
      <c r="AF144" s="691"/>
      <c r="AG144" s="691"/>
      <c r="AH144" s="691"/>
      <c r="AI144" s="818">
        <f>Model!H131</f>
        <v>-14.379</v>
      </c>
      <c r="AJ144" s="804">
        <v>-5.6150000000000002</v>
      </c>
      <c r="AK144" s="804">
        <v>-5.5790000000000006</v>
      </c>
      <c r="AL144" s="804">
        <v>-5.6839999999999993</v>
      </c>
      <c r="AM144" s="804">
        <v>-6.875</v>
      </c>
      <c r="AN144" s="818">
        <f t="shared" si="210"/>
        <v>-23.753</v>
      </c>
      <c r="AO144" s="804">
        <v>-6.226</v>
      </c>
      <c r="AP144" s="804">
        <v>-8.0970000000000013</v>
      </c>
      <c r="AQ144" s="804">
        <v>-6.3069999999999986</v>
      </c>
      <c r="AR144" s="804">
        <v>-14.818999999999999</v>
      </c>
      <c r="AS144" s="818">
        <f t="shared" si="211"/>
        <v>-35.448999999999998</v>
      </c>
      <c r="AT144" s="804">
        <v>-8.6929999999999996</v>
      </c>
      <c r="AU144" s="804">
        <v>-8.9489999999999998</v>
      </c>
      <c r="AV144" s="804">
        <f>-27.004-AU144-AT144</f>
        <v>-9.3620000000000001</v>
      </c>
      <c r="AW144" s="804">
        <f>-38.118-AV144-AU144-AT144</f>
        <v>-11.114000000000003</v>
      </c>
      <c r="AX144" s="818">
        <f t="shared" si="212"/>
        <v>-38.118000000000002</v>
      </c>
      <c r="AY144" s="804">
        <v>-8.875</v>
      </c>
      <c r="AZ144" s="804">
        <f>-18.171-AY144</f>
        <v>-9.2959999999999994</v>
      </c>
      <c r="BA144" s="804">
        <f>-28.23-AZ144-AY144</f>
        <v>-10.059000000000001</v>
      </c>
      <c r="BB144" s="804">
        <v>-10.5</v>
      </c>
      <c r="BC144" s="803">
        <f>AY144+AZ144+BA144+BB144</f>
        <v>-38.730000000000004</v>
      </c>
      <c r="BD144" s="804">
        <v>-10.252000000000001</v>
      </c>
      <c r="BE144" s="804">
        <v>-10.699</v>
      </c>
      <c r="BF144" s="804">
        <v>-10.914999999999997</v>
      </c>
      <c r="BG144" s="804">
        <v>-13.22</v>
      </c>
      <c r="BH144" s="803">
        <f>BD144+BE144+BF144+BG144</f>
        <v>-45.085999999999999</v>
      </c>
      <c r="BI144" s="804">
        <v>-13.733000000000001</v>
      </c>
      <c r="BJ144" s="804">
        <v>-10.8</v>
      </c>
      <c r="BK144" s="804">
        <v>-10.4</v>
      </c>
      <c r="BL144" s="837">
        <f>BM144-BI144-BJ144-BK144</f>
        <v>-10.066999999999998</v>
      </c>
      <c r="BM144" s="818">
        <f>Model!N131</f>
        <v>-45</v>
      </c>
      <c r="BN144" s="818">
        <f>Model!O131</f>
        <v>-45</v>
      </c>
      <c r="BO144" s="818">
        <f>Model!P131</f>
        <v>-45</v>
      </c>
      <c r="BP144" s="637"/>
      <c r="BQ144" s="692">
        <v>-6.846130683529057</v>
      </c>
      <c r="BR144" s="659">
        <f t="shared" si="213"/>
        <v>1.164580357142857</v>
      </c>
      <c r="BS144" s="592"/>
      <c r="BT144" s="592"/>
      <c r="DA144" s="708"/>
      <c r="DB144" s="708"/>
      <c r="DC144" s="708"/>
      <c r="DD144" s="708"/>
      <c r="DE144" s="709"/>
      <c r="DF144" s="704"/>
      <c r="DG144" s="704"/>
      <c r="DH144" s="704"/>
      <c r="DI144" s="704"/>
      <c r="DJ144" s="705">
        <f t="shared" ref="DJ144:DO144" si="245">IFERROR(AN144/AI144-1,"N/A")</f>
        <v>0.65192294318102784</v>
      </c>
      <c r="DK144" s="704">
        <f t="shared" si="245"/>
        <v>0.10881567230632228</v>
      </c>
      <c r="DL144" s="704">
        <f t="shared" si="245"/>
        <v>0.4513353647607099</v>
      </c>
      <c r="DM144" s="704">
        <f t="shared" si="245"/>
        <v>0.10960591133004915</v>
      </c>
      <c r="DN144" s="704">
        <f t="shared" si="245"/>
        <v>1.1554909090909091</v>
      </c>
      <c r="DO144" s="705">
        <f t="shared" si="245"/>
        <v>0.49240095987875199</v>
      </c>
      <c r="DP144" s="704">
        <f t="shared" si="224"/>
        <v>0.39624156761965934</v>
      </c>
      <c r="DQ144" s="704">
        <f t="shared" si="225"/>
        <v>0.10522415709522015</v>
      </c>
      <c r="DR144" s="704">
        <f t="shared" si="226"/>
        <v>0.48438243221817068</v>
      </c>
      <c r="DS144" s="704">
        <f t="shared" si="227"/>
        <v>-0.25001687023415864</v>
      </c>
      <c r="DT144" s="705">
        <f>IFERROR(AX144/AS144-1,"N/A")</f>
        <v>7.5291263505317563E-2</v>
      </c>
      <c r="DU144" s="704">
        <f t="shared" si="229"/>
        <v>2.0936385597607243E-2</v>
      </c>
      <c r="DV144" s="704">
        <f t="shared" si="230"/>
        <v>3.8775282154430712E-2</v>
      </c>
      <c r="DW144" s="704">
        <f t="shared" si="231"/>
        <v>7.4449903866695255E-2</v>
      </c>
      <c r="DX144" s="704">
        <f t="shared" si="232"/>
        <v>-5.5245636134605203E-2</v>
      </c>
      <c r="DY144" s="705">
        <f t="shared" si="233"/>
        <v>1.6055406894380564E-2</v>
      </c>
      <c r="DZ144" s="704">
        <f t="shared" si="234"/>
        <v>0.1551549295774648</v>
      </c>
      <c r="EA144" s="704">
        <f t="shared" si="235"/>
        <v>0.15092512908777977</v>
      </c>
      <c r="EB144" s="704">
        <f t="shared" si="236"/>
        <v>8.5097922258673409E-2</v>
      </c>
      <c r="EC144" s="704">
        <f t="shared" si="237"/>
        <v>0.25904761904761919</v>
      </c>
      <c r="ED144" s="705">
        <f t="shared" si="238"/>
        <v>0.16411050864962551</v>
      </c>
      <c r="EE144" s="704">
        <f t="shared" si="239"/>
        <v>0.3395435037065937</v>
      </c>
      <c r="EF144" s="704">
        <f t="shared" si="240"/>
        <v>9.4401345920180901E-3</v>
      </c>
      <c r="EG144" s="704">
        <f t="shared" si="241"/>
        <v>-4.7182775996335025E-2</v>
      </c>
      <c r="EH144" s="704">
        <f t="shared" si="242"/>
        <v>-0.23850226928895624</v>
      </c>
      <c r="EI144" s="705">
        <f t="shared" si="243"/>
        <v>-1.9074657321562771E-3</v>
      </c>
      <c r="EJ144" s="705">
        <f t="shared" si="244"/>
        <v>0</v>
      </c>
      <c r="EK144" s="705">
        <f t="shared" si="244"/>
        <v>0</v>
      </c>
    </row>
    <row r="145" spans="2:141">
      <c r="B145" s="212" t="s">
        <v>1231</v>
      </c>
      <c r="D145" s="690"/>
      <c r="E145" s="691"/>
      <c r="F145" s="691"/>
      <c r="G145" s="691"/>
      <c r="H145" s="691"/>
      <c r="I145" s="690"/>
      <c r="J145" s="691"/>
      <c r="K145" s="691"/>
      <c r="L145" s="691"/>
      <c r="M145" s="691"/>
      <c r="N145" s="690"/>
      <c r="O145" s="691"/>
      <c r="P145" s="691"/>
      <c r="Q145" s="691"/>
      <c r="R145" s="691"/>
      <c r="S145" s="690"/>
      <c r="T145" s="692"/>
      <c r="U145" s="691"/>
      <c r="V145" s="691"/>
      <c r="W145" s="691"/>
      <c r="X145" s="691"/>
      <c r="Y145" s="818"/>
      <c r="Z145" s="804">
        <v>-29.9</v>
      </c>
      <c r="AA145" s="804">
        <v>-7.3</v>
      </c>
      <c r="AB145" s="804">
        <v>-5.0999999999999996</v>
      </c>
      <c r="AC145" s="804">
        <v>16.2</v>
      </c>
      <c r="AD145" s="818">
        <f>Model!G132</f>
        <v>-35.000000000000114</v>
      </c>
      <c r="AE145" s="804">
        <v>-21.231000000000002</v>
      </c>
      <c r="AF145" s="804">
        <v>-3.6440000000000019</v>
      </c>
      <c r="AG145" s="804">
        <v>5.3640000000000043</v>
      </c>
      <c r="AH145" s="804">
        <v>16.823999999999998</v>
      </c>
      <c r="AI145" s="818">
        <f>SUM(AE145:AH145)</f>
        <v>-2.6870000000000012</v>
      </c>
      <c r="AJ145" s="804">
        <v>11.345690000000001</v>
      </c>
      <c r="AK145" s="804">
        <v>-15.896710000000002</v>
      </c>
      <c r="AL145" s="804">
        <v>-0.53226999999999691</v>
      </c>
      <c r="AM145" s="804">
        <v>9.6639900000000001</v>
      </c>
      <c r="AN145" s="818">
        <f t="shared" si="210"/>
        <v>4.580700000000002</v>
      </c>
      <c r="AO145" s="804">
        <v>4.9745699999999999</v>
      </c>
      <c r="AP145" s="804">
        <v>-11.58849</v>
      </c>
      <c r="AQ145" s="804">
        <v>0.45892000000000266</v>
      </c>
      <c r="AR145" s="804">
        <v>10.140279999999999</v>
      </c>
      <c r="AS145" s="818">
        <f t="shared" si="211"/>
        <v>3.9852800000000013</v>
      </c>
      <c r="AT145" s="804">
        <v>5.5639999999999983</v>
      </c>
      <c r="AU145" s="804">
        <v>-26.859000000000002</v>
      </c>
      <c r="AV145" s="804">
        <f>(1.613+-10.542+-1.054+-14.249+0.947+9.589)-AU145-AT145</f>
        <v>7.5990000000000038</v>
      </c>
      <c r="AW145" s="804">
        <f>(0.395+-14.867+0.492+-1.844+4.879+0.66)-AV145-AU145-AT145</f>
        <v>3.4109999999999996</v>
      </c>
      <c r="AX145" s="818">
        <f t="shared" si="212"/>
        <v>-10.285</v>
      </c>
      <c r="AY145" s="804">
        <f>(-3.888+15.713+-3.943+-30.178+0.057+19.636)</f>
        <v>-2.6030000000000015</v>
      </c>
      <c r="AZ145" s="804">
        <f>(-9.928+8.86+-3.489+-17.684+0.353+17.103)-AY145</f>
        <v>-2.1819999999999986</v>
      </c>
      <c r="BA145" s="804">
        <f>(-21.87+5.247+-2.4+-3.31+0.25+14.084)-AZ145-AY145</f>
        <v>-3.2139999999999986</v>
      </c>
      <c r="BB145" s="804">
        <v>14.5</v>
      </c>
      <c r="BC145" s="803">
        <f>AY145+AZ145+BA145+BB145</f>
        <v>6.5010000000000012</v>
      </c>
      <c r="BD145" s="804">
        <f>(-6.68+-9.985+-4.671+-4.233+0.842+-0.602)</f>
        <v>-25.329000000000001</v>
      </c>
      <c r="BE145" s="804">
        <f>-11.487+26.714</f>
        <v>15.226999999999999</v>
      </c>
      <c r="BF145" s="804">
        <v>-10.1</v>
      </c>
      <c r="BG145" s="804">
        <v>8</v>
      </c>
      <c r="BH145" s="803">
        <f>BD145+BE145+BF145+BG145</f>
        <v>-12.202000000000002</v>
      </c>
      <c r="BI145" s="804">
        <v>18.899999999999999</v>
      </c>
      <c r="BJ145" s="804">
        <v>-4</v>
      </c>
      <c r="BK145" s="804">
        <v>6.3</v>
      </c>
      <c r="BL145" s="837">
        <f>BM145-BI145-BJ145-BK145</f>
        <v>-6.1999999999999984</v>
      </c>
      <c r="BM145" s="818">
        <f>Model!N132</f>
        <v>15</v>
      </c>
      <c r="BN145" s="818">
        <f>Model!O132</f>
        <v>-10</v>
      </c>
      <c r="BO145" s="818">
        <f>Model!P132</f>
        <v>-5</v>
      </c>
      <c r="BP145" s="637"/>
      <c r="BQ145" s="692">
        <v>0.13271342800484234</v>
      </c>
      <c r="BR145" s="659">
        <f t="shared" si="213"/>
        <v>75.407339878448539</v>
      </c>
      <c r="BS145" s="592"/>
      <c r="BT145" s="592"/>
      <c r="DA145" s="708"/>
      <c r="DB145" s="708"/>
      <c r="DC145" s="708"/>
      <c r="DD145" s="708"/>
      <c r="DE145" s="709"/>
      <c r="DF145" s="704">
        <f t="shared" si="214"/>
        <v>-1.5343926334134048</v>
      </c>
      <c r="DG145" s="704">
        <f t="shared" si="215"/>
        <v>3.3624341383095482</v>
      </c>
      <c r="DH145" s="704">
        <f t="shared" si="216"/>
        <v>-1.0992300521998501</v>
      </c>
      <c r="DI145" s="704">
        <f t="shared" si="217"/>
        <v>-0.42558309557774598</v>
      </c>
      <c r="DJ145" s="705">
        <f t="shared" si="218"/>
        <v>-2.704763676963156</v>
      </c>
      <c r="DK145" s="704">
        <f t="shared" si="219"/>
        <v>-0.56154539741523002</v>
      </c>
      <c r="DL145" s="704">
        <f t="shared" si="220"/>
        <v>-0.27101331030131404</v>
      </c>
      <c r="DM145" s="704">
        <f t="shared" si="221"/>
        <v>-1.8621939992860868</v>
      </c>
      <c r="DN145" s="704">
        <f t="shared" si="222"/>
        <v>4.9285026164141099E-2</v>
      </c>
      <c r="DO145" s="705">
        <f t="shared" si="223"/>
        <v>-0.12998450018556129</v>
      </c>
      <c r="DP145" s="704">
        <f t="shared" si="224"/>
        <v>0.11848863318839586</v>
      </c>
      <c r="DQ145" s="704">
        <f t="shared" si="225"/>
        <v>1.3177307828716254</v>
      </c>
      <c r="DR145" s="704">
        <f t="shared" si="226"/>
        <v>15.558441558441469</v>
      </c>
      <c r="DS145" s="704">
        <f t="shared" si="227"/>
        <v>-0.66361875608957543</v>
      </c>
      <c r="DT145" s="705">
        <f t="shared" si="228"/>
        <v>-3.5807471495101968</v>
      </c>
      <c r="DU145" s="704">
        <f t="shared" si="229"/>
        <v>-1.4678289000718912</v>
      </c>
      <c r="DV145" s="704">
        <f t="shared" si="230"/>
        <v>-0.91876093674373582</v>
      </c>
      <c r="DW145" s="704">
        <f t="shared" si="231"/>
        <v>-1.4229503882089745</v>
      </c>
      <c r="DX145" s="704">
        <f t="shared" si="232"/>
        <v>3.2509527997654653</v>
      </c>
      <c r="DY145" s="705">
        <f t="shared" si="233"/>
        <v>-1.6320855614973264</v>
      </c>
      <c r="DZ145" s="704">
        <f t="shared" si="234"/>
        <v>8.7306953515174737</v>
      </c>
      <c r="EA145" s="704">
        <f t="shared" si="235"/>
        <v>-7.9784601283226433</v>
      </c>
      <c r="EB145" s="704">
        <f t="shared" si="236"/>
        <v>2.1425015556938405</v>
      </c>
      <c r="EC145" s="704">
        <f t="shared" si="237"/>
        <v>-0.44827586206896552</v>
      </c>
      <c r="ED145" s="705">
        <f t="shared" si="238"/>
        <v>-2.8769420089217044</v>
      </c>
      <c r="EE145" s="704">
        <f t="shared" si="239"/>
        <v>-1.7461802676773659</v>
      </c>
      <c r="EF145" s="704">
        <f t="shared" si="240"/>
        <v>-1.2626912720824852</v>
      </c>
      <c r="EG145" s="704">
        <f t="shared" si="241"/>
        <v>-1.6237623762376239</v>
      </c>
      <c r="EH145" s="704">
        <f t="shared" si="242"/>
        <v>-1.7749999999999999</v>
      </c>
      <c r="EI145" s="705">
        <f t="shared" si="243"/>
        <v>-2.2293066710375347</v>
      </c>
      <c r="EJ145" s="705">
        <f t="shared" si="244"/>
        <v>-1.6666666666666665</v>
      </c>
      <c r="EK145" s="705">
        <f t="shared" si="244"/>
        <v>-0.5</v>
      </c>
    </row>
    <row r="146" spans="2:141">
      <c r="B146" s="212" t="s">
        <v>309</v>
      </c>
      <c r="D146" s="690"/>
      <c r="E146" s="691"/>
      <c r="F146" s="691"/>
      <c r="G146" s="691"/>
      <c r="H146" s="691"/>
      <c r="I146" s="690"/>
      <c r="J146" s="691"/>
      <c r="K146" s="691"/>
      <c r="L146" s="691"/>
      <c r="M146" s="691"/>
      <c r="N146" s="690"/>
      <c r="O146" s="691"/>
      <c r="P146" s="691"/>
      <c r="Q146" s="691"/>
      <c r="R146" s="691"/>
      <c r="S146" s="690"/>
      <c r="T146" s="692"/>
      <c r="U146" s="691"/>
      <c r="V146" s="691"/>
      <c r="W146" s="691"/>
      <c r="X146" s="691"/>
      <c r="Y146" s="818"/>
      <c r="Z146" s="804">
        <v>0</v>
      </c>
      <c r="AA146" s="804">
        <v>-1.9</v>
      </c>
      <c r="AB146" s="804">
        <v>-0.2</v>
      </c>
      <c r="AC146" s="804">
        <v>0</v>
      </c>
      <c r="AD146" s="818">
        <f>Model!G133</f>
        <v>-2.1</v>
      </c>
      <c r="AE146" s="804">
        <v>0</v>
      </c>
      <c r="AF146" s="804">
        <v>-1.5680000000000001</v>
      </c>
      <c r="AG146" s="804">
        <v>0</v>
      </c>
      <c r="AH146" s="804">
        <v>0</v>
      </c>
      <c r="AI146" s="818">
        <f>SUM(AE146:AH146)</f>
        <v>-1.5680000000000001</v>
      </c>
      <c r="AJ146" s="804">
        <v>-0.14099999999999999</v>
      </c>
      <c r="AK146" s="804">
        <v>-1.5249999999999999</v>
      </c>
      <c r="AL146" s="804">
        <v>0</v>
      </c>
      <c r="AM146" s="804">
        <v>-0.34100000000000019</v>
      </c>
      <c r="AN146" s="818">
        <f t="shared" si="210"/>
        <v>-2.0070000000000001</v>
      </c>
      <c r="AO146" s="804">
        <v>0</v>
      </c>
      <c r="AP146" s="804">
        <v>-1.593</v>
      </c>
      <c r="AQ146" s="804">
        <v>0</v>
      </c>
      <c r="AR146" s="804">
        <v>-0.21799999999999997</v>
      </c>
      <c r="AS146" s="818">
        <f t="shared" si="211"/>
        <v>-1.8109999999999999</v>
      </c>
      <c r="AT146" s="804">
        <v>0</v>
      </c>
      <c r="AU146" s="804">
        <v>-1.6659999999999999</v>
      </c>
      <c r="AV146" s="804">
        <f>-1.666-AU146-AT146</f>
        <v>0</v>
      </c>
      <c r="AW146" s="804">
        <f>-1.88-AV146-AU146-AT146</f>
        <v>-0.21399999999999997</v>
      </c>
      <c r="AX146" s="818">
        <f t="shared" si="212"/>
        <v>-1.88</v>
      </c>
      <c r="AY146" s="804">
        <v>0</v>
      </c>
      <c r="AZ146" s="804">
        <v>-2.6850000000000001</v>
      </c>
      <c r="BA146" s="804">
        <f>-2.685-AZ146-AY146</f>
        <v>0</v>
      </c>
      <c r="BB146" s="804">
        <v>-0.1</v>
      </c>
      <c r="BC146" s="803">
        <f>AY146+AZ146+BA146+BB146</f>
        <v>-2.7850000000000001</v>
      </c>
      <c r="BD146" s="804">
        <f>AY146</f>
        <v>0</v>
      </c>
      <c r="BE146" s="804">
        <v>0</v>
      </c>
      <c r="BF146" s="804">
        <v>-1.294</v>
      </c>
      <c r="BG146" s="804">
        <v>-0.1</v>
      </c>
      <c r="BH146" s="803">
        <f>BD146+BE146+BF146+BG146</f>
        <v>-1.3940000000000001</v>
      </c>
      <c r="BI146" s="804"/>
      <c r="BJ146" s="804"/>
      <c r="BK146" s="804"/>
      <c r="BL146" s="804"/>
      <c r="BM146" s="818">
        <f>Model!N133</f>
        <v>0</v>
      </c>
      <c r="BN146" s="818">
        <f>Model!O133</f>
        <v>0</v>
      </c>
      <c r="BO146" s="818">
        <f>Model!P133</f>
        <v>0</v>
      </c>
      <c r="BP146" s="637"/>
      <c r="BQ146" s="692">
        <v>0</v>
      </c>
      <c r="BR146" s="659" t="e">
        <f t="shared" si="213"/>
        <v>#DIV/0!</v>
      </c>
      <c r="BS146" s="592"/>
      <c r="BT146" s="592"/>
      <c r="DA146" s="708"/>
      <c r="DB146" s="708"/>
      <c r="DC146" s="708"/>
      <c r="DD146" s="708"/>
      <c r="DE146" s="709"/>
      <c r="DF146" s="704" t="str">
        <f t="shared" si="214"/>
        <v>N/A</v>
      </c>
      <c r="DG146" s="704">
        <f t="shared" si="215"/>
        <v>-2.7423469387755195E-2</v>
      </c>
      <c r="DH146" s="704" t="str">
        <f t="shared" si="216"/>
        <v>N/A</v>
      </c>
      <c r="DI146" s="704" t="str">
        <f t="shared" si="217"/>
        <v>N/A</v>
      </c>
      <c r="DJ146" s="705">
        <f t="shared" si="218"/>
        <v>0.27997448979591844</v>
      </c>
      <c r="DK146" s="704">
        <f t="shared" si="219"/>
        <v>-1</v>
      </c>
      <c r="DL146" s="704">
        <f t="shared" si="220"/>
        <v>4.4590163934426164E-2</v>
      </c>
      <c r="DM146" s="704" t="str">
        <f t="shared" si="221"/>
        <v>N/A</v>
      </c>
      <c r="DN146" s="704">
        <f t="shared" si="222"/>
        <v>-0.360703812316716</v>
      </c>
      <c r="DO146" s="705">
        <f t="shared" si="223"/>
        <v>-9.7658196312904955E-2</v>
      </c>
      <c r="DP146" s="704" t="str">
        <f t="shared" si="224"/>
        <v>N/A</v>
      </c>
      <c r="DQ146" s="704">
        <f t="shared" si="225"/>
        <v>4.5825486503452639E-2</v>
      </c>
      <c r="DR146" s="704" t="str">
        <f t="shared" si="226"/>
        <v>N/A</v>
      </c>
      <c r="DS146" s="704">
        <f t="shared" si="227"/>
        <v>-1.834862385321101E-2</v>
      </c>
      <c r="DT146" s="705">
        <f t="shared" si="228"/>
        <v>3.8100496963003883E-2</v>
      </c>
      <c r="DU146" s="704" t="str">
        <f t="shared" si="229"/>
        <v>N/A</v>
      </c>
      <c r="DV146" s="704">
        <f t="shared" si="230"/>
        <v>0.61164465786314537</v>
      </c>
      <c r="DW146" s="704" t="str">
        <f t="shared" si="231"/>
        <v>N/A</v>
      </c>
      <c r="DX146" s="704">
        <f t="shared" si="232"/>
        <v>-0.53271028037383172</v>
      </c>
      <c r="DY146" s="705">
        <f t="shared" si="233"/>
        <v>0.48138297872340452</v>
      </c>
      <c r="DZ146" s="704" t="str">
        <f t="shared" si="234"/>
        <v>N/A</v>
      </c>
      <c r="EA146" s="704">
        <f t="shared" si="235"/>
        <v>-1</v>
      </c>
      <c r="EB146" s="704" t="str">
        <f t="shared" si="236"/>
        <v>N/A</v>
      </c>
      <c r="EC146" s="704">
        <f t="shared" si="237"/>
        <v>0</v>
      </c>
      <c r="ED146" s="705">
        <f t="shared" si="238"/>
        <v>-0.49946140035906639</v>
      </c>
      <c r="EE146" s="704" t="str">
        <f t="shared" si="239"/>
        <v>N/A</v>
      </c>
      <c r="EF146" s="704" t="str">
        <f t="shared" si="240"/>
        <v>N/A</v>
      </c>
      <c r="EG146" s="704">
        <f t="shared" si="241"/>
        <v>-1</v>
      </c>
      <c r="EH146" s="704">
        <f t="shared" si="242"/>
        <v>-1</v>
      </c>
      <c r="EI146" s="705">
        <f t="shared" si="243"/>
        <v>-1</v>
      </c>
      <c r="EJ146" s="705" t="str">
        <f t="shared" si="244"/>
        <v>N/A</v>
      </c>
      <c r="EK146" s="705" t="str">
        <f t="shared" si="244"/>
        <v>N/A</v>
      </c>
    </row>
    <row r="147" spans="2:141">
      <c r="B147" s="212" t="s">
        <v>1963</v>
      </c>
      <c r="D147" s="690"/>
      <c r="E147" s="691"/>
      <c r="F147" s="691"/>
      <c r="G147" s="691"/>
      <c r="H147" s="691"/>
      <c r="I147" s="690"/>
      <c r="J147" s="691"/>
      <c r="K147" s="691"/>
      <c r="L147" s="691"/>
      <c r="M147" s="691"/>
      <c r="N147" s="690"/>
      <c r="O147" s="691"/>
      <c r="P147" s="691"/>
      <c r="Q147" s="691"/>
      <c r="R147" s="691"/>
      <c r="S147" s="690"/>
      <c r="T147" s="692"/>
      <c r="U147" s="691"/>
      <c r="V147" s="691"/>
      <c r="W147" s="691"/>
      <c r="X147" s="691"/>
      <c r="Y147" s="818"/>
      <c r="Z147" s="804"/>
      <c r="AA147" s="804"/>
      <c r="AB147" s="804"/>
      <c r="AC147" s="804"/>
      <c r="AD147" s="818"/>
      <c r="AE147" s="804"/>
      <c r="AF147" s="804"/>
      <c r="AG147" s="804"/>
      <c r="AH147" s="804"/>
      <c r="AI147" s="818"/>
      <c r="AJ147" s="804"/>
      <c r="AK147" s="804"/>
      <c r="AL147" s="804"/>
      <c r="AM147" s="804"/>
      <c r="AN147" s="818"/>
      <c r="AO147" s="804"/>
      <c r="AP147" s="804"/>
      <c r="AQ147" s="804"/>
      <c r="AR147" s="804"/>
      <c r="AS147" s="818"/>
      <c r="AT147" s="804"/>
      <c r="AU147" s="804"/>
      <c r="AV147" s="804"/>
      <c r="AW147" s="804"/>
      <c r="AX147" s="818"/>
      <c r="AY147" s="804"/>
      <c r="AZ147" s="804"/>
      <c r="BA147" s="804"/>
      <c r="BB147" s="804"/>
      <c r="BC147" s="803"/>
      <c r="BD147" s="804"/>
      <c r="BE147" s="804"/>
      <c r="BF147" s="804"/>
      <c r="BG147" s="804"/>
      <c r="BH147" s="803"/>
      <c r="BI147" s="837">
        <v>-4</v>
      </c>
      <c r="BJ147" s="837">
        <f>-1138*0.1/4</f>
        <v>-28.450000000000003</v>
      </c>
      <c r="BK147" s="837">
        <f>-1138*0.1/4</f>
        <v>-28.450000000000003</v>
      </c>
      <c r="BL147" s="837">
        <f>BM147-BI147-BJ147-BK147</f>
        <v>-30.140000000000015</v>
      </c>
      <c r="BM147" s="1255">
        <f>-Model!N179</f>
        <v>-91.04000000000002</v>
      </c>
      <c r="BN147" s="1255">
        <f>-Model!O179</f>
        <v>-113.80000000000001</v>
      </c>
      <c r="BO147" s="1255">
        <f>-Model!P179</f>
        <v>-79.660000000000011</v>
      </c>
      <c r="BP147" s="637"/>
      <c r="BQ147" s="692"/>
      <c r="BR147" s="659"/>
      <c r="BS147" s="592"/>
      <c r="BT147" s="592"/>
      <c r="DA147" s="708"/>
      <c r="DB147" s="708"/>
      <c r="DC147" s="708"/>
      <c r="DD147" s="708"/>
      <c r="DE147" s="709"/>
      <c r="DF147" s="704"/>
      <c r="DG147" s="704"/>
      <c r="DH147" s="704"/>
      <c r="DI147" s="704"/>
      <c r="DJ147" s="705"/>
      <c r="DK147" s="704"/>
      <c r="DL147" s="704"/>
      <c r="DM147" s="704"/>
      <c r="DN147" s="704"/>
      <c r="DO147" s="705"/>
      <c r="DP147" s="704"/>
      <c r="DQ147" s="704"/>
      <c r="DR147" s="704"/>
      <c r="DS147" s="704"/>
      <c r="DT147" s="705"/>
      <c r="DU147" s="704"/>
      <c r="DV147" s="704"/>
      <c r="DW147" s="704"/>
      <c r="DX147" s="704"/>
      <c r="DY147" s="705"/>
      <c r="DZ147" s="704"/>
      <c r="EA147" s="704"/>
      <c r="EB147" s="704"/>
      <c r="EC147" s="704"/>
      <c r="ED147" s="705"/>
      <c r="EE147" s="704"/>
      <c r="EF147" s="704"/>
      <c r="EG147" s="704"/>
      <c r="EH147" s="704"/>
      <c r="EI147" s="705"/>
      <c r="EJ147" s="705"/>
      <c r="EK147" s="705"/>
    </row>
    <row r="148" spans="2:141">
      <c r="B148" s="212" t="s">
        <v>169</v>
      </c>
      <c r="D148" s="690"/>
      <c r="E148" s="691"/>
      <c r="F148" s="691"/>
      <c r="G148" s="691"/>
      <c r="H148" s="691"/>
      <c r="I148" s="690"/>
      <c r="J148" s="691"/>
      <c r="K148" s="691"/>
      <c r="L148" s="691"/>
      <c r="M148" s="691"/>
      <c r="N148" s="690"/>
      <c r="O148" s="691"/>
      <c r="P148" s="691"/>
      <c r="Q148" s="691"/>
      <c r="R148" s="691"/>
      <c r="S148" s="690"/>
      <c r="T148" s="692"/>
      <c r="U148" s="691"/>
      <c r="V148" s="691"/>
      <c r="W148" s="691"/>
      <c r="X148" s="691"/>
      <c r="Y148" s="818"/>
      <c r="Z148" s="837">
        <f>-(Z140+Z142+Z143+Z145+Z146)+Z149</f>
        <v>3.8531886024740416</v>
      </c>
      <c r="AA148" s="837">
        <f>-(AA140+AA142+AA143+AA145+AA146)+AA149</f>
        <v>-8.7769230800000173</v>
      </c>
      <c r="AB148" s="837">
        <f>-(AB140+AB142+AB143+AB145+AB146)+AB149</f>
        <v>-14.510812209999949</v>
      </c>
      <c r="AC148" s="837">
        <f>-(AC140+AC142+AC143+AC145+AC146)+AC149</f>
        <v>-35.529364139999856</v>
      </c>
      <c r="AD148" s="818">
        <f>Model!G135</f>
        <v>-35.404000000000053</v>
      </c>
      <c r="AE148" s="837">
        <f>-(AE140+AE142+AE143+AE145+AE146)+AE149</f>
        <v>10.692072371230243</v>
      </c>
      <c r="AF148" s="837">
        <f>-(AF140+AF142+AF143+AF145+AF146)+AF149</f>
        <v>-13.46188730189067</v>
      </c>
      <c r="AG148" s="837">
        <f>-(AG140+AG142+AG143+AG145+AG146)+AG149</f>
        <v>-9.0838423467691385</v>
      </c>
      <c r="AH148" s="837">
        <f>-(AH140+AH142+AH143+AH145+AH146)+AH149</f>
        <v>-34.738134575037869</v>
      </c>
      <c r="AI148" s="818">
        <f>-(AI140+AI142+AI143+AI145+AI146)+AI149</f>
        <v>-49.57975488446786</v>
      </c>
      <c r="AJ148" s="837">
        <f>-(AJ140+AJ142+AJ143+AJ145+AJ146+AJ144)+AJ149</f>
        <v>-2.6393439589240764</v>
      </c>
      <c r="AK148" s="837">
        <f>-(AK140+AK142+AK143+AK145+AK146+AK144)+AK149</f>
        <v>4.7005701389057784</v>
      </c>
      <c r="AL148" s="837">
        <f>-(AL140+AL142+AL143+AL145+AL146+AL144)+AL149</f>
        <v>-3.6213416661890978</v>
      </c>
      <c r="AM148" s="837">
        <f>-(AM140+AM142+AM143+AM145+AM146+AM144)+AM149</f>
        <v>1.5313004283600486</v>
      </c>
      <c r="AN148" s="818">
        <f t="shared" si="210"/>
        <v>-2.881505784734717E-2</v>
      </c>
      <c r="AO148" s="837">
        <f>-(AO140+AO142+AO143+AO145+AO146+AO144)+AO149</f>
        <v>-2.4811106890258685</v>
      </c>
      <c r="AP148" s="837">
        <f>-(AP140+AP142+AP143+AP145+AP146+AP144)+AP149</f>
        <v>-0.74018043985692827</v>
      </c>
      <c r="AQ148" s="837">
        <f>-(AQ140+AQ142+AQ143+AQ145+AQ146+AQ144)+AQ149</f>
        <v>-1.0729927111173012</v>
      </c>
      <c r="AR148" s="837">
        <f>-(AR140+AR142+AR143+AR145+AR146+AR144)+AR149</f>
        <v>1.4715351500002072</v>
      </c>
      <c r="AS148" s="818">
        <f t="shared" si="211"/>
        <v>-2.8227486899998908</v>
      </c>
      <c r="AT148" s="837">
        <f>-(AT140+AT142+AT143+AT145+AT146+AT144)+AT149</f>
        <v>-10.18567724999996</v>
      </c>
      <c r="AU148" s="837">
        <f>-(AU140+AU142+AU143+AU145+AU146+AU144)+AU149</f>
        <v>459.7679999999998</v>
      </c>
      <c r="AV148" s="837">
        <f>-(AV140+AV142+AV143+AV145+AV146+AV144)+AV149</f>
        <v>-0.39000000000013024</v>
      </c>
      <c r="AW148" s="837">
        <f>-(AW140+AW142+AW143+AW145+AW146+AW144)+AW149</f>
        <v>14.740000000000109</v>
      </c>
      <c r="AX148" s="818">
        <f t="shared" si="212"/>
        <v>463.9323227499998</v>
      </c>
      <c r="AY148" s="837">
        <f>-(AY140+AY142+AY143+AY145+AY146+AY144)+AY149</f>
        <v>-6.7469999999998223</v>
      </c>
      <c r="AZ148" s="837">
        <f>-(AZ140+AZ142+AZ143+AZ145+AZ146+AZ144)+AZ149</f>
        <v>9.6919999999998296</v>
      </c>
      <c r="BA148" s="837">
        <f>-(BA140+BA142+BA143+BA145+BA146+BA144)+BA149</f>
        <v>-2.7469999999998294</v>
      </c>
      <c r="BB148" s="837">
        <f>-(BB140+BB142+BB143+BB145+BB146+BB144)+BB149</f>
        <v>69.639999999999873</v>
      </c>
      <c r="BC148" s="818">
        <f ca="1">Model!L135</f>
        <v>17.167000000000044</v>
      </c>
      <c r="BD148" s="837">
        <f>-(BD140+BD142+BD143+BD145+BD146+BD144)+BD149</f>
        <v>-0.37200000000004252</v>
      </c>
      <c r="BE148" s="837">
        <f>-(BE140+BE142+BE143+BE145+BE146+BE144)+BE149</f>
        <v>5.8192177000002481</v>
      </c>
      <c r="BF148" s="837">
        <f>-(BF140+BF142+BF143+BF145+BF146+BF144)+BF149</f>
        <v>9.9305544299995105</v>
      </c>
      <c r="BG148" s="837">
        <f>-(BG140+BG142+BG143+BG145+BG146+BG144)+BG149</f>
        <v>-43.382999999999747</v>
      </c>
      <c r="BH148" s="818">
        <f>Model!M135</f>
        <v>-4.0570000000000164</v>
      </c>
      <c r="BI148" s="837">
        <f>BI149-SUM(BI140:BI147)</f>
        <v>-89.068999999999988</v>
      </c>
      <c r="BJ148" s="837">
        <f t="shared" ref="BJ148:BK148" si="246">BJ149-SUM(BJ140:BJ147)</f>
        <v>-6.0540000000000873</v>
      </c>
      <c r="BK148" s="837">
        <f t="shared" si="246"/>
        <v>-7.7499999999997158</v>
      </c>
      <c r="BL148" s="837">
        <f ca="1">BM148-BI148-BJ148-BK148</f>
        <v>266.87299999999993</v>
      </c>
      <c r="BM148" s="837">
        <f ca="1">BM149-SUM(BM140:BM147)</f>
        <v>164.00000000000014</v>
      </c>
      <c r="BN148" s="837">
        <f t="shared" ref="BN148:BO148" ca="1" si="247">BN149-SUM(BN140:BN147)</f>
        <v>49.999999999999829</v>
      </c>
      <c r="BO148" s="837">
        <f t="shared" ca="1" si="247"/>
        <v>0</v>
      </c>
      <c r="BP148" s="637"/>
      <c r="BQ148" s="692">
        <v>0</v>
      </c>
      <c r="BR148" s="659" t="e">
        <f t="shared" si="213"/>
        <v>#DIV/0!</v>
      </c>
      <c r="BS148" s="592"/>
      <c r="BT148" s="592"/>
      <c r="DA148" s="708"/>
      <c r="DB148" s="708"/>
      <c r="DC148" s="708"/>
      <c r="DD148" s="708"/>
      <c r="DE148" s="709"/>
      <c r="DF148" s="704">
        <f t="shared" si="214"/>
        <v>-1.2468505512575754</v>
      </c>
      <c r="DG148" s="704">
        <f t="shared" si="215"/>
        <v>-1.3491761618183804</v>
      </c>
      <c r="DH148" s="704">
        <f t="shared" si="216"/>
        <v>-0.60134252357680951</v>
      </c>
      <c r="DI148" s="704">
        <f t="shared" si="217"/>
        <v>-1.0440812509679323</v>
      </c>
      <c r="DJ148" s="705">
        <f t="shared" si="218"/>
        <v>-0.99941881403176569</v>
      </c>
      <c r="DK148" s="704">
        <f t="shared" si="219"/>
        <v>-5.9951742690903864E-2</v>
      </c>
      <c r="DL148" s="704">
        <f t="shared" si="220"/>
        <v>-1.1574660983633851</v>
      </c>
      <c r="DM148" s="704">
        <f t="shared" si="221"/>
        <v>-0.70370298910611762</v>
      </c>
      <c r="DN148" s="704">
        <f t="shared" si="222"/>
        <v>-3.9029100529833549E-2</v>
      </c>
      <c r="DO148" s="705">
        <f t="shared" si="223"/>
        <v>96.960889232077818</v>
      </c>
      <c r="DP148" s="704">
        <f t="shared" si="224"/>
        <v>3.1052893347531594</v>
      </c>
      <c r="DQ148" s="704">
        <f t="shared" si="225"/>
        <v>-622.15664673450408</v>
      </c>
      <c r="DR148" s="704">
        <f t="shared" si="226"/>
        <v>-0.63653061576343284</v>
      </c>
      <c r="DS148" s="704">
        <f t="shared" si="227"/>
        <v>9.0167501945149144</v>
      </c>
      <c r="DT148" s="705">
        <f t="shared" si="228"/>
        <v>-165.35480933657533</v>
      </c>
      <c r="DU148" s="704">
        <f t="shared" si="229"/>
        <v>-0.33759927451070093</v>
      </c>
      <c r="DV148" s="704">
        <f t="shared" si="230"/>
        <v>-0.97891980303109427</v>
      </c>
      <c r="DW148" s="704">
        <f t="shared" si="231"/>
        <v>6.0435897435869537</v>
      </c>
      <c r="DX148" s="704">
        <f t="shared" si="232"/>
        <v>3.7245590230664423</v>
      </c>
      <c r="DY148" s="705">
        <f t="shared" ca="1" si="233"/>
        <v>-0.96299675802228835</v>
      </c>
      <c r="DZ148" s="704">
        <f t="shared" si="234"/>
        <v>-0.94486438417073482</v>
      </c>
      <c r="EA148" s="704">
        <f t="shared" si="235"/>
        <v>-0.39958546223686031</v>
      </c>
      <c r="EB148" s="704">
        <f t="shared" si="236"/>
        <v>-4.6150543975246183</v>
      </c>
      <c r="EC148" s="704">
        <f t="shared" si="237"/>
        <v>-1.622960941987361</v>
      </c>
      <c r="ED148" s="705">
        <f t="shared" ca="1" si="238"/>
        <v>-1.2363255082425588</v>
      </c>
      <c r="EE148" s="704">
        <f t="shared" si="239"/>
        <v>238.43279569889734</v>
      </c>
      <c r="EF148" s="704">
        <f t="shared" si="240"/>
        <v>-2.0403460245180085</v>
      </c>
      <c r="EG148" s="704">
        <f t="shared" si="241"/>
        <v>-1.7804196688744294</v>
      </c>
      <c r="EH148" s="704">
        <f t="shared" ca="1" si="242"/>
        <v>-7.1515570615218289</v>
      </c>
      <c r="EI148" s="705">
        <f t="shared" ca="1" si="243"/>
        <v>-41.423958590091075</v>
      </c>
      <c r="EJ148" s="705">
        <f t="shared" ca="1" si="244"/>
        <v>-0.69512195121951348</v>
      </c>
      <c r="EK148" s="705">
        <f t="shared" ca="1" si="244"/>
        <v>-1</v>
      </c>
    </row>
    <row r="149" spans="2:141" s="7" customFormat="1">
      <c r="B149" s="7" t="s">
        <v>825</v>
      </c>
      <c r="D149" s="693"/>
      <c r="E149" s="694"/>
      <c r="F149" s="694"/>
      <c r="G149" s="694"/>
      <c r="H149" s="694"/>
      <c r="I149" s="693"/>
      <c r="J149" s="694"/>
      <c r="K149" s="694"/>
      <c r="L149" s="694"/>
      <c r="M149" s="694"/>
      <c r="N149" s="693"/>
      <c r="O149" s="699"/>
      <c r="P149" s="699"/>
      <c r="Q149" s="699"/>
      <c r="R149" s="699"/>
      <c r="S149" s="697"/>
      <c r="T149" s="700"/>
      <c r="U149" s="699"/>
      <c r="V149" s="699"/>
      <c r="W149" s="699"/>
      <c r="X149" s="699"/>
      <c r="Y149" s="813"/>
      <c r="Z149" s="838">
        <f>Y155-Z155</f>
        <v>-21.400000000000091</v>
      </c>
      <c r="AA149" s="838">
        <f>Z155-AA155</f>
        <v>-8.5</v>
      </c>
      <c r="AB149" s="838">
        <f>AA155-AB155</f>
        <v>-5.870635859999993</v>
      </c>
      <c r="AC149" s="838">
        <f>AB155-AC155</f>
        <v>-68.029364139999871</v>
      </c>
      <c r="AD149" s="808">
        <f>Model!G136</f>
        <v>-103.80000000000018</v>
      </c>
      <c r="AE149" s="838">
        <f>AD155-AE155</f>
        <v>-14.299999999999727</v>
      </c>
      <c r="AF149" s="838">
        <f>AE155-AF155</f>
        <v>-39.009073249999801</v>
      </c>
      <c r="AG149" s="838">
        <f>AF155-AG155</f>
        <v>-7.4597354000004543</v>
      </c>
      <c r="AH149" s="838">
        <f>AG155-AH155</f>
        <v>-19.51736695999989</v>
      </c>
      <c r="AI149" s="808">
        <f>AD155-AI155</f>
        <v>-80.286175609999873</v>
      </c>
      <c r="AJ149" s="838">
        <f>AI155-AJ155</f>
        <v>3.1533885399999235</v>
      </c>
      <c r="AK149" s="838">
        <f>AJ155-AK155</f>
        <v>-16.337523739999824</v>
      </c>
      <c r="AL149" s="838">
        <f>AK155-AL155</f>
        <v>-15.273933759999863</v>
      </c>
      <c r="AM149" s="838">
        <f t="shared" ref="AM149:AR149" si="248">AL155-AM155</f>
        <v>-4.0026094900001681</v>
      </c>
      <c r="AN149" s="808">
        <f>AI155-AN155</f>
        <v>-32.460678449999932</v>
      </c>
      <c r="AO149" s="838">
        <f t="shared" si="248"/>
        <v>12.884842289999824</v>
      </c>
      <c r="AP149" s="838">
        <f t="shared" si="248"/>
        <v>-1.8012946999999713</v>
      </c>
      <c r="AQ149" s="838">
        <f t="shared" si="248"/>
        <v>6.6961685700000544</v>
      </c>
      <c r="AR149" s="838">
        <f t="shared" si="248"/>
        <v>3.7568151500001932</v>
      </c>
      <c r="AS149" s="808">
        <f>AN155-AS155</f>
        <v>21.5365313100001</v>
      </c>
      <c r="AT149" s="838">
        <f>AS155-AT155</f>
        <v>-5.6772499999624415E-3</v>
      </c>
      <c r="AU149" s="838">
        <f>AT155-AU155</f>
        <v>429.69999999999982</v>
      </c>
      <c r="AV149" s="838">
        <f>AU155-AV155</f>
        <v>10.591999999999871</v>
      </c>
      <c r="AW149" s="838">
        <f>AV155-AW155</f>
        <v>-24.181999999999903</v>
      </c>
      <c r="AX149" s="808">
        <f>AS155-AX155</f>
        <v>416.10432274999982</v>
      </c>
      <c r="AY149" s="838">
        <f>AX155-AY155</f>
        <v>-7.9449999999998226</v>
      </c>
      <c r="AZ149" s="838">
        <f>AY155-AZ155</f>
        <v>-23.123000000000161</v>
      </c>
      <c r="BA149" s="838">
        <f t="shared" ref="BA149:BG149" si="249">AZ155-BA155</f>
        <v>-32.424999999999841</v>
      </c>
      <c r="BB149" s="838">
        <f t="shared" si="249"/>
        <v>28.398999999999887</v>
      </c>
      <c r="BC149" s="808">
        <f ca="1">Model!L136</f>
        <v>-25.093999999999937</v>
      </c>
      <c r="BD149" s="838">
        <f t="shared" si="249"/>
        <v>-52.873000000000047</v>
      </c>
      <c r="BE149" s="838">
        <f t="shared" si="249"/>
        <v>-11.403999999999769</v>
      </c>
      <c r="BF149" s="838">
        <f t="shared" si="249"/>
        <v>-20.914000000000442</v>
      </c>
      <c r="BG149" s="838">
        <f t="shared" si="249"/>
        <v>-89.202999999999747</v>
      </c>
      <c r="BH149" s="808">
        <f>Model!M136</f>
        <v>-150.39400000000001</v>
      </c>
      <c r="BI149" s="838">
        <f>BH155-BI155</f>
        <v>-129.202</v>
      </c>
      <c r="BJ149" s="838">
        <f t="shared" ref="BJ149:BK149" si="250">BI155-BJ155</f>
        <v>-71.304000000000087</v>
      </c>
      <c r="BK149" s="838">
        <f t="shared" si="250"/>
        <v>-57.799999999999727</v>
      </c>
      <c r="BL149" s="838">
        <f ca="1">SUM(BL140:BL148)</f>
        <v>208.66605452298742</v>
      </c>
      <c r="BM149" s="808">
        <f ca="1">Model!M145-Model!N145</f>
        <v>-49.639945477012361</v>
      </c>
      <c r="BN149" s="808">
        <f ca="1">Model!N145-Model!O145</f>
        <v>-146.51545314982604</v>
      </c>
      <c r="BO149" s="808">
        <f ca="1">Model!O145-Model!P145</f>
        <v>-140.19794964717357</v>
      </c>
      <c r="BP149" s="638"/>
      <c r="BQ149" s="892">
        <v>2.5880479370734641</v>
      </c>
      <c r="BR149" s="661">
        <f t="shared" si="213"/>
        <v>0.45160184097994649</v>
      </c>
      <c r="BS149" s="897"/>
      <c r="BT149" s="897"/>
      <c r="CK149" s="577"/>
      <c r="CP149" s="577"/>
      <c r="CU149" s="577"/>
      <c r="CZ149" s="577"/>
      <c r="DA149" s="712"/>
      <c r="DB149" s="712"/>
      <c r="DC149" s="712"/>
      <c r="DD149" s="712"/>
      <c r="DE149" s="713"/>
      <c r="DF149" s="716">
        <f t="shared" si="214"/>
        <v>-1.2205166811188799</v>
      </c>
      <c r="DG149" s="716">
        <f t="shared" si="215"/>
        <v>-0.58118657074223345</v>
      </c>
      <c r="DH149" s="716">
        <f t="shared" si="216"/>
        <v>1.0475168274733893</v>
      </c>
      <c r="DI149" s="716">
        <f t="shared" si="217"/>
        <v>-0.79492062130084629</v>
      </c>
      <c r="DJ149" s="717">
        <f t="shared" si="218"/>
        <v>-0.59568782292381528</v>
      </c>
      <c r="DK149" s="716">
        <f t="shared" si="219"/>
        <v>3.0860306703594906</v>
      </c>
      <c r="DL149" s="716">
        <f t="shared" si="220"/>
        <v>-0.88974493756420459</v>
      </c>
      <c r="DM149" s="716">
        <f t="shared" si="221"/>
        <v>-1.4384049764269839</v>
      </c>
      <c r="DN149" s="716">
        <f t="shared" si="222"/>
        <v>-1.9385914762321805</v>
      </c>
      <c r="DO149" s="717">
        <f t="shared" si="223"/>
        <v>-1.6634652243382222</v>
      </c>
      <c r="DP149" s="716">
        <f t="shared" si="224"/>
        <v>-1.0004406146285834</v>
      </c>
      <c r="DQ149" s="716">
        <f t="shared" si="225"/>
        <v>-239.55063804940229</v>
      </c>
      <c r="DR149" s="716">
        <f t="shared" si="226"/>
        <v>0.58180008302864228</v>
      </c>
      <c r="DS149" s="716">
        <f t="shared" si="227"/>
        <v>-7.4368352006881837</v>
      </c>
      <c r="DT149" s="717">
        <f t="shared" si="228"/>
        <v>18.320860762605225</v>
      </c>
      <c r="DU149" s="716">
        <f t="shared" si="229"/>
        <v>1398.4451539129655</v>
      </c>
      <c r="DV149" s="716">
        <f t="shared" si="230"/>
        <v>-1.053811961833838</v>
      </c>
      <c r="DW149" s="716">
        <f t="shared" si="231"/>
        <v>-4.0612726586102941</v>
      </c>
      <c r="DX149" s="716">
        <f t="shared" si="232"/>
        <v>-2.1743859068728808</v>
      </c>
      <c r="DY149" s="717">
        <f t="shared" ca="1" si="233"/>
        <v>-1.0603069918479955</v>
      </c>
      <c r="DZ149" s="716">
        <f t="shared" si="234"/>
        <v>5.6548772813091537</v>
      </c>
      <c r="EA149" s="716">
        <f t="shared" si="235"/>
        <v>-0.50681139990487001</v>
      </c>
      <c r="EB149" s="716">
        <f t="shared" si="236"/>
        <v>-0.3550038550500989</v>
      </c>
      <c r="EC149" s="716">
        <f t="shared" si="237"/>
        <v>-4.1410613049755307</v>
      </c>
      <c r="ED149" s="717">
        <f t="shared" ca="1" si="238"/>
        <v>4.9932254722244513</v>
      </c>
      <c r="EE149" s="716">
        <f t="shared" si="239"/>
        <v>1.4436290734401278</v>
      </c>
      <c r="EF149" s="716">
        <f t="shared" si="240"/>
        <v>5.252542967380001</v>
      </c>
      <c r="EG149" s="716">
        <f t="shared" si="241"/>
        <v>1.7636989576359619</v>
      </c>
      <c r="EH149" s="716">
        <f t="shared" ca="1" si="242"/>
        <v>-3.3392268704302324</v>
      </c>
      <c r="EI149" s="717">
        <f t="shared" ca="1" si="243"/>
        <v>-0.66993400350404697</v>
      </c>
      <c r="EJ149" s="717">
        <f t="shared" ca="1" si="244"/>
        <v>1.9515635390388475</v>
      </c>
      <c r="EK149" s="717">
        <f t="shared" ca="1" si="244"/>
        <v>-4.3118342583237435E-2</v>
      </c>
    </row>
    <row r="150" spans="2:141">
      <c r="D150" s="690"/>
      <c r="E150" s="691"/>
      <c r="F150" s="691"/>
      <c r="G150" s="691"/>
      <c r="H150" s="691"/>
      <c r="I150" s="690"/>
      <c r="J150" s="691"/>
      <c r="K150" s="691"/>
      <c r="L150" s="691"/>
      <c r="M150" s="691"/>
      <c r="N150" s="690"/>
      <c r="O150" s="691"/>
      <c r="P150" s="691"/>
      <c r="Q150" s="691"/>
      <c r="R150" s="691"/>
      <c r="S150" s="690"/>
      <c r="T150" s="692"/>
      <c r="U150" s="691"/>
      <c r="V150" s="691"/>
      <c r="W150" s="691"/>
      <c r="X150" s="691"/>
      <c r="Y150" s="818"/>
      <c r="Z150" s="836"/>
      <c r="AA150" s="836"/>
      <c r="AB150" s="836"/>
      <c r="AC150" s="836"/>
      <c r="AD150" s="818"/>
      <c r="AE150" s="836"/>
      <c r="AF150" s="836"/>
      <c r="AG150" s="836"/>
      <c r="AH150" s="836"/>
      <c r="AI150" s="818"/>
      <c r="AJ150" s="836"/>
      <c r="AK150" s="836"/>
      <c r="AL150" s="836"/>
      <c r="AM150" s="836"/>
      <c r="AN150" s="818"/>
      <c r="AO150" s="836"/>
      <c r="AP150" s="836"/>
      <c r="AQ150" s="836"/>
      <c r="AR150" s="836"/>
      <c r="AS150" s="818"/>
      <c r="AT150" s="836"/>
      <c r="AU150" s="836"/>
      <c r="AV150" s="836"/>
      <c r="AW150" s="836"/>
      <c r="AX150" s="818"/>
      <c r="AY150" s="836"/>
      <c r="AZ150" s="836"/>
      <c r="BA150" s="836"/>
      <c r="BB150" s="836"/>
      <c r="BC150" s="818"/>
      <c r="BD150" s="836"/>
      <c r="BE150" s="836"/>
      <c r="BF150" s="836"/>
      <c r="BG150" s="836"/>
      <c r="BH150" s="818"/>
      <c r="BI150" s="836"/>
      <c r="BJ150" s="836"/>
      <c r="BK150" s="836"/>
      <c r="BL150" s="836"/>
      <c r="BM150" s="818"/>
      <c r="BN150" s="818"/>
      <c r="BO150" s="818"/>
      <c r="BP150" s="637"/>
      <c r="BQ150" s="692"/>
      <c r="BR150" s="592"/>
      <c r="BS150" s="592"/>
      <c r="BT150" s="592"/>
      <c r="DA150" s="708"/>
      <c r="DB150" s="708"/>
      <c r="DC150" s="708"/>
      <c r="DD150" s="708"/>
      <c r="DE150" s="709"/>
      <c r="DF150" s="708"/>
      <c r="DG150" s="708"/>
      <c r="DH150" s="708"/>
      <c r="DI150" s="708"/>
      <c r="DJ150" s="709"/>
      <c r="DK150" s="708"/>
      <c r="DL150" s="708"/>
      <c r="DM150" s="708"/>
      <c r="DN150" s="708"/>
      <c r="DO150" s="709"/>
      <c r="DP150" s="708"/>
      <c r="DQ150" s="708"/>
      <c r="DR150" s="708"/>
      <c r="DS150" s="708"/>
      <c r="DT150" s="709"/>
      <c r="DU150" s="708"/>
      <c r="DV150" s="708"/>
      <c r="DW150" s="708"/>
      <c r="DX150" s="708"/>
      <c r="DY150" s="709"/>
      <c r="DZ150" s="708"/>
      <c r="EA150" s="708"/>
      <c r="EB150" s="708"/>
      <c r="EC150" s="708"/>
      <c r="ED150" s="709"/>
      <c r="EE150" s="708"/>
      <c r="EF150" s="708"/>
      <c r="EG150" s="708"/>
      <c r="EH150" s="708"/>
      <c r="EI150" s="709"/>
      <c r="EJ150" s="709"/>
      <c r="EK150" s="709"/>
    </row>
    <row r="151" spans="2:141">
      <c r="B151" s="212" t="s">
        <v>1518</v>
      </c>
      <c r="D151" s="690"/>
      <c r="E151" s="691"/>
      <c r="F151" s="691"/>
      <c r="G151" s="691"/>
      <c r="H151" s="691"/>
      <c r="I151" s="690"/>
      <c r="J151" s="691"/>
      <c r="K151" s="691"/>
      <c r="L151" s="691"/>
      <c r="M151" s="691"/>
      <c r="N151" s="690"/>
      <c r="O151" s="691"/>
      <c r="P151" s="691"/>
      <c r="Q151" s="691"/>
      <c r="R151" s="691"/>
      <c r="S151" s="690"/>
      <c r="T151" s="692"/>
      <c r="U151" s="691"/>
      <c r="V151" s="691"/>
      <c r="W151" s="691"/>
      <c r="X151" s="691"/>
      <c r="Y151" s="818"/>
      <c r="Z151" s="836"/>
      <c r="AA151" s="836"/>
      <c r="AB151" s="836"/>
      <c r="AC151" s="836"/>
      <c r="AD151" s="818"/>
      <c r="AE151" s="836"/>
      <c r="AF151" s="836"/>
      <c r="AG151" s="836"/>
      <c r="AH151" s="836"/>
      <c r="AI151" s="818">
        <v>15.059310960000001</v>
      </c>
      <c r="AJ151" s="804">
        <v>15.72409579</v>
      </c>
      <c r="AK151" s="804">
        <v>14.785990369999999</v>
      </c>
      <c r="AL151" s="804">
        <v>23.54531566</v>
      </c>
      <c r="AM151" s="804">
        <v>27.744897780000002</v>
      </c>
      <c r="AN151" s="818">
        <f>AM151</f>
        <v>27.744897780000002</v>
      </c>
      <c r="AO151" s="804">
        <v>15.086368949999999</v>
      </c>
      <c r="AP151" s="804">
        <v>14.060249000000001</v>
      </c>
      <c r="AQ151" s="804">
        <v>14.83793526</v>
      </c>
      <c r="AR151" s="804">
        <v>14.533179560000001</v>
      </c>
      <c r="AS151" s="818">
        <f>AR151</f>
        <v>14.533179560000001</v>
      </c>
      <c r="AT151" s="804">
        <v>15.125999999999999</v>
      </c>
      <c r="AU151" s="804">
        <v>10.872</v>
      </c>
      <c r="AV151" s="804"/>
      <c r="AW151" s="804"/>
      <c r="AX151" s="818"/>
      <c r="AY151" s="836"/>
      <c r="AZ151" s="836"/>
      <c r="BA151" s="836"/>
      <c r="BB151" s="836"/>
      <c r="BC151" s="818"/>
      <c r="BD151" s="836"/>
      <c r="BE151" s="836"/>
      <c r="BF151" s="836"/>
      <c r="BG151" s="836"/>
      <c r="BH151" s="818"/>
      <c r="BI151" s="836"/>
      <c r="BJ151" s="836"/>
      <c r="BK151" s="836"/>
      <c r="BL151" s="836"/>
      <c r="BM151" s="818"/>
      <c r="BN151" s="818"/>
      <c r="BO151" s="818"/>
      <c r="BP151" s="637"/>
      <c r="BQ151" s="692"/>
      <c r="BR151" s="592"/>
      <c r="BS151" s="592"/>
      <c r="BT151" s="592"/>
      <c r="DA151" s="708"/>
      <c r="DB151" s="708"/>
      <c r="DC151" s="708"/>
      <c r="DD151" s="708"/>
      <c r="DE151" s="709"/>
      <c r="DF151" s="708"/>
      <c r="DG151" s="708"/>
      <c r="DH151" s="708"/>
      <c r="DI151" s="708"/>
      <c r="DJ151" s="709"/>
      <c r="DK151" s="708"/>
      <c r="DL151" s="708"/>
      <c r="DM151" s="708"/>
      <c r="DN151" s="708"/>
      <c r="DO151" s="709"/>
      <c r="DP151" s="708"/>
      <c r="DQ151" s="708"/>
      <c r="DR151" s="708"/>
      <c r="DS151" s="708"/>
      <c r="DT151" s="709"/>
      <c r="DU151" s="708"/>
      <c r="DV151" s="708"/>
      <c r="DW151" s="708"/>
      <c r="DX151" s="708"/>
      <c r="DY151" s="709"/>
      <c r="DZ151" s="708"/>
      <c r="EA151" s="708"/>
      <c r="EB151" s="708"/>
      <c r="EC151" s="708"/>
      <c r="ED151" s="709"/>
      <c r="EE151" s="708"/>
      <c r="EF151" s="708"/>
      <c r="EG151" s="708"/>
      <c r="EH151" s="708"/>
      <c r="EI151" s="709"/>
      <c r="EJ151" s="709"/>
      <c r="EK151" s="709"/>
    </row>
    <row r="152" spans="2:141">
      <c r="B152" s="212" t="s">
        <v>1519</v>
      </c>
      <c r="D152" s="690"/>
      <c r="E152" s="691"/>
      <c r="F152" s="691"/>
      <c r="G152" s="691"/>
      <c r="H152" s="691"/>
      <c r="I152" s="690"/>
      <c r="J152" s="691"/>
      <c r="K152" s="691"/>
      <c r="L152" s="691"/>
      <c r="M152" s="691"/>
      <c r="N152" s="690"/>
      <c r="O152" s="691"/>
      <c r="P152" s="691"/>
      <c r="Q152" s="691"/>
      <c r="R152" s="691"/>
      <c r="S152" s="690"/>
      <c r="T152" s="692"/>
      <c r="U152" s="691"/>
      <c r="V152" s="691"/>
      <c r="W152" s="691"/>
      <c r="X152" s="691"/>
      <c r="Y152" s="818"/>
      <c r="Z152" s="836"/>
      <c r="AA152" s="836"/>
      <c r="AB152" s="836"/>
      <c r="AC152" s="836"/>
      <c r="AD152" s="818"/>
      <c r="AE152" s="836"/>
      <c r="AF152" s="836"/>
      <c r="AG152" s="836"/>
      <c r="AH152" s="836"/>
      <c r="AI152" s="818">
        <v>1400.81437239</v>
      </c>
      <c r="AJ152" s="804">
        <v>1401.7518201600001</v>
      </c>
      <c r="AK152" s="804">
        <v>1402.76403218</v>
      </c>
      <c r="AL152" s="804">
        <v>1403.1789279899999</v>
      </c>
      <c r="AM152" s="804">
        <v>1404.4300334500001</v>
      </c>
      <c r="AN152" s="818">
        <f>AM152</f>
        <v>1404.4300334500001</v>
      </c>
      <c r="AO152" s="804">
        <v>1405.7173846800001</v>
      </c>
      <c r="AP152" s="804">
        <v>1407.0207324600001</v>
      </c>
      <c r="AQ152" s="804">
        <v>1445.13311077</v>
      </c>
      <c r="AR152" s="804">
        <v>1447.8672908800002</v>
      </c>
      <c r="AS152" s="818">
        <f>AR152</f>
        <v>1447.8672908800002</v>
      </c>
      <c r="AT152" s="804">
        <v>1449.415</v>
      </c>
      <c r="AU152" s="804">
        <v>1103.5609999999999</v>
      </c>
      <c r="AV152" s="804"/>
      <c r="AW152" s="804"/>
      <c r="AX152" s="818"/>
      <c r="AY152" s="836"/>
      <c r="AZ152" s="836"/>
      <c r="BA152" s="836"/>
      <c r="BB152" s="836"/>
      <c r="BC152" s="818"/>
      <c r="BD152" s="836"/>
      <c r="BE152" s="836"/>
      <c r="BF152" s="836"/>
      <c r="BG152" s="836"/>
      <c r="BH152" s="818"/>
      <c r="BI152" s="836"/>
      <c r="BJ152" s="836"/>
      <c r="BK152" s="836"/>
      <c r="BL152" s="836"/>
      <c r="BM152" s="818"/>
      <c r="BN152" s="818"/>
      <c r="BO152" s="818"/>
      <c r="BP152" s="637"/>
      <c r="BQ152" s="692"/>
      <c r="BR152" s="592"/>
      <c r="BS152" s="592"/>
      <c r="BT152" s="592"/>
      <c r="DA152" s="708"/>
      <c r="DB152" s="708"/>
      <c r="DC152" s="708"/>
      <c r="DD152" s="708"/>
      <c r="DE152" s="709"/>
      <c r="DF152" s="708"/>
      <c r="DG152" s="708"/>
      <c r="DH152" s="708"/>
      <c r="DI152" s="708"/>
      <c r="DJ152" s="709"/>
      <c r="DK152" s="708"/>
      <c r="DL152" s="708"/>
      <c r="DM152" s="708"/>
      <c r="DN152" s="708"/>
      <c r="DO152" s="709"/>
      <c r="DP152" s="708"/>
      <c r="DQ152" s="708"/>
      <c r="DR152" s="708"/>
      <c r="DS152" s="708"/>
      <c r="DT152" s="709"/>
      <c r="DU152" s="708"/>
      <c r="DV152" s="708"/>
      <c r="DW152" s="708"/>
      <c r="DX152" s="708"/>
      <c r="DY152" s="709"/>
      <c r="DZ152" s="708"/>
      <c r="EA152" s="708"/>
      <c r="EB152" s="708"/>
      <c r="EC152" s="708"/>
      <c r="ED152" s="709"/>
      <c r="EE152" s="708"/>
      <c r="EF152" s="708"/>
      <c r="EG152" s="708"/>
      <c r="EH152" s="708"/>
      <c r="EI152" s="709"/>
      <c r="EJ152" s="709"/>
      <c r="EK152" s="709"/>
    </row>
    <row r="153" spans="2:141">
      <c r="B153" s="212" t="s">
        <v>1533</v>
      </c>
      <c r="D153" s="690"/>
      <c r="E153" s="691"/>
      <c r="F153" s="691"/>
      <c r="G153" s="691"/>
      <c r="H153" s="691"/>
      <c r="I153" s="690"/>
      <c r="J153" s="691"/>
      <c r="K153" s="691"/>
      <c r="L153" s="691"/>
      <c r="M153" s="691"/>
      <c r="N153" s="690"/>
      <c r="O153" s="691"/>
      <c r="P153" s="691"/>
      <c r="Q153" s="691"/>
      <c r="R153" s="691"/>
      <c r="S153" s="690"/>
      <c r="T153" s="692"/>
      <c r="U153" s="691"/>
      <c r="V153" s="691"/>
      <c r="W153" s="691"/>
      <c r="X153" s="691"/>
      <c r="Y153" s="818"/>
      <c r="Z153" s="836"/>
      <c r="AA153" s="836"/>
      <c r="AB153" s="836"/>
      <c r="AC153" s="836"/>
      <c r="AD153" s="818"/>
      <c r="AE153" s="836"/>
      <c r="AF153" s="836"/>
      <c r="AG153" s="836"/>
      <c r="AH153" s="836"/>
      <c r="AI153" s="818"/>
      <c r="AJ153" s="804"/>
      <c r="AK153" s="804"/>
      <c r="AL153" s="804"/>
      <c r="AM153" s="804"/>
      <c r="AN153" s="818"/>
      <c r="AO153" s="804"/>
      <c r="AP153" s="804"/>
      <c r="AQ153" s="804"/>
      <c r="AR153" s="804"/>
      <c r="AS153" s="818">
        <f>AS152+AS151</f>
        <v>1462.4004704400002</v>
      </c>
      <c r="AT153" s="804">
        <f>AT152+AT151</f>
        <v>1464.5409999999999</v>
      </c>
      <c r="AU153" s="804">
        <f>AU152+AU151</f>
        <v>1114.433</v>
      </c>
      <c r="AV153" s="804">
        <v>1115.1500000000001</v>
      </c>
      <c r="AW153" s="804">
        <v>1108.69</v>
      </c>
      <c r="AX153" s="818">
        <f>AW153</f>
        <v>1108.69</v>
      </c>
      <c r="AY153" s="804">
        <v>1115.5229999999999</v>
      </c>
      <c r="AZ153" s="804">
        <v>1109.8140000000001</v>
      </c>
      <c r="BA153" s="804">
        <v>1116.703</v>
      </c>
      <c r="BB153" s="804">
        <v>1124</v>
      </c>
      <c r="BC153" s="818">
        <f>BB153</f>
        <v>1124</v>
      </c>
      <c r="BD153" s="804">
        <v>1124.173</v>
      </c>
      <c r="BE153" s="804">
        <v>1118.0619999999999</v>
      </c>
      <c r="BF153" s="804">
        <v>1134.8090000000002</v>
      </c>
      <c r="BG153" s="804">
        <v>1217.0940000000001</v>
      </c>
      <c r="BH153" s="818">
        <f>BG153</f>
        <v>1217.0940000000001</v>
      </c>
      <c r="BI153" s="804">
        <v>1425.059</v>
      </c>
      <c r="BJ153" s="804">
        <v>1460</v>
      </c>
      <c r="BK153" s="804">
        <v>1510.6</v>
      </c>
      <c r="BL153" s="804">
        <f>BK153-233-BL147</f>
        <v>1307.74</v>
      </c>
      <c r="BM153" s="818">
        <f ca="1">BM155+BM154</f>
        <v>1307.74</v>
      </c>
      <c r="BN153" s="818">
        <f ca="1">Model!O173</f>
        <v>1246.7</v>
      </c>
      <c r="BO153" s="818">
        <f ca="1">Model!P173</f>
        <v>1275.747348274012</v>
      </c>
      <c r="BP153" s="637"/>
      <c r="BQ153" s="692"/>
      <c r="BR153" s="592"/>
      <c r="BS153" s="592"/>
      <c r="BT153" s="592"/>
      <c r="DA153" s="708"/>
      <c r="DB153" s="708"/>
      <c r="DC153" s="708"/>
      <c r="DD153" s="708"/>
      <c r="DE153" s="709"/>
      <c r="DF153" s="708"/>
      <c r="DG153" s="708"/>
      <c r="DH153" s="708"/>
      <c r="DI153" s="708"/>
      <c r="DJ153" s="709"/>
      <c r="DK153" s="708"/>
      <c r="DL153" s="708"/>
      <c r="DM153" s="708"/>
      <c r="DN153" s="708"/>
      <c r="DO153" s="709"/>
      <c r="DP153" s="708"/>
      <c r="DQ153" s="708"/>
      <c r="DR153" s="708"/>
      <c r="DS153" s="708"/>
      <c r="DT153" s="709"/>
      <c r="DU153" s="708"/>
      <c r="DV153" s="708"/>
      <c r="DW153" s="708"/>
      <c r="DX153" s="708"/>
      <c r="DY153" s="709"/>
      <c r="DZ153" s="708"/>
      <c r="EA153" s="708"/>
      <c r="EB153" s="708"/>
      <c r="EC153" s="708"/>
      <c r="ED153" s="709"/>
      <c r="EE153" s="708"/>
      <c r="EF153" s="708"/>
      <c r="EG153" s="708"/>
      <c r="EH153" s="708"/>
      <c r="EI153" s="709"/>
      <c r="EJ153" s="709"/>
      <c r="EK153" s="709"/>
    </row>
    <row r="154" spans="2:141">
      <c r="B154" s="212" t="s">
        <v>1520</v>
      </c>
      <c r="D154" s="690"/>
      <c r="E154" s="691"/>
      <c r="F154" s="691"/>
      <c r="G154" s="691"/>
      <c r="H154" s="691"/>
      <c r="I154" s="690"/>
      <c r="J154" s="691"/>
      <c r="K154" s="691"/>
      <c r="L154" s="691"/>
      <c r="M154" s="691"/>
      <c r="N154" s="690"/>
      <c r="O154" s="691"/>
      <c r="P154" s="691"/>
      <c r="Q154" s="691"/>
      <c r="R154" s="691"/>
      <c r="S154" s="690"/>
      <c r="T154" s="692"/>
      <c r="U154" s="691"/>
      <c r="V154" s="691"/>
      <c r="W154" s="691"/>
      <c r="X154" s="691"/>
      <c r="Y154" s="818"/>
      <c r="Z154" s="836"/>
      <c r="AA154" s="836"/>
      <c r="AB154" s="836"/>
      <c r="AC154" s="836"/>
      <c r="AD154" s="818"/>
      <c r="AE154" s="836"/>
      <c r="AF154" s="836"/>
      <c r="AG154" s="836"/>
      <c r="AH154" s="836"/>
      <c r="AI154" s="818">
        <v>26.287507739999999</v>
      </c>
      <c r="AJ154" s="804">
        <v>31.043128879999998</v>
      </c>
      <c r="AK154" s="804">
        <v>14.77971174</v>
      </c>
      <c r="AL154" s="804">
        <v>8.67999908</v>
      </c>
      <c r="AM154" s="804">
        <v>10.128077169999999</v>
      </c>
      <c r="AN154" s="818">
        <f t="shared" ref="AN154:AN159" si="251">AM154</f>
        <v>10.128077169999999</v>
      </c>
      <c r="AO154" s="804">
        <v>11.64174186</v>
      </c>
      <c r="AP154" s="804">
        <v>10.117674989999999</v>
      </c>
      <c r="AQ154" s="804">
        <v>55.703908130000002</v>
      </c>
      <c r="AR154" s="804">
        <v>61.890147689999999</v>
      </c>
      <c r="AS154" s="818">
        <f t="shared" ref="AS154:AS159" si="252">AR154</f>
        <v>61.890147689999999</v>
      </c>
      <c r="AT154" s="804">
        <v>64.025000000000006</v>
      </c>
      <c r="AU154" s="804">
        <v>143.61699999999999</v>
      </c>
      <c r="AV154" s="804">
        <v>154.92599999999999</v>
      </c>
      <c r="AW154" s="804">
        <v>124.28400000000001</v>
      </c>
      <c r="AX154" s="818">
        <f>AW154</f>
        <v>124.28400000000001</v>
      </c>
      <c r="AY154" s="804">
        <v>123.172</v>
      </c>
      <c r="AZ154" s="804">
        <v>94.34</v>
      </c>
      <c r="BA154" s="804">
        <v>68.804000000000002</v>
      </c>
      <c r="BB154" s="804">
        <v>104.5</v>
      </c>
      <c r="BC154" s="818">
        <f>BB154</f>
        <v>104.5</v>
      </c>
      <c r="BD154" s="804">
        <v>51.8</v>
      </c>
      <c r="BE154" s="804">
        <v>34.284999999999997</v>
      </c>
      <c r="BF154" s="804">
        <v>30.117999999999999</v>
      </c>
      <c r="BG154" s="804">
        <v>23.2</v>
      </c>
      <c r="BH154" s="818">
        <f>BG154</f>
        <v>23.2</v>
      </c>
      <c r="BI154" s="804">
        <v>101.96299999999999</v>
      </c>
      <c r="BJ154" s="804">
        <v>65.599999999999994</v>
      </c>
      <c r="BK154" s="804">
        <v>58.4</v>
      </c>
      <c r="BL154" s="837">
        <f ca="1">BL153-BL155</f>
        <v>64.206054522987642</v>
      </c>
      <c r="BM154" s="818">
        <f ca="1">Model!N174</f>
        <v>64.206054522987642</v>
      </c>
      <c r="BN154" s="818">
        <f ca="1">Model!O174</f>
        <v>61.49060137316178</v>
      </c>
      <c r="BO154" s="818">
        <f>Model!P174</f>
        <v>30</v>
      </c>
      <c r="BP154" s="637"/>
      <c r="BQ154" s="692"/>
      <c r="BR154" s="592"/>
      <c r="BS154" s="592"/>
      <c r="BT154" s="592"/>
      <c r="DA154" s="708"/>
      <c r="DB154" s="708"/>
      <c r="DC154" s="708"/>
      <c r="DD154" s="708"/>
      <c r="DE154" s="709"/>
      <c r="DF154" s="708"/>
      <c r="DG154" s="708"/>
      <c r="DH154" s="708"/>
      <c r="DI154" s="708"/>
      <c r="DJ154" s="709"/>
      <c r="DK154" s="708"/>
      <c r="DL154" s="708"/>
      <c r="DM154" s="708"/>
      <c r="DN154" s="708"/>
      <c r="DO154" s="709"/>
      <c r="DP154" s="708"/>
      <c r="DQ154" s="708"/>
      <c r="DR154" s="708"/>
      <c r="DS154" s="708"/>
      <c r="DT154" s="709"/>
      <c r="DU154" s="708"/>
      <c r="DV154" s="708"/>
      <c r="DW154" s="708"/>
      <c r="DX154" s="708"/>
      <c r="DY154" s="709"/>
      <c r="DZ154" s="708"/>
      <c r="EA154" s="708"/>
      <c r="EB154" s="708"/>
      <c r="EC154" s="708"/>
      <c r="ED154" s="709"/>
      <c r="EE154" s="708"/>
      <c r="EF154" s="708"/>
      <c r="EG154" s="708"/>
      <c r="EH154" s="708"/>
      <c r="EI154" s="709"/>
      <c r="EJ154" s="709"/>
      <c r="EK154" s="709"/>
    </row>
    <row r="155" spans="2:141" s="7" customFormat="1">
      <c r="B155" s="7" t="s">
        <v>160</v>
      </c>
      <c r="D155" s="693"/>
      <c r="E155" s="694"/>
      <c r="F155" s="694"/>
      <c r="G155" s="694"/>
      <c r="H155" s="694"/>
      <c r="I155" s="693"/>
      <c r="J155" s="694"/>
      <c r="K155" s="694"/>
      <c r="L155" s="694"/>
      <c r="M155" s="694"/>
      <c r="N155" s="693"/>
      <c r="O155" s="694"/>
      <c r="P155" s="694"/>
      <c r="Q155" s="694"/>
      <c r="R155" s="694"/>
      <c r="S155" s="693"/>
      <c r="T155" s="695"/>
      <c r="U155" s="694"/>
      <c r="V155" s="694"/>
      <c r="W155" s="694"/>
      <c r="X155" s="694"/>
      <c r="Y155" s="813">
        <f>Model!F138</f>
        <v>1205.5</v>
      </c>
      <c r="Z155" s="839">
        <v>1226.9000000000001</v>
      </c>
      <c r="AA155" s="839">
        <v>1235.4000000000001</v>
      </c>
      <c r="AB155" s="839">
        <v>1241.2706358600001</v>
      </c>
      <c r="AC155" s="839">
        <v>1309.3</v>
      </c>
      <c r="AD155" s="813">
        <f>Model!G138</f>
        <v>1309.3000000000002</v>
      </c>
      <c r="AE155" s="839">
        <v>1323.6</v>
      </c>
      <c r="AF155" s="839">
        <v>1362.6090732499997</v>
      </c>
      <c r="AG155" s="839">
        <v>1370.0688086500002</v>
      </c>
      <c r="AH155" s="839">
        <v>1389.5861756100001</v>
      </c>
      <c r="AI155" s="813">
        <v>1389.5861756100001</v>
      </c>
      <c r="AJ155" s="839">
        <v>1386.4327870700001</v>
      </c>
      <c r="AK155" s="839">
        <v>1402.77031081</v>
      </c>
      <c r="AL155" s="839">
        <v>1418.0442445699998</v>
      </c>
      <c r="AM155" s="839">
        <v>1422.04685406</v>
      </c>
      <c r="AN155" s="813">
        <f t="shared" si="251"/>
        <v>1422.04685406</v>
      </c>
      <c r="AO155" s="839">
        <v>1409.1620117700002</v>
      </c>
      <c r="AP155" s="839">
        <v>1410.9633064700001</v>
      </c>
      <c r="AQ155" s="839">
        <v>1404.2671379000001</v>
      </c>
      <c r="AR155" s="839">
        <v>1400.5103227499999</v>
      </c>
      <c r="AS155" s="813">
        <f t="shared" si="252"/>
        <v>1400.5103227499999</v>
      </c>
      <c r="AT155" s="839">
        <v>1400.5159999999998</v>
      </c>
      <c r="AU155" s="839">
        <v>970.81600000000003</v>
      </c>
      <c r="AV155" s="924">
        <f t="shared" ref="AV155:BK155" si="253">AV153-AV154</f>
        <v>960.22400000000016</v>
      </c>
      <c r="AW155" s="924">
        <f t="shared" si="253"/>
        <v>984.40600000000006</v>
      </c>
      <c r="AX155" s="813">
        <f t="shared" si="253"/>
        <v>984.40600000000006</v>
      </c>
      <c r="AY155" s="924">
        <f t="shared" si="253"/>
        <v>992.35099999999989</v>
      </c>
      <c r="AZ155" s="924">
        <f t="shared" si="253"/>
        <v>1015.474</v>
      </c>
      <c r="BA155" s="924">
        <f t="shared" si="253"/>
        <v>1047.8989999999999</v>
      </c>
      <c r="BB155" s="924">
        <f t="shared" si="253"/>
        <v>1019.5</v>
      </c>
      <c r="BC155" s="813">
        <f t="shared" si="253"/>
        <v>1019.5</v>
      </c>
      <c r="BD155" s="924">
        <f t="shared" si="253"/>
        <v>1072.373</v>
      </c>
      <c r="BE155" s="924">
        <f t="shared" si="253"/>
        <v>1083.7769999999998</v>
      </c>
      <c r="BF155" s="924">
        <f t="shared" si="253"/>
        <v>1104.6910000000003</v>
      </c>
      <c r="BG155" s="924">
        <f t="shared" si="253"/>
        <v>1193.894</v>
      </c>
      <c r="BH155" s="813">
        <f t="shared" si="253"/>
        <v>1193.894</v>
      </c>
      <c r="BI155" s="924">
        <f t="shared" si="253"/>
        <v>1323.096</v>
      </c>
      <c r="BJ155" s="924">
        <f t="shared" si="253"/>
        <v>1394.4</v>
      </c>
      <c r="BK155" s="924">
        <f t="shared" si="253"/>
        <v>1452.1999999999998</v>
      </c>
      <c r="BL155" s="924">
        <f ca="1">BK155-BL149</f>
        <v>1243.5339454770124</v>
      </c>
      <c r="BM155" s="813">
        <f ca="1">Model!N145</f>
        <v>1243.5339454770124</v>
      </c>
      <c r="BN155" s="813">
        <f ca="1">Model!O145</f>
        <v>1390.0493986268384</v>
      </c>
      <c r="BO155" s="813">
        <f ca="1">Model!P145</f>
        <v>1530.247348274012</v>
      </c>
      <c r="BP155" s="638"/>
      <c r="BQ155" s="695">
        <v>1408.3752585329266</v>
      </c>
      <c r="BR155" s="662">
        <f>$AR155/BQ155-1</f>
        <v>-5.5844035425043348E-3</v>
      </c>
      <c r="BS155" s="602"/>
      <c r="BT155" s="602"/>
      <c r="CK155" s="577"/>
      <c r="CP155" s="577"/>
      <c r="CU155" s="577"/>
      <c r="CZ155" s="577"/>
      <c r="DA155" s="712"/>
      <c r="DB155" s="712"/>
      <c r="DC155" s="712"/>
      <c r="DD155" s="712"/>
      <c r="DE155" s="713"/>
      <c r="DF155" s="712"/>
      <c r="DG155" s="712"/>
      <c r="DH155" s="712"/>
      <c r="DI155" s="712"/>
      <c r="DJ155" s="713"/>
      <c r="DK155" s="712"/>
      <c r="DL155" s="712"/>
      <c r="DM155" s="712"/>
      <c r="DN155" s="712"/>
      <c r="DO155" s="713"/>
      <c r="DP155" s="712"/>
      <c r="DQ155" s="712"/>
      <c r="DR155" s="712"/>
      <c r="DS155" s="712"/>
      <c r="DT155" s="713"/>
      <c r="DU155" s="712"/>
      <c r="DV155" s="712"/>
      <c r="DW155" s="712"/>
      <c r="DX155" s="712"/>
      <c r="DY155" s="713"/>
      <c r="DZ155" s="712"/>
      <c r="EA155" s="712"/>
      <c r="EB155" s="712"/>
      <c r="EC155" s="712"/>
      <c r="ED155" s="713"/>
      <c r="EE155" s="712"/>
      <c r="EF155" s="712"/>
      <c r="EG155" s="712"/>
      <c r="EH155" s="712"/>
      <c r="EI155" s="713"/>
      <c r="EJ155" s="713"/>
      <c r="EK155" s="713"/>
    </row>
    <row r="156" spans="2:141">
      <c r="B156" s="212" t="s">
        <v>1521</v>
      </c>
      <c r="D156" s="690"/>
      <c r="E156" s="691"/>
      <c r="F156" s="691"/>
      <c r="G156" s="691"/>
      <c r="H156" s="691"/>
      <c r="I156" s="690"/>
      <c r="J156" s="691"/>
      <c r="K156" s="691"/>
      <c r="L156" s="691"/>
      <c r="M156" s="691"/>
      <c r="N156" s="690"/>
      <c r="O156" s="691"/>
      <c r="P156" s="691"/>
      <c r="Q156" s="691"/>
      <c r="R156" s="691"/>
      <c r="S156" s="690"/>
      <c r="T156" s="692"/>
      <c r="U156" s="691"/>
      <c r="V156" s="691"/>
      <c r="W156" s="691"/>
      <c r="X156" s="691"/>
      <c r="Y156" s="818"/>
      <c r="Z156" s="837">
        <f>Z155/(Z86+X86+W86+V86)</f>
        <v>4.814040318746664</v>
      </c>
      <c r="AA156" s="837">
        <f>AA155/(AA86+Z86+X86+W86)</f>
        <v>4.7840698909694632</v>
      </c>
      <c r="AB156" s="837">
        <f>AB155/(AB86+AA86+Z86+X86)</f>
        <v>4.7211548000387404</v>
      </c>
      <c r="AC156" s="837">
        <f>AC155/(AC86+AB86+AA86+Z86)</f>
        <v>4.9479106759270364</v>
      </c>
      <c r="AD156" s="818">
        <f>Model!G139</f>
        <v>4.9463543634302995</v>
      </c>
      <c r="AE156" s="837">
        <f>AE155/(AE86+AC86+AB86+AA86)</f>
        <v>4.9770899001740343</v>
      </c>
      <c r="AF156" s="837">
        <f>AF155/(AF86+AD86+AC86+AB86)</f>
        <v>2.9732916414277648</v>
      </c>
      <c r="AG156" s="837">
        <f>AG155/(AG86+AE86+AD86+AC86)</f>
        <v>2.9885275195019023</v>
      </c>
      <c r="AH156" s="837">
        <f>AH155/(AH86+AF86+AE86+AD86)</f>
        <v>3.1656158855896779</v>
      </c>
      <c r="AI156" s="818">
        <v>5.8893036701592845</v>
      </c>
      <c r="AJ156" s="839">
        <v>6.1403712901220562</v>
      </c>
      <c r="AK156" s="839">
        <v>6.1239044000291187</v>
      </c>
      <c r="AL156" s="839">
        <v>6.1728113258542461</v>
      </c>
      <c r="AM156" s="839">
        <v>6.1090853301918013</v>
      </c>
      <c r="AN156" s="818">
        <f t="shared" si="251"/>
        <v>6.1090853301918013</v>
      </c>
      <c r="AO156" s="839">
        <v>6.0357499181551999</v>
      </c>
      <c r="AP156" s="839">
        <v>6.0857886711868758</v>
      </c>
      <c r="AQ156" s="839">
        <v>6.0920959152324201</v>
      </c>
      <c r="AR156" s="839">
        <v>6.3211216385197089</v>
      </c>
      <c r="AS156" s="818">
        <f t="shared" si="252"/>
        <v>6.3211216385197089</v>
      </c>
      <c r="AT156" s="839">
        <v>6.3346296841706282</v>
      </c>
      <c r="AU156" s="839">
        <v>4.5151772785334483</v>
      </c>
      <c r="AV156" s="924">
        <f>AV155/(AV86+AU86+AT86+AR86)</f>
        <v>3.9606596554155069</v>
      </c>
      <c r="AW156" s="924">
        <f>AW155/(AW86+AV86+AU86+AT86)</f>
        <v>4.347065395468376</v>
      </c>
      <c r="AX156" s="818">
        <f>AW155/(AW86+AU86+AT86+AV86+AW144+AU144+AT144+AV144)</f>
        <v>5.2268882576260394</v>
      </c>
      <c r="AY156" s="924">
        <f>AY155/(AY86+AW86+AV86+AU86+AY144+AW144+AV144+AU144)</f>
        <v>5.6675976058300774</v>
      </c>
      <c r="AZ156" s="924">
        <f>AZ155/(AZ86+AY86+AW86+AV86+AZ144+AY144+AW144+AV144)</f>
        <v>6.1183083995589644</v>
      </c>
      <c r="BA156" s="924">
        <f>BA155/(BA86+AZ86+AY86+AW86+BA144+AZ144+AY144+AW144)</f>
        <v>6.7456676794726524</v>
      </c>
      <c r="BB156" s="924">
        <f>BB155/(BB86+AZ86+AY86+BA86+BB144+AZ144+AY144+BA144)</f>
        <v>7.1367069645019683</v>
      </c>
      <c r="BC156" s="818">
        <f>BB155/(BB86+AZ86+AY86+BA86+BB144+AZ144+AY144+BA144)</f>
        <v>7.1367069645019683</v>
      </c>
      <c r="BD156" s="924">
        <f>BD155/(BD86+BB86+BA86+AZ86+BD144+BB144+BA144+AZ144)</f>
        <v>7.8464977427214651</v>
      </c>
      <c r="BE156" s="924">
        <f>BE155/(BE86+BD86+BB86+BA86+BE144+BD144+BB144+BA144)</f>
        <v>8.0062209665965423</v>
      </c>
      <c r="BF156" s="924">
        <f>BF155/(BF86+BE86+BD86+BB86+BF144+BE144+BD144+BB144)</f>
        <v>8.1958059941738242</v>
      </c>
      <c r="BG156" s="924">
        <f>BG155/(BG86+BE86+BD86+BF86+BG144+BE144+BD144+BF144)</f>
        <v>8.0686311643597861</v>
      </c>
      <c r="BH156" s="818">
        <f>BG155/(BG86+BE86+BD86+BF86+BG144+BE144+BD144+BF144)</f>
        <v>8.0686311643597861</v>
      </c>
      <c r="BI156" s="924">
        <f>BI155/(BI86+BG86+BF86+BE86+BI144+BG144+BF144+BE144)</f>
        <v>8.9261859884599684</v>
      </c>
      <c r="BJ156" s="924">
        <f>BJ155/(BJ86+BI86+BG86+BF86+BJ144+BI144+BG144+BF144)</f>
        <v>9.6461893001523773</v>
      </c>
      <c r="BK156" s="924">
        <f>BK155/(BK86+BJ86+BI86+BG86+BK144+BJ144+BI144+BG144)</f>
        <v>10.01192716843506</v>
      </c>
      <c r="BL156" s="924">
        <f ca="1">BL155/(BL86+BJ86+BI86+BK86+BL144+BJ144+BI144+BK144)</f>
        <v>8.8836703132259398</v>
      </c>
      <c r="BM156" s="818">
        <f ca="1">Model!N139</f>
        <v>6.2303789918514925</v>
      </c>
      <c r="BN156" s="818">
        <f ca="1">Model!O139</f>
        <v>6.1644329436855836</v>
      </c>
      <c r="BO156" s="818">
        <f ca="1">Model!U139</f>
        <v>6.5219028622884734</v>
      </c>
      <c r="BP156" s="216"/>
      <c r="BQ156" s="592">
        <v>3.3563677357572357</v>
      </c>
      <c r="BR156" s="662"/>
      <c r="BS156" s="592"/>
      <c r="BT156" s="592"/>
      <c r="DA156" s="708"/>
      <c r="DB156" s="708"/>
      <c r="DC156" s="708"/>
      <c r="DD156" s="708"/>
      <c r="DE156" s="709"/>
      <c r="DF156" s="708"/>
      <c r="DG156" s="708"/>
      <c r="DH156" s="708"/>
      <c r="DI156" s="708"/>
      <c r="DJ156" s="709"/>
      <c r="DK156" s="708"/>
      <c r="DL156" s="708"/>
      <c r="DM156" s="708"/>
      <c r="DN156" s="708"/>
      <c r="DO156" s="709"/>
      <c r="DP156" s="708"/>
      <c r="DQ156" s="708"/>
      <c r="DR156" s="708"/>
      <c r="DS156" s="708"/>
      <c r="DT156" s="709"/>
      <c r="DU156" s="708"/>
      <c r="DV156" s="708"/>
      <c r="DW156" s="708"/>
      <c r="DX156" s="708"/>
      <c r="DY156" s="709"/>
      <c r="DZ156" s="708"/>
      <c r="EA156" s="708"/>
      <c r="EB156" s="708"/>
      <c r="EC156" s="708"/>
      <c r="ED156" s="709"/>
      <c r="EE156" s="708"/>
      <c r="EF156" s="708"/>
      <c r="EG156" s="708"/>
      <c r="EH156" s="708"/>
      <c r="EI156" s="709"/>
      <c r="EJ156" s="709"/>
      <c r="EK156" s="709"/>
    </row>
    <row r="157" spans="2:141">
      <c r="B157" s="212" t="s">
        <v>1522</v>
      </c>
      <c r="D157" s="690"/>
      <c r="E157" s="691"/>
      <c r="F157" s="691"/>
      <c r="G157" s="691"/>
      <c r="H157" s="691"/>
      <c r="I157" s="690"/>
      <c r="J157" s="691"/>
      <c r="K157" s="691"/>
      <c r="L157" s="691"/>
      <c r="M157" s="691"/>
      <c r="N157" s="690"/>
      <c r="O157" s="691"/>
      <c r="P157" s="691"/>
      <c r="Q157" s="691"/>
      <c r="R157" s="691"/>
      <c r="S157" s="690"/>
      <c r="T157" s="692"/>
      <c r="U157" s="691"/>
      <c r="V157" s="691"/>
      <c r="W157" s="691"/>
      <c r="X157" s="691"/>
      <c r="Y157" s="818"/>
      <c r="Z157" s="837"/>
      <c r="AA157" s="837"/>
      <c r="AB157" s="837"/>
      <c r="AC157" s="837"/>
      <c r="AD157" s="818"/>
      <c r="AE157" s="837"/>
      <c r="AF157" s="837"/>
      <c r="AG157" s="837"/>
      <c r="AH157" s="837"/>
      <c r="AI157" s="818">
        <v>1.5575292599999999</v>
      </c>
      <c r="AJ157" s="839">
        <v>1.5575292599999999</v>
      </c>
      <c r="AK157" s="839">
        <v>1.5575292599999999</v>
      </c>
      <c r="AL157" s="839">
        <v>1.3415531000000001</v>
      </c>
      <c r="AM157" s="839">
        <v>1.4397150000000001</v>
      </c>
      <c r="AN157" s="818">
        <f t="shared" si="251"/>
        <v>1.4397150000000001</v>
      </c>
      <c r="AO157" s="839">
        <v>1.2564394999999999</v>
      </c>
      <c r="AP157" s="839">
        <v>2.2817906000000003</v>
      </c>
      <c r="AQ157" s="839">
        <v>0.98956670000000002</v>
      </c>
      <c r="AR157" s="839">
        <v>0.83038780000000012</v>
      </c>
      <c r="AS157" s="818">
        <f t="shared" si="252"/>
        <v>0.83038780000000012</v>
      </c>
      <c r="AT157" s="839">
        <v>0.68639729999999999</v>
      </c>
      <c r="AU157" s="839">
        <v>0.5959440841000001</v>
      </c>
      <c r="AV157" s="839"/>
      <c r="AW157" s="839"/>
      <c r="AX157" s="818"/>
      <c r="AY157" s="837"/>
      <c r="AZ157" s="837"/>
      <c r="BA157" s="837"/>
      <c r="BB157" s="837"/>
      <c r="BC157" s="818"/>
      <c r="BD157" s="837"/>
      <c r="BE157" s="837"/>
      <c r="BF157" s="837"/>
      <c r="BG157" s="837"/>
      <c r="BH157" s="818"/>
      <c r="BI157" s="837"/>
      <c r="BJ157" s="837"/>
      <c r="BK157" s="837"/>
      <c r="BL157" s="837"/>
      <c r="BM157" s="818"/>
      <c r="BN157" s="818"/>
      <c r="BO157" s="818"/>
      <c r="BP157" s="216"/>
      <c r="BQ157" s="592"/>
      <c r="BR157" s="662"/>
      <c r="BS157" s="592"/>
      <c r="BT157" s="592"/>
      <c r="DA157" s="708"/>
      <c r="DB157" s="708"/>
      <c r="DC157" s="708"/>
      <c r="DD157" s="708"/>
      <c r="DE157" s="709"/>
      <c r="DF157" s="708"/>
      <c r="DG157" s="708"/>
      <c r="DH157" s="708"/>
      <c r="DI157" s="708"/>
      <c r="DJ157" s="709"/>
      <c r="DK157" s="708"/>
      <c r="DL157" s="708"/>
      <c r="DM157" s="708"/>
      <c r="DN157" s="708"/>
      <c r="DO157" s="709"/>
      <c r="DP157" s="708"/>
      <c r="DQ157" s="708"/>
      <c r="DR157" s="708"/>
      <c r="DS157" s="708"/>
      <c r="DT157" s="709"/>
      <c r="DU157" s="708"/>
      <c r="DV157" s="708"/>
      <c r="DW157" s="708"/>
      <c r="DX157" s="708"/>
      <c r="DY157" s="709"/>
      <c r="DZ157" s="708"/>
      <c r="EA157" s="708"/>
      <c r="EB157" s="708"/>
      <c r="EC157" s="708"/>
      <c r="ED157" s="709"/>
      <c r="EE157" s="708"/>
      <c r="EF157" s="708"/>
      <c r="EG157" s="708"/>
      <c r="EH157" s="708"/>
      <c r="EI157" s="709"/>
      <c r="EJ157" s="709"/>
      <c r="EK157" s="709"/>
    </row>
    <row r="158" spans="2:141">
      <c r="B158" s="212" t="s">
        <v>1523</v>
      </c>
      <c r="D158" s="690"/>
      <c r="E158" s="691"/>
      <c r="F158" s="691"/>
      <c r="G158" s="691"/>
      <c r="H158" s="691"/>
      <c r="I158" s="690"/>
      <c r="J158" s="691"/>
      <c r="K158" s="691"/>
      <c r="L158" s="691"/>
      <c r="M158" s="691"/>
      <c r="N158" s="690"/>
      <c r="O158" s="691"/>
      <c r="P158" s="691"/>
      <c r="Q158" s="691"/>
      <c r="R158" s="691"/>
      <c r="S158" s="690"/>
      <c r="T158" s="692"/>
      <c r="U158" s="691"/>
      <c r="V158" s="691"/>
      <c r="W158" s="691"/>
      <c r="X158" s="691"/>
      <c r="Y158" s="818"/>
      <c r="Z158" s="837"/>
      <c r="AA158" s="837"/>
      <c r="AB158" s="837"/>
      <c r="AC158" s="837"/>
      <c r="AD158" s="818"/>
      <c r="AE158" s="837"/>
      <c r="AF158" s="837"/>
      <c r="AG158" s="837"/>
      <c r="AH158" s="837"/>
      <c r="AI158" s="818">
        <v>1391.1437048700002</v>
      </c>
      <c r="AJ158" s="804">
        <v>1387.9903163300003</v>
      </c>
      <c r="AK158" s="804">
        <v>1404.3278400700001</v>
      </c>
      <c r="AL158" s="804">
        <v>1419.3857976699999</v>
      </c>
      <c r="AM158" s="804">
        <v>1423.48656906</v>
      </c>
      <c r="AN158" s="818">
        <f t="shared" si="251"/>
        <v>1423.48656906</v>
      </c>
      <c r="AO158" s="804">
        <v>1410.4184512700001</v>
      </c>
      <c r="AP158" s="804">
        <v>1413.2450970700002</v>
      </c>
      <c r="AQ158" s="804">
        <v>1405.2567046000001</v>
      </c>
      <c r="AR158" s="804">
        <v>1401.34071055</v>
      </c>
      <c r="AS158" s="818">
        <f t="shared" si="252"/>
        <v>1401.34071055</v>
      </c>
      <c r="AT158" s="804">
        <v>1401.2023972999998</v>
      </c>
      <c r="AU158" s="804">
        <v>971.41287061307514</v>
      </c>
      <c r="AV158" s="804"/>
      <c r="AW158" s="804"/>
      <c r="AX158" s="818"/>
      <c r="AY158" s="837"/>
      <c r="AZ158" s="837"/>
      <c r="BA158" s="837"/>
      <c r="BB158" s="837"/>
      <c r="BC158" s="818"/>
      <c r="BD158" s="837"/>
      <c r="BE158" s="837"/>
      <c r="BF158" s="837"/>
      <c r="BG158" s="837"/>
      <c r="BH158" s="818"/>
      <c r="BI158" s="837"/>
      <c r="BJ158" s="837"/>
      <c r="BK158" s="837"/>
      <c r="BL158" s="837"/>
      <c r="BM158" s="818"/>
      <c r="BN158" s="818"/>
      <c r="BO158" s="818"/>
      <c r="BP158" s="216"/>
      <c r="BQ158" s="592"/>
      <c r="BR158" s="662"/>
      <c r="BS158" s="592"/>
      <c r="BT158" s="592"/>
      <c r="DA158" s="708"/>
      <c r="DB158" s="708"/>
      <c r="DC158" s="708"/>
      <c r="DD158" s="708"/>
      <c r="DE158" s="709"/>
      <c r="DF158" s="708"/>
      <c r="DG158" s="708"/>
      <c r="DH158" s="708"/>
      <c r="DI158" s="708"/>
      <c r="DJ158" s="709"/>
      <c r="DK158" s="708"/>
      <c r="DL158" s="708"/>
      <c r="DM158" s="708"/>
      <c r="DN158" s="708"/>
      <c r="DO158" s="709"/>
      <c r="DP158" s="708"/>
      <c r="DQ158" s="708"/>
      <c r="DR158" s="708"/>
      <c r="DS158" s="708"/>
      <c r="DT158" s="709"/>
      <c r="DU158" s="708"/>
      <c r="DV158" s="708"/>
      <c r="DW158" s="708"/>
      <c r="DX158" s="708"/>
      <c r="DY158" s="709"/>
      <c r="DZ158" s="708"/>
      <c r="EA158" s="708"/>
      <c r="EB158" s="708"/>
      <c r="EC158" s="708"/>
      <c r="ED158" s="709"/>
      <c r="EE158" s="708"/>
      <c r="EF158" s="708"/>
      <c r="EG158" s="708"/>
      <c r="EH158" s="708"/>
      <c r="EI158" s="709"/>
      <c r="EJ158" s="709"/>
      <c r="EK158" s="709"/>
    </row>
    <row r="159" spans="2:141">
      <c r="B159" s="212" t="s">
        <v>1521</v>
      </c>
      <c r="D159" s="690"/>
      <c r="E159" s="691"/>
      <c r="F159" s="691"/>
      <c r="G159" s="691"/>
      <c r="H159" s="691"/>
      <c r="I159" s="690"/>
      <c r="J159" s="691"/>
      <c r="K159" s="691"/>
      <c r="L159" s="691"/>
      <c r="M159" s="691"/>
      <c r="N159" s="690"/>
      <c r="O159" s="691"/>
      <c r="P159" s="691"/>
      <c r="Q159" s="691"/>
      <c r="R159" s="691"/>
      <c r="S159" s="690"/>
      <c r="T159" s="692"/>
      <c r="U159" s="691"/>
      <c r="V159" s="691"/>
      <c r="W159" s="691"/>
      <c r="X159" s="691"/>
      <c r="Y159" s="818"/>
      <c r="Z159" s="837"/>
      <c r="AA159" s="837"/>
      <c r="AB159" s="837"/>
      <c r="AC159" s="837"/>
      <c r="AD159" s="818"/>
      <c r="AE159" s="837"/>
      <c r="AF159" s="837"/>
      <c r="AG159" s="837"/>
      <c r="AH159" s="837"/>
      <c r="AI159" s="818">
        <v>5.8959047453198608</v>
      </c>
      <c r="AJ159" s="804">
        <v>6.1408508887705953</v>
      </c>
      <c r="AK159" s="804">
        <v>6.2335963121870073</v>
      </c>
      <c r="AL159" s="804">
        <v>6.1786511677362084</v>
      </c>
      <c r="AM159" s="804">
        <v>6.1152703175296272</v>
      </c>
      <c r="AN159" s="818">
        <f t="shared" si="251"/>
        <v>6.1152703175296272</v>
      </c>
      <c r="AO159" s="804">
        <v>6.0411315240642081</v>
      </c>
      <c r="AP159" s="804">
        <v>6.0956305255567411</v>
      </c>
      <c r="AQ159" s="804">
        <v>6.096388926930989</v>
      </c>
      <c r="AR159" s="804">
        <v>6.324869545411703</v>
      </c>
      <c r="AS159" s="818">
        <f t="shared" si="252"/>
        <v>6.324869545411703</v>
      </c>
      <c r="AT159" s="804">
        <v>6.3372920319532762</v>
      </c>
      <c r="AU159" s="804">
        <v>4.5151772785334483</v>
      </c>
      <c r="AV159" s="804"/>
      <c r="AW159" s="804"/>
      <c r="AX159" s="818"/>
      <c r="AY159" s="837"/>
      <c r="AZ159" s="837"/>
      <c r="BA159" s="837"/>
      <c r="BB159" s="837"/>
      <c r="BC159" s="818"/>
      <c r="BD159" s="837"/>
      <c r="BE159" s="837"/>
      <c r="BF159" s="837"/>
      <c r="BG159" s="837"/>
      <c r="BH159" s="818"/>
      <c r="BI159" s="837"/>
      <c r="BJ159" s="837"/>
      <c r="BK159" s="837"/>
      <c r="BL159" s="837"/>
      <c r="BM159" s="818"/>
      <c r="BN159" s="818"/>
      <c r="BO159" s="818"/>
      <c r="BP159" s="216"/>
      <c r="BQ159" s="592"/>
      <c r="BR159" s="662"/>
      <c r="BS159" s="592"/>
      <c r="BT159" s="592"/>
      <c r="DA159" s="708"/>
      <c r="DB159" s="708"/>
      <c r="DC159" s="708"/>
      <c r="DD159" s="708"/>
      <c r="DE159" s="709"/>
      <c r="DF159" s="708"/>
      <c r="DG159" s="708"/>
      <c r="DH159" s="708"/>
      <c r="DI159" s="708"/>
      <c r="DJ159" s="709"/>
      <c r="DK159" s="708"/>
      <c r="DL159" s="708"/>
      <c r="DM159" s="708"/>
      <c r="DN159" s="708"/>
      <c r="DO159" s="709"/>
      <c r="DP159" s="708"/>
      <c r="DQ159" s="708"/>
      <c r="DR159" s="708"/>
      <c r="DS159" s="708"/>
      <c r="DT159" s="709"/>
      <c r="DU159" s="708"/>
      <c r="DV159" s="708"/>
      <c r="DW159" s="708"/>
      <c r="DX159" s="708"/>
      <c r="DY159" s="709"/>
      <c r="DZ159" s="708"/>
      <c r="EA159" s="708"/>
      <c r="EB159" s="708"/>
      <c r="EC159" s="708"/>
      <c r="ED159" s="709"/>
      <c r="EE159" s="708"/>
      <c r="EF159" s="708"/>
      <c r="EG159" s="708"/>
      <c r="EH159" s="708"/>
      <c r="EI159" s="709"/>
      <c r="EJ159" s="709"/>
      <c r="EK159" s="709"/>
    </row>
    <row r="160" spans="2:141">
      <c r="B160" s="212" t="s">
        <v>1524</v>
      </c>
      <c r="D160" s="690"/>
      <c r="E160" s="691"/>
      <c r="F160" s="691"/>
      <c r="G160" s="691"/>
      <c r="H160" s="691"/>
      <c r="I160" s="690"/>
      <c r="J160" s="691"/>
      <c r="K160" s="691"/>
      <c r="L160" s="691"/>
      <c r="M160" s="691"/>
      <c r="N160" s="690"/>
      <c r="O160" s="691"/>
      <c r="P160" s="691"/>
      <c r="Q160" s="691"/>
      <c r="R160" s="691"/>
      <c r="S160" s="690"/>
      <c r="T160" s="692"/>
      <c r="U160" s="691"/>
      <c r="V160" s="691"/>
      <c r="W160" s="691"/>
      <c r="X160" s="691"/>
      <c r="Y160" s="818"/>
      <c r="Z160" s="837"/>
      <c r="AA160" s="837"/>
      <c r="AB160" s="837"/>
      <c r="AC160" s="837"/>
      <c r="AD160" s="818"/>
      <c r="AE160" s="837"/>
      <c r="AF160" s="837"/>
      <c r="AG160" s="837"/>
      <c r="AH160" s="837"/>
      <c r="AI160" s="818">
        <v>0</v>
      </c>
      <c r="AJ160" s="804">
        <v>0</v>
      </c>
      <c r="AK160" s="804">
        <v>0</v>
      </c>
      <c r="AL160" s="804">
        <v>0</v>
      </c>
      <c r="AM160" s="804">
        <v>0</v>
      </c>
      <c r="AN160" s="818"/>
      <c r="AO160" s="804">
        <v>0</v>
      </c>
      <c r="AP160" s="804">
        <v>0</v>
      </c>
      <c r="AQ160" s="804">
        <v>0</v>
      </c>
      <c r="AR160" s="804">
        <v>0</v>
      </c>
      <c r="AS160" s="818"/>
      <c r="AT160" s="804">
        <v>0</v>
      </c>
      <c r="AU160" s="804">
        <v>0</v>
      </c>
      <c r="AV160" s="804"/>
      <c r="AW160" s="804"/>
      <c r="AX160" s="818"/>
      <c r="AY160" s="837"/>
      <c r="AZ160" s="837"/>
      <c r="BA160" s="837"/>
      <c r="BB160" s="837"/>
      <c r="BC160" s="818"/>
      <c r="BD160" s="837"/>
      <c r="BE160" s="837"/>
      <c r="BF160" s="837"/>
      <c r="BG160" s="837"/>
      <c r="BH160" s="818"/>
      <c r="BI160" s="837"/>
      <c r="BJ160" s="837"/>
      <c r="BK160" s="837"/>
      <c r="BL160" s="837"/>
      <c r="BM160" s="818"/>
      <c r="BN160" s="818"/>
      <c r="BO160" s="818"/>
      <c r="BP160" s="216"/>
      <c r="BQ160" s="592"/>
      <c r="BR160" s="662"/>
      <c r="BS160" s="592"/>
      <c r="BT160" s="592"/>
      <c r="DA160" s="708"/>
      <c r="DB160" s="708"/>
      <c r="DC160" s="708"/>
      <c r="DD160" s="708"/>
      <c r="DE160" s="709"/>
      <c r="DF160" s="708"/>
      <c r="DG160" s="708"/>
      <c r="DH160" s="708"/>
      <c r="DI160" s="708"/>
      <c r="DJ160" s="709"/>
      <c r="DK160" s="708"/>
      <c r="DL160" s="708"/>
      <c r="DM160" s="708"/>
      <c r="DN160" s="708"/>
      <c r="DO160" s="709"/>
      <c r="DP160" s="708"/>
      <c r="DQ160" s="708"/>
      <c r="DR160" s="708"/>
      <c r="DS160" s="708"/>
      <c r="DT160" s="709"/>
      <c r="DU160" s="708"/>
      <c r="DV160" s="708"/>
      <c r="DW160" s="708"/>
      <c r="DX160" s="708"/>
      <c r="DY160" s="709"/>
      <c r="DZ160" s="708"/>
      <c r="EA160" s="708"/>
      <c r="EB160" s="708"/>
      <c r="EC160" s="708"/>
      <c r="ED160" s="709"/>
      <c r="EE160" s="708"/>
      <c r="EF160" s="708"/>
      <c r="EG160" s="708"/>
      <c r="EH160" s="708"/>
      <c r="EI160" s="709"/>
      <c r="EJ160" s="709"/>
      <c r="EK160" s="709"/>
    </row>
    <row r="161" spans="2:141">
      <c r="B161" s="212" t="s">
        <v>1525</v>
      </c>
      <c r="D161" s="690"/>
      <c r="E161" s="691"/>
      <c r="F161" s="691"/>
      <c r="G161" s="691"/>
      <c r="H161" s="691"/>
      <c r="I161" s="690"/>
      <c r="J161" s="691"/>
      <c r="K161" s="691"/>
      <c r="L161" s="691"/>
      <c r="M161" s="691"/>
      <c r="N161" s="690"/>
      <c r="O161" s="691"/>
      <c r="P161" s="691"/>
      <c r="Q161" s="691"/>
      <c r="R161" s="691"/>
      <c r="S161" s="690"/>
      <c r="T161" s="692"/>
      <c r="U161" s="691"/>
      <c r="V161" s="691"/>
      <c r="W161" s="691"/>
      <c r="X161" s="691"/>
      <c r="Y161" s="818"/>
      <c r="Z161" s="837"/>
      <c r="AA161" s="837"/>
      <c r="AB161" s="837"/>
      <c r="AC161" s="837"/>
      <c r="AD161" s="818"/>
      <c r="AE161" s="837"/>
      <c r="AF161" s="837"/>
      <c r="AG161" s="837"/>
      <c r="AH161" s="837"/>
      <c r="AI161" s="818">
        <v>1391.1437048700002</v>
      </c>
      <c r="AJ161" s="804">
        <v>1387.9903163300003</v>
      </c>
      <c r="AK161" s="804">
        <v>1404.3278400700001</v>
      </c>
      <c r="AL161" s="804">
        <v>1419.3857976699999</v>
      </c>
      <c r="AM161" s="804">
        <v>1423.48656906</v>
      </c>
      <c r="AN161" s="818">
        <f>AM161</f>
        <v>1423.48656906</v>
      </c>
      <c r="AO161" s="804">
        <v>1410.4184512700001</v>
      </c>
      <c r="AP161" s="804">
        <v>1413.2450970700002</v>
      </c>
      <c r="AQ161" s="804">
        <v>1405.2567046000001</v>
      </c>
      <c r="AR161" s="804">
        <v>1401.3407105500003</v>
      </c>
      <c r="AS161" s="818">
        <f>AR161</f>
        <v>1401.3407105500003</v>
      </c>
      <c r="AT161" s="804">
        <v>1401.2023972999998</v>
      </c>
      <c r="AU161" s="804">
        <v>971.41287061307514</v>
      </c>
      <c r="AV161" s="804"/>
      <c r="AW161" s="804"/>
      <c r="AX161" s="818"/>
      <c r="AY161" s="837"/>
      <c r="AZ161" s="837"/>
      <c r="BA161" s="837"/>
      <c r="BB161" s="837"/>
      <c r="BC161" s="818"/>
      <c r="BD161" s="837"/>
      <c r="BE161" s="837"/>
      <c r="BF161" s="837"/>
      <c r="BG161" s="837"/>
      <c r="BH161" s="818"/>
      <c r="BI161" s="837"/>
      <c r="BJ161" s="837"/>
      <c r="BK161" s="837"/>
      <c r="BL161" s="837"/>
      <c r="BM161" s="818"/>
      <c r="BN161" s="818"/>
      <c r="BO161" s="818"/>
      <c r="BP161" s="216"/>
      <c r="BQ161" s="592"/>
      <c r="BR161" s="662"/>
      <c r="BS161" s="592"/>
      <c r="BT161" s="592"/>
      <c r="DA161" s="708"/>
      <c r="DB161" s="708"/>
      <c r="DC161" s="708"/>
      <c r="DD161" s="708"/>
      <c r="DE161" s="709"/>
      <c r="DF161" s="708"/>
      <c r="DG161" s="708"/>
      <c r="DH161" s="708"/>
      <c r="DI161" s="708"/>
      <c r="DJ161" s="709"/>
      <c r="DK161" s="708"/>
      <c r="DL161" s="708"/>
      <c r="DM161" s="708"/>
      <c r="DN161" s="708"/>
      <c r="DO161" s="709"/>
      <c r="DP161" s="708"/>
      <c r="DQ161" s="708"/>
      <c r="DR161" s="708"/>
      <c r="DS161" s="708"/>
      <c r="DT161" s="709"/>
      <c r="DU161" s="708"/>
      <c r="DV161" s="708"/>
      <c r="DW161" s="708"/>
      <c r="DX161" s="708"/>
      <c r="DY161" s="709"/>
      <c r="DZ161" s="708"/>
      <c r="EA161" s="708"/>
      <c r="EB161" s="708"/>
      <c r="EC161" s="708"/>
      <c r="ED161" s="709"/>
      <c r="EE161" s="708"/>
      <c r="EF161" s="708"/>
      <c r="EG161" s="708"/>
      <c r="EH161" s="708"/>
      <c r="EI161" s="709"/>
      <c r="EJ161" s="709"/>
      <c r="EK161" s="709"/>
    </row>
    <row r="162" spans="2:141">
      <c r="B162" s="212" t="s">
        <v>1521</v>
      </c>
      <c r="D162" s="690"/>
      <c r="E162" s="691"/>
      <c r="F162" s="691"/>
      <c r="G162" s="691"/>
      <c r="H162" s="691"/>
      <c r="I162" s="690"/>
      <c r="J162" s="691"/>
      <c r="K162" s="691"/>
      <c r="L162" s="691"/>
      <c r="M162" s="691"/>
      <c r="N162" s="690"/>
      <c r="O162" s="691"/>
      <c r="P162" s="691"/>
      <c r="Q162" s="691"/>
      <c r="R162" s="691"/>
      <c r="S162" s="690"/>
      <c r="T162" s="692"/>
      <c r="U162" s="691"/>
      <c r="V162" s="691"/>
      <c r="W162" s="691"/>
      <c r="X162" s="691"/>
      <c r="Y162" s="818"/>
      <c r="Z162" s="837"/>
      <c r="AA162" s="837"/>
      <c r="AB162" s="837"/>
      <c r="AC162" s="837"/>
      <c r="AD162" s="818"/>
      <c r="AE162" s="837"/>
      <c r="AF162" s="837"/>
      <c r="AG162" s="837"/>
      <c r="AH162" s="837"/>
      <c r="AI162" s="818"/>
      <c r="AJ162" s="837"/>
      <c r="AK162" s="837"/>
      <c r="AL162" s="837"/>
      <c r="AM162" s="837"/>
      <c r="AN162" s="818"/>
      <c r="AO162" s="837"/>
      <c r="AP162" s="837"/>
      <c r="AQ162" s="837"/>
      <c r="AR162" s="837"/>
      <c r="AS162" s="818"/>
      <c r="AT162" s="837"/>
      <c r="AU162" s="837"/>
      <c r="AV162" s="837"/>
      <c r="AW162" s="837"/>
      <c r="AX162" s="818"/>
      <c r="AY162" s="837"/>
      <c r="AZ162" s="837"/>
      <c r="BA162" s="837"/>
      <c r="BB162" s="837"/>
      <c r="BC162" s="818"/>
      <c r="BD162" s="837"/>
      <c r="BE162" s="837"/>
      <c r="BF162" s="837"/>
      <c r="BG162" s="837"/>
      <c r="BH162" s="818"/>
      <c r="BI162" s="837"/>
      <c r="BJ162" s="837"/>
      <c r="BK162" s="837"/>
      <c r="BL162" s="837"/>
      <c r="BM162" s="818"/>
      <c r="BN162" s="818"/>
      <c r="BO162" s="818"/>
      <c r="BP162" s="216"/>
      <c r="BQ162" s="592"/>
      <c r="BR162" s="662"/>
      <c r="BS162" s="592"/>
      <c r="BT162" s="592"/>
      <c r="DA162" s="708"/>
      <c r="DB162" s="708"/>
      <c r="DC162" s="708"/>
      <c r="DD162" s="708"/>
      <c r="DE162" s="709"/>
      <c r="DF162" s="708"/>
      <c r="DG162" s="708"/>
      <c r="DH162" s="708"/>
      <c r="DI162" s="708"/>
      <c r="DJ162" s="709"/>
      <c r="DK162" s="708"/>
      <c r="DL162" s="708"/>
      <c r="DM162" s="708"/>
      <c r="DN162" s="708"/>
      <c r="DO162" s="709"/>
      <c r="DP162" s="708"/>
      <c r="DQ162" s="708"/>
      <c r="DR162" s="708"/>
      <c r="DS162" s="708"/>
      <c r="DT162" s="709"/>
      <c r="DU162" s="708"/>
      <c r="DV162" s="708"/>
      <c r="DW162" s="708"/>
      <c r="DX162" s="708"/>
      <c r="DY162" s="709"/>
      <c r="DZ162" s="708"/>
      <c r="EA162" s="708"/>
      <c r="EB162" s="708"/>
      <c r="EC162" s="708"/>
      <c r="ED162" s="709"/>
      <c r="EE162" s="708"/>
      <c r="EF162" s="708"/>
      <c r="EG162" s="708"/>
      <c r="EH162" s="708"/>
      <c r="EI162" s="709"/>
      <c r="EJ162" s="709"/>
      <c r="EK162" s="709"/>
    </row>
    <row r="163" spans="2:141">
      <c r="B163" s="212" t="s">
        <v>1526</v>
      </c>
      <c r="D163" s="690"/>
      <c r="E163" s="691"/>
      <c r="F163" s="691"/>
      <c r="G163" s="691"/>
      <c r="H163" s="691"/>
      <c r="I163" s="690"/>
      <c r="J163" s="691"/>
      <c r="K163" s="691"/>
      <c r="L163" s="691"/>
      <c r="M163" s="691"/>
      <c r="N163" s="690"/>
      <c r="O163" s="691"/>
      <c r="P163" s="691"/>
      <c r="Q163" s="691"/>
      <c r="R163" s="691"/>
      <c r="S163" s="690"/>
      <c r="T163" s="692"/>
      <c r="U163" s="691"/>
      <c r="V163" s="691"/>
      <c r="W163" s="691"/>
      <c r="X163" s="691"/>
      <c r="Y163" s="818"/>
      <c r="Z163" s="837"/>
      <c r="AA163" s="837"/>
      <c r="AB163" s="837"/>
      <c r="AC163" s="837"/>
      <c r="AD163" s="818"/>
      <c r="AE163" s="837"/>
      <c r="AF163" s="837"/>
      <c r="AG163" s="837"/>
      <c r="AH163" s="837"/>
      <c r="AI163" s="818"/>
      <c r="AJ163" s="837"/>
      <c r="AK163" s="837"/>
      <c r="AL163" s="837"/>
      <c r="AM163" s="837"/>
      <c r="AN163" s="818"/>
      <c r="AO163" s="837"/>
      <c r="AP163" s="837"/>
      <c r="AQ163" s="837"/>
      <c r="AR163" s="837"/>
      <c r="AS163" s="818"/>
      <c r="AT163" s="837"/>
      <c r="AU163" s="837"/>
      <c r="AV163" s="837"/>
      <c r="AW163" s="837"/>
      <c r="AX163" s="818"/>
      <c r="AY163" s="837"/>
      <c r="AZ163" s="837"/>
      <c r="BA163" s="837"/>
      <c r="BB163" s="837"/>
      <c r="BC163" s="818"/>
      <c r="BD163" s="837"/>
      <c r="BE163" s="837"/>
      <c r="BF163" s="837"/>
      <c r="BG163" s="837"/>
      <c r="BH163" s="818"/>
      <c r="BI163" s="837"/>
      <c r="BJ163" s="837"/>
      <c r="BK163" s="837"/>
      <c r="BL163" s="837"/>
      <c r="BM163" s="818"/>
      <c r="BN163" s="818"/>
      <c r="BO163" s="818"/>
      <c r="BP163" s="216"/>
      <c r="BQ163" s="592"/>
      <c r="BR163" s="662"/>
      <c r="BS163" s="592"/>
      <c r="BT163" s="592"/>
      <c r="DA163" s="708"/>
      <c r="DB163" s="708"/>
      <c r="DC163" s="708"/>
      <c r="DD163" s="708"/>
      <c r="DE163" s="709"/>
      <c r="DF163" s="708"/>
      <c r="DG163" s="708"/>
      <c r="DH163" s="708"/>
      <c r="DI163" s="708"/>
      <c r="DJ163" s="709"/>
      <c r="DK163" s="708"/>
      <c r="DL163" s="708"/>
      <c r="DM163" s="708"/>
      <c r="DN163" s="708"/>
      <c r="DO163" s="709"/>
      <c r="DP163" s="708"/>
      <c r="DQ163" s="708"/>
      <c r="DR163" s="708"/>
      <c r="DS163" s="708"/>
      <c r="DT163" s="709"/>
      <c r="DU163" s="708"/>
      <c r="DV163" s="708"/>
      <c r="DW163" s="708"/>
      <c r="DX163" s="708"/>
      <c r="DY163" s="709"/>
      <c r="DZ163" s="708"/>
      <c r="EA163" s="708"/>
      <c r="EB163" s="708"/>
      <c r="EC163" s="708"/>
      <c r="ED163" s="709"/>
      <c r="EE163" s="708"/>
      <c r="EF163" s="708"/>
      <c r="EG163" s="708"/>
      <c r="EH163" s="708"/>
      <c r="EI163" s="709"/>
      <c r="EJ163" s="709"/>
      <c r="EK163" s="709"/>
    </row>
    <row r="164" spans="2:141">
      <c r="D164" s="690"/>
      <c r="E164" s="691"/>
      <c r="F164" s="691"/>
      <c r="G164" s="691"/>
      <c r="H164" s="691"/>
      <c r="I164" s="690"/>
      <c r="J164" s="691"/>
      <c r="K164" s="691"/>
      <c r="L164" s="691"/>
      <c r="M164" s="691"/>
      <c r="N164" s="690"/>
      <c r="O164" s="691"/>
      <c r="P164" s="691"/>
      <c r="Q164" s="691"/>
      <c r="R164" s="691"/>
      <c r="S164" s="690"/>
      <c r="T164" s="692"/>
      <c r="U164" s="691"/>
      <c r="V164" s="691"/>
      <c r="W164" s="691"/>
      <c r="X164" s="691"/>
      <c r="Y164" s="818"/>
      <c r="Z164" s="817"/>
      <c r="AA164" s="817"/>
      <c r="AB164" s="817"/>
      <c r="AC164" s="817"/>
      <c r="AD164" s="818"/>
      <c r="AE164" s="817"/>
      <c r="AF164" s="817"/>
      <c r="AG164" s="817"/>
      <c r="AH164" s="817"/>
      <c r="AI164" s="818"/>
      <c r="AJ164" s="817"/>
      <c r="AK164" s="817"/>
      <c r="AL164" s="817"/>
      <c r="AM164" s="817"/>
      <c r="AN164" s="818"/>
      <c r="AO164" s="817"/>
      <c r="AP164" s="817"/>
      <c r="AQ164" s="817"/>
      <c r="AR164" s="817"/>
      <c r="AS164" s="818"/>
      <c r="AT164" s="817"/>
      <c r="AU164" s="817"/>
      <c r="AV164" s="817"/>
      <c r="AW164" s="817"/>
      <c r="AX164" s="818"/>
      <c r="AY164" s="817"/>
      <c r="AZ164" s="817"/>
      <c r="BA164" s="817"/>
      <c r="BB164" s="817"/>
      <c r="BC164" s="818"/>
      <c r="BD164" s="817"/>
      <c r="BE164" s="817"/>
      <c r="BF164" s="817"/>
      <c r="BG164" s="817"/>
      <c r="BH164" s="818"/>
      <c r="BI164" s="817"/>
      <c r="BJ164" s="817"/>
      <c r="BK164" s="817"/>
      <c r="BL164" s="817"/>
      <c r="BM164" s="818"/>
      <c r="BN164" s="818"/>
      <c r="BO164" s="818"/>
      <c r="DA164" s="708"/>
      <c r="DB164" s="708"/>
      <c r="DC164" s="708"/>
      <c r="DD164" s="708"/>
      <c r="DE164" s="709"/>
      <c r="DF164" s="708"/>
      <c r="DG164" s="708"/>
      <c r="DH164" s="708"/>
      <c r="DI164" s="708"/>
      <c r="DJ164" s="709"/>
      <c r="DK164" s="708"/>
      <c r="DL164" s="708"/>
      <c r="DM164" s="708"/>
      <c r="DN164" s="708"/>
      <c r="DO164" s="709"/>
      <c r="DP164" s="708"/>
      <c r="DQ164" s="708"/>
      <c r="DR164" s="708"/>
      <c r="DS164" s="708"/>
      <c r="DT164" s="709"/>
      <c r="DU164" s="708"/>
      <c r="DV164" s="708"/>
      <c r="DW164" s="708"/>
      <c r="DX164" s="708"/>
      <c r="DY164" s="709"/>
      <c r="DZ164" s="708"/>
      <c r="EA164" s="708"/>
      <c r="EB164" s="708"/>
      <c r="EC164" s="708"/>
      <c r="ED164" s="709"/>
      <c r="EE164" s="708"/>
      <c r="EF164" s="708"/>
      <c r="EG164" s="708"/>
      <c r="EH164" s="708"/>
      <c r="EI164" s="709"/>
      <c r="EJ164" s="709"/>
      <c r="EK164" s="709"/>
    </row>
    <row r="165" spans="2:141">
      <c r="Y165" s="818"/>
      <c r="Z165" s="817"/>
      <c r="AA165" s="817"/>
      <c r="AB165" s="817"/>
      <c r="AC165" s="817"/>
      <c r="AD165" s="818"/>
      <c r="AE165" s="817"/>
      <c r="AF165" s="817"/>
      <c r="AG165" s="817"/>
      <c r="AH165" s="817"/>
      <c r="AI165" s="818"/>
      <c r="AJ165" s="817"/>
      <c r="AK165" s="817"/>
      <c r="AL165" s="817"/>
      <c r="AM165" s="817"/>
      <c r="AN165" s="818"/>
      <c r="AO165" s="817"/>
      <c r="AP165" s="817"/>
      <c r="AQ165" s="817"/>
      <c r="AR165" s="817"/>
      <c r="AS165" s="818"/>
      <c r="AT165" s="817"/>
      <c r="AU165" s="817"/>
      <c r="AV165" s="817"/>
      <c r="AW165" s="817"/>
      <c r="AX165" s="818"/>
      <c r="AY165" s="817"/>
      <c r="AZ165" s="817"/>
      <c r="BA165" s="817"/>
      <c r="BB165" s="817"/>
      <c r="BC165" s="818"/>
      <c r="BD165" s="817"/>
      <c r="BE165" s="817"/>
      <c r="BF165" s="817"/>
      <c r="BG165" s="817"/>
      <c r="BH165" s="818"/>
      <c r="BI165" s="817"/>
      <c r="BJ165" s="817"/>
      <c r="BK165" s="817"/>
      <c r="BL165" s="817"/>
      <c r="BM165" s="818"/>
      <c r="BN165" s="818"/>
      <c r="BO165" s="818"/>
      <c r="DA165" s="708"/>
      <c r="DB165" s="708"/>
      <c r="DC165" s="708"/>
      <c r="DD165" s="708"/>
      <c r="DE165" s="709"/>
      <c r="DF165" s="708"/>
      <c r="DG165" s="708"/>
      <c r="DH165" s="708"/>
      <c r="DI165" s="708"/>
      <c r="DJ165" s="709"/>
      <c r="DK165" s="708"/>
      <c r="DL165" s="708"/>
      <c r="DM165" s="708"/>
      <c r="DN165" s="708"/>
      <c r="DO165" s="709"/>
      <c r="DP165" s="708"/>
      <c r="DQ165" s="708"/>
      <c r="DR165" s="708"/>
      <c r="DS165" s="708"/>
      <c r="DT165" s="709"/>
      <c r="DU165" s="708"/>
      <c r="DV165" s="708"/>
      <c r="DW165" s="708"/>
      <c r="DX165" s="708"/>
      <c r="DY165" s="709"/>
      <c r="DZ165" s="708"/>
      <c r="EA165" s="708"/>
      <c r="EB165" s="708"/>
      <c r="EC165" s="708"/>
      <c r="ED165" s="709"/>
      <c r="EE165" s="708"/>
      <c r="EF165" s="708"/>
      <c r="EG165" s="708"/>
      <c r="EH165" s="708"/>
      <c r="EI165" s="709"/>
      <c r="EJ165" s="709"/>
      <c r="EK165" s="709"/>
    </row>
    <row r="166" spans="2:141" s="512" customFormat="1" collapsed="1">
      <c r="B166" s="579" t="s">
        <v>188</v>
      </c>
      <c r="C166" s="579"/>
      <c r="D166" s="552"/>
      <c r="E166" s="550"/>
      <c r="F166" s="550"/>
      <c r="G166" s="550"/>
      <c r="H166" s="550"/>
      <c r="I166" s="552"/>
      <c r="J166" s="550"/>
      <c r="K166" s="550"/>
      <c r="L166" s="550"/>
      <c r="M166" s="550"/>
      <c r="N166" s="552" t="str">
        <f>N$2</f>
        <v>FY14</v>
      </c>
      <c r="O166" s="550" t="str">
        <f t="shared" ref="O166:BO166" si="254">O$2</f>
        <v>1Q15</v>
      </c>
      <c r="P166" s="550" t="str">
        <f t="shared" si="254"/>
        <v>2Q15</v>
      </c>
      <c r="Q166" s="550" t="str">
        <f t="shared" si="254"/>
        <v>3Q15</v>
      </c>
      <c r="R166" s="550" t="str">
        <f t="shared" si="254"/>
        <v>4Q15</v>
      </c>
      <c r="S166" s="552" t="str">
        <f t="shared" si="254"/>
        <v>FY15</v>
      </c>
      <c r="T166" s="580" t="str">
        <f t="shared" si="254"/>
        <v>Q1 15</v>
      </c>
      <c r="U166" s="550" t="str">
        <f t="shared" si="254"/>
        <v>Q1 16</v>
      </c>
      <c r="V166" s="550" t="str">
        <f t="shared" si="254"/>
        <v>Q2 16</v>
      </c>
      <c r="W166" s="550" t="str">
        <f t="shared" si="254"/>
        <v>Q3 16</v>
      </c>
      <c r="X166" s="550" t="str">
        <f t="shared" si="254"/>
        <v>Q4 16</v>
      </c>
      <c r="Y166" s="552" t="str">
        <f t="shared" si="254"/>
        <v>FY16</v>
      </c>
      <c r="Z166" s="550" t="str">
        <f t="shared" si="254"/>
        <v>Q1 17</v>
      </c>
      <c r="AA166" s="550" t="str">
        <f t="shared" si="254"/>
        <v>Q2 17</v>
      </c>
      <c r="AB166" s="550" t="str">
        <f t="shared" si="254"/>
        <v>Q3 17</v>
      </c>
      <c r="AC166" s="550" t="str">
        <f t="shared" si="254"/>
        <v>Q4 17</v>
      </c>
      <c r="AD166" s="552">
        <f t="shared" si="254"/>
        <v>2017</v>
      </c>
      <c r="AE166" s="550" t="str">
        <f t="shared" si="254"/>
        <v>Q1 18</v>
      </c>
      <c r="AF166" s="550" t="str">
        <f t="shared" si="254"/>
        <v>Q2 18</v>
      </c>
      <c r="AG166" s="550" t="str">
        <f t="shared" si="254"/>
        <v>Q3 18</v>
      </c>
      <c r="AH166" s="550" t="str">
        <f t="shared" si="254"/>
        <v>Q4 18</v>
      </c>
      <c r="AI166" s="552">
        <f t="shared" si="254"/>
        <v>2018</v>
      </c>
      <c r="AJ166" s="209" t="str">
        <f>AJ$2</f>
        <v>Q1 19</v>
      </c>
      <c r="AK166" s="209" t="str">
        <f>AK$2</f>
        <v>Q2 19</v>
      </c>
      <c r="AL166" s="209" t="str">
        <f>AL$2</f>
        <v>Q3 19</v>
      </c>
      <c r="AM166" s="209" t="str">
        <f>AM$2</f>
        <v>Q4 19</v>
      </c>
      <c r="AN166" s="552">
        <f t="shared" si="254"/>
        <v>2019</v>
      </c>
      <c r="AO166" s="209" t="str">
        <f>AO$2</f>
        <v>Q1 20</v>
      </c>
      <c r="AP166" s="209" t="str">
        <f>AP$2</f>
        <v>Q2 20</v>
      </c>
      <c r="AQ166" s="209" t="str">
        <f>AQ$2</f>
        <v>Q3 20</v>
      </c>
      <c r="AR166" s="209" t="str">
        <f>AR$2</f>
        <v>Q4 20</v>
      </c>
      <c r="AS166" s="552">
        <f t="shared" si="254"/>
        <v>2020</v>
      </c>
      <c r="AT166" s="209" t="str">
        <f>AT$2</f>
        <v>Q1 21</v>
      </c>
      <c r="AU166" s="209" t="str">
        <f>AU$2</f>
        <v>Q2 21</v>
      </c>
      <c r="AV166" s="209" t="str">
        <f>AV$2</f>
        <v>Q3 21</v>
      </c>
      <c r="AW166" s="209" t="str">
        <f>AW$2</f>
        <v>Q4 21</v>
      </c>
      <c r="AX166" s="552">
        <f t="shared" si="254"/>
        <v>2021</v>
      </c>
      <c r="AY166" s="209" t="str">
        <f>AY$2</f>
        <v>Q1 22</v>
      </c>
      <c r="AZ166" s="209" t="str">
        <f>AZ$2</f>
        <v>Q2 22</v>
      </c>
      <c r="BA166" s="209" t="str">
        <f>BA$2</f>
        <v>Q3 22</v>
      </c>
      <c r="BB166" s="209" t="str">
        <f>BB$2</f>
        <v>Q4 22</v>
      </c>
      <c r="BC166" s="552">
        <f t="shared" si="254"/>
        <v>2022</v>
      </c>
      <c r="BD166" s="209" t="str">
        <f>BD$2</f>
        <v>Q1 23</v>
      </c>
      <c r="BE166" s="209" t="str">
        <f>BE$2</f>
        <v>Q2 23</v>
      </c>
      <c r="BF166" s="209" t="str">
        <f>BF$2</f>
        <v>Q3 23</v>
      </c>
      <c r="BG166" s="209" t="str">
        <f>BG$2</f>
        <v>Q4 23</v>
      </c>
      <c r="BH166" s="552">
        <f t="shared" si="254"/>
        <v>2023</v>
      </c>
      <c r="BI166" s="209" t="str">
        <f>BI$2</f>
        <v>Q1 24</v>
      </c>
      <c r="BJ166" s="209" t="str">
        <f>BJ$2</f>
        <v>Q2 24</v>
      </c>
      <c r="BK166" s="209" t="str">
        <f>BK$2</f>
        <v>Q3 24</v>
      </c>
      <c r="BL166" s="209" t="str">
        <f>BL$2</f>
        <v>Q4 24</v>
      </c>
      <c r="BM166" s="552">
        <f t="shared" si="254"/>
        <v>2024</v>
      </c>
      <c r="BN166" s="552">
        <f t="shared" si="254"/>
        <v>2025</v>
      </c>
      <c r="BO166" s="552">
        <f t="shared" si="254"/>
        <v>2026</v>
      </c>
      <c r="BP166" s="209"/>
      <c r="BQ166" s="566" t="s">
        <v>985</v>
      </c>
      <c r="BR166" s="566" t="s">
        <v>1087</v>
      </c>
      <c r="BS166" s="566" t="s">
        <v>1183</v>
      </c>
      <c r="BT166" s="566" t="s">
        <v>1087</v>
      </c>
      <c r="BV166" s="550" t="s">
        <v>78</v>
      </c>
      <c r="BW166" s="550" t="s">
        <v>6</v>
      </c>
      <c r="BX166" s="550"/>
      <c r="BY166" s="550" t="s">
        <v>860</v>
      </c>
      <c r="BZ166" s="550" t="s">
        <v>861</v>
      </c>
      <c r="CA166" s="550" t="s">
        <v>862</v>
      </c>
      <c r="CB166" s="550" t="s">
        <v>863</v>
      </c>
      <c r="CC166" s="550" t="e">
        <f>+#REF!</f>
        <v>#REF!</v>
      </c>
      <c r="CK166" s="581"/>
      <c r="CP166" s="581"/>
      <c r="CU166" s="581"/>
      <c r="CZ166" s="581"/>
      <c r="DA166" s="714"/>
      <c r="DB166" s="714"/>
      <c r="DC166" s="714"/>
      <c r="DD166" s="714"/>
      <c r="DE166" s="715"/>
      <c r="DF166" s="714"/>
      <c r="DG166" s="714"/>
      <c r="DH166" s="714"/>
      <c r="DI166" s="714"/>
      <c r="DJ166" s="715"/>
      <c r="DK166" s="714"/>
      <c r="DL166" s="714"/>
      <c r="DM166" s="714"/>
      <c r="DN166" s="714"/>
      <c r="DO166" s="715"/>
      <c r="DP166" s="714"/>
      <c r="DQ166" s="714"/>
      <c r="DR166" s="714"/>
      <c r="DS166" s="714"/>
      <c r="DT166" s="715"/>
      <c r="DU166" s="714"/>
      <c r="DV166" s="714"/>
      <c r="DW166" s="714"/>
      <c r="DX166" s="714"/>
      <c r="DY166" s="715"/>
      <c r="DZ166" s="714"/>
      <c r="EA166" s="714"/>
      <c r="EB166" s="714"/>
      <c r="EC166" s="714"/>
      <c r="ED166" s="715"/>
      <c r="EE166" s="714"/>
      <c r="EF166" s="714"/>
      <c r="EG166" s="714"/>
      <c r="EH166" s="714"/>
      <c r="EI166" s="715"/>
      <c r="EJ166" s="715"/>
      <c r="EK166" s="715"/>
    </row>
    <row r="167" spans="2:141">
      <c r="B167" s="840" t="s">
        <v>1277</v>
      </c>
      <c r="DA167" s="708"/>
      <c r="DB167" s="708"/>
      <c r="DC167" s="708"/>
      <c r="DD167" s="708"/>
      <c r="DE167" s="709"/>
      <c r="DF167" s="708"/>
      <c r="DG167" s="708"/>
      <c r="DH167" s="708"/>
      <c r="DI167" s="708"/>
      <c r="DJ167" s="709"/>
      <c r="DK167" s="708"/>
      <c r="DL167" s="708"/>
      <c r="DM167" s="708"/>
      <c r="DN167" s="708"/>
      <c r="DO167" s="709"/>
      <c r="DP167" s="708"/>
      <c r="DQ167" s="708"/>
      <c r="DR167" s="708"/>
      <c r="DS167" s="708"/>
      <c r="DT167" s="709"/>
      <c r="DU167" s="708"/>
      <c r="DV167" s="708"/>
      <c r="DW167" s="708"/>
      <c r="DX167" s="708"/>
      <c r="DY167" s="709"/>
      <c r="DZ167" s="708"/>
      <c r="EA167" s="708"/>
      <c r="EB167" s="708"/>
      <c r="EC167" s="708"/>
      <c r="ED167" s="709"/>
      <c r="EE167" s="708"/>
      <c r="EF167" s="708"/>
      <c r="EG167" s="708"/>
      <c r="EH167" s="708"/>
      <c r="EI167" s="709"/>
      <c r="EJ167" s="709"/>
      <c r="EK167" s="709"/>
    </row>
    <row r="168" spans="2:141">
      <c r="B168" s="212" t="s">
        <v>1276</v>
      </c>
      <c r="O168" s="604">
        <f>O63/3/AVERAGE(O21,N21)*1000</f>
        <v>22.482504302751082</v>
      </c>
      <c r="P168" s="604">
        <f>P63/3/AVERAGE(P21,O21)*1000</f>
        <v>23.911322248614407</v>
      </c>
      <c r="Q168" s="604">
        <f>Q63/3/AVERAGE(Q21,P21)*1000</f>
        <v>24.768518518518515</v>
      </c>
      <c r="R168" s="604">
        <f>R63/3/AVERAGE(R21,Q21)*1000</f>
        <v>22.141414141414138</v>
      </c>
      <c r="U168" s="604">
        <f>U63/3/AVERAGE(U21,T21)*1000</f>
        <v>22.385964912280699</v>
      </c>
      <c r="V168" s="604">
        <f>V63/3/AVERAGE(V21,U21)*1000</f>
        <v>22.916666666666664</v>
      </c>
      <c r="W168" s="604">
        <f>W63/3/AVERAGE(W21,V21)*1000</f>
        <v>22.944162436548222</v>
      </c>
      <c r="X168" s="604">
        <f>X63/3/AVERAGE(X21,W21)*1000</f>
        <v>22.875816993464049</v>
      </c>
      <c r="Z168" s="604">
        <f>Z63/3/AVERAGE(Z21,Y21)*1000</f>
        <v>22.243285939968406</v>
      </c>
      <c r="AA168" s="604">
        <f>AA63/3/AVERAGE(AA21,Z21)*1000</f>
        <v>21.971136851168517</v>
      </c>
      <c r="AB168" s="604">
        <f>AB63/3/AVERAGE(AB21,AA21)*1000</f>
        <v>21.906945857272571</v>
      </c>
      <c r="AC168" s="604">
        <f>AC63/3/AVERAGE(AC21,AB21)*1000</f>
        <v>21.766868666709261</v>
      </c>
      <c r="AE168" s="604">
        <f>AE63/3/AVERAGE(AE21,AD21)*1000</f>
        <v>20.294882914137037</v>
      </c>
      <c r="AF168" s="604">
        <f>AF63/3/AVERAGE(AF21,AE21)*1000</f>
        <v>20.287597456560135</v>
      </c>
      <c r="AG168" s="604">
        <f>AG63/3/AVERAGE(AG21,AF21)*1000</f>
        <v>20.171595015178006</v>
      </c>
      <c r="AH168" s="604">
        <f>AH63/3/AVERAGE(AH21,AG21)*1000</f>
        <v>20.35570548548645</v>
      </c>
      <c r="AJ168" s="604">
        <f>AJ63/3/AVERAGE(AJ21,AI21)*1000</f>
        <v>20.244275358156383</v>
      </c>
      <c r="AK168" s="604">
        <f>AK63/3/AVERAGE(AK21,AJ21)*1000</f>
        <v>20.547256145833327</v>
      </c>
      <c r="AL168" s="604">
        <f>AL63/3/AVERAGE(AL21,AK21)*1000</f>
        <v>21.086659560992608</v>
      </c>
      <c r="AM168" s="604">
        <f>AM63/3/AVERAGE(AM21,AL21)*1000</f>
        <v>20.490737125768725</v>
      </c>
      <c r="AO168" s="604">
        <f>AO63/3/AVERAGE(AO21,AN21)*1000</f>
        <v>20.470659732690152</v>
      </c>
      <c r="AP168" s="604">
        <f>AP63/3/AVERAGE(AP21,AO21)*1000</f>
        <v>20.662117278738187</v>
      </c>
      <c r="AQ168" s="604">
        <f>AQ63/3/AVERAGE(AQ21,AP21)*1000</f>
        <v>20.628357626471349</v>
      </c>
      <c r="AR168" s="604">
        <f>AR63/3/AVERAGE(AR21,AQ21)*1000</f>
        <v>20.749594393764195</v>
      </c>
      <c r="AT168" s="604">
        <f>AT63/3/(AVERAGE(AT21,AS21)-AVERAGE(AS28:AT28))*1000</f>
        <v>24.249532195741843</v>
      </c>
      <c r="AU168" s="604">
        <f t="shared" ref="AU168:AW168" si="255">AU63/3/(AVERAGE(AU21,AT21)-AVERAGE(AT28:AU28))*1000</f>
        <v>24.093455326932531</v>
      </c>
      <c r="AV168" s="604">
        <f t="shared" si="255"/>
        <v>23.868315016564342</v>
      </c>
      <c r="AW168" s="604">
        <f t="shared" si="255"/>
        <v>24.100487350266537</v>
      </c>
      <c r="AY168" s="604">
        <f>AY63/3/(AVERAGE(AY21,AX21)-AVERAGE(AX28:AY28))*1000</f>
        <v>24.004749312267663</v>
      </c>
      <c r="AZ168" s="604">
        <f t="shared" ref="AZ168:BB168" si="256">AZ63/3/(AVERAGE(AZ21,AY21)-AVERAGE(AY28:AZ28))*1000</f>
        <v>24.12547091689666</v>
      </c>
      <c r="BA168" s="604">
        <f t="shared" si="256"/>
        <v>23.916477981818183</v>
      </c>
      <c r="BB168" s="604">
        <f t="shared" ca="1" si="256"/>
        <v>23.831271206434305</v>
      </c>
      <c r="BD168" s="604">
        <f ca="1">BD63/3/(AVERAGE(BD21,BC21)-AVERAGE(BC28:BD28))*1000</f>
        <v>23.776223776223777</v>
      </c>
      <c r="BE168" s="604">
        <f t="shared" ref="BE168:BG168" si="257">BE63/3/(AVERAGE(BE21,BD21)-AVERAGE(BD28:BE28))*1000</f>
        <v>23.411889166841561</v>
      </c>
      <c r="BF168" s="604">
        <f t="shared" si="257"/>
        <v>23.783330129408601</v>
      </c>
      <c r="BG168" s="604">
        <f t="shared" si="257"/>
        <v>23.863403324976893</v>
      </c>
      <c r="BI168" s="604">
        <f>BI63/3/(AVERAGE(BI21,BH21)-AVERAGE(BH28:BI28))*1000</f>
        <v>23.720440377882429</v>
      </c>
      <c r="BJ168" s="604">
        <f t="shared" ref="BJ168:BL168" si="258">BJ63/3/(AVERAGE(BJ21,BI21)-AVERAGE(BI28:BJ28))*1000</f>
        <v>23.612775127329325</v>
      </c>
      <c r="BK168" s="604">
        <f t="shared" si="258"/>
        <v>23.631840796019901</v>
      </c>
      <c r="BL168" s="604">
        <f t="shared" ca="1" si="258"/>
        <v>23.523872770352309</v>
      </c>
      <c r="CQ168" s="313">
        <f t="shared" ref="CQ168:CU171" si="259">IFERROR(U168/O168-1,"N/A")</f>
        <v>-4.2939785163776945E-3</v>
      </c>
      <c r="CR168" s="313">
        <f t="shared" si="259"/>
        <v>-4.1597682119205337E-2</v>
      </c>
      <c r="CS168" s="313">
        <f t="shared" si="259"/>
        <v>-7.3656245552445543E-2</v>
      </c>
      <c r="CT168" s="313">
        <f t="shared" si="259"/>
        <v>3.3168741949334501E-2</v>
      </c>
      <c r="CU168" s="575" t="str">
        <f t="shared" si="259"/>
        <v>N/A</v>
      </c>
      <c r="CV168" s="313">
        <f t="shared" ref="CV168:CY171" si="260">IFERROR(Z168/U168-1,"N/A")</f>
        <v>-6.3735904559566459E-3</v>
      </c>
      <c r="CW168" s="313">
        <f t="shared" si="260"/>
        <v>-4.1259482858100993E-2</v>
      </c>
      <c r="CX168" s="313">
        <f t="shared" si="260"/>
        <v>-4.5206120822412155E-2</v>
      </c>
      <c r="CY168" s="313">
        <f t="shared" si="260"/>
        <v>-4.8476883998137876E-2</v>
      </c>
      <c r="DA168" s="704">
        <f t="shared" ref="DA168:DD171" si="261">IFERROR(AE168/Z168-1,"N/A")</f>
        <v>-8.7595107624378943E-2</v>
      </c>
      <c r="DB168" s="704">
        <f t="shared" si="261"/>
        <v>-7.6625047033869964E-2</v>
      </c>
      <c r="DC168" s="704">
        <f t="shared" si="261"/>
        <v>-7.921464057110772E-2</v>
      </c>
      <c r="DD168" s="704">
        <f t="shared" si="261"/>
        <v>-6.4830784934218677E-2</v>
      </c>
      <c r="DE168" s="709"/>
      <c r="DF168" s="704">
        <f t="shared" ref="DF168:DI171" si="262">IFERROR(AJ168/AE168-1,"N/A")</f>
        <v>-2.493611625884351E-3</v>
      </c>
      <c r="DG168" s="704">
        <f t="shared" si="262"/>
        <v>1.2798888080718829E-2</v>
      </c>
      <c r="DH168" s="704">
        <f t="shared" si="262"/>
        <v>4.5364015345641606E-2</v>
      </c>
      <c r="DI168" s="704">
        <f t="shared" si="262"/>
        <v>6.6336015904018275E-3</v>
      </c>
      <c r="DJ168" s="709"/>
      <c r="DK168" s="704">
        <f t="shared" ref="DK168:DN171" si="263">IFERROR(AO168/AJ168-1,"N/A")</f>
        <v>1.1182636598674689E-2</v>
      </c>
      <c r="DL168" s="704">
        <f t="shared" si="263"/>
        <v>5.5900959276331541E-3</v>
      </c>
      <c r="DM168" s="704">
        <f t="shared" si="263"/>
        <v>-2.1734212249011398E-2</v>
      </c>
      <c r="DN168" s="704">
        <f t="shared" si="263"/>
        <v>1.2632891945597136E-2</v>
      </c>
      <c r="DO168" s="709"/>
      <c r="DP168" s="704">
        <f t="shared" ref="DP168:DS171" si="264">IFERROR(AT168/AO168-1,"N/A")</f>
        <v>0.18459944683742191</v>
      </c>
      <c r="DQ168" s="704">
        <f t="shared" si="264"/>
        <v>0.16606904325943761</v>
      </c>
      <c r="DR168" s="704">
        <f t="shared" si="264"/>
        <v>0.15706327419567878</v>
      </c>
      <c r="DS168" s="704">
        <f t="shared" si="264"/>
        <v>0.16149197391103587</v>
      </c>
      <c r="DT168" s="709"/>
      <c r="DU168" s="704">
        <f t="shared" ref="DU168:DX171" si="265">IFERROR(AY168/AT168-1,"N/A")</f>
        <v>-1.0094334253473281E-2</v>
      </c>
      <c r="DV168" s="704">
        <f t="shared" si="265"/>
        <v>1.3288085718590192E-3</v>
      </c>
      <c r="DW168" s="704">
        <f t="shared" si="265"/>
        <v>2.0178619739354975E-3</v>
      </c>
      <c r="DX168" s="704">
        <f t="shared" ca="1" si="265"/>
        <v>-1.1170568458618968E-2</v>
      </c>
      <c r="DY168" s="709"/>
      <c r="DZ168" s="704">
        <f t="shared" ref="DZ168:EC171" ca="1" si="266">IFERROR(BD168/AY168-1,"N/A")</f>
        <v>-9.5200134386363988E-3</v>
      </c>
      <c r="EA168" s="704">
        <f t="shared" si="266"/>
        <v>-2.9577940779399681E-2</v>
      </c>
      <c r="EB168" s="704">
        <f t="shared" si="266"/>
        <v>-5.5672015131493779E-3</v>
      </c>
      <c r="EC168" s="704">
        <f t="shared" ca="1" si="266"/>
        <v>1.3483174382200591E-3</v>
      </c>
      <c r="ED168" s="709"/>
      <c r="EE168" s="704">
        <f t="shared" ref="EE168:EH171" ca="1" si="267">IFERROR(BI168/BD168-1,"N/A")</f>
        <v>-2.3461841067096145E-3</v>
      </c>
      <c r="EF168" s="704">
        <f t="shared" si="267"/>
        <v>8.5805104857696879E-3</v>
      </c>
      <c r="EG168" s="704">
        <f t="shared" si="267"/>
        <v>-6.3695593747563617E-3</v>
      </c>
      <c r="EH168" s="704">
        <f t="shared" ca="1" si="267"/>
        <v>-1.422808599430625E-2</v>
      </c>
      <c r="EI168" s="709"/>
      <c r="EJ168" s="709"/>
      <c r="EK168" s="709"/>
    </row>
    <row r="169" spans="2:141">
      <c r="B169" s="212" t="s">
        <v>214</v>
      </c>
      <c r="O169" s="604">
        <f>O62/3/AVERAGE(O20+O19,N20+N19)*1000</f>
        <v>7.803434879165974</v>
      </c>
      <c r="P169" s="604">
        <f>P62/3/AVERAGE(P20+P19,O20+O19)*1000</f>
        <v>7.8172117838088626</v>
      </c>
      <c r="Q169" s="604">
        <f>Q62/3/AVERAGE(Q20+Q19,P20+P19)*1000</f>
        <v>8.3288361216046045</v>
      </c>
      <c r="R169" s="604">
        <f>R62/3/AVERAGE(R20+R19,Q20+Q19)*1000</f>
        <v>7.4403610573823347</v>
      </c>
      <c r="U169" s="604">
        <f>U62/3/AVERAGE(U20+U19,T20+T19)*1000</f>
        <v>15.373913043478259</v>
      </c>
      <c r="V169" s="604">
        <f>V62/3/AVERAGE(V20+V19,U20+U19)*1000</f>
        <v>7.5467316846627197</v>
      </c>
      <c r="W169" s="604">
        <f>W62/3/AVERAGE(W20+W19,V20+V19)*1000</f>
        <v>7.4979625101874499</v>
      </c>
      <c r="X169" s="604">
        <f>X62/3/AVERAGE(X20+X19,W20+W19)*1000</f>
        <v>7.375043691017126</v>
      </c>
      <c r="Z169" s="604">
        <f>Z62/3/AVERAGE(Z20+Z19,Y20+Y19)*1000</f>
        <v>7.1106425349967788</v>
      </c>
      <c r="AA169" s="604">
        <f>AA62/3/AVERAGE(AA20+AA19,Z20+Z19)*1000</f>
        <v>8.0505737914046023</v>
      </c>
      <c r="AB169" s="604">
        <f>AB62/3/AVERAGE(AB20+AB19,AA20+AA19)*1000</f>
        <v>7.803348251036935</v>
      </c>
      <c r="AC169" s="604">
        <f>AC62/3/AVERAGE(AC20+AC19,AB20+AB19)*1000</f>
        <v>7.3451178499199878</v>
      </c>
      <c r="AE169" s="604">
        <f>AE62/3/AVERAGE(AE20+AE19,AD20+AD19)*1000</f>
        <v>7.8360458107293551</v>
      </c>
      <c r="AF169" s="604">
        <f>AF62/3/AVERAGE(AF20+AF19,AE20+AE19)*1000</f>
        <v>7.4622571988623729</v>
      </c>
      <c r="AG169" s="604">
        <f>AG62/3/AVERAGE(AG20+AG19,AF20+AF19)*1000</f>
        <v>7.4620416283563982</v>
      </c>
      <c r="AH169" s="604">
        <f>AH62/3/AVERAGE(AH20+AH19,AG20+AG19)*1000</f>
        <v>7.2567321733669585</v>
      </c>
      <c r="AJ169" s="604">
        <f>AJ62/3/AVERAGE(AJ20+AJ19,AI20+AI19)*1000</f>
        <v>7.1955154849152008</v>
      </c>
      <c r="AK169" s="604">
        <f>AK62/3/AVERAGE(AK20+AK19,AJ20+AJ19)*1000</f>
        <v>7.0268046584614021</v>
      </c>
      <c r="AL169" s="604">
        <f>AL62/3/AVERAGE(AL20+AL19,AK20+AK19)*1000</f>
        <v>7.0563568772567953</v>
      </c>
      <c r="AM169" s="604">
        <f>AM62/3/AVERAGE(AM20+AM19,AL20+AL19)*1000</f>
        <v>7.09451703486741</v>
      </c>
      <c r="AO169" s="604">
        <f>AO62/3/AVERAGE(AO20+AO19,AN20+AN19)*1000</f>
        <v>6.9764031670682654</v>
      </c>
      <c r="AP169" s="604">
        <f>AP62/3/AVERAGE(AP20+AP19,AO20+AO19)*1000</f>
        <v>6.92790519677646</v>
      </c>
      <c r="AQ169" s="604">
        <f>AQ62/3/AVERAGE(AQ20+AQ19,AP20+AP19)*1000</f>
        <v>7.0079202476428462</v>
      </c>
      <c r="AR169" s="604">
        <f>AR62/3/AVERAGE(AR20+AR19,AQ20+AQ19)*1000</f>
        <v>6.9917586038654891</v>
      </c>
      <c r="AT169" s="604">
        <f>AT62/3/AVERAGE(AT20+AT19,AS20+AS19)*1000</f>
        <v>6.9146831415178012</v>
      </c>
      <c r="AU169" s="604">
        <f>AU62/3/AVERAGE(AU20+AU19,AT20+AT19)*1000</f>
        <v>6.8672685585234561</v>
      </c>
      <c r="AV169" s="604">
        <f>AV62/3/AVERAGE(AV20+AV19,AU20+AU19)*1000</f>
        <v>6.8299929111738766</v>
      </c>
      <c r="AW169" s="604">
        <f>AW62/3/AVERAGE(AW20+AW19,AV20+AV19)*1000</f>
        <v>6.9455076162066769</v>
      </c>
      <c r="AY169" s="604">
        <f>AY62/3/AVERAGE(AY20+AY19,AX20+AX19)*1000</f>
        <v>6.8108637114882242</v>
      </c>
      <c r="AZ169" s="604">
        <f>AZ62/3/AVERAGE(AZ20+AZ19,AY20+AY19)*1000</f>
        <v>6.8758587728444516</v>
      </c>
      <c r="BA169" s="604">
        <f>BA62/3/AVERAGE(BA20+BA19,AZ20+AZ19)*1000</f>
        <v>6.7255782487647728</v>
      </c>
      <c r="BB169" s="604">
        <f ca="1">BB62/3/AVERAGE(BB20+BB19,BA20+BA19)*1000</f>
        <v>6.826567186746515</v>
      </c>
      <c r="BD169" s="604">
        <f ca="1">BD62/3/AVERAGE(BD20+BD19,BC20+BC19)*1000</f>
        <v>6.6652780670693605</v>
      </c>
      <c r="BE169" s="604">
        <f>BE62/3/AVERAGE(BE20+BE19,BD20+BD19)*1000</f>
        <v>6.592665250944429</v>
      </c>
      <c r="BF169" s="604">
        <f>BF62/3/AVERAGE(BF20+BF19,BE20+BE19)*1000</f>
        <v>6.5777338827982517</v>
      </c>
      <c r="BG169" s="604">
        <f>BG62/3/AVERAGE(BG20+BG19,BF20+BF19)*1000</f>
        <v>6.6669908677744303</v>
      </c>
      <c r="BI169" s="604">
        <f>BI62/3/AVERAGE(BI20+BI19,BH20+BH19)*1000</f>
        <v>6.3740402723453569</v>
      </c>
      <c r="BJ169" s="604">
        <f>BJ62/3/AVERAGE(BJ20+BJ19,BI20+BI19)*1000</f>
        <v>6.9654289372599232</v>
      </c>
      <c r="BK169" s="604">
        <f>BK62/3/AVERAGE(BK20+BK19,BJ20+BJ19)*1000</f>
        <v>6.2525879917184266</v>
      </c>
      <c r="BL169" s="604">
        <f ca="1">BL62/3/AVERAGE(BL20+BL19,BK20+BK19)*1000</f>
        <v>6.6298669274972708</v>
      </c>
      <c r="CQ169" s="313">
        <f t="shared" si="259"/>
        <v>0.97014690088903688</v>
      </c>
      <c r="CR169" s="313">
        <f t="shared" si="259"/>
        <v>-3.4600584789881927E-2</v>
      </c>
      <c r="CS169" s="313">
        <f t="shared" si="259"/>
        <v>-9.975866967317415E-2</v>
      </c>
      <c r="CT169" s="313">
        <f t="shared" si="259"/>
        <v>-8.7787898814938314E-3</v>
      </c>
      <c r="CU169" s="575" t="str">
        <f t="shared" si="259"/>
        <v>N/A</v>
      </c>
      <c r="CV169" s="313">
        <f t="shared" si="260"/>
        <v>-0.53748648669421395</v>
      </c>
      <c r="CW169" s="313">
        <f t="shared" si="260"/>
        <v>6.6762954851812939E-2</v>
      </c>
      <c r="CX169" s="313">
        <f t="shared" si="260"/>
        <v>4.0729163480686781E-2</v>
      </c>
      <c r="CY169" s="313">
        <f t="shared" si="260"/>
        <v>-4.0577171269626788E-3</v>
      </c>
      <c r="DA169" s="704">
        <f t="shared" si="261"/>
        <v>0.10201655787959041</v>
      </c>
      <c r="DB169" s="704">
        <f t="shared" si="261"/>
        <v>-7.3077597670163641E-2</v>
      </c>
      <c r="DC169" s="704">
        <f t="shared" si="261"/>
        <v>-4.3738484007193046E-2</v>
      </c>
      <c r="DD169" s="704">
        <f t="shared" si="261"/>
        <v>-1.2033255062611659E-2</v>
      </c>
      <c r="DE169" s="709"/>
      <c r="DF169" s="704">
        <f t="shared" si="262"/>
        <v>-8.174152388659095E-2</v>
      </c>
      <c r="DG169" s="704">
        <f t="shared" si="262"/>
        <v>-5.8353997831561699E-2</v>
      </c>
      <c r="DH169" s="704">
        <f t="shared" si="262"/>
        <v>-5.4366455094268851E-2</v>
      </c>
      <c r="DI169" s="704">
        <f t="shared" si="262"/>
        <v>-2.2353744719268653E-2</v>
      </c>
      <c r="DJ169" s="709"/>
      <c r="DK169" s="704">
        <f t="shared" si="263"/>
        <v>-3.0451232897251934E-2</v>
      </c>
      <c r="DL169" s="704">
        <f t="shared" si="263"/>
        <v>-1.4074599550145672E-2</v>
      </c>
      <c r="DM169" s="704">
        <f t="shared" si="263"/>
        <v>-6.8642545234729457E-3</v>
      </c>
      <c r="DN169" s="704">
        <f t="shared" si="263"/>
        <v>-1.4484203857273781E-2</v>
      </c>
      <c r="DO169" s="709"/>
      <c r="DP169" s="704">
        <f t="shared" si="264"/>
        <v>-8.846969430008067E-3</v>
      </c>
      <c r="DQ169" s="704">
        <f t="shared" si="264"/>
        <v>-8.7525213655086365E-3</v>
      </c>
      <c r="DR169" s="704">
        <f t="shared" si="264"/>
        <v>-2.5389463661321776E-2</v>
      </c>
      <c r="DS169" s="704">
        <f t="shared" si="264"/>
        <v>-6.6150721555577885E-3</v>
      </c>
      <c r="DT169" s="709"/>
      <c r="DU169" s="704">
        <f t="shared" si="265"/>
        <v>-1.5014343810812458E-2</v>
      </c>
      <c r="DV169" s="704">
        <f t="shared" si="265"/>
        <v>1.2508924396634757E-3</v>
      </c>
      <c r="DW169" s="704">
        <f t="shared" si="265"/>
        <v>-1.5287667757060364E-2</v>
      </c>
      <c r="DX169" s="704">
        <f t="shared" ca="1" si="265"/>
        <v>-1.7124800091303016E-2</v>
      </c>
      <c r="DY169" s="709"/>
      <c r="DZ169" s="704">
        <f t="shared" ca="1" si="266"/>
        <v>-2.1375503986858058E-2</v>
      </c>
      <c r="EA169" s="704">
        <f t="shared" si="266"/>
        <v>-4.1186640280988396E-2</v>
      </c>
      <c r="EB169" s="704">
        <f t="shared" si="266"/>
        <v>-2.1982402181355054E-2</v>
      </c>
      <c r="EC169" s="704">
        <f t="shared" ca="1" si="266"/>
        <v>-2.3375777987199031E-2</v>
      </c>
      <c r="ED169" s="709"/>
      <c r="EE169" s="704">
        <f t="shared" ca="1" si="267"/>
        <v>-4.3694770389685722E-2</v>
      </c>
      <c r="EF169" s="704">
        <f t="shared" si="267"/>
        <v>5.6542183187913819E-2</v>
      </c>
      <c r="EG169" s="704">
        <f t="shared" si="267"/>
        <v>-4.9431293036972801E-2</v>
      </c>
      <c r="EH169" s="704">
        <f t="shared" ca="1" si="267"/>
        <v>-5.5683202532347265E-3</v>
      </c>
      <c r="EI169" s="709"/>
      <c r="EJ169" s="709"/>
      <c r="EK169" s="709"/>
    </row>
    <row r="170" spans="2:141">
      <c r="B170" s="212" t="s">
        <v>1280</v>
      </c>
      <c r="O170" s="604">
        <f>(O66-O65)/3/AVERAGE(O15,N15)*1000</f>
        <v>12.614137340733972</v>
      </c>
      <c r="P170" s="604">
        <f>(P66-P65)/3/AVERAGE(P15,O15)*1000</f>
        <v>13.102429856356562</v>
      </c>
      <c r="Q170" s="604">
        <f>(Q66-Q65)/3/AVERAGE(Q15,P15)*1000</f>
        <v>14.573242923259068</v>
      </c>
      <c r="R170" s="604">
        <f>(R66-R65)/3/AVERAGE(R15,Q15)*1000</f>
        <v>13.172355080876095</v>
      </c>
      <c r="U170" s="604">
        <f>(U66-U65)/3/AVERAGE(U15,T15)*1000</f>
        <v>13.49271777960978</v>
      </c>
      <c r="V170" s="604">
        <f>(V66-V65)/3/AVERAGE(V15,U15)*1000</f>
        <v>13.48469212246302</v>
      </c>
      <c r="W170" s="604">
        <f>(W66-W65)/3/AVERAGE(W15,V15)*1000</f>
        <v>13.551144196305488</v>
      </c>
      <c r="X170" s="604">
        <f>(X66-X65)/3/AVERAGE(X15,W15)*1000</f>
        <v>13.559555831436649</v>
      </c>
      <c r="Z170" s="604">
        <f>(Z66-Z65)/3/AVERAGE(Z15,Y15)*1000</f>
        <v>13.305584460631287</v>
      </c>
      <c r="AA170" s="604">
        <f>(AA66-AA65)/3/AVERAGE(AA15,Z15)*1000</f>
        <v>14.510564126487157</v>
      </c>
      <c r="AB170" s="604">
        <f>(AB66-AB65)/3/AVERAGE(AB15,AA15)*1000</f>
        <v>14.341018467945121</v>
      </c>
      <c r="AC170" s="604">
        <f>(AC66-AC65)/3/AVERAGE(AC15,AB15)*1000</f>
        <v>13.901393947899789</v>
      </c>
      <c r="AE170" s="604">
        <f>(AE66-AE65)/3/AVERAGE(AE15,AD15)*1000</f>
        <v>14.204626082020718</v>
      </c>
      <c r="AF170" s="604">
        <f>(AF66-AF65)/3/AVERAGE(AF15,AE15)*1000</f>
        <v>13.758351910037447</v>
      </c>
      <c r="AG170" s="604">
        <f>(AG66-AG65)/3/AVERAGE(AG15,AF15)*1000</f>
        <v>13.927337640299568</v>
      </c>
      <c r="AH170" s="604">
        <f>(AH66-AH65)/3/AVERAGE(AH15,AG15)*1000</f>
        <v>13.988464919019364</v>
      </c>
      <c r="AJ170" s="604">
        <f>(AJ66-AJ65)/3/AVERAGE(AJ15,AI15)*1000</f>
        <v>15.559159014913158</v>
      </c>
      <c r="AK170" s="604">
        <f>(AK66-AK65)/3/AVERAGE(AK15,AJ15)*1000</f>
        <v>15.58527113704946</v>
      </c>
      <c r="AL170" s="604">
        <f>(AL66-AL65)/3/AVERAGE(AL15,AK15)*1000</f>
        <v>15.696421203041995</v>
      </c>
      <c r="AM170" s="604">
        <f>(AM66-AM65)/3/AVERAGE(AM15,AL15)*1000</f>
        <v>16.707343636554654</v>
      </c>
      <c r="AO170" s="604">
        <f>(AO66-AO65)/3/AVERAGE(AO15,AN15)*1000</f>
        <v>15.744699621987289</v>
      </c>
      <c r="AP170" s="604">
        <f>(AP66-AP65)/3/AVERAGE(AP15,AO15)*1000</f>
        <v>15.932802664391058</v>
      </c>
      <c r="AQ170" s="604">
        <f>(AQ66-AQ65)/3/AVERAGE(AQ15,AP15)*1000</f>
        <v>16.189920426615572</v>
      </c>
      <c r="AR170" s="604">
        <f>(AR66-AR65)/3/AVERAGE(AR15,AQ15)*1000</f>
        <v>16.719875276908915</v>
      </c>
      <c r="AT170" s="604">
        <f>(AT66-AT65)/3/AVERAGE(AT15,AS15)*1000</f>
        <v>16.721374687853803</v>
      </c>
      <c r="AU170" s="604">
        <f>(AU66-AU65)/3/AVERAGE(AU15,AT15)*1000</f>
        <v>16.208683119199836</v>
      </c>
      <c r="AV170" s="604">
        <f>(AV66-AV65)/3/AVERAGE(AV15,AU15)*1000</f>
        <v>15.980997298157103</v>
      </c>
      <c r="AW170" s="604">
        <f>(AW66-AW65)/3/AVERAGE(AW15,AV15)*1000</f>
        <v>14.772266418660353</v>
      </c>
      <c r="AY170" s="604">
        <f>(AY66-AY65)/3/AVERAGE(AY15,AX15)*1000</f>
        <v>15.783485608750022</v>
      </c>
      <c r="AZ170" s="604">
        <f>(AZ66-AZ65)/3/AVERAGE(AZ15,AY15)*1000</f>
        <v>16.088513559231092</v>
      </c>
      <c r="BA170" s="604">
        <f>(BA66-BA65)/3/AVERAGE(BA15,AZ15)*1000</f>
        <v>16.008853777773076</v>
      </c>
      <c r="BB170" s="604">
        <f>(BB66-BB65)/3/AVERAGE(BB15,BA15)*1000</f>
        <v>16.551114116862522</v>
      </c>
      <c r="BD170" s="604">
        <f>(BD66-BD65)/3/AVERAGE(BD15,BC15)*1000</f>
        <v>16.378106737445588</v>
      </c>
      <c r="BE170" s="604">
        <f>(BE66-BE65)/3/AVERAGE(BE15,BD15)*1000</f>
        <v>16.28740883210677</v>
      </c>
      <c r="BF170" s="604">
        <f>(BF66-BF65)/3/AVERAGE(BF15,BE15)*1000</f>
        <v>16.410134487564228</v>
      </c>
      <c r="BG170" s="604">
        <f>(BG66-BG65)/3/AVERAGE(BG15,BF15)*1000</f>
        <v>17.00002734652449</v>
      </c>
      <c r="BI170" s="604">
        <f>(BI66-BI65)/3/AVERAGE(BI15,BH15)*1000</f>
        <v>17.072129748186089</v>
      </c>
      <c r="BJ170" s="604">
        <f>(BJ66-BJ65)/3/AVERAGE(BJ15,BI15)*1000</f>
        <v>20.160295930949445</v>
      </c>
      <c r="BK170" s="604">
        <f>(BK66-BK65)/3/AVERAGE(BK15,BJ15)*1000</f>
        <v>22.740005092946269</v>
      </c>
      <c r="BL170" s="604">
        <f ca="1">(BL66-BL65)/3/AVERAGE(BL15,BK15)*1000</f>
        <v>23.010288033772682</v>
      </c>
      <c r="CQ170" s="313">
        <f t="shared" si="259"/>
        <v>6.9650457668529508E-2</v>
      </c>
      <c r="CR170" s="313">
        <f t="shared" si="259"/>
        <v>2.9174914141670172E-2</v>
      </c>
      <c r="CS170" s="313">
        <f t="shared" si="259"/>
        <v>-7.0135297430765964E-2</v>
      </c>
      <c r="CT170" s="313">
        <f t="shared" si="259"/>
        <v>2.9394952397138185E-2</v>
      </c>
      <c r="CU170" s="575" t="str">
        <f t="shared" si="259"/>
        <v>N/A</v>
      </c>
      <c r="CV170" s="313">
        <f t="shared" si="260"/>
        <v>-1.3869208712071979E-2</v>
      </c>
      <c r="CW170" s="313">
        <f t="shared" si="260"/>
        <v>7.6076783563728823E-2</v>
      </c>
      <c r="CX170" s="313">
        <f t="shared" si="260"/>
        <v>5.8288382161484131E-2</v>
      </c>
      <c r="CY170" s="313">
        <f t="shared" si="260"/>
        <v>2.5210126401826516E-2</v>
      </c>
      <c r="DA170" s="704">
        <f t="shared" si="261"/>
        <v>6.7568743338522586E-2</v>
      </c>
      <c r="DB170" s="704">
        <f t="shared" si="261"/>
        <v>-5.1838936783763168E-2</v>
      </c>
      <c r="DC170" s="704">
        <f t="shared" si="261"/>
        <v>-2.8845986675925972E-2</v>
      </c>
      <c r="DD170" s="704">
        <f t="shared" si="261"/>
        <v>6.2634705156836556E-3</v>
      </c>
      <c r="DE170" s="709"/>
      <c r="DF170" s="704">
        <f t="shared" si="262"/>
        <v>9.5358577203726425E-2</v>
      </c>
      <c r="DG170" s="704">
        <f t="shared" si="262"/>
        <v>0.13278619699203786</v>
      </c>
      <c r="DH170" s="704">
        <f t="shared" si="262"/>
        <v>0.12702237918203974</v>
      </c>
      <c r="DI170" s="704">
        <f t="shared" si="262"/>
        <v>0.19436576731436594</v>
      </c>
      <c r="DJ170" s="709"/>
      <c r="DK170" s="704">
        <f t="shared" si="263"/>
        <v>1.1924848052281778E-2</v>
      </c>
      <c r="DL170" s="704">
        <f t="shared" si="263"/>
        <v>2.2298715517078405E-2</v>
      </c>
      <c r="DM170" s="704">
        <f t="shared" si="263"/>
        <v>3.1440238331393422E-2</v>
      </c>
      <c r="DN170" s="704">
        <f t="shared" si="263"/>
        <v>7.5006779215591735E-4</v>
      </c>
      <c r="DO170" s="709"/>
      <c r="DP170" s="704">
        <f t="shared" si="264"/>
        <v>6.203199103923196E-2</v>
      </c>
      <c r="DQ170" s="704">
        <f t="shared" si="264"/>
        <v>1.7315249590416082E-2</v>
      </c>
      <c r="DR170" s="704">
        <f t="shared" si="264"/>
        <v>-1.2904518549393784E-2</v>
      </c>
      <c r="DS170" s="704">
        <f t="shared" si="264"/>
        <v>-0.11648465230708505</v>
      </c>
      <c r="DT170" s="709"/>
      <c r="DU170" s="704">
        <f t="shared" si="265"/>
        <v>-5.6089232889748764E-2</v>
      </c>
      <c r="DV170" s="704">
        <f t="shared" si="265"/>
        <v>-7.4139002585841274E-3</v>
      </c>
      <c r="DW170" s="704">
        <f t="shared" si="265"/>
        <v>1.743100201836878E-3</v>
      </c>
      <c r="DX170" s="704">
        <f t="shared" si="265"/>
        <v>0.12041806231947771</v>
      </c>
      <c r="DY170" s="709"/>
      <c r="DZ170" s="704">
        <f t="shared" si="266"/>
        <v>3.7673625676569289E-2</v>
      </c>
      <c r="EA170" s="704">
        <f t="shared" si="266"/>
        <v>1.2362563647873914E-2</v>
      </c>
      <c r="EB170" s="704">
        <f t="shared" si="266"/>
        <v>2.5066173716215445E-2</v>
      </c>
      <c r="EC170" s="704">
        <f t="shared" si="266"/>
        <v>2.7122840582955554E-2</v>
      </c>
      <c r="ED170" s="709"/>
      <c r="EE170" s="704">
        <f t="shared" si="267"/>
        <v>4.237504504435452E-2</v>
      </c>
      <c r="EF170" s="704">
        <f t="shared" si="267"/>
        <v>0.23778411524908716</v>
      </c>
      <c r="EG170" s="704">
        <f t="shared" si="267"/>
        <v>0.38572935585499812</v>
      </c>
      <c r="EH170" s="704">
        <f t="shared" ca="1" si="267"/>
        <v>0.35354417759080481</v>
      </c>
      <c r="EI170" s="709"/>
      <c r="EJ170" s="709"/>
      <c r="EK170" s="709"/>
    </row>
    <row r="171" spans="2:141" s="7" customFormat="1">
      <c r="B171" s="7" t="s">
        <v>1279</v>
      </c>
      <c r="D171" s="577"/>
      <c r="I171" s="577"/>
      <c r="N171" s="577"/>
      <c r="O171" s="605">
        <f>O66/3/AVERAGE(O15,N15)*1000</f>
        <v>14.070441920973266</v>
      </c>
      <c r="P171" s="605">
        <f>P66/3/AVERAGE(P15,O15)*1000</f>
        <v>14.579138139347565</v>
      </c>
      <c r="Q171" s="605">
        <f>Q66/3/AVERAGE(Q15,P15)*1000</f>
        <v>15.929394037240343</v>
      </c>
      <c r="R171" s="605">
        <f>R66/3/AVERAGE(R15,Q15)*1000</f>
        <v>14.998839099140936</v>
      </c>
      <c r="S171" s="577"/>
      <c r="T171" s="458"/>
      <c r="U171" s="605">
        <f>U66/3/AVERAGE(U15,T15)*1000</f>
        <v>15.952184666117063</v>
      </c>
      <c r="V171" s="605">
        <f>V66/3/AVERAGE(V15,U15)*1000</f>
        <v>16.49810801513588</v>
      </c>
      <c r="W171" s="605">
        <f>W66/3/AVERAGE(W15,V15)*1000</f>
        <v>16.294458229942101</v>
      </c>
      <c r="X171" s="605">
        <f>X66/3/AVERAGE(X15,W15)*1000</f>
        <v>17.11842196013518</v>
      </c>
      <c r="Y171" s="577"/>
      <c r="Z171" s="605">
        <f>Z66/3/AVERAGE(Z15,Y15)*1000</f>
        <v>16.78806798473812</v>
      </c>
      <c r="AA171" s="605">
        <f>AA66/3/AVERAGE(AA15,Z15)*1000</f>
        <v>17.360340644891124</v>
      </c>
      <c r="AB171" s="605">
        <f>AB66/3/AVERAGE(AB15,AA15)*1000</f>
        <v>17.240375930369332</v>
      </c>
      <c r="AC171" s="605">
        <f>AC66/3/AVERAGE(AC15,AB15)*1000</f>
        <v>17.983437983055023</v>
      </c>
      <c r="AD171" s="577"/>
      <c r="AE171" s="605">
        <f>AE66/3/AVERAGE(AE15,AD15)*1000</f>
        <v>17.51099758762594</v>
      </c>
      <c r="AF171" s="605">
        <f>AF66/3/AVERAGE(AF15,AE15)*1000</f>
        <v>16.70819944822621</v>
      </c>
      <c r="AG171" s="605">
        <f>AG66/3/AVERAGE(AG15,AF15)*1000</f>
        <v>18.382809074648481</v>
      </c>
      <c r="AH171" s="605">
        <f>AH66/3/AVERAGE(AH15,AG15)*1000</f>
        <v>18.363694549408574</v>
      </c>
      <c r="AI171" s="577"/>
      <c r="AJ171" s="605">
        <f>AJ66/3/AVERAGE(AJ15,AI15)*1000</f>
        <v>17.409378408294156</v>
      </c>
      <c r="AK171" s="605">
        <f>AK66/3/AVERAGE(AK15,AJ15)*1000</f>
        <v>18.257979774024719</v>
      </c>
      <c r="AL171" s="605">
        <f>AL66/3/AVERAGE(AL15,AK15)*1000</f>
        <v>17.917801558966413</v>
      </c>
      <c r="AM171" s="605">
        <f>AM66/3/AVERAGE(AM15,AL15)*1000</f>
        <v>19.011599174251142</v>
      </c>
      <c r="AN171" s="577"/>
      <c r="AO171" s="605">
        <f>AO66/3/AVERAGE(AO15,AN15)*1000</f>
        <v>17.453198364878332</v>
      </c>
      <c r="AP171" s="605">
        <f>AP66/3/AVERAGE(AP15,AO15)*1000</f>
        <v>17.754117467104905</v>
      </c>
      <c r="AQ171" s="605">
        <f>AQ66/3/AVERAGE(AQ15,AP15)*1000</f>
        <v>17.649545267285607</v>
      </c>
      <c r="AR171" s="605">
        <f>AR66/3/AVERAGE(AR15,AQ15)*1000</f>
        <v>18.409809003465895</v>
      </c>
      <c r="AS171" s="577"/>
      <c r="AT171" s="605">
        <f>AT66/3/AVERAGE(AT15,AS15)*1000</f>
        <v>18.056603879146916</v>
      </c>
      <c r="AU171" s="605">
        <f>AU66/3/AVERAGE(AU15,AT15)*1000</f>
        <v>17.653696072009815</v>
      </c>
      <c r="AV171" s="605">
        <f>AV66/3/AVERAGE(AV15,AU15)*1000</f>
        <v>17.455850114914067</v>
      </c>
      <c r="AW171" s="605">
        <f>AW66/3/AVERAGE(AW15,AV15)*1000</f>
        <v>17.125549120543162</v>
      </c>
      <c r="AX171" s="577"/>
      <c r="AY171" s="605">
        <f>AY66/3/AVERAGE(AY15,AX15)*1000</f>
        <v>17.400767644079345</v>
      </c>
      <c r="AZ171" s="605">
        <f>AZ66/3/AVERAGE(AZ15,AY15)*1000</f>
        <v>17.707500039320561</v>
      </c>
      <c r="BA171" s="605">
        <f>BA66/3/AVERAGE(BA15,AZ15)*1000</f>
        <v>17.629232403474855</v>
      </c>
      <c r="BB171" s="605">
        <f>BB66/3/AVERAGE(BB15,BA15)*1000</f>
        <v>18.223888004880628</v>
      </c>
      <c r="BC171" s="577"/>
      <c r="BD171" s="605">
        <f>BD66/3/AVERAGE(BD15,BC15)*1000</f>
        <v>18.110720823442826</v>
      </c>
      <c r="BE171" s="605">
        <f>BE66/3/AVERAGE(BE15,BD15)*1000</f>
        <v>18.005835064155065</v>
      </c>
      <c r="BF171" s="605">
        <f>BF66/3/AVERAGE(BF15,BE15)*1000</f>
        <v>18.245492577698982</v>
      </c>
      <c r="BG171" s="605">
        <f>BG66/3/AVERAGE(BG15,BF15)*1000</f>
        <v>20.042367034915127</v>
      </c>
      <c r="BH171" s="577"/>
      <c r="BI171" s="605">
        <f>BI66/3/AVERAGE(BI15,BH15)*1000</f>
        <v>19.172001707212974</v>
      </c>
      <c r="BJ171" s="605">
        <f>BJ66/3/AVERAGE(BJ15,BI15)*1000</f>
        <v>22.688039457459926</v>
      </c>
      <c r="BK171" s="605">
        <f>BK66/3/AVERAGE(BK15,BJ15)*1000</f>
        <v>26.075884899414312</v>
      </c>
      <c r="BL171" s="605">
        <f ca="1">BL66/3/AVERAGE(BL15,BK15)*1000</f>
        <v>26.898227055452949</v>
      </c>
      <c r="BM171" s="577"/>
      <c r="BN171" s="577"/>
      <c r="BO171" s="577"/>
      <c r="BQ171" s="458"/>
      <c r="BR171" s="458"/>
      <c r="BS171" s="458"/>
      <c r="BT171" s="458"/>
      <c r="CK171" s="577"/>
      <c r="CP171" s="577"/>
      <c r="CQ171" s="588">
        <f t="shared" si="259"/>
        <v>0.13373728811878238</v>
      </c>
      <c r="CR171" s="588">
        <f t="shared" si="259"/>
        <v>0.13162437020945816</v>
      </c>
      <c r="CS171" s="588">
        <f t="shared" si="259"/>
        <v>2.2917644691838213E-2</v>
      </c>
      <c r="CT171" s="588">
        <f t="shared" si="259"/>
        <v>0.14131646102634998</v>
      </c>
      <c r="CU171" s="589" t="str">
        <f t="shared" si="259"/>
        <v>N/A</v>
      </c>
      <c r="CV171" s="588">
        <f t="shared" si="260"/>
        <v>5.2399300541981608E-2</v>
      </c>
      <c r="CW171" s="588">
        <f t="shared" si="260"/>
        <v>5.2262515735998605E-2</v>
      </c>
      <c r="CX171" s="588">
        <f t="shared" si="260"/>
        <v>5.8051497452615397E-2</v>
      </c>
      <c r="CY171" s="588">
        <f t="shared" si="260"/>
        <v>5.0531294586280362E-2</v>
      </c>
      <c r="CZ171" s="577"/>
      <c r="DA171" s="706">
        <f t="shared" si="261"/>
        <v>4.3062108370363283E-2</v>
      </c>
      <c r="DB171" s="706">
        <f t="shared" si="261"/>
        <v>-3.7565000019560646E-2</v>
      </c>
      <c r="DC171" s="706">
        <f t="shared" si="261"/>
        <v>6.6264978727449186E-2</v>
      </c>
      <c r="DD171" s="706">
        <f t="shared" si="261"/>
        <v>2.1144820401518993E-2</v>
      </c>
      <c r="DE171" s="713"/>
      <c r="DF171" s="706">
        <f t="shared" si="262"/>
        <v>-5.8031633448224484E-3</v>
      </c>
      <c r="DG171" s="706">
        <f t="shared" si="262"/>
        <v>9.275567547543484E-2</v>
      </c>
      <c r="DH171" s="706">
        <f t="shared" si="262"/>
        <v>-2.5295781172168796E-2</v>
      </c>
      <c r="DI171" s="706">
        <f t="shared" si="262"/>
        <v>3.5281823224588171E-2</v>
      </c>
      <c r="DJ171" s="713"/>
      <c r="DK171" s="706">
        <f t="shared" si="263"/>
        <v>2.5170316571039297E-3</v>
      </c>
      <c r="DL171" s="706">
        <f t="shared" si="263"/>
        <v>-2.7596826875482039E-2</v>
      </c>
      <c r="DM171" s="706">
        <f t="shared" si="263"/>
        <v>-1.49714958499787E-2</v>
      </c>
      <c r="DN171" s="706">
        <f t="shared" si="263"/>
        <v>-3.1653842755126949E-2</v>
      </c>
      <c r="DO171" s="713"/>
      <c r="DP171" s="706">
        <f t="shared" si="264"/>
        <v>3.4572775811844147E-2</v>
      </c>
      <c r="DQ171" s="706">
        <f t="shared" si="264"/>
        <v>-5.6562313097878736E-3</v>
      </c>
      <c r="DR171" s="706">
        <f t="shared" si="264"/>
        <v>-1.0974512342284748E-2</v>
      </c>
      <c r="DS171" s="706">
        <f t="shared" si="264"/>
        <v>-6.9759544093094816E-2</v>
      </c>
      <c r="DT171" s="713"/>
      <c r="DU171" s="706">
        <f t="shared" si="265"/>
        <v>-3.6321128793492474E-2</v>
      </c>
      <c r="DV171" s="706">
        <f t="shared" si="265"/>
        <v>3.0477451912209741E-3</v>
      </c>
      <c r="DW171" s="706">
        <f t="shared" si="265"/>
        <v>9.9326178570158241E-3</v>
      </c>
      <c r="DX171" s="706">
        <f t="shared" si="265"/>
        <v>6.4134520686401686E-2</v>
      </c>
      <c r="DY171" s="713"/>
      <c r="DZ171" s="706">
        <f t="shared" si="266"/>
        <v>4.0800106862242114E-2</v>
      </c>
      <c r="EA171" s="706">
        <f t="shared" si="266"/>
        <v>1.6847947150757214E-2</v>
      </c>
      <c r="EB171" s="706">
        <f t="shared" si="266"/>
        <v>3.4956721887826392E-2</v>
      </c>
      <c r="EC171" s="706">
        <f t="shared" si="266"/>
        <v>9.9785459038569835E-2</v>
      </c>
      <c r="ED171" s="713"/>
      <c r="EE171" s="706">
        <f t="shared" si="267"/>
        <v>5.8599593805035655E-2</v>
      </c>
      <c r="EF171" s="706">
        <f t="shared" si="267"/>
        <v>0.26003816966122906</v>
      </c>
      <c r="EG171" s="706">
        <f t="shared" si="267"/>
        <v>0.42916858990621209</v>
      </c>
      <c r="EH171" s="706">
        <f t="shared" ca="1" si="267"/>
        <v>0.34206837987721017</v>
      </c>
      <c r="EI171" s="713"/>
      <c r="EJ171" s="713"/>
      <c r="EK171" s="713"/>
    </row>
    <row r="172" spans="2:141">
      <c r="DA172" s="708"/>
      <c r="DB172" s="708"/>
      <c r="DC172" s="708"/>
      <c r="DD172" s="708"/>
      <c r="DE172" s="709"/>
      <c r="DF172" s="708"/>
      <c r="DG172" s="708"/>
      <c r="DH172" s="708"/>
      <c r="DI172" s="708"/>
      <c r="DJ172" s="709"/>
      <c r="DK172" s="708"/>
      <c r="DL172" s="708"/>
      <c r="DM172" s="708"/>
      <c r="DN172" s="708"/>
      <c r="DO172" s="709"/>
      <c r="DP172" s="708"/>
      <c r="DQ172" s="708"/>
      <c r="DR172" s="708"/>
      <c r="DS172" s="708"/>
      <c r="DT172" s="709"/>
      <c r="DU172" s="708"/>
      <c r="DV172" s="708"/>
      <c r="DW172" s="708"/>
      <c r="DX172" s="708"/>
      <c r="DY172" s="709"/>
      <c r="DZ172" s="708"/>
      <c r="EA172" s="708"/>
      <c r="EB172" s="708"/>
      <c r="EC172" s="708"/>
      <c r="ED172" s="709"/>
      <c r="EE172" s="708"/>
      <c r="EF172" s="708"/>
      <c r="EG172" s="708"/>
      <c r="EH172" s="708"/>
      <c r="EI172" s="709"/>
      <c r="EJ172" s="709"/>
      <c r="EK172" s="709"/>
    </row>
    <row r="173" spans="2:141">
      <c r="B173" s="840" t="s">
        <v>1278</v>
      </c>
      <c r="DA173" s="708"/>
      <c r="DB173" s="708"/>
      <c r="DC173" s="708"/>
      <c r="DD173" s="708"/>
      <c r="DE173" s="709"/>
      <c r="DF173" s="708"/>
      <c r="DG173" s="708"/>
      <c r="DH173" s="708"/>
      <c r="DI173" s="708"/>
      <c r="DJ173" s="709"/>
      <c r="DK173" s="708"/>
      <c r="DL173" s="708"/>
      <c r="DM173" s="708"/>
      <c r="DN173" s="708"/>
      <c r="DO173" s="709"/>
      <c r="DP173" s="708"/>
      <c r="DQ173" s="708"/>
      <c r="DR173" s="708"/>
      <c r="DS173" s="708"/>
      <c r="DT173" s="709"/>
      <c r="DU173" s="708"/>
      <c r="DV173" s="708"/>
      <c r="DW173" s="708"/>
      <c r="DX173" s="708"/>
      <c r="DY173" s="709"/>
      <c r="DZ173" s="708"/>
      <c r="EA173" s="708"/>
      <c r="EB173" s="708"/>
      <c r="EC173" s="708"/>
      <c r="ED173" s="709"/>
      <c r="EE173" s="708"/>
      <c r="EF173" s="708"/>
      <c r="EG173" s="708"/>
      <c r="EH173" s="708"/>
      <c r="EI173" s="709"/>
      <c r="EJ173" s="709"/>
      <c r="EK173" s="709"/>
    </row>
    <row r="174" spans="2:141">
      <c r="B174" s="212" t="s">
        <v>1276</v>
      </c>
      <c r="O174" s="604">
        <f>O50</f>
        <v>22.60633290642188</v>
      </c>
      <c r="P174" s="604">
        <f>P50</f>
        <v>23.2</v>
      </c>
      <c r="Q174" s="604">
        <f>Q50</f>
        <v>22.9</v>
      </c>
      <c r="R174" s="604">
        <f>R50</f>
        <v>22.7</v>
      </c>
      <c r="S174" s="610">
        <f>S50</f>
        <v>22.85158322660547</v>
      </c>
      <c r="U174" s="604">
        <f t="shared" ref="U174:BC174" si="268">U50</f>
        <v>22.4</v>
      </c>
      <c r="V174" s="604">
        <f t="shared" si="268"/>
        <v>23.3</v>
      </c>
      <c r="W174" s="604">
        <f t="shared" si="268"/>
        <v>23.1</v>
      </c>
      <c r="X174" s="604">
        <f t="shared" si="268"/>
        <v>23</v>
      </c>
      <c r="Y174" s="610">
        <f t="shared" si="268"/>
        <v>22.950000000000003</v>
      </c>
      <c r="Z174" s="604">
        <f t="shared" si="268"/>
        <v>23.5</v>
      </c>
      <c r="AA174" s="604">
        <f t="shared" si="268"/>
        <v>24.1</v>
      </c>
      <c r="AB174" s="604">
        <f t="shared" si="268"/>
        <v>24.308583436944282</v>
      </c>
      <c r="AC174" s="604">
        <f t="shared" si="268"/>
        <v>24.6</v>
      </c>
      <c r="AD174" s="608">
        <f t="shared" si="268"/>
        <v>24.127145859236073</v>
      </c>
      <c r="AE174" s="604">
        <f t="shared" si="268"/>
        <v>24.3</v>
      </c>
      <c r="AF174" s="604">
        <f t="shared" si="268"/>
        <v>24.145371604424714</v>
      </c>
      <c r="AG174" s="604">
        <f t="shared" si="268"/>
        <v>23.633679014591777</v>
      </c>
      <c r="AH174" s="604">
        <f t="shared" si="268"/>
        <v>23.822029389228312</v>
      </c>
      <c r="AI174" s="608">
        <f t="shared" si="268"/>
        <v>23.975270002061201</v>
      </c>
      <c r="AJ174" s="604">
        <f t="shared" si="268"/>
        <v>23.88045807641322</v>
      </c>
      <c r="AK174" s="604">
        <f t="shared" si="268"/>
        <v>24.220117828201644</v>
      </c>
      <c r="AL174" s="604">
        <f t="shared" si="268"/>
        <v>24.236904097704361</v>
      </c>
      <c r="AM174" s="604">
        <f t="shared" si="268"/>
        <v>24.391604090363519</v>
      </c>
      <c r="AN174" s="608">
        <f t="shared" si="268"/>
        <v>24.264368192428883</v>
      </c>
      <c r="AO174" s="604">
        <f t="shared" si="268"/>
        <v>24.327760502784564</v>
      </c>
      <c r="AP174" s="604">
        <f t="shared" si="268"/>
        <v>24.454686078806773</v>
      </c>
      <c r="AQ174" s="604">
        <f t="shared" si="268"/>
        <v>24.343836009259064</v>
      </c>
      <c r="AR174" s="604">
        <f t="shared" si="268"/>
        <v>24.415176640480002</v>
      </c>
      <c r="AS174" s="608">
        <f t="shared" si="268"/>
        <v>24.424507311488387</v>
      </c>
      <c r="AT174" s="604">
        <f>AT50</f>
        <v>24.123639530948623</v>
      </c>
      <c r="AU174" s="604">
        <f>AU50</f>
        <v>24.076952708755439</v>
      </c>
      <c r="AV174" s="604">
        <f>AV50</f>
        <v>23.880301412428384</v>
      </c>
      <c r="AW174" s="604">
        <f>AW50</f>
        <v>24.25769522934624</v>
      </c>
      <c r="AX174" s="608">
        <f t="shared" si="268"/>
        <v>24.1</v>
      </c>
      <c r="AY174" s="604">
        <f t="shared" si="268"/>
        <v>24.230918199540099</v>
      </c>
      <c r="AZ174" s="604">
        <f t="shared" si="268"/>
        <v>24.354265829490163</v>
      </c>
      <c r="BA174" s="604">
        <f t="shared" si="268"/>
        <v>24.332108746169695</v>
      </c>
      <c r="BB174" s="604">
        <f t="shared" si="268"/>
        <v>24.190913781654697</v>
      </c>
      <c r="BC174" s="608">
        <f t="shared" si="268"/>
        <v>24.2</v>
      </c>
      <c r="BD174" s="604">
        <f t="shared" ref="BD174:BO174" si="269">BD50</f>
        <v>24.2</v>
      </c>
      <c r="BE174" s="604">
        <f t="shared" si="269"/>
        <v>23.922705091472189</v>
      </c>
      <c r="BF174" s="604">
        <f t="shared" si="269"/>
        <v>24.349487530519173</v>
      </c>
      <c r="BG174" s="604">
        <f t="shared" si="269"/>
        <v>24.578806065755121</v>
      </c>
      <c r="BH174" s="608">
        <f t="shared" si="269"/>
        <v>24.290818524144427</v>
      </c>
      <c r="BI174" s="604">
        <f t="shared" ref="BI174:BJ174" si="270">BI50</f>
        <v>24.3</v>
      </c>
      <c r="BJ174" s="604">
        <f t="shared" si="270"/>
        <v>24.3</v>
      </c>
      <c r="BK174" s="604">
        <f t="shared" ref="BK174" si="271">BK50</f>
        <v>24.3</v>
      </c>
      <c r="BL174" s="604"/>
      <c r="BM174" s="608">
        <f t="shared" si="269"/>
        <v>24.533726709385871</v>
      </c>
      <c r="BN174" s="608">
        <f t="shared" si="269"/>
        <v>24.77906397647973</v>
      </c>
      <c r="BO174" s="608">
        <f t="shared" si="269"/>
        <v>25.274645256009325</v>
      </c>
      <c r="BP174" s="604"/>
      <c r="CQ174" s="313">
        <f t="shared" ref="CQ174:CU176" si="272">IFERROR(U174/O174-1,"N/A")</f>
        <v>-9.1272170181687651E-3</v>
      </c>
      <c r="CR174" s="313">
        <f t="shared" si="272"/>
        <v>4.3103448275862988E-3</v>
      </c>
      <c r="CS174" s="313">
        <f t="shared" si="272"/>
        <v>8.733624454148492E-3</v>
      </c>
      <c r="CT174" s="313">
        <f t="shared" si="272"/>
        <v>1.3215859030837107E-2</v>
      </c>
      <c r="CU174" s="575">
        <f t="shared" si="272"/>
        <v>4.3067813909694053E-3</v>
      </c>
      <c r="CV174" s="313">
        <f t="shared" ref="CV174:CY176" si="273">IFERROR(Z174/U174-1,"N/A")</f>
        <v>4.9107142857143016E-2</v>
      </c>
      <c r="CW174" s="313">
        <f t="shared" si="273"/>
        <v>3.4334763948497882E-2</v>
      </c>
      <c r="CX174" s="313">
        <f t="shared" si="273"/>
        <v>5.2319629304947268E-2</v>
      </c>
      <c r="CY174" s="313">
        <f t="shared" si="273"/>
        <v>6.956521739130439E-2</v>
      </c>
      <c r="CZ174" s="575">
        <f>IFERROR(AD174/X174-1,"N/A")</f>
        <v>4.9006341705916112E-2</v>
      </c>
      <c r="DA174" s="704">
        <f t="shared" ref="DA174:DJ176" si="274">IFERROR(AE174/Z174-1,"N/A")</f>
        <v>3.4042553191489411E-2</v>
      </c>
      <c r="DB174" s="704">
        <f t="shared" si="274"/>
        <v>1.882639187747337E-3</v>
      </c>
      <c r="DC174" s="704">
        <f t="shared" si="274"/>
        <v>-2.7764037509762196E-2</v>
      </c>
      <c r="DD174" s="704">
        <f t="shared" si="274"/>
        <v>-3.1624821576084927E-2</v>
      </c>
      <c r="DE174" s="705">
        <f t="shared" si="274"/>
        <v>-6.2948124100942193E-3</v>
      </c>
      <c r="DF174" s="704">
        <f t="shared" si="274"/>
        <v>-1.726509973608148E-2</v>
      </c>
      <c r="DG174" s="704">
        <f t="shared" si="274"/>
        <v>3.0956750221742269E-3</v>
      </c>
      <c r="DH174" s="704">
        <f t="shared" si="274"/>
        <v>2.5523960223888364E-2</v>
      </c>
      <c r="DI174" s="704">
        <f t="shared" si="274"/>
        <v>2.3909579315385843E-2</v>
      </c>
      <c r="DJ174" s="705">
        <f t="shared" si="274"/>
        <v>1.2058182883563973E-2</v>
      </c>
      <c r="DK174" s="704">
        <f t="shared" ref="DK174:DT176" si="275">IFERROR(AO174/AJ174-1,"N/A")</f>
        <v>1.8730898081605218E-2</v>
      </c>
      <c r="DL174" s="704">
        <f t="shared" si="275"/>
        <v>9.6848517529506406E-3</v>
      </c>
      <c r="DM174" s="704">
        <f t="shared" si="275"/>
        <v>4.4119459780687098E-3</v>
      </c>
      <c r="DN174" s="704">
        <f t="shared" si="275"/>
        <v>9.6642065971375146E-4</v>
      </c>
      <c r="DO174" s="705">
        <f t="shared" si="275"/>
        <v>6.5997646338664673E-3</v>
      </c>
      <c r="DP174" s="704">
        <f t="shared" si="275"/>
        <v>-8.3904546747152198E-3</v>
      </c>
      <c r="DQ174" s="704">
        <f t="shared" si="275"/>
        <v>-1.5446257164539512E-2</v>
      </c>
      <c r="DR174" s="704">
        <f t="shared" si="275"/>
        <v>-1.9041148513092909E-2</v>
      </c>
      <c r="DS174" s="704">
        <f t="shared" si="275"/>
        <v>-6.4501442464545145E-3</v>
      </c>
      <c r="DT174" s="705">
        <f t="shared" si="275"/>
        <v>-1.3286135411040623E-2</v>
      </c>
      <c r="DU174" s="704">
        <f t="shared" ref="DU174:ED176" si="276">IFERROR(AY174/AT174-1,"N/A")</f>
        <v>4.4470349697376399E-3</v>
      </c>
      <c r="DV174" s="704">
        <f t="shared" si="276"/>
        <v>1.1517783171700158E-2</v>
      </c>
      <c r="DW174" s="704">
        <f t="shared" si="276"/>
        <v>1.8919666294755055E-2</v>
      </c>
      <c r="DX174" s="704">
        <f t="shared" si="276"/>
        <v>-2.7530005245821609E-3</v>
      </c>
      <c r="DY174" s="705">
        <f t="shared" si="276"/>
        <v>4.1493775933609811E-3</v>
      </c>
      <c r="DZ174" s="704">
        <f t="shared" si="276"/>
        <v>-1.2759813427410949E-3</v>
      </c>
      <c r="EA174" s="704">
        <f t="shared" si="276"/>
        <v>-1.7720129238936289E-2</v>
      </c>
      <c r="EB174" s="704">
        <f t="shared" si="276"/>
        <v>7.1423256121261325E-4</v>
      </c>
      <c r="EC174" s="704">
        <f t="shared" si="276"/>
        <v>1.6034627199348783E-2</v>
      </c>
      <c r="ED174" s="705">
        <f t="shared" si="276"/>
        <v>3.7528315762160869E-3</v>
      </c>
      <c r="EE174" s="704">
        <f t="shared" ref="EE174:EI176" si="277">IFERROR(BI174/BD174-1,"N/A")</f>
        <v>4.1322314049587749E-3</v>
      </c>
      <c r="EF174" s="704">
        <f t="shared" si="277"/>
        <v>1.577141494179557E-2</v>
      </c>
      <c r="EG174" s="704">
        <f t="shared" si="277"/>
        <v>-2.0323848892978003E-3</v>
      </c>
      <c r="EH174" s="704">
        <f t="shared" si="277"/>
        <v>-1</v>
      </c>
      <c r="EI174" s="705">
        <f t="shared" si="277"/>
        <v>1.0000000000000009E-2</v>
      </c>
      <c r="EJ174" s="705">
        <f t="shared" ref="EJ174:EK176" si="278">IFERROR(BN174/BM174-1,"N/A")</f>
        <v>1.0000000000000009E-2</v>
      </c>
      <c r="EK174" s="705">
        <f t="shared" si="278"/>
        <v>2.0000000000000018E-2</v>
      </c>
    </row>
    <row r="175" spans="2:141">
      <c r="B175" s="212" t="s">
        <v>214</v>
      </c>
      <c r="O175" s="604">
        <f>O49</f>
        <v>9.2954812553859014</v>
      </c>
      <c r="P175" s="604">
        <f>P49</f>
        <v>9.3000000000000007</v>
      </c>
      <c r="Q175" s="604">
        <f>Q49</f>
        <v>9.6999999999999993</v>
      </c>
      <c r="R175" s="604">
        <f>R49</f>
        <v>9.6999999999999993</v>
      </c>
      <c r="S175" s="610">
        <f>S49</f>
        <v>9.4988703138464743</v>
      </c>
      <c r="U175" s="604">
        <f t="shared" ref="U175:BO175" si="279">U49</f>
        <v>9.4</v>
      </c>
      <c r="V175" s="604">
        <f t="shared" si="279"/>
        <v>9.3000000000000007</v>
      </c>
      <c r="W175" s="604">
        <f t="shared" si="279"/>
        <v>9.1999999999999993</v>
      </c>
      <c r="X175" s="604">
        <f t="shared" si="279"/>
        <v>9.1</v>
      </c>
      <c r="Y175" s="610">
        <f t="shared" si="279"/>
        <v>9.25</v>
      </c>
      <c r="Z175" s="604">
        <f t="shared" si="279"/>
        <v>8.8000000000000007</v>
      </c>
      <c r="AA175" s="604">
        <f t="shared" si="279"/>
        <v>9.3000000000000007</v>
      </c>
      <c r="AB175" s="604">
        <f t="shared" si="279"/>
        <v>9.3304139392180083</v>
      </c>
      <c r="AC175" s="604">
        <f t="shared" si="279"/>
        <v>9.3304139392180083</v>
      </c>
      <c r="AD175" s="608">
        <f t="shared" si="279"/>
        <v>9.1902069696090045</v>
      </c>
      <c r="AE175" s="604">
        <f t="shared" si="279"/>
        <v>9.4</v>
      </c>
      <c r="AF175" s="604">
        <f t="shared" si="279"/>
        <v>9.4611541503872818</v>
      </c>
      <c r="AG175" s="604">
        <f t="shared" si="279"/>
        <v>9.4512584743831667</v>
      </c>
      <c r="AH175" s="604">
        <f t="shared" si="279"/>
        <v>9.37765851367317</v>
      </c>
      <c r="AI175" s="608">
        <f t="shared" si="279"/>
        <v>9.4225177846109052</v>
      </c>
      <c r="AJ175" s="604">
        <f t="shared" si="279"/>
        <v>8.9576793659960749</v>
      </c>
      <c r="AK175" s="604">
        <f t="shared" si="279"/>
        <v>8.7413282544966311</v>
      </c>
      <c r="AL175" s="604">
        <f t="shared" si="279"/>
        <v>8.7820194170545385</v>
      </c>
      <c r="AM175" s="604">
        <f t="shared" si="279"/>
        <v>8.8293886953768883</v>
      </c>
      <c r="AN175" s="608">
        <f t="shared" si="279"/>
        <v>8.8276039332310337</v>
      </c>
      <c r="AO175" s="604">
        <f t="shared" si="279"/>
        <v>8.6933922316628198</v>
      </c>
      <c r="AP175" s="604">
        <f t="shared" si="279"/>
        <v>8.6472889553146572</v>
      </c>
      <c r="AQ175" s="604">
        <f t="shared" si="279"/>
        <v>8.7561671073932601</v>
      </c>
      <c r="AR175" s="604">
        <f t="shared" si="279"/>
        <v>8.7549244747833157</v>
      </c>
      <c r="AS175" s="608">
        <f t="shared" si="279"/>
        <v>8.7129431922885132</v>
      </c>
      <c r="AT175" s="604">
        <f t="shared" si="279"/>
        <v>8.6881587860762242</v>
      </c>
      <c r="AU175" s="604">
        <f t="shared" si="279"/>
        <v>8.6817115828117384</v>
      </c>
      <c r="AV175" s="604">
        <f t="shared" si="279"/>
        <v>8.5558948817118772</v>
      </c>
      <c r="AW175" s="604">
        <f t="shared" si="279"/>
        <v>8.6622268956210586</v>
      </c>
      <c r="AX175" s="608">
        <f t="shared" si="279"/>
        <v>8.8000000000000007</v>
      </c>
      <c r="AY175" s="604">
        <f t="shared" si="279"/>
        <v>8.4987057081240049</v>
      </c>
      <c r="AZ175" s="604">
        <f t="shared" si="279"/>
        <v>8.470331442928261</v>
      </c>
      <c r="BA175" s="604">
        <f t="shared" si="279"/>
        <v>8.3755711826882813</v>
      </c>
      <c r="BB175" s="604">
        <f t="shared" si="279"/>
        <v>8.4508555332095607</v>
      </c>
      <c r="BC175" s="608">
        <f t="shared" si="279"/>
        <v>8.4</v>
      </c>
      <c r="BD175" s="604">
        <f t="shared" si="279"/>
        <v>8.4</v>
      </c>
      <c r="BE175" s="604">
        <f t="shared" si="279"/>
        <v>8.2887622590228442</v>
      </c>
      <c r="BF175" s="604">
        <f t="shared" si="279"/>
        <v>8.3150410279340949</v>
      </c>
      <c r="BG175" s="604">
        <f t="shared" si="279"/>
        <v>8.3229036160302634</v>
      </c>
      <c r="BH175" s="608">
        <f t="shared" si="279"/>
        <v>8.3307723311365312</v>
      </c>
      <c r="BI175" s="604">
        <f t="shared" ref="BI175:BJ175" si="280">BI49</f>
        <v>8.15</v>
      </c>
      <c r="BJ175" s="604">
        <f t="shared" si="280"/>
        <v>8.1999999999999993</v>
      </c>
      <c r="BK175" s="604">
        <f t="shared" ref="BK175" si="281">BK49</f>
        <v>9.1</v>
      </c>
      <c r="BL175" s="604"/>
      <c r="BM175" s="608">
        <f t="shared" si="279"/>
        <v>8.0865343946392674</v>
      </c>
      <c r="BN175" s="608">
        <f t="shared" si="279"/>
        <v>8.3547192123272112</v>
      </c>
      <c r="BO175" s="608">
        <f t="shared" si="279"/>
        <v>8.4131238092423004</v>
      </c>
      <c r="BP175" s="604"/>
      <c r="CQ175" s="313">
        <f t="shared" si="272"/>
        <v>1.1244038016164026E-2</v>
      </c>
      <c r="CR175" s="313">
        <f t="shared" si="272"/>
        <v>0</v>
      </c>
      <c r="CS175" s="313">
        <f t="shared" si="272"/>
        <v>-5.1546391752577359E-2</v>
      </c>
      <c r="CT175" s="313">
        <f t="shared" si="272"/>
        <v>-6.1855670103092786E-2</v>
      </c>
      <c r="CU175" s="575">
        <f t="shared" si="272"/>
        <v>-2.6199990696124886E-2</v>
      </c>
      <c r="CV175" s="313">
        <f t="shared" si="273"/>
        <v>-6.3829787234042534E-2</v>
      </c>
      <c r="CW175" s="313">
        <f t="shared" si="273"/>
        <v>0</v>
      </c>
      <c r="CX175" s="313">
        <f t="shared" si="273"/>
        <v>1.4175428175870586E-2</v>
      </c>
      <c r="CY175" s="313">
        <f t="shared" si="273"/>
        <v>2.5320213100880062E-2</v>
      </c>
      <c r="CZ175" s="575">
        <f>IFERROR(AD175/X175-1,"N/A")</f>
        <v>9.9128538031874047E-3</v>
      </c>
      <c r="DA175" s="704">
        <f t="shared" si="274"/>
        <v>6.8181818181818121E-2</v>
      </c>
      <c r="DB175" s="704">
        <f t="shared" si="274"/>
        <v>1.7328403267449666E-2</v>
      </c>
      <c r="DC175" s="704">
        <f t="shared" si="274"/>
        <v>1.2951679952506678E-2</v>
      </c>
      <c r="DD175" s="704">
        <f t="shared" si="274"/>
        <v>5.0635025158509706E-3</v>
      </c>
      <c r="DE175" s="705">
        <f t="shared" si="274"/>
        <v>2.5278083047544753E-2</v>
      </c>
      <c r="DF175" s="704">
        <f t="shared" si="274"/>
        <v>-4.7055386596162263E-2</v>
      </c>
      <c r="DG175" s="704">
        <f t="shared" si="274"/>
        <v>-7.6082250056266676E-2</v>
      </c>
      <c r="DH175" s="704">
        <f t="shared" si="274"/>
        <v>-7.080951802794766E-2</v>
      </c>
      <c r="DI175" s="704">
        <f t="shared" si="274"/>
        <v>-5.8465534599801527E-2</v>
      </c>
      <c r="DJ175" s="705">
        <f t="shared" si="274"/>
        <v>-6.3137461236900005E-2</v>
      </c>
      <c r="DK175" s="704">
        <f t="shared" si="275"/>
        <v>-2.9503973466220024E-2</v>
      </c>
      <c r="DL175" s="704">
        <f t="shared" si="275"/>
        <v>-1.0758010275337626E-2</v>
      </c>
      <c r="DM175" s="704">
        <f t="shared" si="275"/>
        <v>-2.9437773288309987E-3</v>
      </c>
      <c r="DN175" s="704">
        <f t="shared" si="275"/>
        <v>-8.4336779320365318E-3</v>
      </c>
      <c r="DO175" s="705">
        <f t="shared" si="275"/>
        <v>-1.2988885977415321E-2</v>
      </c>
      <c r="DP175" s="704">
        <f t="shared" si="275"/>
        <v>-6.0200269896193426E-4</v>
      </c>
      <c r="DQ175" s="704">
        <f t="shared" si="275"/>
        <v>3.9807421349005168E-3</v>
      </c>
      <c r="DR175" s="704">
        <f t="shared" si="275"/>
        <v>-2.2872133802960826E-2</v>
      </c>
      <c r="DS175" s="704">
        <f t="shared" si="275"/>
        <v>-1.0588050123019666E-2</v>
      </c>
      <c r="DT175" s="705">
        <f t="shared" si="275"/>
        <v>9.9916647899802591E-3</v>
      </c>
      <c r="DU175" s="704">
        <f t="shared" si="276"/>
        <v>-2.1805894967739214E-2</v>
      </c>
      <c r="DV175" s="704">
        <f t="shared" si="276"/>
        <v>-2.4347749619092696E-2</v>
      </c>
      <c r="DW175" s="704">
        <f t="shared" si="276"/>
        <v>-2.1075960085605527E-2</v>
      </c>
      <c r="DX175" s="704">
        <f t="shared" si="276"/>
        <v>-2.4401503788633261E-2</v>
      </c>
      <c r="DY175" s="705">
        <f t="shared" si="276"/>
        <v>-4.5454545454545525E-2</v>
      </c>
      <c r="DZ175" s="704">
        <f t="shared" si="276"/>
        <v>-1.1614204740570178E-2</v>
      </c>
      <c r="EA175" s="704">
        <f t="shared" si="276"/>
        <v>-2.1435900723460577E-2</v>
      </c>
      <c r="EB175" s="704">
        <f t="shared" si="276"/>
        <v>-7.2269882774440575E-3</v>
      </c>
      <c r="EC175" s="704">
        <f t="shared" si="276"/>
        <v>-1.5140705775466334E-2</v>
      </c>
      <c r="ED175" s="705">
        <f t="shared" si="276"/>
        <v>-8.2413891504129477E-3</v>
      </c>
      <c r="EE175" s="704">
        <f t="shared" si="277"/>
        <v>-2.9761904761904767E-2</v>
      </c>
      <c r="EF175" s="704">
        <f t="shared" si="277"/>
        <v>-1.0708747126414675E-2</v>
      </c>
      <c r="EG175" s="704">
        <f t="shared" si="277"/>
        <v>9.4402296925398366E-2</v>
      </c>
      <c r="EH175" s="704">
        <f t="shared" si="277"/>
        <v>-1</v>
      </c>
      <c r="EI175" s="705">
        <f t="shared" si="277"/>
        <v>-2.93175622606342E-2</v>
      </c>
      <c r="EJ175" s="705">
        <f t="shared" si="278"/>
        <v>3.3164369877129118E-2</v>
      </c>
      <c r="EK175" s="705">
        <f t="shared" si="278"/>
        <v>6.9906115849966977E-3</v>
      </c>
    </row>
    <row r="176" spans="2:141" s="7" customFormat="1">
      <c r="B176" s="7" t="s">
        <v>1279</v>
      </c>
      <c r="D176" s="577"/>
      <c r="I176" s="577"/>
      <c r="N176" s="577"/>
      <c r="O176" s="605">
        <f>O51</f>
        <v>14.104895269336126</v>
      </c>
      <c r="P176" s="605">
        <f>P51</f>
        <v>14.3</v>
      </c>
      <c r="Q176" s="605">
        <f>Q51</f>
        <v>14.9</v>
      </c>
      <c r="R176" s="605">
        <f>R51</f>
        <v>15.6</v>
      </c>
      <c r="S176" s="611">
        <f>S51</f>
        <v>14.726223817334033</v>
      </c>
      <c r="T176" s="458"/>
      <c r="U176" s="605">
        <f t="shared" ref="U176:BO176" si="282">U51</f>
        <v>15.9</v>
      </c>
      <c r="V176" s="605">
        <f t="shared" si="282"/>
        <v>16.5</v>
      </c>
      <c r="W176" s="605">
        <f t="shared" si="282"/>
        <v>16.3</v>
      </c>
      <c r="X176" s="605">
        <f t="shared" si="282"/>
        <v>17</v>
      </c>
      <c r="Y176" s="611">
        <f t="shared" si="282"/>
        <v>16.425000000000001</v>
      </c>
      <c r="Z176" s="605">
        <f t="shared" si="282"/>
        <v>17</v>
      </c>
      <c r="AA176" s="605">
        <f t="shared" si="282"/>
        <v>17.8</v>
      </c>
      <c r="AB176" s="605">
        <f t="shared" si="282"/>
        <v>17.246229532413761</v>
      </c>
      <c r="AC176" s="605">
        <f t="shared" si="282"/>
        <v>18.100000000000001</v>
      </c>
      <c r="AD176" s="609">
        <f t="shared" si="282"/>
        <v>17.536557383103442</v>
      </c>
      <c r="AE176" s="605">
        <f t="shared" si="282"/>
        <v>17.5</v>
      </c>
      <c r="AF176" s="605">
        <f t="shared" si="282"/>
        <v>16.917853390425801</v>
      </c>
      <c r="AG176" s="605">
        <f t="shared" si="282"/>
        <v>18.487432165724393</v>
      </c>
      <c r="AH176" s="605">
        <f t="shared" si="282"/>
        <v>18.331560728245794</v>
      </c>
      <c r="AI176" s="609">
        <f t="shared" si="282"/>
        <v>17.809211571098999</v>
      </c>
      <c r="AJ176" s="605">
        <f t="shared" si="282"/>
        <v>17.269920362209664</v>
      </c>
      <c r="AK176" s="605">
        <f t="shared" si="282"/>
        <v>18.186610209977257</v>
      </c>
      <c r="AL176" s="605">
        <f t="shared" si="282"/>
        <v>17.721698504223951</v>
      </c>
      <c r="AM176" s="605">
        <f t="shared" si="282"/>
        <v>18.889581052214165</v>
      </c>
      <c r="AN176" s="609">
        <f t="shared" si="282"/>
        <v>18.048956625210312</v>
      </c>
      <c r="AO176" s="605">
        <f t="shared" si="282"/>
        <v>17.424068863110797</v>
      </c>
      <c r="AP176" s="605">
        <f t="shared" si="282"/>
        <v>17.749390363945377</v>
      </c>
      <c r="AQ176" s="605">
        <f t="shared" si="282"/>
        <v>17.573042148697418</v>
      </c>
      <c r="AR176" s="605">
        <f t="shared" si="282"/>
        <v>18.307064700157387</v>
      </c>
      <c r="AS176" s="609">
        <f t="shared" si="282"/>
        <v>17.768507903520447</v>
      </c>
      <c r="AT176" s="605">
        <f t="shared" si="282"/>
        <v>17.746141830834912</v>
      </c>
      <c r="AU176" s="605">
        <f t="shared" si="282"/>
        <v>17.7194511298277</v>
      </c>
      <c r="AV176" s="605">
        <f t="shared" si="282"/>
        <v>17.627983717587501</v>
      </c>
      <c r="AW176" s="605">
        <f t="shared" si="282"/>
        <v>16.921902028607594</v>
      </c>
      <c r="AX176" s="609">
        <f t="shared" si="282"/>
        <v>17.5</v>
      </c>
      <c r="AY176" s="605">
        <f t="shared" si="282"/>
        <v>17.30166635091334</v>
      </c>
      <c r="AZ176" s="605">
        <f t="shared" si="282"/>
        <v>17.605118686392455</v>
      </c>
      <c r="BA176" s="605">
        <f t="shared" si="282"/>
        <v>17.614171300855727</v>
      </c>
      <c r="BB176" s="605">
        <f t="shared" si="282"/>
        <v>18.301453423365146</v>
      </c>
      <c r="BC176" s="609">
        <f t="shared" si="282"/>
        <v>17.7</v>
      </c>
      <c r="BD176" s="605">
        <f t="shared" si="282"/>
        <v>18.100000000000001</v>
      </c>
      <c r="BE176" s="605">
        <f t="shared" si="282"/>
        <v>18</v>
      </c>
      <c r="BF176" s="605">
        <f t="shared" si="282"/>
        <v>18.068139101020972</v>
      </c>
      <c r="BG176" s="605">
        <f t="shared" si="282"/>
        <v>18.57736121178549</v>
      </c>
      <c r="BH176" s="609">
        <f t="shared" si="282"/>
        <v>18.247097654515112</v>
      </c>
      <c r="BI176" s="605">
        <f t="shared" ref="BI176:BJ176" si="283">BI51</f>
        <v>19</v>
      </c>
      <c r="BJ176" s="605">
        <f t="shared" si="283"/>
        <v>19.899999999999999</v>
      </c>
      <c r="BK176" s="605">
        <f t="shared" ref="BK176" si="284">BK51</f>
        <v>0</v>
      </c>
      <c r="BL176" s="605"/>
      <c r="BM176" s="609">
        <f t="shared" ca="1" si="282"/>
        <v>21.82830040279859</v>
      </c>
      <c r="BN176" s="609">
        <f t="shared" ca="1" si="282"/>
        <v>25.807971942911575</v>
      </c>
      <c r="BO176" s="609">
        <f t="shared" ca="1" si="282"/>
        <v>26.668963937387236</v>
      </c>
      <c r="BP176" s="605"/>
      <c r="BQ176" s="458"/>
      <c r="BR176" s="458"/>
      <c r="BS176" s="458"/>
      <c r="BT176" s="458"/>
      <c r="CK176" s="577"/>
      <c r="CP176" s="577"/>
      <c r="CQ176" s="588">
        <f t="shared" si="272"/>
        <v>0.1272682069867197</v>
      </c>
      <c r="CR176" s="588">
        <f t="shared" si="272"/>
        <v>0.15384615384615374</v>
      </c>
      <c r="CS176" s="588">
        <f t="shared" si="272"/>
        <v>9.3959731543624248E-2</v>
      </c>
      <c r="CT176" s="588">
        <f t="shared" si="272"/>
        <v>8.9743589743589869E-2</v>
      </c>
      <c r="CU176" s="589">
        <f t="shared" si="272"/>
        <v>0.11535721606148353</v>
      </c>
      <c r="CV176" s="588">
        <f t="shared" si="273"/>
        <v>6.9182389937106903E-2</v>
      </c>
      <c r="CW176" s="588">
        <f t="shared" si="273"/>
        <v>7.8787878787878851E-2</v>
      </c>
      <c r="CX176" s="588">
        <f t="shared" si="273"/>
        <v>5.8050891559126461E-2</v>
      </c>
      <c r="CY176" s="588">
        <f t="shared" si="273"/>
        <v>6.4705882352941169E-2</v>
      </c>
      <c r="CZ176" s="575">
        <f>IFERROR(AD176/X176-1,"N/A")</f>
        <v>3.1562199006084812E-2</v>
      </c>
      <c r="DA176" s="706">
        <f t="shared" si="274"/>
        <v>2.9411764705882248E-2</v>
      </c>
      <c r="DB176" s="706">
        <f t="shared" si="274"/>
        <v>-4.9558798290685324E-2</v>
      </c>
      <c r="DC176" s="706">
        <f t="shared" si="274"/>
        <v>7.1969506782791459E-2</v>
      </c>
      <c r="DD176" s="706">
        <f t="shared" si="274"/>
        <v>1.2793410400320004E-2</v>
      </c>
      <c r="DE176" s="705">
        <f t="shared" si="274"/>
        <v>1.5547760146940703E-2</v>
      </c>
      <c r="DF176" s="706">
        <f t="shared" si="274"/>
        <v>-1.3147407873733474E-2</v>
      </c>
      <c r="DG176" s="706">
        <f t="shared" si="274"/>
        <v>7.4995142130116488E-2</v>
      </c>
      <c r="DH176" s="706">
        <f t="shared" si="274"/>
        <v>-4.1419146511872396E-2</v>
      </c>
      <c r="DI176" s="706">
        <f t="shared" si="274"/>
        <v>3.0440415425652123E-2</v>
      </c>
      <c r="DJ176" s="705">
        <f t="shared" si="274"/>
        <v>1.3461856700067276E-2</v>
      </c>
      <c r="DK176" s="706">
        <f t="shared" si="275"/>
        <v>8.9258373905674038E-3</v>
      </c>
      <c r="DL176" s="706">
        <f t="shared" si="275"/>
        <v>-2.4040755313049944E-2</v>
      </c>
      <c r="DM176" s="706">
        <f t="shared" si="275"/>
        <v>-8.3883808028389906E-3</v>
      </c>
      <c r="DN176" s="706">
        <f t="shared" si="275"/>
        <v>-3.0837970966460237E-2</v>
      </c>
      <c r="DO176" s="705">
        <f t="shared" si="275"/>
        <v>-1.5538223483685609E-2</v>
      </c>
      <c r="DP176" s="706">
        <f t="shared" si="275"/>
        <v>1.8484371833836555E-2</v>
      </c>
      <c r="DQ176" s="706">
        <f t="shared" si="275"/>
        <v>-1.6867753485489967E-3</v>
      </c>
      <c r="DR176" s="706">
        <f t="shared" si="275"/>
        <v>3.1264688507079974E-3</v>
      </c>
      <c r="DS176" s="706">
        <f t="shared" si="275"/>
        <v>-7.5662739725712802E-2</v>
      </c>
      <c r="DT176" s="705">
        <f t="shared" si="275"/>
        <v>-1.5111449142403699E-2</v>
      </c>
      <c r="DU176" s="706">
        <f t="shared" si="276"/>
        <v>-2.5046316216704057E-2</v>
      </c>
      <c r="DV176" s="706">
        <f t="shared" si="276"/>
        <v>-6.4523693537429372E-3</v>
      </c>
      <c r="DW176" s="706">
        <f t="shared" si="276"/>
        <v>-7.8355057237733394E-4</v>
      </c>
      <c r="DX176" s="706">
        <f t="shared" si="276"/>
        <v>8.152460594709332E-2</v>
      </c>
      <c r="DY176" s="705">
        <f t="shared" si="276"/>
        <v>1.1428571428571344E-2</v>
      </c>
      <c r="DZ176" s="706">
        <f t="shared" si="276"/>
        <v>4.6142009266322281E-2</v>
      </c>
      <c r="EA176" s="706">
        <f t="shared" si="276"/>
        <v>2.2429914881105573E-2</v>
      </c>
      <c r="EB176" s="706">
        <f t="shared" si="276"/>
        <v>2.5772873012946729E-2</v>
      </c>
      <c r="EC176" s="706">
        <f t="shared" si="276"/>
        <v>1.5075730983644009E-2</v>
      </c>
      <c r="ED176" s="705">
        <f t="shared" si="276"/>
        <v>3.0909472006503513E-2</v>
      </c>
      <c r="EE176" s="706">
        <f t="shared" si="277"/>
        <v>4.9723756906077332E-2</v>
      </c>
      <c r="EF176" s="706">
        <f t="shared" si="277"/>
        <v>0.1055555555555554</v>
      </c>
      <c r="EG176" s="706">
        <f t="shared" si="277"/>
        <v>-1</v>
      </c>
      <c r="EH176" s="706">
        <f t="shared" si="277"/>
        <v>-1</v>
      </c>
      <c r="EI176" s="705">
        <f t="shared" ca="1" si="277"/>
        <v>0.1962614995594838</v>
      </c>
      <c r="EJ176" s="705">
        <f t="shared" ca="1" si="278"/>
        <v>0.18231705935303855</v>
      </c>
      <c r="EK176" s="705">
        <f t="shared" ca="1" si="278"/>
        <v>3.3361474368470923E-2</v>
      </c>
    </row>
    <row r="177" spans="51:141">
      <c r="DA177" s="708"/>
      <c r="DB177" s="708"/>
      <c r="DC177" s="708"/>
      <c r="DD177" s="708"/>
      <c r="DE177" s="709"/>
      <c r="DF177" s="708"/>
      <c r="DG177" s="708"/>
      <c r="DH177" s="708"/>
      <c r="DI177" s="708"/>
      <c r="DJ177" s="709"/>
      <c r="DK177" s="708"/>
      <c r="DL177" s="708"/>
      <c r="DM177" s="708"/>
      <c r="DN177" s="708"/>
      <c r="DO177" s="709"/>
      <c r="DP177" s="708"/>
      <c r="DQ177" s="708"/>
      <c r="DR177" s="708"/>
      <c r="DS177" s="708"/>
      <c r="DT177" s="709"/>
      <c r="DU177" s="708"/>
      <c r="DV177" s="708"/>
      <c r="DW177" s="708"/>
      <c r="DX177" s="708"/>
      <c r="DY177" s="709"/>
      <c r="DZ177" s="708"/>
      <c r="EA177" s="708"/>
      <c r="EB177" s="708"/>
      <c r="EC177" s="708"/>
      <c r="ED177" s="709"/>
      <c r="EE177" s="708"/>
      <c r="EF177" s="708"/>
      <c r="EG177" s="708"/>
      <c r="EH177" s="708"/>
      <c r="EI177" s="709"/>
      <c r="EJ177" s="709"/>
      <c r="EK177" s="709"/>
    </row>
    <row r="179" spans="51:141">
      <c r="AY179" s="1210"/>
      <c r="AZ179" s="1210"/>
      <c r="BA179" s="1210"/>
      <c r="BB179" s="1210"/>
      <c r="BD179" s="1210"/>
      <c r="BE179" s="1210"/>
      <c r="BF179" s="1210"/>
      <c r="BG179" s="1210"/>
      <c r="BI179" s="1210"/>
      <c r="BJ179" s="1210"/>
      <c r="BK179" s="1210"/>
    </row>
  </sheetData>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B4:BM1332"/>
  <sheetViews>
    <sheetView showGridLines="0" topLeftCell="A1263" zoomScale="80" zoomScaleNormal="80" workbookViewId="0">
      <selection activeCell="B1294" sqref="B1294:N1309"/>
    </sheetView>
  </sheetViews>
  <sheetFormatPr defaultColWidth="9.1328125" defaultRowHeight="13.15" outlineLevelRow="1"/>
  <cols>
    <col min="1" max="1" width="2.86328125" style="998" customWidth="1"/>
    <col min="2" max="2" width="37.6640625" style="998" customWidth="1"/>
    <col min="3" max="17" width="7" style="998" customWidth="1"/>
    <col min="18" max="18" width="15" style="998" customWidth="1"/>
    <col min="19" max="19" width="11.19921875" style="998" customWidth="1"/>
    <col min="20" max="25" width="9.1328125" style="998"/>
    <col min="26" max="26" width="18.1328125" style="998" customWidth="1"/>
    <col min="27" max="16384" width="9.1328125" style="998"/>
  </cols>
  <sheetData>
    <row r="4" spans="2:45">
      <c r="N4" s="998" t="s">
        <v>624</v>
      </c>
      <c r="Z4" s="998" t="s">
        <v>699</v>
      </c>
    </row>
    <row r="5" spans="2:45">
      <c r="O5" s="999" t="s">
        <v>651</v>
      </c>
      <c r="T5" s="999"/>
      <c r="Z5" s="998" t="s">
        <v>700</v>
      </c>
      <c r="AN5" s="998">
        <v>2012</v>
      </c>
      <c r="AO5" s="998">
        <v>2013</v>
      </c>
      <c r="AP5" s="998">
        <v>2014</v>
      </c>
      <c r="AR5" s="998">
        <f>+AN5</f>
        <v>2012</v>
      </c>
      <c r="AS5" s="998">
        <f>+AP5</f>
        <v>2014</v>
      </c>
    </row>
    <row r="6" spans="2:45">
      <c r="B6" s="998" t="s">
        <v>567</v>
      </c>
      <c r="N6" s="998" t="s">
        <v>569</v>
      </c>
      <c r="O6" s="1000">
        <f>2896.4/7126.8</f>
        <v>0.40640960880058369</v>
      </c>
      <c r="T6" s="1001"/>
      <c r="AA6" s="998">
        <v>2006</v>
      </c>
      <c r="AB6" s="998">
        <v>2007</v>
      </c>
      <c r="AC6" s="998">
        <v>2008</v>
      </c>
      <c r="AD6" s="998">
        <v>2009</v>
      </c>
      <c r="AE6" s="998">
        <v>2010</v>
      </c>
      <c r="AF6" s="998">
        <v>2011</v>
      </c>
      <c r="AG6" s="998">
        <v>2012</v>
      </c>
      <c r="AH6" s="998">
        <v>2013</v>
      </c>
      <c r="AI6" s="998">
        <v>2014</v>
      </c>
      <c r="AJ6" s="998">
        <v>2015</v>
      </c>
      <c r="AM6" s="998" t="s">
        <v>695</v>
      </c>
      <c r="AN6" s="1002">
        <v>0.222</v>
      </c>
      <c r="AO6" s="1002">
        <v>0.192</v>
      </c>
      <c r="AP6" s="1002">
        <v>0.16200000000000001</v>
      </c>
      <c r="AR6" s="1002">
        <f>+AN6</f>
        <v>0.222</v>
      </c>
      <c r="AS6" s="1002">
        <f>+AP6</f>
        <v>0.16200000000000001</v>
      </c>
    </row>
    <row r="7" spans="2:45">
      <c r="C7" s="998">
        <v>2008</v>
      </c>
      <c r="D7" s="998">
        <v>2009</v>
      </c>
      <c r="E7" s="998">
        <v>2010</v>
      </c>
      <c r="F7" s="998">
        <v>2011</v>
      </c>
      <c r="G7" s="998">
        <v>2012</v>
      </c>
      <c r="H7" s="998" t="s">
        <v>565</v>
      </c>
      <c r="N7" s="998" t="s">
        <v>496</v>
      </c>
      <c r="O7" s="1000">
        <v>0.30017974835230676</v>
      </c>
      <c r="T7" s="1001"/>
      <c r="Z7" s="998" t="s">
        <v>561</v>
      </c>
      <c r="AA7" s="1002">
        <v>0.51800000000000002</v>
      </c>
      <c r="AB7" s="1002">
        <v>0.53700000000000003</v>
      </c>
      <c r="AC7" s="1002">
        <v>0.52500000000000002</v>
      </c>
      <c r="AD7" s="1002">
        <v>0.52800000000000002</v>
      </c>
      <c r="AE7" s="1002">
        <v>0.51400000000000001</v>
      </c>
      <c r="AF7" s="1002">
        <v>0.502</v>
      </c>
      <c r="AG7" s="1002">
        <v>0.47899999999999998</v>
      </c>
      <c r="AH7" s="1002">
        <v>0.46300000000000002</v>
      </c>
      <c r="AI7" s="1002">
        <v>0.46300000000000002</v>
      </c>
      <c r="AJ7" s="1002"/>
      <c r="AM7" s="998" t="s">
        <v>696</v>
      </c>
      <c r="AN7" s="1002">
        <v>7.1999999999999995E-2</v>
      </c>
      <c r="AO7" s="1002">
        <v>7.3999999999999996E-2</v>
      </c>
      <c r="AP7" s="1002">
        <v>5.6000000000000001E-2</v>
      </c>
      <c r="AR7" s="1002">
        <f>+AN7</f>
        <v>7.1999999999999995E-2</v>
      </c>
      <c r="AS7" s="1002">
        <f>+AP7</f>
        <v>5.6000000000000001E-2</v>
      </c>
    </row>
    <row r="8" spans="2:45">
      <c r="B8" s="998" t="s">
        <v>561</v>
      </c>
      <c r="C8" s="1003">
        <v>18.45</v>
      </c>
      <c r="D8" s="1003">
        <v>18.579999999999998</v>
      </c>
      <c r="E8" s="1003">
        <v>18.149999999999999</v>
      </c>
      <c r="F8" s="1003">
        <v>17.27</v>
      </c>
      <c r="G8" s="1003">
        <v>16.7</v>
      </c>
      <c r="H8" s="1001">
        <f>+(G8/C8)^(1/4)-1</f>
        <v>-2.4606122624885374E-2</v>
      </c>
      <c r="N8" s="998" t="s">
        <v>554</v>
      </c>
      <c r="O8" s="1000">
        <f>+Interims!M21/Interims!M15</f>
        <v>0.15753377237131402</v>
      </c>
      <c r="T8" s="1001"/>
      <c r="Z8" s="998" t="s">
        <v>562</v>
      </c>
      <c r="AA8" s="1002">
        <v>0.42</v>
      </c>
      <c r="AB8" s="1002">
        <v>0.42499999999999999</v>
      </c>
      <c r="AC8" s="1002">
        <v>0.42</v>
      </c>
      <c r="AD8" s="1002">
        <v>0.42099999999999999</v>
      </c>
      <c r="AE8" s="1002">
        <v>0.42799999999999999</v>
      </c>
      <c r="AF8" s="1002">
        <v>0.44700000000000001</v>
      </c>
      <c r="AG8" s="1002">
        <v>0.45600000000000002</v>
      </c>
      <c r="AH8" s="1002">
        <v>0.46200000000000002</v>
      </c>
      <c r="AI8" s="1002">
        <v>0.46100000000000002</v>
      </c>
      <c r="AJ8" s="1002"/>
      <c r="AM8" s="998" t="s">
        <v>697</v>
      </c>
      <c r="AN8" s="1002">
        <v>0.70599999999999996</v>
      </c>
      <c r="AO8" s="1002">
        <v>0.73399999999999999</v>
      </c>
      <c r="AP8" s="1002">
        <v>0.78200000000000003</v>
      </c>
      <c r="AR8" s="1002">
        <f>+AN8</f>
        <v>0.70599999999999996</v>
      </c>
      <c r="AS8" s="1002">
        <f>+AP8</f>
        <v>0.78200000000000003</v>
      </c>
    </row>
    <row r="9" spans="2:45">
      <c r="B9" s="998" t="s">
        <v>562</v>
      </c>
      <c r="C9" s="1003">
        <v>16.2</v>
      </c>
      <c r="D9" s="1003">
        <v>16.2</v>
      </c>
      <c r="E9" s="1003">
        <v>16.649999999999999</v>
      </c>
      <c r="F9" s="1003">
        <v>17.54</v>
      </c>
      <c r="G9" s="1003">
        <v>18.07</v>
      </c>
      <c r="H9" s="1001">
        <f>+(G9/C9)^(1/4)-1</f>
        <v>2.7686814634553025E-2</v>
      </c>
      <c r="Z9" s="998" t="s">
        <v>694</v>
      </c>
      <c r="AA9" s="1002">
        <v>9.1999999999999998E-2</v>
      </c>
      <c r="AB9" s="1002">
        <v>0.115</v>
      </c>
      <c r="AC9" s="1002">
        <v>0.111</v>
      </c>
      <c r="AD9" s="1002">
        <v>0.113</v>
      </c>
      <c r="AE9" s="1002">
        <v>0.111</v>
      </c>
      <c r="AF9" s="1002">
        <v>0.11799999999999999</v>
      </c>
      <c r="AG9" s="1002">
        <v>0.125</v>
      </c>
      <c r="AH9" s="1002">
        <v>0.11</v>
      </c>
      <c r="AI9" s="1002">
        <v>0.1</v>
      </c>
      <c r="AJ9" s="1002"/>
    </row>
    <row r="10" spans="2:45">
      <c r="B10" s="998" t="s">
        <v>563</v>
      </c>
      <c r="C10" s="1003">
        <v>2.75</v>
      </c>
      <c r="D10" s="1003">
        <v>2</v>
      </c>
      <c r="E10" s="1003">
        <v>2</v>
      </c>
      <c r="F10" s="1003">
        <v>1.83</v>
      </c>
      <c r="G10" s="1003">
        <v>2.0499999999999998</v>
      </c>
      <c r="H10" s="1001">
        <f>+(G10/C10)^(1/4)-1</f>
        <v>-7.080836419904446E-2</v>
      </c>
      <c r="Z10" s="998" t="s">
        <v>564</v>
      </c>
      <c r="AA10" s="1002">
        <v>3.0000000000000001E-3</v>
      </c>
      <c r="AB10" s="1002">
        <v>3.0000000000000001E-3</v>
      </c>
      <c r="AC10" s="1002">
        <v>3.0000000000000001E-3</v>
      </c>
      <c r="AD10" s="1002">
        <v>0.01</v>
      </c>
      <c r="AE10" s="1002">
        <v>2.3E-2</v>
      </c>
      <c r="AF10" s="1002">
        <v>0.03</v>
      </c>
      <c r="AG10" s="1002">
        <v>4.2999999999999997E-2</v>
      </c>
      <c r="AH10" s="1002">
        <v>4.9000000000000002E-2</v>
      </c>
      <c r="AI10" s="1002">
        <v>4.9000000000000002E-2</v>
      </c>
      <c r="AJ10" s="1002"/>
    </row>
    <row r="11" spans="2:45">
      <c r="B11" s="998" t="s">
        <v>564</v>
      </c>
      <c r="C11" s="1003">
        <v>0.27</v>
      </c>
      <c r="D11" s="1003">
        <v>0.65</v>
      </c>
      <c r="E11" s="1003">
        <v>0.92</v>
      </c>
      <c r="F11" s="1003">
        <v>1.25</v>
      </c>
      <c r="G11" s="1003">
        <v>1.26</v>
      </c>
      <c r="H11" s="1001">
        <f>+(G11/C11)^(1/4)-1</f>
        <v>0.46977784017493152</v>
      </c>
      <c r="AA11" s="1002">
        <f>SUM(AA7:AA10)</f>
        <v>1.0329999999999999</v>
      </c>
      <c r="AB11" s="1002">
        <f t="shared" ref="AB11:AI11" si="0">SUM(AB7:AB10)</f>
        <v>1.0799999999999998</v>
      </c>
      <c r="AC11" s="1002">
        <f t="shared" si="0"/>
        <v>1.0589999999999999</v>
      </c>
      <c r="AD11" s="1002">
        <f t="shared" si="0"/>
        <v>1.0720000000000001</v>
      </c>
      <c r="AE11" s="1002">
        <f t="shared" si="0"/>
        <v>1.0759999999999998</v>
      </c>
      <c r="AF11" s="1002">
        <f t="shared" si="0"/>
        <v>1.0970000000000002</v>
      </c>
      <c r="AG11" s="1002">
        <f t="shared" si="0"/>
        <v>1.103</v>
      </c>
      <c r="AH11" s="1002">
        <f t="shared" si="0"/>
        <v>1.0840000000000001</v>
      </c>
      <c r="AI11" s="1002">
        <f t="shared" si="0"/>
        <v>1.073</v>
      </c>
      <c r="AJ11" s="1002"/>
      <c r="AM11" s="998" t="s">
        <v>698</v>
      </c>
    </row>
    <row r="12" spans="2:45">
      <c r="C12" s="1003">
        <f>SUM(C8:C11)</f>
        <v>37.67</v>
      </c>
      <c r="D12" s="1003">
        <f>SUM(D8:D11)</f>
        <v>37.43</v>
      </c>
      <c r="E12" s="1003">
        <f>SUM(E8:E11)</f>
        <v>37.72</v>
      </c>
      <c r="F12" s="1003">
        <f>SUM(F8:F11)</f>
        <v>37.89</v>
      </c>
      <c r="G12" s="1003">
        <f>SUM(G8:G11)</f>
        <v>38.079999999999991</v>
      </c>
      <c r="H12" s="1001">
        <f>+(G12/C12)^(1/4)-1</f>
        <v>2.7099623824207164E-3</v>
      </c>
      <c r="Z12" s="998" t="s">
        <v>701</v>
      </c>
      <c r="AM12" s="998" t="s">
        <v>699</v>
      </c>
    </row>
    <row r="13" spans="2:45">
      <c r="B13" s="998" t="s">
        <v>566</v>
      </c>
      <c r="Z13" s="998" t="s">
        <v>561</v>
      </c>
      <c r="AA13" s="1002"/>
      <c r="AB13" s="1002"/>
      <c r="AC13" s="1002">
        <v>0.21</v>
      </c>
      <c r="AD13" s="1002">
        <v>0.30599999999999999</v>
      </c>
      <c r="AE13" s="1002">
        <v>0.378</v>
      </c>
      <c r="AF13" s="1002">
        <v>0.42499999999999999</v>
      </c>
      <c r="AG13" s="1002">
        <v>0.48199999999999998</v>
      </c>
      <c r="AH13" s="1002">
        <v>0.55900000000000005</v>
      </c>
      <c r="AI13" s="1002">
        <v>0.629</v>
      </c>
    </row>
    <row r="14" spans="2:45">
      <c r="Z14" s="998" t="s">
        <v>562</v>
      </c>
      <c r="AA14" s="1002"/>
      <c r="AB14" s="1002"/>
      <c r="AC14" s="1002">
        <v>0.65700000000000003</v>
      </c>
      <c r="AD14" s="1002">
        <v>0.74099999999999999</v>
      </c>
      <c r="AE14" s="1002">
        <v>0.79100000000000004</v>
      </c>
      <c r="AF14" s="1002">
        <v>0.86399999999999999</v>
      </c>
      <c r="AG14" s="1002">
        <v>1</v>
      </c>
      <c r="AH14" s="1002">
        <v>1</v>
      </c>
      <c r="AI14" s="1002">
        <v>1</v>
      </c>
    </row>
    <row r="15" spans="2:45">
      <c r="AA15" s="1002"/>
      <c r="AB15" s="1002"/>
      <c r="AC15" s="1002"/>
      <c r="AD15" s="1002"/>
      <c r="AE15" s="1002"/>
      <c r="AF15" s="1002"/>
      <c r="AG15" s="1002"/>
      <c r="AH15" s="1002"/>
      <c r="AI15" s="1002"/>
    </row>
    <row r="31" spans="2:35">
      <c r="B31" s="998" t="s">
        <v>569</v>
      </c>
    </row>
    <row r="32" spans="2:35">
      <c r="B32" s="1004" t="s">
        <v>571</v>
      </c>
      <c r="C32" s="1004">
        <v>2008</v>
      </c>
      <c r="D32" s="1004">
        <v>2009</v>
      </c>
      <c r="E32" s="1004">
        <v>2010</v>
      </c>
      <c r="F32" s="1004">
        <v>2011</v>
      </c>
      <c r="G32" s="1004">
        <v>2012</v>
      </c>
      <c r="H32" s="1004">
        <v>2013</v>
      </c>
      <c r="I32" s="1004" t="s">
        <v>200</v>
      </c>
      <c r="J32" s="1004" t="s">
        <v>201</v>
      </c>
      <c r="K32" s="1004" t="s">
        <v>202</v>
      </c>
      <c r="L32" s="1005" t="s">
        <v>203</v>
      </c>
      <c r="N32" s="998" t="str">
        <f>+B31</f>
        <v>Unity</v>
      </c>
      <c r="O32" s="998">
        <f>+C32</f>
        <v>2008</v>
      </c>
      <c r="P32" s="998">
        <f>+D32</f>
        <v>2009</v>
      </c>
      <c r="Q32" s="998">
        <f t="shared" ref="Q32:X32" si="1">+E32</f>
        <v>2010</v>
      </c>
      <c r="R32" s="998">
        <f t="shared" si="1"/>
        <v>2011</v>
      </c>
      <c r="S32" s="998">
        <f t="shared" si="1"/>
        <v>2012</v>
      </c>
      <c r="T32" s="998">
        <f t="shared" si="1"/>
        <v>2013</v>
      </c>
      <c r="U32" s="998" t="str">
        <f t="shared" si="1"/>
        <v>2014E</v>
      </c>
      <c r="V32" s="998" t="str">
        <f t="shared" si="1"/>
        <v>2015E</v>
      </c>
      <c r="W32" s="998" t="str">
        <f t="shared" si="1"/>
        <v>2016E</v>
      </c>
      <c r="X32" s="998" t="str">
        <f t="shared" si="1"/>
        <v>2017E</v>
      </c>
      <c r="AA32" s="998">
        <f t="shared" ref="AA32:AI32" si="2">+P32</f>
        <v>2009</v>
      </c>
      <c r="AB32" s="998">
        <f t="shared" si="2"/>
        <v>2010</v>
      </c>
      <c r="AC32" s="998">
        <f t="shared" si="2"/>
        <v>2011</v>
      </c>
      <c r="AD32" s="998">
        <f t="shared" si="2"/>
        <v>2012</v>
      </c>
      <c r="AE32" s="998">
        <f t="shared" si="2"/>
        <v>2013</v>
      </c>
      <c r="AF32" s="998" t="str">
        <f t="shared" si="2"/>
        <v>2014E</v>
      </c>
      <c r="AG32" s="998" t="str">
        <f t="shared" si="2"/>
        <v>2015E</v>
      </c>
      <c r="AH32" s="998" t="str">
        <f t="shared" si="2"/>
        <v>2016E</v>
      </c>
      <c r="AI32" s="998" t="str">
        <f t="shared" si="2"/>
        <v>2017E</v>
      </c>
    </row>
    <row r="33" spans="2:60">
      <c r="B33" s="1006" t="s">
        <v>568</v>
      </c>
      <c r="C33" s="1007">
        <v>12357</v>
      </c>
      <c r="D33" s="1007">
        <v>12478</v>
      </c>
      <c r="E33" s="1007">
        <v>12455.4</v>
      </c>
      <c r="F33" s="1007">
        <v>12445.300000000001</v>
      </c>
      <c r="G33" s="1007">
        <v>12567.9</v>
      </c>
      <c r="H33" s="1007">
        <v>12634.3</v>
      </c>
      <c r="I33" s="1007">
        <v>12713.3</v>
      </c>
      <c r="J33" s="1007">
        <v>12733.3</v>
      </c>
      <c r="K33" s="1007">
        <v>12753.3</v>
      </c>
      <c r="L33" s="1007">
        <v>12773.3</v>
      </c>
      <c r="N33" s="998" t="s">
        <v>589</v>
      </c>
      <c r="P33" s="1001">
        <f>+D33/C33-1</f>
        <v>9.7920207170025808E-3</v>
      </c>
      <c r="Q33" s="1001">
        <f t="shared" ref="Q33:X33" si="3">+E33/D33-1</f>
        <v>-1.8111876903350588E-3</v>
      </c>
      <c r="R33" s="1001">
        <f t="shared" si="3"/>
        <v>-8.10893267177204E-4</v>
      </c>
      <c r="S33" s="1001">
        <f t="shared" si="3"/>
        <v>9.851108450579682E-3</v>
      </c>
      <c r="T33" s="1001">
        <f t="shared" si="3"/>
        <v>5.283301108379268E-3</v>
      </c>
      <c r="U33" s="1001">
        <f t="shared" si="3"/>
        <v>6.2528197050886192E-3</v>
      </c>
      <c r="V33" s="1001">
        <f t="shared" si="3"/>
        <v>1.5731556716194195E-3</v>
      </c>
      <c r="W33" s="1001">
        <f t="shared" si="3"/>
        <v>1.5706847400123181E-3</v>
      </c>
      <c r="X33" s="1001">
        <f t="shared" si="3"/>
        <v>1.568221558341687E-3</v>
      </c>
      <c r="Z33" s="998" t="str">
        <f>+N33</f>
        <v>HP change</v>
      </c>
    </row>
    <row r="34" spans="2:60">
      <c r="B34" s="1006" t="s">
        <v>572</v>
      </c>
      <c r="C34" s="1007">
        <v>10698</v>
      </c>
      <c r="D34" s="1007">
        <v>11604</v>
      </c>
      <c r="E34" s="1007">
        <v>11879</v>
      </c>
      <c r="F34" s="1007">
        <v>12034.5</v>
      </c>
      <c r="G34" s="1007">
        <v>12162.4</v>
      </c>
      <c r="H34" s="1007">
        <v>12295.2</v>
      </c>
      <c r="I34" s="1007">
        <v>12401.9</v>
      </c>
      <c r="J34" s="1007">
        <v>12446.876719323858</v>
      </c>
      <c r="K34" s="1007">
        <v>12491.933438647715</v>
      </c>
      <c r="L34" s="1007">
        <v>12537.070157971573</v>
      </c>
      <c r="N34" s="998" t="s">
        <v>591</v>
      </c>
      <c r="O34" s="1008">
        <f>+C34/C33</f>
        <v>0.8657441126487011</v>
      </c>
      <c r="P34" s="1008">
        <f>+D34/D33</f>
        <v>0.92995672383394778</v>
      </c>
      <c r="Q34" s="1008">
        <f t="shared" ref="Q34:X34" si="4">+E34/E33</f>
        <v>0.95372288324742682</v>
      </c>
      <c r="R34" s="1008">
        <f t="shared" si="4"/>
        <v>0.96699155504487633</v>
      </c>
      <c r="S34" s="1008">
        <f t="shared" si="4"/>
        <v>0.96773526205650906</v>
      </c>
      <c r="T34" s="1008">
        <f t="shared" si="4"/>
        <v>0.97316036503803149</v>
      </c>
      <c r="U34" s="1008">
        <f t="shared" si="4"/>
        <v>0.97550596619288465</v>
      </c>
      <c r="V34" s="1008">
        <f t="shared" si="4"/>
        <v>0.97750596619288477</v>
      </c>
      <c r="W34" s="1008">
        <f t="shared" si="4"/>
        <v>0.97950596619288466</v>
      </c>
      <c r="X34" s="1008">
        <f t="shared" si="4"/>
        <v>0.98150596619288466</v>
      </c>
      <c r="Z34" s="998" t="str">
        <f>+N$32</f>
        <v>Unity</v>
      </c>
      <c r="AA34" s="1002">
        <f t="shared" ref="AA34:AI34" si="5">+P33</f>
        <v>9.7920207170025808E-3</v>
      </c>
      <c r="AB34" s="1002">
        <f t="shared" si="5"/>
        <v>-1.8111876903350588E-3</v>
      </c>
      <c r="AC34" s="1002">
        <f t="shared" si="5"/>
        <v>-8.10893267177204E-4</v>
      </c>
      <c r="AD34" s="1002">
        <f t="shared" si="5"/>
        <v>9.851108450579682E-3</v>
      </c>
      <c r="AE34" s="1002">
        <f t="shared" si="5"/>
        <v>5.283301108379268E-3</v>
      </c>
      <c r="AF34" s="1002">
        <f t="shared" si="5"/>
        <v>6.2528197050886192E-3</v>
      </c>
      <c r="AG34" s="1002">
        <f t="shared" si="5"/>
        <v>1.5731556716194195E-3</v>
      </c>
      <c r="AH34" s="1002">
        <f t="shared" si="5"/>
        <v>1.5706847400123181E-3</v>
      </c>
      <c r="AI34" s="1002">
        <f t="shared" si="5"/>
        <v>1.568221558341687E-3</v>
      </c>
      <c r="AJ34" s="1002"/>
    </row>
    <row r="35" spans="2:60">
      <c r="B35" s="1006" t="s">
        <v>570</v>
      </c>
      <c r="C35" s="1007">
        <v>6916</v>
      </c>
      <c r="D35" s="1007">
        <v>6839</v>
      </c>
      <c r="E35" s="1007">
        <v>6907.8</v>
      </c>
      <c r="F35" s="1007">
        <v>6932.2999999999993</v>
      </c>
      <c r="G35" s="1007">
        <v>7049.1</v>
      </c>
      <c r="H35" s="1007">
        <v>7069.8</v>
      </c>
      <c r="I35" s="1007">
        <v>7126.8</v>
      </c>
      <c r="J35" s="1007">
        <v>7148.1803999999993</v>
      </c>
      <c r="K35" s="1007">
        <v>7169.6249411999988</v>
      </c>
      <c r="L35" s="1007">
        <v>7191.1338160235982</v>
      </c>
      <c r="N35" s="998" t="s">
        <v>590</v>
      </c>
      <c r="P35" s="1001">
        <f>+D35/C35-1</f>
        <v>-1.1133603238866363E-2</v>
      </c>
      <c r="Q35" s="1001">
        <f t="shared" ref="Q35:X36" si="6">+E35/D35-1</f>
        <v>1.0059950285129515E-2</v>
      </c>
      <c r="R35" s="1001">
        <f t="shared" si="6"/>
        <v>3.5467153073336366E-3</v>
      </c>
      <c r="S35" s="1001">
        <f t="shared" si="6"/>
        <v>1.6848664945256386E-2</v>
      </c>
      <c r="T35" s="1001">
        <f t="shared" si="6"/>
        <v>2.9365450908627189E-3</v>
      </c>
      <c r="U35" s="1001">
        <f t="shared" si="6"/>
        <v>8.0624628702368195E-3</v>
      </c>
      <c r="V35" s="1001">
        <f t="shared" si="6"/>
        <v>2.9999999999998916E-3</v>
      </c>
      <c r="W35" s="1001">
        <f t="shared" si="6"/>
        <v>2.9999999999998916E-3</v>
      </c>
      <c r="X35" s="1001">
        <f t="shared" si="6"/>
        <v>2.9999999999998916E-3</v>
      </c>
      <c r="Z35" s="998" t="str">
        <f>+N$57</f>
        <v>KDG</v>
      </c>
      <c r="AA35" s="1002">
        <f t="shared" ref="AA35:AI35" si="7">+P58</f>
        <v>0</v>
      </c>
      <c r="AB35" s="1002">
        <f t="shared" si="7"/>
        <v>-6.5388966266066717E-6</v>
      </c>
      <c r="AC35" s="1002">
        <f t="shared" si="7"/>
        <v>6.5389393839598853E-6</v>
      </c>
      <c r="AD35" s="1002">
        <f t="shared" si="7"/>
        <v>0</v>
      </c>
      <c r="AE35" s="1002">
        <f t="shared" si="7"/>
        <v>-3.9298768725765099E-3</v>
      </c>
      <c r="AF35" s="1002">
        <f t="shared" si="7"/>
        <v>0</v>
      </c>
      <c r="AG35" s="1002">
        <f t="shared" si="7"/>
        <v>0</v>
      </c>
      <c r="AH35" s="1002">
        <f t="shared" si="7"/>
        <v>0</v>
      </c>
      <c r="AI35" s="1002">
        <f t="shared" si="7"/>
        <v>0</v>
      </c>
      <c r="AJ35" s="1002"/>
    </row>
    <row r="36" spans="2:60">
      <c r="B36" s="1006" t="s">
        <v>573</v>
      </c>
      <c r="C36" s="1007">
        <v>6909</v>
      </c>
      <c r="D36" s="1007">
        <v>6827</v>
      </c>
      <c r="E36" s="1007">
        <v>6804</v>
      </c>
      <c r="F36" s="1007">
        <v>6752.4000000000005</v>
      </c>
      <c r="G36" s="1007">
        <v>6689.5</v>
      </c>
      <c r="H36" s="1007">
        <v>6601.4</v>
      </c>
      <c r="I36" s="1007">
        <v>6557.9000000000005</v>
      </c>
      <c r="J36" s="1007">
        <v>6492.3210000000008</v>
      </c>
      <c r="K36" s="1007">
        <v>6427.3977900000009</v>
      </c>
      <c r="L36" s="1007">
        <v>6363.1238121000006</v>
      </c>
      <c r="N36" s="998" t="s">
        <v>592</v>
      </c>
      <c r="P36" s="1001">
        <f>+D36/C36-1</f>
        <v>-1.186857721812129E-2</v>
      </c>
      <c r="Q36" s="1001">
        <f t="shared" si="6"/>
        <v>-3.3689761242127192E-3</v>
      </c>
      <c r="R36" s="1001">
        <f t="shared" si="6"/>
        <v>-7.5837742504408778E-3</v>
      </c>
      <c r="S36" s="1001">
        <f t="shared" si="6"/>
        <v>-9.3152064451158534E-3</v>
      </c>
      <c r="T36" s="1001">
        <f t="shared" si="6"/>
        <v>-1.3169893116077525E-2</v>
      </c>
      <c r="U36" s="1001">
        <f t="shared" si="6"/>
        <v>-6.5895113157813379E-3</v>
      </c>
      <c r="V36" s="1001">
        <f t="shared" si="6"/>
        <v>-1.0000000000000009E-2</v>
      </c>
      <c r="W36" s="1001">
        <f t="shared" si="6"/>
        <v>-1.0000000000000009E-2</v>
      </c>
      <c r="X36" s="1001">
        <f t="shared" si="6"/>
        <v>-1.0000000000000009E-2</v>
      </c>
      <c r="Z36" s="998" t="str">
        <f>+N$81</f>
        <v>TCOL</v>
      </c>
      <c r="AA36" s="1002"/>
      <c r="AB36" s="1002"/>
      <c r="AC36" s="1002"/>
      <c r="AD36" s="1002" t="e">
        <f t="shared" ref="AD36:AI36" si="8">+S82</f>
        <v>#REF!</v>
      </c>
      <c r="AE36" s="1002" t="e">
        <f t="shared" si="8"/>
        <v>#REF!</v>
      </c>
      <c r="AF36" s="1002" t="e">
        <f t="shared" si="8"/>
        <v>#REF!</v>
      </c>
      <c r="AG36" s="1002" t="e">
        <f t="shared" si="8"/>
        <v>#REF!</v>
      </c>
      <c r="AH36" s="1002" t="e">
        <f t="shared" si="8"/>
        <v>#REF!</v>
      </c>
      <c r="AI36" s="1002" t="e">
        <f t="shared" si="8"/>
        <v>#REF!</v>
      </c>
    </row>
    <row r="37" spans="2:60">
      <c r="B37" s="1006" t="s">
        <v>574</v>
      </c>
      <c r="C37" s="1007">
        <v>5693</v>
      </c>
      <c r="D37" s="1007">
        <v>5306.0246113989633</v>
      </c>
      <c r="E37" s="1007">
        <v>5055</v>
      </c>
      <c r="F37" s="1007">
        <v>4768.6000000000004</v>
      </c>
      <c r="G37" s="1007">
        <v>4503.6000000000004</v>
      </c>
      <c r="H37" s="1007">
        <v>4366.5</v>
      </c>
      <c r="I37" s="1007">
        <v>4280.1000000000004</v>
      </c>
      <c r="J37" s="1007">
        <v>4042.5293700000007</v>
      </c>
      <c r="K37" s="1007">
        <v>3809.2821426000005</v>
      </c>
      <c r="L37" s="1007">
        <v>3580.2956068110002</v>
      </c>
      <c r="N37" s="998" t="s">
        <v>649</v>
      </c>
      <c r="P37" s="1009">
        <f>+D36-C36</f>
        <v>-82</v>
      </c>
      <c r="Q37" s="1009">
        <f t="shared" ref="Q37:X37" si="9">+E36-D36</f>
        <v>-23</v>
      </c>
      <c r="R37" s="1009">
        <f t="shared" si="9"/>
        <v>-51.599999999999454</v>
      </c>
      <c r="S37" s="1009">
        <f t="shared" si="9"/>
        <v>-62.900000000000546</v>
      </c>
      <c r="T37" s="1009">
        <f t="shared" si="9"/>
        <v>-88.100000000000364</v>
      </c>
      <c r="U37" s="1009">
        <f t="shared" si="9"/>
        <v>-43.499999999999091</v>
      </c>
      <c r="V37" s="1009">
        <f t="shared" si="9"/>
        <v>-65.578999999999724</v>
      </c>
      <c r="W37" s="1009">
        <f t="shared" si="9"/>
        <v>-64.923209999999926</v>
      </c>
      <c r="X37" s="1009">
        <f t="shared" si="9"/>
        <v>-64.273977900000318</v>
      </c>
    </row>
    <row r="38" spans="2:60">
      <c r="B38" s="1006" t="s">
        <v>575</v>
      </c>
      <c r="C38" s="1007">
        <v>1216</v>
      </c>
      <c r="D38" s="1007">
        <v>1520.9753886010362</v>
      </c>
      <c r="E38" s="1007">
        <v>1748.6</v>
      </c>
      <c r="F38" s="1007">
        <v>1983.8</v>
      </c>
      <c r="G38" s="1007">
        <v>2185.9</v>
      </c>
      <c r="H38" s="1007">
        <v>2234.9</v>
      </c>
      <c r="I38" s="1007">
        <v>2277.8000000000002</v>
      </c>
      <c r="J38" s="1007">
        <v>2449.7916300000002</v>
      </c>
      <c r="K38" s="1007">
        <v>2618.1156474000004</v>
      </c>
      <c r="L38" s="1007">
        <v>2782.8282052890004</v>
      </c>
      <c r="Z38" s="998" t="str">
        <f>+N34</f>
        <v>HU % HC</v>
      </c>
    </row>
    <row r="39" spans="2:60">
      <c r="B39" s="1006" t="s">
        <v>576</v>
      </c>
      <c r="C39" s="1007">
        <v>736</v>
      </c>
      <c r="D39" s="1007">
        <v>1103</v>
      </c>
      <c r="E39" s="1007">
        <v>1435.3</v>
      </c>
      <c r="F39" s="1007">
        <v>1831.7</v>
      </c>
      <c r="G39" s="1007">
        <v>2232</v>
      </c>
      <c r="H39" s="1007">
        <v>2517.5</v>
      </c>
      <c r="I39" s="1007">
        <v>2748</v>
      </c>
      <c r="J39" s="1007">
        <v>2978</v>
      </c>
      <c r="K39" s="1007">
        <v>3208</v>
      </c>
      <c r="L39" s="1007">
        <v>3438</v>
      </c>
      <c r="N39" s="998" t="s">
        <v>593</v>
      </c>
      <c r="O39" s="1008">
        <f>+C39/C35</f>
        <v>0.1064198958935801</v>
      </c>
      <c r="P39" s="1008">
        <f>+D39/D35</f>
        <v>0.16128088901886239</v>
      </c>
      <c r="Q39" s="1008">
        <f t="shared" ref="Q39:X39" si="10">+E39/E35</f>
        <v>0.20777961145371898</v>
      </c>
      <c r="R39" s="1008">
        <f t="shared" si="10"/>
        <v>0.26422687996768751</v>
      </c>
      <c r="S39" s="1008">
        <f t="shared" si="10"/>
        <v>0.31663616631910457</v>
      </c>
      <c r="T39" s="1008">
        <f t="shared" si="10"/>
        <v>0.35609211010212449</v>
      </c>
      <c r="U39" s="1008">
        <f t="shared" si="10"/>
        <v>0.38558679912443172</v>
      </c>
      <c r="V39" s="1008">
        <f t="shared" si="10"/>
        <v>0.41660951925611728</v>
      </c>
      <c r="W39" s="1008">
        <f t="shared" si="10"/>
        <v>0.44744321025292971</v>
      </c>
      <c r="X39" s="1008">
        <f t="shared" si="10"/>
        <v>0.47808872536056807</v>
      </c>
      <c r="Z39" s="998" t="str">
        <f>+N$32</f>
        <v>Unity</v>
      </c>
      <c r="AA39" s="1002">
        <f t="shared" ref="AA39:AI39" si="11">+P34</f>
        <v>0.92995672383394778</v>
      </c>
      <c r="AB39" s="1002">
        <f t="shared" si="11"/>
        <v>0.95372288324742682</v>
      </c>
      <c r="AC39" s="1002">
        <f t="shared" si="11"/>
        <v>0.96699155504487633</v>
      </c>
      <c r="AD39" s="1002">
        <f t="shared" si="11"/>
        <v>0.96773526205650906</v>
      </c>
      <c r="AE39" s="1002">
        <f t="shared" si="11"/>
        <v>0.97316036503803149</v>
      </c>
      <c r="AF39" s="1002">
        <f t="shared" si="11"/>
        <v>0.97550596619288465</v>
      </c>
      <c r="AG39" s="1002">
        <f t="shared" si="11"/>
        <v>0.97750596619288477</v>
      </c>
      <c r="AH39" s="1002">
        <f t="shared" si="11"/>
        <v>0.97950596619288466</v>
      </c>
      <c r="AI39" s="1002">
        <f t="shared" si="11"/>
        <v>0.98150596619288466</v>
      </c>
    </row>
    <row r="40" spans="2:60">
      <c r="B40" s="1006" t="s">
        <v>577</v>
      </c>
      <c r="C40" s="1007">
        <v>750</v>
      </c>
      <c r="D40" s="1007">
        <v>1086</v>
      </c>
      <c r="E40" s="1007">
        <v>1407.3</v>
      </c>
      <c r="F40" s="1007">
        <v>1799.5</v>
      </c>
      <c r="G40" s="1007">
        <v>2219.1999999999998</v>
      </c>
      <c r="H40" s="1007">
        <v>2579.6</v>
      </c>
      <c r="I40" s="1007">
        <v>2896.4</v>
      </c>
      <c r="J40" s="1007">
        <v>3196.4</v>
      </c>
      <c r="K40" s="1007">
        <v>3496.4</v>
      </c>
      <c r="L40" s="1007">
        <v>3796.4</v>
      </c>
      <c r="N40" s="998" t="s">
        <v>594</v>
      </c>
      <c r="O40" s="1008">
        <f>+C40/C35</f>
        <v>0.10844418739155581</v>
      </c>
      <c r="P40" s="1008">
        <f>+D40/D35</f>
        <v>0.15879514548910659</v>
      </c>
      <c r="Q40" s="1008">
        <f t="shared" ref="Q40:X40" si="12">+E40/E35</f>
        <v>0.20372622253105185</v>
      </c>
      <c r="R40" s="1008">
        <f t="shared" si="12"/>
        <v>0.25958195692627267</v>
      </c>
      <c r="S40" s="1008">
        <f t="shared" si="12"/>
        <v>0.31482033167354695</v>
      </c>
      <c r="T40" s="1008">
        <f t="shared" si="12"/>
        <v>0.36487595122917194</v>
      </c>
      <c r="U40" s="1008">
        <f t="shared" si="12"/>
        <v>0.40640960880058369</v>
      </c>
      <c r="V40" s="1008">
        <f t="shared" si="12"/>
        <v>0.44716274927812405</v>
      </c>
      <c r="W40" s="1008">
        <f t="shared" si="12"/>
        <v>0.48766846643651607</v>
      </c>
      <c r="X40" s="1008">
        <f t="shared" si="12"/>
        <v>0.52792787578791756</v>
      </c>
      <c r="Z40" s="998" t="str">
        <f>+N$57</f>
        <v>KDG</v>
      </c>
      <c r="AA40" s="1002">
        <f t="shared" ref="AA40:AI40" si="13">+P59</f>
        <v>0.79227233196670388</v>
      </c>
      <c r="AB40" s="1002">
        <f t="shared" si="13"/>
        <v>0.82442947753874318</v>
      </c>
      <c r="AC40" s="1002">
        <f t="shared" si="13"/>
        <v>0.82926287018328526</v>
      </c>
      <c r="AD40" s="1002">
        <f t="shared" si="13"/>
        <v>0.87189647618860788</v>
      </c>
      <c r="AE40" s="1002">
        <f t="shared" si="13"/>
        <v>0.93205540602639003</v>
      </c>
      <c r="AF40" s="1002">
        <f t="shared" si="13"/>
        <v>0.95</v>
      </c>
      <c r="AG40" s="1002">
        <f t="shared" si="13"/>
        <v>0.98</v>
      </c>
      <c r="AH40" s="1002">
        <f t="shared" si="13"/>
        <v>0.98</v>
      </c>
      <c r="AI40" s="1002">
        <f t="shared" si="13"/>
        <v>0.98</v>
      </c>
    </row>
    <row r="41" spans="2:60">
      <c r="B41" s="1006" t="s">
        <v>578</v>
      </c>
      <c r="C41" s="1007">
        <v>8395</v>
      </c>
      <c r="D41" s="1007">
        <v>9016</v>
      </c>
      <c r="E41" s="1007">
        <v>9646.6</v>
      </c>
      <c r="F41" s="1007">
        <v>10383.6</v>
      </c>
      <c r="G41" s="1007">
        <v>11140.7</v>
      </c>
      <c r="H41" s="1007">
        <v>11698.5</v>
      </c>
      <c r="I41" s="1007">
        <v>12202.3</v>
      </c>
      <c r="J41" s="1007">
        <v>12666.721000000001</v>
      </c>
      <c r="K41" s="1007">
        <v>13131.797790000001</v>
      </c>
      <c r="L41" s="1007">
        <v>13597.5238121</v>
      </c>
      <c r="N41" s="998" t="s">
        <v>600</v>
      </c>
      <c r="O41" s="1010">
        <f>+C41/C35</f>
        <v>1.2138519375361481</v>
      </c>
      <c r="P41" s="1010">
        <f>+D41/D35</f>
        <v>1.3183213920163768</v>
      </c>
      <c r="Q41" s="1010">
        <f t="shared" ref="Q41:X41" si="14">+E41/E35</f>
        <v>1.3964793421928834</v>
      </c>
      <c r="R41" s="1010">
        <f t="shared" si="14"/>
        <v>1.4978578538147513</v>
      </c>
      <c r="S41" s="1010">
        <f t="shared" si="14"/>
        <v>1.580442893419018</v>
      </c>
      <c r="T41" s="1010">
        <f t="shared" si="14"/>
        <v>1.6547144190783332</v>
      </c>
      <c r="U41" s="1010">
        <f t="shared" si="14"/>
        <v>1.7121709603187965</v>
      </c>
      <c r="V41" s="1010">
        <f t="shared" si="14"/>
        <v>1.7720203312160396</v>
      </c>
      <c r="W41" s="1010">
        <f t="shared" si="14"/>
        <v>1.8315878302836435</v>
      </c>
      <c r="X41" s="1010">
        <f t="shared" si="14"/>
        <v>1.890873422741961</v>
      </c>
      <c r="Z41" s="998" t="str">
        <f>+N$81</f>
        <v>TCOL</v>
      </c>
      <c r="AA41" s="1002"/>
      <c r="AB41" s="1002"/>
      <c r="AC41" s="1002" t="e">
        <f t="shared" ref="AC41:AI41" si="15">+R83</f>
        <v>#REF!</v>
      </c>
      <c r="AD41" s="1002" t="e">
        <f t="shared" si="15"/>
        <v>#REF!</v>
      </c>
      <c r="AE41" s="1002" t="e">
        <f t="shared" si="15"/>
        <v>#REF!</v>
      </c>
      <c r="AF41" s="1002" t="e">
        <f t="shared" si="15"/>
        <v>#REF!</v>
      </c>
      <c r="AG41" s="1002" t="e">
        <f t="shared" si="15"/>
        <v>#REF!</v>
      </c>
      <c r="AH41" s="1002" t="e">
        <f t="shared" si="15"/>
        <v>#REF!</v>
      </c>
      <c r="AI41" s="1002" t="e">
        <f t="shared" si="15"/>
        <v>#REF!</v>
      </c>
    </row>
    <row r="42" spans="2:60">
      <c r="B42" s="1006" t="s">
        <v>143</v>
      </c>
      <c r="C42" s="1007">
        <v>1246.4000000000001</v>
      </c>
      <c r="D42" s="1007">
        <v>1365.0000000000002</v>
      </c>
      <c r="E42" s="1007">
        <v>1486.7</v>
      </c>
      <c r="F42" s="1007">
        <v>1634.6</v>
      </c>
      <c r="G42" s="1007">
        <v>1801.6000000000001</v>
      </c>
      <c r="H42" s="1007">
        <v>1927.4</v>
      </c>
      <c r="I42" s="1007">
        <v>2052.6</v>
      </c>
      <c r="J42" s="1007">
        <v>2181.3998011746385</v>
      </c>
      <c r="K42" s="1007">
        <v>2325.1520182190102</v>
      </c>
      <c r="L42" s="1007">
        <v>2469.5750322337494</v>
      </c>
      <c r="N42" s="998" t="s">
        <v>595</v>
      </c>
      <c r="P42" s="1001">
        <f>+D42/C42-1</f>
        <v>9.5154043645699682E-2</v>
      </c>
      <c r="Q42" s="1001">
        <f t="shared" ref="Q42:X42" si="16">+E42/D42-1</f>
        <v>8.9157509157508974E-2</v>
      </c>
      <c r="R42" s="1001">
        <f t="shared" si="16"/>
        <v>9.9482074392950759E-2</v>
      </c>
      <c r="S42" s="1001">
        <f t="shared" si="16"/>
        <v>0.10216566744157607</v>
      </c>
      <c r="T42" s="1001">
        <f t="shared" si="16"/>
        <v>6.9826820603907658E-2</v>
      </c>
      <c r="U42" s="1001">
        <f t="shared" si="16"/>
        <v>6.4957974473383695E-2</v>
      </c>
      <c r="V42" s="1001">
        <f t="shared" si="16"/>
        <v>6.2749586463333618E-2</v>
      </c>
      <c r="W42" s="1001">
        <f t="shared" si="16"/>
        <v>6.5899069472255434E-2</v>
      </c>
      <c r="X42" s="1001">
        <f t="shared" si="16"/>
        <v>6.2113364151287875E-2</v>
      </c>
    </row>
    <row r="43" spans="2:60">
      <c r="B43" s="1006" t="s">
        <v>579</v>
      </c>
      <c r="C43" s="1007"/>
      <c r="D43" s="1007">
        <v>1198.1000000000001</v>
      </c>
      <c r="E43" s="1007">
        <v>1311.8</v>
      </c>
      <c r="F43" s="1007">
        <v>1437</v>
      </c>
      <c r="G43" s="1007">
        <v>1578.8000000000002</v>
      </c>
      <c r="H43" s="1007">
        <v>1724.2</v>
      </c>
      <c r="I43" s="1007">
        <v>1840.8</v>
      </c>
      <c r="J43" s="1007">
        <v>1950.5879679947768</v>
      </c>
      <c r="K43" s="1007">
        <v>2057.6007876246567</v>
      </c>
      <c r="L43" s="1007">
        <v>2163.1048295987121</v>
      </c>
      <c r="Z43" s="998" t="str">
        <f>+N35</f>
        <v>Customer change</v>
      </c>
    </row>
    <row r="44" spans="2:60">
      <c r="B44" s="1006" t="s">
        <v>580</v>
      </c>
      <c r="C44" s="1007"/>
      <c r="D44" s="1007">
        <v>0</v>
      </c>
      <c r="E44" s="1007">
        <v>0</v>
      </c>
      <c r="F44" s="1007">
        <v>0</v>
      </c>
      <c r="G44" s="1007">
        <v>0</v>
      </c>
      <c r="H44" s="1007">
        <v>2.2000000000000002</v>
      </c>
      <c r="I44" s="1007">
        <v>2.64</v>
      </c>
      <c r="J44" s="1007">
        <v>10</v>
      </c>
      <c r="K44" s="1007">
        <v>30</v>
      </c>
      <c r="L44" s="1007">
        <v>50</v>
      </c>
      <c r="Z44" s="998" t="str">
        <f>+N$32</f>
        <v>Unity</v>
      </c>
      <c r="AA44" s="1002">
        <f t="shared" ref="AA44:AI44" si="17">+P35</f>
        <v>-1.1133603238866363E-2</v>
      </c>
      <c r="AB44" s="1002">
        <f t="shared" si="17"/>
        <v>1.0059950285129515E-2</v>
      </c>
      <c r="AC44" s="1002">
        <f t="shared" si="17"/>
        <v>3.5467153073336366E-3</v>
      </c>
      <c r="AD44" s="1002">
        <f t="shared" si="17"/>
        <v>1.6848664945256386E-2</v>
      </c>
      <c r="AE44" s="1002">
        <f t="shared" si="17"/>
        <v>2.9365450908627189E-3</v>
      </c>
      <c r="AF44" s="1002">
        <f t="shared" si="17"/>
        <v>8.0624628702368195E-3</v>
      </c>
      <c r="AG44" s="1002">
        <f t="shared" si="17"/>
        <v>2.9999999999998916E-3</v>
      </c>
      <c r="AH44" s="1002">
        <f t="shared" si="17"/>
        <v>2.9999999999998916E-3</v>
      </c>
      <c r="AI44" s="1002">
        <f t="shared" si="17"/>
        <v>2.9999999999998916E-3</v>
      </c>
    </row>
    <row r="45" spans="2:60">
      <c r="B45" s="1006" t="s">
        <v>581</v>
      </c>
      <c r="C45" s="1007"/>
      <c r="D45" s="1007">
        <v>166.90000000000009</v>
      </c>
      <c r="E45" s="1007">
        <v>174.90000000000009</v>
      </c>
      <c r="F45" s="1007">
        <v>197.59999999999991</v>
      </c>
      <c r="G45" s="1007">
        <v>222.79999999999995</v>
      </c>
      <c r="H45" s="1007">
        <v>201.00000000000006</v>
      </c>
      <c r="I45" s="1007">
        <v>209.15999999999997</v>
      </c>
      <c r="J45" s="1007">
        <v>220.81183317986165</v>
      </c>
      <c r="K45" s="1007">
        <v>237.55123059435346</v>
      </c>
      <c r="L45" s="1007">
        <v>256.47020263503737</v>
      </c>
      <c r="Z45" s="998" t="str">
        <f>+N$57</f>
        <v>KDG</v>
      </c>
      <c r="AA45" s="1002">
        <f t="shared" ref="AA45:AI45" si="18">+P60</f>
        <v>-2.2217837843762522E-2</v>
      </c>
      <c r="AB45" s="1002">
        <f t="shared" si="18"/>
        <v>-1.9684774566733232E-2</v>
      </c>
      <c r="AC45" s="1002">
        <f t="shared" si="18"/>
        <v>-2.2847341337907334E-2</v>
      </c>
      <c r="AD45" s="1002">
        <f t="shared" si="18"/>
        <v>-8.4491878481487426E-3</v>
      </c>
      <c r="AE45" s="1002">
        <f t="shared" si="18"/>
        <v>-1.5224831818718254E-2</v>
      </c>
      <c r="AF45" s="1002">
        <f t="shared" si="18"/>
        <v>1.4847920281875204E-3</v>
      </c>
      <c r="AG45" s="1002">
        <f t="shared" si="18"/>
        <v>2.2006041668032328E-3</v>
      </c>
      <c r="AH45" s="1002">
        <f t="shared" si="18"/>
        <v>2.9122090249409371E-3</v>
      </c>
      <c r="AI45" s="1002">
        <f t="shared" si="18"/>
        <v>3.6181092180844754E-3</v>
      </c>
      <c r="BD45" s="1011" t="s">
        <v>709</v>
      </c>
      <c r="BE45" s="1011"/>
      <c r="BF45" s="1012" t="s">
        <v>496</v>
      </c>
      <c r="BG45" s="1012" t="s">
        <v>569</v>
      </c>
      <c r="BH45" s="1012" t="s">
        <v>711</v>
      </c>
    </row>
    <row r="46" spans="2:60">
      <c r="B46" s="1006" t="s">
        <v>281</v>
      </c>
      <c r="C46" s="1007">
        <v>617.69999999999993</v>
      </c>
      <c r="D46" s="1007">
        <v>729.50000000000023</v>
      </c>
      <c r="E46" s="1007">
        <v>834.3</v>
      </c>
      <c r="F46" s="1007">
        <v>968.0999999999998</v>
      </c>
      <c r="G46" s="1007">
        <v>1036.0000000000002</v>
      </c>
      <c r="H46" s="1007">
        <v>1139.8999999999999</v>
      </c>
      <c r="I46" s="1007">
        <v>1272.0999999999997</v>
      </c>
      <c r="J46" s="1007">
        <v>1337.3752468387079</v>
      </c>
      <c r="K46" s="1007">
        <v>1418.7151790310641</v>
      </c>
      <c r="L46" s="1007">
        <v>1503.3846467084227</v>
      </c>
      <c r="N46" s="998" t="s">
        <v>596</v>
      </c>
      <c r="O46" s="1008">
        <f>+C46/C42</f>
        <v>0.49558729139922969</v>
      </c>
      <c r="P46" s="1008">
        <f>+D46/D42</f>
        <v>0.53443223443223453</v>
      </c>
      <c r="Q46" s="1008">
        <f t="shared" ref="Q46:X46" si="19">+E46/E42</f>
        <v>0.56117575839106737</v>
      </c>
      <c r="R46" s="1008">
        <f t="shared" si="19"/>
        <v>0.59225498592927928</v>
      </c>
      <c r="S46" s="1008">
        <f t="shared" si="19"/>
        <v>0.57504440497335707</v>
      </c>
      <c r="T46" s="1008">
        <f t="shared" si="19"/>
        <v>0.59141849123171097</v>
      </c>
      <c r="U46" s="1008">
        <f t="shared" si="19"/>
        <v>0.61975056026502962</v>
      </c>
      <c r="V46" s="1008">
        <f t="shared" si="19"/>
        <v>0.61308121790354941</v>
      </c>
      <c r="W46" s="1008">
        <f t="shared" si="19"/>
        <v>0.61016018217929391</v>
      </c>
      <c r="X46" s="1008">
        <f t="shared" si="19"/>
        <v>0.60876249034174912</v>
      </c>
      <c r="Z46" s="998" t="str">
        <f>+N$81</f>
        <v>TCOL</v>
      </c>
      <c r="AA46" s="1002"/>
      <c r="AB46" s="1002"/>
      <c r="AC46" s="1002"/>
      <c r="AD46" s="1002" t="e">
        <f t="shared" ref="AD46:AI46" si="20">+S84</f>
        <v>#REF!</v>
      </c>
      <c r="AE46" s="1002" t="e">
        <f t="shared" si="20"/>
        <v>#REF!</v>
      </c>
      <c r="AF46" s="1002" t="e">
        <f t="shared" si="20"/>
        <v>#REF!</v>
      </c>
      <c r="AG46" s="1002" t="e">
        <f t="shared" si="20"/>
        <v>#REF!</v>
      </c>
      <c r="AH46" s="1002" t="e">
        <f t="shared" si="20"/>
        <v>#REF!</v>
      </c>
      <c r="AI46" s="1002" t="e">
        <f t="shared" si="20"/>
        <v>#REF!</v>
      </c>
      <c r="BD46" s="1013" t="s">
        <v>568</v>
      </c>
      <c r="BE46" s="1013"/>
      <c r="BF46" s="1014">
        <f>+I58</f>
        <v>15233</v>
      </c>
      <c r="BG46" s="1014">
        <f>+I33</f>
        <v>12713.3</v>
      </c>
      <c r="BH46" s="1014" t="e">
        <f>+I82</f>
        <v>#REF!</v>
      </c>
    </row>
    <row r="47" spans="2:60">
      <c r="B47" s="1006" t="s">
        <v>582</v>
      </c>
      <c r="C47" s="1007">
        <v>617.69999999999993</v>
      </c>
      <c r="D47" s="1007">
        <v>687.7750000000002</v>
      </c>
      <c r="E47" s="1007">
        <v>790.57499999999993</v>
      </c>
      <c r="F47" s="1007">
        <v>918.69999999999982</v>
      </c>
      <c r="G47" s="1007">
        <v>980.30000000000018</v>
      </c>
      <c r="H47" s="1007">
        <v>1089.6499999999999</v>
      </c>
      <c r="I47" s="1007">
        <v>1219.8099999999997</v>
      </c>
      <c r="J47" s="1007">
        <v>1282.1722885437425</v>
      </c>
      <c r="K47" s="1007">
        <v>1359.3273713824756</v>
      </c>
      <c r="L47" s="1007">
        <v>1439.2670960496635</v>
      </c>
      <c r="N47" s="998" t="s">
        <v>670</v>
      </c>
      <c r="P47" s="1008">
        <f>+D47/C47-1</f>
        <v>0.11344503804435857</v>
      </c>
      <c r="Q47" s="1008">
        <f t="shared" ref="Q47:X47" si="21">+E47/D47-1</f>
        <v>0.14946748573297919</v>
      </c>
      <c r="R47" s="1008">
        <f t="shared" si="21"/>
        <v>0.16206558517534697</v>
      </c>
      <c r="S47" s="1008">
        <f t="shared" si="21"/>
        <v>6.7051268096223415E-2</v>
      </c>
      <c r="T47" s="1008">
        <f t="shared" si="21"/>
        <v>0.11154748546363313</v>
      </c>
      <c r="U47" s="1008">
        <f t="shared" si="21"/>
        <v>0.11945119992658171</v>
      </c>
      <c r="V47" s="1008">
        <f t="shared" si="21"/>
        <v>5.112459198050745E-2</v>
      </c>
      <c r="W47" s="1008">
        <f t="shared" si="21"/>
        <v>6.0175284966081932E-2</v>
      </c>
      <c r="X47" s="1008">
        <f t="shared" si="21"/>
        <v>5.8808294712617171E-2</v>
      </c>
      <c r="BD47" s="998" t="s">
        <v>710</v>
      </c>
      <c r="BF47" s="1008">
        <f>+I59/I58</f>
        <v>0.95</v>
      </c>
      <c r="BG47" s="1008">
        <f>+I34/I33</f>
        <v>0.97550596619288465</v>
      </c>
      <c r="BH47" s="1008" t="e">
        <f>+I83/I82</f>
        <v>#REF!</v>
      </c>
    </row>
    <row r="48" spans="2:60">
      <c r="B48" s="1006" t="s">
        <v>583</v>
      </c>
      <c r="C48" s="1007"/>
      <c r="D48" s="1007">
        <v>41.725000000000023</v>
      </c>
      <c r="E48" s="1007">
        <v>43.725000000000023</v>
      </c>
      <c r="F48" s="1007">
        <v>49.399999999999977</v>
      </c>
      <c r="G48" s="1007">
        <v>55.699999999999989</v>
      </c>
      <c r="H48" s="1007">
        <v>50.250000000000014</v>
      </c>
      <c r="I48" s="1007">
        <v>52.289999999999992</v>
      </c>
      <c r="J48" s="1007">
        <v>55.202958294965413</v>
      </c>
      <c r="K48" s="1007">
        <v>59.387807648588364</v>
      </c>
      <c r="L48" s="1007">
        <v>64.117550658759342</v>
      </c>
      <c r="Z48" s="998" t="str">
        <f>+N36</f>
        <v>Video RGU loss</v>
      </c>
      <c r="BD48" s="1013" t="s">
        <v>570</v>
      </c>
      <c r="BE48" s="1013"/>
      <c r="BF48" s="1014">
        <f>+H60</f>
        <v>8344</v>
      </c>
      <c r="BG48" s="1014">
        <f>+H35</f>
        <v>7069.8</v>
      </c>
      <c r="BH48" s="1014" t="e">
        <f>+H84</f>
        <v>#REF!</v>
      </c>
    </row>
    <row r="49" spans="2:60">
      <c r="B49" s="1006" t="s">
        <v>161</v>
      </c>
      <c r="C49" s="1007">
        <v>421.5</v>
      </c>
      <c r="D49" s="1007">
        <v>403.9</v>
      </c>
      <c r="E49" s="1007">
        <v>404.1</v>
      </c>
      <c r="F49" s="1007">
        <v>436.20000000000005</v>
      </c>
      <c r="G49" s="1007">
        <v>464.9</v>
      </c>
      <c r="H49" s="1007">
        <v>419.3</v>
      </c>
      <c r="I49" s="1007">
        <v>410.9</v>
      </c>
      <c r="J49" s="1007">
        <v>440.18453357971578</v>
      </c>
      <c r="K49" s="1007">
        <v>462.32360273971574</v>
      </c>
      <c r="L49" s="1007">
        <v>485.10442354831576</v>
      </c>
      <c r="N49" s="998" t="s">
        <v>597</v>
      </c>
      <c r="O49" s="1008">
        <f>+C49/C42</f>
        <v>0.3381739409499358</v>
      </c>
      <c r="P49" s="1008">
        <f>+D49/D42</f>
        <v>0.29589743589743583</v>
      </c>
      <c r="Q49" s="1008">
        <f t="shared" ref="Q49:X49" si="22">+E49/E42</f>
        <v>0.2718100491020381</v>
      </c>
      <c r="R49" s="1008">
        <f t="shared" si="22"/>
        <v>0.26685427627554148</v>
      </c>
      <c r="S49" s="1008">
        <f t="shared" si="22"/>
        <v>0.25804840142095914</v>
      </c>
      <c r="T49" s="1008">
        <f t="shared" si="22"/>
        <v>0.21754695444640448</v>
      </c>
      <c r="U49" s="1008">
        <f t="shared" si="22"/>
        <v>0.20018513105329824</v>
      </c>
      <c r="V49" s="1008">
        <f t="shared" si="22"/>
        <v>0.20178993935118431</v>
      </c>
      <c r="W49" s="1008">
        <f t="shared" si="22"/>
        <v>0.19883586067367776</v>
      </c>
      <c r="X49" s="1008">
        <f t="shared" si="22"/>
        <v>0.19643234856870703</v>
      </c>
      <c r="Z49" s="998" t="str">
        <f>+N$32</f>
        <v>Unity</v>
      </c>
      <c r="AA49" s="1002">
        <f t="shared" ref="AA49:AI49" si="23">+P36</f>
        <v>-1.186857721812129E-2</v>
      </c>
      <c r="AB49" s="1002">
        <f t="shared" si="23"/>
        <v>-3.3689761242127192E-3</v>
      </c>
      <c r="AC49" s="1002">
        <f t="shared" si="23"/>
        <v>-7.5837742504408778E-3</v>
      </c>
      <c r="AD49" s="1002">
        <f t="shared" si="23"/>
        <v>-9.3152064451158534E-3</v>
      </c>
      <c r="AE49" s="1002">
        <f t="shared" si="23"/>
        <v>-1.3169893116077525E-2</v>
      </c>
      <c r="AF49" s="1002">
        <f t="shared" si="23"/>
        <v>-6.5895113157813379E-3</v>
      </c>
      <c r="AG49" s="1002">
        <f t="shared" si="23"/>
        <v>-1.0000000000000009E-2</v>
      </c>
      <c r="AH49" s="1002">
        <f t="shared" si="23"/>
        <v>-1.0000000000000009E-2</v>
      </c>
      <c r="AI49" s="1002">
        <f t="shared" si="23"/>
        <v>-1.0000000000000009E-2</v>
      </c>
      <c r="AL49" s="1002"/>
      <c r="AM49" s="1002"/>
      <c r="AN49" s="1002"/>
      <c r="AO49" s="1002"/>
      <c r="AP49" s="1002"/>
      <c r="AQ49" s="1002"/>
      <c r="AR49" s="1002"/>
      <c r="AS49" s="1002"/>
      <c r="AT49" s="1002"/>
      <c r="AU49" s="1002"/>
      <c r="BD49" s="998" t="s">
        <v>143</v>
      </c>
      <c r="BF49" s="1009">
        <f>+I67</f>
        <v>2007.3595446735228</v>
      </c>
      <c r="BG49" s="1009">
        <f>+I42</f>
        <v>2052.6</v>
      </c>
      <c r="BH49" s="1009">
        <f>+I91</f>
        <v>213</v>
      </c>
    </row>
    <row r="50" spans="2:60">
      <c r="B50" s="1006" t="s">
        <v>584</v>
      </c>
      <c r="C50" s="1007">
        <v>421.5</v>
      </c>
      <c r="D50" s="1007">
        <v>403.9</v>
      </c>
      <c r="E50" s="1007">
        <v>404.1</v>
      </c>
      <c r="F50" s="1007">
        <v>436.20000000000005</v>
      </c>
      <c r="G50" s="1007">
        <v>464.9</v>
      </c>
      <c r="H50" s="1007">
        <v>419.3</v>
      </c>
      <c r="I50" s="1007">
        <v>410.9</v>
      </c>
      <c r="J50" s="1007">
        <v>440.18453357971578</v>
      </c>
      <c r="K50" s="1007">
        <v>462.32360273971574</v>
      </c>
      <c r="L50" s="1007">
        <v>485.10442354831576</v>
      </c>
      <c r="N50" s="998" t="s">
        <v>598</v>
      </c>
      <c r="P50" s="1003">
        <f>1000*D49/AVERAGE(C35:D35)</f>
        <v>58.727735368956743</v>
      </c>
      <c r="Q50" s="1003">
        <f t="shared" ref="Q50:X50" si="24">1000*E49/AVERAGE(D35:E35)</f>
        <v>58.791864288416214</v>
      </c>
      <c r="R50" s="1003">
        <f t="shared" si="24"/>
        <v>63.034226631310482</v>
      </c>
      <c r="S50" s="1003">
        <f t="shared" si="24"/>
        <v>66.502639220678901</v>
      </c>
      <c r="T50" s="1003">
        <f t="shared" si="24"/>
        <v>59.395561977207848</v>
      </c>
      <c r="U50" s="1003">
        <f t="shared" si="24"/>
        <v>57.887099728103912</v>
      </c>
      <c r="V50" s="1003">
        <f t="shared" si="24"/>
        <v>61.672173445466271</v>
      </c>
      <c r="W50" s="1003">
        <f t="shared" si="24"/>
        <v>64.580233034648543</v>
      </c>
      <c r="X50" s="1003">
        <f t="shared" si="24"/>
        <v>67.559720450606932</v>
      </c>
      <c r="Z50" s="998" t="str">
        <f>+N$57</f>
        <v>KDG</v>
      </c>
      <c r="AA50" s="1002">
        <f t="shared" ref="AA50:AI50" si="25">+P61</f>
        <v>-2.6475037821482639E-2</v>
      </c>
      <c r="AB50" s="1002">
        <f t="shared" si="25"/>
        <v>-1.454101454101453E-2</v>
      </c>
      <c r="AC50" s="1002">
        <f t="shared" si="25"/>
        <v>-1.9846812345122866E-2</v>
      </c>
      <c r="AD50" s="1002">
        <f t="shared" si="25"/>
        <v>-9.7451102070834628E-3</v>
      </c>
      <c r="AE50" s="1002">
        <f t="shared" si="25"/>
        <v>-3.6671695485667843E-2</v>
      </c>
      <c r="AF50" s="1002">
        <f t="shared" si="25"/>
        <v>-6.9907986443815684E-3</v>
      </c>
      <c r="AG50" s="1002">
        <f t="shared" si="25"/>
        <v>-7.0925627017287551E-3</v>
      </c>
      <c r="AH50" s="1002">
        <f t="shared" si="25"/>
        <v>-7.196150588254735E-3</v>
      </c>
      <c r="AI50" s="1002">
        <f t="shared" si="25"/>
        <v>-7.3016182374286975E-3</v>
      </c>
      <c r="AL50" s="1002"/>
      <c r="AM50" s="1002"/>
      <c r="AN50" s="1002"/>
      <c r="AO50" s="1002"/>
      <c r="AP50" s="1002"/>
      <c r="AQ50" s="1002"/>
      <c r="AR50" s="1002"/>
      <c r="AS50" s="1002"/>
      <c r="AT50" s="1002"/>
      <c r="AU50" s="1002"/>
      <c r="BD50" s="1013" t="s">
        <v>281</v>
      </c>
      <c r="BE50" s="1013"/>
      <c r="BF50" s="1014">
        <f>+I71</f>
        <v>902.69522761795838</v>
      </c>
      <c r="BG50" s="1014">
        <f>+I46</f>
        <v>1272.0999999999997</v>
      </c>
      <c r="BH50" s="1014">
        <f>+I95</f>
        <v>99.032977691561598</v>
      </c>
    </row>
    <row r="51" spans="2:60">
      <c r="B51" s="1006" t="s">
        <v>585</v>
      </c>
      <c r="C51" s="1007"/>
      <c r="D51" s="1007">
        <v>16.690000000000008</v>
      </c>
      <c r="E51" s="1007">
        <v>17.490000000000009</v>
      </c>
      <c r="F51" s="1007">
        <v>19.759999999999991</v>
      </c>
      <c r="G51" s="1007">
        <v>22.279999999999998</v>
      </c>
      <c r="H51" s="1007">
        <v>20.100000000000009</v>
      </c>
      <c r="I51" s="1007">
        <v>20.915999999999997</v>
      </c>
      <c r="J51" s="1007">
        <v>22.081183317986167</v>
      </c>
      <c r="K51" s="1007">
        <v>23.755123059435348</v>
      </c>
      <c r="L51" s="1007">
        <v>25.647020263503737</v>
      </c>
      <c r="N51" s="998" t="s">
        <v>599</v>
      </c>
      <c r="P51" s="1003">
        <f>1000*D49/AVERAGE(C41:D41)</f>
        <v>46.395956579174083</v>
      </c>
      <c r="Q51" s="1003">
        <f t="shared" ref="Q51:X51" si="26">1000*E49/AVERAGE(D41:E41)</f>
        <v>43.305863063024447</v>
      </c>
      <c r="R51" s="1003">
        <f t="shared" si="26"/>
        <v>43.554233108006912</v>
      </c>
      <c r="S51" s="1003">
        <f t="shared" si="26"/>
        <v>43.197688194273447</v>
      </c>
      <c r="T51" s="1003">
        <f t="shared" si="26"/>
        <v>36.717573295036601</v>
      </c>
      <c r="U51" s="1003">
        <f t="shared" si="26"/>
        <v>34.38378631677601</v>
      </c>
      <c r="V51" s="1003">
        <f t="shared" si="26"/>
        <v>35.400230156202433</v>
      </c>
      <c r="W51" s="1003">
        <f t="shared" si="26"/>
        <v>35.841096653883959</v>
      </c>
      <c r="X51" s="1003">
        <f t="shared" si="26"/>
        <v>36.297548495222813</v>
      </c>
      <c r="Z51" s="998" t="str">
        <f>+N$81</f>
        <v>TCOL</v>
      </c>
      <c r="AA51" s="1002"/>
      <c r="AB51" s="1002"/>
      <c r="AC51" s="1002"/>
      <c r="AD51" s="1002" t="e">
        <f t="shared" ref="AD51:AI51" si="27">+S85</f>
        <v>#REF!</v>
      </c>
      <c r="AE51" s="1002" t="e">
        <f t="shared" si="27"/>
        <v>#REF!</v>
      </c>
      <c r="AF51" s="1002" t="e">
        <f t="shared" si="27"/>
        <v>#REF!</v>
      </c>
      <c r="AG51" s="1002" t="e">
        <f t="shared" si="27"/>
        <v>#REF!</v>
      </c>
      <c r="AH51" s="1002" t="e">
        <f t="shared" si="27"/>
        <v>#REF!</v>
      </c>
      <c r="AI51" s="1002" t="e">
        <f t="shared" si="27"/>
        <v>#REF!</v>
      </c>
      <c r="BD51" s="998" t="s">
        <v>161</v>
      </c>
      <c r="BF51" s="1009">
        <f>+I74</f>
        <v>630.86741587091569</v>
      </c>
      <c r="BG51" s="1009">
        <f>+I49</f>
        <v>410.9</v>
      </c>
      <c r="BH51" s="1009">
        <f>+I98</f>
        <v>84.1</v>
      </c>
    </row>
    <row r="52" spans="2:60">
      <c r="B52" s="1006" t="s">
        <v>351</v>
      </c>
      <c r="C52" s="1007">
        <v>196.19999999999993</v>
      </c>
      <c r="D52" s="1007">
        <v>325.60000000000025</v>
      </c>
      <c r="E52" s="1007">
        <v>430.19999999999993</v>
      </c>
      <c r="F52" s="1007">
        <v>531.89999999999975</v>
      </c>
      <c r="G52" s="1007">
        <v>571.10000000000025</v>
      </c>
      <c r="H52" s="1007">
        <v>720.59999999999991</v>
      </c>
      <c r="I52" s="1007">
        <v>861.1999999999997</v>
      </c>
      <c r="J52" s="1007">
        <v>897.1907132589921</v>
      </c>
      <c r="K52" s="1007">
        <v>956.39157629134831</v>
      </c>
      <c r="L52" s="1007">
        <v>1018.280223160107</v>
      </c>
    </row>
    <row r="53" spans="2:60">
      <c r="B53" s="1006" t="s">
        <v>586</v>
      </c>
      <c r="C53" s="1007">
        <v>0</v>
      </c>
      <c r="D53" s="1007">
        <v>57.370000000000175</v>
      </c>
      <c r="E53" s="1007">
        <v>90.899999999999977</v>
      </c>
      <c r="F53" s="1007">
        <v>157.5999999999998</v>
      </c>
      <c r="G53" s="1007">
        <v>92.300000000000296</v>
      </c>
      <c r="H53" s="1007">
        <v>239.59999999999974</v>
      </c>
      <c r="I53" s="1007">
        <v>351.79999999999984</v>
      </c>
      <c r="J53" s="1007">
        <v>406.96134730825622</v>
      </c>
      <c r="K53" s="1007">
        <v>405.3804716637261</v>
      </c>
      <c r="L53" s="1007">
        <v>425.95143688263198</v>
      </c>
      <c r="Z53" s="998" t="str">
        <f>+N39</f>
        <v>Tel % customers</v>
      </c>
    </row>
    <row r="54" spans="2:60">
      <c r="B54" s="1006" t="s">
        <v>160</v>
      </c>
      <c r="C54" s="1007">
        <v>0</v>
      </c>
      <c r="D54" s="1007">
        <v>3849.0699999999997</v>
      </c>
      <c r="E54" s="1007">
        <v>4273.1050000000005</v>
      </c>
      <c r="F54" s="1007">
        <v>4942.2</v>
      </c>
      <c r="G54" s="1007">
        <v>5182.7000000000007</v>
      </c>
      <c r="H54" s="1007">
        <v>5632.2999999999993</v>
      </c>
      <c r="I54" s="1007">
        <v>6535.9000000000005</v>
      </c>
      <c r="J54" s="1007">
        <v>5799.8078909115675</v>
      </c>
      <c r="K54" s="1007">
        <v>6386.1494465953938</v>
      </c>
      <c r="L54" s="1007">
        <v>6759.9492160817354</v>
      </c>
      <c r="Z54" s="998" t="str">
        <f>+N$32</f>
        <v>Unity</v>
      </c>
      <c r="AA54" s="1002">
        <f t="shared" ref="AA54:AI54" si="28">+P39</f>
        <v>0.16128088901886239</v>
      </c>
      <c r="AB54" s="1002">
        <f t="shared" si="28"/>
        <v>0.20777961145371898</v>
      </c>
      <c r="AC54" s="1002">
        <f t="shared" si="28"/>
        <v>0.26422687996768751</v>
      </c>
      <c r="AD54" s="1002">
        <f t="shared" si="28"/>
        <v>0.31663616631910457</v>
      </c>
      <c r="AE54" s="1002">
        <f t="shared" si="28"/>
        <v>0.35609211010212449</v>
      </c>
      <c r="AF54" s="1002">
        <f t="shared" si="28"/>
        <v>0.38558679912443172</v>
      </c>
      <c r="AG54" s="1002">
        <f t="shared" si="28"/>
        <v>0.41660951925611728</v>
      </c>
      <c r="AH54" s="1002">
        <f t="shared" si="28"/>
        <v>0.44744321025292971</v>
      </c>
      <c r="AI54" s="1002">
        <f t="shared" si="28"/>
        <v>0.47808872536056807</v>
      </c>
    </row>
    <row r="55" spans="2:60">
      <c r="B55" s="998" t="s">
        <v>587</v>
      </c>
      <c r="C55" s="1007"/>
      <c r="D55" s="1007"/>
      <c r="E55" s="1007"/>
      <c r="F55" s="1007"/>
      <c r="G55" s="1007"/>
      <c r="H55" s="1007">
        <v>2579.6</v>
      </c>
      <c r="I55" s="1007">
        <v>2896.4</v>
      </c>
      <c r="J55" s="1007">
        <v>3196.4</v>
      </c>
      <c r="K55" s="1007">
        <v>3496.4</v>
      </c>
      <c r="L55" s="1007">
        <v>3796.4</v>
      </c>
      <c r="Z55" s="998" t="str">
        <f>+N$57</f>
        <v>KDG</v>
      </c>
      <c r="AA55" s="1002">
        <f t="shared" ref="AA55:AI55" si="29">+P64</f>
        <v>0.11635988610631572</v>
      </c>
      <c r="AB55" s="1002">
        <f t="shared" si="29"/>
        <v>0.14819897084048028</v>
      </c>
      <c r="AC55" s="1002">
        <f t="shared" si="29"/>
        <v>0.18127135701914524</v>
      </c>
      <c r="AD55" s="1002">
        <f t="shared" si="29"/>
        <v>0.21609819426413313</v>
      </c>
      <c r="AE55" s="1002">
        <f t="shared" si="29"/>
        <v>0.25539309683604988</v>
      </c>
      <c r="AF55" s="1002">
        <f t="shared" si="29"/>
        <v>0.29091512728118268</v>
      </c>
      <c r="AG55" s="1002">
        <f t="shared" si="29"/>
        <v>0.32609818812224034</v>
      </c>
      <c r="AH55" s="1002">
        <f t="shared" si="29"/>
        <v>0.36086910602791999</v>
      </c>
      <c r="AI55" s="1002">
        <f t="shared" si="29"/>
        <v>0.39515721047878705</v>
      </c>
    </row>
    <row r="56" spans="2:60">
      <c r="B56" s="998" t="s">
        <v>496</v>
      </c>
      <c r="Z56" s="998" t="str">
        <f>+N$81</f>
        <v>TCOL</v>
      </c>
      <c r="AA56" s="1002"/>
      <c r="AB56" s="1002"/>
      <c r="AC56" s="1002" t="e">
        <f t="shared" ref="AC56:AI56" si="30">+R88</f>
        <v>#REF!</v>
      </c>
      <c r="AD56" s="1002" t="e">
        <f t="shared" si="30"/>
        <v>#REF!</v>
      </c>
      <c r="AE56" s="1002" t="e">
        <f t="shared" si="30"/>
        <v>#REF!</v>
      </c>
      <c r="AF56" s="1002" t="e">
        <f t="shared" si="30"/>
        <v>#REF!</v>
      </c>
      <c r="AG56" s="1002" t="e">
        <f t="shared" si="30"/>
        <v>#REF!</v>
      </c>
      <c r="AH56" s="1002" t="e">
        <f t="shared" si="30"/>
        <v>#REF!</v>
      </c>
      <c r="AI56" s="1002" t="e">
        <f t="shared" si="30"/>
        <v>#REF!</v>
      </c>
    </row>
    <row r="57" spans="2:60">
      <c r="B57" s="1004" t="s">
        <v>1047</v>
      </c>
      <c r="C57" s="1004">
        <v>2008</v>
      </c>
      <c r="D57" s="1004">
        <v>2009</v>
      </c>
      <c r="E57" s="1004">
        <v>2010</v>
      </c>
      <c r="F57" s="1004">
        <v>2011</v>
      </c>
      <c r="G57" s="1004">
        <v>2012</v>
      </c>
      <c r="H57" s="1004">
        <v>2013</v>
      </c>
      <c r="I57" s="1004">
        <v>2014</v>
      </c>
      <c r="J57" s="1004">
        <v>2015</v>
      </c>
      <c r="K57" s="1004">
        <v>2016</v>
      </c>
      <c r="L57" s="1005">
        <v>2017</v>
      </c>
      <c r="N57" s="998" t="str">
        <f>+B56</f>
        <v>KDG</v>
      </c>
      <c r="O57" s="998">
        <f t="shared" ref="O57:X57" si="31">+C57</f>
        <v>2008</v>
      </c>
      <c r="P57" s="998">
        <f t="shared" si="31"/>
        <v>2009</v>
      </c>
      <c r="Q57" s="998">
        <f t="shared" si="31"/>
        <v>2010</v>
      </c>
      <c r="R57" s="998">
        <f t="shared" si="31"/>
        <v>2011</v>
      </c>
      <c r="S57" s="998">
        <f t="shared" si="31"/>
        <v>2012</v>
      </c>
      <c r="T57" s="998">
        <f t="shared" si="31"/>
        <v>2013</v>
      </c>
      <c r="U57" s="998">
        <f t="shared" si="31"/>
        <v>2014</v>
      </c>
      <c r="V57" s="998">
        <f t="shared" si="31"/>
        <v>2015</v>
      </c>
      <c r="W57" s="998">
        <f t="shared" si="31"/>
        <v>2016</v>
      </c>
      <c r="X57" s="998">
        <f t="shared" si="31"/>
        <v>2017</v>
      </c>
    </row>
    <row r="58" spans="2:60">
      <c r="B58" s="1006" t="s">
        <v>568</v>
      </c>
      <c r="C58" s="1007">
        <v>15293.1</v>
      </c>
      <c r="D58" s="1007">
        <v>15293.1</v>
      </c>
      <c r="E58" s="1007">
        <v>15293</v>
      </c>
      <c r="F58" s="1007">
        <v>15293.1</v>
      </c>
      <c r="G58" s="1007">
        <v>15293.1</v>
      </c>
      <c r="H58" s="1007">
        <v>15233</v>
      </c>
      <c r="I58" s="1007">
        <v>15233</v>
      </c>
      <c r="J58" s="1007">
        <v>15233</v>
      </c>
      <c r="K58" s="1007">
        <v>15233</v>
      </c>
      <c r="L58" s="1007">
        <v>15233</v>
      </c>
      <c r="N58" s="998" t="s">
        <v>589</v>
      </c>
      <c r="P58" s="1001">
        <f t="shared" ref="P58:X58" si="32">+D58/C58-1</f>
        <v>0</v>
      </c>
      <c r="Q58" s="1001">
        <f t="shared" si="32"/>
        <v>-6.5388966266066717E-6</v>
      </c>
      <c r="R58" s="1001">
        <f t="shared" si="32"/>
        <v>6.5389393839598853E-6</v>
      </c>
      <c r="S58" s="1001">
        <f t="shared" si="32"/>
        <v>0</v>
      </c>
      <c r="T58" s="1001">
        <f t="shared" si="32"/>
        <v>-3.9298768725765099E-3</v>
      </c>
      <c r="U58" s="1001">
        <f t="shared" si="32"/>
        <v>0</v>
      </c>
      <c r="V58" s="1001">
        <f t="shared" si="32"/>
        <v>0</v>
      </c>
      <c r="W58" s="1001">
        <f t="shared" si="32"/>
        <v>0</v>
      </c>
      <c r="X58" s="1001">
        <f t="shared" si="32"/>
        <v>0</v>
      </c>
      <c r="Z58" s="998" t="str">
        <f>+N40</f>
        <v>BB % customers</v>
      </c>
    </row>
    <row r="59" spans="2:60">
      <c r="B59" s="1006" t="s">
        <v>572</v>
      </c>
      <c r="C59" s="1007">
        <v>12008.4</v>
      </c>
      <c r="D59" s="1007">
        <v>12116.3</v>
      </c>
      <c r="E59" s="1007">
        <v>12608</v>
      </c>
      <c r="F59" s="1007">
        <v>12682</v>
      </c>
      <c r="G59" s="1007">
        <v>13334</v>
      </c>
      <c r="H59" s="1007">
        <v>14198</v>
      </c>
      <c r="I59" s="1007">
        <v>14471.349999999999</v>
      </c>
      <c r="J59" s="1007">
        <v>14928.34</v>
      </c>
      <c r="K59" s="1007">
        <v>14928.34</v>
      </c>
      <c r="L59" s="1007">
        <v>14928.34</v>
      </c>
      <c r="N59" s="998" t="s">
        <v>591</v>
      </c>
      <c r="O59" s="1008">
        <f t="shared" ref="O59:X59" si="33">+C59/C58</f>
        <v>0.78521686250662059</v>
      </c>
      <c r="P59" s="1008">
        <f t="shared" si="33"/>
        <v>0.79227233196670388</v>
      </c>
      <c r="Q59" s="1008">
        <f t="shared" si="33"/>
        <v>0.82442947753874318</v>
      </c>
      <c r="R59" s="1008">
        <f t="shared" si="33"/>
        <v>0.82926287018328526</v>
      </c>
      <c r="S59" s="1008">
        <f t="shared" si="33"/>
        <v>0.87189647618860788</v>
      </c>
      <c r="T59" s="1008">
        <f t="shared" si="33"/>
        <v>0.93205540602639003</v>
      </c>
      <c r="U59" s="1008">
        <f t="shared" si="33"/>
        <v>0.95</v>
      </c>
      <c r="V59" s="1008">
        <f t="shared" si="33"/>
        <v>0.98</v>
      </c>
      <c r="W59" s="1008">
        <f t="shared" si="33"/>
        <v>0.98</v>
      </c>
      <c r="X59" s="1008">
        <f t="shared" si="33"/>
        <v>0.98</v>
      </c>
      <c r="Z59" s="998" t="str">
        <f>+N$32</f>
        <v>Unity</v>
      </c>
      <c r="AA59" s="1002">
        <f t="shared" ref="AA59:AI59" si="34">+P40</f>
        <v>0.15879514548910659</v>
      </c>
      <c r="AB59" s="1002">
        <f t="shared" si="34"/>
        <v>0.20372622253105185</v>
      </c>
      <c r="AC59" s="1002">
        <f t="shared" si="34"/>
        <v>0.25958195692627267</v>
      </c>
      <c r="AD59" s="1002">
        <f t="shared" si="34"/>
        <v>0.31482033167354695</v>
      </c>
      <c r="AE59" s="1002">
        <f t="shared" si="34"/>
        <v>0.36487595122917194</v>
      </c>
      <c r="AF59" s="1002">
        <f t="shared" si="34"/>
        <v>0.40640960880058369</v>
      </c>
      <c r="AG59" s="1002">
        <f t="shared" si="34"/>
        <v>0.44716274927812405</v>
      </c>
      <c r="AH59" s="1002">
        <f t="shared" si="34"/>
        <v>0.48766846643651607</v>
      </c>
      <c r="AI59" s="1002">
        <f t="shared" si="34"/>
        <v>0.52792787578791756</v>
      </c>
    </row>
    <row r="60" spans="2:60">
      <c r="B60" s="1006" t="s">
        <v>570</v>
      </c>
      <c r="C60" s="1007">
        <v>9123.2999999999993</v>
      </c>
      <c r="D60" s="1007">
        <v>8920.6</v>
      </c>
      <c r="E60" s="1007">
        <v>8745</v>
      </c>
      <c r="F60" s="1007">
        <v>8545.2000000000007</v>
      </c>
      <c r="G60" s="1007">
        <v>8473</v>
      </c>
      <c r="H60" s="1007">
        <v>8344</v>
      </c>
      <c r="I60" s="1007">
        <v>8356.3891046831959</v>
      </c>
      <c r="J60" s="1007">
        <v>8374.77820936639</v>
      </c>
      <c r="K60" s="1007">
        <v>8399.1673140495859</v>
      </c>
      <c r="L60" s="1007">
        <v>8429.5564187327818</v>
      </c>
      <c r="N60" s="998" t="s">
        <v>590</v>
      </c>
      <c r="P60" s="1001">
        <f t="shared" ref="P60:X61" si="35">+D60/C60-1</f>
        <v>-2.2217837843762522E-2</v>
      </c>
      <c r="Q60" s="1001">
        <f t="shared" si="35"/>
        <v>-1.9684774566733232E-2</v>
      </c>
      <c r="R60" s="1001">
        <f t="shared" si="35"/>
        <v>-2.2847341337907334E-2</v>
      </c>
      <c r="S60" s="1001">
        <f t="shared" si="35"/>
        <v>-8.4491878481487426E-3</v>
      </c>
      <c r="T60" s="1001">
        <f t="shared" si="35"/>
        <v>-1.5224831818718254E-2</v>
      </c>
      <c r="U60" s="1001">
        <f t="shared" si="35"/>
        <v>1.4847920281875204E-3</v>
      </c>
      <c r="V60" s="1001">
        <f t="shared" si="35"/>
        <v>2.2006041668032328E-3</v>
      </c>
      <c r="W60" s="1001">
        <f t="shared" si="35"/>
        <v>2.9122090249409371E-3</v>
      </c>
      <c r="X60" s="1001">
        <f t="shared" si="35"/>
        <v>3.6181092180844754E-3</v>
      </c>
      <c r="Z60" s="998" t="str">
        <f>+N$57</f>
        <v>KDG</v>
      </c>
      <c r="AA60" s="1002">
        <f t="shared" ref="AA60:AI60" si="36">+P65</f>
        <v>0.10828868013362329</v>
      </c>
      <c r="AB60" s="1002">
        <f t="shared" si="36"/>
        <v>0.14408233276157806</v>
      </c>
      <c r="AC60" s="1002">
        <f t="shared" si="36"/>
        <v>0.17767869681224546</v>
      </c>
      <c r="AD60" s="1002">
        <f t="shared" si="36"/>
        <v>0.21586215035996695</v>
      </c>
      <c r="AE60" s="1002">
        <f t="shared" si="36"/>
        <v>0.26102588686481304</v>
      </c>
      <c r="AF60" s="1002">
        <f t="shared" si="36"/>
        <v>0.29653956618789412</v>
      </c>
      <c r="AG60" s="1002">
        <f t="shared" si="36"/>
        <v>0.33171027704268896</v>
      </c>
      <c r="AH60" s="1002">
        <f t="shared" si="36"/>
        <v>0.36646489883006855</v>
      </c>
      <c r="AI60" s="1002">
        <f t="shared" si="36"/>
        <v>0.40073283008025895</v>
      </c>
    </row>
    <row r="61" spans="2:60">
      <c r="B61" s="1006" t="s">
        <v>573</v>
      </c>
      <c r="C61" s="1007">
        <v>9254</v>
      </c>
      <c r="D61" s="1007">
        <v>9009</v>
      </c>
      <c r="E61" s="1007">
        <v>8878</v>
      </c>
      <c r="F61" s="1007">
        <v>8701.7999999999993</v>
      </c>
      <c r="G61" s="1007">
        <v>8617</v>
      </c>
      <c r="H61" s="1007">
        <v>8301</v>
      </c>
      <c r="I61" s="1007">
        <v>8242.9693804529888</v>
      </c>
      <c r="J61" s="1007">
        <v>8184.5056032736957</v>
      </c>
      <c r="K61" s="1007">
        <v>8125.6086684621232</v>
      </c>
      <c r="L61" s="1007">
        <v>8066.2785760182715</v>
      </c>
      <c r="N61" s="998" t="s">
        <v>592</v>
      </c>
      <c r="P61" s="1001">
        <f t="shared" si="35"/>
        <v>-2.6475037821482639E-2</v>
      </c>
      <c r="Q61" s="1001">
        <f t="shared" si="35"/>
        <v>-1.454101454101453E-2</v>
      </c>
      <c r="R61" s="1001">
        <f t="shared" si="35"/>
        <v>-1.9846812345122866E-2</v>
      </c>
      <c r="S61" s="1001">
        <f t="shared" si="35"/>
        <v>-9.7451102070834628E-3</v>
      </c>
      <c r="T61" s="1001">
        <f t="shared" si="35"/>
        <v>-3.6671695485667843E-2</v>
      </c>
      <c r="U61" s="1001">
        <f t="shared" si="35"/>
        <v>-6.9907986443815684E-3</v>
      </c>
      <c r="V61" s="1001">
        <f t="shared" si="35"/>
        <v>-7.0925627017287551E-3</v>
      </c>
      <c r="W61" s="1001">
        <f t="shared" si="35"/>
        <v>-7.196150588254735E-3</v>
      </c>
      <c r="X61" s="1001">
        <f t="shared" si="35"/>
        <v>-7.3016182374286975E-3</v>
      </c>
      <c r="Z61" s="998" t="str">
        <f>+N$81</f>
        <v>TCOL</v>
      </c>
      <c r="AA61" s="1002"/>
      <c r="AB61" s="1002"/>
      <c r="AC61" s="1002" t="e">
        <f t="shared" ref="AC61:AI61" si="37">+R89</f>
        <v>#REF!</v>
      </c>
      <c r="AD61" s="1002" t="e">
        <f t="shared" si="37"/>
        <v>#REF!</v>
      </c>
      <c r="AE61" s="1002" t="e">
        <f t="shared" si="37"/>
        <v>#REF!</v>
      </c>
      <c r="AF61" s="1002" t="e">
        <f t="shared" si="37"/>
        <v>#REF!</v>
      </c>
      <c r="AG61" s="1002" t="e">
        <f t="shared" si="37"/>
        <v>#REF!</v>
      </c>
      <c r="AH61" s="1002" t="e">
        <f t="shared" si="37"/>
        <v>#REF!</v>
      </c>
      <c r="AI61" s="1002" t="e">
        <f t="shared" si="37"/>
        <v>#REF!</v>
      </c>
    </row>
    <row r="62" spans="2:60">
      <c r="B62" s="1006" t="s">
        <v>574</v>
      </c>
      <c r="C62" s="1007">
        <v>8003.2</v>
      </c>
      <c r="D62" s="1007">
        <v>7387.38</v>
      </c>
      <c r="E62" s="1007">
        <v>6836.06</v>
      </c>
      <c r="F62" s="1007">
        <v>6265.2960000000003</v>
      </c>
      <c r="G62" s="1007">
        <v>5773.39</v>
      </c>
      <c r="H62" s="1007">
        <v>5146.6200000000008</v>
      </c>
      <c r="I62" s="1007">
        <v>4698.4925468582042</v>
      </c>
      <c r="J62" s="1007">
        <v>4255.9429137023217</v>
      </c>
      <c r="K62" s="1007">
        <v>3819.0360741771983</v>
      </c>
      <c r="L62" s="1007">
        <v>3387.8370019276745</v>
      </c>
      <c r="N62" s="998" t="s">
        <v>649</v>
      </c>
      <c r="P62" s="1009">
        <f t="shared" ref="P62:X62" si="38">+D61-C61</f>
        <v>-245</v>
      </c>
      <c r="Q62" s="1009">
        <f t="shared" si="38"/>
        <v>-131</v>
      </c>
      <c r="R62" s="1009">
        <f t="shared" si="38"/>
        <v>-176.20000000000073</v>
      </c>
      <c r="S62" s="1009">
        <f t="shared" si="38"/>
        <v>-84.799999999999272</v>
      </c>
      <c r="T62" s="1009">
        <f t="shared" si="38"/>
        <v>-316</v>
      </c>
      <c r="U62" s="1009">
        <f t="shared" si="38"/>
        <v>-58.030619547011156</v>
      </c>
      <c r="V62" s="1009">
        <f t="shared" si="38"/>
        <v>-58.463777179293174</v>
      </c>
      <c r="W62" s="1009">
        <f t="shared" si="38"/>
        <v>-58.896934811572464</v>
      </c>
      <c r="X62" s="1009">
        <f t="shared" si="38"/>
        <v>-59.330092443851754</v>
      </c>
    </row>
    <row r="63" spans="2:60">
      <c r="B63" s="1006" t="s">
        <v>575</v>
      </c>
      <c r="C63" s="1007">
        <v>1250.8</v>
      </c>
      <c r="D63" s="1007">
        <v>1621.62</v>
      </c>
      <c r="E63" s="1007">
        <v>2041.9399999999998</v>
      </c>
      <c r="F63" s="1007">
        <v>2436.5039999999995</v>
      </c>
      <c r="G63" s="1007">
        <v>2843.6099999999997</v>
      </c>
      <c r="H63" s="1007">
        <v>3154.3799999999997</v>
      </c>
      <c r="I63" s="1007">
        <v>3544.4768335947847</v>
      </c>
      <c r="J63" s="1007">
        <v>3928.5626895713735</v>
      </c>
      <c r="K63" s="1007">
        <v>4306.5725942849249</v>
      </c>
      <c r="L63" s="1007">
        <v>4678.441574090597</v>
      </c>
      <c r="Z63" s="998" t="str">
        <f>+N41</f>
        <v>RGU / customer</v>
      </c>
    </row>
    <row r="64" spans="2:60">
      <c r="B64" s="1006" t="s">
        <v>576</v>
      </c>
      <c r="C64" s="1007">
        <v>710.3</v>
      </c>
      <c r="D64" s="1007">
        <v>1038</v>
      </c>
      <c r="E64" s="1007">
        <v>1296</v>
      </c>
      <c r="F64" s="1007">
        <v>1549</v>
      </c>
      <c r="G64" s="1007">
        <v>1831</v>
      </c>
      <c r="H64" s="1007">
        <v>2131</v>
      </c>
      <c r="I64" s="1007">
        <v>2431</v>
      </c>
      <c r="J64" s="1007">
        <v>2731</v>
      </c>
      <c r="K64" s="1007">
        <v>3031</v>
      </c>
      <c r="L64" s="1007">
        <v>3331</v>
      </c>
      <c r="N64" s="998" t="s">
        <v>593</v>
      </c>
      <c r="O64" s="1008">
        <f t="shared" ref="O64:X64" si="39">+C64/C60</f>
        <v>7.7855600495434774E-2</v>
      </c>
      <c r="P64" s="1008">
        <f t="shared" si="39"/>
        <v>0.11635988610631572</v>
      </c>
      <c r="Q64" s="1008">
        <f t="shared" si="39"/>
        <v>0.14819897084048028</v>
      </c>
      <c r="R64" s="1008">
        <f t="shared" si="39"/>
        <v>0.18127135701914524</v>
      </c>
      <c r="S64" s="1008">
        <f t="shared" si="39"/>
        <v>0.21609819426413313</v>
      </c>
      <c r="T64" s="1008">
        <f t="shared" si="39"/>
        <v>0.25539309683604988</v>
      </c>
      <c r="U64" s="1008">
        <f t="shared" si="39"/>
        <v>0.29091512728118268</v>
      </c>
      <c r="V64" s="1008">
        <f t="shared" si="39"/>
        <v>0.32609818812224034</v>
      </c>
      <c r="W64" s="1008">
        <f t="shared" si="39"/>
        <v>0.36086910602791999</v>
      </c>
      <c r="X64" s="1008">
        <f t="shared" si="39"/>
        <v>0.39515721047878705</v>
      </c>
      <c r="Z64" s="998" t="str">
        <f>+N$32</f>
        <v>Unity</v>
      </c>
      <c r="AA64" s="1015">
        <f t="shared" ref="AA64:AI64" si="40">+P41</f>
        <v>1.3183213920163768</v>
      </c>
      <c r="AB64" s="1015">
        <f t="shared" si="40"/>
        <v>1.3964793421928834</v>
      </c>
      <c r="AC64" s="1015">
        <f t="shared" si="40"/>
        <v>1.4978578538147513</v>
      </c>
      <c r="AD64" s="1015">
        <f t="shared" si="40"/>
        <v>1.580442893419018</v>
      </c>
      <c r="AE64" s="1015">
        <f t="shared" si="40"/>
        <v>1.6547144190783332</v>
      </c>
      <c r="AF64" s="1015">
        <f t="shared" si="40"/>
        <v>1.7121709603187965</v>
      </c>
      <c r="AG64" s="1015">
        <f t="shared" si="40"/>
        <v>1.7720203312160396</v>
      </c>
      <c r="AH64" s="1015">
        <f t="shared" si="40"/>
        <v>1.8315878302836435</v>
      </c>
      <c r="AI64" s="1015">
        <f t="shared" si="40"/>
        <v>1.890873422741961</v>
      </c>
    </row>
    <row r="65" spans="2:57">
      <c r="B65" s="1006" t="s">
        <v>577</v>
      </c>
      <c r="C65" s="1007">
        <v>707.5</v>
      </c>
      <c r="D65" s="1007">
        <v>966</v>
      </c>
      <c r="E65" s="1007">
        <v>1260</v>
      </c>
      <c r="F65" s="1007">
        <v>1518.3</v>
      </c>
      <c r="G65" s="1007">
        <v>1829</v>
      </c>
      <c r="H65" s="1007">
        <v>2178</v>
      </c>
      <c r="I65" s="1007">
        <v>2478</v>
      </c>
      <c r="J65" s="1007">
        <v>2778</v>
      </c>
      <c r="K65" s="1007">
        <v>3078</v>
      </c>
      <c r="L65" s="1007">
        <v>3378</v>
      </c>
      <c r="N65" s="998" t="s">
        <v>594</v>
      </c>
      <c r="O65" s="1008">
        <f t="shared" ref="O65:X65" si="41">+C65/C60</f>
        <v>7.7548694003266375E-2</v>
      </c>
      <c r="P65" s="1008">
        <f t="shared" si="41"/>
        <v>0.10828868013362329</v>
      </c>
      <c r="Q65" s="1008">
        <f t="shared" si="41"/>
        <v>0.14408233276157806</v>
      </c>
      <c r="R65" s="1008">
        <f t="shared" si="41"/>
        <v>0.17767869681224546</v>
      </c>
      <c r="S65" s="1008">
        <f t="shared" si="41"/>
        <v>0.21586215035996695</v>
      </c>
      <c r="T65" s="1008">
        <f t="shared" si="41"/>
        <v>0.26102588686481304</v>
      </c>
      <c r="U65" s="1008">
        <f t="shared" si="41"/>
        <v>0.29653956618789412</v>
      </c>
      <c r="V65" s="1008">
        <f t="shared" si="41"/>
        <v>0.33171027704268896</v>
      </c>
      <c r="W65" s="1008">
        <f t="shared" si="41"/>
        <v>0.36646489883006855</v>
      </c>
      <c r="X65" s="1008">
        <f t="shared" si="41"/>
        <v>0.40073283008025895</v>
      </c>
      <c r="Z65" s="998" t="str">
        <f>+N$57</f>
        <v>KDG</v>
      </c>
      <c r="AA65" s="1015">
        <f t="shared" ref="AA65:AI65" si="42">+P66</f>
        <v>1.2345582135730779</v>
      </c>
      <c r="AB65" s="1015">
        <f t="shared" si="42"/>
        <v>1.3074899942824472</v>
      </c>
      <c r="AC65" s="1015">
        <f t="shared" si="42"/>
        <v>1.3772761316294524</v>
      </c>
      <c r="AD65" s="1015">
        <f t="shared" si="42"/>
        <v>1.4489555057240646</v>
      </c>
      <c r="AE65" s="1015">
        <f t="shared" si="42"/>
        <v>1.5112655800575263</v>
      </c>
      <c r="AF65" s="1015">
        <f t="shared" si="42"/>
        <v>1.5738818783680373</v>
      </c>
      <c r="AG65" s="1015">
        <f t="shared" si="42"/>
        <v>1.6350887463454038</v>
      </c>
      <c r="AH65" s="1015">
        <f t="shared" si="42"/>
        <v>1.6947642708166304</v>
      </c>
      <c r="AI65" s="1015">
        <f t="shared" si="42"/>
        <v>1.7527943158650148</v>
      </c>
    </row>
    <row r="66" spans="2:57">
      <c r="B66" s="1006" t="s">
        <v>578</v>
      </c>
      <c r="C66" s="1007">
        <v>10671.8</v>
      </c>
      <c r="D66" s="1007">
        <v>11013</v>
      </c>
      <c r="E66" s="1007">
        <v>11434</v>
      </c>
      <c r="F66" s="1007">
        <v>11769.099999999999</v>
      </c>
      <c r="G66" s="1007">
        <v>12277</v>
      </c>
      <c r="H66" s="1007">
        <v>12610</v>
      </c>
      <c r="I66" s="1007">
        <v>13151.969380452989</v>
      </c>
      <c r="J66" s="1007">
        <v>13693.505603273696</v>
      </c>
      <c r="K66" s="1007">
        <v>14234.608668462122</v>
      </c>
      <c r="L66" s="1007">
        <v>14775.278576018271</v>
      </c>
      <c r="N66" s="998" t="s">
        <v>600</v>
      </c>
      <c r="O66" s="1010">
        <f t="shared" ref="O66:X66" si="43">+C66/C60</f>
        <v>1.1697302511152763</v>
      </c>
      <c r="P66" s="1010">
        <f t="shared" si="43"/>
        <v>1.2345582135730779</v>
      </c>
      <c r="Q66" s="1010">
        <f t="shared" si="43"/>
        <v>1.3074899942824472</v>
      </c>
      <c r="R66" s="1010">
        <f t="shared" si="43"/>
        <v>1.3772761316294524</v>
      </c>
      <c r="S66" s="1010">
        <f t="shared" si="43"/>
        <v>1.4489555057240646</v>
      </c>
      <c r="T66" s="1010">
        <f t="shared" si="43"/>
        <v>1.5112655800575263</v>
      </c>
      <c r="U66" s="1010">
        <f t="shared" si="43"/>
        <v>1.5738818783680373</v>
      </c>
      <c r="V66" s="1010">
        <f t="shared" si="43"/>
        <v>1.6350887463454038</v>
      </c>
      <c r="W66" s="1010">
        <f t="shared" si="43"/>
        <v>1.6947642708166304</v>
      </c>
      <c r="X66" s="1010">
        <f t="shared" si="43"/>
        <v>1.7527943158650148</v>
      </c>
      <c r="Z66" s="998" t="str">
        <f>+N$81</f>
        <v>TCOL</v>
      </c>
      <c r="AA66" s="1015"/>
      <c r="AB66" s="1015"/>
      <c r="AC66" s="1015" t="e">
        <f t="shared" ref="AC66:AI66" si="44">+R90</f>
        <v>#REF!</v>
      </c>
      <c r="AD66" s="1015" t="e">
        <f t="shared" si="44"/>
        <v>#REF!</v>
      </c>
      <c r="AE66" s="1015" t="e">
        <f t="shared" si="44"/>
        <v>#REF!</v>
      </c>
      <c r="AF66" s="1015" t="e">
        <f t="shared" si="44"/>
        <v>#REF!</v>
      </c>
      <c r="AG66" s="1015" t="e">
        <f t="shared" si="44"/>
        <v>#REF!</v>
      </c>
      <c r="AH66" s="1015" t="e">
        <f t="shared" si="44"/>
        <v>#REF!</v>
      </c>
      <c r="AI66" s="1015" t="e">
        <f t="shared" si="44"/>
        <v>#REF!</v>
      </c>
    </row>
    <row r="67" spans="2:57">
      <c r="B67" s="1006" t="s">
        <v>143</v>
      </c>
      <c r="C67" s="1007">
        <v>1370.3309999999999</v>
      </c>
      <c r="D67" s="1007">
        <v>1501.55</v>
      </c>
      <c r="E67" s="1007">
        <v>1598.8910000000001</v>
      </c>
      <c r="F67" s="1007">
        <v>1699.7339999999999</v>
      </c>
      <c r="G67" s="1007">
        <v>1829.923</v>
      </c>
      <c r="H67" s="1007">
        <v>1900.193</v>
      </c>
      <c r="I67" s="1007">
        <v>2007.3595446735228</v>
      </c>
      <c r="J67" s="1007">
        <v>2134.7703925729029</v>
      </c>
      <c r="K67" s="1007">
        <v>2260.7864780000591</v>
      </c>
      <c r="L67" s="1007">
        <v>2385.4220075398966</v>
      </c>
      <c r="N67" s="998" t="s">
        <v>595</v>
      </c>
      <c r="P67" s="1001">
        <f t="shared" ref="P67:X67" si="45">+D67/C67-1</f>
        <v>9.5757156482630945E-2</v>
      </c>
      <c r="Q67" s="1001">
        <f t="shared" si="45"/>
        <v>6.4827012087509628E-2</v>
      </c>
      <c r="R67" s="1001">
        <f t="shared" si="45"/>
        <v>6.3070590803250504E-2</v>
      </c>
      <c r="S67" s="1001">
        <f t="shared" si="45"/>
        <v>7.6593749374902265E-2</v>
      </c>
      <c r="T67" s="1001">
        <f t="shared" si="45"/>
        <v>3.840052286353024E-2</v>
      </c>
      <c r="U67" s="1001">
        <f t="shared" si="45"/>
        <v>5.6397715744412658E-2</v>
      </c>
      <c r="V67" s="1001">
        <f t="shared" si="45"/>
        <v>6.3471861947931307E-2</v>
      </c>
      <c r="W67" s="1001">
        <f t="shared" si="45"/>
        <v>5.9030275979833569E-2</v>
      </c>
      <c r="X67" s="1001">
        <f t="shared" si="45"/>
        <v>5.5129279457692526E-2</v>
      </c>
    </row>
    <row r="68" spans="2:57">
      <c r="B68" s="1006" t="s">
        <v>579</v>
      </c>
      <c r="C68" s="1007">
        <v>1370.3309999999999</v>
      </c>
      <c r="D68" s="1007">
        <v>1501.55</v>
      </c>
      <c r="E68" s="1007">
        <v>1598.8910000000001</v>
      </c>
      <c r="F68" s="1007">
        <v>1699.7339999999999</v>
      </c>
      <c r="G68" s="1007">
        <v>1829.923</v>
      </c>
      <c r="H68" s="1007">
        <v>1900.193</v>
      </c>
      <c r="I68" s="1007">
        <v>2007.3595446735228</v>
      </c>
      <c r="J68" s="1007">
        <v>2134.7703925729029</v>
      </c>
      <c r="K68" s="1007">
        <v>2260.7864780000591</v>
      </c>
      <c r="L68" s="1007">
        <v>2385.4220075398966</v>
      </c>
      <c r="Z68" s="998" t="str">
        <f>+N42</f>
        <v>Revenues YoY</v>
      </c>
    </row>
    <row r="69" spans="2:57">
      <c r="B69" s="1006" t="s">
        <v>580</v>
      </c>
      <c r="C69" s="1007">
        <v>0</v>
      </c>
      <c r="D69" s="1007">
        <v>0</v>
      </c>
      <c r="E69" s="1007">
        <v>0</v>
      </c>
      <c r="F69" s="1007">
        <v>0</v>
      </c>
      <c r="G69" s="1007">
        <v>0</v>
      </c>
      <c r="H69" s="1007">
        <v>0</v>
      </c>
      <c r="I69" s="1007">
        <v>0</v>
      </c>
      <c r="J69" s="1007">
        <v>0</v>
      </c>
      <c r="K69" s="1007">
        <v>0</v>
      </c>
      <c r="L69" s="1007">
        <v>0</v>
      </c>
      <c r="Z69" s="998" t="str">
        <f>+N$32</f>
        <v>Unity</v>
      </c>
      <c r="AA69" s="1002">
        <f t="shared" ref="AA69:AI69" si="46">+P42</f>
        <v>9.5154043645699682E-2</v>
      </c>
      <c r="AB69" s="1002">
        <f t="shared" si="46"/>
        <v>8.9157509157508974E-2</v>
      </c>
      <c r="AC69" s="1002">
        <f t="shared" si="46"/>
        <v>9.9482074392950759E-2</v>
      </c>
      <c r="AD69" s="1002">
        <f t="shared" si="46"/>
        <v>0.10216566744157607</v>
      </c>
      <c r="AE69" s="1002">
        <f t="shared" si="46"/>
        <v>6.9826820603907658E-2</v>
      </c>
      <c r="AF69" s="1002">
        <f t="shared" si="46"/>
        <v>6.4957974473383695E-2</v>
      </c>
      <c r="AG69" s="1002">
        <f t="shared" si="46"/>
        <v>6.2749586463333618E-2</v>
      </c>
      <c r="AH69" s="1002">
        <f t="shared" si="46"/>
        <v>6.5899069472255434E-2</v>
      </c>
      <c r="AI69" s="1002">
        <f t="shared" si="46"/>
        <v>6.2113364151287875E-2</v>
      </c>
      <c r="AL69" s="1002"/>
      <c r="AM69" s="1002"/>
      <c r="AN69" s="1002"/>
      <c r="AO69" s="1002"/>
      <c r="AP69" s="1002"/>
      <c r="AQ69" s="1002"/>
      <c r="AR69" s="1002"/>
      <c r="AS69" s="1002"/>
      <c r="AT69" s="1002"/>
      <c r="AU69" s="1002"/>
    </row>
    <row r="70" spans="2:57">
      <c r="B70" s="1006" t="s">
        <v>581</v>
      </c>
      <c r="C70" s="1007">
        <v>0</v>
      </c>
      <c r="D70" s="1007">
        <v>0</v>
      </c>
      <c r="E70" s="1007">
        <v>0</v>
      </c>
      <c r="F70" s="1007">
        <v>0</v>
      </c>
      <c r="G70" s="1007">
        <v>0</v>
      </c>
      <c r="H70" s="1007">
        <v>0</v>
      </c>
      <c r="I70" s="1007">
        <v>0</v>
      </c>
      <c r="J70" s="1007">
        <v>0</v>
      </c>
      <c r="K70" s="1007">
        <v>0</v>
      </c>
      <c r="L70" s="1007">
        <v>0</v>
      </c>
      <c r="Z70" s="998" t="str">
        <f>+N$57</f>
        <v>KDG</v>
      </c>
      <c r="AA70" s="1002">
        <f t="shared" ref="AA70:AI70" si="47">+P67</f>
        <v>9.5757156482630945E-2</v>
      </c>
      <c r="AB70" s="1002">
        <f t="shared" si="47"/>
        <v>6.4827012087509628E-2</v>
      </c>
      <c r="AC70" s="1002">
        <f t="shared" si="47"/>
        <v>6.3070590803250504E-2</v>
      </c>
      <c r="AD70" s="1002">
        <f t="shared" si="47"/>
        <v>7.6593749374902265E-2</v>
      </c>
      <c r="AE70" s="1002">
        <f t="shared" si="47"/>
        <v>3.840052286353024E-2</v>
      </c>
      <c r="AF70" s="1002">
        <f t="shared" si="47"/>
        <v>5.6397715744412658E-2</v>
      </c>
      <c r="AG70" s="1002">
        <f t="shared" si="47"/>
        <v>6.3471861947931307E-2</v>
      </c>
      <c r="AH70" s="1002">
        <f t="shared" si="47"/>
        <v>5.9030275979833569E-2</v>
      </c>
      <c r="AI70" s="1002">
        <f t="shared" si="47"/>
        <v>5.5129279457692526E-2</v>
      </c>
      <c r="AL70" s="1002"/>
      <c r="AM70" s="1002"/>
      <c r="AN70" s="1002"/>
      <c r="AO70" s="1002"/>
      <c r="AP70" s="1002"/>
      <c r="AQ70" s="1002"/>
      <c r="AR70" s="1002"/>
      <c r="AS70" s="1002"/>
      <c r="AT70" s="1002"/>
      <c r="AU70" s="1002"/>
    </row>
    <row r="71" spans="2:57">
      <c r="B71" s="1006" t="s">
        <v>281</v>
      </c>
      <c r="C71" s="1007">
        <v>570.6</v>
      </c>
      <c r="D71" s="1007">
        <v>659.11900000000003</v>
      </c>
      <c r="E71" s="1007">
        <v>729</v>
      </c>
      <c r="F71" s="1007">
        <v>795.48500000000001</v>
      </c>
      <c r="G71" s="1007">
        <v>862.30200000000002</v>
      </c>
      <c r="H71" s="1007">
        <v>909.58499999999992</v>
      </c>
      <c r="I71" s="1007">
        <v>902.69522761795838</v>
      </c>
      <c r="J71" s="1007">
        <v>1001.5066017519263</v>
      </c>
      <c r="K71" s="1007">
        <v>1066.1843094130418</v>
      </c>
      <c r="L71" s="1007">
        <v>1131.944226749024</v>
      </c>
      <c r="N71" s="998" t="s">
        <v>596</v>
      </c>
      <c r="O71" s="1008">
        <f t="shared" ref="O71:X71" si="48">+C71/C67</f>
        <v>0.41639574672104773</v>
      </c>
      <c r="P71" s="1008">
        <f t="shared" si="48"/>
        <v>0.43895907562185743</v>
      </c>
      <c r="Q71" s="1008">
        <f t="shared" si="48"/>
        <v>0.45594102412234477</v>
      </c>
      <c r="R71" s="1008">
        <f t="shared" si="48"/>
        <v>0.46800558204989723</v>
      </c>
      <c r="S71" s="1008">
        <f t="shared" si="48"/>
        <v>0.47122310610883628</v>
      </c>
      <c r="T71" s="1008">
        <f t="shared" si="48"/>
        <v>0.47868032352503137</v>
      </c>
      <c r="U71" s="1008">
        <f t="shared" si="48"/>
        <v>0.44969284651234359</v>
      </c>
      <c r="V71" s="1008">
        <f t="shared" si="48"/>
        <v>0.46914019663954309</v>
      </c>
      <c r="W71" s="1008">
        <f t="shared" si="48"/>
        <v>0.47159885278339581</v>
      </c>
      <c r="X71" s="1008">
        <f t="shared" si="48"/>
        <v>0.47452577496608511</v>
      </c>
      <c r="Z71" s="998" t="str">
        <f>+N$81</f>
        <v>TCOL</v>
      </c>
      <c r="AA71" s="1002"/>
      <c r="AB71" s="1002"/>
      <c r="AC71" s="1002"/>
      <c r="AD71" s="1002">
        <f t="shared" ref="AD71:AI71" si="49">+S91</f>
        <v>2.9311187103078229E-3</v>
      </c>
      <c r="AE71" s="1002">
        <f t="shared" si="49"/>
        <v>4.3838285435946478E-3</v>
      </c>
      <c r="AF71" s="1002">
        <f t="shared" si="49"/>
        <v>3.2977691561590694E-2</v>
      </c>
      <c r="AG71" s="1002">
        <f t="shared" si="49"/>
        <v>4.3151276634540769E-2</v>
      </c>
      <c r="AH71" s="1002">
        <f t="shared" si="49"/>
        <v>1.1515032483873333</v>
      </c>
      <c r="AI71" s="1002">
        <f t="shared" si="49"/>
        <v>5.3572024245942096E-2</v>
      </c>
    </row>
    <row r="72" spans="2:57">
      <c r="B72" s="1006" t="s">
        <v>582</v>
      </c>
      <c r="C72" s="1007">
        <v>570.6</v>
      </c>
      <c r="D72" s="1007">
        <v>659.11900000000003</v>
      </c>
      <c r="E72" s="1007">
        <v>729</v>
      </c>
      <c r="F72" s="1007">
        <v>795.48500000000001</v>
      </c>
      <c r="G72" s="1007">
        <v>862.30200000000002</v>
      </c>
      <c r="H72" s="1007">
        <v>909.58499999999992</v>
      </c>
      <c r="I72" s="1007">
        <v>902.69522761795838</v>
      </c>
      <c r="J72" s="1007">
        <v>1001.5066017519263</v>
      </c>
      <c r="K72" s="1007">
        <v>1066.1843094130418</v>
      </c>
      <c r="L72" s="1007">
        <v>1131.944226749024</v>
      </c>
      <c r="N72" s="998" t="s">
        <v>670</v>
      </c>
      <c r="P72" s="1008">
        <f t="shared" ref="P72:X72" si="50">+D71/C71-1</f>
        <v>0.15513319313003859</v>
      </c>
      <c r="Q72" s="1008">
        <f t="shared" si="50"/>
        <v>0.10602182610423916</v>
      </c>
      <c r="R72" s="1008">
        <f t="shared" si="50"/>
        <v>9.1200274348422594E-2</v>
      </c>
      <c r="S72" s="1008">
        <f t="shared" si="50"/>
        <v>8.3995298465715962E-2</v>
      </c>
      <c r="T72" s="1008">
        <f t="shared" si="50"/>
        <v>5.4833457419790177E-2</v>
      </c>
      <c r="U72" s="1008">
        <f t="shared" si="50"/>
        <v>-7.5746328073149627E-3</v>
      </c>
      <c r="V72" s="1008">
        <f t="shared" si="50"/>
        <v>0.10946260832098598</v>
      </c>
      <c r="W72" s="1008">
        <f t="shared" si="50"/>
        <v>6.4580410701212898E-2</v>
      </c>
      <c r="X72" s="1008">
        <f t="shared" si="50"/>
        <v>6.1677813822062832E-2</v>
      </c>
    </row>
    <row r="73" spans="2:57">
      <c r="B73" s="1006" t="s">
        <v>583</v>
      </c>
      <c r="C73" s="1007">
        <v>0</v>
      </c>
      <c r="D73" s="1007">
        <v>0</v>
      </c>
      <c r="E73" s="1007">
        <v>0</v>
      </c>
      <c r="F73" s="1007">
        <v>0</v>
      </c>
      <c r="G73" s="1007">
        <v>0</v>
      </c>
      <c r="H73" s="1007">
        <v>0</v>
      </c>
      <c r="I73" s="1007">
        <v>0</v>
      </c>
      <c r="J73" s="1007">
        <v>0</v>
      </c>
      <c r="K73" s="1007">
        <v>0</v>
      </c>
      <c r="L73" s="1007">
        <v>0</v>
      </c>
      <c r="Z73" s="998" t="str">
        <f>+N46</f>
        <v>EBITDA margin</v>
      </c>
    </row>
    <row r="74" spans="2:57">
      <c r="B74" s="1006" t="s">
        <v>161</v>
      </c>
      <c r="C74" s="1007">
        <v>373.01400000000001</v>
      </c>
      <c r="D74" s="1007">
        <v>327.178</v>
      </c>
      <c r="E74" s="1007">
        <v>336.995</v>
      </c>
      <c r="F74" s="1007">
        <v>391.21300000000002</v>
      </c>
      <c r="G74" s="1007">
        <v>472.33299999999997</v>
      </c>
      <c r="H74" s="1007">
        <v>575.19999999999993</v>
      </c>
      <c r="I74" s="1007">
        <v>630.86741587091569</v>
      </c>
      <c r="J74" s="1007">
        <v>543.04453814405701</v>
      </c>
      <c r="K74" s="1007">
        <v>542.22579634268459</v>
      </c>
      <c r="L74" s="1007">
        <v>558.49656416460903</v>
      </c>
      <c r="N74" s="998" t="s">
        <v>597</v>
      </c>
      <c r="O74" s="1008">
        <f t="shared" ref="O74:X74" si="51">+C74/C67</f>
        <v>0.27220722584543444</v>
      </c>
      <c r="P74" s="1008">
        <f t="shared" si="51"/>
        <v>0.21789351003962573</v>
      </c>
      <c r="Q74" s="1008">
        <f t="shared" si="51"/>
        <v>0.21076796354473193</v>
      </c>
      <c r="R74" s="1008">
        <f t="shared" si="51"/>
        <v>0.23016130759283515</v>
      </c>
      <c r="S74" s="1008">
        <f t="shared" si="51"/>
        <v>0.25811632511313315</v>
      </c>
      <c r="T74" s="1008">
        <f t="shared" si="51"/>
        <v>0.30270609353891942</v>
      </c>
      <c r="U74" s="1008">
        <f t="shared" si="51"/>
        <v>0.31427723924441253</v>
      </c>
      <c r="V74" s="1008">
        <f t="shared" si="51"/>
        <v>0.25438077089384775</v>
      </c>
      <c r="W74" s="1008">
        <f t="shared" si="51"/>
        <v>0.23983945481766564</v>
      </c>
      <c r="X74" s="1008">
        <f t="shared" si="51"/>
        <v>0.23412903980901503</v>
      </c>
      <c r="Z74" s="998" t="str">
        <f>+N$32</f>
        <v>Unity</v>
      </c>
      <c r="AA74" s="1002">
        <f t="shared" ref="AA74:AI74" si="52">+P46</f>
        <v>0.53443223443223453</v>
      </c>
      <c r="AB74" s="1002">
        <f t="shared" si="52"/>
        <v>0.56117575839106737</v>
      </c>
      <c r="AC74" s="1002">
        <f t="shared" si="52"/>
        <v>0.59225498592927928</v>
      </c>
      <c r="AD74" s="1002">
        <f t="shared" si="52"/>
        <v>0.57504440497335707</v>
      </c>
      <c r="AE74" s="1002">
        <f t="shared" si="52"/>
        <v>0.59141849123171097</v>
      </c>
      <c r="AF74" s="1002">
        <f t="shared" si="52"/>
        <v>0.61975056026502962</v>
      </c>
      <c r="AG74" s="1002">
        <f t="shared" si="52"/>
        <v>0.61308121790354941</v>
      </c>
      <c r="AH74" s="1002">
        <f t="shared" si="52"/>
        <v>0.61016018217929391</v>
      </c>
      <c r="AI74" s="1002">
        <f t="shared" si="52"/>
        <v>0.60876249034174912</v>
      </c>
      <c r="AL74" s="1002"/>
      <c r="AM74" s="1002"/>
      <c r="AN74" s="1002"/>
      <c r="AO74" s="1002"/>
      <c r="AP74" s="1002"/>
      <c r="AQ74" s="1002"/>
      <c r="AR74" s="1002"/>
      <c r="AS74" s="1002"/>
      <c r="AT74" s="1002"/>
      <c r="AU74" s="1002"/>
    </row>
    <row r="75" spans="2:57">
      <c r="B75" s="1006" t="s">
        <v>584</v>
      </c>
      <c r="C75" s="1007">
        <v>373.01400000000001</v>
      </c>
      <c r="D75" s="1007">
        <v>327.178</v>
      </c>
      <c r="E75" s="1007">
        <v>336.995</v>
      </c>
      <c r="F75" s="1007">
        <v>391.21300000000002</v>
      </c>
      <c r="G75" s="1007">
        <v>472.33299999999997</v>
      </c>
      <c r="H75" s="1007">
        <v>575.19999999999993</v>
      </c>
      <c r="I75" s="1007">
        <v>630.86741587091569</v>
      </c>
      <c r="J75" s="1007">
        <v>543.04453814405701</v>
      </c>
      <c r="K75" s="1007">
        <v>542.22579634268459</v>
      </c>
      <c r="L75" s="1007">
        <v>558.49656416460903</v>
      </c>
      <c r="N75" s="998" t="s">
        <v>598</v>
      </c>
      <c r="P75" s="1003">
        <f t="shared" ref="P75:X75" si="53">1000*D74/AVERAGE(C60:D60)</f>
        <v>36.264665621068616</v>
      </c>
      <c r="Q75" s="1003">
        <f t="shared" si="53"/>
        <v>38.152680916583648</v>
      </c>
      <c r="R75" s="1003">
        <f t="shared" si="53"/>
        <v>45.252570820464769</v>
      </c>
      <c r="S75" s="1003">
        <f t="shared" si="53"/>
        <v>55.509160780811122</v>
      </c>
      <c r="T75" s="1003">
        <f t="shared" si="53"/>
        <v>68.406969138371878</v>
      </c>
      <c r="U75" s="1003">
        <f t="shared" si="53"/>
        <v>75.551223617179687</v>
      </c>
      <c r="V75" s="1003">
        <f t="shared" si="53"/>
        <v>64.914124394422714</v>
      </c>
      <c r="W75" s="1003">
        <f t="shared" si="53"/>
        <v>64.65095473044812</v>
      </c>
      <c r="X75" s="1003">
        <f t="shared" si="53"/>
        <v>66.374203181748982</v>
      </c>
      <c r="Z75" s="998" t="str">
        <f>+N$57</f>
        <v>KDG</v>
      </c>
      <c r="AA75" s="1002">
        <f t="shared" ref="AA75:AI75" si="54">+P71</f>
        <v>0.43895907562185743</v>
      </c>
      <c r="AB75" s="1002">
        <f t="shared" si="54"/>
        <v>0.45594102412234477</v>
      </c>
      <c r="AC75" s="1002">
        <f t="shared" si="54"/>
        <v>0.46800558204989723</v>
      </c>
      <c r="AD75" s="1002">
        <f t="shared" si="54"/>
        <v>0.47122310610883628</v>
      </c>
      <c r="AE75" s="1002">
        <f t="shared" si="54"/>
        <v>0.47868032352503137</v>
      </c>
      <c r="AF75" s="1002">
        <f t="shared" si="54"/>
        <v>0.44969284651234359</v>
      </c>
      <c r="AG75" s="1002">
        <f t="shared" si="54"/>
        <v>0.46914019663954309</v>
      </c>
      <c r="AH75" s="1002">
        <f t="shared" si="54"/>
        <v>0.47159885278339581</v>
      </c>
      <c r="AI75" s="1002">
        <f t="shared" si="54"/>
        <v>0.47452577496608511</v>
      </c>
      <c r="AL75" s="1002"/>
      <c r="AM75" s="1002"/>
      <c r="AN75" s="1002"/>
      <c r="AO75" s="1002"/>
      <c r="AP75" s="1002"/>
      <c r="AQ75" s="1002"/>
      <c r="AR75" s="1002"/>
      <c r="AS75" s="1002"/>
      <c r="AT75" s="1002"/>
      <c r="AU75" s="1002"/>
    </row>
    <row r="76" spans="2:57">
      <c r="B76" s="1006" t="s">
        <v>585</v>
      </c>
      <c r="C76" s="1007">
        <v>0</v>
      </c>
      <c r="D76" s="1007">
        <v>0</v>
      </c>
      <c r="E76" s="1007">
        <v>0</v>
      </c>
      <c r="F76" s="1007">
        <v>0</v>
      </c>
      <c r="G76" s="1007">
        <v>0</v>
      </c>
      <c r="H76" s="1007">
        <v>0</v>
      </c>
      <c r="I76" s="1007">
        <v>0</v>
      </c>
      <c r="J76" s="1007">
        <v>0</v>
      </c>
      <c r="K76" s="1007">
        <v>0</v>
      </c>
      <c r="L76" s="1007">
        <v>0</v>
      </c>
      <c r="N76" s="998" t="s">
        <v>599</v>
      </c>
      <c r="P76" s="1003">
        <f t="shared" ref="P76:X76" si="55">1000*D74/AVERAGE(C66:D66)</f>
        <v>30.17579133771121</v>
      </c>
      <c r="Q76" s="1003">
        <f t="shared" si="55"/>
        <v>30.025838642134808</v>
      </c>
      <c r="R76" s="1003">
        <f t="shared" si="55"/>
        <v>33.720752830440759</v>
      </c>
      <c r="S76" s="1003">
        <f t="shared" si="55"/>
        <v>39.285622200689509</v>
      </c>
      <c r="T76" s="1003">
        <f t="shared" si="55"/>
        <v>46.224936713947031</v>
      </c>
      <c r="U76" s="1003">
        <f t="shared" si="55"/>
        <v>48.976645112356145</v>
      </c>
      <c r="V76" s="1003">
        <f t="shared" si="55"/>
        <v>40.457063134345155</v>
      </c>
      <c r="W76" s="1003">
        <f t="shared" si="55"/>
        <v>38.830104393509671</v>
      </c>
      <c r="X76" s="1003">
        <f t="shared" si="55"/>
        <v>38.503876933949286</v>
      </c>
      <c r="Z76" s="998" t="str">
        <f>+N$81</f>
        <v>TCOL</v>
      </c>
      <c r="AA76" s="1002"/>
      <c r="AB76" s="1002"/>
      <c r="AC76" s="1002">
        <f t="shared" ref="AC76:AI76" si="56">+R95</f>
        <v>0.38299951148021499</v>
      </c>
      <c r="AD76" s="1002">
        <f t="shared" si="56"/>
        <v>0.42425718460789086</v>
      </c>
      <c r="AE76" s="1002">
        <f t="shared" si="56"/>
        <v>0.42725509214354995</v>
      </c>
      <c r="AF76" s="1002">
        <f t="shared" si="56"/>
        <v>0.4649435572373784</v>
      </c>
      <c r="AG76" s="1002">
        <f t="shared" si="56"/>
        <v>0.47449106544596875</v>
      </c>
      <c r="AH76" s="1002">
        <f t="shared" si="56"/>
        <v>0.50993243113530551</v>
      </c>
      <c r="AI76" s="1002">
        <f t="shared" si="56"/>
        <v>0.54063186320102696</v>
      </c>
      <c r="BE76" s="1009">
        <f>+I99</f>
        <v>0</v>
      </c>
    </row>
    <row r="77" spans="2:57">
      <c r="B77" s="1006" t="s">
        <v>351</v>
      </c>
      <c r="C77" s="1007">
        <v>197.58600000000001</v>
      </c>
      <c r="D77" s="1007">
        <v>331.94100000000003</v>
      </c>
      <c r="E77" s="1007">
        <v>392.005</v>
      </c>
      <c r="F77" s="1007">
        <v>404.27199999999999</v>
      </c>
      <c r="G77" s="1007">
        <v>389.96900000000005</v>
      </c>
      <c r="H77" s="1007">
        <v>334.38499999999999</v>
      </c>
      <c r="I77" s="1007">
        <v>271.82781174704269</v>
      </c>
      <c r="J77" s="1007">
        <v>458.46206360786925</v>
      </c>
      <c r="K77" s="1007">
        <v>523.95851307035718</v>
      </c>
      <c r="L77" s="1007">
        <v>573.44766258441496</v>
      </c>
    </row>
    <row r="78" spans="2:57">
      <c r="B78" s="1006" t="s">
        <v>586</v>
      </c>
      <c r="C78" s="1007">
        <v>-117.78</v>
      </c>
      <c r="D78" s="1007">
        <v>110.97200000000004</v>
      </c>
      <c r="E78" s="1007">
        <v>119.45100000000002</v>
      </c>
      <c r="F78" s="1007">
        <v>91.117439999999988</v>
      </c>
      <c r="G78" s="1007">
        <v>47.616815000000088</v>
      </c>
      <c r="H78" s="1007">
        <v>-46.496209999999905</v>
      </c>
      <c r="I78" s="1007">
        <v>-44.821727605011461</v>
      </c>
      <c r="J78" s="1007">
        <v>121.37646320100566</v>
      </c>
      <c r="K78" s="1007">
        <v>155.4193696373776</v>
      </c>
      <c r="L78" s="1007">
        <v>175.58795925186598</v>
      </c>
      <c r="Z78" s="998" t="str">
        <f>+N49</f>
        <v>Capex / revenues</v>
      </c>
    </row>
    <row r="79" spans="2:57">
      <c r="B79" s="1006" t="s">
        <v>160</v>
      </c>
      <c r="C79" s="1007">
        <v>3035.1590000000001</v>
      </c>
      <c r="D79" s="1007">
        <v>2843.7619999999997</v>
      </c>
      <c r="E79" s="1007">
        <v>2726.402</v>
      </c>
      <c r="F79" s="1007">
        <v>2725.9909999999995</v>
      </c>
      <c r="G79" s="1007">
        <v>2813.7020000000002</v>
      </c>
      <c r="H79" s="1007">
        <v>3033.5</v>
      </c>
      <c r="I79" s="1007">
        <v>2957.4009149956919</v>
      </c>
      <c r="J79" s="1007">
        <v>2928.9584348200674</v>
      </c>
      <c r="K79" s="1007">
        <v>2876.7994847515674</v>
      </c>
      <c r="L79" s="1007">
        <v>2817.8775004463305</v>
      </c>
      <c r="Z79" s="998" t="str">
        <f>+N$32</f>
        <v>Unity</v>
      </c>
      <c r="AA79" s="1002">
        <f t="shared" ref="AA79:AI79" si="57">+P49</f>
        <v>0.29589743589743583</v>
      </c>
      <c r="AB79" s="1002">
        <f t="shared" si="57"/>
        <v>0.2718100491020381</v>
      </c>
      <c r="AC79" s="1002">
        <f t="shared" si="57"/>
        <v>0.26685427627554148</v>
      </c>
      <c r="AD79" s="1002">
        <f t="shared" si="57"/>
        <v>0.25804840142095914</v>
      </c>
      <c r="AE79" s="1002">
        <f t="shared" si="57"/>
        <v>0.21754695444640448</v>
      </c>
      <c r="AF79" s="1002">
        <f t="shared" si="57"/>
        <v>0.20018513105329824</v>
      </c>
      <c r="AG79" s="1002">
        <f t="shared" si="57"/>
        <v>0.20178993935118431</v>
      </c>
      <c r="AH79" s="1002">
        <f t="shared" si="57"/>
        <v>0.19883586067367776</v>
      </c>
      <c r="AI79" s="1002">
        <f t="shared" si="57"/>
        <v>0.19643234856870703</v>
      </c>
    </row>
    <row r="80" spans="2:57">
      <c r="B80" s="998" t="s">
        <v>554</v>
      </c>
      <c r="Z80" s="998" t="str">
        <f>+N$57</f>
        <v>KDG</v>
      </c>
      <c r="AA80" s="1002">
        <f t="shared" ref="AA80:AI80" si="58">+P74</f>
        <v>0.21789351003962573</v>
      </c>
      <c r="AB80" s="1002">
        <f t="shared" si="58"/>
        <v>0.21076796354473193</v>
      </c>
      <c r="AC80" s="1002">
        <f t="shared" si="58"/>
        <v>0.23016130759283515</v>
      </c>
      <c r="AD80" s="1002">
        <f t="shared" si="58"/>
        <v>0.25811632511313315</v>
      </c>
      <c r="AE80" s="1002">
        <f t="shared" si="58"/>
        <v>0.30270609353891942</v>
      </c>
      <c r="AF80" s="1002">
        <f t="shared" si="58"/>
        <v>0.31427723924441253</v>
      </c>
      <c r="AG80" s="1002">
        <f t="shared" si="58"/>
        <v>0.25438077089384775</v>
      </c>
      <c r="AH80" s="1002">
        <f t="shared" si="58"/>
        <v>0.23983945481766564</v>
      </c>
      <c r="AI80" s="1002">
        <f t="shared" si="58"/>
        <v>0.23412903980901503</v>
      </c>
    </row>
    <row r="81" spans="2:65">
      <c r="B81" s="1004" t="s">
        <v>1048</v>
      </c>
      <c r="C81" s="1004">
        <v>2008</v>
      </c>
      <c r="D81" s="1004">
        <v>2009</v>
      </c>
      <c r="E81" s="1004">
        <v>2010</v>
      </c>
      <c r="F81" s="1004">
        <v>2011</v>
      </c>
      <c r="G81" s="1004">
        <v>2012</v>
      </c>
      <c r="H81" s="1004">
        <v>2013</v>
      </c>
      <c r="I81" s="1004">
        <v>2014</v>
      </c>
      <c r="J81" s="1004">
        <v>2015</v>
      </c>
      <c r="K81" s="1004">
        <v>2016</v>
      </c>
      <c r="L81" s="1005">
        <v>2017</v>
      </c>
      <c r="N81" s="998" t="str">
        <f>+B80</f>
        <v>TCOL</v>
      </c>
      <c r="O81" s="998">
        <f t="shared" ref="O81:X81" si="59">+C81</f>
        <v>2008</v>
      </c>
      <c r="P81" s="998">
        <f t="shared" si="59"/>
        <v>2009</v>
      </c>
      <c r="Q81" s="998">
        <f t="shared" si="59"/>
        <v>2010</v>
      </c>
      <c r="R81" s="998">
        <f t="shared" si="59"/>
        <v>2011</v>
      </c>
      <c r="S81" s="998">
        <f t="shared" si="59"/>
        <v>2012</v>
      </c>
      <c r="T81" s="998">
        <f t="shared" si="59"/>
        <v>2013</v>
      </c>
      <c r="U81" s="998">
        <f t="shared" si="59"/>
        <v>2014</v>
      </c>
      <c r="V81" s="998">
        <f t="shared" si="59"/>
        <v>2015</v>
      </c>
      <c r="W81" s="998">
        <f t="shared" si="59"/>
        <v>2016</v>
      </c>
      <c r="X81" s="998">
        <f t="shared" si="59"/>
        <v>2017</v>
      </c>
      <c r="Z81" s="998" t="str">
        <f>+N$81</f>
        <v>TCOL</v>
      </c>
      <c r="AA81" s="1002"/>
      <c r="AB81" s="1002"/>
      <c r="AC81" s="1002">
        <f t="shared" ref="AC81:AI81" si="60">+R98</f>
        <v>0.33268197361993157</v>
      </c>
      <c r="AD81" s="1002">
        <f t="shared" si="60"/>
        <v>0.29030686799805161</v>
      </c>
      <c r="AE81" s="1002">
        <f t="shared" si="60"/>
        <v>0.24975751697381185</v>
      </c>
      <c r="AF81" s="1002">
        <f t="shared" si="60"/>
        <v>0.3948356807511737</v>
      </c>
      <c r="AG81" s="1002">
        <f t="shared" si="60"/>
        <v>0.51757220201872645</v>
      </c>
      <c r="AH81" s="1002">
        <f t="shared" si="60"/>
        <v>0.35000000000000003</v>
      </c>
      <c r="AI81" s="1002">
        <f t="shared" si="60"/>
        <v>0.32</v>
      </c>
    </row>
    <row r="82" spans="2:65">
      <c r="B82" s="1006" t="s">
        <v>568</v>
      </c>
      <c r="C82" s="1007"/>
      <c r="D82" s="1007"/>
      <c r="E82" s="1007"/>
      <c r="F82" s="1007" t="e">
        <f>+'Model also  old'!#REF!</f>
        <v>#REF!</v>
      </c>
      <c r="G82" s="1007" t="e">
        <f>+'Model also  old'!#REF!</f>
        <v>#REF!</v>
      </c>
      <c r="H82" s="1007" t="e">
        <f>+'Model also  old'!#REF!</f>
        <v>#REF!</v>
      </c>
      <c r="I82" s="1007" t="e">
        <f>+'Model also  old'!#REF!</f>
        <v>#REF!</v>
      </c>
      <c r="J82" s="1007" t="e">
        <f>+'Model also  old'!#REF!</f>
        <v>#REF!</v>
      </c>
      <c r="K82" s="1007" t="e">
        <f>+'Model also  old'!#REF!</f>
        <v>#REF!</v>
      </c>
      <c r="L82" s="1007" t="e">
        <f>+'Model also  old'!#REF!</f>
        <v>#REF!</v>
      </c>
      <c r="N82" s="998" t="s">
        <v>589</v>
      </c>
      <c r="P82" s="1001"/>
      <c r="Q82" s="1001"/>
      <c r="R82" s="1001"/>
      <c r="S82" s="1001" t="e">
        <f t="shared" ref="S82:X82" si="61">+G82/F82-1</f>
        <v>#REF!</v>
      </c>
      <c r="T82" s="1001" t="e">
        <f t="shared" si="61"/>
        <v>#REF!</v>
      </c>
      <c r="U82" s="1001" t="e">
        <f t="shared" si="61"/>
        <v>#REF!</v>
      </c>
      <c r="V82" s="1001" t="e">
        <f t="shared" si="61"/>
        <v>#REF!</v>
      </c>
      <c r="W82" s="1001" t="e">
        <f t="shared" si="61"/>
        <v>#REF!</v>
      </c>
      <c r="X82" s="1001" t="e">
        <f t="shared" si="61"/>
        <v>#REF!</v>
      </c>
    </row>
    <row r="83" spans="2:65">
      <c r="B83" s="1006" t="s">
        <v>572</v>
      </c>
      <c r="C83" s="1007"/>
      <c r="D83" s="1007"/>
      <c r="E83" s="1007"/>
      <c r="F83" s="1007" t="e">
        <f>+'Model also  old'!#REF!</f>
        <v>#REF!</v>
      </c>
      <c r="G83" s="1007" t="e">
        <f>+'Model also  old'!#REF!</f>
        <v>#REF!</v>
      </c>
      <c r="H83" s="1007" t="e">
        <f>+'Model also  old'!#REF!</f>
        <v>#REF!</v>
      </c>
      <c r="I83" s="1007" t="e">
        <f>+'Model also  old'!#REF!</f>
        <v>#REF!</v>
      </c>
      <c r="J83" s="1007" t="e">
        <f>+'Model also  old'!#REF!</f>
        <v>#REF!</v>
      </c>
      <c r="K83" s="1007" t="e">
        <f>+'Model also  old'!#REF!</f>
        <v>#REF!</v>
      </c>
      <c r="L83" s="1007" t="e">
        <f>+'Model also  old'!#REF!</f>
        <v>#REF!</v>
      </c>
      <c r="N83" s="998" t="s">
        <v>591</v>
      </c>
      <c r="O83" s="1008"/>
      <c r="P83" s="1008"/>
      <c r="Q83" s="1008"/>
      <c r="R83" s="1008" t="e">
        <f t="shared" ref="R83:X83" si="62">+F83/F82</f>
        <v>#REF!</v>
      </c>
      <c r="S83" s="1008" t="e">
        <f t="shared" si="62"/>
        <v>#REF!</v>
      </c>
      <c r="T83" s="1008" t="e">
        <f t="shared" si="62"/>
        <v>#REF!</v>
      </c>
      <c r="U83" s="1008" t="e">
        <f t="shared" si="62"/>
        <v>#REF!</v>
      </c>
      <c r="V83" s="1008" t="e">
        <f t="shared" si="62"/>
        <v>#REF!</v>
      </c>
      <c r="W83" s="1008" t="e">
        <f t="shared" si="62"/>
        <v>#REF!</v>
      </c>
      <c r="X83" s="1008" t="e">
        <f t="shared" si="62"/>
        <v>#REF!</v>
      </c>
      <c r="Z83" s="998" t="str">
        <f>+N50</f>
        <v>Capex / customer €/yr</v>
      </c>
    </row>
    <row r="84" spans="2:65">
      <c r="B84" s="1006" t="s">
        <v>570</v>
      </c>
      <c r="C84" s="1007"/>
      <c r="D84" s="1007"/>
      <c r="E84" s="1007"/>
      <c r="F84" s="1007" t="e">
        <f>+'Model also  old'!#REF!</f>
        <v>#REF!</v>
      </c>
      <c r="G84" s="1007" t="e">
        <f>+'Model also  old'!#REF!</f>
        <v>#REF!</v>
      </c>
      <c r="H84" s="1007" t="e">
        <f>+'Model also  old'!#REF!</f>
        <v>#REF!</v>
      </c>
      <c r="I84" s="1007" t="e">
        <f>+'Model also  old'!#REF!</f>
        <v>#REF!</v>
      </c>
      <c r="J84" s="1007" t="e">
        <f>+'Model also  old'!#REF!</f>
        <v>#REF!</v>
      </c>
      <c r="K84" s="1007" t="e">
        <f>+'Model also  old'!#REF!</f>
        <v>#REF!</v>
      </c>
      <c r="L84" s="1007" t="e">
        <f>+'Model also  old'!#REF!</f>
        <v>#REF!</v>
      </c>
      <c r="N84" s="998" t="s">
        <v>590</v>
      </c>
      <c r="P84" s="1001"/>
      <c r="Q84" s="1001"/>
      <c r="R84" s="1001"/>
      <c r="S84" s="1001" t="e">
        <f t="shared" ref="S84:X85" si="63">+G84/F84-1</f>
        <v>#REF!</v>
      </c>
      <c r="T84" s="1001" t="e">
        <f t="shared" si="63"/>
        <v>#REF!</v>
      </c>
      <c r="U84" s="1001" t="e">
        <f t="shared" si="63"/>
        <v>#REF!</v>
      </c>
      <c r="V84" s="1001" t="e">
        <f t="shared" si="63"/>
        <v>#REF!</v>
      </c>
      <c r="W84" s="1001" t="e">
        <f t="shared" si="63"/>
        <v>#REF!</v>
      </c>
      <c r="X84" s="1001" t="e">
        <f t="shared" si="63"/>
        <v>#REF!</v>
      </c>
      <c r="Z84" s="998" t="str">
        <f>+N$32</f>
        <v>Unity</v>
      </c>
      <c r="AA84" s="1016">
        <f t="shared" ref="AA84:AI84" si="64">+P50</f>
        <v>58.727735368956743</v>
      </c>
      <c r="AB84" s="1016">
        <f t="shared" si="64"/>
        <v>58.791864288416214</v>
      </c>
      <c r="AC84" s="1016">
        <f t="shared" si="64"/>
        <v>63.034226631310482</v>
      </c>
      <c r="AD84" s="1016">
        <f t="shared" si="64"/>
        <v>66.502639220678901</v>
      </c>
      <c r="AE84" s="1016">
        <f t="shared" si="64"/>
        <v>59.395561977207848</v>
      </c>
      <c r="AF84" s="1016">
        <f t="shared" si="64"/>
        <v>57.887099728103912</v>
      </c>
      <c r="AG84" s="1016">
        <f t="shared" si="64"/>
        <v>61.672173445466271</v>
      </c>
      <c r="AH84" s="1016">
        <f t="shared" si="64"/>
        <v>64.580233034648543</v>
      </c>
      <c r="AI84" s="1016">
        <f t="shared" si="64"/>
        <v>67.559720450606932</v>
      </c>
    </row>
    <row r="85" spans="2:65">
      <c r="B85" s="1006" t="s">
        <v>573</v>
      </c>
      <c r="C85" s="1007"/>
      <c r="D85" s="1007"/>
      <c r="E85" s="1007"/>
      <c r="F85" s="1007" t="e">
        <f>+'Model also  old'!#REF!</f>
        <v>#REF!</v>
      </c>
      <c r="G85" s="1007" t="e">
        <f>+'Model also  old'!#REF!</f>
        <v>#REF!</v>
      </c>
      <c r="H85" s="1007" t="e">
        <f>+'Model also  old'!#REF!</f>
        <v>#REF!</v>
      </c>
      <c r="I85" s="1007" t="e">
        <f>+'Model also  old'!#REF!</f>
        <v>#REF!</v>
      </c>
      <c r="J85" s="1007" t="e">
        <f>+'Model also  old'!#REF!</f>
        <v>#REF!</v>
      </c>
      <c r="K85" s="1007" t="e">
        <f>+'Model also  old'!#REF!</f>
        <v>#REF!</v>
      </c>
      <c r="L85" s="1007" t="e">
        <f>+'Model also  old'!#REF!</f>
        <v>#REF!</v>
      </c>
      <c r="N85" s="998" t="s">
        <v>592</v>
      </c>
      <c r="P85" s="1001"/>
      <c r="Q85" s="1001"/>
      <c r="R85" s="1001"/>
      <c r="S85" s="1001" t="e">
        <f t="shared" si="63"/>
        <v>#REF!</v>
      </c>
      <c r="T85" s="1001" t="e">
        <f t="shared" si="63"/>
        <v>#REF!</v>
      </c>
      <c r="U85" s="1001" t="e">
        <f t="shared" si="63"/>
        <v>#REF!</v>
      </c>
      <c r="V85" s="1001" t="e">
        <f t="shared" si="63"/>
        <v>#REF!</v>
      </c>
      <c r="W85" s="1001" t="e">
        <f t="shared" si="63"/>
        <v>#REF!</v>
      </c>
      <c r="X85" s="1001" t="e">
        <f t="shared" si="63"/>
        <v>#REF!</v>
      </c>
      <c r="Z85" s="998" t="str">
        <f>+N$57</f>
        <v>KDG</v>
      </c>
      <c r="AA85" s="1016">
        <f t="shared" ref="AA85:AI85" si="65">+P75</f>
        <v>36.264665621068616</v>
      </c>
      <c r="AB85" s="1016">
        <f t="shared" si="65"/>
        <v>38.152680916583648</v>
      </c>
      <c r="AC85" s="1016">
        <f t="shared" si="65"/>
        <v>45.252570820464769</v>
      </c>
      <c r="AD85" s="1016">
        <f t="shared" si="65"/>
        <v>55.509160780811122</v>
      </c>
      <c r="AE85" s="1016">
        <f t="shared" si="65"/>
        <v>68.406969138371878</v>
      </c>
      <c r="AF85" s="1016">
        <f t="shared" si="65"/>
        <v>75.551223617179687</v>
      </c>
      <c r="AG85" s="1016">
        <f t="shared" si="65"/>
        <v>64.914124394422714</v>
      </c>
      <c r="AH85" s="1016">
        <f t="shared" si="65"/>
        <v>64.65095473044812</v>
      </c>
      <c r="AI85" s="1016">
        <f t="shared" si="65"/>
        <v>66.374203181748982</v>
      </c>
    </row>
    <row r="86" spans="2:65">
      <c r="B86" s="1006" t="s">
        <v>574</v>
      </c>
      <c r="C86" s="1007"/>
      <c r="D86" s="1007"/>
      <c r="E86" s="1007"/>
      <c r="F86" s="1007"/>
      <c r="G86" s="1007"/>
      <c r="H86" s="1007"/>
      <c r="I86" s="1007"/>
      <c r="J86" s="1007"/>
      <c r="K86" s="1007"/>
      <c r="L86" s="1007"/>
      <c r="N86" s="998" t="s">
        <v>649</v>
      </c>
      <c r="P86" s="1009"/>
      <c r="Q86" s="1009"/>
      <c r="R86" s="1009"/>
      <c r="S86" s="1009" t="e">
        <f t="shared" ref="S86:X86" si="66">+G85-F85</f>
        <v>#REF!</v>
      </c>
      <c r="T86" s="1009" t="e">
        <f t="shared" si="66"/>
        <v>#REF!</v>
      </c>
      <c r="U86" s="1009" t="e">
        <f t="shared" si="66"/>
        <v>#REF!</v>
      </c>
      <c r="V86" s="1009" t="e">
        <f t="shared" si="66"/>
        <v>#REF!</v>
      </c>
      <c r="W86" s="1009" t="e">
        <f t="shared" si="66"/>
        <v>#REF!</v>
      </c>
      <c r="X86" s="1009" t="e">
        <f t="shared" si="66"/>
        <v>#REF!</v>
      </c>
      <c r="Z86" s="998" t="str">
        <f>+N$81</f>
        <v>TCOL</v>
      </c>
      <c r="AA86" s="1016"/>
      <c r="AB86" s="1016"/>
      <c r="AC86" s="1016" t="e">
        <f t="shared" ref="AC86:AI86" si="67">+R99</f>
        <v>#REF!</v>
      </c>
      <c r="AD86" s="1016" t="e">
        <f t="shared" si="67"/>
        <v>#REF!</v>
      </c>
      <c r="AE86" s="1016" t="e">
        <f t="shared" si="67"/>
        <v>#REF!</v>
      </c>
      <c r="AF86" s="1016" t="e">
        <f t="shared" si="67"/>
        <v>#REF!</v>
      </c>
      <c r="AG86" s="1016" t="e">
        <f t="shared" si="67"/>
        <v>#REF!</v>
      </c>
      <c r="AH86" s="1016" t="e">
        <f t="shared" si="67"/>
        <v>#REF!</v>
      </c>
      <c r="AI86" s="1016" t="e">
        <f t="shared" si="67"/>
        <v>#REF!</v>
      </c>
    </row>
    <row r="87" spans="2:65">
      <c r="B87" s="1006" t="s">
        <v>575</v>
      </c>
      <c r="C87" s="1007"/>
      <c r="D87" s="1007"/>
      <c r="E87" s="1007"/>
      <c r="F87" s="1007"/>
      <c r="G87" s="1007"/>
      <c r="H87" s="1007"/>
      <c r="I87" s="1007"/>
      <c r="J87" s="1007"/>
      <c r="K87" s="1007"/>
      <c r="L87" s="1007"/>
    </row>
    <row r="88" spans="2:65">
      <c r="B88" s="1006" t="s">
        <v>576</v>
      </c>
      <c r="C88" s="1007"/>
      <c r="D88" s="1007"/>
      <c r="E88" s="1007"/>
      <c r="F88" s="1007" t="e">
        <f>+'Model also  old'!#REF!</f>
        <v>#REF!</v>
      </c>
      <c r="G88" s="1007" t="e">
        <f>+'Model also  old'!#REF!</f>
        <v>#REF!</v>
      </c>
      <c r="H88" s="1007" t="e">
        <f>+'Model also  old'!#REF!</f>
        <v>#REF!</v>
      </c>
      <c r="I88" s="1007" t="e">
        <f>+'Model also  old'!#REF!</f>
        <v>#REF!</v>
      </c>
      <c r="J88" s="1007" t="e">
        <f>+'Model also  old'!#REF!</f>
        <v>#REF!</v>
      </c>
      <c r="K88" s="1007" t="e">
        <f>+'Model also  old'!#REF!</f>
        <v>#REF!</v>
      </c>
      <c r="L88" s="1007" t="e">
        <f>+'Model also  old'!#REF!</f>
        <v>#REF!</v>
      </c>
      <c r="N88" s="998" t="s">
        <v>593</v>
      </c>
      <c r="O88" s="1008"/>
      <c r="P88" s="1008"/>
      <c r="Q88" s="1008"/>
      <c r="R88" s="1008" t="e">
        <f t="shared" ref="R88:X88" si="68">+F88/F84</f>
        <v>#REF!</v>
      </c>
      <c r="S88" s="1008" t="e">
        <f t="shared" si="68"/>
        <v>#REF!</v>
      </c>
      <c r="T88" s="1008" t="e">
        <f t="shared" si="68"/>
        <v>#REF!</v>
      </c>
      <c r="U88" s="1008" t="e">
        <f t="shared" si="68"/>
        <v>#REF!</v>
      </c>
      <c r="V88" s="1008" t="e">
        <f t="shared" si="68"/>
        <v>#REF!</v>
      </c>
      <c r="W88" s="1008" t="e">
        <f t="shared" si="68"/>
        <v>#REF!</v>
      </c>
      <c r="X88" s="1008" t="e">
        <f t="shared" si="68"/>
        <v>#REF!</v>
      </c>
      <c r="Z88" s="998" t="str">
        <f>+N51</f>
        <v>Capex / RGU € / yr</v>
      </c>
    </row>
    <row r="89" spans="2:65">
      <c r="B89" s="1006" t="s">
        <v>577</v>
      </c>
      <c r="C89" s="1007"/>
      <c r="D89" s="1007"/>
      <c r="E89" s="1007"/>
      <c r="F89" s="1007" t="e">
        <f>+'Model also  old'!#REF!</f>
        <v>#REF!</v>
      </c>
      <c r="G89" s="1007" t="e">
        <f>+'Model also  old'!#REF!</f>
        <v>#REF!</v>
      </c>
      <c r="H89" s="1007" t="e">
        <f>+'Model also  old'!#REF!</f>
        <v>#REF!</v>
      </c>
      <c r="I89" s="1007" t="e">
        <f>+'Model also  old'!#REF!</f>
        <v>#REF!</v>
      </c>
      <c r="J89" s="1007" t="e">
        <f>+'Model also  old'!#REF!</f>
        <v>#REF!</v>
      </c>
      <c r="K89" s="1007" t="e">
        <f>+'Model also  old'!#REF!</f>
        <v>#REF!</v>
      </c>
      <c r="L89" s="1007" t="e">
        <f>+'Model also  old'!#REF!</f>
        <v>#REF!</v>
      </c>
      <c r="N89" s="998" t="s">
        <v>594</v>
      </c>
      <c r="O89" s="1008"/>
      <c r="P89" s="1008"/>
      <c r="Q89" s="1008"/>
      <c r="R89" s="1008" t="e">
        <f t="shared" ref="R89:X89" si="69">+F89/F84</f>
        <v>#REF!</v>
      </c>
      <c r="S89" s="1008" t="e">
        <f t="shared" si="69"/>
        <v>#REF!</v>
      </c>
      <c r="T89" s="1008" t="e">
        <f t="shared" si="69"/>
        <v>#REF!</v>
      </c>
      <c r="U89" s="1008" t="e">
        <f t="shared" si="69"/>
        <v>#REF!</v>
      </c>
      <c r="V89" s="1008" t="e">
        <f t="shared" si="69"/>
        <v>#REF!</v>
      </c>
      <c r="W89" s="1008" t="e">
        <f t="shared" si="69"/>
        <v>#REF!</v>
      </c>
      <c r="X89" s="1008" t="e">
        <f t="shared" si="69"/>
        <v>#REF!</v>
      </c>
      <c r="Z89" s="998" t="str">
        <f>+N$32</f>
        <v>Unity</v>
      </c>
      <c r="AA89" s="1016">
        <f t="shared" ref="AA89:AI89" si="70">+P51</f>
        <v>46.395956579174083</v>
      </c>
      <c r="AB89" s="1016">
        <f t="shared" si="70"/>
        <v>43.305863063024447</v>
      </c>
      <c r="AC89" s="1016">
        <f t="shared" si="70"/>
        <v>43.554233108006912</v>
      </c>
      <c r="AD89" s="1016">
        <f t="shared" si="70"/>
        <v>43.197688194273447</v>
      </c>
      <c r="AE89" s="1016">
        <f t="shared" si="70"/>
        <v>36.717573295036601</v>
      </c>
      <c r="AF89" s="1016">
        <f t="shared" si="70"/>
        <v>34.38378631677601</v>
      </c>
      <c r="AG89" s="1016">
        <f t="shared" si="70"/>
        <v>35.400230156202433</v>
      </c>
      <c r="AH89" s="1016">
        <f t="shared" si="70"/>
        <v>35.841096653883959</v>
      </c>
      <c r="AI89" s="1016">
        <f t="shared" si="70"/>
        <v>36.297548495222813</v>
      </c>
      <c r="AL89" s="1002"/>
      <c r="AM89" s="1002"/>
      <c r="AN89" s="1002"/>
      <c r="AO89" s="1002"/>
      <c r="AP89" s="1002"/>
      <c r="AQ89" s="1002"/>
      <c r="AR89" s="1002"/>
      <c r="AS89" s="1002"/>
      <c r="AT89" s="1002"/>
      <c r="AU89" s="1002"/>
    </row>
    <row r="90" spans="2:65">
      <c r="B90" s="1006" t="s">
        <v>578</v>
      </c>
      <c r="C90" s="1007"/>
      <c r="D90" s="1007"/>
      <c r="E90" s="1007"/>
      <c r="F90" s="1007" t="e">
        <f>+F89+F88+F85</f>
        <v>#REF!</v>
      </c>
      <c r="G90" s="1007" t="e">
        <f t="shared" ref="G90:L90" si="71">+G89+G88+G85</f>
        <v>#REF!</v>
      </c>
      <c r="H90" s="1007" t="e">
        <f t="shared" si="71"/>
        <v>#REF!</v>
      </c>
      <c r="I90" s="1007" t="e">
        <f t="shared" si="71"/>
        <v>#REF!</v>
      </c>
      <c r="J90" s="1007" t="e">
        <f t="shared" si="71"/>
        <v>#REF!</v>
      </c>
      <c r="K90" s="1007" t="e">
        <f t="shared" si="71"/>
        <v>#REF!</v>
      </c>
      <c r="L90" s="1007" t="e">
        <f t="shared" si="71"/>
        <v>#REF!</v>
      </c>
      <c r="N90" s="998" t="s">
        <v>600</v>
      </c>
      <c r="O90" s="1010"/>
      <c r="P90" s="1010"/>
      <c r="Q90" s="1010"/>
      <c r="R90" s="1010" t="e">
        <f t="shared" ref="R90:X90" si="72">+F90/F84</f>
        <v>#REF!</v>
      </c>
      <c r="S90" s="1010" t="e">
        <f t="shared" si="72"/>
        <v>#REF!</v>
      </c>
      <c r="T90" s="1010" t="e">
        <f t="shared" si="72"/>
        <v>#REF!</v>
      </c>
      <c r="U90" s="1010" t="e">
        <f t="shared" si="72"/>
        <v>#REF!</v>
      </c>
      <c r="V90" s="1010" t="e">
        <f t="shared" si="72"/>
        <v>#REF!</v>
      </c>
      <c r="W90" s="1010" t="e">
        <f t="shared" si="72"/>
        <v>#REF!</v>
      </c>
      <c r="X90" s="1010" t="e">
        <f t="shared" si="72"/>
        <v>#REF!</v>
      </c>
      <c r="Z90" s="998" t="str">
        <f>+N$57</f>
        <v>KDG</v>
      </c>
      <c r="AA90" s="1016">
        <f t="shared" ref="AA90:AI90" si="73">+P76</f>
        <v>30.17579133771121</v>
      </c>
      <c r="AB90" s="1016">
        <f t="shared" si="73"/>
        <v>30.025838642134808</v>
      </c>
      <c r="AC90" s="1016">
        <f t="shared" si="73"/>
        <v>33.720752830440759</v>
      </c>
      <c r="AD90" s="1016">
        <f t="shared" si="73"/>
        <v>39.285622200689509</v>
      </c>
      <c r="AE90" s="1016">
        <f t="shared" si="73"/>
        <v>46.224936713947031</v>
      </c>
      <c r="AF90" s="1016">
        <f t="shared" si="73"/>
        <v>48.976645112356145</v>
      </c>
      <c r="AG90" s="1016">
        <f t="shared" si="73"/>
        <v>40.457063134345155</v>
      </c>
      <c r="AH90" s="1016">
        <f t="shared" si="73"/>
        <v>38.830104393509671</v>
      </c>
      <c r="AI90" s="1016">
        <f t="shared" si="73"/>
        <v>38.503876933949286</v>
      </c>
      <c r="AL90" s="1002"/>
      <c r="AM90" s="1002"/>
      <c r="AN90" s="1002"/>
      <c r="AO90" s="1002"/>
      <c r="AP90" s="1002"/>
      <c r="AQ90" s="1002"/>
      <c r="AR90" s="1002"/>
      <c r="AS90" s="1002"/>
      <c r="AT90" s="1002"/>
      <c r="AU90" s="1002"/>
    </row>
    <row r="91" spans="2:65">
      <c r="B91" s="1006" t="s">
        <v>143</v>
      </c>
      <c r="C91" s="1007"/>
      <c r="D91" s="1007"/>
      <c r="E91" s="1007"/>
      <c r="F91" s="1007">
        <f>+'Model also  old'!B94</f>
        <v>204.7</v>
      </c>
      <c r="G91" s="1007">
        <f>+'Model also  old'!C94</f>
        <v>205.3</v>
      </c>
      <c r="H91" s="1007">
        <f>+'Model also  old'!D94</f>
        <v>206.2</v>
      </c>
      <c r="I91" s="1007">
        <f>+'Model also  old'!E94</f>
        <v>213</v>
      </c>
      <c r="J91" s="1007">
        <f>+'Model also  old'!F94</f>
        <v>222.1912219231572</v>
      </c>
      <c r="K91" s="1007">
        <f>+'Model also  old'!N94</f>
        <v>478.04513573082357</v>
      </c>
      <c r="L91" s="1007">
        <f>+'Model also  old'!O94</f>
        <v>503.65498133284996</v>
      </c>
      <c r="N91" s="998" t="s">
        <v>595</v>
      </c>
      <c r="P91" s="1001"/>
      <c r="Q91" s="1001"/>
      <c r="R91" s="1001"/>
      <c r="S91" s="1001">
        <f t="shared" ref="S91:X91" si="74">+G91/F91-1</f>
        <v>2.9311187103078229E-3</v>
      </c>
      <c r="T91" s="1001">
        <f t="shared" si="74"/>
        <v>4.3838285435946478E-3</v>
      </c>
      <c r="U91" s="1001">
        <f t="shared" si="74"/>
        <v>3.2977691561590694E-2</v>
      </c>
      <c r="V91" s="1001">
        <f t="shared" si="74"/>
        <v>4.3151276634540769E-2</v>
      </c>
      <c r="W91" s="1001">
        <f t="shared" si="74"/>
        <v>1.1515032483873333</v>
      </c>
      <c r="X91" s="1001">
        <f t="shared" si="74"/>
        <v>5.3572024245942096E-2</v>
      </c>
      <c r="Z91" s="998" t="str">
        <f>+N$81</f>
        <v>TCOL</v>
      </c>
      <c r="AA91" s="1016"/>
      <c r="AB91" s="1016"/>
      <c r="AC91" s="1016" t="e">
        <f t="shared" ref="AC91:AI91" si="75">+R100</f>
        <v>#REF!</v>
      </c>
      <c r="AD91" s="1016" t="e">
        <f t="shared" si="75"/>
        <v>#REF!</v>
      </c>
      <c r="AE91" s="1016" t="e">
        <f t="shared" si="75"/>
        <v>#REF!</v>
      </c>
      <c r="AF91" s="1016" t="e">
        <f t="shared" si="75"/>
        <v>#REF!</v>
      </c>
      <c r="AG91" s="1016" t="e">
        <f t="shared" si="75"/>
        <v>#REF!</v>
      </c>
      <c r="AH91" s="1016" t="e">
        <f t="shared" si="75"/>
        <v>#REF!</v>
      </c>
      <c r="AI91" s="1016" t="e">
        <f t="shared" si="75"/>
        <v>#REF!</v>
      </c>
    </row>
    <row r="92" spans="2:65">
      <c r="B92" s="1006" t="s">
        <v>579</v>
      </c>
      <c r="C92" s="1007"/>
      <c r="D92" s="1007"/>
      <c r="E92" s="1007"/>
      <c r="F92" s="1007">
        <f>+F91</f>
        <v>204.7</v>
      </c>
      <c r="G92" s="1007">
        <f t="shared" ref="G92:L92" si="76">+G91</f>
        <v>205.3</v>
      </c>
      <c r="H92" s="1007">
        <f t="shared" si="76"/>
        <v>206.2</v>
      </c>
      <c r="I92" s="1007">
        <f t="shared" si="76"/>
        <v>213</v>
      </c>
      <c r="J92" s="1007">
        <f t="shared" si="76"/>
        <v>222.1912219231572</v>
      </c>
      <c r="K92" s="1007">
        <f t="shared" si="76"/>
        <v>478.04513573082357</v>
      </c>
      <c r="L92" s="1007">
        <f t="shared" si="76"/>
        <v>503.65498133284996</v>
      </c>
    </row>
    <row r="93" spans="2:65">
      <c r="B93" s="1006" t="s">
        <v>580</v>
      </c>
      <c r="C93" s="1007"/>
      <c r="D93" s="1007"/>
      <c r="E93" s="1007"/>
      <c r="F93" s="1007"/>
      <c r="G93" s="1007"/>
      <c r="H93" s="1007"/>
      <c r="I93" s="1007"/>
      <c r="J93" s="1007"/>
      <c r="K93" s="1007"/>
      <c r="L93" s="1007"/>
      <c r="Z93" s="998" t="str">
        <f>+N37</f>
        <v>Video RGU adds</v>
      </c>
      <c r="AA93" s="998">
        <f>AA32</f>
        <v>2009</v>
      </c>
      <c r="AB93" s="998">
        <f t="shared" ref="AB93:AI93" si="77">AB32</f>
        <v>2010</v>
      </c>
      <c r="AC93" s="998">
        <f t="shared" si="77"/>
        <v>2011</v>
      </c>
      <c r="AD93" s="998">
        <f t="shared" si="77"/>
        <v>2012</v>
      </c>
      <c r="AE93" s="998">
        <f t="shared" si="77"/>
        <v>2013</v>
      </c>
      <c r="AF93" s="998" t="str">
        <f t="shared" si="77"/>
        <v>2014E</v>
      </c>
      <c r="AG93" s="998" t="str">
        <f t="shared" si="77"/>
        <v>2015E</v>
      </c>
      <c r="AH93" s="998" t="str">
        <f t="shared" si="77"/>
        <v>2016E</v>
      </c>
      <c r="AI93" s="998" t="str">
        <f t="shared" si="77"/>
        <v>2017E</v>
      </c>
    </row>
    <row r="94" spans="2:65">
      <c r="B94" s="1006" t="s">
        <v>581</v>
      </c>
      <c r="C94" s="1007"/>
      <c r="D94" s="1007"/>
      <c r="E94" s="1007"/>
      <c r="F94" s="1007"/>
      <c r="G94" s="1007"/>
      <c r="H94" s="1007"/>
      <c r="I94" s="1007"/>
      <c r="J94" s="1007"/>
      <c r="K94" s="1007"/>
      <c r="L94" s="1007"/>
      <c r="Z94" s="998" t="str">
        <f>+N$32</f>
        <v>Unity</v>
      </c>
      <c r="AA94" s="1017">
        <f t="shared" ref="AA94:AI94" si="78">+P37</f>
        <v>-82</v>
      </c>
      <c r="AB94" s="1017">
        <f t="shared" si="78"/>
        <v>-23</v>
      </c>
      <c r="AC94" s="1017">
        <f t="shared" si="78"/>
        <v>-51.599999999999454</v>
      </c>
      <c r="AD94" s="1017">
        <f t="shared" si="78"/>
        <v>-62.900000000000546</v>
      </c>
      <c r="AE94" s="1017">
        <f t="shared" si="78"/>
        <v>-88.100000000000364</v>
      </c>
      <c r="AF94" s="1017">
        <f t="shared" si="78"/>
        <v>-43.499999999999091</v>
      </c>
      <c r="AG94" s="1017">
        <f t="shared" si="78"/>
        <v>-65.578999999999724</v>
      </c>
      <c r="AH94" s="1017">
        <f t="shared" si="78"/>
        <v>-64.923209999999926</v>
      </c>
      <c r="AI94" s="1017">
        <f t="shared" si="78"/>
        <v>-64.273977900000318</v>
      </c>
      <c r="BE94" s="1002"/>
      <c r="BF94" s="1002"/>
      <c r="BG94" s="1002"/>
      <c r="BH94" s="1002"/>
      <c r="BI94" s="1002"/>
      <c r="BJ94" s="1002"/>
      <c r="BK94" s="1002"/>
      <c r="BL94" s="1002"/>
      <c r="BM94" s="1002"/>
    </row>
    <row r="95" spans="2:65">
      <c r="B95" s="1006" t="s">
        <v>281</v>
      </c>
      <c r="C95" s="1007"/>
      <c r="D95" s="1007"/>
      <c r="E95" s="1007"/>
      <c r="F95" s="1007">
        <f>+'Model also  old'!B112</f>
        <v>78.400000000000006</v>
      </c>
      <c r="G95" s="1007">
        <f>+'Model also  old'!C112</f>
        <v>87.1</v>
      </c>
      <c r="H95" s="1007">
        <f>+'Model also  old'!D112</f>
        <v>88.1</v>
      </c>
      <c r="I95" s="1007">
        <f>+'Model also  old'!E112</f>
        <v>99.032977691561598</v>
      </c>
      <c r="J95" s="1007">
        <f>+'Model also  old'!F112</f>
        <v>105.42774962306055</v>
      </c>
      <c r="K95" s="1007">
        <f>+'Model also  old'!N112</f>
        <v>243.77071825562595</v>
      </c>
      <c r="L95" s="1007">
        <f>+'Model also  old'!O112</f>
        <v>272.29193096845711</v>
      </c>
      <c r="N95" s="998" t="s">
        <v>596</v>
      </c>
      <c r="O95" s="1008"/>
      <c r="P95" s="1008"/>
      <c r="Q95" s="1008"/>
      <c r="R95" s="1008">
        <f t="shared" ref="R95:X95" si="79">+F95/F91</f>
        <v>0.38299951148021499</v>
      </c>
      <c r="S95" s="1008">
        <f t="shared" si="79"/>
        <v>0.42425718460789086</v>
      </c>
      <c r="T95" s="1008">
        <f t="shared" si="79"/>
        <v>0.42725509214354995</v>
      </c>
      <c r="U95" s="1008">
        <f t="shared" si="79"/>
        <v>0.4649435572373784</v>
      </c>
      <c r="V95" s="1008">
        <f t="shared" si="79"/>
        <v>0.47449106544596875</v>
      </c>
      <c r="W95" s="1008">
        <f t="shared" si="79"/>
        <v>0.50993243113530551</v>
      </c>
      <c r="X95" s="1008">
        <f t="shared" si="79"/>
        <v>0.54063186320102696</v>
      </c>
      <c r="Z95" s="998" t="str">
        <f>+N$57</f>
        <v>KDG</v>
      </c>
      <c r="AA95" s="1017">
        <f t="shared" ref="AA95:AI95" si="80">+P62</f>
        <v>-245</v>
      </c>
      <c r="AB95" s="1017">
        <f t="shared" si="80"/>
        <v>-131</v>
      </c>
      <c r="AC95" s="1017">
        <f t="shared" si="80"/>
        <v>-176.20000000000073</v>
      </c>
      <c r="AD95" s="1017">
        <f t="shared" si="80"/>
        <v>-84.799999999999272</v>
      </c>
      <c r="AE95" s="1017">
        <f t="shared" si="80"/>
        <v>-316</v>
      </c>
      <c r="AF95" s="1017">
        <f t="shared" si="80"/>
        <v>-58.030619547011156</v>
      </c>
      <c r="AG95" s="1017">
        <f t="shared" si="80"/>
        <v>-58.463777179293174</v>
      </c>
      <c r="AH95" s="1017">
        <f t="shared" si="80"/>
        <v>-58.896934811572464</v>
      </c>
      <c r="AI95" s="1017">
        <f t="shared" si="80"/>
        <v>-59.330092443851754</v>
      </c>
      <c r="BE95" s="1002"/>
      <c r="BF95" s="1002"/>
      <c r="BG95" s="1002"/>
      <c r="BH95" s="1002"/>
      <c r="BI95" s="1002"/>
      <c r="BJ95" s="1002"/>
      <c r="BK95" s="1002"/>
      <c r="BL95" s="1002"/>
      <c r="BM95" s="1002"/>
    </row>
    <row r="96" spans="2:65">
      <c r="B96" s="1006" t="s">
        <v>582</v>
      </c>
      <c r="C96" s="1007"/>
      <c r="D96" s="1007"/>
      <c r="E96" s="1007"/>
      <c r="F96" s="1007"/>
      <c r="G96" s="1007"/>
      <c r="H96" s="1007"/>
      <c r="I96" s="1007"/>
      <c r="J96" s="1007"/>
      <c r="K96" s="1007"/>
      <c r="L96" s="1007"/>
      <c r="N96" s="998" t="s">
        <v>670</v>
      </c>
      <c r="P96" s="1008" t="e">
        <f t="shared" ref="P96:X96" si="81">+D95/C95-1</f>
        <v>#DIV/0!</v>
      </c>
      <c r="Q96" s="1008" t="e">
        <f t="shared" si="81"/>
        <v>#DIV/0!</v>
      </c>
      <c r="R96" s="1008" t="e">
        <f t="shared" si="81"/>
        <v>#DIV/0!</v>
      </c>
      <c r="S96" s="1008">
        <f t="shared" si="81"/>
        <v>0.1109693877551019</v>
      </c>
      <c r="T96" s="1008">
        <f t="shared" si="81"/>
        <v>1.1481056257175659E-2</v>
      </c>
      <c r="U96" s="1008">
        <f t="shared" si="81"/>
        <v>0.12409736312782749</v>
      </c>
      <c r="V96" s="1008">
        <f t="shared" si="81"/>
        <v>6.4572146375477812E-2</v>
      </c>
      <c r="W96" s="1008">
        <f t="shared" si="81"/>
        <v>1.3122064079636315</v>
      </c>
      <c r="X96" s="1008">
        <f t="shared" si="81"/>
        <v>0.11700015866106961</v>
      </c>
      <c r="Z96" s="998" t="str">
        <f>+N$81</f>
        <v>TCOL</v>
      </c>
      <c r="AA96" s="1017"/>
      <c r="AB96" s="1017"/>
      <c r="AC96" s="1017"/>
      <c r="AD96" s="1017" t="e">
        <f t="shared" ref="AD96:AI96" si="82">+S86</f>
        <v>#REF!</v>
      </c>
      <c r="AE96" s="1017" t="e">
        <f t="shared" si="82"/>
        <v>#REF!</v>
      </c>
      <c r="AF96" s="1017" t="e">
        <f t="shared" si="82"/>
        <v>#REF!</v>
      </c>
      <c r="AG96" s="1017" t="e">
        <f t="shared" si="82"/>
        <v>#REF!</v>
      </c>
      <c r="AH96" s="1017" t="e">
        <f t="shared" si="82"/>
        <v>#REF!</v>
      </c>
      <c r="AI96" s="1017" t="e">
        <f t="shared" si="82"/>
        <v>#REF!</v>
      </c>
      <c r="BE96" s="1002"/>
      <c r="BF96" s="1002"/>
      <c r="BG96" s="1002"/>
      <c r="BH96" s="1002"/>
      <c r="BI96" s="1002"/>
      <c r="BJ96" s="1002"/>
      <c r="BK96" s="1002"/>
      <c r="BL96" s="1002"/>
      <c r="BM96" s="1002"/>
    </row>
    <row r="97" spans="2:65">
      <c r="B97" s="1006" t="s">
        <v>583</v>
      </c>
      <c r="C97" s="1007"/>
      <c r="D97" s="1007"/>
      <c r="E97" s="1007"/>
      <c r="F97" s="1007"/>
      <c r="G97" s="1007"/>
      <c r="H97" s="1007"/>
      <c r="I97" s="1007"/>
      <c r="J97" s="1007"/>
      <c r="K97" s="1007"/>
      <c r="L97" s="1007"/>
    </row>
    <row r="98" spans="2:65">
      <c r="B98" s="1006" t="s">
        <v>161</v>
      </c>
      <c r="C98" s="1007"/>
      <c r="D98" s="1007"/>
      <c r="E98" s="1007"/>
      <c r="F98" s="1007">
        <f>+'Model also  old'!B212</f>
        <v>68.099999999999994</v>
      </c>
      <c r="G98" s="1007">
        <f>+'Model also  old'!C212</f>
        <v>59.6</v>
      </c>
      <c r="H98" s="1007">
        <f>+'Model also  old'!D212</f>
        <v>51.5</v>
      </c>
      <c r="I98" s="1007">
        <f>+'Model also  old'!E212</f>
        <v>84.1</v>
      </c>
      <c r="J98" s="1007">
        <f>+'Model also  old'!F212</f>
        <v>115</v>
      </c>
      <c r="K98" s="1007">
        <f>+'Model also  old'!N212</f>
        <v>167.31579750578825</v>
      </c>
      <c r="L98" s="1007">
        <f>+'Model also  old'!O212</f>
        <v>161.16959402651199</v>
      </c>
      <c r="N98" s="998" t="s">
        <v>597</v>
      </c>
      <c r="O98" s="1008"/>
      <c r="P98" s="1008"/>
      <c r="Q98" s="1008"/>
      <c r="R98" s="1008">
        <f t="shared" ref="R98:X98" si="83">+F98/F91</f>
        <v>0.33268197361993157</v>
      </c>
      <c r="S98" s="1008">
        <f t="shared" si="83"/>
        <v>0.29030686799805161</v>
      </c>
      <c r="T98" s="1008">
        <f t="shared" si="83"/>
        <v>0.24975751697381185</v>
      </c>
      <c r="U98" s="1008">
        <f t="shared" si="83"/>
        <v>0.3948356807511737</v>
      </c>
      <c r="V98" s="1008">
        <f t="shared" si="83"/>
        <v>0.51757220201872645</v>
      </c>
      <c r="W98" s="1008">
        <f t="shared" si="83"/>
        <v>0.35000000000000003</v>
      </c>
      <c r="X98" s="1008">
        <f t="shared" si="83"/>
        <v>0.32</v>
      </c>
      <c r="Z98" s="998" t="str">
        <f>+N47</f>
        <v>EBITDA growth</v>
      </c>
    </row>
    <row r="99" spans="2:65">
      <c r="B99" s="1006" t="s">
        <v>584</v>
      </c>
      <c r="C99" s="1007"/>
      <c r="D99" s="1007"/>
      <c r="E99" s="1007"/>
      <c r="F99" s="1007"/>
      <c r="G99" s="1007"/>
      <c r="H99" s="1007"/>
      <c r="I99" s="1007"/>
      <c r="J99" s="1007"/>
      <c r="K99" s="1007"/>
      <c r="L99" s="1007"/>
      <c r="N99" s="998" t="s">
        <v>598</v>
      </c>
      <c r="P99" s="1003"/>
      <c r="Q99" s="1003"/>
      <c r="R99" s="1003" t="e">
        <f t="shared" ref="R99:X99" si="84">1000*F98/AVERAGE(E84:F84)</f>
        <v>#REF!</v>
      </c>
      <c r="S99" s="1003" t="e">
        <f t="shared" si="84"/>
        <v>#REF!</v>
      </c>
      <c r="T99" s="1003" t="e">
        <f t="shared" si="84"/>
        <v>#REF!</v>
      </c>
      <c r="U99" s="1003" t="e">
        <f t="shared" si="84"/>
        <v>#REF!</v>
      </c>
      <c r="V99" s="1003" t="e">
        <f t="shared" si="84"/>
        <v>#REF!</v>
      </c>
      <c r="W99" s="1003" t="e">
        <f t="shared" si="84"/>
        <v>#REF!</v>
      </c>
      <c r="X99" s="1003" t="e">
        <f t="shared" si="84"/>
        <v>#REF!</v>
      </c>
      <c r="Z99" s="998" t="str">
        <f>+N$32</f>
        <v>Unity</v>
      </c>
      <c r="AA99" s="1002">
        <f t="shared" ref="AA99:AI99" si="85">+P47</f>
        <v>0.11344503804435857</v>
      </c>
      <c r="AB99" s="1002">
        <f t="shared" si="85"/>
        <v>0.14946748573297919</v>
      </c>
      <c r="AC99" s="1002">
        <f t="shared" si="85"/>
        <v>0.16206558517534697</v>
      </c>
      <c r="AD99" s="1002">
        <f t="shared" si="85"/>
        <v>6.7051268096223415E-2</v>
      </c>
      <c r="AE99" s="1002">
        <f t="shared" si="85"/>
        <v>0.11154748546363313</v>
      </c>
      <c r="AF99" s="1002">
        <f t="shared" si="85"/>
        <v>0.11945119992658171</v>
      </c>
      <c r="AG99" s="1002">
        <f t="shared" si="85"/>
        <v>5.112459198050745E-2</v>
      </c>
      <c r="AH99" s="1002">
        <f t="shared" si="85"/>
        <v>6.0175284966081932E-2</v>
      </c>
      <c r="AI99" s="1002">
        <f t="shared" si="85"/>
        <v>5.8808294712617171E-2</v>
      </c>
      <c r="BE99" s="1002"/>
      <c r="BF99" s="1002"/>
      <c r="BG99" s="1002"/>
      <c r="BH99" s="1002"/>
      <c r="BI99" s="1002"/>
      <c r="BJ99" s="1002"/>
      <c r="BK99" s="1002"/>
      <c r="BL99" s="1002"/>
      <c r="BM99" s="1002"/>
    </row>
    <row r="100" spans="2:65">
      <c r="B100" s="1006" t="s">
        <v>585</v>
      </c>
      <c r="C100" s="1007"/>
      <c r="D100" s="1007"/>
      <c r="E100" s="1007"/>
      <c r="F100" s="1007"/>
      <c r="G100" s="1007"/>
      <c r="H100" s="1007"/>
      <c r="I100" s="1007"/>
      <c r="J100" s="1007"/>
      <c r="K100" s="1007"/>
      <c r="L100" s="1007"/>
      <c r="N100" s="998" t="s">
        <v>599</v>
      </c>
      <c r="P100" s="1003"/>
      <c r="Q100" s="1003"/>
      <c r="R100" s="1003" t="e">
        <f t="shared" ref="R100:X100" si="86">1000*F98/AVERAGE(E90:F90)</f>
        <v>#REF!</v>
      </c>
      <c r="S100" s="1003" t="e">
        <f t="shared" si="86"/>
        <v>#REF!</v>
      </c>
      <c r="T100" s="1003" t="e">
        <f t="shared" si="86"/>
        <v>#REF!</v>
      </c>
      <c r="U100" s="1003" t="e">
        <f t="shared" si="86"/>
        <v>#REF!</v>
      </c>
      <c r="V100" s="1003" t="e">
        <f t="shared" si="86"/>
        <v>#REF!</v>
      </c>
      <c r="W100" s="1003" t="e">
        <f t="shared" si="86"/>
        <v>#REF!</v>
      </c>
      <c r="X100" s="1003" t="e">
        <f t="shared" si="86"/>
        <v>#REF!</v>
      </c>
      <c r="Z100" s="998" t="str">
        <f>+N$57</f>
        <v>KDG</v>
      </c>
      <c r="AA100" s="1002">
        <f t="shared" ref="AA100:AI100" si="87">+P72</f>
        <v>0.15513319313003859</v>
      </c>
      <c r="AB100" s="1002">
        <f t="shared" si="87"/>
        <v>0.10602182610423916</v>
      </c>
      <c r="AC100" s="1002">
        <f t="shared" si="87"/>
        <v>9.1200274348422594E-2</v>
      </c>
      <c r="AD100" s="1002">
        <f t="shared" si="87"/>
        <v>8.3995298465715962E-2</v>
      </c>
      <c r="AE100" s="1002">
        <f t="shared" si="87"/>
        <v>5.4833457419790177E-2</v>
      </c>
      <c r="AF100" s="1002">
        <f t="shared" si="87"/>
        <v>-7.5746328073149627E-3</v>
      </c>
      <c r="AG100" s="1002">
        <f t="shared" si="87"/>
        <v>0.10946260832098598</v>
      </c>
      <c r="AH100" s="1002">
        <f t="shared" si="87"/>
        <v>6.4580410701212898E-2</v>
      </c>
      <c r="AI100" s="1002">
        <f t="shared" si="87"/>
        <v>6.1677813822062832E-2</v>
      </c>
      <c r="BE100" s="1002"/>
      <c r="BF100" s="1002"/>
      <c r="BG100" s="1002"/>
      <c r="BH100" s="1002"/>
      <c r="BI100" s="1002"/>
      <c r="BJ100" s="1002"/>
      <c r="BK100" s="1002"/>
      <c r="BL100" s="1002"/>
      <c r="BM100" s="1002"/>
    </row>
    <row r="101" spans="2:65">
      <c r="B101" s="1006" t="s">
        <v>351</v>
      </c>
      <c r="C101" s="1007"/>
      <c r="D101" s="1007"/>
      <c r="E101" s="1007"/>
      <c r="F101" s="1007">
        <f>+F95-F98</f>
        <v>10.300000000000011</v>
      </c>
      <c r="G101" s="1007">
        <f t="shared" ref="G101:L101" si="88">+G95-G98</f>
        <v>27.499999999999993</v>
      </c>
      <c r="H101" s="1007">
        <f t="shared" si="88"/>
        <v>36.599999999999994</v>
      </c>
      <c r="I101" s="1007">
        <f t="shared" si="88"/>
        <v>14.932977691561604</v>
      </c>
      <c r="J101" s="1007">
        <f t="shared" si="88"/>
        <v>-9.5722503769394507</v>
      </c>
      <c r="K101" s="1007">
        <f t="shared" si="88"/>
        <v>76.454920749837697</v>
      </c>
      <c r="L101" s="1007">
        <f t="shared" si="88"/>
        <v>111.12233694194512</v>
      </c>
      <c r="Z101" s="998" t="str">
        <f>+N$81</f>
        <v>TCOL</v>
      </c>
      <c r="AA101" s="1002"/>
      <c r="AB101" s="1002"/>
      <c r="AC101" s="1002"/>
      <c r="AD101" s="1002">
        <f t="shared" ref="AD101:AI101" si="89">+S96</f>
        <v>0.1109693877551019</v>
      </c>
      <c r="AE101" s="1002">
        <f t="shared" si="89"/>
        <v>1.1481056257175659E-2</v>
      </c>
      <c r="AF101" s="1002">
        <f t="shared" si="89"/>
        <v>0.12409736312782749</v>
      </c>
      <c r="AG101" s="1002">
        <f t="shared" si="89"/>
        <v>6.4572146375477812E-2</v>
      </c>
      <c r="AH101" s="1002">
        <f t="shared" si="89"/>
        <v>1.3122064079636315</v>
      </c>
      <c r="AI101" s="1002">
        <f t="shared" si="89"/>
        <v>0.11700015866106961</v>
      </c>
      <c r="BE101" s="1002"/>
      <c r="BF101" s="1002"/>
      <c r="BG101" s="1002"/>
      <c r="BH101" s="1002"/>
      <c r="BI101" s="1002"/>
      <c r="BJ101" s="1002"/>
      <c r="BK101" s="1002"/>
      <c r="BL101" s="1002"/>
      <c r="BM101" s="1002"/>
    </row>
    <row r="102" spans="2:65">
      <c r="B102" s="1006" t="s">
        <v>586</v>
      </c>
      <c r="C102" s="1007"/>
      <c r="D102" s="1007"/>
      <c r="E102" s="1007"/>
      <c r="F102" s="1007"/>
      <c r="G102" s="1007"/>
      <c r="H102" s="1007"/>
      <c r="I102" s="1007"/>
      <c r="J102" s="1007"/>
      <c r="K102" s="1007"/>
      <c r="L102" s="1007"/>
    </row>
    <row r="103" spans="2:65">
      <c r="B103" s="1006" t="s">
        <v>160</v>
      </c>
      <c r="C103" s="1007"/>
      <c r="D103" s="1007"/>
      <c r="E103" s="1007"/>
      <c r="F103" s="1007"/>
      <c r="G103" s="1007"/>
      <c r="H103" s="1007"/>
      <c r="I103" s="1007"/>
      <c r="J103" s="1007"/>
      <c r="K103" s="1007"/>
      <c r="L103" s="1007"/>
    </row>
    <row r="109" spans="2:65">
      <c r="F109" s="998" t="s">
        <v>717</v>
      </c>
    </row>
    <row r="110" spans="2:65">
      <c r="B110" s="998" t="str">
        <f>+'Quarterlies Old'!A206</f>
        <v>Homes connected ('000)</v>
      </c>
      <c r="C110" s="1017"/>
      <c r="F110" s="1017">
        <f>+'Quarterlies Old'!N206</f>
        <v>1720</v>
      </c>
    </row>
    <row r="111" spans="2:65">
      <c r="B111" s="998" t="str">
        <f>+'Quarterlies Old'!A207</f>
        <v>Homes connected - own network ('000)</v>
      </c>
      <c r="C111" s="1017"/>
      <c r="F111" s="1017">
        <f>+'Quarterlies Old'!N207</f>
        <v>1194</v>
      </c>
    </row>
    <row r="112" spans="2:65">
      <c r="B112" s="998" t="str">
        <f>+'Quarterlies Old'!A208</f>
        <v>Homes connected - foreign network ('000)</v>
      </c>
      <c r="C112" s="1017"/>
      <c r="F112" s="1017">
        <f>+'Quarterlies Old'!N208</f>
        <v>525.25</v>
      </c>
    </row>
    <row r="113" spans="2:6">
      <c r="B113" s="998" t="str">
        <f>+'Quarterlies Old'!A209</f>
        <v>Homes connected - two-way upgraded ('000)</v>
      </c>
      <c r="C113" s="1017"/>
      <c r="F113" s="1017">
        <f>+'Quarterlies Old'!N209</f>
        <v>1068</v>
      </c>
    </row>
    <row r="114" spans="2:6">
      <c r="B114" s="998" t="str">
        <f>+'Quarterlies Old'!A210</f>
        <v>Homes connected - own network - two-way upgraded ('000)</v>
      </c>
      <c r="C114" s="1017"/>
      <c r="F114" s="1017">
        <f>+'Quarterlies Old'!N210</f>
        <v>932.47799999999995</v>
      </c>
    </row>
    <row r="115" spans="2:6">
      <c r="B115" s="998" t="str">
        <f>+'Quarterlies Old'!A211</f>
        <v>Homes connected - foreign network - two-way upgraded ('000)</v>
      </c>
      <c r="C115" s="1017"/>
      <c r="F115" s="1017">
        <f>+'Quarterlies Old'!N211</f>
        <v>135.5</v>
      </c>
    </row>
    <row r="117" spans="2:6">
      <c r="B117" s="998" t="s">
        <v>602</v>
      </c>
      <c r="C117" s="1009">
        <f>+F111</f>
        <v>1194</v>
      </c>
    </row>
    <row r="118" spans="2:6">
      <c r="B118" s="998" t="s">
        <v>605</v>
      </c>
      <c r="C118" s="1009">
        <f>+F112</f>
        <v>525.25</v>
      </c>
    </row>
    <row r="119" spans="2:6">
      <c r="C119" s="998" t="s">
        <v>604</v>
      </c>
      <c r="D119" s="998" t="s">
        <v>605</v>
      </c>
      <c r="E119" s="998" t="s">
        <v>279</v>
      </c>
    </row>
    <row r="120" spans="2:6">
      <c r="B120" s="998" t="s">
        <v>606</v>
      </c>
      <c r="C120" s="1009">
        <f>+F114</f>
        <v>932.47799999999995</v>
      </c>
      <c r="D120" s="1009">
        <f>+F115</f>
        <v>135.5</v>
      </c>
      <c r="E120" s="1009">
        <f>+D120+C120</f>
        <v>1067.9780000000001</v>
      </c>
    </row>
    <row r="121" spans="2:6">
      <c r="B121" s="998" t="s">
        <v>603</v>
      </c>
      <c r="C121" s="1009">
        <f>+F111-C120</f>
        <v>261.52200000000005</v>
      </c>
      <c r="D121" s="1009">
        <f>+F112-D120</f>
        <v>389.75</v>
      </c>
      <c r="E121" s="1009">
        <v>652</v>
      </c>
    </row>
    <row r="123" spans="2:6">
      <c r="C123" s="1009"/>
    </row>
    <row r="129" spans="2:9">
      <c r="C129" s="998">
        <v>2011</v>
      </c>
      <c r="D129" s="998">
        <v>2012</v>
      </c>
      <c r="E129" s="998">
        <v>2013</v>
      </c>
      <c r="F129" s="998">
        <v>2014</v>
      </c>
      <c r="H129" s="998" t="s">
        <v>715</v>
      </c>
      <c r="I129" s="998" t="s">
        <v>716</v>
      </c>
    </row>
    <row r="130" spans="2:9">
      <c r="B130" s="998" t="s">
        <v>143</v>
      </c>
      <c r="C130" s="1017">
        <f>+'Model also  old'!B4</f>
        <v>204.7</v>
      </c>
      <c r="D130" s="1017">
        <f>+'Model also  old'!C4</f>
        <v>205.3</v>
      </c>
      <c r="E130" s="1017">
        <f>+'Model also  old'!D4</f>
        <v>206.2</v>
      </c>
      <c r="F130" s="1017">
        <f>+'Model also  old'!E4</f>
        <v>213</v>
      </c>
    </row>
    <row r="131" spans="2:9">
      <c r="B131" s="998" t="s">
        <v>623</v>
      </c>
      <c r="C131" s="1017">
        <f>+'Model also  old'!B6</f>
        <v>78.400000000000006</v>
      </c>
      <c r="D131" s="1017">
        <f>+'Model also  old'!C6</f>
        <v>87.1</v>
      </c>
      <c r="E131" s="1017">
        <f>+'Model also  old'!D6</f>
        <v>88.1</v>
      </c>
      <c r="F131" s="1017">
        <f>+'Model also  old'!E6</f>
        <v>99.032977691561598</v>
      </c>
    </row>
    <row r="132" spans="2:9">
      <c r="B132" s="998" t="s">
        <v>171</v>
      </c>
      <c r="C132" s="1017">
        <f>+'Model also  old'!B18</f>
        <v>1963</v>
      </c>
      <c r="D132" s="1017">
        <f>+'Model also  old'!C18</f>
        <v>1856</v>
      </c>
      <c r="E132" s="1017">
        <f>+'Model also  old'!D18</f>
        <v>1749</v>
      </c>
      <c r="F132" s="1017">
        <f>+'Model also  old'!E18</f>
        <v>1697</v>
      </c>
    </row>
    <row r="133" spans="2:9">
      <c r="B133" s="998" t="s">
        <v>570</v>
      </c>
      <c r="C133" s="1017">
        <f>+'Model also  old'!B21</f>
        <v>1447</v>
      </c>
      <c r="D133" s="1017">
        <f>+'Model also  old'!C21</f>
        <v>1353</v>
      </c>
      <c r="E133" s="1017">
        <f>+'Model also  old'!D21</f>
        <v>1302</v>
      </c>
      <c r="F133" s="1017">
        <f>+'Model also  old'!E21</f>
        <v>1282</v>
      </c>
    </row>
    <row r="134" spans="2:9">
      <c r="B134" s="998" t="s">
        <v>171</v>
      </c>
      <c r="C134" s="1017" t="e">
        <f>+'Model also  old'!#REF!</f>
        <v>#REF!</v>
      </c>
      <c r="D134" s="1017" t="e">
        <f>+'Model also  old'!#REF!</f>
        <v>#REF!</v>
      </c>
      <c r="E134" s="1017" t="e">
        <f>+'Model also  old'!#REF!</f>
        <v>#REF!</v>
      </c>
      <c r="F134" s="1017" t="e">
        <f>+'Model also  old'!#REF!</f>
        <v>#REF!</v>
      </c>
      <c r="G134" s="1017"/>
      <c r="H134" s="1017">
        <f>+'Quarterlies Old'!J206</f>
        <v>1750</v>
      </c>
      <c r="I134" s="1017">
        <f>+'Quarterlies Old'!N206</f>
        <v>1720</v>
      </c>
    </row>
    <row r="135" spans="2:9">
      <c r="B135" s="998" t="s">
        <v>173</v>
      </c>
      <c r="C135" s="1017" t="e">
        <f>+'Model also  old'!#REF!</f>
        <v>#REF!</v>
      </c>
      <c r="D135" s="1017" t="e">
        <f>+'Model also  old'!#REF!</f>
        <v>#REF!</v>
      </c>
      <c r="E135" s="1017" t="e">
        <f>+'Model also  old'!#REF!</f>
        <v>#REF!</v>
      </c>
      <c r="F135" s="1017" t="e">
        <f>+'Model also  old'!#REF!</f>
        <v>#REF!</v>
      </c>
      <c r="G135" s="1017"/>
      <c r="H135" s="1017">
        <f>+'Quarterlies Old'!J207</f>
        <v>1189</v>
      </c>
      <c r="I135" s="1017">
        <f>+'Quarterlies Old'!N207</f>
        <v>1194</v>
      </c>
    </row>
    <row r="136" spans="2:9">
      <c r="B136" s="998" t="s">
        <v>625</v>
      </c>
      <c r="C136" s="1017" t="e">
        <f>+'Model also  old'!#REF!</f>
        <v>#REF!</v>
      </c>
      <c r="D136" s="1017" t="e">
        <f>+'Model also  old'!#REF!</f>
        <v>#REF!</v>
      </c>
      <c r="E136" s="1017" t="e">
        <f>+'Model also  old'!#REF!</f>
        <v>#REF!</v>
      </c>
      <c r="F136" s="1017" t="e">
        <f>+'Model also  old'!#REF!</f>
        <v>#REF!</v>
      </c>
      <c r="G136" s="1017"/>
      <c r="H136" s="1017">
        <f>+'Quarterlies Old'!J208</f>
        <v>561</v>
      </c>
      <c r="I136" s="1017">
        <f>+'Quarterlies Old'!N208</f>
        <v>525.25</v>
      </c>
    </row>
    <row r="137" spans="2:9">
      <c r="B137" s="998" t="s">
        <v>34</v>
      </c>
      <c r="C137" s="1017" t="e">
        <f>+'Model also  old'!#REF!</f>
        <v>#REF!</v>
      </c>
      <c r="D137" s="1017" t="e">
        <f>+'Model also  old'!#REF!</f>
        <v>#REF!</v>
      </c>
      <c r="E137" s="1017" t="e">
        <f>+'Model also  old'!#REF!</f>
        <v>#REF!</v>
      </c>
      <c r="F137" s="1017" t="e">
        <f>+'Model also  old'!#REF!</f>
        <v>#REF!</v>
      </c>
      <c r="G137" s="1017"/>
      <c r="H137" s="1017">
        <f>+'Quarterlies Old'!J222</f>
        <v>1303</v>
      </c>
      <c r="I137" s="1017">
        <f>+'Quarterlies Old'!N222</f>
        <v>1291</v>
      </c>
    </row>
    <row r="138" spans="2:9">
      <c r="B138" s="998" t="s">
        <v>626</v>
      </c>
      <c r="C138" s="1017" t="e">
        <f>+'Model also  old'!#REF!</f>
        <v>#REF!</v>
      </c>
      <c r="D138" s="1017" t="e">
        <f>+'Model also  old'!#REF!</f>
        <v>#REF!</v>
      </c>
      <c r="E138" s="1017" t="e">
        <f>+'Model also  old'!#REF!</f>
        <v>#REF!</v>
      </c>
      <c r="F138" s="1017" t="e">
        <f>+'Model also  old'!#REF!</f>
        <v>#REF!</v>
      </c>
      <c r="G138" s="1017"/>
      <c r="H138" s="1017">
        <f>+'Quarterlies Old'!J226</f>
        <v>1343</v>
      </c>
      <c r="I138" s="1017">
        <f>+'Quarterlies Old'!N226</f>
        <v>1320</v>
      </c>
    </row>
    <row r="139" spans="2:9">
      <c r="B139" s="998" t="s">
        <v>630</v>
      </c>
      <c r="C139" s="1017" t="e">
        <f>+'Model also  old'!#REF!</f>
        <v>#REF!</v>
      </c>
      <c r="D139" s="1017" t="e">
        <f>+'Model also  old'!#REF!</f>
        <v>#REF!</v>
      </c>
      <c r="E139" s="1017" t="e">
        <f>+'Model also  old'!#REF!</f>
        <v>#REF!</v>
      </c>
      <c r="F139" s="1017" t="e">
        <f>+'Model also  old'!#REF!</f>
        <v>#REF!</v>
      </c>
      <c r="G139" s="1017"/>
      <c r="H139" s="1017">
        <f>+'Quarterlies Old'!J227</f>
        <v>915</v>
      </c>
      <c r="I139" s="1017">
        <f>+'Quarterlies Old'!N227</f>
        <v>919</v>
      </c>
    </row>
    <row r="140" spans="2:9">
      <c r="B140" s="998" t="s">
        <v>627</v>
      </c>
      <c r="C140" s="1017" t="e">
        <f>+'Model also  old'!#REF!</f>
        <v>#REF!</v>
      </c>
      <c r="D140" s="1017" t="e">
        <f>+'Model also  old'!#REF!</f>
        <v>#REF!</v>
      </c>
      <c r="E140" s="1017" t="e">
        <f>+'Model also  old'!#REF!</f>
        <v>#REF!</v>
      </c>
      <c r="F140" s="1017" t="e">
        <f>+'Model also  old'!#REF!</f>
        <v>#REF!</v>
      </c>
      <c r="G140" s="1017"/>
      <c r="H140" s="1017">
        <f>+'Quarterlies Old'!J228</f>
        <v>153</v>
      </c>
      <c r="I140" s="1017">
        <f>+'Quarterlies Old'!N228</f>
        <v>163</v>
      </c>
    </row>
    <row r="141" spans="2:9">
      <c r="B141" s="998" t="s">
        <v>628</v>
      </c>
      <c r="C141" s="1017" t="e">
        <f>+'Model also  old'!#REF!</f>
        <v>#REF!</v>
      </c>
      <c r="D141" s="1017" t="e">
        <f>+'Model also  old'!#REF!</f>
        <v>#REF!</v>
      </c>
      <c r="E141" s="1017" t="e">
        <f>+'Model also  old'!#REF!</f>
        <v>#REF!</v>
      </c>
      <c r="F141" s="1017" t="e">
        <f>+'Model also  old'!#REF!</f>
        <v>#REF!</v>
      </c>
      <c r="G141" s="1017"/>
      <c r="H141" s="1017">
        <f>+'Quarterlies Old'!J229</f>
        <v>162</v>
      </c>
      <c r="I141" s="1017">
        <f>+'Quarterlies Old'!N229</f>
        <v>197</v>
      </c>
    </row>
    <row r="142" spans="2:9">
      <c r="B142" s="998" t="s">
        <v>620</v>
      </c>
      <c r="C142" s="1017" t="e">
        <f>+'Model also  old'!#REF!</f>
        <v>#REF!</v>
      </c>
      <c r="D142" s="1017" t="e">
        <f>+'Model also  old'!#REF!</f>
        <v>#REF!</v>
      </c>
      <c r="E142" s="1017" t="e">
        <f>+'Model also  old'!#REF!</f>
        <v>#REF!</v>
      </c>
      <c r="F142" s="1017" t="e">
        <f>+'Model also  old'!#REF!</f>
        <v>#REF!</v>
      </c>
      <c r="G142" s="1017"/>
      <c r="H142" s="1017">
        <f>+'Quarterlies Old'!J230</f>
        <v>136</v>
      </c>
      <c r="I142" s="1017">
        <f>+'Quarterlies Old'!N230</f>
        <v>166</v>
      </c>
    </row>
    <row r="143" spans="2:9">
      <c r="B143" s="998" t="s">
        <v>223</v>
      </c>
      <c r="D143" s="998">
        <f>+D129</f>
        <v>2012</v>
      </c>
      <c r="E143" s="998">
        <f>+E129</f>
        <v>2013</v>
      </c>
      <c r="F143" s="998">
        <f>+F129</f>
        <v>2014</v>
      </c>
    </row>
    <row r="144" spans="2:9">
      <c r="B144" s="998" t="str">
        <f t="shared" ref="B144:B149" si="90">+B134</f>
        <v>Homes connected</v>
      </c>
      <c r="D144" s="1009" t="e">
        <f>+D134-C134</f>
        <v>#REF!</v>
      </c>
      <c r="E144" s="1009" t="e">
        <f>+E134-D134</f>
        <v>#REF!</v>
      </c>
      <c r="F144" s="1009" t="e">
        <f>+F134-E134</f>
        <v>#REF!</v>
      </c>
    </row>
    <row r="145" spans="2:16">
      <c r="B145" s="998" t="str">
        <f t="shared" si="90"/>
        <v>Homes connected - own network</v>
      </c>
      <c r="D145" s="1009" t="e">
        <f t="shared" ref="D145:F149" si="91">+D135-C135</f>
        <v>#REF!</v>
      </c>
      <c r="E145" s="1009" t="e">
        <f t="shared" si="91"/>
        <v>#REF!</v>
      </c>
      <c r="F145" s="1009" t="e">
        <f t="shared" si="91"/>
        <v>#REF!</v>
      </c>
    </row>
    <row r="146" spans="2:16">
      <c r="B146" s="998" t="str">
        <f t="shared" si="90"/>
        <v>Homes connected - 3rd party</v>
      </c>
      <c r="D146" s="1009" t="e">
        <f t="shared" si="91"/>
        <v>#REF!</v>
      </c>
      <c r="E146" s="1009" t="e">
        <f t="shared" si="91"/>
        <v>#REF!</v>
      </c>
      <c r="F146" s="1009" t="e">
        <f t="shared" si="91"/>
        <v>#REF!</v>
      </c>
    </row>
    <row r="147" spans="2:16">
      <c r="B147" s="998" t="str">
        <f t="shared" si="90"/>
        <v>Unique subscribers</v>
      </c>
      <c r="D147" s="1009" t="e">
        <f t="shared" si="91"/>
        <v>#REF!</v>
      </c>
      <c r="E147" s="1009" t="e">
        <f t="shared" si="91"/>
        <v>#REF!</v>
      </c>
      <c r="F147" s="1009" t="e">
        <f t="shared" si="91"/>
        <v>#REF!</v>
      </c>
    </row>
    <row r="148" spans="2:16">
      <c r="B148" s="998" t="str">
        <f t="shared" si="90"/>
        <v>CATV RGUs</v>
      </c>
      <c r="D148" s="1009" t="e">
        <f t="shared" si="91"/>
        <v>#REF!</v>
      </c>
      <c r="E148" s="1009" t="e">
        <f t="shared" si="91"/>
        <v>#REF!</v>
      </c>
      <c r="F148" s="1009" t="e">
        <f>+F138-E138</f>
        <v>#REF!</v>
      </c>
    </row>
    <row r="149" spans="2:16">
      <c r="B149" s="998" t="str">
        <f t="shared" si="90"/>
        <v>CATV own network</v>
      </c>
      <c r="D149" s="1009" t="e">
        <f t="shared" si="91"/>
        <v>#REF!</v>
      </c>
      <c r="E149" s="1009" t="e">
        <f t="shared" si="91"/>
        <v>#REF!</v>
      </c>
      <c r="F149" s="1009" t="e">
        <f>+F139-E139</f>
        <v>#REF!</v>
      </c>
      <c r="M149" s="1008"/>
      <c r="N149" s="1008"/>
      <c r="O149" s="1008"/>
      <c r="P149" s="1008"/>
    </row>
    <row r="150" spans="2:16">
      <c r="B150" s="998" t="s">
        <v>629</v>
      </c>
      <c r="D150" s="1009" t="e">
        <f>+D148-D149</f>
        <v>#REF!</v>
      </c>
      <c r="E150" s="1009" t="e">
        <f>+E148-E149</f>
        <v>#REF!</v>
      </c>
      <c r="F150" s="1009" t="e">
        <f>+F148-F149</f>
        <v>#REF!</v>
      </c>
    </row>
    <row r="151" spans="2:16">
      <c r="B151" s="998" t="str">
        <f>+B140</f>
        <v>Premium TV</v>
      </c>
      <c r="D151" s="1009" t="e">
        <f t="shared" ref="D151:F153" si="92">+D140-C140</f>
        <v>#REF!</v>
      </c>
      <c r="E151" s="1009" t="e">
        <f t="shared" si="92"/>
        <v>#REF!</v>
      </c>
      <c r="F151" s="1009" t="e">
        <f t="shared" si="92"/>
        <v>#REF!</v>
      </c>
    </row>
    <row r="152" spans="2:16">
      <c r="B152" s="998" t="str">
        <f>+B141</f>
        <v>Internet</v>
      </c>
      <c r="D152" s="1009" t="e">
        <f>+D141-C141</f>
        <v>#REF!</v>
      </c>
      <c r="E152" s="1009" t="e">
        <f t="shared" si="92"/>
        <v>#REF!</v>
      </c>
      <c r="F152" s="1009" t="e">
        <f t="shared" si="92"/>
        <v>#REF!</v>
      </c>
    </row>
    <row r="153" spans="2:16">
      <c r="B153" s="998" t="str">
        <f>+B142</f>
        <v>Telephony</v>
      </c>
      <c r="D153" s="1009" t="e">
        <f t="shared" si="92"/>
        <v>#REF!</v>
      </c>
      <c r="E153" s="1009" t="e">
        <f t="shared" si="92"/>
        <v>#REF!</v>
      </c>
      <c r="F153" s="1009" t="e">
        <f t="shared" si="92"/>
        <v>#REF!</v>
      </c>
    </row>
    <row r="154" spans="2:16">
      <c r="C154" s="998">
        <f>+C129</f>
        <v>2011</v>
      </c>
      <c r="D154" s="998">
        <f>+D129</f>
        <v>2012</v>
      </c>
      <c r="E154" s="998">
        <f>+E129</f>
        <v>2013</v>
      </c>
      <c r="F154" s="998">
        <f>+F129</f>
        <v>2014</v>
      </c>
    </row>
    <row r="155" spans="2:16">
      <c r="B155" s="998" t="s">
        <v>640</v>
      </c>
      <c r="C155" s="1008" t="e">
        <f>+C135/C134</f>
        <v>#REF!</v>
      </c>
      <c r="D155" s="1008" t="e">
        <f>+D135/D134</f>
        <v>#REF!</v>
      </c>
      <c r="E155" s="1008" t="e">
        <f>+E135/E134</f>
        <v>#REF!</v>
      </c>
      <c r="F155" s="1008" t="e">
        <f>+F135/F134</f>
        <v>#REF!</v>
      </c>
    </row>
    <row r="156" spans="2:16">
      <c r="B156" s="998" t="s">
        <v>641</v>
      </c>
      <c r="C156" s="1018">
        <f>+E184</f>
        <v>0.85854874533339642</v>
      </c>
      <c r="D156" s="1018">
        <f>+F184</f>
        <v>0.87938169425511192</v>
      </c>
      <c r="E156" s="1018">
        <f>+G184</f>
        <v>0.89726284214473195</v>
      </c>
      <c r="F156" s="1018">
        <f>+H184</f>
        <v>0.90707456978967493</v>
      </c>
    </row>
    <row r="157" spans="2:16">
      <c r="B157" s="998" t="s">
        <v>633</v>
      </c>
      <c r="C157" s="998">
        <f>+C129</f>
        <v>2011</v>
      </c>
      <c r="D157" s="998">
        <f>+D129</f>
        <v>2012</v>
      </c>
      <c r="E157" s="998">
        <f>+E129</f>
        <v>2013</v>
      </c>
      <c r="F157" s="998">
        <f>+F129</f>
        <v>2014</v>
      </c>
    </row>
    <row r="158" spans="2:16">
      <c r="B158" s="998" t="str">
        <f t="shared" ref="B158:E161" si="93">+B134</f>
        <v>Homes connected</v>
      </c>
      <c r="C158" s="1017" t="e">
        <f t="shared" si="93"/>
        <v>#REF!</v>
      </c>
      <c r="D158" s="1017" t="e">
        <f t="shared" si="93"/>
        <v>#REF!</v>
      </c>
      <c r="E158" s="1017" t="e">
        <f t="shared" si="93"/>
        <v>#REF!</v>
      </c>
      <c r="F158" s="1017" t="e">
        <f>+F134</f>
        <v>#REF!</v>
      </c>
    </row>
    <row r="159" spans="2:16">
      <c r="B159" s="998" t="str">
        <f t="shared" si="93"/>
        <v>Homes connected - own network</v>
      </c>
      <c r="C159" s="1017" t="e">
        <f t="shared" si="93"/>
        <v>#REF!</v>
      </c>
      <c r="D159" s="1017" t="e">
        <f t="shared" si="93"/>
        <v>#REF!</v>
      </c>
      <c r="E159" s="1017" t="e">
        <f t="shared" si="93"/>
        <v>#REF!</v>
      </c>
      <c r="F159" s="1017" t="e">
        <f>+F135</f>
        <v>#REF!</v>
      </c>
    </row>
    <row r="160" spans="2:16">
      <c r="B160" s="998" t="str">
        <f t="shared" si="93"/>
        <v>Homes connected - 3rd party</v>
      </c>
      <c r="C160" s="1017" t="e">
        <f t="shared" si="93"/>
        <v>#REF!</v>
      </c>
      <c r="D160" s="1017" t="e">
        <f t="shared" si="93"/>
        <v>#REF!</v>
      </c>
      <c r="E160" s="1017" t="e">
        <f t="shared" si="93"/>
        <v>#REF!</v>
      </c>
      <c r="F160" s="1017" t="e">
        <f>+F136</f>
        <v>#REF!</v>
      </c>
    </row>
    <row r="161" spans="2:6">
      <c r="B161" s="998" t="str">
        <f t="shared" si="93"/>
        <v>Unique subscribers</v>
      </c>
      <c r="C161" s="1017" t="e">
        <f t="shared" si="93"/>
        <v>#REF!</v>
      </c>
      <c r="D161" s="1017" t="e">
        <f t="shared" si="93"/>
        <v>#REF!</v>
      </c>
      <c r="E161" s="1017" t="e">
        <f t="shared" si="93"/>
        <v>#REF!</v>
      </c>
      <c r="F161" s="1017" t="e">
        <f>+F137</f>
        <v>#REF!</v>
      </c>
    </row>
    <row r="162" spans="2:6">
      <c r="B162" s="998" t="s">
        <v>631</v>
      </c>
      <c r="C162" s="1017"/>
      <c r="D162" s="1017"/>
      <c r="E162" s="1017"/>
      <c r="F162" s="1017"/>
    </row>
    <row r="163" spans="2:6">
      <c r="B163" s="998" t="str">
        <f t="shared" ref="B163:E167" si="94">+B138</f>
        <v>CATV RGUs</v>
      </c>
      <c r="C163" s="1017" t="e">
        <f t="shared" si="94"/>
        <v>#REF!</v>
      </c>
      <c r="D163" s="1017" t="e">
        <f t="shared" si="94"/>
        <v>#REF!</v>
      </c>
      <c r="E163" s="1017" t="e">
        <f t="shared" si="94"/>
        <v>#REF!</v>
      </c>
      <c r="F163" s="1017" t="e">
        <f>+F138</f>
        <v>#REF!</v>
      </c>
    </row>
    <row r="164" spans="2:6">
      <c r="B164" s="998" t="str">
        <f t="shared" si="94"/>
        <v>CATV own network</v>
      </c>
      <c r="C164" s="1017" t="e">
        <f t="shared" si="94"/>
        <v>#REF!</v>
      </c>
      <c r="D164" s="1017" t="e">
        <f t="shared" si="94"/>
        <v>#REF!</v>
      </c>
      <c r="E164" s="1017" t="e">
        <f t="shared" si="94"/>
        <v>#REF!</v>
      </c>
      <c r="F164" s="1017" t="e">
        <f>+F139</f>
        <v>#REF!</v>
      </c>
    </row>
    <row r="165" spans="2:6">
      <c r="B165" s="998" t="str">
        <f t="shared" si="94"/>
        <v>Premium TV</v>
      </c>
      <c r="C165" s="1017" t="e">
        <f t="shared" si="94"/>
        <v>#REF!</v>
      </c>
      <c r="D165" s="1017" t="e">
        <f t="shared" si="94"/>
        <v>#REF!</v>
      </c>
      <c r="E165" s="1017" t="e">
        <f t="shared" si="94"/>
        <v>#REF!</v>
      </c>
      <c r="F165" s="1017" t="e">
        <f>+F140</f>
        <v>#REF!</v>
      </c>
    </row>
    <row r="166" spans="2:6">
      <c r="B166" s="998" t="str">
        <f t="shared" si="94"/>
        <v>Internet</v>
      </c>
      <c r="C166" s="1017" t="e">
        <f t="shared" si="94"/>
        <v>#REF!</v>
      </c>
      <c r="D166" s="1017" t="e">
        <f t="shared" si="94"/>
        <v>#REF!</v>
      </c>
      <c r="E166" s="1017" t="e">
        <f t="shared" si="94"/>
        <v>#REF!</v>
      </c>
      <c r="F166" s="1017" t="e">
        <f>+F141</f>
        <v>#REF!</v>
      </c>
    </row>
    <row r="167" spans="2:6">
      <c r="B167" s="998" t="str">
        <f t="shared" si="94"/>
        <v>Telephony</v>
      </c>
      <c r="C167" s="1017" t="e">
        <f t="shared" si="94"/>
        <v>#REF!</v>
      </c>
      <c r="D167" s="1017" t="e">
        <f t="shared" si="94"/>
        <v>#REF!</v>
      </c>
      <c r="E167" s="1017" t="e">
        <f t="shared" si="94"/>
        <v>#REF!</v>
      </c>
      <c r="F167" s="1017" t="e">
        <f>+F142</f>
        <v>#REF!</v>
      </c>
    </row>
    <row r="168" spans="2:6">
      <c r="C168" s="1017"/>
      <c r="D168" s="1017"/>
      <c r="E168" s="1017"/>
      <c r="F168" s="1017"/>
    </row>
    <row r="169" spans="2:6">
      <c r="B169" s="998" t="s">
        <v>632</v>
      </c>
      <c r="D169" s="998">
        <f t="shared" ref="D169:E173" si="95">+D143</f>
        <v>2012</v>
      </c>
      <c r="E169" s="998">
        <f t="shared" si="95"/>
        <v>2013</v>
      </c>
      <c r="F169" s="998">
        <f>+F143</f>
        <v>2014</v>
      </c>
    </row>
    <row r="170" spans="2:6">
      <c r="B170" s="998" t="str">
        <f>+B144</f>
        <v>Homes connected</v>
      </c>
      <c r="D170" s="1009" t="e">
        <f t="shared" si="95"/>
        <v>#REF!</v>
      </c>
      <c r="E170" s="1009" t="e">
        <f t="shared" si="95"/>
        <v>#REF!</v>
      </c>
      <c r="F170" s="1009" t="e">
        <f>+F144</f>
        <v>#REF!</v>
      </c>
    </row>
    <row r="171" spans="2:6">
      <c r="B171" s="998" t="str">
        <f>+B145</f>
        <v>Homes connected - own network</v>
      </c>
      <c r="D171" s="1009" t="e">
        <f t="shared" si="95"/>
        <v>#REF!</v>
      </c>
      <c r="E171" s="1009" t="e">
        <f t="shared" si="95"/>
        <v>#REF!</v>
      </c>
      <c r="F171" s="1009" t="e">
        <f>+F145</f>
        <v>#REF!</v>
      </c>
    </row>
    <row r="172" spans="2:6">
      <c r="B172" s="998" t="str">
        <f>+B146</f>
        <v>Homes connected - 3rd party</v>
      </c>
      <c r="D172" s="1009" t="e">
        <f t="shared" si="95"/>
        <v>#REF!</v>
      </c>
      <c r="E172" s="1009" t="e">
        <f t="shared" si="95"/>
        <v>#REF!</v>
      </c>
      <c r="F172" s="1009" t="e">
        <f>+F146</f>
        <v>#REF!</v>
      </c>
    </row>
    <row r="173" spans="2:6">
      <c r="B173" s="998" t="str">
        <f>+B147</f>
        <v>Unique subscribers</v>
      </c>
      <c r="D173" s="1009" t="e">
        <f t="shared" si="95"/>
        <v>#REF!</v>
      </c>
      <c r="E173" s="1009" t="e">
        <f t="shared" si="95"/>
        <v>#REF!</v>
      </c>
      <c r="F173" s="1009" t="e">
        <f>+F147</f>
        <v>#REF!</v>
      </c>
    </row>
    <row r="174" spans="2:6">
      <c r="D174" s="1009"/>
      <c r="E174" s="1009"/>
      <c r="F174" s="1009"/>
    </row>
    <row r="175" spans="2:6">
      <c r="B175" s="998" t="str">
        <f t="shared" ref="B175:B180" si="96">+B148</f>
        <v>CATV RGUs</v>
      </c>
      <c r="D175" s="1009" t="e">
        <f t="shared" ref="D175:E180" si="97">+D148</f>
        <v>#REF!</v>
      </c>
      <c r="E175" s="1009" t="e">
        <f t="shared" si="97"/>
        <v>#REF!</v>
      </c>
      <c r="F175" s="1009" t="e">
        <f t="shared" ref="F175:F180" si="98">+F148</f>
        <v>#REF!</v>
      </c>
    </row>
    <row r="176" spans="2:6">
      <c r="B176" s="998" t="str">
        <f t="shared" si="96"/>
        <v>CATV own network</v>
      </c>
      <c r="D176" s="1009" t="e">
        <f t="shared" si="97"/>
        <v>#REF!</v>
      </c>
      <c r="E176" s="1009" t="e">
        <f t="shared" si="97"/>
        <v>#REF!</v>
      </c>
      <c r="F176" s="1009" t="e">
        <f t="shared" si="98"/>
        <v>#REF!</v>
      </c>
    </row>
    <row r="177" spans="2:9">
      <c r="B177" s="998" t="str">
        <f t="shared" si="96"/>
        <v>CATV 3rd party</v>
      </c>
      <c r="D177" s="1009" t="e">
        <f t="shared" si="97"/>
        <v>#REF!</v>
      </c>
      <c r="E177" s="1009" t="e">
        <f t="shared" si="97"/>
        <v>#REF!</v>
      </c>
      <c r="F177" s="1009" t="e">
        <f t="shared" si="98"/>
        <v>#REF!</v>
      </c>
    </row>
    <row r="178" spans="2:9">
      <c r="B178" s="998" t="str">
        <f t="shared" si="96"/>
        <v>Premium TV</v>
      </c>
      <c r="D178" s="1009" t="e">
        <f t="shared" si="97"/>
        <v>#REF!</v>
      </c>
      <c r="E178" s="1009" t="e">
        <f t="shared" si="97"/>
        <v>#REF!</v>
      </c>
      <c r="F178" s="1009" t="e">
        <f t="shared" si="98"/>
        <v>#REF!</v>
      </c>
    </row>
    <row r="179" spans="2:9">
      <c r="B179" s="998" t="str">
        <f t="shared" si="96"/>
        <v>Internet</v>
      </c>
      <c r="D179" s="1009" t="e">
        <f t="shared" si="97"/>
        <v>#REF!</v>
      </c>
      <c r="E179" s="1009" t="e">
        <f t="shared" si="97"/>
        <v>#REF!</v>
      </c>
      <c r="F179" s="1009" t="e">
        <f t="shared" si="98"/>
        <v>#REF!</v>
      </c>
    </row>
    <row r="180" spans="2:9">
      <c r="B180" s="998" t="str">
        <f t="shared" si="96"/>
        <v>Telephony</v>
      </c>
      <c r="D180" s="1009" t="e">
        <f t="shared" si="97"/>
        <v>#REF!</v>
      </c>
      <c r="E180" s="1009" t="e">
        <f t="shared" si="97"/>
        <v>#REF!</v>
      </c>
      <c r="F180" s="1009" t="e">
        <f t="shared" si="98"/>
        <v>#REF!</v>
      </c>
    </row>
    <row r="183" spans="2:9">
      <c r="B183" s="1066"/>
      <c r="C183" s="1067" t="s">
        <v>634</v>
      </c>
      <c r="D183" s="1067" t="s">
        <v>635</v>
      </c>
      <c r="E183" s="1067" t="s">
        <v>636</v>
      </c>
      <c r="F183" s="1067" t="s">
        <v>637</v>
      </c>
      <c r="G183" s="1067" t="s">
        <v>638</v>
      </c>
      <c r="H183" s="1067" t="s">
        <v>601</v>
      </c>
      <c r="I183" s="1067" t="s">
        <v>725</v>
      </c>
    </row>
    <row r="184" spans="2:9">
      <c r="B184" s="1066" t="s">
        <v>639</v>
      </c>
      <c r="C184" s="1068">
        <v>0.8243944443201896</v>
      </c>
      <c r="D184" s="1068">
        <v>0.83974794659416863</v>
      </c>
      <c r="E184" s="1068">
        <v>0.85854874533339642</v>
      </c>
      <c r="F184" s="1068">
        <v>0.87938169425511192</v>
      </c>
      <c r="G184" s="1068">
        <v>0.89726284214473195</v>
      </c>
      <c r="H184" s="1068">
        <v>0.90707456978967493</v>
      </c>
      <c r="I184" s="1068">
        <v>0.90945133648804199</v>
      </c>
    </row>
    <row r="187" spans="2:9">
      <c r="B187" s="998" t="s">
        <v>601</v>
      </c>
    </row>
    <row r="188" spans="2:9">
      <c r="B188" s="998" t="s">
        <v>647</v>
      </c>
      <c r="C188" s="998" t="s">
        <v>642</v>
      </c>
      <c r="D188" s="998" t="s">
        <v>648</v>
      </c>
    </row>
    <row r="189" spans="2:9">
      <c r="B189" s="998" t="s">
        <v>643</v>
      </c>
      <c r="C189" s="1009">
        <v>8</v>
      </c>
      <c r="D189" s="1008">
        <v>0.13900000000000001</v>
      </c>
    </row>
    <row r="190" spans="2:9">
      <c r="B190" s="998" t="s">
        <v>644</v>
      </c>
      <c r="C190" s="1009">
        <v>274</v>
      </c>
      <c r="D190" s="1008">
        <v>0.52100000000000002</v>
      </c>
    </row>
    <row r="191" spans="2:9">
      <c r="B191" s="998" t="s">
        <v>645</v>
      </c>
      <c r="C191" s="1009">
        <v>1062</v>
      </c>
      <c r="D191" s="1008">
        <v>0.156</v>
      </c>
    </row>
    <row r="192" spans="2:9">
      <c r="B192" s="998" t="s">
        <v>646</v>
      </c>
      <c r="C192" s="1009">
        <v>41453</v>
      </c>
      <c r="D192" s="1008">
        <v>0.184</v>
      </c>
    </row>
    <row r="214" spans="2:12">
      <c r="B214" s="998" t="s">
        <v>650</v>
      </c>
    </row>
    <row r="215" spans="2:12">
      <c r="B215" s="1004"/>
      <c r="C215" s="1004">
        <v>2008</v>
      </c>
      <c r="D215" s="1004">
        <v>2009</v>
      </c>
      <c r="E215" s="1004">
        <v>2010</v>
      </c>
      <c r="F215" s="1004">
        <v>2011</v>
      </c>
      <c r="G215" s="1004">
        <v>2012</v>
      </c>
      <c r="H215" s="1004">
        <v>2013</v>
      </c>
      <c r="I215" s="1004">
        <v>2014</v>
      </c>
      <c r="J215" s="1004">
        <v>2015</v>
      </c>
      <c r="K215" s="1004">
        <v>2016</v>
      </c>
      <c r="L215" s="1005">
        <v>2017</v>
      </c>
    </row>
    <row r="216" spans="2:12">
      <c r="B216" s="998" t="s">
        <v>554</v>
      </c>
      <c r="C216" s="1008"/>
      <c r="D216" s="1008"/>
      <c r="E216" s="1008"/>
      <c r="F216" s="1008" t="e">
        <f>+'Model also  old'!#REF!</f>
        <v>#REF!</v>
      </c>
      <c r="G216" s="1008" t="e">
        <f>+'Model also  old'!#REF!</f>
        <v>#REF!</v>
      </c>
      <c r="H216" s="1008" t="e">
        <f>+'Model also  old'!#REF!</f>
        <v>#REF!</v>
      </c>
      <c r="I216" s="1008" t="e">
        <f>+'Model also  old'!#REF!</f>
        <v>#REF!</v>
      </c>
      <c r="J216" s="1008" t="e">
        <f>+'Model also  old'!#REF!</f>
        <v>#REF!</v>
      </c>
      <c r="K216" s="1008" t="e">
        <f>+'Model also  old'!#REF!</f>
        <v>#REF!</v>
      </c>
      <c r="L216" s="1008" t="e">
        <f>+'Model also  old'!#REF!</f>
        <v>#REF!</v>
      </c>
    </row>
    <row r="217" spans="2:12">
      <c r="B217" s="998" t="s">
        <v>496</v>
      </c>
      <c r="C217" s="1008">
        <v>0.1040631078452561</v>
      </c>
      <c r="D217" s="1008">
        <v>0.1191031191031191</v>
      </c>
      <c r="E217" s="1008">
        <v>0.14203649470601487</v>
      </c>
      <c r="F217" s="1008">
        <v>0.19300604472637847</v>
      </c>
      <c r="G217" s="1008">
        <v>0.24022281536497622</v>
      </c>
      <c r="H217" s="1008">
        <v>0.27731598602578</v>
      </c>
      <c r="I217" s="1008">
        <v>0.32743645343934469</v>
      </c>
      <c r="J217" s="1008">
        <v>0.37743645343934468</v>
      </c>
      <c r="K217" s="1008">
        <v>0.42743645343934461</v>
      </c>
      <c r="L217" s="1008">
        <v>0.4774364534393446</v>
      </c>
    </row>
    <row r="218" spans="2:12">
      <c r="B218" s="998" t="s">
        <v>569</v>
      </c>
      <c r="C218" s="1008">
        <v>0.17600231581994499</v>
      </c>
      <c r="D218" s="1008">
        <v>0.22278825085704354</v>
      </c>
      <c r="E218" s="1008">
        <v>0.25699588477366253</v>
      </c>
      <c r="F218" s="1008">
        <v>0.29379183697648242</v>
      </c>
      <c r="G218" s="1008">
        <v>0.32676582704237989</v>
      </c>
      <c r="H218" s="1008">
        <v>0.33854939861241556</v>
      </c>
      <c r="I218" s="1008">
        <v>0.36854939861241554</v>
      </c>
      <c r="J218" s="1008">
        <v>0.39854939861241556</v>
      </c>
      <c r="K218" s="1008">
        <v>0.42854939861241559</v>
      </c>
      <c r="L218" s="1008">
        <v>0.45854939861241562</v>
      </c>
    </row>
    <row r="222" spans="2:12">
      <c r="C222" s="998">
        <v>1480</v>
      </c>
      <c r="D222" s="998">
        <v>14.35</v>
      </c>
      <c r="E222" s="998">
        <f>+D222*C222</f>
        <v>21238</v>
      </c>
    </row>
    <row r="223" spans="2:12">
      <c r="C223" s="998">
        <v>553</v>
      </c>
      <c r="D223" s="998">
        <v>40.9</v>
      </c>
      <c r="E223" s="998">
        <f>+D223*C223</f>
        <v>22617.7</v>
      </c>
    </row>
    <row r="224" spans="2:12">
      <c r="C224" s="998">
        <v>424</v>
      </c>
      <c r="D224" s="998">
        <v>26.54</v>
      </c>
      <c r="E224" s="998">
        <f>+D224*C224</f>
        <v>11252.96</v>
      </c>
    </row>
    <row r="225" spans="2:7">
      <c r="C225" s="998">
        <v>2033</v>
      </c>
      <c r="D225" s="998">
        <f>+E225/C225</f>
        <v>27.107063453025088</v>
      </c>
      <c r="E225" s="998">
        <f>+E224+E223+E222</f>
        <v>55108.66</v>
      </c>
    </row>
    <row r="230" spans="2:7">
      <c r="C230" s="998">
        <f>+C129</f>
        <v>2011</v>
      </c>
      <c r="D230" s="998">
        <f>+D129</f>
        <v>2012</v>
      </c>
      <c r="E230" s="998">
        <f>+E129</f>
        <v>2013</v>
      </c>
      <c r="F230" s="998" t="s">
        <v>716</v>
      </c>
    </row>
    <row r="231" spans="2:7">
      <c r="B231" s="998" t="s">
        <v>554</v>
      </c>
      <c r="C231" s="1019" t="e">
        <f>+'Model also  old'!#REF!</f>
        <v>#REF!</v>
      </c>
      <c r="D231" s="1019" t="e">
        <f>+'Model also  old'!#REF!</f>
        <v>#REF!</v>
      </c>
      <c r="E231" s="1019" t="e">
        <f>+'Model also  old'!#REF!</f>
        <v>#REF!</v>
      </c>
      <c r="F231" s="1019">
        <v>22.1</v>
      </c>
      <c r="G231" s="1001" t="e">
        <f>+F231/C231-1</f>
        <v>#REF!</v>
      </c>
    </row>
    <row r="232" spans="2:7">
      <c r="B232" s="998" t="s">
        <v>569</v>
      </c>
      <c r="C232" s="1019">
        <v>26.4</v>
      </c>
      <c r="D232" s="1019">
        <v>26</v>
      </c>
      <c r="E232" s="1019">
        <v>26.4</v>
      </c>
      <c r="F232" s="1019">
        <v>26.78</v>
      </c>
      <c r="G232" s="1001">
        <f>+F232/C232-1</f>
        <v>1.4393939393939403E-2</v>
      </c>
    </row>
    <row r="233" spans="2:7">
      <c r="B233" s="998" t="s">
        <v>496</v>
      </c>
      <c r="C233" s="1019">
        <v>28.3</v>
      </c>
      <c r="D233" s="1019">
        <v>28.4</v>
      </c>
      <c r="E233" s="1019">
        <v>27.7</v>
      </c>
      <c r="F233" s="1019">
        <v>27.1</v>
      </c>
      <c r="G233" s="1001">
        <f>+F233/C233-1</f>
        <v>-4.2402826855123643E-2</v>
      </c>
    </row>
    <row r="241" spans="2:11">
      <c r="C241" s="998" t="s">
        <v>652</v>
      </c>
      <c r="D241" s="998">
        <v>2013</v>
      </c>
      <c r="E241" s="998" t="s">
        <v>659</v>
      </c>
    </row>
    <row r="242" spans="2:11">
      <c r="B242" s="998" t="s">
        <v>653</v>
      </c>
      <c r="C242" s="1018">
        <v>1</v>
      </c>
      <c r="D242" s="1008">
        <f>(1480-553)/2033</f>
        <v>0.45597638957206099</v>
      </c>
      <c r="E242" s="998" t="s">
        <v>660</v>
      </c>
      <c r="K242" s="998">
        <v>424</v>
      </c>
    </row>
    <row r="243" spans="2:11">
      <c r="B243" s="998" t="s">
        <v>214</v>
      </c>
      <c r="C243" s="1020">
        <v>11.49</v>
      </c>
      <c r="D243" s="1020">
        <v>14.35</v>
      </c>
      <c r="E243" s="998" t="s">
        <v>661</v>
      </c>
    </row>
    <row r="244" spans="2:11">
      <c r="B244" s="998" t="s">
        <v>654</v>
      </c>
      <c r="D244" s="1008">
        <f>553/2033</f>
        <v>0.2720118052139695</v>
      </c>
      <c r="E244" s="998" t="s">
        <v>662</v>
      </c>
      <c r="K244" s="998">
        <v>553</v>
      </c>
    </row>
    <row r="245" spans="2:11">
      <c r="B245" s="998" t="s">
        <v>655</v>
      </c>
      <c r="C245" s="1020"/>
      <c r="D245" s="1020">
        <v>40.9</v>
      </c>
      <c r="E245" s="998" t="s">
        <v>663</v>
      </c>
    </row>
    <row r="246" spans="2:11">
      <c r="B246" s="998" t="s">
        <v>657</v>
      </c>
      <c r="D246" s="1008">
        <f>424/2033</f>
        <v>0.20855878012788981</v>
      </c>
      <c r="E246" s="998" t="s">
        <v>664</v>
      </c>
      <c r="K246" s="998">
        <f>1480-K244</f>
        <v>927</v>
      </c>
    </row>
    <row r="247" spans="2:11">
      <c r="B247" s="998" t="s">
        <v>656</v>
      </c>
      <c r="C247" s="1020"/>
      <c r="D247" s="1020">
        <v>26.54</v>
      </c>
      <c r="E247" s="998" t="s">
        <v>665</v>
      </c>
    </row>
    <row r="248" spans="2:11">
      <c r="B248" s="998" t="s">
        <v>708</v>
      </c>
      <c r="C248" s="1020">
        <v>11.49</v>
      </c>
      <c r="D248" s="1020">
        <v>22</v>
      </c>
    </row>
    <row r="249" spans="2:11">
      <c r="C249" s="1020"/>
      <c r="D249" s="1020"/>
    </row>
    <row r="250" spans="2:11">
      <c r="C250" s="1020"/>
      <c r="D250" s="1020"/>
    </row>
    <row r="251" spans="2:11">
      <c r="C251" s="1020"/>
      <c r="D251" s="1020"/>
    </row>
    <row r="253" spans="2:11">
      <c r="B253" s="998" t="s">
        <v>658</v>
      </c>
      <c r="C253" s="998">
        <f>+(C242*C243)+(C244*C245)+(C246*C247)</f>
        <v>11.49</v>
      </c>
      <c r="D253" s="998">
        <f>+(D242*D243)+(D244*D245)+(D246*D247)</f>
        <v>23.203694048204625</v>
      </c>
      <c r="K253" s="998">
        <f>+K246+K244+K242</f>
        <v>1904</v>
      </c>
    </row>
    <row r="254" spans="2:11">
      <c r="D254" s="998">
        <f>2033-977</f>
        <v>1056</v>
      </c>
    </row>
    <row r="255" spans="2:11">
      <c r="D255" s="998">
        <f>1480-553</f>
        <v>927</v>
      </c>
      <c r="K255" s="998">
        <f>977+1480</f>
        <v>2457</v>
      </c>
    </row>
    <row r="260" spans="2:3">
      <c r="C260" s="998" t="s">
        <v>671</v>
      </c>
    </row>
    <row r="261" spans="2:3">
      <c r="B261" s="998" t="s">
        <v>569</v>
      </c>
      <c r="C261" s="1001">
        <f>+(I46/D46)^(1/5)-1</f>
        <v>0.11763293490472471</v>
      </c>
    </row>
    <row r="262" spans="2:3">
      <c r="B262" s="998" t="s">
        <v>496</v>
      </c>
      <c r="C262" s="1001">
        <f>+(H71/C71)^(1/5)-1</f>
        <v>9.7747115217197811E-2</v>
      </c>
    </row>
    <row r="273" spans="2:3">
      <c r="B273" s="998" t="s">
        <v>693</v>
      </c>
      <c r="C273" s="1019">
        <f>6.9-C274-C275</f>
        <v>5.125</v>
      </c>
    </row>
    <row r="274" spans="2:3">
      <c r="B274" s="998" t="s">
        <v>691</v>
      </c>
      <c r="C274" s="1019">
        <v>0.27500000000000002</v>
      </c>
    </row>
    <row r="275" spans="2:3">
      <c r="B275" s="998" t="s">
        <v>692</v>
      </c>
      <c r="C275" s="998">
        <v>1.5</v>
      </c>
    </row>
    <row r="276" spans="2:3">
      <c r="B276" s="998" t="s">
        <v>690</v>
      </c>
    </row>
    <row r="289" spans="2:7">
      <c r="C289" s="1018">
        <v>0.49</v>
      </c>
      <c r="D289" s="1018">
        <v>0.49</v>
      </c>
    </row>
    <row r="290" spans="2:7">
      <c r="B290" s="998" t="s">
        <v>752</v>
      </c>
      <c r="C290" s="998" t="s">
        <v>753</v>
      </c>
      <c r="D290" s="998" t="s">
        <v>754</v>
      </c>
      <c r="E290" s="998" t="s">
        <v>279</v>
      </c>
    </row>
    <row r="291" spans="2:7">
      <c r="B291" s="998" t="s">
        <v>756</v>
      </c>
    </row>
    <row r="292" spans="2:7">
      <c r="B292" s="998" t="s">
        <v>281</v>
      </c>
      <c r="C292" s="998">
        <v>10.8</v>
      </c>
      <c r="D292" s="998">
        <v>0.5</v>
      </c>
      <c r="E292" s="998">
        <f>+D292+C292</f>
        <v>11.3</v>
      </c>
      <c r="F292" s="998">
        <f>+E292*9.5</f>
        <v>107.35000000000001</v>
      </c>
    </row>
    <row r="293" spans="2:7">
      <c r="B293" s="998" t="s">
        <v>755</v>
      </c>
      <c r="C293" s="998">
        <v>3.5</v>
      </c>
      <c r="D293" s="998">
        <v>-0.5</v>
      </c>
    </row>
    <row r="295" spans="2:7">
      <c r="B295" s="998" t="s">
        <v>757</v>
      </c>
      <c r="F295" s="998">
        <v>9.4</v>
      </c>
      <c r="G295" s="998" t="s">
        <v>758</v>
      </c>
    </row>
    <row r="296" spans="2:7">
      <c r="B296" s="998" t="s">
        <v>281</v>
      </c>
      <c r="C296" s="998">
        <f>+C292*C289</f>
        <v>5.2919999999999998</v>
      </c>
      <c r="D296" s="998">
        <f>+D292*D289</f>
        <v>0.245</v>
      </c>
      <c r="E296" s="998">
        <f>+D296+C296</f>
        <v>5.5369999999999999</v>
      </c>
      <c r="F296" s="998">
        <f>+E296*F295</f>
        <v>52.047800000000002</v>
      </c>
      <c r="G296" s="1001" t="e">
        <f>+F296/Valuation!#REF!</f>
        <v>#REF!</v>
      </c>
    </row>
    <row r="297" spans="2:7">
      <c r="B297" s="998" t="s">
        <v>755</v>
      </c>
      <c r="C297" s="998">
        <f>+C293*C289</f>
        <v>1.7149999999999999</v>
      </c>
      <c r="D297" s="998">
        <f>+D293*D289</f>
        <v>-0.245</v>
      </c>
      <c r="E297" s="998">
        <f>+C297+D297</f>
        <v>1.4699999999999998</v>
      </c>
    </row>
    <row r="310" spans="2:6">
      <c r="B310" s="998" t="s">
        <v>962</v>
      </c>
    </row>
    <row r="311" spans="2:6">
      <c r="C311" s="998" t="str">
        <f>+'Model also  old'!B88</f>
        <v>2011A</v>
      </c>
      <c r="D311" s="998" t="str">
        <f>+'Model also  old'!C88</f>
        <v>2012A</v>
      </c>
      <c r="E311" s="998" t="str">
        <f>+'Model also  old'!D88</f>
        <v>2013A</v>
      </c>
      <c r="F311" s="998" t="str">
        <f>+'Model also  old'!E88</f>
        <v>2014A</v>
      </c>
    </row>
    <row r="312" spans="2:6">
      <c r="B312" s="998" t="s">
        <v>143</v>
      </c>
      <c r="C312" s="998">
        <f>+'Model also  old'!B94</f>
        <v>204.7</v>
      </c>
      <c r="D312" s="998">
        <f>+'Model also  old'!C94</f>
        <v>205.3</v>
      </c>
      <c r="E312" s="998">
        <f>+'Model also  old'!D94</f>
        <v>206.2</v>
      </c>
      <c r="F312" s="998">
        <f>+'Model also  old'!E94</f>
        <v>213</v>
      </c>
    </row>
    <row r="313" spans="2:6">
      <c r="B313" s="998" t="s">
        <v>963</v>
      </c>
      <c r="C313" s="998">
        <f>-'Model also  old'!B100</f>
        <v>37.4</v>
      </c>
      <c r="D313" s="998">
        <f>-'Model also  old'!C100</f>
        <v>34.700000000000003</v>
      </c>
      <c r="E313" s="998">
        <f>-'Model also  old'!D100</f>
        <v>31</v>
      </c>
      <c r="F313" s="998">
        <f>-'Model also  old'!E100</f>
        <v>32.5</v>
      </c>
    </row>
    <row r="314" spans="2:6">
      <c r="B314" s="998" t="s">
        <v>247</v>
      </c>
      <c r="C314" s="1008">
        <f>+C313/C312</f>
        <v>0.18270639960918417</v>
      </c>
      <c r="D314" s="1008">
        <f>+D313/D312</f>
        <v>0.16902094495859718</v>
      </c>
      <c r="E314" s="1008">
        <f>+E313/E312</f>
        <v>0.15033947623666344</v>
      </c>
      <c r="F314" s="1008">
        <f>+F313/F312</f>
        <v>0.15258215962441316</v>
      </c>
    </row>
    <row r="321" spans="2:10">
      <c r="B321" s="998" t="s">
        <v>993</v>
      </c>
    </row>
    <row r="324" spans="2:10">
      <c r="B324" s="998" t="s">
        <v>994</v>
      </c>
    </row>
    <row r="327" spans="2:10">
      <c r="B327" s="998" t="s">
        <v>995</v>
      </c>
      <c r="C327" s="998" t="s">
        <v>996</v>
      </c>
    </row>
    <row r="328" spans="2:10">
      <c r="C328" s="998" t="s">
        <v>721</v>
      </c>
      <c r="D328" s="998" t="s">
        <v>999</v>
      </c>
      <c r="E328" s="998" t="s">
        <v>143</v>
      </c>
      <c r="F328" s="998" t="s">
        <v>281</v>
      </c>
      <c r="G328" s="998" t="s">
        <v>282</v>
      </c>
      <c r="I328" s="998" t="s">
        <v>1002</v>
      </c>
    </row>
    <row r="329" spans="2:10">
      <c r="B329" s="998" t="s">
        <v>1001</v>
      </c>
      <c r="C329" s="1019" t="e">
        <f>+'Model also  old'!#REF!/1000</f>
        <v>#REF!</v>
      </c>
      <c r="D329" s="1019" t="e">
        <f>+'Model also  old'!#REF!/1000</f>
        <v>#REF!</v>
      </c>
      <c r="E329" s="1003">
        <f>+'Model also  old'!F4</f>
        <v>222.1912219231572</v>
      </c>
      <c r="F329" s="1003">
        <f>+'Model also  old'!F6</f>
        <v>105.42774962306055</v>
      </c>
      <c r="G329" s="1019">
        <f>+'Model also  old'!F15</f>
        <v>3.4293574758104661</v>
      </c>
      <c r="H329" s="1008">
        <f>+F329/E329</f>
        <v>0.47449106544596875</v>
      </c>
      <c r="I329" s="1019">
        <f>+E329-F329</f>
        <v>116.76347230009665</v>
      </c>
    </row>
    <row r="330" spans="2:10">
      <c r="B330" s="998" t="s">
        <v>997</v>
      </c>
      <c r="C330" s="1019">
        <v>1.3</v>
      </c>
      <c r="D330" s="1019">
        <v>0.6</v>
      </c>
      <c r="E330" s="998">
        <v>132</v>
      </c>
      <c r="F330" s="998">
        <v>55.2</v>
      </c>
      <c r="H330" s="1008">
        <f>+F330/E330</f>
        <v>0.41818181818181821</v>
      </c>
      <c r="I330" s="1019">
        <f>+E330-F330</f>
        <v>76.8</v>
      </c>
    </row>
    <row r="331" spans="2:10">
      <c r="B331" s="998" t="s">
        <v>998</v>
      </c>
      <c r="C331" s="1019"/>
      <c r="D331" s="1019">
        <v>0.83</v>
      </c>
      <c r="E331" s="1003">
        <f>+F331/H331</f>
        <v>152.38095238095238</v>
      </c>
      <c r="F331" s="998">
        <v>64</v>
      </c>
      <c r="G331" s="998" t="s">
        <v>1000</v>
      </c>
      <c r="H331" s="1008">
        <v>0.42</v>
      </c>
      <c r="I331" s="1019">
        <f>+E331-F331</f>
        <v>88.38095238095238</v>
      </c>
    </row>
    <row r="333" spans="2:10">
      <c r="C333" s="1018">
        <v>0.08</v>
      </c>
    </row>
    <row r="334" spans="2:10">
      <c r="B334" s="998" t="s">
        <v>1003</v>
      </c>
      <c r="C334" s="998" t="s">
        <v>1004</v>
      </c>
      <c r="D334" s="998" t="s">
        <v>1005</v>
      </c>
      <c r="E334" s="998" t="s">
        <v>1006</v>
      </c>
      <c r="F334" s="998" t="s">
        <v>1007</v>
      </c>
      <c r="H334" s="998" t="s">
        <v>1008</v>
      </c>
      <c r="I334" s="998" t="s">
        <v>1009</v>
      </c>
    </row>
    <row r="335" spans="2:10">
      <c r="B335" s="998" t="s">
        <v>997</v>
      </c>
      <c r="C335" s="998">
        <f>+I330*C333</f>
        <v>6.1440000000000001</v>
      </c>
      <c r="D335" s="998">
        <v>10</v>
      </c>
      <c r="E335" s="998">
        <f>+C335*D335</f>
        <v>61.44</v>
      </c>
      <c r="F335" s="998">
        <f>+C335</f>
        <v>6.1440000000000001</v>
      </c>
      <c r="G335" s="998">
        <f>+E335-F335</f>
        <v>55.295999999999999</v>
      </c>
      <c r="H335" s="998">
        <f>+G335*0.9</f>
        <v>49.766399999999997</v>
      </c>
      <c r="I335" s="998">
        <f>-H335*0.3</f>
        <v>-14.929919999999999</v>
      </c>
      <c r="J335" s="998">
        <f>+H335+I335</f>
        <v>34.836479999999995</v>
      </c>
    </row>
    <row r="336" spans="2:10">
      <c r="B336" s="998" t="s">
        <v>998</v>
      </c>
      <c r="C336" s="998">
        <f>+I331*C333</f>
        <v>7.0704761904761906</v>
      </c>
      <c r="D336" s="998">
        <v>10</v>
      </c>
      <c r="E336" s="998">
        <f>+C336*D336</f>
        <v>70.704761904761909</v>
      </c>
      <c r="F336" s="998">
        <f>+C336</f>
        <v>7.0704761904761906</v>
      </c>
      <c r="G336" s="998">
        <f>+E336-F336</f>
        <v>63.634285714285717</v>
      </c>
      <c r="H336" s="998">
        <f>+G336*0.9</f>
        <v>57.270857142857146</v>
      </c>
      <c r="I336" s="998">
        <f>-H336*0.3</f>
        <v>-17.181257142857142</v>
      </c>
      <c r="J336" s="998">
        <f>+H336+I336</f>
        <v>40.089600000000004</v>
      </c>
    </row>
    <row r="337" spans="2:18">
      <c r="J337" s="998">
        <f>+J336+J335</f>
        <v>74.926079999999999</v>
      </c>
      <c r="N337" s="998">
        <f>NPV(0.068,O337:R337)</f>
        <v>9.3632958801498116</v>
      </c>
      <c r="O337" s="998">
        <v>10</v>
      </c>
    </row>
    <row r="338" spans="2:18">
      <c r="N338" s="998">
        <f>NPV(0.068,O338:R338)</f>
        <v>8.506402384587922</v>
      </c>
      <c r="O338" s="998">
        <v>2.5</v>
      </c>
      <c r="P338" s="998">
        <v>2.5</v>
      </c>
      <c r="Q338" s="998">
        <v>2.5</v>
      </c>
      <c r="R338" s="998">
        <v>2.5</v>
      </c>
    </row>
    <row r="339" spans="2:18">
      <c r="B339" s="998" t="s">
        <v>362</v>
      </c>
      <c r="C339" s="998">
        <f>+J337</f>
        <v>74.926079999999999</v>
      </c>
      <c r="N339" s="998">
        <f>+N338/N337</f>
        <v>0.90848377467399022</v>
      </c>
    </row>
    <row r="340" spans="2:18">
      <c r="B340" s="998" t="s">
        <v>1011</v>
      </c>
      <c r="C340" s="998">
        <f>+C339*D340</f>
        <v>37.463039999999999</v>
      </c>
      <c r="D340" s="1018">
        <v>0.5</v>
      </c>
    </row>
    <row r="341" spans="2:18">
      <c r="B341" s="998" t="s">
        <v>1012</v>
      </c>
      <c r="C341" s="998">
        <f>+C340*D341</f>
        <v>28.097279999999998</v>
      </c>
      <c r="D341" s="1018">
        <v>0.75</v>
      </c>
    </row>
    <row r="342" spans="2:18">
      <c r="B342" s="998" t="s">
        <v>1010</v>
      </c>
      <c r="C342" s="1003">
        <f>+Valuation!E34</f>
        <v>127.575</v>
      </c>
    </row>
    <row r="343" spans="2:18">
      <c r="C343" s="998">
        <f>+C341/C342</f>
        <v>0.22024126984126982</v>
      </c>
    </row>
    <row r="348" spans="2:18" ht="65.650000000000006">
      <c r="B348" s="1011" t="s">
        <v>1043</v>
      </c>
      <c r="C348" s="1021" t="s">
        <v>496</v>
      </c>
      <c r="D348" s="1021" t="s">
        <v>1036</v>
      </c>
      <c r="E348" s="1021" t="s">
        <v>554</v>
      </c>
      <c r="F348" s="1021" t="s">
        <v>1037</v>
      </c>
      <c r="G348" s="1021" t="s">
        <v>1035</v>
      </c>
      <c r="H348" s="1022" t="s">
        <v>1038</v>
      </c>
      <c r="I348" s="1022" t="s">
        <v>1040</v>
      </c>
    </row>
    <row r="349" spans="2:18">
      <c r="B349" s="1013" t="s">
        <v>143</v>
      </c>
      <c r="C349" s="1023">
        <v>1987</v>
      </c>
      <c r="D349" s="1023">
        <v>2053</v>
      </c>
      <c r="E349" s="1023">
        <v>213</v>
      </c>
      <c r="F349" s="1023">
        <v>132</v>
      </c>
      <c r="G349" s="1023">
        <v>126</v>
      </c>
      <c r="H349" s="1023">
        <f>+G349+F349+E349</f>
        <v>471</v>
      </c>
      <c r="I349" s="1023">
        <f>+H349</f>
        <v>471</v>
      </c>
    </row>
    <row r="350" spans="2:18">
      <c r="B350" s="998" t="s">
        <v>281</v>
      </c>
      <c r="C350" s="1024">
        <v>936</v>
      </c>
      <c r="D350" s="1024">
        <v>1272</v>
      </c>
      <c r="E350" s="1024">
        <v>99</v>
      </c>
      <c r="F350" s="1024">
        <v>55</v>
      </c>
      <c r="G350" s="1024">
        <v>57</v>
      </c>
      <c r="H350" s="1024">
        <f>+G350+F350+E350</f>
        <v>211</v>
      </c>
      <c r="I350" s="1024">
        <f>+H350+13+17.5</f>
        <v>241.5</v>
      </c>
    </row>
    <row r="351" spans="2:18">
      <c r="B351" s="1013" t="s">
        <v>596</v>
      </c>
      <c r="C351" s="1025">
        <f t="shared" ref="C351:I351" si="99">+C350/C349</f>
        <v>0.47106190236537493</v>
      </c>
      <c r="D351" s="1025">
        <f t="shared" si="99"/>
        <v>0.61958110082805651</v>
      </c>
      <c r="E351" s="1025">
        <f t="shared" si="99"/>
        <v>0.46478873239436619</v>
      </c>
      <c r="F351" s="1025">
        <f t="shared" si="99"/>
        <v>0.41666666666666669</v>
      </c>
      <c r="G351" s="1025">
        <f t="shared" si="99"/>
        <v>0.45238095238095238</v>
      </c>
      <c r="H351" s="1025">
        <f t="shared" si="99"/>
        <v>0.44798301486199577</v>
      </c>
      <c r="I351" s="1025">
        <f t="shared" si="99"/>
        <v>0.51273885350318471</v>
      </c>
    </row>
    <row r="352" spans="2:18">
      <c r="B352" s="998" t="s">
        <v>161</v>
      </c>
      <c r="C352" s="1024">
        <v>690</v>
      </c>
      <c r="D352" s="1024">
        <v>411</v>
      </c>
      <c r="E352" s="1024">
        <f>+'Model also  old'!E9</f>
        <v>84.1</v>
      </c>
      <c r="F352" s="1024">
        <v>34</v>
      </c>
      <c r="G352" s="1024">
        <f>+G353*G349</f>
        <v>26.459999999999997</v>
      </c>
      <c r="H352" s="1024">
        <f>+G352+F352+E352</f>
        <v>144.56</v>
      </c>
      <c r="I352" s="1024">
        <f>+H352-2.5-2</f>
        <v>140.06</v>
      </c>
    </row>
    <row r="353" spans="2:9">
      <c r="B353" s="1013" t="s">
        <v>597</v>
      </c>
      <c r="C353" s="1025">
        <f>+C352/C349</f>
        <v>0.34725717161550074</v>
      </c>
      <c r="D353" s="1025">
        <f t="shared" ref="D353:I353" si="100">+D352/D349</f>
        <v>0.20019483682415976</v>
      </c>
      <c r="E353" s="1025">
        <f t="shared" si="100"/>
        <v>0.3948356807511737</v>
      </c>
      <c r="F353" s="1025">
        <f t="shared" si="100"/>
        <v>0.25757575757575757</v>
      </c>
      <c r="G353" s="1025">
        <v>0.21</v>
      </c>
      <c r="H353" s="1025">
        <f t="shared" si="100"/>
        <v>0.30692144373673036</v>
      </c>
      <c r="I353" s="1025">
        <f t="shared" si="100"/>
        <v>0.29736730360934183</v>
      </c>
    </row>
    <row r="354" spans="2:9">
      <c r="C354" s="999"/>
      <c r="D354" s="999"/>
      <c r="E354" s="999"/>
      <c r="F354" s="999"/>
      <c r="G354" s="999"/>
      <c r="H354" s="999"/>
      <c r="I354" s="999"/>
    </row>
    <row r="355" spans="2:9">
      <c r="B355" s="1013" t="s">
        <v>568</v>
      </c>
      <c r="C355" s="1023">
        <v>15269</v>
      </c>
      <c r="D355" s="1023">
        <v>12713</v>
      </c>
      <c r="E355" s="1023">
        <f>+'Model also  old'!F18</f>
        <v>1687</v>
      </c>
      <c r="F355" s="1023">
        <v>1200</v>
      </c>
      <c r="G355" s="1023">
        <v>810</v>
      </c>
      <c r="H355" s="1023">
        <f>+G355+F355+E355</f>
        <v>3697</v>
      </c>
      <c r="I355" s="1023">
        <f>+H355</f>
        <v>3697</v>
      </c>
    </row>
    <row r="356" spans="2:9">
      <c r="B356" s="998" t="s">
        <v>572</v>
      </c>
      <c r="C356" s="1024">
        <v>14530</v>
      </c>
      <c r="D356" s="1024">
        <v>12402</v>
      </c>
      <c r="E356" s="1024" t="e">
        <f>+'Model also  old'!#REF!</f>
        <v>#REF!</v>
      </c>
      <c r="F356" s="1024">
        <f>+F355*0.83</f>
        <v>996</v>
      </c>
      <c r="G356" s="1024">
        <f>+G355*0.64</f>
        <v>518.4</v>
      </c>
      <c r="H356" s="1024" t="e">
        <f>+G356+F356+E356</f>
        <v>#REF!</v>
      </c>
      <c r="I356" s="1024" t="e">
        <f>+H356</f>
        <v>#REF!</v>
      </c>
    </row>
    <row r="357" spans="2:9">
      <c r="B357" s="1013" t="s">
        <v>570</v>
      </c>
      <c r="C357" s="1023">
        <v>8345</v>
      </c>
      <c r="D357" s="1023">
        <v>7127</v>
      </c>
      <c r="E357" s="1023" t="e">
        <f>+'Model also  old'!#REF!</f>
        <v>#REF!</v>
      </c>
      <c r="F357" s="1023">
        <v>645</v>
      </c>
      <c r="G357" s="1023">
        <v>580</v>
      </c>
      <c r="H357" s="1023" t="e">
        <f>+G357+F357+E357</f>
        <v>#REF!</v>
      </c>
      <c r="I357" s="1023" t="e">
        <f>+H357</f>
        <v>#REF!</v>
      </c>
    </row>
    <row r="358" spans="2:9">
      <c r="B358" s="998" t="s">
        <v>1023</v>
      </c>
      <c r="C358" s="1024">
        <v>2505</v>
      </c>
      <c r="D358" s="1024">
        <v>2896</v>
      </c>
      <c r="E358" s="1024" t="e">
        <f>+'Model also  old'!#REF!</f>
        <v>#REF!</v>
      </c>
      <c r="F358" s="1024">
        <v>130</v>
      </c>
      <c r="G358" s="1024">
        <v>80</v>
      </c>
      <c r="H358" s="1024" t="e">
        <f>+G358+F358+E358</f>
        <v>#REF!</v>
      </c>
      <c r="I358" s="1024" t="e">
        <f>+H358</f>
        <v>#REF!</v>
      </c>
    </row>
    <row r="359" spans="2:9">
      <c r="B359" s="1013" t="s">
        <v>1039</v>
      </c>
      <c r="C359" s="1023">
        <v>2428</v>
      </c>
      <c r="D359" s="1023">
        <v>2749</v>
      </c>
      <c r="E359" s="1023" t="e">
        <f>+'Model also  old'!#REF!</f>
        <v>#REF!</v>
      </c>
      <c r="F359" s="1023">
        <v>120</v>
      </c>
      <c r="G359" s="1023">
        <v>60</v>
      </c>
      <c r="H359" s="1023" t="e">
        <f>+G359+F359+E359</f>
        <v>#REF!</v>
      </c>
      <c r="I359" s="1023" t="e">
        <f>+H359</f>
        <v>#REF!</v>
      </c>
    </row>
    <row r="360" spans="2:9">
      <c r="B360" s="998" t="s">
        <v>724</v>
      </c>
      <c r="C360" s="1026">
        <v>18.5</v>
      </c>
      <c r="D360" s="1026">
        <v>21.6</v>
      </c>
      <c r="E360" s="1026" t="e">
        <f>+'Model also  old'!#REF!</f>
        <v>#REF!</v>
      </c>
      <c r="F360" s="1026">
        <v>14.62</v>
      </c>
      <c r="G360" s="1026">
        <v>11</v>
      </c>
      <c r="H360" s="1026"/>
      <c r="I360" s="1026"/>
    </row>
    <row r="361" spans="2:9">
      <c r="B361" s="1013"/>
      <c r="C361" s="1013"/>
      <c r="D361" s="1013"/>
      <c r="E361" s="1013"/>
      <c r="F361" s="1013"/>
      <c r="G361" s="1013"/>
      <c r="H361" s="1013"/>
      <c r="I361" s="1013"/>
    </row>
    <row r="362" spans="2:9">
      <c r="B362" s="998" t="s">
        <v>1041</v>
      </c>
      <c r="C362" s="1027">
        <f>+C356/C355</f>
        <v>0.95160128364660423</v>
      </c>
      <c r="D362" s="1027">
        <f t="shared" ref="D362:I362" si="101">+D356/D355</f>
        <v>0.97553685204121765</v>
      </c>
      <c r="E362" s="1027" t="e">
        <f t="shared" si="101"/>
        <v>#REF!</v>
      </c>
      <c r="F362" s="1027">
        <f t="shared" si="101"/>
        <v>0.83</v>
      </c>
      <c r="G362" s="1027">
        <f t="shared" si="101"/>
        <v>0.64</v>
      </c>
      <c r="H362" s="1027" t="e">
        <f t="shared" si="101"/>
        <v>#REF!</v>
      </c>
      <c r="I362" s="1027" t="e">
        <f t="shared" si="101"/>
        <v>#REF!</v>
      </c>
    </row>
    <row r="363" spans="2:9">
      <c r="B363" s="1013" t="s">
        <v>1042</v>
      </c>
      <c r="C363" s="1025">
        <f>+C357/C355</f>
        <v>0.54653218940336634</v>
      </c>
      <c r="D363" s="1025">
        <f t="shared" ref="D363:I363" si="102">+D357/D355</f>
        <v>0.56060725241878395</v>
      </c>
      <c r="E363" s="1025" t="e">
        <f t="shared" si="102"/>
        <v>#REF!</v>
      </c>
      <c r="F363" s="1025">
        <f t="shared" si="102"/>
        <v>0.53749999999999998</v>
      </c>
      <c r="G363" s="1025">
        <f t="shared" si="102"/>
        <v>0.71604938271604934</v>
      </c>
      <c r="H363" s="1025" t="e">
        <f t="shared" si="102"/>
        <v>#REF!</v>
      </c>
      <c r="I363" s="1025" t="e">
        <f t="shared" si="102"/>
        <v>#REF!</v>
      </c>
    </row>
    <row r="364" spans="2:9">
      <c r="B364" s="998" t="s">
        <v>594</v>
      </c>
      <c r="C364" s="1027">
        <f>+C358/C357</f>
        <v>0.30017974835230676</v>
      </c>
      <c r="D364" s="1027">
        <f t="shared" ref="D364:I364" si="103">+D358/D357</f>
        <v>0.40634207941630418</v>
      </c>
      <c r="E364" s="1027" t="e">
        <f t="shared" si="103"/>
        <v>#REF!</v>
      </c>
      <c r="F364" s="1027">
        <f t="shared" si="103"/>
        <v>0.20155038759689922</v>
      </c>
      <c r="G364" s="1027">
        <f t="shared" si="103"/>
        <v>0.13793103448275862</v>
      </c>
      <c r="H364" s="1027" t="e">
        <f t="shared" si="103"/>
        <v>#REF!</v>
      </c>
      <c r="I364" s="1027" t="e">
        <f t="shared" si="103"/>
        <v>#REF!</v>
      </c>
    </row>
    <row r="382" spans="3:5">
      <c r="D382" s="1028" t="s">
        <v>1045</v>
      </c>
      <c r="E382" s="1028" t="s">
        <v>1046</v>
      </c>
    </row>
    <row r="383" spans="3:5">
      <c r="C383" s="998" t="s">
        <v>569</v>
      </c>
      <c r="D383" s="1029">
        <f>2896.4/7126.8</f>
        <v>0.40640960880058369</v>
      </c>
      <c r="E383" s="1029">
        <f>2987/7120</f>
        <v>0.41952247191011238</v>
      </c>
    </row>
    <row r="384" spans="3:5">
      <c r="C384" s="998" t="s">
        <v>496</v>
      </c>
      <c r="D384" s="1029">
        <v>0.30017974835230676</v>
      </c>
      <c r="E384" s="1029">
        <f>2730/8331</f>
        <v>0.32769175369103348</v>
      </c>
    </row>
    <row r="385" spans="3:5">
      <c r="C385" s="998" t="s">
        <v>554</v>
      </c>
      <c r="D385" s="1000">
        <f>+Interims!M21/Interims!M15</f>
        <v>0.15753377237131402</v>
      </c>
      <c r="E385" s="1000">
        <f>+Interims!P21/Interims!P15</f>
        <v>0.17387755102040817</v>
      </c>
    </row>
    <row r="415" spans="2:9">
      <c r="B415" s="1032"/>
      <c r="C415" s="1069"/>
      <c r="D415" s="1069"/>
      <c r="E415" s="1069"/>
      <c r="F415" s="1069"/>
      <c r="G415" s="1069"/>
      <c r="H415" s="1069"/>
      <c r="I415" s="1069"/>
    </row>
    <row r="416" spans="2:9">
      <c r="B416" s="1032"/>
      <c r="C416" s="1069"/>
      <c r="D416" s="1069"/>
      <c r="E416" s="1069"/>
      <c r="F416" s="1069"/>
      <c r="G416" s="1069"/>
      <c r="H416" s="1069"/>
      <c r="I416" s="1069"/>
    </row>
    <row r="417" spans="2:11">
      <c r="B417" s="1032"/>
      <c r="C417" s="1069"/>
      <c r="D417" s="1069"/>
      <c r="E417" s="1069"/>
      <c r="F417" s="1069"/>
      <c r="G417" s="1069"/>
      <c r="H417" s="1069"/>
      <c r="I417" s="1069"/>
    </row>
    <row r="418" spans="2:11">
      <c r="B418" s="1032"/>
      <c r="C418" s="1069"/>
      <c r="D418" s="1069"/>
      <c r="E418" s="1069"/>
      <c r="F418" s="1069"/>
      <c r="G418" s="1069"/>
      <c r="H418" s="1069"/>
      <c r="I418" s="1069"/>
    </row>
    <row r="419" spans="2:11">
      <c r="B419" s="1070"/>
      <c r="C419" s="1071" t="s">
        <v>1284</v>
      </c>
      <c r="D419" s="1071" t="s">
        <v>1285</v>
      </c>
      <c r="E419" s="1072" t="s">
        <v>1260</v>
      </c>
      <c r="F419" s="1071" t="s">
        <v>1286</v>
      </c>
      <c r="G419" s="1073" t="s">
        <v>1292</v>
      </c>
      <c r="H419" s="1074" t="s">
        <v>1289</v>
      </c>
      <c r="I419" s="1074" t="s">
        <v>1287</v>
      </c>
    </row>
    <row r="420" spans="2:11">
      <c r="B420" s="1032"/>
      <c r="C420" s="1069"/>
      <c r="D420" s="1069"/>
      <c r="E420" s="1075"/>
      <c r="F420" s="1069"/>
      <c r="G420" s="1076"/>
      <c r="H420" s="1077"/>
      <c r="I420" s="1077"/>
    </row>
    <row r="421" spans="2:11" s="1031" customFormat="1">
      <c r="B421" s="1036" t="s">
        <v>0</v>
      </c>
      <c r="C421" s="1078" t="e">
        <f>Interims!#REF!+Interims!#REF!</f>
        <v>#REF!</v>
      </c>
      <c r="D421" s="1078" t="e">
        <f>Interims!#REF!+Interims!#REF!</f>
        <v>#REF!</v>
      </c>
      <c r="E421" s="1079" t="e">
        <f>SUM(C421:D421)</f>
        <v>#REF!</v>
      </c>
      <c r="F421" s="1078" t="e">
        <f>Interims!#REF!+Interims!#REF!</f>
        <v>#REF!</v>
      </c>
      <c r="G421" s="1080" t="e">
        <f>H421-F421</f>
        <v>#REF!</v>
      </c>
      <c r="H421" s="1081" t="e">
        <f>E421*(1+H422)</f>
        <v>#REF!</v>
      </c>
      <c r="I421" s="1082"/>
      <c r="J421" s="1030" t="e">
        <f>K421-F421</f>
        <v>#REF!</v>
      </c>
      <c r="K421" s="1030" t="e">
        <f>Model!#REF!</f>
        <v>#REF!</v>
      </c>
    </row>
    <row r="422" spans="2:11">
      <c r="B422" s="1032" t="s">
        <v>1185</v>
      </c>
      <c r="C422" s="1078"/>
      <c r="D422" s="1078"/>
      <c r="E422" s="1083"/>
      <c r="F422" s="1084" t="e">
        <f>F421/C421-1</f>
        <v>#REF!</v>
      </c>
      <c r="G422" s="1085" t="e">
        <f>G421/D421-1</f>
        <v>#REF!</v>
      </c>
      <c r="H422" s="1086">
        <v>0.05</v>
      </c>
      <c r="I422" s="1077" t="s">
        <v>1288</v>
      </c>
      <c r="J422" s="1001" t="e">
        <f>J421/D421-1</f>
        <v>#REF!</v>
      </c>
    </row>
    <row r="423" spans="2:11" s="1031" customFormat="1">
      <c r="B423" s="1036"/>
      <c r="C423" s="1087"/>
      <c r="D423" s="1087"/>
      <c r="E423" s="1088"/>
      <c r="F423" s="1087"/>
      <c r="G423" s="1089"/>
      <c r="H423" s="1082"/>
      <c r="I423" s="1082"/>
    </row>
    <row r="424" spans="2:11" s="1031" customFormat="1">
      <c r="B424" s="1036" t="s">
        <v>28</v>
      </c>
      <c r="C424" s="1078" t="e">
        <f>Interims!#REF!+Interims!#REF!</f>
        <v>#REF!</v>
      </c>
      <c r="D424" s="1069" t="e">
        <f>Interims!#REF!+Interims!#REF!</f>
        <v>#REF!</v>
      </c>
      <c r="E424" s="1079" t="e">
        <f>SUM(C424:D424)</f>
        <v>#REF!</v>
      </c>
      <c r="F424" s="1078" t="e">
        <f>Interims!#REF!+Interims!#REF!</f>
        <v>#REF!</v>
      </c>
      <c r="G424" s="1080" t="e">
        <f>H424-F424</f>
        <v>#REF!</v>
      </c>
      <c r="H424" s="1081" t="e">
        <f>E424*(1+H425)</f>
        <v>#REF!</v>
      </c>
      <c r="I424" s="1082"/>
      <c r="J424" s="1030" t="e">
        <f>K424-F424</f>
        <v>#REF!</v>
      </c>
      <c r="K424" s="1030" t="e">
        <f>Model!#REF!</f>
        <v>#REF!</v>
      </c>
    </row>
    <row r="425" spans="2:11">
      <c r="B425" s="1032" t="s">
        <v>1185</v>
      </c>
      <c r="C425" s="1069"/>
      <c r="D425" s="1069"/>
      <c r="E425" s="1075"/>
      <c r="F425" s="1084" t="e">
        <f>F424/C424-1</f>
        <v>#REF!</v>
      </c>
      <c r="G425" s="1085" t="e">
        <f>G424/D424-1</f>
        <v>#REF!</v>
      </c>
      <c r="H425" s="1086">
        <v>0.1</v>
      </c>
      <c r="I425" s="1077" t="s">
        <v>1290</v>
      </c>
      <c r="J425" s="1001" t="e">
        <f>J424/D424-1</f>
        <v>#REF!</v>
      </c>
    </row>
    <row r="426" spans="2:11">
      <c r="B426" s="1032" t="s">
        <v>1281</v>
      </c>
      <c r="C426" s="1084" t="e">
        <f t="shared" ref="C426:H426" si="104">C424/C421</f>
        <v>#REF!</v>
      </c>
      <c r="D426" s="1084" t="e">
        <f t="shared" si="104"/>
        <v>#REF!</v>
      </c>
      <c r="E426" s="1090" t="e">
        <f t="shared" si="104"/>
        <v>#REF!</v>
      </c>
      <c r="F426" s="1084" t="e">
        <f t="shared" si="104"/>
        <v>#REF!</v>
      </c>
      <c r="G426" s="1085" t="e">
        <f t="shared" si="104"/>
        <v>#REF!</v>
      </c>
      <c r="H426" s="1091" t="e">
        <f t="shared" si="104"/>
        <v>#REF!</v>
      </c>
      <c r="I426" s="1077"/>
    </row>
    <row r="427" spans="2:11">
      <c r="B427" s="1032"/>
      <c r="C427" s="1069"/>
      <c r="D427" s="1069"/>
      <c r="E427" s="1075"/>
      <c r="F427" s="1069"/>
      <c r="G427" s="1076"/>
      <c r="H427" s="1077"/>
      <c r="I427" s="1077"/>
    </row>
    <row r="428" spans="2:11" s="1031" customFormat="1">
      <c r="B428" s="1036" t="s">
        <v>161</v>
      </c>
      <c r="C428" s="1078" t="e">
        <f>Interims!#REF!+Interims!#REF!</f>
        <v>#REF!</v>
      </c>
      <c r="D428" s="1078" t="e">
        <f>Interims!#REF!+Interims!#REF!</f>
        <v>#REF!</v>
      </c>
      <c r="E428" s="1079" t="e">
        <f>SUM(C428:D428)</f>
        <v>#REF!</v>
      </c>
      <c r="F428" s="1078" t="e">
        <f>Interims!#REF!+Interims!#REF!</f>
        <v>#REF!</v>
      </c>
      <c r="G428" s="1092" t="e">
        <f>H428-F428</f>
        <v>#REF!</v>
      </c>
      <c r="H428" s="1081" t="e">
        <f>H429*H421</f>
        <v>#REF!</v>
      </c>
      <c r="I428" s="1082"/>
      <c r="J428" s="1030" t="e">
        <f>Model!#REF!</f>
        <v>#REF!</v>
      </c>
    </row>
    <row r="429" spans="2:11">
      <c r="B429" s="1032" t="s">
        <v>1282</v>
      </c>
      <c r="C429" s="1084" t="e">
        <f>C428/C421</f>
        <v>#REF!</v>
      </c>
      <c r="D429" s="1084" t="e">
        <f>D428/D421</f>
        <v>#REF!</v>
      </c>
      <c r="E429" s="1090" t="e">
        <f>E428/E421</f>
        <v>#REF!</v>
      </c>
      <c r="F429" s="1084" t="e">
        <f>F428/F421</f>
        <v>#REF!</v>
      </c>
      <c r="G429" s="1085" t="e">
        <f>G428/G421</f>
        <v>#REF!</v>
      </c>
      <c r="H429" s="1086">
        <v>0.34</v>
      </c>
      <c r="I429" s="1077" t="s">
        <v>1291</v>
      </c>
    </row>
    <row r="430" spans="2:11">
      <c r="B430" s="1032"/>
      <c r="C430" s="1069"/>
      <c r="D430" s="1069"/>
      <c r="E430" s="1075"/>
      <c r="F430" s="1069"/>
      <c r="G430" s="1076"/>
      <c r="H430" s="1077"/>
      <c r="I430" s="1077"/>
    </row>
    <row r="431" spans="2:11" s="1031" customFormat="1">
      <c r="B431" s="1036" t="s">
        <v>351</v>
      </c>
      <c r="C431" s="1078" t="e">
        <f t="shared" ref="C431:H431" si="105">C424-C428</f>
        <v>#REF!</v>
      </c>
      <c r="D431" s="1078" t="e">
        <f t="shared" si="105"/>
        <v>#REF!</v>
      </c>
      <c r="E431" s="1079" t="e">
        <f t="shared" si="105"/>
        <v>#REF!</v>
      </c>
      <c r="F431" s="1078" t="e">
        <f t="shared" si="105"/>
        <v>#REF!</v>
      </c>
      <c r="G431" s="1080" t="e">
        <f t="shared" si="105"/>
        <v>#REF!</v>
      </c>
      <c r="H431" s="1081" t="e">
        <f t="shared" si="105"/>
        <v>#REF!</v>
      </c>
      <c r="I431" s="1082"/>
    </row>
    <row r="432" spans="2:11">
      <c r="B432" s="1032" t="s">
        <v>1185</v>
      </c>
      <c r="C432" s="1069"/>
      <c r="D432" s="1069"/>
      <c r="E432" s="1075"/>
      <c r="F432" s="1084" t="e">
        <f>F431/C431-1</f>
        <v>#REF!</v>
      </c>
      <c r="G432" s="1085" t="e">
        <f>G431/D431-1</f>
        <v>#REF!</v>
      </c>
      <c r="H432" s="1091" t="e">
        <f>H431/E431-1</f>
        <v>#REF!</v>
      </c>
      <c r="I432" s="1077"/>
    </row>
    <row r="433" spans="2:9">
      <c r="B433" s="1032" t="s">
        <v>1283</v>
      </c>
      <c r="C433" s="1084" t="e">
        <f t="shared" ref="C433:H433" si="106">C431/C421</f>
        <v>#REF!</v>
      </c>
      <c r="D433" s="1084" t="e">
        <f t="shared" si="106"/>
        <v>#REF!</v>
      </c>
      <c r="E433" s="1093" t="e">
        <f t="shared" si="106"/>
        <v>#REF!</v>
      </c>
      <c r="F433" s="1084" t="e">
        <f t="shared" si="106"/>
        <v>#REF!</v>
      </c>
      <c r="G433" s="1085" t="e">
        <f t="shared" si="106"/>
        <v>#REF!</v>
      </c>
      <c r="H433" s="1094" t="e">
        <f t="shared" si="106"/>
        <v>#REF!</v>
      </c>
      <c r="I433" s="1077"/>
    </row>
    <row r="434" spans="2:9">
      <c r="B434" s="1032"/>
      <c r="C434" s="1069"/>
      <c r="D434" s="1069"/>
      <c r="E434" s="1069"/>
      <c r="F434" s="1069"/>
      <c r="G434" s="1069"/>
      <c r="H434" s="1069"/>
      <c r="I434" s="1069"/>
    </row>
    <row r="435" spans="2:9">
      <c r="B435" s="1032"/>
      <c r="C435" s="1069"/>
      <c r="D435" s="1069"/>
      <c r="E435" s="1069"/>
      <c r="F435" s="1069"/>
      <c r="G435" s="1069"/>
      <c r="H435" s="1069"/>
      <c r="I435" s="1069"/>
    </row>
    <row r="436" spans="2:9">
      <c r="B436" s="1032" t="s">
        <v>1293</v>
      </c>
      <c r="C436" s="1069">
        <v>150</v>
      </c>
      <c r="D436" s="1069"/>
      <c r="E436" s="1069"/>
      <c r="F436" s="1069"/>
      <c r="G436" s="1069"/>
      <c r="H436" s="1069"/>
      <c r="I436" s="1069"/>
    </row>
    <row r="437" spans="2:9">
      <c r="B437" s="1032" t="s">
        <v>1294</v>
      </c>
      <c r="C437" s="1069">
        <v>30000</v>
      </c>
      <c r="D437" s="1069"/>
      <c r="E437" s="1069"/>
      <c r="F437" s="1069"/>
      <c r="G437" s="1069"/>
      <c r="H437" s="1069"/>
      <c r="I437" s="1069"/>
    </row>
    <row r="438" spans="2:9">
      <c r="B438" s="1032" t="s">
        <v>1295</v>
      </c>
      <c r="C438" s="1032">
        <f>C436*C437</f>
        <v>4500000</v>
      </c>
      <c r="D438" s="1032"/>
      <c r="E438" s="1032"/>
      <c r="F438" s="1032"/>
      <c r="G438" s="1032"/>
      <c r="H438" s="1032"/>
      <c r="I438" s="1032"/>
    </row>
    <row r="439" spans="2:9">
      <c r="B439" s="1032" t="s">
        <v>1296</v>
      </c>
      <c r="C439" s="1032">
        <f>C438*(6/12)</f>
        <v>2250000</v>
      </c>
      <c r="D439" s="1032"/>
      <c r="E439" s="1032"/>
      <c r="F439" s="1032"/>
      <c r="G439" s="1032"/>
      <c r="H439" s="1032"/>
      <c r="I439" s="1032"/>
    </row>
    <row r="440" spans="2:9">
      <c r="B440" s="1032"/>
      <c r="C440" s="1032"/>
      <c r="D440" s="1032"/>
      <c r="E440" s="1032"/>
      <c r="F440" s="1032"/>
      <c r="G440" s="1032"/>
      <c r="H440" s="1032"/>
      <c r="I440" s="1032"/>
    </row>
    <row r="441" spans="2:9">
      <c r="B441" s="1032" t="s">
        <v>1297</v>
      </c>
      <c r="C441" s="1095" t="e">
        <f>(C439/1000000)/D424</f>
        <v>#REF!</v>
      </c>
      <c r="D441" s="1032"/>
      <c r="E441" s="1032"/>
      <c r="F441" s="1032"/>
      <c r="G441" s="1032"/>
      <c r="H441" s="1032"/>
      <c r="I441" s="1032"/>
    </row>
    <row r="442" spans="2:9">
      <c r="B442" s="1032"/>
      <c r="C442" s="1032"/>
      <c r="D442" s="1032"/>
      <c r="E442" s="1032"/>
      <c r="F442" s="1032"/>
      <c r="G442" s="1032"/>
      <c r="H442" s="1032"/>
      <c r="I442" s="1032"/>
    </row>
    <row r="443" spans="2:9">
      <c r="B443" s="1032"/>
      <c r="C443" s="1032"/>
      <c r="D443" s="1032"/>
      <c r="E443" s="1032"/>
      <c r="F443" s="1032"/>
      <c r="G443" s="1032"/>
      <c r="H443" s="1032"/>
      <c r="I443" s="1032"/>
    </row>
    <row r="444" spans="2:9">
      <c r="B444" s="1032"/>
      <c r="C444" s="1032"/>
      <c r="D444" s="1032"/>
      <c r="E444" s="1032"/>
      <c r="F444" s="1032"/>
      <c r="G444" s="1032"/>
      <c r="H444" s="1032"/>
      <c r="I444" s="1032"/>
    </row>
    <row r="445" spans="2:9">
      <c r="B445" s="1032"/>
      <c r="C445" s="1032"/>
      <c r="D445" s="1032"/>
      <c r="E445" s="1032"/>
      <c r="F445" s="1032"/>
      <c r="G445" s="1032"/>
      <c r="H445" s="1032"/>
      <c r="I445" s="1032"/>
    </row>
    <row r="446" spans="2:9">
      <c r="B446" s="1032"/>
      <c r="C446" s="1032"/>
      <c r="D446" s="1032"/>
      <c r="E446" s="1032"/>
      <c r="F446" s="1032"/>
      <c r="G446" s="1032"/>
      <c r="H446" s="1032"/>
      <c r="I446" s="1032"/>
    </row>
    <row r="447" spans="2:9">
      <c r="B447" s="1032"/>
      <c r="C447" s="1032"/>
      <c r="D447" s="1032"/>
      <c r="E447" s="1032"/>
      <c r="F447" s="1032"/>
      <c r="G447" s="1032"/>
      <c r="H447" s="1032"/>
      <c r="I447" s="1032"/>
    </row>
    <row r="448" spans="2:9">
      <c r="B448" s="1032"/>
      <c r="C448" s="1032"/>
      <c r="D448" s="1032"/>
      <c r="E448" s="1032"/>
      <c r="F448" s="1032"/>
      <c r="G448" s="1032"/>
      <c r="H448" s="1032"/>
      <c r="I448" s="1032"/>
    </row>
    <row r="449" spans="2:9">
      <c r="B449" s="1032"/>
      <c r="C449" s="1032"/>
      <c r="D449" s="1032"/>
      <c r="E449" s="1032"/>
      <c r="F449" s="1032"/>
      <c r="G449" s="1032"/>
      <c r="H449" s="1032"/>
      <c r="I449" s="1032"/>
    </row>
    <row r="450" spans="2:9">
      <c r="B450" s="1032"/>
      <c r="C450" s="1032"/>
      <c r="D450" s="1032"/>
      <c r="E450" s="1032"/>
      <c r="F450" s="1032"/>
      <c r="G450" s="1032"/>
      <c r="H450" s="1032"/>
      <c r="I450" s="1032"/>
    </row>
    <row r="451" spans="2:9">
      <c r="B451" s="1032"/>
      <c r="C451" s="1032"/>
      <c r="D451" s="1032"/>
      <c r="E451" s="1032"/>
      <c r="F451" s="1032"/>
      <c r="G451" s="1032"/>
      <c r="H451" s="1032"/>
      <c r="I451" s="1032"/>
    </row>
    <row r="452" spans="2:9">
      <c r="B452" s="1032"/>
      <c r="C452" s="1032"/>
      <c r="D452" s="1032"/>
      <c r="E452" s="1032"/>
      <c r="F452" s="1032"/>
      <c r="G452" s="1032"/>
      <c r="H452" s="1032"/>
      <c r="I452" s="1032"/>
    </row>
    <row r="456" spans="2:9">
      <c r="B456" s="1032" t="s">
        <v>1371</v>
      </c>
      <c r="C456" s="1033">
        <v>2500</v>
      </c>
      <c r="D456" s="1032"/>
      <c r="E456" s="1032"/>
    </row>
    <row r="457" spans="2:9">
      <c r="B457" s="1032"/>
      <c r="C457" s="1034" t="s">
        <v>1367</v>
      </c>
      <c r="D457" s="1034" t="s">
        <v>1368</v>
      </c>
      <c r="E457" s="1034" t="s">
        <v>1370</v>
      </c>
    </row>
    <row r="458" spans="2:9">
      <c r="B458" s="1032" t="s">
        <v>1369</v>
      </c>
      <c r="C458" s="1033">
        <v>103</v>
      </c>
      <c r="D458" s="1033">
        <v>1100</v>
      </c>
      <c r="E458" s="1033">
        <v>750</v>
      </c>
    </row>
    <row r="459" spans="2:9">
      <c r="B459" s="1032" t="s">
        <v>1366</v>
      </c>
      <c r="C459" s="1035">
        <f>$C$456/C458</f>
        <v>24.271844660194176</v>
      </c>
      <c r="D459" s="1035">
        <f>$C$456/D458</f>
        <v>2.2727272727272729</v>
      </c>
      <c r="E459" s="1033">
        <f>$C$456/E458*1000</f>
        <v>3333.3333333333335</v>
      </c>
    </row>
    <row r="460" spans="2:9">
      <c r="B460" s="1032"/>
      <c r="C460" s="1032"/>
      <c r="D460" s="1032"/>
      <c r="E460" s="1032"/>
    </row>
    <row r="461" spans="2:9">
      <c r="B461" s="1032" t="s">
        <v>1372</v>
      </c>
      <c r="C461" s="1033">
        <f>Model!J9</f>
        <v>480</v>
      </c>
      <c r="D461" s="1033">
        <f>Model!J89</f>
        <v>640.10195336758602</v>
      </c>
      <c r="E461" s="1033">
        <f>Fixed!J38</f>
        <v>2367.09</v>
      </c>
    </row>
    <row r="462" spans="2:9">
      <c r="B462" s="1032" t="s">
        <v>1373</v>
      </c>
      <c r="C462" s="1033">
        <f>C461*C459</f>
        <v>11650.485436893205</v>
      </c>
      <c r="D462" s="1033">
        <f>D461*D459</f>
        <v>1454.7771667445138</v>
      </c>
      <c r="E462" s="1033">
        <f>E461*E459/1000</f>
        <v>7890.3000000000011</v>
      </c>
    </row>
    <row r="463" spans="2:9">
      <c r="B463" s="1036" t="s">
        <v>1374</v>
      </c>
      <c r="C463" s="1037">
        <f>(C462-Valuation!$J$71)/Valuation!$J$34</f>
        <v>80.356667770572955</v>
      </c>
      <c r="D463" s="1037">
        <f>(D462-Valuation!$J$71)/Valuation!$J$34</f>
        <v>0.42543544791710247</v>
      </c>
      <c r="E463" s="1037">
        <f>(E462-Valuation!$J$71)/Valuation!$J$34</f>
        <v>50.877964793894456</v>
      </c>
    </row>
    <row r="468" spans="2:8">
      <c r="B468" s="1011" t="s">
        <v>1492</v>
      </c>
      <c r="C468" s="1012" t="s">
        <v>1491</v>
      </c>
      <c r="E468" s="1012" t="s">
        <v>985</v>
      </c>
      <c r="F468" s="1012" t="s">
        <v>1087</v>
      </c>
      <c r="G468" s="1012" t="s">
        <v>1377</v>
      </c>
      <c r="H468" s="1012" t="s">
        <v>1087</v>
      </c>
    </row>
    <row r="469" spans="2:8">
      <c r="B469" s="1013" t="s">
        <v>0</v>
      </c>
      <c r="C469" s="1038">
        <f>Interims!AQ66</f>
        <v>118.5</v>
      </c>
      <c r="E469" s="1038">
        <f>Interims!BQ66</f>
        <v>115.80571381212425</v>
      </c>
      <c r="F469" s="1039">
        <f>Interims!BR66</f>
        <v>6.2987273665179533E-2</v>
      </c>
      <c r="G469" s="1038">
        <f>Interims!BS66</f>
        <v>121.2</v>
      </c>
      <c r="H469" s="1039">
        <f>Interims!BT66</f>
        <v>1.5676567656765616E-2</v>
      </c>
    </row>
    <row r="470" spans="2:8">
      <c r="B470" s="998" t="s">
        <v>1378</v>
      </c>
      <c r="C470" s="1040">
        <f>Interims!AQ86</f>
        <v>59.530961770000033</v>
      </c>
      <c r="E470" s="1040">
        <f>Interims!BQ86</f>
        <v>61.811971339639285</v>
      </c>
      <c r="F470" s="1041">
        <f>Interims!BR86</f>
        <v>4.8218023722038206E-2</v>
      </c>
      <c r="G470" s="1040">
        <f>Interims!BS86</f>
        <v>60.1</v>
      </c>
      <c r="H470" s="1041">
        <f>Interims!BT86</f>
        <v>7.8076912479200455E-2</v>
      </c>
    </row>
    <row r="471" spans="2:8">
      <c r="B471" s="1013" t="s">
        <v>161</v>
      </c>
      <c r="C471" s="1038">
        <f>Interims!AQ127</f>
        <v>33.700000000000003</v>
      </c>
      <c r="E471" s="1038">
        <f>Interims!BQ131</f>
        <v>50.245236321825843</v>
      </c>
      <c r="F471" s="1039">
        <f>Interims!BR131</f>
        <v>7.3992590323616492E-2</v>
      </c>
      <c r="G471" s="1038">
        <f>Interims!BS131</f>
        <v>39.200000000000003</v>
      </c>
      <c r="H471" s="1039">
        <f>Interims!BT131</f>
        <v>0.37660743644642825</v>
      </c>
    </row>
    <row r="472" spans="2:8">
      <c r="C472" s="1042"/>
      <c r="D472" s="1042"/>
      <c r="E472" s="1042"/>
      <c r="F472" s="1041"/>
      <c r="G472" s="1042"/>
      <c r="H472" s="1041"/>
    </row>
    <row r="473" spans="2:8">
      <c r="B473" s="1011" t="s">
        <v>1496</v>
      </c>
      <c r="C473" s="1012" t="s">
        <v>1342</v>
      </c>
      <c r="D473" s="1012" t="s">
        <v>1343</v>
      </c>
      <c r="E473" s="1012" t="s">
        <v>1376</v>
      </c>
      <c r="F473" s="1012" t="s">
        <v>1480</v>
      </c>
      <c r="G473" s="1012" t="s">
        <v>1495</v>
      </c>
      <c r="H473" s="1012" t="s">
        <v>1491</v>
      </c>
    </row>
    <row r="474" spans="2:8">
      <c r="B474" s="1013" t="s">
        <v>0</v>
      </c>
      <c r="C474" s="1039">
        <f>Interims!DH66</f>
        <v>-3.5301794609988946E-2</v>
      </c>
      <c r="D474" s="1039">
        <f>Interims!DI66</f>
        <v>2.432877402255218E-2</v>
      </c>
      <c r="E474" s="1039">
        <f>Interims!DJ66</f>
        <v>1.0250306050321623E-2</v>
      </c>
      <c r="F474" s="1039">
        <f>Interims!DK66</f>
        <v>-1.3654499325538527E-2</v>
      </c>
      <c r="G474" s="1039">
        <f>Interims!DL66</f>
        <v>-5.0946668472903411E-2</v>
      </c>
      <c r="H474" s="1039">
        <f>Interims!DM66</f>
        <v>-3.8292080750401802E-2</v>
      </c>
    </row>
    <row r="475" spans="2:8">
      <c r="B475" s="998" t="s">
        <v>1378</v>
      </c>
      <c r="C475" s="1041">
        <f>Interims!DH86</f>
        <v>1.1468714903027033E-2</v>
      </c>
      <c r="D475" s="1041">
        <f>Interims!DI86</f>
        <v>2.1194682292284828E-2</v>
      </c>
      <c r="E475" s="1041">
        <f>Interims!DJ86</f>
        <v>1.4702215592964807E-2</v>
      </c>
      <c r="F475" s="1041">
        <f>Interims!DK86</f>
        <v>5.3333754285762591E-3</v>
      </c>
      <c r="G475" s="1041">
        <f>Interims!DL86</f>
        <v>4.0992537095213777E-2</v>
      </c>
      <c r="H475" s="1041">
        <f>Interims!DM86</f>
        <v>-2.7642857772506746E-2</v>
      </c>
    </row>
    <row r="476" spans="2:8">
      <c r="B476" s="1013"/>
      <c r="C476" s="1013"/>
      <c r="D476" s="1013"/>
      <c r="E476" s="1013"/>
      <c r="F476" s="1013"/>
      <c r="G476" s="1013"/>
      <c r="H476" s="1013"/>
    </row>
    <row r="477" spans="2:8">
      <c r="B477" s="998" t="s">
        <v>1493</v>
      </c>
      <c r="C477" s="1042">
        <f>Interims!AL39</f>
        <v>1.6177963062000345</v>
      </c>
      <c r="D477" s="1042">
        <f>Interims!AM39</f>
        <v>5.3866670836997628</v>
      </c>
      <c r="E477" s="1042">
        <f>Interims!AN39</f>
        <v>10.018463389899807</v>
      </c>
      <c r="F477" s="1042">
        <f>Interims!AO39</f>
        <v>1.1440778550999084</v>
      </c>
      <c r="G477" s="1042">
        <f>Interims!AP39</f>
        <v>4.1550000000000864</v>
      </c>
      <c r="H477" s="1042">
        <f>Interims!AQ39</f>
        <v>7.4624587550001706</v>
      </c>
    </row>
    <row r="478" spans="2:8">
      <c r="B478" s="1013" t="s">
        <v>1494</v>
      </c>
      <c r="C478" s="1038">
        <f>Interims!AL37+Interims!AL38</f>
        <v>-32.149000000000001</v>
      </c>
      <c r="D478" s="1038">
        <f>Interims!AM37+Interims!AM38</f>
        <v>-17.463999999999942</v>
      </c>
      <c r="E478" s="1038">
        <f>Interims!AN37+Interims!AN38</f>
        <v>-58.671000000000049</v>
      </c>
      <c r="F478" s="1038">
        <f>Interims!AO37+Interims!AO38</f>
        <v>-37.616999999999962</v>
      </c>
      <c r="G478" s="1038">
        <f>Interims!AP37+Interims!AP38</f>
        <v>-20.214000000000055</v>
      </c>
      <c r="H478" s="1038">
        <f>Interims!AQ37+Interims!AQ38</f>
        <v>-13.215000000000032</v>
      </c>
    </row>
    <row r="489" spans="2:28">
      <c r="B489" s="1043" t="s">
        <v>1572</v>
      </c>
    </row>
    <row r="490" spans="2:28">
      <c r="V490" s="1106" t="s">
        <v>1614</v>
      </c>
      <c r="W490" s="1106"/>
      <c r="X490" s="1106"/>
      <c r="Y490" s="1106"/>
      <c r="Z490" s="1106"/>
      <c r="AA490" s="1106"/>
      <c r="AB490" s="1106"/>
    </row>
    <row r="491" spans="2:28">
      <c r="B491" s="1011" t="s">
        <v>192</v>
      </c>
      <c r="C491" s="1044">
        <v>2022</v>
      </c>
      <c r="D491" s="1044">
        <f t="shared" ref="D491:K491" si="107">C491+1</f>
        <v>2023</v>
      </c>
      <c r="E491" s="1011">
        <f t="shared" si="107"/>
        <v>2024</v>
      </c>
      <c r="F491" s="1011">
        <f t="shared" si="107"/>
        <v>2025</v>
      </c>
      <c r="G491" s="1011">
        <f t="shared" si="107"/>
        <v>2026</v>
      </c>
      <c r="H491" s="1011">
        <f t="shared" si="107"/>
        <v>2027</v>
      </c>
      <c r="I491" s="1011">
        <f t="shared" si="107"/>
        <v>2028</v>
      </c>
      <c r="J491" s="1011">
        <f t="shared" si="107"/>
        <v>2029</v>
      </c>
      <c r="K491" s="1011">
        <f t="shared" si="107"/>
        <v>2030</v>
      </c>
      <c r="L491" s="1011">
        <f t="shared" ref="L491" si="108">K491+1</f>
        <v>2031</v>
      </c>
      <c r="M491" s="1011">
        <f t="shared" ref="M491" si="109">L491+1</f>
        <v>2032</v>
      </c>
      <c r="N491" s="1011">
        <f t="shared" ref="N491" si="110">M491+1</f>
        <v>2033</v>
      </c>
      <c r="O491" s="1011">
        <f t="shared" ref="O491" si="111">N491+1</f>
        <v>2034</v>
      </c>
      <c r="P491" s="1011">
        <f t="shared" ref="P491" si="112">O491+1</f>
        <v>2035</v>
      </c>
      <c r="Q491" s="1011">
        <f t="shared" ref="Q491" si="113">P491+1</f>
        <v>2036</v>
      </c>
      <c r="T491" s="1012" t="s">
        <v>1604</v>
      </c>
      <c r="V491" s="1044">
        <v>2022</v>
      </c>
      <c r="W491" s="1011">
        <f t="shared" ref="W491:AB491" si="114">V491+1</f>
        <v>2023</v>
      </c>
      <c r="X491" s="1011">
        <f t="shared" si="114"/>
        <v>2024</v>
      </c>
      <c r="Y491" s="1011">
        <f t="shared" si="114"/>
        <v>2025</v>
      </c>
      <c r="Z491" s="1011">
        <f t="shared" si="114"/>
        <v>2026</v>
      </c>
      <c r="AA491" s="1011">
        <f t="shared" si="114"/>
        <v>2027</v>
      </c>
      <c r="AB491" s="1011">
        <f t="shared" si="114"/>
        <v>2028</v>
      </c>
    </row>
    <row r="492" spans="2:28">
      <c r="B492" s="1045" t="str">
        <f>Model!B5</f>
        <v>TV</v>
      </c>
      <c r="C492" s="1046">
        <f>Model!L5</f>
        <v>202.52998415548132</v>
      </c>
      <c r="D492" s="1046">
        <f>Model!M5</f>
        <v>188.7110290691534</v>
      </c>
      <c r="E492" s="1046">
        <f ca="1">Model!N5</f>
        <v>147.8752560329269</v>
      </c>
      <c r="F492" s="1046">
        <f ca="1">Model!O5</f>
        <v>123.26951824633576</v>
      </c>
      <c r="G492" s="1046">
        <f ca="1">Model!P5</f>
        <v>123.63941285987076</v>
      </c>
      <c r="H492" s="1046">
        <f ca="1">Model!Q5</f>
        <v>120.54650944736628</v>
      </c>
      <c r="I492" s="1046">
        <f ca="1">Model!R5</f>
        <v>117.8941871808581</v>
      </c>
      <c r="J492" s="1046">
        <f ca="1">Model!S5</f>
        <v>115.65756367681243</v>
      </c>
      <c r="K492" s="1046">
        <f ca="1">Model!T5</f>
        <v>113.62424001572842</v>
      </c>
      <c r="L492" s="1046">
        <f ca="1">Model!U5</f>
        <v>111.59078845112856</v>
      </c>
      <c r="M492" s="1046">
        <f ca="1">Model!V5</f>
        <v>109.55358776392953</v>
      </c>
      <c r="N492" s="1046">
        <f ca="1">Model!W5</f>
        <v>107.50894244546552</v>
      </c>
      <c r="O492" s="1046">
        <f ca="1">Model!X5</f>
        <v>105.45308144484754</v>
      </c>
      <c r="P492" s="1046">
        <f ca="1">Model!Y5</f>
        <v>103.38215689740892</v>
      </c>
      <c r="Q492" s="1046">
        <f ca="1">Model!Z5</f>
        <v>101.29224283397139</v>
      </c>
      <c r="T492" s="1047">
        <f ca="1">POWER(I492/C492, 1/6)-1</f>
        <v>-8.6236420753780019E-2</v>
      </c>
    </row>
    <row r="493" spans="2:28">
      <c r="B493" s="998" t="str">
        <f>Model!B6</f>
        <v>Internet &amp; Telephony</v>
      </c>
      <c r="C493" s="1042">
        <f>Model!L6</f>
        <v>157.54322310999999</v>
      </c>
      <c r="D493" s="1042">
        <f>Model!M6</f>
        <v>168.13099800000001</v>
      </c>
      <c r="E493" s="1042">
        <f ca="1">Model!N6</f>
        <v>187.37801335158861</v>
      </c>
      <c r="F493" s="1042">
        <f ca="1">Model!O6</f>
        <v>208.40147837195119</v>
      </c>
      <c r="G493" s="1042">
        <f ca="1">Model!P6</f>
        <v>229.76209426355169</v>
      </c>
      <c r="H493" s="1042">
        <f ca="1">Model!Q6</f>
        <v>250.8230735013594</v>
      </c>
      <c r="I493" s="1042">
        <f ca="1">Model!R6</f>
        <v>269.98113644577961</v>
      </c>
      <c r="J493" s="1042">
        <f ca="1">Model!S6</f>
        <v>289.00720371738117</v>
      </c>
      <c r="K493" s="1042">
        <f ca="1">Model!T6</f>
        <v>305.16672088094123</v>
      </c>
      <c r="L493" s="1042">
        <f ca="1">Model!U6</f>
        <v>323.0524347154082</v>
      </c>
      <c r="M493" s="1042">
        <f ca="1">Model!V6</f>
        <v>341.91694717415845</v>
      </c>
      <c r="N493" s="1042">
        <f ca="1">Model!W6</f>
        <v>361.81139333583684</v>
      </c>
      <c r="O493" s="1042">
        <f ca="1">Model!X6</f>
        <v>382.78949094081474</v>
      </c>
      <c r="P493" s="1042">
        <f ca="1">Model!Y6</f>
        <v>404.90766750533083</v>
      </c>
      <c r="Q493" s="1042">
        <f ca="1">Model!Z6</f>
        <v>428.22519356519967</v>
      </c>
      <c r="T493" s="1048">
        <f ca="1">POWER(I493/C493, 1/6)-1</f>
        <v>9.3928530308663882E-2</v>
      </c>
    </row>
    <row r="494" spans="2:28">
      <c r="B494" s="1049" t="str">
        <f>Model!B7</f>
        <v>B2B</v>
      </c>
      <c r="C494" s="1050">
        <f>Model!L7</f>
        <v>45.373768670000004</v>
      </c>
      <c r="D494" s="1050">
        <f>Model!M7</f>
        <v>44.742804710000001</v>
      </c>
      <c r="E494" s="1050">
        <f>Model!N7</f>
        <v>45.190232757099999</v>
      </c>
      <c r="F494" s="1050">
        <f>Model!O7</f>
        <v>45.190232757099999</v>
      </c>
      <c r="G494" s="1050">
        <f>Model!P7</f>
        <v>46.094037412242002</v>
      </c>
      <c r="H494" s="1050">
        <f>Model!Q7</f>
        <v>47.015918160486841</v>
      </c>
      <c r="I494" s="1050">
        <f>Model!R7</f>
        <v>47.956236523696582</v>
      </c>
      <c r="J494" s="1050">
        <f>Model!S7</f>
        <v>48.915361254170513</v>
      </c>
      <c r="K494" s="1050">
        <f>Model!T7</f>
        <v>49.893668479253925</v>
      </c>
      <c r="L494" s="1050">
        <f>Model!U7</f>
        <v>50.891541848839005</v>
      </c>
      <c r="M494" s="1050">
        <f>Model!V7</f>
        <v>51.909372685815782</v>
      </c>
      <c r="N494" s="1050">
        <f>Model!W7</f>
        <v>52.947560139532101</v>
      </c>
      <c r="O494" s="1050">
        <f>Model!X7</f>
        <v>54.006511342322746</v>
      </c>
      <c r="P494" s="1050">
        <f>Model!Y7</f>
        <v>55.086641569169203</v>
      </c>
      <c r="Q494" s="1050">
        <f>Model!Z7</f>
        <v>56.18837440055259</v>
      </c>
      <c r="T494" s="1047">
        <f>POWER(I494/C494, 1/6)-1</f>
        <v>9.2684721283751159E-3</v>
      </c>
    </row>
    <row r="495" spans="2:28">
      <c r="B495" s="998" t="str">
        <f>Model!B8</f>
        <v>Other revenue</v>
      </c>
      <c r="C495" s="1042">
        <f>Model!L8</f>
        <v>41.089225354518689</v>
      </c>
      <c r="D495" s="1042">
        <f>Model!M8</f>
        <v>50.476379780846592</v>
      </c>
      <c r="E495" s="1042">
        <f ca="1">Model!N8</f>
        <v>53.421118404047526</v>
      </c>
      <c r="F495" s="1042">
        <f ca="1">Model!O8</f>
        <v>57.288307367756289</v>
      </c>
      <c r="G495" s="1042">
        <f ca="1">Model!P8</f>
        <v>63.326315046344178</v>
      </c>
      <c r="H495" s="1042">
        <f ca="1">Model!Q8</f>
        <v>71.47638870132711</v>
      </c>
      <c r="I495" s="1042">
        <f ca="1">Model!R8</f>
        <v>82.637360806156437</v>
      </c>
      <c r="J495" s="1042">
        <f ca="1">Model!S8</f>
        <v>98.388117030403208</v>
      </c>
      <c r="K495" s="1042">
        <f ca="1">Model!T8</f>
        <v>116.65169743562477</v>
      </c>
      <c r="L495" s="1042">
        <f ca="1">Model!U8</f>
        <v>134.77197045200697</v>
      </c>
      <c r="M495" s="1042">
        <f ca="1">Model!V8</f>
        <v>152.71159849785812</v>
      </c>
      <c r="N495" s="1042">
        <f ca="1">Model!W8</f>
        <v>170.43104872297991</v>
      </c>
      <c r="O495" s="1042">
        <f ca="1">Model!X8</f>
        <v>187.8884990876299</v>
      </c>
      <c r="P495" s="1042">
        <f ca="1">Model!Y8</f>
        <v>205.03974102661186</v>
      </c>
      <c r="Q495" s="1042">
        <f ca="1">Model!Z8</f>
        <v>221.83807858650275</v>
      </c>
      <c r="T495" s="1048">
        <f ca="1">POWER(I495/C495, 1/6)-1</f>
        <v>0.12350432213140605</v>
      </c>
    </row>
    <row r="496" spans="2:28">
      <c r="B496" s="1051" t="str">
        <f>Model!B9</f>
        <v>Total Revenue</v>
      </c>
      <c r="C496" s="1052">
        <f>Model!L9</f>
        <v>446.53620129000001</v>
      </c>
      <c r="D496" s="1052">
        <f>Model!M9</f>
        <v>452.06121156</v>
      </c>
      <c r="E496" s="1052">
        <f ca="1">Model!N9</f>
        <v>433.86462054566306</v>
      </c>
      <c r="F496" s="1052">
        <f ca="1">Model!O9</f>
        <v>434.14953674314324</v>
      </c>
      <c r="G496" s="1052">
        <f ca="1">Model!P9</f>
        <v>462.82185958200864</v>
      </c>
      <c r="H496" s="1052">
        <f ca="1">Model!Q9</f>
        <v>489.86188981053959</v>
      </c>
      <c r="I496" s="1052">
        <f ca="1">Model!R9</f>
        <v>518.46892095649082</v>
      </c>
      <c r="J496" s="1052">
        <f ca="1">Model!S9</f>
        <v>551.9682456787674</v>
      </c>
      <c r="K496" s="1052">
        <f ca="1">Model!T9</f>
        <v>585.33632681154825</v>
      </c>
      <c r="L496" s="1052">
        <f ca="1">Model!U9</f>
        <v>620.30673546738274</v>
      </c>
      <c r="M496" s="1052">
        <f ca="1">Model!V9</f>
        <v>656.091506121762</v>
      </c>
      <c r="N496" s="1052">
        <f ca="1">Model!W9</f>
        <v>692.69894464381434</v>
      </c>
      <c r="O496" s="1052">
        <f ca="1">Model!X9</f>
        <v>730.13758281561491</v>
      </c>
      <c r="P496" s="1052">
        <f ca="1">Model!Y9</f>
        <v>768.41620699852081</v>
      </c>
      <c r="Q496" s="1052">
        <f ca="1">Model!Z9</f>
        <v>807.5438893862264</v>
      </c>
      <c r="T496" s="1053">
        <f ca="1">POWER(I496/C496, 1/6)-1</f>
        <v>2.5205692880206243E-2</v>
      </c>
    </row>
    <row r="497" spans="2:28">
      <c r="C497" s="1042"/>
      <c r="D497" s="1042"/>
      <c r="E497" s="1042"/>
      <c r="F497" s="1042"/>
      <c r="G497" s="1042"/>
      <c r="H497" s="1042"/>
      <c r="I497" s="1042"/>
      <c r="J497" s="1042"/>
      <c r="K497" s="1042"/>
      <c r="L497" s="1042"/>
      <c r="M497" s="1042"/>
      <c r="N497" s="1042"/>
      <c r="O497" s="1042"/>
      <c r="P497" s="1042"/>
      <c r="Q497" s="1042"/>
      <c r="T497" s="1048"/>
    </row>
    <row r="498" spans="2:28" s="1031" customFormat="1">
      <c r="B498" s="1051" t="s">
        <v>1378</v>
      </c>
      <c r="C498" s="1054">
        <f>Model!L12</f>
        <v>181.58300000000003</v>
      </c>
      <c r="D498" s="1054">
        <f ca="1">Model!M12</f>
        <v>190.85454653151407</v>
      </c>
      <c r="E498" s="1054">
        <f ca="1">Model!N12</f>
        <v>184.97974954401991</v>
      </c>
      <c r="F498" s="1054">
        <f ca="1">Model!O12</f>
        <v>192.26576222893047</v>
      </c>
      <c r="G498" s="1054">
        <f ca="1">Model!P12</f>
        <v>209.68398168306288</v>
      </c>
      <c r="H498" s="1054">
        <f ca="1">Model!Q12</f>
        <v>228.62711092244257</v>
      </c>
      <c r="I498" s="1054">
        <f ca="1">Model!R12</f>
        <v>249.10503433769716</v>
      </c>
      <c r="J498" s="1054">
        <f ca="1">Model!S12</f>
        <v>273.47661400054051</v>
      </c>
      <c r="K498" s="1054">
        <f ca="1">Model!T12</f>
        <v>298.79495662173173</v>
      </c>
      <c r="L498" s="1054">
        <f ca="1">Model!U12</f>
        <v>325.85744290204622</v>
      </c>
      <c r="M498" s="1054">
        <f ca="1">Model!V12</f>
        <v>352.81269762450358</v>
      </c>
      <c r="N498" s="1054">
        <f ca="1">Model!W12</f>
        <v>380.78171492757747</v>
      </c>
      <c r="O498" s="1054">
        <f ca="1">Model!X12</f>
        <v>409.78440490838074</v>
      </c>
      <c r="P498" s="1054">
        <f ca="1">Model!Y12</f>
        <v>439.84128577463719</v>
      </c>
      <c r="Q498" s="1054">
        <f ca="1">Model!Z12</f>
        <v>470.97351969960295</v>
      </c>
      <c r="T498" s="1055">
        <f ca="1">POWER(I498/C498, 1/6)-1</f>
        <v>5.4106649467637213E-2</v>
      </c>
    </row>
    <row r="499" spans="2:28">
      <c r="B499" s="998" t="str">
        <f>Model!B126</f>
        <v>Capex</v>
      </c>
      <c r="C499" s="1042">
        <f>Model!L126</f>
        <v>-186</v>
      </c>
      <c r="D499" s="1042">
        <f>Model!M126</f>
        <v>-187</v>
      </c>
      <c r="E499" s="1042">
        <f ca="1">Model!N126</f>
        <v>-193.26969502103239</v>
      </c>
      <c r="F499" s="1042">
        <f ca="1">Model!O126</f>
        <v>-187.46621537875632</v>
      </c>
      <c r="G499" s="1042">
        <f ca="1">Model!P126</f>
        <v>-190.60693133023656</v>
      </c>
      <c r="H499" s="1042">
        <f ca="1">Model!Q126</f>
        <v>-202.94415147376913</v>
      </c>
      <c r="I499" s="1042">
        <f ca="1">Model!R126</f>
        <v>-202.99840863051455</v>
      </c>
      <c r="J499" s="1042">
        <f ca="1">Model!S126</f>
        <v>-231.88698917188097</v>
      </c>
      <c r="K499" s="1042">
        <f ca="1">Model!T126</f>
        <v>-230.4678702221118</v>
      </c>
      <c r="L499" s="1042">
        <f ca="1">Model!U126</f>
        <v>-267.77608347685418</v>
      </c>
      <c r="M499" s="1042">
        <f ca="1">Model!V126</f>
        <v>-268.85975693610794</v>
      </c>
      <c r="N499" s="1042">
        <f ca="1">Model!W126</f>
        <v>-269.94989059987319</v>
      </c>
      <c r="O499" s="1042">
        <f ca="1">Model!X126</f>
        <v>-271.0464844681498</v>
      </c>
      <c r="P499" s="1042">
        <f ca="1">Model!Y126</f>
        <v>-272.14953854093795</v>
      </c>
      <c r="Q499" s="1042">
        <f ca="1">Model!Z126</f>
        <v>-137.90305281823746</v>
      </c>
      <c r="T499" s="1002"/>
    </row>
    <row r="500" spans="2:28">
      <c r="B500" s="1049" t="s">
        <v>1601</v>
      </c>
      <c r="C500" s="1050">
        <f>Model!L131</f>
        <v>-38.730000000000004</v>
      </c>
      <c r="D500" s="1050">
        <f>Model!M131</f>
        <v>-45.085999999999999</v>
      </c>
      <c r="E500" s="1050">
        <f>Model!N131</f>
        <v>-45</v>
      </c>
      <c r="F500" s="1050">
        <f>Model!O131</f>
        <v>-45</v>
      </c>
      <c r="G500" s="1050">
        <f>Model!P131</f>
        <v>-45</v>
      </c>
      <c r="H500" s="1050">
        <f>Model!Q131</f>
        <v>-45</v>
      </c>
      <c r="I500" s="1050">
        <f>Model!R131</f>
        <v>-45</v>
      </c>
      <c r="J500" s="1050">
        <f>Model!S131</f>
        <v>-45</v>
      </c>
      <c r="K500" s="1050">
        <f>Model!T131</f>
        <v>-45</v>
      </c>
      <c r="L500" s="1050">
        <f>Model!U131</f>
        <v>-45</v>
      </c>
      <c r="M500" s="1050">
        <f>Model!V131</f>
        <v>-45</v>
      </c>
      <c r="N500" s="1050">
        <f>Model!W131</f>
        <v>-45</v>
      </c>
      <c r="O500" s="1050">
        <f>Model!X131</f>
        <v>-45</v>
      </c>
      <c r="P500" s="1050">
        <f>Model!Y131</f>
        <v>-45</v>
      </c>
      <c r="Q500" s="1050">
        <f>Model!Z131</f>
        <v>-45</v>
      </c>
      <c r="T500" s="1056"/>
      <c r="V500" s="1050">
        <v>-44</v>
      </c>
      <c r="W500" s="1050">
        <v>-35</v>
      </c>
      <c r="X500" s="1050">
        <v>-90</v>
      </c>
      <c r="Y500" s="1050">
        <v>-19</v>
      </c>
      <c r="Z500" s="1050">
        <v>54</v>
      </c>
      <c r="AA500" s="1050">
        <v>96</v>
      </c>
      <c r="AB500" s="1050">
        <v>115</v>
      </c>
    </row>
    <row r="501" spans="2:28">
      <c r="B501" s="1031" t="s">
        <v>1602</v>
      </c>
      <c r="C501" s="1057">
        <f>SUM(C498:C500)</f>
        <v>-43.146999999999977</v>
      </c>
      <c r="D501" s="1057">
        <f t="shared" ref="D501:K501" ca="1" si="115">SUM(D498:D500)</f>
        <v>-41.231453468485924</v>
      </c>
      <c r="E501" s="1057">
        <f t="shared" ca="1" si="115"/>
        <v>-53.289945477012481</v>
      </c>
      <c r="F501" s="1057">
        <f t="shared" ca="1" si="115"/>
        <v>-40.200453149825847</v>
      </c>
      <c r="G501" s="1057">
        <f t="shared" ca="1" si="115"/>
        <v>-25.922949647173681</v>
      </c>
      <c r="H501" s="1057">
        <f t="shared" ca="1" si="115"/>
        <v>-19.317040551326556</v>
      </c>
      <c r="I501" s="1057">
        <f t="shared" ca="1" si="115"/>
        <v>1.1066257071826158</v>
      </c>
      <c r="J501" s="1057">
        <f t="shared" ca="1" si="115"/>
        <v>-3.410375171340462</v>
      </c>
      <c r="K501" s="1057">
        <f t="shared" ca="1" si="115"/>
        <v>23.32708639961993</v>
      </c>
      <c r="L501" s="1057">
        <f t="shared" ref="L501:Q501" ca="1" si="116">SUM(L498:L500)</f>
        <v>13.081359425192034</v>
      </c>
      <c r="M501" s="1057">
        <f t="shared" ca="1" si="116"/>
        <v>38.952940688395643</v>
      </c>
      <c r="N501" s="1057">
        <f t="shared" ca="1" si="116"/>
        <v>65.831824327704282</v>
      </c>
      <c r="O501" s="1057">
        <f t="shared" ca="1" si="116"/>
        <v>93.737920440230937</v>
      </c>
      <c r="P501" s="1057">
        <f t="shared" ca="1" si="116"/>
        <v>122.69174723369923</v>
      </c>
      <c r="Q501" s="1057">
        <f t="shared" ca="1" si="116"/>
        <v>288.07046688136552</v>
      </c>
      <c r="T501" s="1058"/>
    </row>
    <row r="502" spans="2:28">
      <c r="B502" s="1049"/>
      <c r="C502" s="1050"/>
      <c r="D502" s="1050"/>
      <c r="E502" s="1050"/>
      <c r="F502" s="1050"/>
      <c r="G502" s="1050"/>
      <c r="H502" s="1050"/>
      <c r="I502" s="1050"/>
      <c r="J502" s="1050"/>
      <c r="K502" s="1050"/>
      <c r="L502" s="1050"/>
      <c r="M502" s="1050"/>
      <c r="N502" s="1050"/>
      <c r="O502" s="1050"/>
      <c r="P502" s="1050"/>
      <c r="Q502" s="1050"/>
      <c r="T502" s="1049"/>
    </row>
    <row r="503" spans="2:28">
      <c r="B503" s="998" t="s">
        <v>1018</v>
      </c>
      <c r="C503" s="1042">
        <f ca="1">Model!L16</f>
        <v>-18.283000000000015</v>
      </c>
      <c r="D503" s="1042">
        <f ca="1">Model!M16</f>
        <v>-47.554546531514063</v>
      </c>
      <c r="E503" s="1042">
        <f>Model!N16</f>
        <v>-45</v>
      </c>
      <c r="F503" s="1042">
        <f>Model!O16</f>
        <v>-25</v>
      </c>
      <c r="G503" s="1042">
        <f>Model!P16</f>
        <v>-20</v>
      </c>
      <c r="H503" s="1042">
        <f>Model!Q16</f>
        <v>-10</v>
      </c>
      <c r="I503" s="1042">
        <f>Model!R16</f>
        <v>-10</v>
      </c>
      <c r="J503" s="1042">
        <f>Model!S16</f>
        <v>-10</v>
      </c>
      <c r="K503" s="1042">
        <f>Model!T16</f>
        <v>-10</v>
      </c>
      <c r="L503" s="1042">
        <f>Model!U16</f>
        <v>-10</v>
      </c>
      <c r="M503" s="1042">
        <f>Model!V16</f>
        <v>-10</v>
      </c>
      <c r="N503" s="1042">
        <f>Model!W16</f>
        <v>-10</v>
      </c>
      <c r="O503" s="1042">
        <f>Model!X16</f>
        <v>-10</v>
      </c>
      <c r="P503" s="1042">
        <f>Model!Y16</f>
        <v>-10</v>
      </c>
      <c r="Q503" s="1042">
        <f>Model!Z16</f>
        <v>0</v>
      </c>
      <c r="V503" s="1042">
        <f t="shared" ref="V503:AB506" ca="1" si="117">C503</f>
        <v>-18.283000000000015</v>
      </c>
      <c r="W503" s="1042">
        <f t="shared" ca="1" si="117"/>
        <v>-47.554546531514063</v>
      </c>
      <c r="X503" s="1042">
        <f t="shared" si="117"/>
        <v>-45</v>
      </c>
      <c r="Y503" s="1042">
        <f t="shared" si="117"/>
        <v>-25</v>
      </c>
      <c r="Z503" s="1042">
        <f t="shared" si="117"/>
        <v>-20</v>
      </c>
      <c r="AA503" s="1042">
        <f t="shared" si="117"/>
        <v>-10</v>
      </c>
      <c r="AB503" s="1042">
        <f t="shared" si="117"/>
        <v>-10</v>
      </c>
    </row>
    <row r="504" spans="2:28">
      <c r="B504" s="1049" t="s">
        <v>1608</v>
      </c>
      <c r="C504" s="1050">
        <f>Model!L129</f>
        <v>-48.257999999999996</v>
      </c>
      <c r="D504" s="1050">
        <f>Model!M129</f>
        <v>-44.177999999999997</v>
      </c>
      <c r="E504" s="1050">
        <f>Model!N129</f>
        <v>-37.31</v>
      </c>
      <c r="F504" s="1050">
        <f>Model!O129</f>
        <v>-7.5150000000000006</v>
      </c>
      <c r="G504" s="1050">
        <f>Model!P129</f>
        <v>-9.6150000000000002</v>
      </c>
      <c r="H504" s="1050">
        <f ca="1">Model!Q129</f>
        <v>-11.648314379180837</v>
      </c>
      <c r="I504" s="1050">
        <f ca="1">Model!R129</f>
        <v>-14.515889224316352</v>
      </c>
      <c r="J504" s="1050">
        <f ca="1">Model!S129</f>
        <v>-615.01856336828996</v>
      </c>
      <c r="K504" s="1050">
        <f ca="1">Model!T129</f>
        <v>-137.19856336828985</v>
      </c>
      <c r="L504" s="1050">
        <f ca="1">Model!U129</f>
        <v>-145.86956675609673</v>
      </c>
      <c r="M504" s="1050">
        <f ca="1">Model!V129</f>
        <v>-155.86474126926007</v>
      </c>
      <c r="N504" s="1050">
        <f ca="1">Model!W129</f>
        <v>-164.74856730992059</v>
      </c>
      <c r="O504" s="1050">
        <f ca="1">Model!X129</f>
        <v>-172.37273931867574</v>
      </c>
      <c r="P504" s="1050">
        <f ca="1">Model!Y129</f>
        <v>-178.5771766401669</v>
      </c>
      <c r="Q504" s="1050">
        <f ca="1">Model!Z129</f>
        <v>-183.18915669861963</v>
      </c>
      <c r="T504" s="1049"/>
      <c r="V504" s="1042">
        <f t="shared" si="117"/>
        <v>-48.257999999999996</v>
      </c>
      <c r="W504" s="1042">
        <f t="shared" si="117"/>
        <v>-44.177999999999997</v>
      </c>
      <c r="X504" s="1042">
        <f t="shared" si="117"/>
        <v>-37.31</v>
      </c>
      <c r="Y504" s="1042">
        <f t="shared" si="117"/>
        <v>-7.5150000000000006</v>
      </c>
      <c r="Z504" s="1042">
        <f t="shared" si="117"/>
        <v>-9.6150000000000002</v>
      </c>
      <c r="AA504" s="1042">
        <f t="shared" ca="1" si="117"/>
        <v>-11.648314379180837</v>
      </c>
      <c r="AB504" s="1042">
        <f t="shared" ca="1" si="117"/>
        <v>-14.515889224316352</v>
      </c>
    </row>
    <row r="505" spans="2:28">
      <c r="B505" s="998" t="s">
        <v>1605</v>
      </c>
      <c r="C505" s="1042">
        <f>Model!L134</f>
        <v>73.8</v>
      </c>
      <c r="D505" s="1042">
        <f>Model!M134</f>
        <v>0</v>
      </c>
      <c r="E505" s="1042">
        <f>Model!N134</f>
        <v>250</v>
      </c>
      <c r="F505" s="1042">
        <f>Model!O134</f>
        <v>50</v>
      </c>
      <c r="G505" s="1042">
        <f>Model!P134</f>
        <v>0</v>
      </c>
      <c r="H505" s="1042">
        <f>Model!Q134</f>
        <v>0</v>
      </c>
      <c r="I505" s="1042">
        <f>Model!R134</f>
        <v>0</v>
      </c>
      <c r="J505" s="1042">
        <f>Model!S134</f>
        <v>0</v>
      </c>
      <c r="K505" s="1042">
        <f>Model!T134</f>
        <v>0</v>
      </c>
      <c r="L505" s="1042">
        <f>Model!U134</f>
        <v>0</v>
      </c>
      <c r="M505" s="1042">
        <f>Model!V134</f>
        <v>0</v>
      </c>
      <c r="N505" s="1042">
        <f>Model!W134</f>
        <v>0</v>
      </c>
      <c r="O505" s="1042">
        <f>Model!X134</f>
        <v>0</v>
      </c>
      <c r="P505" s="1042">
        <f>Model!Y134</f>
        <v>0</v>
      </c>
      <c r="Q505" s="1042">
        <f>Model!Z134</f>
        <v>0</v>
      </c>
      <c r="V505" s="1042">
        <f t="shared" si="117"/>
        <v>73.8</v>
      </c>
      <c r="W505" s="1042">
        <f t="shared" si="117"/>
        <v>0</v>
      </c>
      <c r="X505" s="1042">
        <f t="shared" si="117"/>
        <v>250</v>
      </c>
      <c r="Y505" s="1042">
        <f t="shared" si="117"/>
        <v>50</v>
      </c>
      <c r="Z505" s="1042">
        <f t="shared" si="117"/>
        <v>0</v>
      </c>
      <c r="AA505" s="1042">
        <f t="shared" si="117"/>
        <v>0</v>
      </c>
      <c r="AB505" s="1042">
        <f t="shared" si="117"/>
        <v>0</v>
      </c>
    </row>
    <row r="506" spans="2:28">
      <c r="B506" s="1049" t="s">
        <v>1671</v>
      </c>
      <c r="C506" s="1059">
        <f ca="1">C507-SUM(C501,C503:C505)</f>
        <v>10.794000000000054</v>
      </c>
      <c r="D506" s="1059">
        <f t="shared" ref="D506:K506" ca="1" si="118">D507-SUM(D501,D503:D505)</f>
        <v>-17.430000000000007</v>
      </c>
      <c r="E506" s="1059">
        <f t="shared" ca="1" si="118"/>
        <v>-107</v>
      </c>
      <c r="F506" s="1059">
        <f t="shared" ca="1" si="118"/>
        <v>-10</v>
      </c>
      <c r="G506" s="1059">
        <f t="shared" ca="1" si="118"/>
        <v>-5</v>
      </c>
      <c r="H506" s="1059">
        <f t="shared" ca="1" si="118"/>
        <v>0</v>
      </c>
      <c r="I506" s="1059">
        <f t="shared" ca="1" si="118"/>
        <v>0</v>
      </c>
      <c r="J506" s="1059">
        <f t="shared" ca="1" si="118"/>
        <v>80</v>
      </c>
      <c r="K506" s="1059">
        <f t="shared" ca="1" si="118"/>
        <v>0</v>
      </c>
      <c r="L506" s="1059">
        <f t="shared" ref="L506:Q506" ca="1" si="119">L507-SUM(L501,L503:L505)</f>
        <v>0</v>
      </c>
      <c r="M506" s="1059">
        <f t="shared" ca="1" si="119"/>
        <v>0</v>
      </c>
      <c r="N506" s="1059">
        <f t="shared" ca="1" si="119"/>
        <v>0</v>
      </c>
      <c r="O506" s="1059">
        <f t="shared" ca="1" si="119"/>
        <v>0</v>
      </c>
      <c r="P506" s="1059">
        <f t="shared" ca="1" si="119"/>
        <v>0</v>
      </c>
      <c r="Q506" s="1059">
        <f t="shared" ca="1" si="119"/>
        <v>-13.185757221929521</v>
      </c>
      <c r="T506" s="1049"/>
      <c r="V506" s="1042">
        <f t="shared" ca="1" si="117"/>
        <v>10.794000000000054</v>
      </c>
      <c r="W506" s="1042">
        <f t="shared" ca="1" si="117"/>
        <v>-17.430000000000007</v>
      </c>
      <c r="X506" s="1042">
        <f t="shared" ca="1" si="117"/>
        <v>-107</v>
      </c>
      <c r="Y506" s="1042">
        <f t="shared" ca="1" si="117"/>
        <v>-10</v>
      </c>
      <c r="Z506" s="1042">
        <f t="shared" ca="1" si="117"/>
        <v>-5</v>
      </c>
      <c r="AA506" s="1042">
        <f t="shared" ca="1" si="117"/>
        <v>0</v>
      </c>
      <c r="AB506" s="1042">
        <f t="shared" ca="1" si="117"/>
        <v>0</v>
      </c>
    </row>
    <row r="507" spans="2:28">
      <c r="B507" s="1031" t="s">
        <v>1599</v>
      </c>
      <c r="C507" s="1060">
        <f ca="1">Model!L136</f>
        <v>-25.093999999999937</v>
      </c>
      <c r="D507" s="1060">
        <f>Model!M136</f>
        <v>-150.39400000000001</v>
      </c>
      <c r="E507" s="1060">
        <f ca="1">Model!N136</f>
        <v>7.4000545229875172</v>
      </c>
      <c r="F507" s="1060">
        <f ca="1">Model!O136</f>
        <v>-32.715453149825848</v>
      </c>
      <c r="G507" s="1060">
        <f ca="1">Model!P136</f>
        <v>-60.537949647173683</v>
      </c>
      <c r="H507" s="1060">
        <f ca="1">Model!Q136</f>
        <v>-40.965354930507395</v>
      </c>
      <c r="I507" s="1060">
        <f ca="1">Model!R136</f>
        <v>-23.409263517133738</v>
      </c>
      <c r="J507" s="1060">
        <f ca="1">Model!S136</f>
        <v>-548.42893853963039</v>
      </c>
      <c r="K507" s="1060">
        <f ca="1">Model!T136</f>
        <v>-123.87147696866992</v>
      </c>
      <c r="L507" s="1060">
        <f ca="1">Model!U136</f>
        <v>-142.7882073309047</v>
      </c>
      <c r="M507" s="1060">
        <f ca="1">Model!V136</f>
        <v>-126.91180058086442</v>
      </c>
      <c r="N507" s="1060">
        <f ca="1">Model!W136</f>
        <v>-108.91674298221631</v>
      </c>
      <c r="O507" s="1060">
        <f ca="1">Model!X136</f>
        <v>-88.634818878444804</v>
      </c>
      <c r="P507" s="1060">
        <f ca="1">Model!Y136</f>
        <v>-65.885429406467665</v>
      </c>
      <c r="Q507" s="1060">
        <f ca="1">Model!Z136</f>
        <v>91.695552960816372</v>
      </c>
      <c r="T507" s="1058"/>
      <c r="V507" s="1042">
        <f ca="1">SUM(V500,V503:V506)</f>
        <v>-25.94699999999996</v>
      </c>
      <c r="W507" s="1042">
        <f t="shared" ref="W507:AB507" ca="1" si="120">SUM(W500,W503:W506)</f>
        <v>-144.16254653151407</v>
      </c>
      <c r="X507" s="1042">
        <f t="shared" ca="1" si="120"/>
        <v>-29.310000000000002</v>
      </c>
      <c r="Y507" s="1042">
        <f t="shared" ca="1" si="120"/>
        <v>-11.515000000000001</v>
      </c>
      <c r="Z507" s="1042">
        <f t="shared" ca="1" si="120"/>
        <v>19.384999999999998</v>
      </c>
      <c r="AA507" s="1042">
        <f t="shared" ca="1" si="120"/>
        <v>74.351685620819168</v>
      </c>
      <c r="AB507" s="1042">
        <f t="shared" ca="1" si="120"/>
        <v>90.484110775683646</v>
      </c>
    </row>
    <row r="508" spans="2:28">
      <c r="B508" s="1049"/>
      <c r="C508" s="1050"/>
      <c r="D508" s="1050"/>
      <c r="E508" s="1050"/>
      <c r="F508" s="1050"/>
      <c r="G508" s="1050"/>
      <c r="H508" s="1050"/>
      <c r="I508" s="1050"/>
      <c r="J508" s="1050"/>
      <c r="K508" s="1050"/>
      <c r="L508" s="1050"/>
      <c r="M508" s="1050"/>
      <c r="N508" s="1050"/>
      <c r="O508" s="1050"/>
      <c r="P508" s="1050"/>
      <c r="Q508" s="1050"/>
      <c r="T508" s="1049"/>
    </row>
    <row r="509" spans="2:28">
      <c r="B509" s="998" t="s">
        <v>1675</v>
      </c>
      <c r="C509" s="1042">
        <f>Model!L173</f>
        <v>1114</v>
      </c>
      <c r="D509" s="1042">
        <f>Model!M169+Model!M170</f>
        <v>1112</v>
      </c>
      <c r="E509" s="1042">
        <f>Model!N169+Model!N170</f>
        <v>1138</v>
      </c>
      <c r="F509" s="1042">
        <f>Model!O169+Model!O170</f>
        <v>1138</v>
      </c>
      <c r="G509" s="1042">
        <f>Model!P169+Model!P170</f>
        <v>1138</v>
      </c>
      <c r="H509" s="1042">
        <f>Model!Q169+Model!Q170</f>
        <v>1138</v>
      </c>
      <c r="I509" s="1042">
        <f>Model!R169+Model!R170</f>
        <v>1138</v>
      </c>
      <c r="J509" s="1042">
        <f>Model!S169+Model!S170</f>
        <v>0</v>
      </c>
      <c r="K509" s="1042">
        <f>Model!T169+Model!T170</f>
        <v>0</v>
      </c>
      <c r="L509" s="1042">
        <f>Model!U169+Model!U170</f>
        <v>0</v>
      </c>
      <c r="M509" s="1042">
        <f>Model!V169+Model!V170</f>
        <v>0</v>
      </c>
      <c r="N509" s="1042">
        <f>Model!W169+Model!W170</f>
        <v>0</v>
      </c>
      <c r="O509" s="1042">
        <f>Model!X169+Model!X170</f>
        <v>0</v>
      </c>
      <c r="P509" s="1042">
        <f>Model!Y169+Model!Y170</f>
        <v>0</v>
      </c>
      <c r="Q509" s="1042">
        <f>Model!Z169+Model!Z170</f>
        <v>0</v>
      </c>
      <c r="V509" s="1042">
        <f t="shared" ref="V509:AB509" si="121">C509</f>
        <v>1114</v>
      </c>
      <c r="W509" s="1042">
        <f t="shared" si="121"/>
        <v>1112</v>
      </c>
      <c r="X509" s="1042">
        <f t="shared" si="121"/>
        <v>1138</v>
      </c>
      <c r="Y509" s="1042">
        <f t="shared" si="121"/>
        <v>1138</v>
      </c>
      <c r="Z509" s="1042">
        <f t="shared" si="121"/>
        <v>1138</v>
      </c>
      <c r="AA509" s="1042">
        <f t="shared" si="121"/>
        <v>1138</v>
      </c>
      <c r="AB509" s="1042">
        <f t="shared" si="121"/>
        <v>1138</v>
      </c>
    </row>
    <row r="510" spans="2:28">
      <c r="B510" s="1049" t="s">
        <v>1673</v>
      </c>
      <c r="C510" s="1050"/>
      <c r="D510" s="1050">
        <v>65</v>
      </c>
      <c r="E510" s="1050"/>
      <c r="F510" s="1050"/>
      <c r="G510" s="1050"/>
      <c r="H510" s="1050"/>
      <c r="I510" s="1050"/>
      <c r="J510" s="1050"/>
      <c r="K510" s="1050"/>
      <c r="L510" s="1050"/>
      <c r="M510" s="1050"/>
      <c r="N510" s="1050"/>
      <c r="O510" s="1050"/>
      <c r="P510" s="1050"/>
      <c r="Q510" s="1050"/>
      <c r="V510" s="1042"/>
      <c r="W510" s="1042"/>
      <c r="X510" s="1042"/>
      <c r="Y510" s="1042"/>
      <c r="Z510" s="1042"/>
      <c r="AA510" s="1042"/>
      <c r="AB510" s="1042"/>
    </row>
    <row r="511" spans="2:28">
      <c r="B511" s="998" t="s">
        <v>801</v>
      </c>
      <c r="C511" s="1042"/>
      <c r="D511" s="1042">
        <f>D513+D512-D509-D510</f>
        <v>6.0940000000000509</v>
      </c>
      <c r="E511" s="1042">
        <f t="shared" ref="E511:K511" ca="1" si="122">E513+E512-E509-E510</f>
        <v>78.700000000000045</v>
      </c>
      <c r="F511" s="1042">
        <f t="shared" ca="1" si="122"/>
        <v>108.70000000000005</v>
      </c>
      <c r="G511" s="1042">
        <f t="shared" ca="1" si="122"/>
        <v>137.74734827401198</v>
      </c>
      <c r="H511" s="1042">
        <f t="shared" ca="1" si="122"/>
        <v>178.71270320451936</v>
      </c>
      <c r="I511" s="1042">
        <f t="shared" ca="1" si="122"/>
        <v>202.12196672165305</v>
      </c>
      <c r="J511" s="1042">
        <f t="shared" ca="1" si="122"/>
        <v>1888.5509052612833</v>
      </c>
      <c r="K511" s="1042">
        <f t="shared" ca="1" si="122"/>
        <v>2012.4223822299532</v>
      </c>
      <c r="L511" s="1042">
        <f t="shared" ref="L511:Q511" ca="1" si="123">L513+L512-L509-L510</f>
        <v>2155.2105895608579</v>
      </c>
      <c r="M511" s="1042">
        <f t="shared" ca="1" si="123"/>
        <v>2282.1223901417225</v>
      </c>
      <c r="N511" s="1042">
        <f t="shared" ca="1" si="123"/>
        <v>2391.0391331239389</v>
      </c>
      <c r="O511" s="1042">
        <f t="shared" ca="1" si="123"/>
        <v>2479.6739520023839</v>
      </c>
      <c r="P511" s="1042">
        <f t="shared" ca="1" si="123"/>
        <v>2545.5593814088516</v>
      </c>
      <c r="Q511" s="1042">
        <f t="shared" ca="1" si="123"/>
        <v>2453.8638284480353</v>
      </c>
      <c r="V511" s="1042"/>
      <c r="W511" s="1042"/>
      <c r="X511" s="1042"/>
      <c r="Y511" s="1042"/>
      <c r="Z511" s="1042"/>
      <c r="AA511" s="1042"/>
      <c r="AB511" s="1042"/>
    </row>
    <row r="512" spans="2:28">
      <c r="B512" s="1049" t="s">
        <v>1600</v>
      </c>
      <c r="C512" s="1050">
        <f>Model!L174</f>
        <v>104.5</v>
      </c>
      <c r="D512" s="1050">
        <f>Model!M174</f>
        <v>23.2</v>
      </c>
      <c r="E512" s="1050">
        <f ca="1">Model!N174</f>
        <v>64.206054522987642</v>
      </c>
      <c r="F512" s="1050">
        <f ca="1">Model!O174</f>
        <v>61.49060137316178</v>
      </c>
      <c r="G512" s="1061">
        <f>Model!P174</f>
        <v>30</v>
      </c>
      <c r="H512" s="1061">
        <f>Model!Q174</f>
        <v>30</v>
      </c>
      <c r="I512" s="1061">
        <f>Model!R174</f>
        <v>30</v>
      </c>
      <c r="J512" s="1061">
        <f>Model!S174</f>
        <v>30</v>
      </c>
      <c r="K512" s="1061">
        <f>Model!T174</f>
        <v>30</v>
      </c>
      <c r="L512" s="1061">
        <f>Model!U174</f>
        <v>30</v>
      </c>
      <c r="M512" s="1061">
        <f>Model!V174</f>
        <v>30</v>
      </c>
      <c r="N512" s="1061">
        <f>Model!W174</f>
        <v>30</v>
      </c>
      <c r="O512" s="1061">
        <f>Model!X174</f>
        <v>30</v>
      </c>
      <c r="P512" s="1061">
        <f>Model!Y174</f>
        <v>30</v>
      </c>
      <c r="Q512" s="1061">
        <f>Model!Z174</f>
        <v>30</v>
      </c>
      <c r="T512" s="1049"/>
      <c r="V512" s="1042">
        <f t="shared" ref="V512:AB512" si="124">V513-V509</f>
        <v>-104.5</v>
      </c>
      <c r="W512" s="1042">
        <f t="shared" ca="1" si="124"/>
        <v>41.662546531514181</v>
      </c>
      <c r="X512" s="1042">
        <f t="shared" ca="1" si="124"/>
        <v>44.972546531514126</v>
      </c>
      <c r="Y512" s="1042">
        <f t="shared" ca="1" si="124"/>
        <v>56.487546531514226</v>
      </c>
      <c r="Z512" s="1042">
        <f t="shared" ca="1" si="124"/>
        <v>37.102546531514236</v>
      </c>
      <c r="AA512" s="1042">
        <f t="shared" ca="1" si="124"/>
        <v>-37.24913908930489</v>
      </c>
      <c r="AB512" s="1042">
        <f t="shared" ca="1" si="124"/>
        <v>-127.73324986498858</v>
      </c>
    </row>
    <row r="513" spans="2:28">
      <c r="B513" s="1031" t="s">
        <v>1674</v>
      </c>
      <c r="C513" s="1057">
        <f>Model!L138</f>
        <v>1009.5</v>
      </c>
      <c r="D513" s="1057">
        <f>Model!M138</f>
        <v>1159.894</v>
      </c>
      <c r="E513" s="1057">
        <f ca="1">Model!N138</f>
        <v>1152.4939454770124</v>
      </c>
      <c r="F513" s="1057">
        <f ca="1">Model!O138</f>
        <v>1185.2093986268383</v>
      </c>
      <c r="G513" s="1057">
        <f ca="1">Model!P138</f>
        <v>1245.747348274012</v>
      </c>
      <c r="H513" s="1057">
        <f ca="1">Model!Q138</f>
        <v>1286.7127032045194</v>
      </c>
      <c r="I513" s="1057">
        <f ca="1">Model!R138</f>
        <v>1310.1219667216531</v>
      </c>
      <c r="J513" s="1057">
        <f ca="1">Model!S138</f>
        <v>1858.5509052612833</v>
      </c>
      <c r="K513" s="1057">
        <f ca="1">Model!T138</f>
        <v>1982.4223822299532</v>
      </c>
      <c r="L513" s="1057">
        <f ca="1">Model!U138</f>
        <v>2125.2105895608579</v>
      </c>
      <c r="M513" s="1057">
        <f ca="1">Model!V138</f>
        <v>2252.1223901417225</v>
      </c>
      <c r="N513" s="1057">
        <f ca="1">Model!W138</f>
        <v>2361.0391331239389</v>
      </c>
      <c r="O513" s="1057">
        <f ca="1">Model!X138</f>
        <v>2449.6739520023839</v>
      </c>
      <c r="P513" s="1057">
        <f ca="1">Model!Y138</f>
        <v>2515.5593814088516</v>
      </c>
      <c r="Q513" s="1057">
        <f ca="1">Model!Z138</f>
        <v>2423.8638284480353</v>
      </c>
      <c r="T513" s="1057"/>
      <c r="V513" s="1042">
        <f>C513</f>
        <v>1009.5</v>
      </c>
      <c r="W513" s="1042">
        <f t="shared" ref="W513:AB513" ca="1" si="125">V513-W507</f>
        <v>1153.6625465315142</v>
      </c>
      <c r="X513" s="1042">
        <f t="shared" ca="1" si="125"/>
        <v>1182.9725465315141</v>
      </c>
      <c r="Y513" s="1042">
        <f t="shared" ca="1" si="125"/>
        <v>1194.4875465315142</v>
      </c>
      <c r="Z513" s="1042">
        <f t="shared" ca="1" si="125"/>
        <v>1175.1025465315142</v>
      </c>
      <c r="AA513" s="1042">
        <f t="shared" ca="1" si="125"/>
        <v>1100.7508609106951</v>
      </c>
      <c r="AB513" s="1042">
        <f t="shared" ca="1" si="125"/>
        <v>1010.2667501350114</v>
      </c>
    </row>
    <row r="514" spans="2:28" s="1064" customFormat="1">
      <c r="B514" s="1139" t="s">
        <v>1678</v>
      </c>
      <c r="C514" s="1140">
        <f>Model!L141</f>
        <v>7.0667049344430986</v>
      </c>
      <c r="D514" s="1140">
        <f ca="1">Model!M141</f>
        <v>7.9570938148116861</v>
      </c>
      <c r="E514" s="1140">
        <f ca="1">Model!N141</f>
        <v>8.2332905240310037</v>
      </c>
      <c r="F514" s="1140">
        <f ca="1">Model!O141</f>
        <v>8.048098761641441</v>
      </c>
      <c r="G514" s="1140">
        <f ca="1">Model!P141</f>
        <v>7.5644718784579421</v>
      </c>
      <c r="H514" s="1140">
        <f ca="1">Model!Q141</f>
        <v>7.0072044195477217</v>
      </c>
      <c r="I514" s="1140">
        <f ca="1">Model!R141</f>
        <v>6.4188615972794754</v>
      </c>
      <c r="J514" s="1140">
        <f ca="1">Model!S141</f>
        <v>8.13453452727064</v>
      </c>
      <c r="K514" s="1140">
        <f ca="1">Model!T141</f>
        <v>7.8111181113210666</v>
      </c>
      <c r="L514" s="1140">
        <f ca="1">Model!U141</f>
        <v>7.5668658362814369</v>
      </c>
      <c r="M514" s="1140">
        <f ca="1">Model!V141</f>
        <v>7.3165350471963153</v>
      </c>
      <c r="N514" s="1140">
        <f ca="1">Model!W141</f>
        <v>7.031470232478787</v>
      </c>
      <c r="O514" s="1140">
        <f ca="1">Model!X141</f>
        <v>6.7154020814503959</v>
      </c>
      <c r="P514" s="1140">
        <f ca="1">Model!Y141</f>
        <v>6.3710647088831855</v>
      </c>
      <c r="Q514" s="1140">
        <f ca="1">Model!Z141</f>
        <v>5.690174896686881</v>
      </c>
      <c r="T514" s="1063"/>
      <c r="V514" s="998"/>
    </row>
    <row r="515" spans="2:28" s="1064" customFormat="1">
      <c r="B515" s="1032" t="s">
        <v>1676</v>
      </c>
      <c r="C515" s="1132">
        <v>10</v>
      </c>
      <c r="D515" s="1132">
        <v>34</v>
      </c>
      <c r="E515" s="1132">
        <f>D515+Model!N179</f>
        <v>125.04000000000002</v>
      </c>
      <c r="F515" s="1132">
        <f>E515+Model!O179</f>
        <v>238.84000000000003</v>
      </c>
      <c r="G515" s="1132">
        <f>F515+Model!P179</f>
        <v>318.50000000000006</v>
      </c>
      <c r="H515" s="1132">
        <f>G515+Model!Q179</f>
        <v>398.16000000000008</v>
      </c>
      <c r="I515" s="1132">
        <f>H515+Model!R179</f>
        <v>477.82000000000011</v>
      </c>
      <c r="J515" s="1132">
        <v>0</v>
      </c>
      <c r="K515" s="1132">
        <v>0</v>
      </c>
      <c r="L515" s="1132">
        <v>0</v>
      </c>
      <c r="M515" s="1132">
        <v>0</v>
      </c>
      <c r="N515" s="1132">
        <v>0</v>
      </c>
      <c r="O515" s="1132">
        <v>0</v>
      </c>
      <c r="P515" s="1132">
        <v>0</v>
      </c>
      <c r="Q515" s="1132">
        <v>0</v>
      </c>
      <c r="T515" s="1140"/>
      <c r="V515" s="998"/>
    </row>
    <row r="516" spans="2:28" s="1064" customFormat="1">
      <c r="B516" s="1139" t="s">
        <v>1677</v>
      </c>
      <c r="C516" s="1054">
        <f t="shared" ref="C516:K516" si="126">C513+C515</f>
        <v>1019.5</v>
      </c>
      <c r="D516" s="1054">
        <f t="shared" si="126"/>
        <v>1193.894</v>
      </c>
      <c r="E516" s="1054">
        <f t="shared" ca="1" si="126"/>
        <v>1277.5339454770124</v>
      </c>
      <c r="F516" s="1054">
        <f t="shared" ca="1" si="126"/>
        <v>1424.0493986268384</v>
      </c>
      <c r="G516" s="1054">
        <f t="shared" ca="1" si="126"/>
        <v>1564.247348274012</v>
      </c>
      <c r="H516" s="1054">
        <f t="shared" ca="1" si="126"/>
        <v>1684.8727032045194</v>
      </c>
      <c r="I516" s="1054">
        <f t="shared" ca="1" si="126"/>
        <v>1787.9419667216532</v>
      </c>
      <c r="J516" s="1054">
        <f t="shared" ca="1" si="126"/>
        <v>1858.5509052612833</v>
      </c>
      <c r="K516" s="1054">
        <f t="shared" ca="1" si="126"/>
        <v>1982.4223822299532</v>
      </c>
      <c r="L516" s="1054">
        <f t="shared" ref="L516:Q516" ca="1" si="127">L513+L515</f>
        <v>2125.2105895608579</v>
      </c>
      <c r="M516" s="1054">
        <f t="shared" ca="1" si="127"/>
        <v>2252.1223901417225</v>
      </c>
      <c r="N516" s="1054">
        <f t="shared" ca="1" si="127"/>
        <v>2361.0391331239389</v>
      </c>
      <c r="O516" s="1054">
        <f t="shared" ca="1" si="127"/>
        <v>2449.6739520023839</v>
      </c>
      <c r="P516" s="1054">
        <f t="shared" ca="1" si="127"/>
        <v>2515.5593814088516</v>
      </c>
      <c r="Q516" s="1054">
        <f t="shared" ca="1" si="127"/>
        <v>2423.8638284480353</v>
      </c>
      <c r="T516" s="1140"/>
      <c r="V516" s="998"/>
    </row>
    <row r="517" spans="2:28" s="1064" customFormat="1">
      <c r="B517" s="1139" t="s">
        <v>1603</v>
      </c>
      <c r="C517" s="1140">
        <f>C516/(C498+C500)</f>
        <v>7.1367069645019701</v>
      </c>
      <c r="D517" s="1140">
        <f t="shared" ref="D517:K517" ca="1" si="128">D516/(D498+D500)</f>
        <v>8.1903402922515181</v>
      </c>
      <c r="E517" s="1140">
        <f t="shared" ca="1" si="128"/>
        <v>9.1265625895070048</v>
      </c>
      <c r="F517" s="1140">
        <f t="shared" ca="1" si="128"/>
        <v>9.6699285500800727</v>
      </c>
      <c r="G517" s="1140">
        <f t="shared" ca="1" si="128"/>
        <v>9.4984790402046055</v>
      </c>
      <c r="H517" s="1140">
        <f t="shared" ca="1" si="128"/>
        <v>9.1755116918228303</v>
      </c>
      <c r="I517" s="1140">
        <f t="shared" ca="1" si="128"/>
        <v>8.759911153212693</v>
      </c>
      <c r="J517" s="1140">
        <f t="shared" ca="1" si="128"/>
        <v>8.13453452727064</v>
      </c>
      <c r="K517" s="1140">
        <f t="shared" ca="1" si="128"/>
        <v>7.8111181113210666</v>
      </c>
      <c r="L517" s="1140">
        <f t="shared" ref="L517:Q517" ca="1" si="129">L516/(L498+L500)</f>
        <v>7.5668658362814369</v>
      </c>
      <c r="M517" s="1140">
        <f t="shared" ca="1" si="129"/>
        <v>7.3165350471963153</v>
      </c>
      <c r="N517" s="1140">
        <f t="shared" ca="1" si="129"/>
        <v>7.031470232478787</v>
      </c>
      <c r="O517" s="1140">
        <f t="shared" ca="1" si="129"/>
        <v>6.7154020814503959</v>
      </c>
      <c r="P517" s="1140">
        <f t="shared" ca="1" si="129"/>
        <v>6.3710647088831855</v>
      </c>
      <c r="Q517" s="1140">
        <f t="shared" ca="1" si="129"/>
        <v>5.690174896686881</v>
      </c>
      <c r="T517" s="1140"/>
      <c r="V517" s="998"/>
    </row>
    <row r="518" spans="2:28">
      <c r="B518" s="1064" t="s">
        <v>1613</v>
      </c>
      <c r="D518" s="1042"/>
      <c r="E518" s="1042"/>
      <c r="F518" s="1042"/>
      <c r="G518" s="1042"/>
      <c r="H518" s="1042"/>
      <c r="I518" s="1042"/>
      <c r="J518" s="1042"/>
      <c r="K518" s="1042"/>
    </row>
    <row r="519" spans="2:28">
      <c r="D519" s="1042"/>
      <c r="E519" s="1042"/>
      <c r="F519" s="1042"/>
      <c r="G519" s="1042"/>
      <c r="H519" s="1042"/>
      <c r="I519" s="1042"/>
    </row>
    <row r="520" spans="2:28">
      <c r="B520" s="1011" t="s">
        <v>1602</v>
      </c>
      <c r="C520" s="1044">
        <v>2022</v>
      </c>
      <c r="D520" s="1011">
        <f t="shared" ref="D520:I520" si="130">C520+1</f>
        <v>2023</v>
      </c>
      <c r="E520" s="1011">
        <f t="shared" si="130"/>
        <v>2024</v>
      </c>
      <c r="F520" s="1011">
        <f t="shared" si="130"/>
        <v>2025</v>
      </c>
      <c r="G520" s="1011">
        <f t="shared" si="130"/>
        <v>2026</v>
      </c>
      <c r="H520" s="1011">
        <f t="shared" si="130"/>
        <v>2027</v>
      </c>
      <c r="I520" s="1011">
        <f t="shared" si="130"/>
        <v>2028</v>
      </c>
    </row>
    <row r="521" spans="2:28">
      <c r="B521" s="998" t="s">
        <v>985</v>
      </c>
      <c r="C521" s="1042">
        <f t="shared" ref="C521:I521" si="131">C501</f>
        <v>-43.146999999999977</v>
      </c>
      <c r="D521" s="1042">
        <f t="shared" ca="1" si="131"/>
        <v>-41.231453468485924</v>
      </c>
      <c r="E521" s="1042">
        <f t="shared" ca="1" si="131"/>
        <v>-53.289945477012481</v>
      </c>
      <c r="F521" s="1042">
        <f t="shared" ca="1" si="131"/>
        <v>-40.200453149825847</v>
      </c>
      <c r="G521" s="1042">
        <f t="shared" ca="1" si="131"/>
        <v>-25.922949647173681</v>
      </c>
      <c r="H521" s="1042">
        <f t="shared" ca="1" si="131"/>
        <v>-19.317040551326556</v>
      </c>
      <c r="I521" s="1042">
        <f t="shared" ca="1" si="131"/>
        <v>1.1066257071826158</v>
      </c>
    </row>
    <row r="522" spans="2:28">
      <c r="B522" s="998" t="s">
        <v>1606</v>
      </c>
      <c r="C522" s="1042">
        <v>-44</v>
      </c>
      <c r="D522" s="1050">
        <v>-35</v>
      </c>
      <c r="E522" s="1050">
        <v>-90</v>
      </c>
      <c r="F522" s="1050">
        <v>-19</v>
      </c>
      <c r="G522" s="1050">
        <v>54</v>
      </c>
      <c r="H522" s="1050">
        <v>96</v>
      </c>
      <c r="I522" s="1050">
        <v>115</v>
      </c>
    </row>
    <row r="523" spans="2:28">
      <c r="D523" s="1042"/>
      <c r="E523" s="1042"/>
      <c r="F523" s="1042"/>
      <c r="G523" s="1042"/>
      <c r="H523" s="1042"/>
      <c r="I523" s="1042"/>
    </row>
    <row r="524" spans="2:28">
      <c r="D524" s="1042"/>
      <c r="E524" s="1042"/>
      <c r="F524" s="1042"/>
      <c r="G524" s="1042"/>
      <c r="H524" s="1042"/>
      <c r="I524" s="1042"/>
    </row>
    <row r="525" spans="2:28">
      <c r="D525" s="1042"/>
      <c r="E525" s="1042"/>
      <c r="F525" s="1042"/>
      <c r="G525" s="1042"/>
      <c r="H525" s="1042"/>
      <c r="I525" s="1042"/>
    </row>
    <row r="526" spans="2:28">
      <c r="B526" s="1011" t="s">
        <v>192</v>
      </c>
      <c r="C526" s="1011">
        <v>2022</v>
      </c>
      <c r="D526" s="1011">
        <v>2023</v>
      </c>
      <c r="E526" s="1011" t="s">
        <v>210</v>
      </c>
      <c r="F526" s="1011" t="s">
        <v>1111</v>
      </c>
      <c r="G526" s="1011" t="s">
        <v>1645</v>
      </c>
      <c r="H526" s="1011" t="s">
        <v>1646</v>
      </c>
      <c r="I526" s="1011" t="s">
        <v>1633</v>
      </c>
    </row>
    <row r="527" spans="2:28">
      <c r="B527" s="998" t="s">
        <v>1606</v>
      </c>
      <c r="C527" s="1042">
        <f t="shared" ref="C527:I527" si="132">-C499</f>
        <v>186</v>
      </c>
      <c r="D527" s="1042">
        <f t="shared" si="132"/>
        <v>187</v>
      </c>
      <c r="E527" s="1042">
        <f t="shared" ca="1" si="132"/>
        <v>193.26969502103239</v>
      </c>
      <c r="F527" s="1042">
        <f t="shared" ca="1" si="132"/>
        <v>187.46621537875632</v>
      </c>
      <c r="G527" s="1042">
        <f t="shared" ca="1" si="132"/>
        <v>190.60693133023656</v>
      </c>
      <c r="H527" s="1042">
        <f t="shared" ca="1" si="132"/>
        <v>202.94415147376913</v>
      </c>
      <c r="I527" s="1042">
        <f t="shared" ca="1" si="132"/>
        <v>202.99840863051455</v>
      </c>
    </row>
    <row r="528" spans="2:28">
      <c r="B528" s="998" t="s">
        <v>1644</v>
      </c>
      <c r="C528" s="1042"/>
      <c r="D528" s="1042"/>
      <c r="E528" s="1042">
        <v>120</v>
      </c>
      <c r="F528" s="1042">
        <v>120</v>
      </c>
      <c r="G528" s="1042">
        <v>120</v>
      </c>
      <c r="H528" s="1042">
        <v>120</v>
      </c>
      <c r="I528" s="1042">
        <v>120</v>
      </c>
    </row>
    <row r="529" spans="2:11">
      <c r="D529" s="1042"/>
      <c r="E529" s="1042"/>
      <c r="F529" s="1042"/>
      <c r="G529" s="1042"/>
      <c r="H529" s="1042"/>
      <c r="I529" s="1042"/>
    </row>
    <row r="530" spans="2:11">
      <c r="D530" s="1042"/>
      <c r="E530" s="1042"/>
      <c r="F530" s="1042"/>
      <c r="G530" s="1042"/>
      <c r="H530" s="1042"/>
      <c r="I530" s="1042"/>
    </row>
    <row r="531" spans="2:11">
      <c r="D531" s="1042"/>
      <c r="E531" s="1042"/>
      <c r="F531" s="1042"/>
      <c r="G531" s="1042"/>
      <c r="H531" s="1042"/>
      <c r="I531" s="1042"/>
    </row>
    <row r="532" spans="2:11">
      <c r="D532" s="1042"/>
      <c r="E532" s="1042"/>
      <c r="F532" s="1042"/>
      <c r="G532" s="1042"/>
      <c r="H532" s="1042"/>
      <c r="I532" s="1042"/>
    </row>
    <row r="533" spans="2:11">
      <c r="D533" s="1042"/>
      <c r="E533" s="1042"/>
      <c r="F533" s="1042"/>
      <c r="G533" s="1042"/>
      <c r="H533" s="1042"/>
      <c r="I533" s="1042"/>
    </row>
    <row r="534" spans="2:11">
      <c r="D534" s="1042"/>
      <c r="E534" s="1042"/>
      <c r="F534" s="1050">
        <f ca="1">F499+F501+Fixed!O276</f>
        <v>-227.66666852858216</v>
      </c>
      <c r="G534" s="1050">
        <f ca="1">G499+G501+Fixed!P276</f>
        <v>-216.52988097741024</v>
      </c>
      <c r="H534" s="1050">
        <f ca="1">H499+H501+Fixed!Q276</f>
        <v>-222.26119202509568</v>
      </c>
      <c r="I534" s="1050">
        <f ca="1">I499+I501+Fixed!R276</f>
        <v>-201.89178292333193</v>
      </c>
    </row>
    <row r="535" spans="2:11">
      <c r="B535" s="1011" t="s">
        <v>192</v>
      </c>
      <c r="C535" s="1044">
        <v>2022</v>
      </c>
      <c r="D535" s="1011">
        <f t="shared" ref="D535:J535" si="133">C535+1</f>
        <v>2023</v>
      </c>
      <c r="E535" s="1011">
        <f t="shared" si="133"/>
        <v>2024</v>
      </c>
      <c r="F535" s="1011">
        <f t="shared" si="133"/>
        <v>2025</v>
      </c>
      <c r="G535" s="1011">
        <f t="shared" si="133"/>
        <v>2026</v>
      </c>
      <c r="H535" s="1011">
        <f t="shared" si="133"/>
        <v>2027</v>
      </c>
      <c r="I535" s="1011">
        <f t="shared" si="133"/>
        <v>2028</v>
      </c>
      <c r="J535" s="1011">
        <f t="shared" si="133"/>
        <v>2029</v>
      </c>
      <c r="K535" s="1011">
        <v>2030</v>
      </c>
    </row>
    <row r="536" spans="2:11">
      <c r="B536" s="1049" t="s">
        <v>1615</v>
      </c>
      <c r="C536" s="1050">
        <f t="shared" ref="C536:K536" ca="1" si="134">C501+C503</f>
        <v>-61.429999999999993</v>
      </c>
      <c r="D536" s="1050">
        <f t="shared" ca="1" si="134"/>
        <v>-88.785999999999987</v>
      </c>
      <c r="E536" s="1050">
        <f t="shared" ca="1" si="134"/>
        <v>-98.289945477012481</v>
      </c>
      <c r="F536" s="1050">
        <f t="shared" ca="1" si="134"/>
        <v>-65.200453149825847</v>
      </c>
      <c r="G536" s="1050">
        <f t="shared" ca="1" si="134"/>
        <v>-45.922949647173681</v>
      </c>
      <c r="H536" s="1050">
        <f t="shared" ca="1" si="134"/>
        <v>-29.317040551326556</v>
      </c>
      <c r="I536" s="1050">
        <f t="shared" ca="1" si="134"/>
        <v>-8.8933742928173842</v>
      </c>
      <c r="J536" s="1050">
        <f t="shared" ca="1" si="134"/>
        <v>-13.410375171340462</v>
      </c>
      <c r="K536" s="1050">
        <f t="shared" ca="1" si="134"/>
        <v>13.32708639961993</v>
      </c>
    </row>
    <row r="537" spans="2:11" s="1064" customFormat="1">
      <c r="B537" s="1064" t="s">
        <v>1616</v>
      </c>
      <c r="C537" s="1107">
        <v>0.3</v>
      </c>
      <c r="D537" s="1107">
        <v>0.3</v>
      </c>
      <c r="E537" s="1107">
        <v>0.3</v>
      </c>
      <c r="F537" s="1107">
        <v>0.3</v>
      </c>
      <c r="G537" s="1107">
        <v>0.3</v>
      </c>
      <c r="H537" s="1107">
        <v>0.3</v>
      </c>
      <c r="I537" s="1107">
        <v>0.3</v>
      </c>
      <c r="J537" s="1107">
        <v>0.3</v>
      </c>
      <c r="K537" s="1107">
        <v>0.3</v>
      </c>
    </row>
    <row r="538" spans="2:11">
      <c r="B538" s="1049" t="s">
        <v>1617</v>
      </c>
      <c r="C538" s="1050">
        <f ca="1">C536*(1-C537)</f>
        <v>-43.000999999999991</v>
      </c>
      <c r="D538" s="1050">
        <f t="shared" ref="D538:K538" ca="1" si="135">D536*(1-D537)</f>
        <v>-62.150199999999984</v>
      </c>
      <c r="E538" s="1050">
        <f t="shared" ca="1" si="135"/>
        <v>-68.802961833908725</v>
      </c>
      <c r="F538" s="1050">
        <f t="shared" ca="1" si="135"/>
        <v>-45.640317204878087</v>
      </c>
      <c r="G538" s="1050">
        <f t="shared" ca="1" si="135"/>
        <v>-32.146064753021577</v>
      </c>
      <c r="H538" s="1050">
        <f t="shared" ca="1" si="135"/>
        <v>-20.521928385928589</v>
      </c>
      <c r="I538" s="1050">
        <f t="shared" ca="1" si="135"/>
        <v>-6.225362004972169</v>
      </c>
      <c r="J538" s="1050">
        <f t="shared" ca="1" si="135"/>
        <v>-9.3872626199383227</v>
      </c>
      <c r="K538" s="1050">
        <f t="shared" ca="1" si="135"/>
        <v>9.3289604797339507</v>
      </c>
    </row>
    <row r="539" spans="2:11">
      <c r="D539" s="1042"/>
      <c r="E539" s="1042"/>
      <c r="F539" s="1042"/>
      <c r="G539" s="1042"/>
      <c r="H539" s="1042"/>
      <c r="I539" s="1042"/>
    </row>
    <row r="540" spans="2:11">
      <c r="B540" s="1049" t="s">
        <v>321</v>
      </c>
      <c r="C540" s="1108">
        <f>Value!C24</f>
        <v>7.5999999999999998E-2</v>
      </c>
      <c r="D540" s="1050"/>
      <c r="E540" s="1050"/>
      <c r="F540" s="1050"/>
      <c r="G540" s="1050"/>
      <c r="H540" s="1050"/>
      <c r="I540" s="1050"/>
      <c r="J540" s="1049"/>
      <c r="K540" s="1049"/>
    </row>
    <row r="541" spans="2:11">
      <c r="B541" s="998" t="s">
        <v>1618</v>
      </c>
      <c r="C541" s="1109">
        <f>Value!C25</f>
        <v>0</v>
      </c>
      <c r="D541" s="1042"/>
      <c r="E541" s="1042"/>
      <c r="F541" s="1042"/>
      <c r="G541" s="1042"/>
      <c r="H541" s="1042"/>
      <c r="I541" s="1042"/>
    </row>
    <row r="542" spans="2:11">
      <c r="B542" s="1049"/>
      <c r="C542" s="1049"/>
      <c r="D542" s="1050"/>
      <c r="E542" s="1050"/>
      <c r="F542" s="1050"/>
      <c r="G542" s="1050"/>
      <c r="H542" s="1050"/>
      <c r="I542" s="1050"/>
      <c r="J542" s="1049"/>
      <c r="K542" s="1049"/>
    </row>
    <row r="543" spans="2:11">
      <c r="B543" s="1031" t="s">
        <v>1619</v>
      </c>
      <c r="C543" s="1060">
        <f ca="1">NPV(C540, E538:J538, K538*(1+(1/(C540-C541))))+Value!C30</f>
        <v>35.830942836279689</v>
      </c>
      <c r="E543" s="1110" t="s">
        <v>1635</v>
      </c>
      <c r="F543" s="1042"/>
      <c r="G543" s="1042"/>
      <c r="H543" s="1042"/>
      <c r="I543" s="1042"/>
    </row>
    <row r="544" spans="2:11">
      <c r="B544" s="1049" t="s">
        <v>1621</v>
      </c>
      <c r="C544" s="1050">
        <f>E505-65</f>
        <v>185</v>
      </c>
      <c r="D544" s="1050"/>
      <c r="E544" s="1050"/>
      <c r="F544" s="1050"/>
      <c r="G544" s="1050"/>
      <c r="H544" s="1050"/>
      <c r="I544" s="1050"/>
      <c r="J544" s="1049"/>
      <c r="K544" s="1049"/>
    </row>
    <row r="545" spans="2:11">
      <c r="B545" s="998" t="s">
        <v>159</v>
      </c>
      <c r="C545" s="1042">
        <f>D512</f>
        <v>23.2</v>
      </c>
      <c r="D545" s="1042"/>
      <c r="E545" s="1042"/>
      <c r="F545" s="1042"/>
      <c r="G545" s="1042"/>
      <c r="H545" s="1042"/>
      <c r="I545" s="1042"/>
    </row>
    <row r="546" spans="2:11" s="1031" customFormat="1">
      <c r="B546" s="1051" t="s">
        <v>1620</v>
      </c>
      <c r="C546" s="1052">
        <f ca="1">SUM(C543:C545)</f>
        <v>244.03094283627968</v>
      </c>
      <c r="D546" s="1054"/>
      <c r="E546" s="1111" t="s">
        <v>1622</v>
      </c>
      <c r="F546" s="1054"/>
      <c r="G546" s="1054"/>
      <c r="H546" s="1054"/>
      <c r="I546" s="1054"/>
      <c r="J546" s="1051"/>
      <c r="K546" s="1051"/>
    </row>
    <row r="547" spans="2:11">
      <c r="D547" s="1042"/>
      <c r="E547" s="1042"/>
      <c r="F547" s="1042"/>
      <c r="G547" s="1042"/>
      <c r="H547" s="1042"/>
      <c r="I547" s="1042"/>
    </row>
    <row r="548" spans="2:11">
      <c r="B548" s="1116" t="s">
        <v>1650</v>
      </c>
      <c r="C548" s="1049"/>
      <c r="D548" s="1050"/>
      <c r="E548" s="1050"/>
      <c r="F548" s="1050"/>
      <c r="G548" s="1050"/>
      <c r="H548" s="1050"/>
      <c r="I548" s="1050"/>
      <c r="J548" s="1049"/>
      <c r="K548" s="1049"/>
    </row>
    <row r="549" spans="2:11">
      <c r="B549" s="998" t="s">
        <v>1623</v>
      </c>
      <c r="C549" s="1042">
        <v>462</v>
      </c>
      <c r="D549" s="1042"/>
      <c r="E549" s="1110" t="s">
        <v>1624</v>
      </c>
      <c r="F549" s="1042"/>
      <c r="G549" s="1042"/>
      <c r="H549" s="1042"/>
      <c r="I549" s="1042"/>
    </row>
    <row r="550" spans="2:11">
      <c r="B550" s="1049" t="s">
        <v>1333</v>
      </c>
      <c r="C550" s="1050">
        <v>650</v>
      </c>
      <c r="D550" s="1050"/>
      <c r="E550" s="1111" t="s">
        <v>1648</v>
      </c>
      <c r="F550" s="1050"/>
      <c r="G550" s="1050"/>
      <c r="H550" s="1050"/>
      <c r="I550" s="1050"/>
      <c r="J550" s="1049"/>
      <c r="K550" s="1049"/>
    </row>
    <row r="551" spans="2:11" s="1031" customFormat="1">
      <c r="B551" s="1112" t="s">
        <v>1650</v>
      </c>
      <c r="C551" s="1113">
        <f>SUM(C549:C550)</f>
        <v>1112</v>
      </c>
      <c r="D551" s="1114"/>
      <c r="E551" s="1115"/>
      <c r="F551" s="1114"/>
      <c r="G551" s="1114"/>
      <c r="H551" s="1114"/>
      <c r="I551" s="1114"/>
      <c r="J551" s="1112"/>
      <c r="K551" s="1112"/>
    </row>
    <row r="552" spans="2:11">
      <c r="D552" s="1042"/>
      <c r="E552" s="1042"/>
      <c r="F552" s="1042"/>
      <c r="G552" s="1042"/>
      <c r="H552" s="1042"/>
      <c r="I552" s="1042"/>
    </row>
    <row r="554" spans="2:11" ht="29" customHeight="1">
      <c r="B554" s="1011" t="s">
        <v>192</v>
      </c>
      <c r="C554" s="1131" t="s">
        <v>1606</v>
      </c>
      <c r="D554" s="1131" t="s">
        <v>1644</v>
      </c>
      <c r="E554" s="1131" t="s">
        <v>1651</v>
      </c>
    </row>
    <row r="555" spans="2:11">
      <c r="B555" s="1049" t="s">
        <v>1647</v>
      </c>
      <c r="C555" s="1050">
        <f ca="1">C546</f>
        <v>244.03094283627968</v>
      </c>
      <c r="D555" s="1050">
        <f>1039-65</f>
        <v>974</v>
      </c>
      <c r="E555" s="1050">
        <f>D555+250</f>
        <v>1224</v>
      </c>
    </row>
    <row r="556" spans="2:11">
      <c r="B556" s="1032" t="s">
        <v>1652</v>
      </c>
      <c r="C556" s="1135">
        <f ca="1">C555/(Model!$N$12+Model!$N$16+Model!$N$131)</f>
        <v>2.5692944444244881</v>
      </c>
      <c r="D556" s="1135">
        <v>7.460281345503911</v>
      </c>
      <c r="E556" s="1135">
        <f ca="1">E555/(Model!$N$12+Model!$N$16+Model!$N$131)</f>
        <v>12.88695754491032</v>
      </c>
    </row>
    <row r="557" spans="2:11">
      <c r="B557" s="1049"/>
      <c r="C557" s="1049"/>
      <c r="D557" s="1049"/>
      <c r="E557" s="1049"/>
    </row>
    <row r="558" spans="2:11">
      <c r="B558" s="1032" t="s">
        <v>1623</v>
      </c>
      <c r="C558" s="1132">
        <f>C549</f>
        <v>462</v>
      </c>
      <c r="D558" s="1132">
        <f t="shared" ref="D558:E560" si="136">C558</f>
        <v>462</v>
      </c>
      <c r="E558" s="1132">
        <f t="shared" si="136"/>
        <v>462</v>
      </c>
    </row>
    <row r="559" spans="2:11">
      <c r="B559" s="1049" t="s">
        <v>1333</v>
      </c>
      <c r="C559" s="1050">
        <f>C550</f>
        <v>650</v>
      </c>
      <c r="D559" s="1050">
        <f t="shared" si="136"/>
        <v>650</v>
      </c>
      <c r="E559" s="1050">
        <f t="shared" si="136"/>
        <v>650</v>
      </c>
    </row>
    <row r="560" spans="2:11">
      <c r="B560" s="1036" t="s">
        <v>1679</v>
      </c>
      <c r="C560" s="1133">
        <f>C551</f>
        <v>1112</v>
      </c>
      <c r="D560" s="1133">
        <f t="shared" si="136"/>
        <v>1112</v>
      </c>
      <c r="E560" s="1133">
        <f t="shared" si="136"/>
        <v>1112</v>
      </c>
    </row>
    <row r="561" spans="2:18" s="1064" customFormat="1">
      <c r="B561" s="1062" t="s">
        <v>1649</v>
      </c>
      <c r="C561" s="1134">
        <f ca="1">C555/C560</f>
        <v>0.2194522867232731</v>
      </c>
      <c r="D561" s="1134">
        <f>D555/D560</f>
        <v>0.87589928057553956</v>
      </c>
      <c r="E561" s="1134">
        <f>E555/E560</f>
        <v>1.1007194244604317</v>
      </c>
    </row>
    <row r="562" spans="2:18">
      <c r="B562" s="1064" t="s">
        <v>1690</v>
      </c>
    </row>
    <row r="566" spans="2:18">
      <c r="B566" s="998" t="s">
        <v>1580</v>
      </c>
    </row>
    <row r="567" spans="2:18">
      <c r="B567" s="998" t="s">
        <v>1581</v>
      </c>
    </row>
    <row r="568" spans="2:18">
      <c r="B568" s="998" t="s">
        <v>1582</v>
      </c>
    </row>
    <row r="569" spans="2:18">
      <c r="B569" s="998" t="s">
        <v>1583</v>
      </c>
    </row>
    <row r="570" spans="2:18">
      <c r="B570" s="998" t="s">
        <v>1584</v>
      </c>
    </row>
    <row r="571" spans="2:18">
      <c r="B571" s="998" t="s">
        <v>1585</v>
      </c>
    </row>
    <row r="576" spans="2:18">
      <c r="B576" s="1011" t="s">
        <v>192</v>
      </c>
      <c r="C576" s="1044">
        <v>2016</v>
      </c>
      <c r="D576" s="1044">
        <v>2017</v>
      </c>
      <c r="E576" s="1044">
        <v>2018</v>
      </c>
      <c r="F576" s="1044">
        <v>2019</v>
      </c>
      <c r="G576" s="1044">
        <v>2020</v>
      </c>
      <c r="H576" s="1044">
        <v>2021</v>
      </c>
      <c r="I576" s="1044">
        <v>2022</v>
      </c>
      <c r="J576" s="1011">
        <v>2023</v>
      </c>
      <c r="K576" s="1011">
        <v>2024</v>
      </c>
      <c r="L576" s="1011">
        <v>2025</v>
      </c>
      <c r="M576" s="1011">
        <v>2026</v>
      </c>
      <c r="N576" s="1011">
        <v>2027</v>
      </c>
      <c r="O576" s="1011">
        <v>2028</v>
      </c>
      <c r="Q576" s="1011" t="s">
        <v>1612</v>
      </c>
      <c r="R576" s="1011" t="s">
        <v>1604</v>
      </c>
    </row>
    <row r="577" spans="2:18">
      <c r="B577" s="1043" t="s">
        <v>985</v>
      </c>
      <c r="C577" s="1096"/>
      <c r="D577" s="1096"/>
      <c r="E577" s="1096"/>
      <c r="F577" s="1096"/>
      <c r="G577" s="1096"/>
      <c r="H577" s="1096"/>
      <c r="I577" s="1096"/>
      <c r="J577" s="1031"/>
      <c r="K577" s="1031"/>
      <c r="L577" s="1031"/>
      <c r="M577" s="1031"/>
      <c r="N577" s="1031"/>
      <c r="O577" s="1031"/>
    </row>
    <row r="578" spans="2:18">
      <c r="B578" s="998" t="s">
        <v>1610</v>
      </c>
      <c r="C578" s="1042">
        <f>Fixed!F52</f>
        <v>3007</v>
      </c>
      <c r="D578" s="1042">
        <f>Fixed!G52</f>
        <v>3052</v>
      </c>
      <c r="E578" s="1042">
        <f>Fixed!H52</f>
        <v>2907.29</v>
      </c>
      <c r="F578" s="1042">
        <f>Fixed!I52</f>
        <v>2992.9680000000003</v>
      </c>
      <c r="G578" s="1042">
        <f>Fixed!J52</f>
        <v>2959.701</v>
      </c>
      <c r="H578" s="1042">
        <f>Fixed!K52</f>
        <v>2911.1720000000005</v>
      </c>
      <c r="I578" s="1042">
        <f>Fixed!L52</f>
        <v>2829.5550000000003</v>
      </c>
      <c r="J578" s="1042">
        <f>Fixed!M52</f>
        <v>2783</v>
      </c>
      <c r="K578" s="1042">
        <f>Fixed!N52</f>
        <v>2773</v>
      </c>
      <c r="L578" s="1042">
        <f>Fixed!O52</f>
        <v>2753</v>
      </c>
      <c r="M578" s="1042">
        <f>Fixed!P52</f>
        <v>2733</v>
      </c>
      <c r="N578" s="1042">
        <f>Fixed!Q52</f>
        <v>2723</v>
      </c>
      <c r="O578" s="1042">
        <f>Fixed!R52</f>
        <v>2723</v>
      </c>
    </row>
    <row r="579" spans="2:18">
      <c r="B579" s="998" t="s">
        <v>171</v>
      </c>
      <c r="C579" s="1042">
        <f>Fixed!F38</f>
        <v>2282</v>
      </c>
      <c r="D579" s="1042">
        <f>Fixed!G38</f>
        <v>2327</v>
      </c>
      <c r="E579" s="1042">
        <f>Fixed!H38</f>
        <v>2298.29</v>
      </c>
      <c r="F579" s="1042">
        <f>Fixed!I38</f>
        <v>2350.4050000000002</v>
      </c>
      <c r="G579" s="1042">
        <f>Fixed!J38</f>
        <v>2367.09</v>
      </c>
      <c r="H579" s="1042">
        <f>Fixed!K38</f>
        <v>2337.5970000000002</v>
      </c>
      <c r="I579" s="1042">
        <f>Fixed!L38</f>
        <v>2305.1010000000001</v>
      </c>
      <c r="J579" s="1042">
        <f>Fixed!M38</f>
        <v>2359</v>
      </c>
      <c r="K579" s="1042">
        <f>Fixed!N38</f>
        <v>2379</v>
      </c>
      <c r="L579" s="1042">
        <f>Fixed!O38</f>
        <v>2389</v>
      </c>
      <c r="M579" s="1042">
        <f>Fixed!P38</f>
        <v>2399</v>
      </c>
      <c r="N579" s="1042">
        <f>Fixed!Q38</f>
        <v>2409</v>
      </c>
      <c r="O579" s="1042">
        <f>Fixed!R38</f>
        <v>2419</v>
      </c>
    </row>
    <row r="580" spans="2:18">
      <c r="B580" s="998" t="s">
        <v>1607</v>
      </c>
      <c r="C580" s="1042">
        <f>Fixed!F72</f>
        <v>520</v>
      </c>
      <c r="D580" s="1042">
        <f>Fixed!G72</f>
        <v>578</v>
      </c>
      <c r="E580" s="1042">
        <f>Fixed!H72</f>
        <v>573.98599999999999</v>
      </c>
      <c r="F580" s="1042">
        <f>Fixed!I72</f>
        <v>584.0044633898998</v>
      </c>
      <c r="G580" s="1042">
        <f>Fixed!J72</f>
        <v>601.65100010000003</v>
      </c>
      <c r="H580" s="1042">
        <f>Fixed!K72</f>
        <v>629</v>
      </c>
      <c r="I580" s="1042">
        <f ca="1">Fixed!L72</f>
        <v>659</v>
      </c>
      <c r="J580" s="1042">
        <f>Fixed!M72</f>
        <v>718</v>
      </c>
      <c r="K580" s="1042">
        <f ca="1">Fixed!N72</f>
        <v>751.20313183552355</v>
      </c>
      <c r="L580" s="1042">
        <f ca="1">Fixed!O72</f>
        <v>828.65896311996619</v>
      </c>
      <c r="M580" s="1042">
        <f ca="1">Fixed!P72</f>
        <v>908.87879440440872</v>
      </c>
      <c r="N580" s="1042">
        <f ca="1">Fixed!Q72</f>
        <v>996.79562568885137</v>
      </c>
      <c r="O580" s="1042">
        <f ca="1">Fixed!R72</f>
        <v>1085.062456973294</v>
      </c>
    </row>
    <row r="581" spans="2:18">
      <c r="B581" s="1097" t="s">
        <v>1609</v>
      </c>
      <c r="C581" s="1042">
        <f>Fixed!F105*Fixed!F$52</f>
        <v>520</v>
      </c>
      <c r="D581" s="1042">
        <f>Fixed!G105*Fixed!G$52</f>
        <v>578</v>
      </c>
      <c r="E581" s="1042">
        <f>Fixed!H105*Fixed!H$52</f>
        <v>726.0805894556388</v>
      </c>
      <c r="F581" s="1042">
        <f>Fixed!I105*Fixed!I$52</f>
        <v>743.66190966371391</v>
      </c>
      <c r="G581" s="1042">
        <f>Fixed!J105*Fixed!J$52</f>
        <v>752.2768744099169</v>
      </c>
      <c r="H581" s="1042">
        <f>Fixed!K105*Fixed!K$52</f>
        <v>783.33741359182113</v>
      </c>
      <c r="I581" s="1042">
        <f>Fixed!L105*Fixed!L$52</f>
        <v>794.204715975569</v>
      </c>
      <c r="J581" s="1042">
        <f ca="1">Fixed!M105*Fixed!M$52</f>
        <v>818.69222617145465</v>
      </c>
      <c r="K581" s="1042">
        <f ca="1">Fixed!N105*Fixed!N$52</f>
        <v>838.03872873085311</v>
      </c>
      <c r="L581" s="1042">
        <f ca="1">Fixed!O105*Fixed!O$52</f>
        <v>895.11610344677547</v>
      </c>
      <c r="M581" s="1042">
        <f ca="1">Fixed!P105*Fixed!P$52</f>
        <v>948.22029986992163</v>
      </c>
      <c r="N581" s="1042">
        <f ca="1">Fixed!Q105*Fixed!Q$52</f>
        <v>998.33629719649639</v>
      </c>
      <c r="O581" s="1042">
        <f ca="1">Fixed!R105*Fixed!R$52</f>
        <v>1037.8356358958822</v>
      </c>
      <c r="Q581" s="1099">
        <f>POWER(I581/E581, 1/4)-1</f>
        <v>2.2673279232296339E-2</v>
      </c>
      <c r="R581" s="1099">
        <f ca="1">POWER(O581/I581, 1/6)-1</f>
        <v>4.5601071322246556E-2</v>
      </c>
    </row>
    <row r="582" spans="2:18">
      <c r="B582" s="1097" t="s">
        <v>1472</v>
      </c>
      <c r="C582" s="1042">
        <f>Fixed!F106*Fixed!F$52</f>
        <v>0</v>
      </c>
      <c r="D582" s="1042">
        <f>Fixed!G106*Fixed!G$52</f>
        <v>0</v>
      </c>
      <c r="E582" s="1042">
        <f>Fixed!H106*Fixed!H$52</f>
        <v>0</v>
      </c>
      <c r="F582" s="1042">
        <f>Fixed!I106*Fixed!I$52</f>
        <v>0</v>
      </c>
      <c r="G582" s="1042">
        <f>Fixed!J106*Fixed!J$52</f>
        <v>0</v>
      </c>
      <c r="H582" s="1042">
        <f>Fixed!K106*Fixed!K$52</f>
        <v>0</v>
      </c>
      <c r="I582" s="1042">
        <f>Fixed!L106*Fixed!L$52</f>
        <v>14.730226571417044</v>
      </c>
      <c r="J582" s="1042">
        <f ca="1">Fixed!M106*Fixed!M$52</f>
        <v>28.359066749274465</v>
      </c>
      <c r="K582" s="1042">
        <f ca="1">Fixed!N106*Fixed!N$52</f>
        <v>37.575514472134209</v>
      </c>
      <c r="L582" s="1042">
        <f ca="1">Fixed!O106*Fixed!O$52</f>
        <v>59.801487791929802</v>
      </c>
      <c r="M582" s="1042">
        <f ca="1">Fixed!P106*Fixed!P$52</f>
        <v>87.196851070991016</v>
      </c>
      <c r="N582" s="1042">
        <f ca="1">Fixed!Q106*Fixed!Q$52</f>
        <v>128.38619709604922</v>
      </c>
      <c r="O582" s="1042">
        <f ca="1">Fixed!R106*Fixed!R$52</f>
        <v>183.58853538906163</v>
      </c>
      <c r="R582" s="1099"/>
    </row>
    <row r="583" spans="2:18">
      <c r="B583" s="998" t="s">
        <v>1611</v>
      </c>
      <c r="C583" s="1098">
        <f>D583</f>
        <v>24.3</v>
      </c>
      <c r="D583" s="1042">
        <f>Fixed!G161</f>
        <v>24.3</v>
      </c>
      <c r="E583" s="1042">
        <f>Fixed!H161</f>
        <v>23.975270002061201</v>
      </c>
      <c r="F583" s="1042">
        <f>Fixed!I161</f>
        <v>24.264368192428883</v>
      </c>
      <c r="G583" s="1042">
        <f>Fixed!J161</f>
        <v>24.424507311488387</v>
      </c>
      <c r="H583" s="1042">
        <f>Fixed!K161</f>
        <v>24.1</v>
      </c>
      <c r="I583" s="1042">
        <f>Fixed!L161</f>
        <v>24.2</v>
      </c>
      <c r="J583" s="1042">
        <f>Fixed!M161</f>
        <v>24.290818524144427</v>
      </c>
      <c r="K583" s="1042">
        <f>Fixed!N161</f>
        <v>24.533726709385871</v>
      </c>
      <c r="L583" s="1042">
        <f>Fixed!O161</f>
        <v>24.77906397647973</v>
      </c>
      <c r="M583" s="1042">
        <f>Fixed!P161</f>
        <v>25.274645256009325</v>
      </c>
      <c r="N583" s="1042">
        <f>Fixed!Q161</f>
        <v>25.780138161129511</v>
      </c>
      <c r="O583" s="1042">
        <f>Fixed!R161</f>
        <v>26.295740924352103</v>
      </c>
      <c r="Q583" s="1099">
        <f>POWER(I583/E583, 1/4)-1</f>
        <v>2.3351599087015895E-3</v>
      </c>
      <c r="R583" s="1099">
        <f>POWER(O583/I583, 1/6)-1</f>
        <v>1.3938641311729283E-2</v>
      </c>
    </row>
    <row r="584" spans="2:18">
      <c r="C584" s="1042"/>
      <c r="D584" s="1042"/>
      <c r="E584" s="1042"/>
      <c r="F584" s="1042"/>
      <c r="G584" s="1042"/>
      <c r="H584" s="1042"/>
      <c r="I584" s="1042"/>
      <c r="J584" s="1042"/>
      <c r="K584" s="1042"/>
      <c r="L584" s="1042"/>
      <c r="M584" s="1042"/>
      <c r="N584" s="1042"/>
      <c r="O584" s="1042"/>
    </row>
    <row r="585" spans="2:18">
      <c r="C585" s="1042"/>
      <c r="D585" s="1042"/>
      <c r="E585" s="1042"/>
      <c r="F585" s="1042"/>
      <c r="G585" s="1042"/>
      <c r="H585" s="1042"/>
      <c r="I585" s="1042"/>
      <c r="J585" s="1042"/>
      <c r="K585" s="1042"/>
      <c r="L585" s="1042"/>
      <c r="M585" s="1042"/>
      <c r="N585" s="1042"/>
      <c r="O585" s="1042"/>
    </row>
    <row r="586" spans="2:18">
      <c r="B586" s="1043" t="s">
        <v>1606</v>
      </c>
      <c r="C586" s="1042"/>
      <c r="D586" s="1042"/>
      <c r="E586" s="1042"/>
      <c r="F586" s="1042"/>
      <c r="G586" s="1042"/>
      <c r="H586" s="1042"/>
      <c r="I586" s="1042"/>
      <c r="J586" s="1042"/>
      <c r="K586" s="1042"/>
      <c r="L586" s="1042"/>
      <c r="M586" s="1042"/>
      <c r="N586" s="1042"/>
      <c r="O586" s="1042"/>
    </row>
    <row r="587" spans="2:18">
      <c r="B587" s="998" t="s">
        <v>171</v>
      </c>
      <c r="C587" s="1042">
        <f>Fixed!F38</f>
        <v>2282</v>
      </c>
      <c r="D587" s="1042">
        <f>Fixed!G38</f>
        <v>2327</v>
      </c>
      <c r="E587" s="1042">
        <f>Fixed!H38</f>
        <v>2298.29</v>
      </c>
      <c r="F587" s="1042">
        <f>Fixed!I38</f>
        <v>2350.4050000000002</v>
      </c>
      <c r="G587" s="1042">
        <f>Fixed!J38</f>
        <v>2367.09</v>
      </c>
      <c r="H587" s="1042">
        <f>Fixed!K38</f>
        <v>2337.5970000000002</v>
      </c>
      <c r="I587" s="1042">
        <f>Fixed!L38</f>
        <v>2305.1010000000001</v>
      </c>
      <c r="J587" s="1098">
        <v>2300</v>
      </c>
      <c r="K587" s="1098">
        <v>2300</v>
      </c>
      <c r="L587" s="1098">
        <v>2300</v>
      </c>
      <c r="M587" s="1098">
        <v>2300</v>
      </c>
      <c r="N587" s="1098">
        <v>2300</v>
      </c>
      <c r="O587" s="1098">
        <v>2300</v>
      </c>
    </row>
    <row r="588" spans="2:18">
      <c r="B588" s="998" t="s">
        <v>1607</v>
      </c>
      <c r="C588" s="1042">
        <f>Fixed!F72</f>
        <v>520</v>
      </c>
      <c r="D588" s="1042">
        <f>Fixed!G72</f>
        <v>578</v>
      </c>
      <c r="E588" s="1042">
        <f>Fixed!H72</f>
        <v>573.98599999999999</v>
      </c>
      <c r="F588" s="1042">
        <f>Fixed!I72</f>
        <v>584.0044633898998</v>
      </c>
      <c r="G588" s="1042">
        <f>Fixed!J72</f>
        <v>601.65100010000003</v>
      </c>
      <c r="H588" s="1042">
        <f>Fixed!K72</f>
        <v>629</v>
      </c>
      <c r="I588" s="1042">
        <f ca="1">Fixed!L72</f>
        <v>659</v>
      </c>
      <c r="J588" s="1042">
        <f>Fixed!M72</f>
        <v>718</v>
      </c>
      <c r="K588" s="1042">
        <f>SUM(K589:K590)</f>
        <v>873.93000000000006</v>
      </c>
      <c r="L588" s="1042">
        <f>SUM(L589:L590)</f>
        <v>1029.8600000000001</v>
      </c>
      <c r="M588" s="1042">
        <f>SUM(M589:M590)</f>
        <v>1185.79</v>
      </c>
      <c r="N588" s="1042">
        <f>SUM(N589:N590)</f>
        <v>1341.72</v>
      </c>
      <c r="O588" s="1042">
        <f>SUM(O589:O590)</f>
        <v>1497.65</v>
      </c>
    </row>
    <row r="589" spans="2:18">
      <c r="B589" s="1097" t="s">
        <v>1609</v>
      </c>
      <c r="C589" s="1042">
        <f>C588-C590</f>
        <v>520</v>
      </c>
      <c r="D589" s="1042">
        <f t="shared" ref="D589:J589" si="137">D588-D590</f>
        <v>578</v>
      </c>
      <c r="E589" s="1042">
        <f t="shared" si="137"/>
        <v>573.98599999999999</v>
      </c>
      <c r="F589" s="1042">
        <f t="shared" si="137"/>
        <v>584.0044633898998</v>
      </c>
      <c r="G589" s="1042">
        <f t="shared" si="137"/>
        <v>601.65100010000003</v>
      </c>
      <c r="H589" s="1042">
        <f t="shared" si="137"/>
        <v>629</v>
      </c>
      <c r="I589" s="1042">
        <f t="shared" ca="1" si="137"/>
        <v>659</v>
      </c>
      <c r="J589" s="1042">
        <f t="shared" si="137"/>
        <v>718</v>
      </c>
      <c r="K589" s="1098">
        <f t="shared" ref="K589:N590" si="138">J589+($O589-$J589)/5</f>
        <v>819.47</v>
      </c>
      <c r="L589" s="1098">
        <f t="shared" si="138"/>
        <v>920.94</v>
      </c>
      <c r="M589" s="1098">
        <f t="shared" si="138"/>
        <v>1022.4100000000001</v>
      </c>
      <c r="N589" s="1098">
        <f t="shared" si="138"/>
        <v>1123.8800000000001</v>
      </c>
      <c r="O589" s="1098">
        <f>45%*O$578</f>
        <v>1225.3500000000001</v>
      </c>
      <c r="Q589" s="1099">
        <f ca="1">POWER(I589/E589, 1/4)-1</f>
        <v>3.5132701161296298E-2</v>
      </c>
      <c r="R589" s="1099">
        <f ca="1">POWER(O589/I589, 1/6)-1</f>
        <v>0.10890869826258509</v>
      </c>
    </row>
    <row r="590" spans="2:18">
      <c r="B590" s="1097" t="s">
        <v>1472</v>
      </c>
      <c r="C590" s="1098">
        <v>0</v>
      </c>
      <c r="D590" s="1098">
        <v>0</v>
      </c>
      <c r="E590" s="1098">
        <v>0</v>
      </c>
      <c r="F590" s="1098">
        <v>0</v>
      </c>
      <c r="G590" s="1098">
        <v>0</v>
      </c>
      <c r="H590" s="1098">
        <v>0</v>
      </c>
      <c r="I590" s="1098">
        <v>0</v>
      </c>
      <c r="J590" s="1098">
        <v>0</v>
      </c>
      <c r="K590" s="1098">
        <f t="shared" si="138"/>
        <v>54.46</v>
      </c>
      <c r="L590" s="1098">
        <f t="shared" si="138"/>
        <v>108.92</v>
      </c>
      <c r="M590" s="1098">
        <f t="shared" si="138"/>
        <v>163.38</v>
      </c>
      <c r="N590" s="1098">
        <f t="shared" si="138"/>
        <v>217.84</v>
      </c>
      <c r="O590" s="1098">
        <f>10%*O$578</f>
        <v>272.3</v>
      </c>
      <c r="R590" s="1099"/>
    </row>
    <row r="591" spans="2:18">
      <c r="B591" s="998" t="s">
        <v>1611</v>
      </c>
      <c r="C591" s="1100">
        <f>D591</f>
        <v>24.3</v>
      </c>
      <c r="D591" s="1101">
        <f>Fixed!G161</f>
        <v>24.3</v>
      </c>
      <c r="E591" s="1101">
        <f>Fixed!H161</f>
        <v>23.975270002061201</v>
      </c>
      <c r="F591" s="1101">
        <f>Fixed!I161</f>
        <v>24.264368192428883</v>
      </c>
      <c r="G591" s="1101">
        <f>Fixed!J161</f>
        <v>24.424507311488387</v>
      </c>
      <c r="H591" s="1101">
        <f>Fixed!K161</f>
        <v>24.1</v>
      </c>
      <c r="I591" s="1101">
        <f>Fixed!L161</f>
        <v>24.2</v>
      </c>
      <c r="J591" s="1100">
        <f t="shared" ref="J591:O591" si="139">I591*(1+3%)</f>
        <v>24.925999999999998</v>
      </c>
      <c r="K591" s="1100">
        <f t="shared" si="139"/>
        <v>25.673780000000001</v>
      </c>
      <c r="L591" s="1100">
        <f t="shared" si="139"/>
        <v>26.4439934</v>
      </c>
      <c r="M591" s="1100">
        <f t="shared" si="139"/>
        <v>27.237313201999999</v>
      </c>
      <c r="N591" s="1100">
        <f t="shared" si="139"/>
        <v>28.05443259806</v>
      </c>
      <c r="O591" s="1100">
        <f t="shared" si="139"/>
        <v>28.896065576001799</v>
      </c>
      <c r="Q591" s="1099">
        <f>POWER(I591/E591, 1/4)-1</f>
        <v>2.3351599087015895E-3</v>
      </c>
      <c r="R591" s="1099">
        <f>POWER(O591/I591, 1/6)-1</f>
        <v>3.0000000000000027E-2</v>
      </c>
    </row>
    <row r="592" spans="2:18">
      <c r="B592" s="998" t="s">
        <v>1196</v>
      </c>
      <c r="C592" s="1042"/>
      <c r="D592" s="1099">
        <f t="shared" ref="D592:O592" si="140">D591/C591-1</f>
        <v>0</v>
      </c>
      <c r="E592" s="1099">
        <f t="shared" si="140"/>
        <v>-1.336337440077362E-2</v>
      </c>
      <c r="F592" s="1099">
        <f t="shared" si="140"/>
        <v>1.2058182883563973E-2</v>
      </c>
      <c r="G592" s="1099">
        <f t="shared" si="140"/>
        <v>6.5997646338664673E-3</v>
      </c>
      <c r="H592" s="1099">
        <f t="shared" si="140"/>
        <v>-1.3286135411040623E-2</v>
      </c>
      <c r="I592" s="1099">
        <f t="shared" si="140"/>
        <v>4.1493775933609811E-3</v>
      </c>
      <c r="J592" s="1099">
        <f t="shared" si="140"/>
        <v>3.0000000000000027E-2</v>
      </c>
      <c r="K592" s="1099">
        <f t="shared" si="140"/>
        <v>3.0000000000000027E-2</v>
      </c>
      <c r="L592" s="1099">
        <f t="shared" si="140"/>
        <v>3.0000000000000027E-2</v>
      </c>
      <c r="M592" s="1099">
        <f t="shared" si="140"/>
        <v>3.0000000000000027E-2</v>
      </c>
      <c r="N592" s="1099">
        <f t="shared" si="140"/>
        <v>3.0000000000000027E-2</v>
      </c>
      <c r="O592" s="1099">
        <f t="shared" si="140"/>
        <v>3.0000000000000027E-2</v>
      </c>
    </row>
    <row r="593" spans="2:18">
      <c r="B593" s="998" t="s">
        <v>67</v>
      </c>
      <c r="C593" s="1042"/>
      <c r="D593" s="1042"/>
      <c r="E593" s="1042"/>
      <c r="F593" s="1042"/>
      <c r="G593" s="1042"/>
      <c r="H593" s="1042"/>
      <c r="I593" s="1018">
        <f t="shared" ref="I593:O593" ca="1" si="141">I588/I578</f>
        <v>0.2328988127108326</v>
      </c>
      <c r="J593" s="1018">
        <f t="shared" si="141"/>
        <v>0.25799496945742006</v>
      </c>
      <c r="K593" s="1018">
        <f t="shared" si="141"/>
        <v>0.31515686981608371</v>
      </c>
      <c r="L593" s="1018">
        <f t="shared" si="141"/>
        <v>0.37408645114420636</v>
      </c>
      <c r="M593" s="1018">
        <f t="shared" si="141"/>
        <v>0.43387852177094766</v>
      </c>
      <c r="N593" s="1018">
        <f t="shared" si="141"/>
        <v>0.49273595299302242</v>
      </c>
      <c r="O593" s="1018">
        <f t="shared" si="141"/>
        <v>0.55000000000000004</v>
      </c>
    </row>
    <row r="594" spans="2:18">
      <c r="B594" s="998" t="s">
        <v>1076</v>
      </c>
      <c r="D594" s="1042">
        <f>D588-C588</f>
        <v>58</v>
      </c>
      <c r="E594" s="1042">
        <f t="shared" ref="E594:O594" si="142">E588-D588</f>
        <v>-4.01400000000001</v>
      </c>
      <c r="F594" s="1042">
        <f t="shared" si="142"/>
        <v>10.018463389899807</v>
      </c>
      <c r="G594" s="1042">
        <f t="shared" si="142"/>
        <v>17.646536710100236</v>
      </c>
      <c r="H594" s="1042">
        <f t="shared" si="142"/>
        <v>27.348999899999967</v>
      </c>
      <c r="I594" s="1042">
        <f t="shared" ca="1" si="142"/>
        <v>30</v>
      </c>
      <c r="J594" s="1042">
        <f t="shared" ca="1" si="142"/>
        <v>59</v>
      </c>
      <c r="K594" s="1042">
        <f t="shared" si="142"/>
        <v>155.93000000000006</v>
      </c>
      <c r="L594" s="1042">
        <f t="shared" si="142"/>
        <v>155.93000000000006</v>
      </c>
      <c r="M594" s="1042">
        <f t="shared" si="142"/>
        <v>155.92999999999984</v>
      </c>
      <c r="N594" s="1042">
        <f t="shared" si="142"/>
        <v>155.93000000000006</v>
      </c>
      <c r="O594" s="1042">
        <f t="shared" si="142"/>
        <v>155.93000000000006</v>
      </c>
    </row>
    <row r="595" spans="2:18">
      <c r="C595" s="1042"/>
      <c r="D595" s="1042"/>
      <c r="E595" s="1042"/>
      <c r="F595" s="1042"/>
      <c r="G595" s="1042"/>
      <c r="H595" s="1042"/>
      <c r="I595" s="1042"/>
      <c r="J595" s="1042"/>
      <c r="K595" s="1042"/>
      <c r="L595" s="1042"/>
      <c r="M595" s="1042"/>
      <c r="N595" s="1042"/>
      <c r="O595" s="1042"/>
    </row>
    <row r="596" spans="2:18">
      <c r="B596" s="998" t="s">
        <v>93</v>
      </c>
      <c r="C596" s="1003">
        <f>Model!F5</f>
        <v>259</v>
      </c>
      <c r="D596" s="1003">
        <f>Model!G5</f>
        <v>256.7</v>
      </c>
      <c r="E596" s="1003">
        <f>Model!H5</f>
        <v>249.85536539200035</v>
      </c>
      <c r="F596" s="1003">
        <f>Model!I5</f>
        <v>238.35053718228983</v>
      </c>
      <c r="G596" s="1003">
        <f>Model!J5</f>
        <v>226.8</v>
      </c>
      <c r="H596" s="1003">
        <f>Model!K5</f>
        <v>218.23881466958363</v>
      </c>
      <c r="I596" s="1003">
        <f>Model!L5</f>
        <v>202.52998415548132</v>
      </c>
      <c r="O596" s="1098">
        <f>I596*(1-4.9%)^6</f>
        <v>149.82090991186854</v>
      </c>
      <c r="Q596" s="1099">
        <f>POWER(I596/E596, 1/4)-1</f>
        <v>-5.1144318884706497E-2</v>
      </c>
      <c r="R596" s="1099">
        <f>POWER(O596/I596, 1/6)-1</f>
        <v>-4.9000000000000044E-2</v>
      </c>
    </row>
    <row r="597" spans="2:18">
      <c r="B597" s="998" t="s">
        <v>91</v>
      </c>
      <c r="C597" s="1003">
        <f>Model!F6</f>
        <v>133.80000000000001</v>
      </c>
      <c r="D597" s="1003">
        <f>Model!G6</f>
        <v>144.80000000000001</v>
      </c>
      <c r="E597" s="1003">
        <f>Model!H6</f>
        <v>139.48227615000002</v>
      </c>
      <c r="F597" s="1003">
        <f>Model!I6</f>
        <v>142.6829013</v>
      </c>
      <c r="G597" s="1003">
        <f>Model!J6</f>
        <v>146.30000000000001</v>
      </c>
      <c r="H597" s="1003">
        <f>Model!K6</f>
        <v>150.85983016</v>
      </c>
      <c r="I597" s="1003">
        <f>Model!L6</f>
        <v>157.54322310999999</v>
      </c>
      <c r="O597" s="1098">
        <f>I597*(1+11.8%)^6 + 41</f>
        <v>348.64548627580302</v>
      </c>
      <c r="Q597" s="1099">
        <f>POWER(I597/E597, 1/4)-1</f>
        <v>3.0908629720188596E-2</v>
      </c>
      <c r="R597" s="1099">
        <f>POWER(O597/I597, 1/6)-1</f>
        <v>0.14155643569125131</v>
      </c>
    </row>
    <row r="598" spans="2:18">
      <c r="B598" s="998" t="s">
        <v>1513</v>
      </c>
      <c r="C598" s="1003">
        <f>Model!F7</f>
        <v>0</v>
      </c>
      <c r="D598" s="1003">
        <f>Model!G7</f>
        <v>0</v>
      </c>
      <c r="E598" s="1003">
        <f>Model!H7</f>
        <v>48</v>
      </c>
      <c r="F598" s="1003">
        <f>Model!I7</f>
        <v>56.111999999999995</v>
      </c>
      <c r="G598" s="1003">
        <f>Model!J7</f>
        <v>61.9</v>
      </c>
      <c r="H598" s="1003">
        <f>Model!K7</f>
        <v>50.341374009999996</v>
      </c>
      <c r="I598" s="1003">
        <f>Model!L7</f>
        <v>45.373768670000004</v>
      </c>
      <c r="O598" s="1098">
        <f>I598*(1+8.4%)^6</f>
        <v>73.617411980133966</v>
      </c>
      <c r="Q598" s="1099">
        <f>POWER(I598/E598, 1/4)-1</f>
        <v>-1.3968239916367198E-2</v>
      </c>
      <c r="R598" s="1099">
        <f>POWER(O598/I598, 1/6)-1</f>
        <v>8.4000000000000075E-2</v>
      </c>
    </row>
    <row r="599" spans="2:18">
      <c r="B599" s="998" t="s">
        <v>80</v>
      </c>
      <c r="C599" s="1003">
        <f>Model!F8</f>
        <v>85.4</v>
      </c>
      <c r="D599" s="1003">
        <f>Model!G8</f>
        <v>95.4</v>
      </c>
      <c r="E599" s="1003">
        <f>Model!H8</f>
        <v>57</v>
      </c>
      <c r="F599" s="1003">
        <f>Model!I8</f>
        <v>62.259315177710199</v>
      </c>
      <c r="G599" s="1003">
        <f>Model!J8</f>
        <v>45.000000000000007</v>
      </c>
      <c r="H599" s="1003">
        <f>Model!K8</f>
        <v>43.403644210416367</v>
      </c>
      <c r="I599" s="1003">
        <f>Model!L8</f>
        <v>41.089225354518689</v>
      </c>
      <c r="O599" s="1003">
        <f>O600-SUM(O596:O598)</f>
        <v>100.9161918321945</v>
      </c>
      <c r="Q599" s="1099">
        <f>POWER(I599/E599, 1/4)-1</f>
        <v>-7.856803414562985E-2</v>
      </c>
      <c r="R599" s="1099">
        <f>POWER(O599/I599, 1/6)-1</f>
        <v>0.16155242720116703</v>
      </c>
    </row>
    <row r="600" spans="2:18" s="1031" customFormat="1">
      <c r="B600" s="1031" t="s">
        <v>0</v>
      </c>
      <c r="C600" s="1102">
        <f t="shared" ref="C600:H600" si="143">SUM(C596:C599)</f>
        <v>478.20000000000005</v>
      </c>
      <c r="D600" s="1102">
        <f t="shared" si="143"/>
        <v>496.9</v>
      </c>
      <c r="E600" s="1102">
        <f t="shared" si="143"/>
        <v>494.33764154200037</v>
      </c>
      <c r="F600" s="1102">
        <f t="shared" si="143"/>
        <v>499.40475366000004</v>
      </c>
      <c r="G600" s="1102">
        <f t="shared" si="143"/>
        <v>480</v>
      </c>
      <c r="H600" s="1102">
        <f t="shared" si="143"/>
        <v>462.84366304999998</v>
      </c>
      <c r="I600" s="1102">
        <f>SUM(I596:I599)</f>
        <v>446.53620129000001</v>
      </c>
      <c r="J600" s="1103"/>
      <c r="K600" s="1103"/>
      <c r="L600" s="1103"/>
      <c r="M600" s="1103"/>
      <c r="N600" s="1103"/>
      <c r="O600" s="1104">
        <v>673</v>
      </c>
      <c r="Q600" s="1105">
        <f>POWER(I600/E600, 1/4)-1</f>
        <v>-2.5104090741676854E-2</v>
      </c>
      <c r="R600" s="1105">
        <f>POWER(O600/I600, 1/6)-1</f>
        <v>7.0762283289298455E-2</v>
      </c>
    </row>
    <row r="601" spans="2:18">
      <c r="D601" s="1099">
        <f t="shared" ref="D601:I601" si="144">D600/C600-1</f>
        <v>3.9104976997072161E-2</v>
      </c>
      <c r="E601" s="1099">
        <f t="shared" si="144"/>
        <v>-5.1566883839798683E-3</v>
      </c>
      <c r="F601" s="1099">
        <f t="shared" si="144"/>
        <v>1.0250306050321623E-2</v>
      </c>
      <c r="G601" s="1099">
        <f t="shared" si="144"/>
        <v>-3.8855764823598427E-2</v>
      </c>
      <c r="H601" s="1099">
        <f t="shared" si="144"/>
        <v>-3.5742368645833356E-2</v>
      </c>
      <c r="I601" s="1099">
        <f t="shared" si="144"/>
        <v>-3.5233196566933023E-2</v>
      </c>
    </row>
    <row r="603" spans="2:18">
      <c r="B603" s="998" t="s">
        <v>161</v>
      </c>
      <c r="C603" s="1003">
        <f>Fixed!F273</f>
        <v>152.30000000000001</v>
      </c>
      <c r="D603" s="1003">
        <f>Fixed!G273</f>
        <v>155.9</v>
      </c>
      <c r="E603" s="1003">
        <f>Fixed!H273</f>
        <v>159.03177321999999</v>
      </c>
      <c r="F603" s="1003">
        <f>Fixed!I273</f>
        <v>162.0818753543538</v>
      </c>
      <c r="G603" s="1003">
        <f>Fixed!J273</f>
        <v>109.13800000000001</v>
      </c>
      <c r="H603" s="1003">
        <f>Fixed!K273</f>
        <v>134.16900000000001</v>
      </c>
      <c r="I603" s="1003">
        <f>Fixed!L273</f>
        <v>186</v>
      </c>
      <c r="J603" s="1003">
        <f>Fixed!M273</f>
        <v>187</v>
      </c>
      <c r="K603" s="1003">
        <f ca="1">Fixed!N273</f>
        <v>193.26969502103239</v>
      </c>
      <c r="L603" s="1003">
        <f ca="1">Fixed!O273</f>
        <v>187.46621537875632</v>
      </c>
      <c r="M603" s="1003">
        <f ca="1">Fixed!P273</f>
        <v>190.60693133023656</v>
      </c>
      <c r="N603" s="1003">
        <f ca="1">Fixed!Q273</f>
        <v>202.94415147376913</v>
      </c>
      <c r="O603" s="1003">
        <f ca="1">Fixed!R273</f>
        <v>202.99840863051455</v>
      </c>
    </row>
    <row r="604" spans="2:18">
      <c r="B604" s="1097" t="s">
        <v>1625</v>
      </c>
      <c r="C604" s="1098"/>
      <c r="D604" s="1098"/>
      <c r="E604" s="1098"/>
      <c r="F604" s="1065">
        <v>72.758829122646432</v>
      </c>
      <c r="G604" s="1065">
        <v>70.8</v>
      </c>
      <c r="H604" s="1065">
        <v>89.28027884899376</v>
      </c>
      <c r="I604" s="1065">
        <v>134.76802391159998</v>
      </c>
      <c r="J604" s="1098">
        <f t="shared" ref="J604:O604" si="145">800/6</f>
        <v>133.33333333333334</v>
      </c>
      <c r="K604" s="1098">
        <f t="shared" si="145"/>
        <v>133.33333333333334</v>
      </c>
      <c r="L604" s="1098">
        <f t="shared" si="145"/>
        <v>133.33333333333334</v>
      </c>
      <c r="M604" s="1098">
        <f t="shared" si="145"/>
        <v>133.33333333333334</v>
      </c>
      <c r="N604" s="1098">
        <f t="shared" si="145"/>
        <v>133.33333333333334</v>
      </c>
      <c r="O604" s="1098">
        <f t="shared" si="145"/>
        <v>133.33333333333334</v>
      </c>
      <c r="Q604" s="998">
        <f>2.3*0.42</f>
        <v>0.96599999999999986</v>
      </c>
    </row>
    <row r="605" spans="2:18">
      <c r="B605" s="1097" t="s">
        <v>1626</v>
      </c>
      <c r="C605" s="1003">
        <f t="shared" ref="C605:O605" si="146">C603-C604</f>
        <v>152.30000000000001</v>
      </c>
      <c r="D605" s="1003">
        <f t="shared" si="146"/>
        <v>155.9</v>
      </c>
      <c r="E605" s="1003">
        <f t="shared" si="146"/>
        <v>159.03177321999999</v>
      </c>
      <c r="F605" s="1003">
        <f t="shared" si="146"/>
        <v>89.323046231707366</v>
      </c>
      <c r="G605" s="1003">
        <f t="shared" si="146"/>
        <v>38.338000000000008</v>
      </c>
      <c r="H605" s="1003">
        <f t="shared" si="146"/>
        <v>44.888721151006251</v>
      </c>
      <c r="I605" s="1003">
        <f t="shared" si="146"/>
        <v>51.231976088400017</v>
      </c>
      <c r="J605" s="1003">
        <f t="shared" si="146"/>
        <v>53.666666666666657</v>
      </c>
      <c r="K605" s="1003">
        <f t="shared" ca="1" si="146"/>
        <v>59.936361687699048</v>
      </c>
      <c r="L605" s="1003">
        <f t="shared" ca="1" si="146"/>
        <v>54.132882045422974</v>
      </c>
      <c r="M605" s="1003">
        <f t="shared" ca="1" si="146"/>
        <v>57.27359799690322</v>
      </c>
      <c r="N605" s="1003">
        <f t="shared" ca="1" si="146"/>
        <v>69.610818140435782</v>
      </c>
      <c r="O605" s="1003">
        <f t="shared" ca="1" si="146"/>
        <v>69.665075297181204</v>
      </c>
    </row>
    <row r="608" spans="2:18">
      <c r="I608" s="1044"/>
    </row>
    <row r="646" spans="2:13">
      <c r="B646" s="1058"/>
      <c r="C646" s="1373" t="s">
        <v>1606</v>
      </c>
      <c r="D646" s="1373"/>
      <c r="E646" s="1373"/>
      <c r="F646" s="1373"/>
      <c r="G646" s="1058"/>
      <c r="H646" s="1373" t="s">
        <v>985</v>
      </c>
      <c r="I646" s="1373"/>
      <c r="J646" s="1373"/>
    </row>
    <row r="647" spans="2:13">
      <c r="C647" s="1117"/>
      <c r="D647" s="1117"/>
      <c r="E647" s="1130" t="s">
        <v>1632</v>
      </c>
      <c r="F647" s="1118" t="s">
        <v>1629</v>
      </c>
      <c r="H647" s="1118"/>
      <c r="I647" s="1118" t="s">
        <v>1634</v>
      </c>
      <c r="J647" s="1118" t="s">
        <v>1627</v>
      </c>
    </row>
    <row r="648" spans="2:13">
      <c r="B648" s="1112" t="s">
        <v>192</v>
      </c>
      <c r="C648" s="1112">
        <v>2022</v>
      </c>
      <c r="D648" s="1112">
        <v>2028</v>
      </c>
      <c r="E648" s="1119" t="s">
        <v>565</v>
      </c>
      <c r="F648" s="1119" t="s">
        <v>565</v>
      </c>
      <c r="G648" s="1120"/>
      <c r="H648" s="1119" t="s">
        <v>1633</v>
      </c>
      <c r="I648" s="1119" t="s">
        <v>565</v>
      </c>
      <c r="J648" s="1119" t="s">
        <v>1628</v>
      </c>
      <c r="M648" s="998">
        <v>2035</v>
      </c>
    </row>
    <row r="649" spans="2:13">
      <c r="B649" s="1045" t="str">
        <f>Model!B5</f>
        <v>TV</v>
      </c>
      <c r="C649" s="1121">
        <f>Model!L5</f>
        <v>202.52998415548132</v>
      </c>
      <c r="D649" s="1121">
        <f>C649*(1-4.9%)^6</f>
        <v>149.82090991186854</v>
      </c>
      <c r="E649" s="1122">
        <f>(D649/Model!M5)^(1/5)-1</f>
        <v>-4.5106296839147908E-2</v>
      </c>
      <c r="F649" s="1122">
        <f>(Model!M5/Model!K5)^(1/2)-1</f>
        <v>-7.010771535970195E-2</v>
      </c>
      <c r="G649" s="1045"/>
      <c r="H649" s="1121">
        <f ca="1">Model!R5</f>
        <v>117.8941871808581</v>
      </c>
      <c r="I649" s="1122">
        <f ca="1">(H649/Model!M5)^(1/5)-1</f>
        <v>-8.9795408564480317E-2</v>
      </c>
      <c r="J649" s="1123">
        <f ca="1">H649/D649-1</f>
        <v>-0.21309924462340535</v>
      </c>
    </row>
    <row r="650" spans="2:13">
      <c r="B650" s="998" t="str">
        <f>Model!B6</f>
        <v>Internet &amp; Telephony</v>
      </c>
      <c r="C650" s="1003">
        <f>Model!L6</f>
        <v>157.54322310999999</v>
      </c>
      <c r="D650" s="1003">
        <f>C650*(1+11.8%)^6+41</f>
        <v>348.64548627580302</v>
      </c>
      <c r="E650" s="1002">
        <f>(D650/Model!M6)^(1/5)-1</f>
        <v>0.15703701086502786</v>
      </c>
      <c r="F650" s="1002">
        <f>(Model!M6/Model!K6)^(1/2)-1</f>
        <v>5.5691654152459913E-2</v>
      </c>
      <c r="H650" s="1003">
        <f ca="1">Model!R6</f>
        <v>269.98113644577961</v>
      </c>
      <c r="I650" s="1002">
        <f ca="1">(H650/Model!M6)^(1/5)-1</f>
        <v>9.9352899142965745E-2</v>
      </c>
      <c r="J650" s="1018">
        <f ca="1">H650/D650-1</f>
        <v>-0.22562847627918059</v>
      </c>
    </row>
    <row r="651" spans="2:13">
      <c r="B651" s="1049" t="str">
        <f>Model!B7</f>
        <v>B2B</v>
      </c>
      <c r="C651" s="1065">
        <f>Model!L7</f>
        <v>45.373768670000004</v>
      </c>
      <c r="D651" s="1065">
        <f>C651*(1+8.4%)^6</f>
        <v>73.617411980133966</v>
      </c>
      <c r="E651" s="1056">
        <f>(D651/Model!M7)^(1/5)-1</f>
        <v>0.10471809643823482</v>
      </c>
      <c r="F651" s="1056">
        <f>(Model!M7/Model!K7)^(1/2)-1</f>
        <v>-5.7244510847806906E-2</v>
      </c>
      <c r="G651" s="1049"/>
      <c r="H651" s="1065">
        <f>Model!R7</f>
        <v>47.956236523696582</v>
      </c>
      <c r="I651" s="1056">
        <f>(H651/Model!M7)^(1/5)-1</f>
        <v>1.3968300198172967E-2</v>
      </c>
      <c r="J651" s="1124">
        <f>H651/D651-1</f>
        <v>-0.34857481085265785</v>
      </c>
    </row>
    <row r="652" spans="2:13">
      <c r="B652" s="998" t="str">
        <f>Model!B8</f>
        <v>Other revenue</v>
      </c>
      <c r="C652" s="1003">
        <f>Model!L8</f>
        <v>41.089225354518689</v>
      </c>
      <c r="D652" s="1003">
        <f>D653-D651-D650-D649</f>
        <v>100.91619183219447</v>
      </c>
      <c r="E652" s="1002">
        <f>(D652/Model!M8)^(1/5)-1</f>
        <v>0.14861512522027098</v>
      </c>
      <c r="F652" s="1002">
        <f>(Model!M8/Model!K8)^(1/2)-1</f>
        <v>7.8402788657533362E-2</v>
      </c>
      <c r="H652" s="1003">
        <f ca="1">Model!R8</f>
        <v>82.637360806156437</v>
      </c>
      <c r="I652" s="1002">
        <f ca="1">(H652/Model!M8)^(1/5)-1</f>
        <v>0.10361513525196964</v>
      </c>
      <c r="J652" s="1018">
        <f ca="1">H652/D652-1</f>
        <v>-0.18112882278031706</v>
      </c>
    </row>
    <row r="653" spans="2:13">
      <c r="B653" s="1051" t="s">
        <v>1631</v>
      </c>
      <c r="C653" s="1125">
        <f>Model!L9</f>
        <v>446.53620129000001</v>
      </c>
      <c r="D653" s="1051">
        <v>673</v>
      </c>
      <c r="E653" s="1126">
        <f>(D653/Model!M9)^(1/5)-1</f>
        <v>8.2838189164006648E-2</v>
      </c>
      <c r="F653" s="1126">
        <f>(Model!M9/Model!K9)^(1/2)-1</f>
        <v>-1.1716689576824368E-2</v>
      </c>
      <c r="G653" s="1049"/>
      <c r="H653" s="1125">
        <f ca="1">Model!R9</f>
        <v>518.46892095649082</v>
      </c>
      <c r="I653" s="1126">
        <f ca="1">(H653/Model!M9)^(1/5)-1</f>
        <v>2.7791677572945428E-2</v>
      </c>
      <c r="J653" s="1127">
        <f ca="1">H653/D653-1</f>
        <v>-0.22961527346732424</v>
      </c>
      <c r="M653" s="998">
        <f>D653*(1.04)^7</f>
        <v>885.62208742572045</v>
      </c>
    </row>
    <row r="655" spans="2:13">
      <c r="B655" s="1049" t="s">
        <v>1630</v>
      </c>
      <c r="C655" s="1065">
        <f>C653-C657</f>
        <v>264.95320128999998</v>
      </c>
      <c r="D655" s="1065">
        <f>D653-D657</f>
        <v>244</v>
      </c>
      <c r="E655" s="1056">
        <f ca="1">(D655/(Model!M9-Model!M12))^(1/5)-1</f>
        <v>-1.3536286973637068E-2</v>
      </c>
      <c r="F655" s="1056">
        <f ca="1">((Model!M9-Model!M12)/(Model!K9-Model!K12))^(1/2)-1</f>
        <v>5.1179705827066879E-2</v>
      </c>
      <c r="G655" s="1049"/>
      <c r="H655" s="1065">
        <f ca="1">H653-H657</f>
        <v>269.36388661879369</v>
      </c>
      <c r="I655" s="1056">
        <f ca="1">(H655/(Model!M9-Model!M12))^(1/5)-1</f>
        <v>6.1692096299850174E-3</v>
      </c>
      <c r="J655" s="1124">
        <f ca="1">H655/D655-1</f>
        <v>0.103950354995056</v>
      </c>
    </row>
    <row r="657" spans="2:13">
      <c r="B657" s="1051" t="s">
        <v>28</v>
      </c>
      <c r="C657" s="1128">
        <f>Model!L12</f>
        <v>181.58300000000003</v>
      </c>
      <c r="D657" s="1051">
        <v>429</v>
      </c>
      <c r="E657" s="1126">
        <f ca="1">(D657/Model!M12)^(1/5)-1</f>
        <v>0.17584738159151403</v>
      </c>
      <c r="F657" s="1126">
        <f ca="1">(Model!M12/Model!K12)^(1/2)-1</f>
        <v>-8.1958707294814914E-2</v>
      </c>
      <c r="G657" s="1049"/>
      <c r="H657" s="1128">
        <f ca="1">Model!R12</f>
        <v>249.10503433769716</v>
      </c>
      <c r="I657" s="1126">
        <f ca="1">(H657/Model!M12)^(1/5)-1</f>
        <v>5.4717128303122253E-2</v>
      </c>
      <c r="J657" s="1124">
        <f ca="1">H657/D657-1</f>
        <v>-0.4193355842944122</v>
      </c>
    </row>
    <row r="658" spans="2:13">
      <c r="B658" s="1120" t="s">
        <v>611</v>
      </c>
      <c r="C658" s="1129">
        <f>C657/C653</f>
        <v>0.40664788090063975</v>
      </c>
      <c r="D658" s="1129">
        <f>D657/D653</f>
        <v>0.63744427934621095</v>
      </c>
      <c r="E658" s="1120"/>
      <c r="F658" s="1120"/>
      <c r="G658" s="1120"/>
      <c r="H658" s="1129">
        <f ca="1">H657/H653</f>
        <v>0.48046280937753971</v>
      </c>
      <c r="I658" s="1120"/>
      <c r="J658" s="1120"/>
    </row>
    <row r="659" spans="2:13">
      <c r="L659" s="998" t="s">
        <v>161</v>
      </c>
      <c r="M659" s="998">
        <f>M653*0.15</f>
        <v>132.84331311385807</v>
      </c>
    </row>
    <row r="661" spans="2:13">
      <c r="B661" s="1011" t="s">
        <v>1670</v>
      </c>
      <c r="C661" s="1011">
        <v>2020</v>
      </c>
      <c r="D661" s="1011">
        <v>2021</v>
      </c>
      <c r="E661" s="1011">
        <v>2022</v>
      </c>
      <c r="F661" s="1011">
        <v>2023</v>
      </c>
      <c r="G661" s="1012" t="s">
        <v>1669</v>
      </c>
    </row>
    <row r="662" spans="2:13">
      <c r="B662" s="998" t="s">
        <v>1668</v>
      </c>
      <c r="C662" s="1003">
        <f>Fixed!J273</f>
        <v>109.13800000000001</v>
      </c>
      <c r="D662" s="1003">
        <f>Fixed!K273</f>
        <v>134.16900000000001</v>
      </c>
      <c r="E662" s="1003">
        <f>Fixed!L273</f>
        <v>186</v>
      </c>
      <c r="F662" s="1003">
        <f>Fixed!M273</f>
        <v>187</v>
      </c>
      <c r="G662" s="1003">
        <f>SUM(C662:F662)</f>
        <v>616.30700000000002</v>
      </c>
    </row>
    <row r="664" spans="2:13">
      <c r="B664" s="998" t="s">
        <v>1658</v>
      </c>
      <c r="C664" s="998">
        <f>Fixed!J276</f>
        <v>153</v>
      </c>
      <c r="D664" s="998">
        <f>Fixed!K276</f>
        <v>173</v>
      </c>
      <c r="E664" s="998">
        <f>Fixed!L276</f>
        <v>227</v>
      </c>
      <c r="F664" s="998">
        <f>Fixed!M276</f>
        <v>228</v>
      </c>
      <c r="G664" s="1003">
        <f>SUM(C664:F664)</f>
        <v>781</v>
      </c>
    </row>
    <row r="665" spans="2:13">
      <c r="B665" s="1120" t="s">
        <v>1409</v>
      </c>
      <c r="C665" s="1120"/>
      <c r="D665" s="1120"/>
      <c r="E665" s="1120"/>
      <c r="F665" s="1120"/>
      <c r="G665" s="1138">
        <f>G664-G662</f>
        <v>164.69299999999998</v>
      </c>
    </row>
    <row r="668" spans="2:13">
      <c r="B668" s="1011" t="s">
        <v>192</v>
      </c>
      <c r="C668" s="1044">
        <v>2020</v>
      </c>
      <c r="D668" s="1044">
        <v>2021</v>
      </c>
      <c r="E668" s="1044">
        <v>2022</v>
      </c>
      <c r="F668" s="1044">
        <v>2023</v>
      </c>
      <c r="G668" s="1011">
        <v>2024</v>
      </c>
      <c r="H668" s="1011">
        <v>2025</v>
      </c>
      <c r="I668" s="1011">
        <v>2026</v>
      </c>
      <c r="J668" s="1011">
        <v>2027</v>
      </c>
      <c r="K668" s="1011">
        <v>2028</v>
      </c>
    </row>
    <row r="669" spans="2:13">
      <c r="B669" s="1141" t="s">
        <v>1680</v>
      </c>
      <c r="C669" s="1096"/>
      <c r="D669" s="1096"/>
      <c r="E669" s="1096"/>
      <c r="F669" s="1031"/>
      <c r="G669" s="1031"/>
      <c r="H669" s="1031"/>
      <c r="I669" s="1031"/>
      <c r="J669" s="1031"/>
      <c r="K669" s="1031"/>
    </row>
    <row r="670" spans="2:13">
      <c r="B670" s="998" t="s">
        <v>1681</v>
      </c>
      <c r="C670" s="1042">
        <f>Fixed!J72</f>
        <v>601.65100010000003</v>
      </c>
      <c r="D670" s="1042">
        <f>Fixed!K72</f>
        <v>629</v>
      </c>
      <c r="E670" s="1042">
        <f ca="1">Fixed!L72</f>
        <v>659</v>
      </c>
      <c r="F670" s="1042">
        <f>Fixed!M72</f>
        <v>718</v>
      </c>
      <c r="G670" s="1042">
        <f ca="1">Fixed!N72</f>
        <v>751.20313183552355</v>
      </c>
      <c r="H670" s="1042">
        <f ca="1">Fixed!O72</f>
        <v>828.65896311996619</v>
      </c>
      <c r="I670" s="1042">
        <f ca="1">Fixed!P72</f>
        <v>908.87879440440872</v>
      </c>
      <c r="J670" s="1042">
        <f ca="1">Fixed!Q72</f>
        <v>996.79562568885137</v>
      </c>
      <c r="K670" s="1042">
        <f ca="1">Fixed!R72</f>
        <v>1085.062456973294</v>
      </c>
    </row>
    <row r="671" spans="2:13">
      <c r="B671" s="998" t="s">
        <v>1683</v>
      </c>
      <c r="C671" s="1050">
        <v>601.65100010000003</v>
      </c>
      <c r="D671" s="1050">
        <v>629</v>
      </c>
      <c r="E671" s="1050">
        <v>659</v>
      </c>
      <c r="F671" s="1050">
        <v>704.50015184388258</v>
      </c>
      <c r="G671" s="1050">
        <v>768.69190472320156</v>
      </c>
      <c r="H671" s="1050">
        <v>832.40881143628587</v>
      </c>
      <c r="I671" s="1050">
        <v>895.64782897552436</v>
      </c>
      <c r="J671" s="1050">
        <v>958.40592574262382</v>
      </c>
      <c r="K671" s="1050">
        <v>1020.6800818786681</v>
      </c>
    </row>
    <row r="673" spans="2:11">
      <c r="B673" s="1141" t="s">
        <v>1682</v>
      </c>
    </row>
    <row r="674" spans="2:11">
      <c r="B674" s="998" t="s">
        <v>1681</v>
      </c>
      <c r="C674" s="1142">
        <f>Fixed!J104</f>
        <v>0.25417326764085862</v>
      </c>
      <c r="D674" s="1142">
        <f>Fixed!K104</f>
        <v>0.2690797430010391</v>
      </c>
      <c r="E674" s="1142">
        <f ca="1">Fixed!L104</f>
        <v>0.28588768995371566</v>
      </c>
      <c r="F674" s="1142">
        <f>Fixed!M104</f>
        <v>0.3043662568885121</v>
      </c>
      <c r="G674" s="1142">
        <f ca="1">Fixed!N104</f>
        <v>0.3157642420494004</v>
      </c>
      <c r="H674" s="1142">
        <f ca="1">Fixed!O104</f>
        <v>0.34686436296356893</v>
      </c>
      <c r="I674" s="1142">
        <f ca="1">Fixed!P104</f>
        <v>0.37885735489971184</v>
      </c>
      <c r="J674" s="1142">
        <f ca="1">Fixed!Q104</f>
        <v>0.41377983631749743</v>
      </c>
      <c r="K674" s="1142">
        <f ca="1">Fixed!R104</f>
        <v>0.44855827076200666</v>
      </c>
    </row>
    <row r="675" spans="2:11">
      <c r="B675" s="998" t="s">
        <v>1683</v>
      </c>
      <c r="C675" s="1143">
        <v>0.20328100713551808</v>
      </c>
      <c r="D675" s="1143">
        <v>0.21606418308502551</v>
      </c>
      <c r="E675" s="1143">
        <v>0.2328988127108326</v>
      </c>
      <c r="F675" s="1143">
        <v>0.25289881271083259</v>
      </c>
      <c r="G675" s="1143">
        <v>0.27689881271083261</v>
      </c>
      <c r="H675" s="1143">
        <v>0.30089881271083263</v>
      </c>
      <c r="I675" s="1143">
        <v>0.32489881271083265</v>
      </c>
      <c r="J675" s="1143">
        <v>0.34889881271083262</v>
      </c>
      <c r="K675" s="1143">
        <v>0.37289881271083264</v>
      </c>
    </row>
    <row r="697" spans="2:13">
      <c r="B697" s="1011" t="s">
        <v>1589</v>
      </c>
      <c r="C697" s="1044">
        <v>2020</v>
      </c>
      <c r="D697" s="1044">
        <v>2021</v>
      </c>
      <c r="E697" s="1044">
        <v>2022</v>
      </c>
      <c r="F697" s="1044">
        <v>2023</v>
      </c>
      <c r="G697" s="1011">
        <v>2024</v>
      </c>
      <c r="H697" s="1011">
        <v>2025</v>
      </c>
      <c r="I697" s="1011">
        <v>2026</v>
      </c>
      <c r="J697" s="1011">
        <v>2027</v>
      </c>
      <c r="K697" s="1011">
        <v>2028</v>
      </c>
      <c r="L697" s="1011">
        <v>2029</v>
      </c>
      <c r="M697" s="1011">
        <v>2030</v>
      </c>
    </row>
    <row r="698" spans="2:13">
      <c r="B698" s="1220" t="s">
        <v>0</v>
      </c>
      <c r="C698" s="1133">
        <f>Model!J9</f>
        <v>480</v>
      </c>
      <c r="D698" s="1133">
        <f>Model!K9</f>
        <v>462.84366304999998</v>
      </c>
      <c r="E698" s="1133">
        <f>Model!L9</f>
        <v>446.53620129000001</v>
      </c>
      <c r="F698" s="1133">
        <f>Model!M9</f>
        <v>452.06121156</v>
      </c>
      <c r="G698" s="1133">
        <f ca="1">Model!N9</f>
        <v>433.86462054566306</v>
      </c>
      <c r="H698" s="1133">
        <f ca="1">Model!O9</f>
        <v>434.14953674314324</v>
      </c>
      <c r="I698" s="1133">
        <f ca="1">Model!P9</f>
        <v>462.82185958200864</v>
      </c>
      <c r="J698" s="1133">
        <f ca="1">Model!Q9</f>
        <v>489.86188981053959</v>
      </c>
      <c r="K698" s="1133">
        <f ca="1">Model!R9</f>
        <v>518.46892095649082</v>
      </c>
      <c r="L698" s="1133">
        <f ca="1">Model!S9</f>
        <v>551.9682456787674</v>
      </c>
      <c r="M698" s="1133">
        <f ca="1">Model!T9</f>
        <v>585.33632681154825</v>
      </c>
    </row>
    <row r="699" spans="2:13" s="1064" customFormat="1">
      <c r="B699" s="1212" t="s">
        <v>1689</v>
      </c>
      <c r="C699" s="1213"/>
      <c r="D699" s="1213"/>
      <c r="E699" s="1213"/>
      <c r="F699" s="1213"/>
      <c r="G699" s="1214">
        <v>472</v>
      </c>
      <c r="H699" s="1214">
        <v>520</v>
      </c>
      <c r="I699" s="1214">
        <v>569</v>
      </c>
      <c r="J699" s="1214">
        <v>623</v>
      </c>
      <c r="K699" s="1214">
        <v>673</v>
      </c>
      <c r="L699" s="1155"/>
      <c r="M699" s="1155"/>
    </row>
    <row r="700" spans="2:13" s="1064" customFormat="1">
      <c r="B700" s="1221" t="s">
        <v>2046</v>
      </c>
      <c r="C700" s="1222"/>
      <c r="D700" s="1222"/>
      <c r="E700" s="1222"/>
      <c r="F700" s="1222"/>
      <c r="G700" s="1223">
        <f ca="1">G698/G699-1</f>
        <v>-8.0795295454103688E-2</v>
      </c>
      <c r="H700" s="1223">
        <f ca="1">(H698/G698-1)-(H699/G699-1)</f>
        <v>-0.10103822147468478</v>
      </c>
      <c r="I700" s="1223">
        <f t="shared" ref="I700:K700" ca="1" si="147">(I698/H698-1)-(I699/H699-1)</f>
        <v>-2.8188264489300785E-2</v>
      </c>
      <c r="J700" s="1223">
        <f t="shared" ca="1" si="147"/>
        <v>-3.6479067155338774E-2</v>
      </c>
      <c r="K700" s="1223">
        <f t="shared" ca="1" si="147"/>
        <v>-2.1858665653600839E-2</v>
      </c>
      <c r="L700" s="1155"/>
      <c r="M700" s="1155"/>
    </row>
    <row r="701" spans="2:13">
      <c r="B701" s="1032"/>
      <c r="C701" s="1132"/>
      <c r="D701" s="1132"/>
      <c r="E701" s="1132"/>
      <c r="F701" s="1132"/>
      <c r="G701" s="1132"/>
      <c r="H701" s="1132"/>
      <c r="I701" s="1132"/>
      <c r="J701" s="1132"/>
      <c r="K701" s="1132"/>
      <c r="L701" s="1132"/>
      <c r="M701" s="1132"/>
    </row>
    <row r="702" spans="2:13">
      <c r="B702" s="1036" t="s">
        <v>1378</v>
      </c>
      <c r="C702" s="1155">
        <f>Model!J12</f>
        <v>242.18396066</v>
      </c>
      <c r="D702" s="1155">
        <f>Model!K12</f>
        <v>226.45299999999997</v>
      </c>
      <c r="E702" s="1155">
        <f>Model!L12</f>
        <v>181.58300000000003</v>
      </c>
      <c r="F702" s="1155">
        <f ca="1">Model!M12</f>
        <v>190.85454653151407</v>
      </c>
      <c r="G702" s="1155">
        <f ca="1">Model!N12</f>
        <v>184.97974954401991</v>
      </c>
      <c r="H702" s="1155">
        <f ca="1">Model!O12</f>
        <v>192.26576222893047</v>
      </c>
      <c r="I702" s="1155">
        <f ca="1">Model!P12</f>
        <v>209.68398168306288</v>
      </c>
      <c r="J702" s="1155">
        <f ca="1">Model!Q12</f>
        <v>228.62711092244257</v>
      </c>
      <c r="K702" s="1155">
        <f ca="1">Model!R12</f>
        <v>249.10503433769716</v>
      </c>
      <c r="L702" s="1155">
        <f ca="1">Model!S12</f>
        <v>273.47661400054051</v>
      </c>
      <c r="M702" s="1155">
        <f ca="1">Model!T12</f>
        <v>298.79495662173173</v>
      </c>
    </row>
    <row r="703" spans="2:13">
      <c r="B703" s="1215" t="s">
        <v>1689</v>
      </c>
      <c r="C703" s="1214"/>
      <c r="D703" s="1214"/>
      <c r="E703" s="1214"/>
      <c r="F703" s="1214"/>
      <c r="G703" s="1214">
        <v>221</v>
      </c>
      <c r="H703" s="1214">
        <v>283</v>
      </c>
      <c r="I703" s="1214">
        <v>337</v>
      </c>
      <c r="J703" s="1214">
        <v>385</v>
      </c>
      <c r="K703" s="1214">
        <v>429</v>
      </c>
      <c r="L703" s="1132"/>
      <c r="M703" s="1132"/>
    </row>
    <row r="704" spans="2:13">
      <c r="B704" s="1221" t="s">
        <v>2046</v>
      </c>
      <c r="C704" s="1222"/>
      <c r="D704" s="1222"/>
      <c r="E704" s="1222"/>
      <c r="F704" s="1222"/>
      <c r="G704" s="1223">
        <f ca="1">G702/G703-1</f>
        <v>-0.16298755862434433</v>
      </c>
      <c r="H704" s="1223">
        <f ca="1">(H702/G702-1)-(H703/G703-1)</f>
        <v>-0.24115482257026444</v>
      </c>
      <c r="I704" s="1223">
        <f t="shared" ref="I704" ca="1" si="148">(I702/H702-1)-(I703/H703-1)</f>
        <v>-0.10021822678835712</v>
      </c>
      <c r="J704" s="1223">
        <f t="shared" ref="J704" ca="1" si="149">(J702/I702-1)-(J703/I703-1)</f>
        <v>-5.2091907023203543E-2</v>
      </c>
      <c r="K704" s="1223">
        <f t="shared" ref="K704" ca="1" si="150">(K702/J702-1)-(K703/J703-1)</f>
        <v>-2.4716619296794473E-2</v>
      </c>
      <c r="L704" s="1132"/>
      <c r="M704" s="1132"/>
    </row>
    <row r="705" spans="2:13">
      <c r="B705" s="1032"/>
      <c r="C705" s="1132"/>
      <c r="D705" s="1132"/>
      <c r="E705" s="1132"/>
      <c r="F705" s="1132"/>
      <c r="G705" s="1132"/>
      <c r="H705" s="1132"/>
      <c r="I705" s="1132"/>
      <c r="J705" s="1132"/>
      <c r="K705" s="1132"/>
      <c r="L705" s="1132"/>
      <c r="M705" s="1132"/>
    </row>
    <row r="706" spans="2:13">
      <c r="B706" s="1036" t="s">
        <v>161</v>
      </c>
      <c r="C706" s="1155">
        <f>Model!J126</f>
        <v>-109.13800000000001</v>
      </c>
      <c r="D706" s="1155">
        <f>Model!K126</f>
        <v>-134.16900000000001</v>
      </c>
      <c r="E706" s="1155">
        <f>Model!L126</f>
        <v>-186</v>
      </c>
      <c r="F706" s="1155">
        <f>Model!M126</f>
        <v>-187</v>
      </c>
      <c r="G706" s="1155">
        <f ca="1">Model!N126</f>
        <v>-193.26969502103239</v>
      </c>
      <c r="H706" s="1155">
        <f ca="1">Model!O126</f>
        <v>-187.46621537875632</v>
      </c>
      <c r="I706" s="1155">
        <f ca="1">Model!P126</f>
        <v>-190.60693133023656</v>
      </c>
      <c r="J706" s="1155">
        <f ca="1">Model!Q126</f>
        <v>-202.94415147376913</v>
      </c>
      <c r="K706" s="1155">
        <f ca="1">Model!R126</f>
        <v>-202.99840863051455</v>
      </c>
      <c r="L706" s="1155">
        <f ca="1">Model!S126</f>
        <v>-231.88698917188097</v>
      </c>
      <c r="M706" s="1155">
        <f ca="1">Model!T126</f>
        <v>-230.4678702221118</v>
      </c>
    </row>
    <row r="707" spans="2:13">
      <c r="B707" s="1215" t="s">
        <v>1689</v>
      </c>
      <c r="C707" s="1214"/>
      <c r="D707" s="1214"/>
      <c r="E707" s="1214"/>
      <c r="F707" s="1214"/>
      <c r="G707" s="1214">
        <v>-269</v>
      </c>
      <c r="H707" s="1214">
        <v>-261</v>
      </c>
      <c r="I707" s="1214">
        <v>-243</v>
      </c>
      <c r="J707" s="1214">
        <v>-249</v>
      </c>
      <c r="K707" s="1214">
        <v>-273</v>
      </c>
      <c r="L707" s="1155"/>
      <c r="M707" s="1155"/>
    </row>
    <row r="708" spans="2:13">
      <c r="B708" s="1221" t="s">
        <v>2047</v>
      </c>
      <c r="C708" s="1222"/>
      <c r="D708" s="1222"/>
      <c r="E708" s="1222"/>
      <c r="F708" s="1222"/>
      <c r="G708" s="1223">
        <f ca="1">G706/G707-1</f>
        <v>-0.2815252973195822</v>
      </c>
      <c r="H708" s="1223">
        <f t="shared" ref="H708" ca="1" si="151">H706/H707-1</f>
        <v>-0.28173863839556967</v>
      </c>
      <c r="I708" s="1223">
        <f t="shared" ref="I708" ca="1" si="152">I706/I707-1</f>
        <v>-0.21560933608956145</v>
      </c>
      <c r="J708" s="1223">
        <f t="shared" ref="J708" ca="1" si="153">J706/J707-1</f>
        <v>-0.1849632470932967</v>
      </c>
      <c r="K708" s="1223">
        <f t="shared" ref="K708" ca="1" si="154">K706/K707-1</f>
        <v>-0.25641608560251083</v>
      </c>
      <c r="L708" s="1155"/>
      <c r="M708" s="1155"/>
    </row>
    <row r="709" spans="2:13">
      <c r="B709" s="1036"/>
      <c r="C709" s="1155"/>
      <c r="D709" s="1155"/>
      <c r="E709" s="1155"/>
      <c r="F709" s="1155"/>
      <c r="G709" s="1155"/>
      <c r="H709" s="1155"/>
      <c r="I709" s="1155"/>
      <c r="J709" s="1155"/>
      <c r="K709" s="1155"/>
      <c r="L709" s="1155"/>
      <c r="M709" s="1155"/>
    </row>
    <row r="710" spans="2:13">
      <c r="B710" s="1036" t="s">
        <v>1601</v>
      </c>
      <c r="C710" s="1155">
        <f>Model!J131</f>
        <v>-35.448999999999998</v>
      </c>
      <c r="D710" s="1155">
        <f>Model!K131</f>
        <v>-38.118000000000002</v>
      </c>
      <c r="E710" s="1155">
        <f>Model!L131</f>
        <v>-38.730000000000004</v>
      </c>
      <c r="F710" s="1155">
        <f>Model!M131</f>
        <v>-45.085999999999999</v>
      </c>
      <c r="G710" s="1155">
        <f>Model!N131</f>
        <v>-45</v>
      </c>
      <c r="H710" s="1155">
        <f>Model!O131</f>
        <v>-45</v>
      </c>
      <c r="I710" s="1155">
        <f>Model!P131</f>
        <v>-45</v>
      </c>
      <c r="J710" s="1155">
        <f>Model!Q131</f>
        <v>-45</v>
      </c>
      <c r="K710" s="1155">
        <f>Model!R131</f>
        <v>-45</v>
      </c>
      <c r="L710" s="1155">
        <f>Model!S131</f>
        <v>-45</v>
      </c>
      <c r="M710" s="1155">
        <f>Model!T131</f>
        <v>-45</v>
      </c>
    </row>
    <row r="711" spans="2:13">
      <c r="B711" s="1215" t="s">
        <v>1689</v>
      </c>
      <c r="C711" s="1214"/>
      <c r="D711" s="1214"/>
      <c r="E711" s="1214"/>
      <c r="F711" s="1214"/>
      <c r="G711" s="1214">
        <v>-41</v>
      </c>
      <c r="H711" s="1214">
        <v>-41</v>
      </c>
      <c r="I711" s="1214">
        <v>-40</v>
      </c>
      <c r="J711" s="1214">
        <v>-40</v>
      </c>
      <c r="K711" s="1214">
        <v>-40</v>
      </c>
      <c r="L711" s="1155"/>
      <c r="M711" s="1155"/>
    </row>
    <row r="712" spans="2:13">
      <c r="B712" s="1036"/>
      <c r="C712" s="1155"/>
      <c r="D712" s="1155"/>
      <c r="E712" s="1155"/>
      <c r="F712" s="1155"/>
      <c r="G712" s="1155"/>
      <c r="H712" s="1155"/>
      <c r="I712" s="1155"/>
      <c r="J712" s="1155"/>
      <c r="K712" s="1155"/>
      <c r="L712" s="1155"/>
      <c r="M712" s="1155"/>
    </row>
    <row r="713" spans="2:13">
      <c r="B713" s="1036" t="s">
        <v>1880</v>
      </c>
      <c r="C713" s="1155"/>
      <c r="D713" s="1155"/>
      <c r="E713" s="1155"/>
      <c r="F713" s="1155"/>
      <c r="G713" s="1155">
        <f ca="1">G702+G706+G710</f>
        <v>-53.289945477012481</v>
      </c>
      <c r="H713" s="1155">
        <f t="shared" ref="H713:M713" ca="1" si="155">H702+H706+H710</f>
        <v>-40.200453149825847</v>
      </c>
      <c r="I713" s="1155">
        <f t="shared" ca="1" si="155"/>
        <v>-25.922949647173681</v>
      </c>
      <c r="J713" s="1155">
        <f t="shared" ca="1" si="155"/>
        <v>-19.317040551326556</v>
      </c>
      <c r="K713" s="1155">
        <f t="shared" ca="1" si="155"/>
        <v>1.1066257071826158</v>
      </c>
      <c r="L713" s="1155">
        <f t="shared" ca="1" si="155"/>
        <v>-3.410375171340462</v>
      </c>
      <c r="M713" s="1155">
        <f t="shared" ca="1" si="155"/>
        <v>23.32708639961993</v>
      </c>
    </row>
    <row r="714" spans="2:13">
      <c r="B714" s="1216" t="s">
        <v>1689</v>
      </c>
      <c r="C714" s="1217"/>
      <c r="D714" s="1217"/>
      <c r="E714" s="1217"/>
      <c r="F714" s="1217"/>
      <c r="G714" s="1217">
        <f>G703+G707+G711</f>
        <v>-89</v>
      </c>
      <c r="H714" s="1217">
        <f t="shared" ref="H714:M714" si="156">H703+H707+H711</f>
        <v>-19</v>
      </c>
      <c r="I714" s="1217">
        <f t="shared" si="156"/>
        <v>54</v>
      </c>
      <c r="J714" s="1217">
        <f t="shared" si="156"/>
        <v>96</v>
      </c>
      <c r="K714" s="1217">
        <f t="shared" si="156"/>
        <v>116</v>
      </c>
      <c r="L714" s="1217">
        <f t="shared" si="156"/>
        <v>0</v>
      </c>
      <c r="M714" s="1217">
        <f t="shared" si="156"/>
        <v>0</v>
      </c>
    </row>
    <row r="715" spans="2:13">
      <c r="B715" s="1036"/>
      <c r="C715" s="1155"/>
      <c r="D715" s="1155"/>
      <c r="E715" s="1155"/>
      <c r="F715" s="1155"/>
      <c r="G715" s="1155"/>
      <c r="H715" s="1155"/>
      <c r="I715" s="1155"/>
      <c r="J715" s="1155"/>
      <c r="K715" s="1155"/>
      <c r="L715" s="1155"/>
      <c r="M715" s="1155"/>
    </row>
    <row r="716" spans="2:13">
      <c r="B716" s="1144" t="s">
        <v>1683</v>
      </c>
      <c r="C716" s="1145">
        <v>-109.13800000000001</v>
      </c>
      <c r="D716" s="1145">
        <v>-134.16900000000001</v>
      </c>
      <c r="E716" s="1145">
        <v>-186</v>
      </c>
      <c r="F716" s="1145">
        <v>-189</v>
      </c>
      <c r="G716" s="1145">
        <v>-269</v>
      </c>
      <c r="H716" s="1145">
        <v>-261</v>
      </c>
      <c r="I716" s="1145">
        <v>-243</v>
      </c>
      <c r="J716" s="1145">
        <v>-249</v>
      </c>
      <c r="K716" s="1145">
        <v>-273</v>
      </c>
      <c r="L716" s="1145">
        <v>-120</v>
      </c>
      <c r="M716" s="1145">
        <v>-120</v>
      </c>
    </row>
    <row r="717" spans="2:13">
      <c r="B717" s="1151" t="s">
        <v>222</v>
      </c>
      <c r="C717" s="1152">
        <f t="shared" ref="C717:M717" si="157">C706/C716-1</f>
        <v>0</v>
      </c>
      <c r="D717" s="1152">
        <f t="shared" si="157"/>
        <v>0</v>
      </c>
      <c r="E717" s="1152">
        <f t="shared" si="157"/>
        <v>0</v>
      </c>
      <c r="F717" s="1152">
        <f t="shared" si="157"/>
        <v>-1.0582010582010581E-2</v>
      </c>
      <c r="G717" s="1152">
        <f t="shared" ca="1" si="157"/>
        <v>-0.2815252973195822</v>
      </c>
      <c r="H717" s="1152">
        <f t="shared" ca="1" si="157"/>
        <v>-0.28173863839556967</v>
      </c>
      <c r="I717" s="1152">
        <f t="shared" ca="1" si="157"/>
        <v>-0.21560933608956145</v>
      </c>
      <c r="J717" s="1152">
        <f t="shared" ca="1" si="157"/>
        <v>-0.1849632470932967</v>
      </c>
      <c r="K717" s="1152">
        <f t="shared" ca="1" si="157"/>
        <v>-0.25641608560251083</v>
      </c>
      <c r="L717" s="1152">
        <f t="shared" ca="1" si="157"/>
        <v>0.93239157643234138</v>
      </c>
      <c r="M717" s="1152">
        <f t="shared" ca="1" si="157"/>
        <v>0.9205655851842649</v>
      </c>
    </row>
    <row r="718" spans="2:13">
      <c r="B718" s="1144"/>
      <c r="C718" s="1145"/>
      <c r="D718" s="1145"/>
      <c r="E718" s="1145"/>
      <c r="F718" s="1145"/>
      <c r="G718" s="1145"/>
      <c r="H718" s="1145"/>
      <c r="I718" s="1145"/>
      <c r="J718" s="1145"/>
      <c r="K718" s="1145"/>
      <c r="L718" s="1145"/>
      <c r="M718" s="1145"/>
    </row>
    <row r="720" spans="2:13">
      <c r="B720" s="1144" t="s">
        <v>1683</v>
      </c>
      <c r="C720" s="1145">
        <v>-35.448999999999998</v>
      </c>
      <c r="D720" s="1145">
        <v>-38.118000000000002</v>
      </c>
      <c r="E720" s="1145">
        <f>E710</f>
        <v>-38.730000000000004</v>
      </c>
      <c r="F720" s="1145">
        <f>F710</f>
        <v>-45.085999999999999</v>
      </c>
      <c r="G720" s="1145">
        <v>-44</v>
      </c>
      <c r="H720" s="1145">
        <v>-41</v>
      </c>
      <c r="I720" s="1145">
        <v>-41</v>
      </c>
      <c r="J720" s="1145">
        <v>-40</v>
      </c>
      <c r="K720" s="1145">
        <v>-40</v>
      </c>
      <c r="L720" s="1145">
        <v>-40</v>
      </c>
      <c r="M720" s="1145">
        <v>-40</v>
      </c>
    </row>
    <row r="721" spans="2:13">
      <c r="B721" s="1151" t="s">
        <v>222</v>
      </c>
      <c r="C721" s="1152">
        <f t="shared" ref="C721:M721" si="158">C710/C720-1</f>
        <v>0</v>
      </c>
      <c r="D721" s="1152">
        <f t="shared" si="158"/>
        <v>0</v>
      </c>
      <c r="E721" s="1152">
        <f t="shared" si="158"/>
        <v>0</v>
      </c>
      <c r="F721" s="1152">
        <f t="shared" si="158"/>
        <v>0</v>
      </c>
      <c r="G721" s="1152">
        <f t="shared" si="158"/>
        <v>2.2727272727272707E-2</v>
      </c>
      <c r="H721" s="1152">
        <f t="shared" si="158"/>
        <v>9.7560975609756184E-2</v>
      </c>
      <c r="I721" s="1152">
        <f t="shared" si="158"/>
        <v>9.7560975609756184E-2</v>
      </c>
      <c r="J721" s="1152">
        <f t="shared" si="158"/>
        <v>0.125</v>
      </c>
      <c r="K721" s="1152">
        <f t="shared" si="158"/>
        <v>0.125</v>
      </c>
      <c r="L721" s="1152">
        <f t="shared" si="158"/>
        <v>0.125</v>
      </c>
      <c r="M721" s="1152">
        <f t="shared" si="158"/>
        <v>0.125</v>
      </c>
    </row>
    <row r="722" spans="2:13">
      <c r="B722" s="1144"/>
      <c r="C722" s="1145"/>
      <c r="D722" s="1145"/>
      <c r="E722" s="1145"/>
      <c r="F722" s="1145"/>
      <c r="G722" s="1145"/>
      <c r="H722" s="1145"/>
      <c r="I722" s="1145"/>
      <c r="J722" s="1145"/>
      <c r="K722" s="1145"/>
      <c r="L722" s="1145"/>
      <c r="M722" s="1145"/>
    </row>
    <row r="723" spans="2:13">
      <c r="B723" s="1036" t="s">
        <v>1674</v>
      </c>
      <c r="C723" s="1155">
        <f>Model!J138</f>
        <v>1400.5103227499999</v>
      </c>
      <c r="D723" s="1155">
        <f>Model!K138</f>
        <v>984.40600000000006</v>
      </c>
      <c r="E723" s="1155">
        <f>Model!L138</f>
        <v>1009.5</v>
      </c>
      <c r="F723" s="1155">
        <f>Model!M138</f>
        <v>1159.894</v>
      </c>
      <c r="G723" s="1155">
        <f ca="1">Model!N138</f>
        <v>1152.4939454770124</v>
      </c>
      <c r="H723" s="1155">
        <f ca="1">Model!O138</f>
        <v>1185.2093986268383</v>
      </c>
      <c r="I723" s="1155">
        <f ca="1">Model!P138</f>
        <v>1245.747348274012</v>
      </c>
      <c r="J723" s="1155">
        <f ca="1">Model!Q138</f>
        <v>1286.7127032045194</v>
      </c>
      <c r="K723" s="1155">
        <f ca="1">Model!R138</f>
        <v>1310.1219667216531</v>
      </c>
      <c r="L723" s="1155">
        <f ca="1">Model!S138</f>
        <v>1858.5509052612833</v>
      </c>
      <c r="M723" s="1155">
        <f ca="1">Model!T138</f>
        <v>1982.4223822299532</v>
      </c>
    </row>
    <row r="724" spans="2:13">
      <c r="B724" s="1144" t="s">
        <v>1683</v>
      </c>
      <c r="C724" s="1145">
        <v>1400.5103227499999</v>
      </c>
      <c r="D724" s="1145">
        <v>984.40600000000006</v>
      </c>
      <c r="E724" s="1145">
        <v>1019.5</v>
      </c>
      <c r="F724" s="1145">
        <v>1040</v>
      </c>
      <c r="G724" s="1145">
        <v>1053.4923331890593</v>
      </c>
      <c r="H724" s="1145">
        <v>1176.2892245993403</v>
      </c>
      <c r="I724" s="1145">
        <v>1293.9820150520015</v>
      </c>
      <c r="J724" s="1145">
        <v>1406.6871659058331</v>
      </c>
      <c r="K724" s="1145">
        <v>2081.659174438847</v>
      </c>
      <c r="L724" s="1145">
        <v>2155.187536653264</v>
      </c>
      <c r="M724" s="1145">
        <v>2218.3817708367492</v>
      </c>
    </row>
    <row r="725" spans="2:13">
      <c r="B725" s="1151" t="s">
        <v>222</v>
      </c>
      <c r="C725" s="1152">
        <f t="shared" ref="C725:M725" si="159">C723/C724-1</f>
        <v>0</v>
      </c>
      <c r="D725" s="1152">
        <f t="shared" si="159"/>
        <v>0</v>
      </c>
      <c r="E725" s="1152">
        <f t="shared" si="159"/>
        <v>-9.8087297694948727E-3</v>
      </c>
      <c r="F725" s="1152">
        <f t="shared" si="159"/>
        <v>0.11528269230769239</v>
      </c>
      <c r="G725" s="1152">
        <f t="shared" ca="1" si="159"/>
        <v>9.3974687018615777E-2</v>
      </c>
      <c r="H725" s="1152">
        <f t="shared" ca="1" si="159"/>
        <v>7.583316960619424E-3</v>
      </c>
      <c r="I725" s="1152">
        <f t="shared" ca="1" si="159"/>
        <v>-3.7276149294896643E-2</v>
      </c>
      <c r="J725" s="1152">
        <f t="shared" ca="1" si="159"/>
        <v>-8.5288659489586305E-2</v>
      </c>
      <c r="K725" s="1152">
        <f t="shared" ca="1" si="159"/>
        <v>-0.37063570117100331</v>
      </c>
      <c r="L725" s="1152">
        <f t="shared" ca="1" si="159"/>
        <v>-0.13763843115602836</v>
      </c>
      <c r="M725" s="1152">
        <f t="shared" ca="1" si="159"/>
        <v>-0.1063655461421299</v>
      </c>
    </row>
    <row r="726" spans="2:13">
      <c r="B726" s="1144"/>
      <c r="C726" s="1145"/>
      <c r="D726" s="1145"/>
      <c r="E726" s="1145"/>
      <c r="F726" s="1145"/>
      <c r="G726" s="1145"/>
      <c r="H726" s="1145"/>
      <c r="I726" s="1145"/>
      <c r="J726" s="1145"/>
      <c r="K726" s="1145"/>
      <c r="L726" s="1145"/>
      <c r="M726" s="1145"/>
    </row>
    <row r="727" spans="2:13">
      <c r="B727" s="1036" t="s">
        <v>1684</v>
      </c>
      <c r="C727" s="1155">
        <f>Model!J174</f>
        <v>61.890147689999999</v>
      </c>
      <c r="D727" s="1155">
        <f>Model!K174</f>
        <v>124.28400000000001</v>
      </c>
      <c r="E727" s="1155">
        <f>Model!L174</f>
        <v>104.5</v>
      </c>
      <c r="F727" s="1155">
        <f>Model!M174</f>
        <v>23.2</v>
      </c>
      <c r="G727" s="1155">
        <f ca="1">Model!N174</f>
        <v>64.206054522987642</v>
      </c>
      <c r="H727" s="1155">
        <f ca="1">Model!O174</f>
        <v>61.49060137316178</v>
      </c>
      <c r="I727" s="1155">
        <f>Model!P174</f>
        <v>30</v>
      </c>
      <c r="J727" s="1155">
        <f>Model!Q174</f>
        <v>30</v>
      </c>
      <c r="K727" s="1155">
        <f>Model!R174</f>
        <v>30</v>
      </c>
      <c r="L727" s="1155">
        <f>Model!S174</f>
        <v>30</v>
      </c>
      <c r="M727" s="1155">
        <f>Model!T174</f>
        <v>30</v>
      </c>
    </row>
    <row r="728" spans="2:13">
      <c r="B728" s="1144" t="s">
        <v>1683</v>
      </c>
      <c r="C728" s="1145">
        <v>61.890147689999999</v>
      </c>
      <c r="D728" s="1145">
        <v>124.28400000000001</v>
      </c>
      <c r="E728" s="1145">
        <v>104.5</v>
      </c>
      <c r="F728" s="1145">
        <v>91</v>
      </c>
      <c r="G728" s="1145">
        <v>77.507666810940691</v>
      </c>
      <c r="H728" s="1145">
        <v>-45.289224599340287</v>
      </c>
      <c r="I728" s="1145">
        <v>-162.98201505200154</v>
      </c>
      <c r="J728" s="1145">
        <v>-275.68716590583313</v>
      </c>
      <c r="K728" s="1145">
        <v>-950.659174438847</v>
      </c>
      <c r="L728" s="1145">
        <v>-1024.187536653264</v>
      </c>
      <c r="M728" s="1145">
        <v>-1087.3817708367492</v>
      </c>
    </row>
    <row r="729" spans="2:13">
      <c r="B729" s="1153" t="s">
        <v>222</v>
      </c>
      <c r="C729" s="1154">
        <f t="shared" ref="C729:M729" si="160">C727/C728-1</f>
        <v>0</v>
      </c>
      <c r="D729" s="1154">
        <f t="shared" si="160"/>
        <v>0</v>
      </c>
      <c r="E729" s="1154">
        <f t="shared" si="160"/>
        <v>0</v>
      </c>
      <c r="F729" s="1154">
        <f t="shared" si="160"/>
        <v>-0.74505494505494507</v>
      </c>
      <c r="G729" s="1154">
        <f t="shared" ca="1" si="160"/>
        <v>-0.17161672948301732</v>
      </c>
      <c r="H729" s="1154">
        <f t="shared" ca="1" si="160"/>
        <v>-2.3577313790896186</v>
      </c>
      <c r="I729" s="1154">
        <f t="shared" si="160"/>
        <v>-1.1840693894380192</v>
      </c>
      <c r="J729" s="1154">
        <f t="shared" si="160"/>
        <v>-1.1088189938092625</v>
      </c>
      <c r="K729" s="1154">
        <f t="shared" si="160"/>
        <v>-1.0315570509459484</v>
      </c>
      <c r="L729" s="1154">
        <f t="shared" si="160"/>
        <v>-1.0292915105157703</v>
      </c>
      <c r="M729" s="1154">
        <f t="shared" si="160"/>
        <v>-1.0275892062977245</v>
      </c>
    </row>
    <row r="730" spans="2:13">
      <c r="C730" s="1042"/>
      <c r="D730" s="1042"/>
      <c r="E730" s="1042"/>
      <c r="F730" s="1042"/>
      <c r="G730" s="1042"/>
      <c r="H730" s="1042"/>
      <c r="I730" s="1042"/>
      <c r="J730" s="1042"/>
      <c r="K730" s="1042"/>
      <c r="L730" s="1042"/>
      <c r="M730" s="1042"/>
    </row>
    <row r="731" spans="2:13">
      <c r="C731" s="1042"/>
      <c r="D731" s="1042"/>
      <c r="E731" s="1042"/>
      <c r="F731" s="1042"/>
      <c r="G731" s="1042"/>
      <c r="H731" s="1042"/>
      <c r="I731" s="1042"/>
      <c r="J731" s="1042"/>
      <c r="K731" s="1042"/>
      <c r="L731" s="1042"/>
      <c r="M731" s="1042"/>
    </row>
    <row r="732" spans="2:13">
      <c r="C732" s="1042" t="s">
        <v>1510</v>
      </c>
      <c r="D732" s="1042" t="s">
        <v>1511</v>
      </c>
      <c r="E732" s="1042" t="s">
        <v>1596</v>
      </c>
      <c r="F732" s="1042" t="s">
        <v>1657</v>
      </c>
      <c r="G732" s="1042" t="s">
        <v>1693</v>
      </c>
      <c r="H732" s="1042" t="s">
        <v>1694</v>
      </c>
      <c r="I732" s="1042" t="s">
        <v>1695</v>
      </c>
      <c r="J732" s="1042"/>
      <c r="K732" s="1042"/>
    </row>
    <row r="733" spans="2:13">
      <c r="B733" s="998" t="s">
        <v>1592</v>
      </c>
      <c r="C733" s="1018">
        <f>Interims!BD13/Interims!BD$9</f>
        <v>0.56661541811846694</v>
      </c>
      <c r="D733" s="1018">
        <f>Interims!BE13/Interims!BE$9</f>
        <v>0.61874283739210811</v>
      </c>
      <c r="E733" s="1018">
        <f>Interims!BF13/Interims!BF$9</f>
        <v>0.70489553209113154</v>
      </c>
      <c r="F733" s="1018">
        <f>Interims!BG13/Interims!BG$9</f>
        <v>0.72127586698047297</v>
      </c>
      <c r="G733" s="1018">
        <f>Interims!BI13/Interims!BI$9</f>
        <v>0.73200677392040647</v>
      </c>
      <c r="H733" s="1018">
        <f>Interims!BJ13/Interims!BJ$9</f>
        <v>0.7426160337552743</v>
      </c>
      <c r="I733" s="1018">
        <f>Interims!BK13/Interims!BK$9</f>
        <v>0.75242105263157899</v>
      </c>
      <c r="K733" s="1042"/>
    </row>
    <row r="734" spans="2:13">
      <c r="B734" s="998" t="s">
        <v>1593</v>
      </c>
      <c r="C734" s="1018">
        <f t="shared" ref="C734:I734" si="161">1-C736-C735-C733</f>
        <v>0.26091289198606271</v>
      </c>
      <c r="D734" s="1018">
        <f t="shared" si="161"/>
        <v>0.20561016036386259</v>
      </c>
      <c r="E734" s="1018">
        <f t="shared" si="161"/>
        <v>0.1094173404833354</v>
      </c>
      <c r="F734" s="1018">
        <f t="shared" si="161"/>
        <v>7.3055779756777572E-2</v>
      </c>
      <c r="G734" s="1018">
        <f t="shared" si="161"/>
        <v>5.6308213378492677E-2</v>
      </c>
      <c r="H734" s="1018">
        <f t="shared" si="161"/>
        <v>4.0084388185653963E-2</v>
      </c>
      <c r="I734" s="1018">
        <f t="shared" si="161"/>
        <v>2.399999999999991E-2</v>
      </c>
      <c r="K734" s="1042"/>
    </row>
    <row r="735" spans="2:13">
      <c r="B735" s="998" t="s">
        <v>1590</v>
      </c>
      <c r="C735" s="1018">
        <f>Interims!BD11/Interims!BD$9</f>
        <v>0.14312412891986062</v>
      </c>
      <c r="D735" s="1018">
        <f>Interims!BE11/Interims!BE$9</f>
        <v>0.14411188899081528</v>
      </c>
      <c r="E735" s="1018">
        <f>Interims!BF11/Interims!BF$9</f>
        <v>0.1516493820726785</v>
      </c>
      <c r="F735" s="1018">
        <f>Interims!BG11/Interims!BG$9</f>
        <v>0.16272713091015145</v>
      </c>
      <c r="G735" s="1018">
        <f>Interims!BI11/Interims!BI$9</f>
        <v>0.15495342929720576</v>
      </c>
      <c r="H735" s="1018">
        <f>Interims!BJ11/Interims!BJ$9</f>
        <v>0.15611814345991562</v>
      </c>
      <c r="I735" s="1018">
        <f>Interims!BK11/Interims!BK$9</f>
        <v>0.15747368421052632</v>
      </c>
    </row>
    <row r="736" spans="2:13">
      <c r="B736" s="998" t="s">
        <v>1591</v>
      </c>
      <c r="C736" s="1018">
        <f>Interims!BD10/Interims!BD$9</f>
        <v>2.9347560975609758E-2</v>
      </c>
      <c r="D736" s="1018">
        <f>Interims!BE10/Interims!BE$9</f>
        <v>3.1535113253213953E-2</v>
      </c>
      <c r="E736" s="1018">
        <f>Interims!BF10/Interims!BF$9</f>
        <v>3.4037745352854518E-2</v>
      </c>
      <c r="F736" s="1018">
        <f>Interims!BG10/Interims!BG$9</f>
        <v>4.2941222352598056E-2</v>
      </c>
      <c r="G736" s="1018">
        <f>Interims!BI10/Interims!BI$9</f>
        <v>5.6731583403895003E-2</v>
      </c>
      <c r="H736" s="1018">
        <f>Interims!BJ10/Interims!BJ$9</f>
        <v>6.118143459915612E-2</v>
      </c>
      <c r="I736" s="1018">
        <f>Interims!BK10/Interims!BK$9</f>
        <v>6.6105263157894736E-2</v>
      </c>
    </row>
    <row r="738" spans="2:9">
      <c r="B738" s="1011" t="s">
        <v>1688</v>
      </c>
      <c r="C738" s="1146" t="s">
        <v>1510</v>
      </c>
      <c r="D738" s="1146" t="s">
        <v>1511</v>
      </c>
      <c r="E738" s="1146" t="s">
        <v>1596</v>
      </c>
      <c r="F738" s="1146" t="s">
        <v>1657</v>
      </c>
      <c r="G738" s="1146" t="s">
        <v>1693</v>
      </c>
      <c r="H738" s="1146" t="s">
        <v>1694</v>
      </c>
      <c r="I738" s="1146" t="s">
        <v>1695</v>
      </c>
    </row>
    <row r="739" spans="2:9">
      <c r="B739" s="1045" t="s">
        <v>1685</v>
      </c>
      <c r="C739" s="1149">
        <f>Interims!BD9</f>
        <v>2296</v>
      </c>
      <c r="D739" s="1149">
        <f>Interims!BE9</f>
        <v>2291.4140000000002</v>
      </c>
      <c r="E739" s="1149">
        <f>Interims!BF9</f>
        <v>2295.011</v>
      </c>
      <c r="F739" s="1149">
        <f>Interims!BG9</f>
        <v>2358.9920000000002</v>
      </c>
      <c r="G739" s="1149">
        <f>Interims!BI9</f>
        <v>2362</v>
      </c>
      <c r="H739" s="1149">
        <f>Interims!BJ9</f>
        <v>2370</v>
      </c>
      <c r="I739" s="1149">
        <f>Interims!BK9</f>
        <v>2375</v>
      </c>
    </row>
    <row r="740" spans="2:9">
      <c r="B740" s="1147" t="s">
        <v>1686</v>
      </c>
      <c r="C740" s="1148">
        <f>Interims!BD10</f>
        <v>67.382000000000005</v>
      </c>
      <c r="D740" s="1148">
        <f>Interims!BE10</f>
        <v>72.260000000000005</v>
      </c>
      <c r="E740" s="1148">
        <f>Interims!BF10</f>
        <v>78.117000000000004</v>
      </c>
      <c r="F740" s="1148">
        <f>Interims!BG10</f>
        <v>101.298</v>
      </c>
      <c r="G740" s="1148">
        <f>Interims!BI10</f>
        <v>134</v>
      </c>
      <c r="H740" s="1148">
        <f>Interims!BJ10</f>
        <v>145</v>
      </c>
      <c r="I740" s="1148">
        <f>Interims!BK10</f>
        <v>157</v>
      </c>
    </row>
    <row r="741" spans="2:9">
      <c r="B741" s="1049"/>
      <c r="C741" s="1049"/>
      <c r="D741" s="1049"/>
      <c r="E741" s="1049"/>
      <c r="F741" s="1049"/>
      <c r="G741" s="1049"/>
      <c r="H741" s="1049"/>
      <c r="I741" s="1049"/>
    </row>
    <row r="742" spans="2:9">
      <c r="B742" s="998" t="s">
        <v>2060</v>
      </c>
      <c r="F742" s="998">
        <v>232</v>
      </c>
      <c r="G742" s="998">
        <v>347</v>
      </c>
      <c r="H742" s="998">
        <v>319</v>
      </c>
      <c r="I742" s="998">
        <v>395</v>
      </c>
    </row>
    <row r="743" spans="2:9">
      <c r="B743" s="1049" t="s">
        <v>2061</v>
      </c>
      <c r="C743" s="1049"/>
      <c r="D743" s="1049"/>
      <c r="E743" s="1049"/>
      <c r="F743" s="1049">
        <v>200</v>
      </c>
      <c r="G743" s="1065">
        <v>148.59899999999999</v>
      </c>
      <c r="H743" s="1065">
        <v>139.08799999999999</v>
      </c>
      <c r="I743" s="1065">
        <v>93.156999999999996</v>
      </c>
    </row>
    <row r="744" spans="2:9">
      <c r="B744" s="998" t="s">
        <v>2062</v>
      </c>
      <c r="F744" s="998">
        <v>180</v>
      </c>
      <c r="G744" s="1003">
        <v>135.01499999999999</v>
      </c>
      <c r="H744" s="1003">
        <v>111.477</v>
      </c>
      <c r="I744" s="1003">
        <v>93.641000000000005</v>
      </c>
    </row>
    <row r="745" spans="2:9">
      <c r="B745" s="1049" t="s">
        <v>1687</v>
      </c>
      <c r="C745" s="1049"/>
      <c r="D745" s="1049"/>
      <c r="E745" s="1049"/>
      <c r="F745" s="1234">
        <v>1745</v>
      </c>
      <c r="G745" s="1234">
        <v>1597.6989999999996</v>
      </c>
      <c r="H745" s="1234">
        <v>1656.4449999999999</v>
      </c>
      <c r="I745" s="1234">
        <v>1636.4749999999999</v>
      </c>
    </row>
    <row r="747" spans="2:9">
      <c r="B747" s="1312" t="s">
        <v>2059</v>
      </c>
      <c r="C747" s="1312"/>
      <c r="D747" s="1312"/>
      <c r="E747" s="1312"/>
      <c r="F747" s="1313">
        <f>F742+F743+F744</f>
        <v>612</v>
      </c>
      <c r="G747" s="1313">
        <f t="shared" ref="G747:I747" si="162">G742+G743+G744</f>
        <v>630.61400000000003</v>
      </c>
      <c r="H747" s="1313">
        <f t="shared" si="162"/>
        <v>569.56499999999994</v>
      </c>
      <c r="I747" s="1313">
        <f t="shared" si="162"/>
        <v>581.798</v>
      </c>
    </row>
    <row r="749" spans="2:9">
      <c r="B749" s="1031" t="s">
        <v>1760</v>
      </c>
    </row>
    <row r="750" spans="2:9">
      <c r="B750" s="998" t="s">
        <v>1761</v>
      </c>
    </row>
    <row r="751" spans="2:9">
      <c r="B751" s="998" t="s">
        <v>1771</v>
      </c>
    </row>
    <row r="752" spans="2:9">
      <c r="B752" s="998" t="s">
        <v>1776</v>
      </c>
    </row>
    <row r="753" spans="2:5">
      <c r="B753" s="998" t="s">
        <v>1782</v>
      </c>
    </row>
    <row r="754" spans="2:5">
      <c r="B754" s="998" t="s">
        <v>1783</v>
      </c>
    </row>
    <row r="756" spans="2:5">
      <c r="B756" s="1177"/>
      <c r="C756" s="1178" t="s">
        <v>1657</v>
      </c>
      <c r="D756" s="1178" t="s">
        <v>1693</v>
      </c>
      <c r="E756" s="1178" t="s">
        <v>1694</v>
      </c>
    </row>
    <row r="757" spans="2:5">
      <c r="B757" s="1179" t="s">
        <v>1533</v>
      </c>
      <c r="C757" s="1180">
        <f>Interims!BH153</f>
        <v>1217.0940000000001</v>
      </c>
      <c r="D757" s="1180">
        <f>Interims!BI153</f>
        <v>1425.059</v>
      </c>
      <c r="E757" s="1180">
        <f>Interims!BJ153</f>
        <v>1460</v>
      </c>
    </row>
    <row r="758" spans="2:5">
      <c r="B758" s="1032" t="s">
        <v>159</v>
      </c>
      <c r="C758" s="1181">
        <f>Interims!BH154</f>
        <v>23.2</v>
      </c>
      <c r="D758" s="1181">
        <f>Interims!BI154</f>
        <v>101.96299999999999</v>
      </c>
      <c r="E758" s="1181">
        <f>Interims!BJ154</f>
        <v>65.599999999999994</v>
      </c>
    </row>
    <row r="759" spans="2:5">
      <c r="B759" s="1036" t="s">
        <v>160</v>
      </c>
      <c r="C759" s="1182">
        <f>Interims!BH155</f>
        <v>1193.894</v>
      </c>
      <c r="D759" s="1182">
        <f>Interims!BI155</f>
        <v>1323.096</v>
      </c>
      <c r="E759" s="1182">
        <f>Interims!BJ155</f>
        <v>1394.4</v>
      </c>
    </row>
    <row r="760" spans="2:5">
      <c r="B760" s="1032" t="s">
        <v>1791</v>
      </c>
      <c r="C760" s="1032"/>
      <c r="D760" s="1033">
        <f>D759-C759</f>
        <v>129.202</v>
      </c>
      <c r="E760" s="1033">
        <f>E759-D759</f>
        <v>71.304000000000087</v>
      </c>
    </row>
    <row r="761" spans="2:5">
      <c r="B761" s="1032"/>
      <c r="C761" s="1032"/>
      <c r="D761" s="1032"/>
      <c r="E761" s="1032"/>
    </row>
    <row r="762" spans="2:5">
      <c r="B762" s="1032" t="s">
        <v>27</v>
      </c>
      <c r="C762" s="1032"/>
      <c r="D762" s="1032">
        <f>Interims!BI138</f>
        <v>32.1</v>
      </c>
      <c r="E762" s="1032">
        <f>Interims!BJ138</f>
        <v>35</v>
      </c>
    </row>
    <row r="763" spans="2:5">
      <c r="B763" s="1032" t="s">
        <v>1789</v>
      </c>
      <c r="C763" s="1032"/>
      <c r="D763" s="1032">
        <f>Interims!BI139</f>
        <v>-46.3</v>
      </c>
      <c r="E763" s="1032">
        <f>Interims!BJ139</f>
        <v>-52.3</v>
      </c>
    </row>
    <row r="764" spans="2:5">
      <c r="B764" s="1032" t="str">
        <f>Interims!B142</f>
        <v>Interest paid</v>
      </c>
      <c r="C764" s="1032"/>
      <c r="D764" s="1032">
        <f>Interims!BI142</f>
        <v>-27</v>
      </c>
      <c r="E764" s="1032">
        <f>Interims!BJ142</f>
        <v>-4</v>
      </c>
    </row>
    <row r="765" spans="2:5">
      <c r="B765" s="1032" t="str">
        <f>Interims!B143</f>
        <v>Tax paid</v>
      </c>
      <c r="C765" s="1032"/>
      <c r="D765" s="1032">
        <f>Interims!BI143</f>
        <v>-0.1</v>
      </c>
      <c r="E765" s="1032">
        <f>Interims!BJ143</f>
        <v>-0.7</v>
      </c>
    </row>
    <row r="766" spans="2:5">
      <c r="B766" s="1032" t="str">
        <f>Interims!B144</f>
        <v>Leases paid (ex. interest)</v>
      </c>
      <c r="C766" s="1032"/>
      <c r="D766" s="1183">
        <f>Interims!BI144</f>
        <v>-13.733000000000001</v>
      </c>
      <c r="E766" s="1183">
        <f>Interims!BJ144</f>
        <v>-10.8</v>
      </c>
    </row>
    <row r="767" spans="2:5">
      <c r="B767" s="1032" t="str">
        <f>Interims!B145</f>
        <v>Working Capital</v>
      </c>
      <c r="C767" s="1032"/>
      <c r="D767" s="1032">
        <f>Interims!BI145</f>
        <v>18.899999999999999</v>
      </c>
      <c r="E767" s="1032">
        <f>Interims!BJ145</f>
        <v>-4</v>
      </c>
    </row>
    <row r="768" spans="2:5">
      <c r="B768" s="1215" t="s">
        <v>1980</v>
      </c>
      <c r="C768" s="1032"/>
      <c r="D768" s="1253">
        <v>-4</v>
      </c>
      <c r="E768" s="1253">
        <f>Interims!BJ147</f>
        <v>-28.450000000000003</v>
      </c>
    </row>
    <row r="769" spans="2:5">
      <c r="B769" s="1215" t="s">
        <v>1975</v>
      </c>
      <c r="C769" s="1032"/>
      <c r="D769" s="1253">
        <v>-96</v>
      </c>
      <c r="E769" s="1253"/>
    </row>
    <row r="770" spans="2:5">
      <c r="B770" s="1215" t="s">
        <v>169</v>
      </c>
      <c r="C770" s="1184"/>
      <c r="D770" s="1257">
        <f>D771-SUM(D762:D769)</f>
        <v>6.9310000000000116</v>
      </c>
      <c r="E770" s="1257">
        <f>E771-SUM(E762:E769)</f>
        <v>-6.0540000000000873</v>
      </c>
    </row>
    <row r="771" spans="2:5">
      <c r="B771" s="1070" t="s">
        <v>1790</v>
      </c>
      <c r="C771" s="1070"/>
      <c r="D771" s="1185">
        <f>-D760</f>
        <v>-129.202</v>
      </c>
      <c r="E771" s="1185">
        <f>-E760</f>
        <v>-71.304000000000087</v>
      </c>
    </row>
    <row r="773" spans="2:5">
      <c r="C773" s="1118" t="s">
        <v>1981</v>
      </c>
      <c r="D773" s="1118" t="s">
        <v>1982</v>
      </c>
      <c r="E773" s="1118" t="s">
        <v>1409</v>
      </c>
    </row>
    <row r="774" spans="2:5">
      <c r="B774" s="1031" t="s">
        <v>1976</v>
      </c>
      <c r="C774" s="1194">
        <f>E757</f>
        <v>1460</v>
      </c>
      <c r="D774" s="1194">
        <f>SUM(D775:D778)</f>
        <v>1372</v>
      </c>
    </row>
    <row r="775" spans="2:5">
      <c r="B775" s="998" t="s">
        <v>1977</v>
      </c>
      <c r="C775" s="998">
        <v>550</v>
      </c>
      <c r="D775" s="998">
        <v>518</v>
      </c>
      <c r="E775" s="998">
        <f>C775-D775</f>
        <v>32</v>
      </c>
    </row>
    <row r="776" spans="2:5">
      <c r="B776" s="998" t="s">
        <v>1978</v>
      </c>
      <c r="C776" s="998">
        <v>695</v>
      </c>
      <c r="D776" s="998">
        <v>654</v>
      </c>
      <c r="E776" s="998">
        <f>C776-D776</f>
        <v>41</v>
      </c>
    </row>
    <row r="777" spans="2:5">
      <c r="B777" s="998" t="s">
        <v>1979</v>
      </c>
      <c r="C777" s="998">
        <v>209</v>
      </c>
      <c r="D777" s="998">
        <v>194</v>
      </c>
      <c r="E777" s="998">
        <f>C777-D777</f>
        <v>15</v>
      </c>
    </row>
    <row r="778" spans="2:5">
      <c r="B778" s="998" t="s">
        <v>169</v>
      </c>
      <c r="C778" s="1148">
        <f>C774-C775-C776-C777</f>
        <v>6</v>
      </c>
      <c r="D778" s="1148">
        <f>C778</f>
        <v>6</v>
      </c>
    </row>
    <row r="779" spans="2:5">
      <c r="B779" s="1031" t="s">
        <v>279</v>
      </c>
      <c r="E779" s="1031">
        <f>SUM(E774:E778)</f>
        <v>88</v>
      </c>
    </row>
    <row r="782" spans="2:5">
      <c r="B782" s="998" t="s">
        <v>1983</v>
      </c>
      <c r="C782" s="1148">
        <f>D774</f>
        <v>1372</v>
      </c>
    </row>
    <row r="783" spans="2:5">
      <c r="B783" s="998" t="s">
        <v>1987</v>
      </c>
      <c r="C783" s="1148">
        <f>-E758</f>
        <v>-65.599999999999994</v>
      </c>
    </row>
    <row r="784" spans="2:5">
      <c r="B784" s="998" t="s">
        <v>1984</v>
      </c>
      <c r="C784" s="998">
        <v>-120</v>
      </c>
    </row>
    <row r="785" spans="2:8">
      <c r="B785" s="998" t="s">
        <v>1985</v>
      </c>
      <c r="C785" s="998">
        <f>-300-C784</f>
        <v>-180</v>
      </c>
    </row>
    <row r="786" spans="2:8">
      <c r="B786" s="1031" t="s">
        <v>1986</v>
      </c>
      <c r="C786" s="1194">
        <f>C782+C783+C784+C785</f>
        <v>1006.4000000000001</v>
      </c>
    </row>
    <row r="787" spans="2:8">
      <c r="B787" s="1064" t="s">
        <v>1988</v>
      </c>
      <c r="C787" s="1064">
        <f>D777+C785</f>
        <v>14</v>
      </c>
    </row>
    <row r="789" spans="2:8">
      <c r="C789" s="998">
        <v>2019</v>
      </c>
      <c r="D789" s="998">
        <f>C789+1</f>
        <v>2020</v>
      </c>
      <c r="E789" s="998">
        <f>D789+1</f>
        <v>2021</v>
      </c>
      <c r="F789" s="998">
        <f>E789+1</f>
        <v>2022</v>
      </c>
      <c r="G789" s="998">
        <f>F789+1</f>
        <v>2023</v>
      </c>
      <c r="H789" s="1209">
        <f>G789+1</f>
        <v>2024</v>
      </c>
    </row>
    <row r="790" spans="2:8">
      <c r="B790" s="998" t="s">
        <v>2003</v>
      </c>
      <c r="C790" s="1018">
        <f>Fixed!I112</f>
        <v>0.20890206725645144</v>
      </c>
      <c r="D790" s="1018">
        <f>Fixed!J112</f>
        <v>0.2148845206984103</v>
      </c>
      <c r="E790" s="1018">
        <f>Fixed!K112</f>
        <v>0.22929529769245938</v>
      </c>
      <c r="F790" s="1018">
        <f>Fixed!L112</f>
        <v>0.24033654056807055</v>
      </c>
      <c r="G790" s="1018">
        <f ca="1">Fixed!M112</f>
        <v>0.2547526657318942</v>
      </c>
      <c r="H790" s="1018">
        <f ca="1">Fixed!N112</f>
        <v>0.28245754990902627</v>
      </c>
    </row>
    <row r="793" spans="2:8">
      <c r="B793" s="998" t="s">
        <v>1592</v>
      </c>
      <c r="C793" s="1018">
        <f>Interims!BI13/Interims!BI9</f>
        <v>0.73200677392040647</v>
      </c>
    </row>
    <row r="794" spans="2:8">
      <c r="B794" s="998" t="s">
        <v>1590</v>
      </c>
      <c r="C794" s="1018">
        <f>Interims!BI11/Interims!$BI$9</f>
        <v>0.15495342929720576</v>
      </c>
    </row>
    <row r="795" spans="2:8">
      <c r="B795" s="998" t="s">
        <v>1591</v>
      </c>
      <c r="C795" s="1018">
        <f>Interims!BI10/Interims!$BI$9</f>
        <v>5.6731583403895003E-2</v>
      </c>
    </row>
    <row r="796" spans="2:8">
      <c r="B796" s="998" t="s">
        <v>1593</v>
      </c>
      <c r="C796" s="1018">
        <f>1-C795-C794-C793</f>
        <v>5.6308213378492677E-2</v>
      </c>
    </row>
    <row r="798" spans="2:8">
      <c r="B798" s="1058" t="s">
        <v>2007</v>
      </c>
      <c r="C798" s="1192">
        <v>1192</v>
      </c>
    </row>
    <row r="799" spans="2:8">
      <c r="B799" s="998" t="s">
        <v>2004</v>
      </c>
      <c r="C799" s="1195">
        <v>-100</v>
      </c>
    </row>
    <row r="800" spans="2:8">
      <c r="B800" s="998" t="s">
        <v>1903</v>
      </c>
      <c r="C800" s="1148">
        <f>C798+C799</f>
        <v>1092</v>
      </c>
    </row>
    <row r="801" spans="2:3">
      <c r="B801" s="998" t="s">
        <v>1904</v>
      </c>
      <c r="C801" s="1148">
        <v>200</v>
      </c>
    </row>
    <row r="802" spans="2:3">
      <c r="B802" s="998" t="s">
        <v>1905</v>
      </c>
      <c r="C802" s="1148">
        <f>C800-C801</f>
        <v>892</v>
      </c>
    </row>
    <row r="803" spans="2:3">
      <c r="B803" s="1031" t="s">
        <v>1906</v>
      </c>
      <c r="C803" s="1193">
        <f>1+C804/C802</f>
        <v>0.41913478139013471</v>
      </c>
    </row>
    <row r="804" spans="2:3">
      <c r="B804" s="998" t="s">
        <v>2008</v>
      </c>
      <c r="C804" s="1148">
        <f>C809-C799</f>
        <v>-518.13177499999983</v>
      </c>
    </row>
    <row r="805" spans="2:3">
      <c r="B805" s="998" t="s">
        <v>1907</v>
      </c>
      <c r="C805" s="998">
        <v>23</v>
      </c>
    </row>
    <row r="806" spans="2:3">
      <c r="B806" s="998" t="s">
        <v>1908</v>
      </c>
      <c r="C806" s="1019">
        <f>C805/C804/12*1000</f>
        <v>-3.6991876567822293</v>
      </c>
    </row>
    <row r="808" spans="2:3">
      <c r="B808" s="998" t="s">
        <v>2010</v>
      </c>
      <c r="C808" s="1148">
        <f>Interims!BH19</f>
        <v>1790</v>
      </c>
    </row>
    <row r="809" spans="2:3">
      <c r="B809" s="998" t="s">
        <v>1909</v>
      </c>
      <c r="C809" s="1195">
        <f>Fixed!N82</f>
        <v>-618.13177499999983</v>
      </c>
    </row>
    <row r="810" spans="2:3">
      <c r="B810" s="998" t="s">
        <v>2009</v>
      </c>
      <c r="C810" s="1148">
        <f>Interims!BM19</f>
        <v>1171.8682250000002</v>
      </c>
    </row>
    <row r="811" spans="2:3">
      <c r="C811" s="1148"/>
    </row>
    <row r="812" spans="2:3">
      <c r="B812" s="998" t="s">
        <v>2005</v>
      </c>
      <c r="C812" s="998">
        <f>Interims!BJ19-Interims!BH19</f>
        <v>-684</v>
      </c>
    </row>
    <row r="813" spans="2:3">
      <c r="B813" s="1120" t="s">
        <v>2006</v>
      </c>
      <c r="C813" s="1195">
        <f>C809-C812</f>
        <v>65.868225000000166</v>
      </c>
    </row>
    <row r="817" spans="2:17">
      <c r="B817" s="1011" t="s">
        <v>1841</v>
      </c>
      <c r="C817" s="1011">
        <v>2022</v>
      </c>
      <c r="D817" s="1011">
        <f>C817+1</f>
        <v>2023</v>
      </c>
      <c r="E817" s="1011">
        <f t="shared" ref="E817:Q817" si="163">D817+1</f>
        <v>2024</v>
      </c>
      <c r="F817" s="1011">
        <f t="shared" si="163"/>
        <v>2025</v>
      </c>
      <c r="G817" s="1011">
        <f t="shared" si="163"/>
        <v>2026</v>
      </c>
      <c r="H817" s="1011">
        <f t="shared" si="163"/>
        <v>2027</v>
      </c>
      <c r="I817" s="1011">
        <f t="shared" si="163"/>
        <v>2028</v>
      </c>
      <c r="J817" s="1011">
        <f t="shared" si="163"/>
        <v>2029</v>
      </c>
      <c r="K817" s="1011">
        <f t="shared" si="163"/>
        <v>2030</v>
      </c>
      <c r="L817" s="1011">
        <f t="shared" si="163"/>
        <v>2031</v>
      </c>
      <c r="M817" s="1011">
        <f t="shared" si="163"/>
        <v>2032</v>
      </c>
      <c r="N817" s="1011">
        <f t="shared" si="163"/>
        <v>2033</v>
      </c>
      <c r="O817" s="1011">
        <f t="shared" si="163"/>
        <v>2034</v>
      </c>
      <c r="P817" s="1011">
        <f t="shared" si="163"/>
        <v>2035</v>
      </c>
      <c r="Q817" s="1011">
        <f t="shared" si="163"/>
        <v>2036</v>
      </c>
    </row>
    <row r="818" spans="2:17">
      <c r="B818" s="1058" t="s">
        <v>1834</v>
      </c>
      <c r="C818" s="1192">
        <f>Fixed!L38</f>
        <v>2305.1010000000001</v>
      </c>
      <c r="D818" s="1192">
        <f>Fixed!M38</f>
        <v>2359</v>
      </c>
      <c r="E818" s="1192">
        <f>Fixed!N38</f>
        <v>2379</v>
      </c>
      <c r="F818" s="1192">
        <f>Fixed!O38</f>
        <v>2389</v>
      </c>
      <c r="G818" s="1192">
        <f>Fixed!P38</f>
        <v>2399</v>
      </c>
      <c r="H818" s="1192">
        <f>Fixed!Q38</f>
        <v>2409</v>
      </c>
      <c r="I818" s="1192">
        <f>Fixed!R38</f>
        <v>2419</v>
      </c>
      <c r="J818" s="1192">
        <f>Fixed!S38</f>
        <v>2429</v>
      </c>
      <c r="K818" s="1192">
        <f>Fixed!T38</f>
        <v>2439</v>
      </c>
      <c r="L818" s="1192">
        <f>Fixed!U38</f>
        <v>2449</v>
      </c>
      <c r="M818" s="1192">
        <f>Fixed!V38</f>
        <v>2459</v>
      </c>
      <c r="N818" s="1192">
        <f>Fixed!W38</f>
        <v>2469</v>
      </c>
      <c r="O818" s="1192">
        <f>Fixed!X38</f>
        <v>2479</v>
      </c>
      <c r="P818" s="1192">
        <f>Fixed!Y38</f>
        <v>2489</v>
      </c>
      <c r="Q818" s="1192">
        <f>Fixed!Z38</f>
        <v>2499</v>
      </c>
    </row>
    <row r="819" spans="2:17" ht="13.5" thickBot="1">
      <c r="B819" s="1147" t="s">
        <v>1838</v>
      </c>
      <c r="C819" s="1148">
        <f>Fixed!L302</f>
        <v>65</v>
      </c>
      <c r="D819" s="1148">
        <f>Fixed!M302</f>
        <v>101</v>
      </c>
      <c r="E819" s="1148">
        <f>Fixed!N302</f>
        <v>180</v>
      </c>
      <c r="F819" s="1148">
        <f>Fixed!O302</f>
        <v>260</v>
      </c>
      <c r="G819" s="1148">
        <f>Fixed!P302</f>
        <v>340</v>
      </c>
      <c r="H819" s="1148">
        <f>Fixed!Q302</f>
        <v>492.5</v>
      </c>
      <c r="I819" s="1148">
        <f>Fixed!R302</f>
        <v>645</v>
      </c>
      <c r="J819" s="1148">
        <f>Fixed!S302</f>
        <v>797.5</v>
      </c>
      <c r="K819" s="1148">
        <f>Fixed!T302</f>
        <v>950</v>
      </c>
      <c r="L819" s="1148">
        <f>Fixed!U302</f>
        <v>1158.24</v>
      </c>
      <c r="M819" s="1148">
        <f>Fixed!V302</f>
        <v>1366.48</v>
      </c>
      <c r="N819" s="1148">
        <f>Fixed!W302</f>
        <v>1574.72</v>
      </c>
      <c r="O819" s="1148">
        <f>Fixed!X302</f>
        <v>1782.96</v>
      </c>
      <c r="P819" s="1148">
        <f>Fixed!Y302</f>
        <v>1991.2</v>
      </c>
      <c r="Q819" s="1148">
        <f>Fixed!Z302</f>
        <v>1991.2</v>
      </c>
    </row>
    <row r="820" spans="2:17" ht="13.5" thickBot="1">
      <c r="B820" s="1147" t="s">
        <v>1885</v>
      </c>
      <c r="C820" s="1018">
        <f>C819/C818</f>
        <v>2.8198330572066038E-2</v>
      </c>
      <c r="D820" s="1018">
        <f t="shared" ref="D820:Q820" si="164">D819/D818</f>
        <v>4.281475201356507E-2</v>
      </c>
      <c r="E820" s="1018">
        <f t="shared" si="164"/>
        <v>7.5662042875157626E-2</v>
      </c>
      <c r="F820" s="1018">
        <f t="shared" si="164"/>
        <v>0.1088321473419841</v>
      </c>
      <c r="G820" s="1018">
        <f t="shared" si="164"/>
        <v>0.14172571904960402</v>
      </c>
      <c r="H820" s="1018">
        <f t="shared" si="164"/>
        <v>0.20444167704441676</v>
      </c>
      <c r="I820" s="1018">
        <f t="shared" si="164"/>
        <v>0.26663910706903682</v>
      </c>
      <c r="J820" s="1018">
        <f t="shared" si="164"/>
        <v>0.32832441333882256</v>
      </c>
      <c r="K820" s="1018">
        <f t="shared" si="164"/>
        <v>0.38950389503895039</v>
      </c>
      <c r="L820" s="1018">
        <f t="shared" si="164"/>
        <v>0.47294405879951001</v>
      </c>
      <c r="M820" s="1018">
        <f t="shared" si="164"/>
        <v>0.55570557137047583</v>
      </c>
      <c r="N820" s="1018">
        <f t="shared" si="164"/>
        <v>0.63779667881733493</v>
      </c>
      <c r="O820" s="1018">
        <f t="shared" si="164"/>
        <v>0.71922549415086734</v>
      </c>
      <c r="P820" s="1211">
        <f t="shared" si="164"/>
        <v>0.8</v>
      </c>
      <c r="Q820" s="1018">
        <f t="shared" si="164"/>
        <v>0.79679871948779513</v>
      </c>
    </row>
    <row r="822" spans="2:17">
      <c r="B822" s="998" t="s">
        <v>1835</v>
      </c>
      <c r="C822" s="1148">
        <f>Fixed!L70</f>
        <v>647</v>
      </c>
      <c r="D822" s="1148">
        <f ca="1">Fixed!M70</f>
        <v>693.96153846153845</v>
      </c>
      <c r="E822" s="1148">
        <f ca="1">Fixed!N70</f>
        <v>718.96651123357356</v>
      </c>
      <c r="F822" s="1148">
        <f ca="1">Fixed!O70</f>
        <v>776.7643919848698</v>
      </c>
      <c r="G822" s="1148">
        <f ca="1">Fixed!P70</f>
        <v>832.338272736166</v>
      </c>
      <c r="H822" s="1148">
        <f ca="1">Fixed!Q70</f>
        <v>883.21415348746223</v>
      </c>
      <c r="I822" s="1148">
        <f ca="1">Fixed!R70</f>
        <v>921.97003423875844</v>
      </c>
      <c r="J822" s="1148">
        <f ca="1">Fixed!S70</f>
        <v>950.45179574135091</v>
      </c>
      <c r="K822" s="1148">
        <f ca="1">Fixed!T70</f>
        <v>966.71355724394323</v>
      </c>
      <c r="L822" s="1148">
        <f ca="1">Fixed!U70</f>
        <v>983.07531874653557</v>
      </c>
      <c r="M822" s="1148">
        <f ca="1">Fixed!V70</f>
        <v>999.53708024912794</v>
      </c>
      <c r="N822" s="1148">
        <f ca="1">Fixed!W70</f>
        <v>1016.0988417517203</v>
      </c>
      <c r="O822" s="1148">
        <f ca="1">Fixed!X70</f>
        <v>1032.7606032543126</v>
      </c>
      <c r="P822" s="1148">
        <f ca="1">Fixed!Y70</f>
        <v>1049.5223647569051</v>
      </c>
      <c r="Q822" s="1148">
        <f ca="1">Fixed!Z70</f>
        <v>1066.3841262594974</v>
      </c>
    </row>
    <row r="823" spans="2:17">
      <c r="B823" s="1262" t="s">
        <v>2011</v>
      </c>
      <c r="C823" s="1247">
        <f>Fixed!L168</f>
        <v>554</v>
      </c>
      <c r="D823" s="1247">
        <f ca="1">Fixed!M168</f>
        <v>600.96153846153845</v>
      </c>
      <c r="E823" s="1247">
        <f ca="1">Fixed!N168</f>
        <v>671.96651123357356</v>
      </c>
      <c r="F823" s="1247">
        <f ca="1">Fixed!O168</f>
        <v>729.7643919848698</v>
      </c>
      <c r="G823" s="1247">
        <f ca="1">Fixed!P168</f>
        <v>785.338272736166</v>
      </c>
      <c r="H823" s="1247">
        <f ca="1">Fixed!Q168</f>
        <v>836.21415348746223</v>
      </c>
      <c r="I823" s="1247">
        <f ca="1">Fixed!R168</f>
        <v>874.97003423875844</v>
      </c>
      <c r="J823" s="1247">
        <f ca="1">Fixed!S168</f>
        <v>903.45179574135091</v>
      </c>
      <c r="K823" s="1247">
        <f ca="1">Fixed!T168</f>
        <v>919.71355724394323</v>
      </c>
      <c r="L823" s="1247">
        <f ca="1">Fixed!U168</f>
        <v>936.07531874653557</v>
      </c>
      <c r="M823" s="1247">
        <f ca="1">Fixed!V168</f>
        <v>952.53708024912794</v>
      </c>
      <c r="N823" s="1247">
        <f ca="1">Fixed!W168</f>
        <v>969.09884175172033</v>
      </c>
      <c r="O823" s="1247">
        <f ca="1">Fixed!X168</f>
        <v>985.76060325431263</v>
      </c>
      <c r="P823" s="1247">
        <f ca="1">Fixed!Y168</f>
        <v>1002.5223647569051</v>
      </c>
      <c r="Q823" s="1247">
        <f ca="1">Fixed!Z168</f>
        <v>1019.3841262594974</v>
      </c>
    </row>
    <row r="824" spans="2:17">
      <c r="B824" s="998" t="s">
        <v>1836</v>
      </c>
      <c r="C824" s="1195">
        <f>Fixed!L71</f>
        <v>12</v>
      </c>
      <c r="D824" s="1195">
        <f ca="1">Fixed!M71</f>
        <v>24.03846153846154</v>
      </c>
      <c r="E824" s="1195">
        <f ca="1">Fixed!N71</f>
        <v>32.23662060194998</v>
      </c>
      <c r="F824" s="1195">
        <f ca="1">Fixed!O71</f>
        <v>51.894571135096363</v>
      </c>
      <c r="G824" s="1195">
        <f ca="1">Fixed!P71</f>
        <v>76.540521668242747</v>
      </c>
      <c r="H824" s="1195">
        <f ca="1">Fixed!Q71</f>
        <v>113.58147220138912</v>
      </c>
      <c r="I824" s="1195">
        <f ca="1">Fixed!R71</f>
        <v>163.09242273453549</v>
      </c>
      <c r="J824" s="1195">
        <f ca="1">Fixed!S71</f>
        <v>237.97432380082824</v>
      </c>
      <c r="K824" s="1195">
        <f ca="1">Fixed!T71</f>
        <v>313.45622486712102</v>
      </c>
      <c r="L824" s="1195">
        <f ca="1">Fixed!U71</f>
        <v>389.53812593341377</v>
      </c>
      <c r="M824" s="1195">
        <f ca="1">Fixed!V71</f>
        <v>466.22002699970653</v>
      </c>
      <c r="N824" s="1195">
        <f ca="1">Fixed!W71</f>
        <v>543.50192806599932</v>
      </c>
      <c r="O824" s="1195">
        <f ca="1">Fixed!X71</f>
        <v>621.38382913229202</v>
      </c>
      <c r="P824" s="1195">
        <f ca="1">Fixed!Y71</f>
        <v>699.86573019858486</v>
      </c>
      <c r="Q824" s="1195">
        <f ca="1">Fixed!Z71</f>
        <v>778.94763126487771</v>
      </c>
    </row>
    <row r="825" spans="2:17">
      <c r="B825" s="1031" t="s">
        <v>1842</v>
      </c>
      <c r="C825" s="1194">
        <f>C822+C824</f>
        <v>659</v>
      </c>
      <c r="D825" s="1194">
        <f t="shared" ref="D825:Q825" ca="1" si="165">D822+D824</f>
        <v>718</v>
      </c>
      <c r="E825" s="1194">
        <f t="shared" ca="1" si="165"/>
        <v>751.20313183552355</v>
      </c>
      <c r="F825" s="1194">
        <f t="shared" ca="1" si="165"/>
        <v>828.65896311996619</v>
      </c>
      <c r="G825" s="1194">
        <f t="shared" ca="1" si="165"/>
        <v>908.87879440440872</v>
      </c>
      <c r="H825" s="1194">
        <f t="shared" ca="1" si="165"/>
        <v>996.79562568885137</v>
      </c>
      <c r="I825" s="1194">
        <f t="shared" ca="1" si="165"/>
        <v>1085.062456973294</v>
      </c>
      <c r="J825" s="1194">
        <f t="shared" ca="1" si="165"/>
        <v>1188.4261195421791</v>
      </c>
      <c r="K825" s="1194">
        <f t="shared" ca="1" si="165"/>
        <v>1280.1697821110643</v>
      </c>
      <c r="L825" s="1194">
        <f t="shared" ca="1" si="165"/>
        <v>1372.6134446799492</v>
      </c>
      <c r="M825" s="1194">
        <f t="shared" ca="1" si="165"/>
        <v>1465.7571072488345</v>
      </c>
      <c r="N825" s="1194">
        <f t="shared" ca="1" si="165"/>
        <v>1559.6007698177195</v>
      </c>
      <c r="O825" s="1194">
        <f t="shared" ca="1" si="165"/>
        <v>1654.1444323866046</v>
      </c>
      <c r="P825" s="1194">
        <f t="shared" ca="1" si="165"/>
        <v>1749.38809495549</v>
      </c>
      <c r="Q825" s="1194">
        <f t="shared" ca="1" si="165"/>
        <v>1845.331757524375</v>
      </c>
    </row>
    <row r="826" spans="2:17" ht="13.5" thickBot="1"/>
    <row r="827" spans="2:17" ht="13.5" thickBot="1">
      <c r="B827" s="998" t="s">
        <v>2012</v>
      </c>
      <c r="C827" s="1018">
        <f>C823/C818</f>
        <v>0.24033654056807055</v>
      </c>
      <c r="D827" s="1018">
        <f t="shared" ref="D827:Q827" ca="1" si="166">D823/D818</f>
        <v>0.2547526657318942</v>
      </c>
      <c r="E827" s="1211">
        <f t="shared" ca="1" si="166"/>
        <v>0.28245754990902627</v>
      </c>
      <c r="F827" s="1018">
        <f t="shared" ca="1" si="166"/>
        <v>0.30546856089781071</v>
      </c>
      <c r="G827" s="1018">
        <f t="shared" ca="1" si="166"/>
        <v>0.32736068059031515</v>
      </c>
      <c r="H827" s="1018">
        <f t="shared" ca="1" si="166"/>
        <v>0.34712086072538906</v>
      </c>
      <c r="I827" s="1018">
        <f t="shared" ca="1" si="166"/>
        <v>0.36170733122726684</v>
      </c>
      <c r="J827" s="1018">
        <f t="shared" ca="1" si="166"/>
        <v>0.37194392578894642</v>
      </c>
      <c r="K827" s="1018">
        <f t="shared" ca="1" si="166"/>
        <v>0.37708632933331004</v>
      </c>
      <c r="L827" s="1018">
        <f t="shared" ca="1" si="166"/>
        <v>0.382227569925086</v>
      </c>
      <c r="M827" s="1018">
        <f t="shared" ca="1" si="166"/>
        <v>0.3873676617523904</v>
      </c>
      <c r="N827" s="1018">
        <f t="shared" ca="1" si="166"/>
        <v>0.39250661877347925</v>
      </c>
      <c r="O827" s="1018">
        <f t="shared" ca="1" si="166"/>
        <v>0.39764445472138465</v>
      </c>
      <c r="P827" s="1018">
        <f t="shared" ca="1" si="166"/>
        <v>0.40278118310843913</v>
      </c>
      <c r="Q827" s="1211">
        <f t="shared" ca="1" si="166"/>
        <v>0.40791681723069123</v>
      </c>
    </row>
    <row r="828" spans="2:17">
      <c r="B828" s="998" t="s">
        <v>1837</v>
      </c>
      <c r="C828" s="1191">
        <f>C824/C818</f>
        <v>5.2058456440737299E-3</v>
      </c>
      <c r="D828" s="1191">
        <f t="shared" ref="D828:Q828" ca="1" si="167">D824/D818</f>
        <v>1.019010662927577E-2</v>
      </c>
      <c r="E828" s="1191">
        <f t="shared" ca="1" si="167"/>
        <v>1.3550492056305161E-2</v>
      </c>
      <c r="F828" s="1191">
        <f t="shared" ca="1" si="167"/>
        <v>2.1722298507784163E-2</v>
      </c>
      <c r="G828" s="1191">
        <f t="shared" ca="1" si="167"/>
        <v>3.1905177852539705E-2</v>
      </c>
      <c r="H828" s="1191">
        <f t="shared" ca="1" si="167"/>
        <v>4.7148805397006693E-2</v>
      </c>
      <c r="I828" s="1191">
        <f t="shared" ca="1" si="167"/>
        <v>6.7421423205678163E-2</v>
      </c>
      <c r="J828" s="1191">
        <f t="shared" ca="1" si="167"/>
        <v>9.7972138246532836E-2</v>
      </c>
      <c r="K828" s="1191">
        <f t="shared" ca="1" si="167"/>
        <v>0.1285183373788934</v>
      </c>
      <c r="L828" s="1191">
        <f t="shared" ca="1" si="167"/>
        <v>0.15906007592217794</v>
      </c>
      <c r="M828" s="1191">
        <f t="shared" ca="1" si="167"/>
        <v>0.18959740829593597</v>
      </c>
      <c r="N828" s="1191">
        <f t="shared" ca="1" si="167"/>
        <v>0.22013038803807181</v>
      </c>
      <c r="O828" s="1191">
        <f t="shared" ca="1" si="167"/>
        <v>0.25065906782262687</v>
      </c>
      <c r="P828" s="1191">
        <f t="shared" ca="1" si="167"/>
        <v>0.28118349947713334</v>
      </c>
      <c r="Q828" s="1191">
        <f t="shared" ca="1" si="167"/>
        <v>0.31170373399955092</v>
      </c>
    </row>
    <row r="829" spans="2:17">
      <c r="B829" s="1031" t="s">
        <v>1839</v>
      </c>
      <c r="C829" s="1193">
        <f>C827+C828</f>
        <v>0.24554238621214428</v>
      </c>
      <c r="D829" s="1193">
        <f t="shared" ref="D829:Q829" ca="1" si="168">D827+D828</f>
        <v>0.26494277236116998</v>
      </c>
      <c r="E829" s="1193">
        <f t="shared" ca="1" si="168"/>
        <v>0.29600804196533143</v>
      </c>
      <c r="F829" s="1193">
        <f t="shared" ca="1" si="168"/>
        <v>0.32719085940559489</v>
      </c>
      <c r="G829" s="1193">
        <f t="shared" ca="1" si="168"/>
        <v>0.35926585844285486</v>
      </c>
      <c r="H829" s="1193">
        <f t="shared" ca="1" si="168"/>
        <v>0.39426966612239578</v>
      </c>
      <c r="I829" s="1193">
        <f t="shared" ca="1" si="168"/>
        <v>0.42912875443294501</v>
      </c>
      <c r="J829" s="1193">
        <f t="shared" ca="1" si="168"/>
        <v>0.46991606403547925</v>
      </c>
      <c r="K829" s="1193">
        <f t="shared" ca="1" si="168"/>
        <v>0.50560466671220339</v>
      </c>
      <c r="L829" s="1193">
        <f t="shared" ca="1" si="168"/>
        <v>0.54128764584726397</v>
      </c>
      <c r="M829" s="1193">
        <f t="shared" ca="1" si="168"/>
        <v>0.57696507004832642</v>
      </c>
      <c r="N829" s="1193">
        <f t="shared" ca="1" si="168"/>
        <v>0.61263700681155109</v>
      </c>
      <c r="O829" s="1193">
        <f t="shared" ca="1" si="168"/>
        <v>0.64830352254401147</v>
      </c>
      <c r="P829" s="1193">
        <f t="shared" ca="1" si="168"/>
        <v>0.68396468258557253</v>
      </c>
      <c r="Q829" s="1193">
        <f t="shared" ca="1" si="168"/>
        <v>0.71962055123024216</v>
      </c>
    </row>
    <row r="830" spans="2:17" ht="13.5" thickBot="1">
      <c r="B830" s="1064" t="s">
        <v>2013</v>
      </c>
      <c r="C830" s="1263">
        <f>Fixed!L118</f>
        <v>5.2058456440737299E-3</v>
      </c>
      <c r="D830" s="1263">
        <f ca="1">Fixed!M118</f>
        <v>1.019010662927577E-2</v>
      </c>
      <c r="E830" s="1263">
        <f ca="1">Fixed!N118</f>
        <v>1.4175365811799998E-2</v>
      </c>
      <c r="F830" s="1263">
        <f ca="1">Fixed!O118</f>
        <v>1.8169915861901566E-2</v>
      </c>
      <c r="G830" s="1263">
        <f ca="1">Fixed!P118</f>
        <v>2.2131164119171945E-2</v>
      </c>
      <c r="H830" s="1263">
        <f ca="1">Fixed!Q118</f>
        <v>2.6059525300831943E-2</v>
      </c>
      <c r="I830" s="1263">
        <f ca="1">Fixed!R118</f>
        <v>2.9955407266438527E-2</v>
      </c>
      <c r="J830" s="1263">
        <f ca="1">Fixed!S118</f>
        <v>3.3819211159047118E-2</v>
      </c>
      <c r="K830" s="1263">
        <f ca="1">Fixed!T118</f>
        <v>3.7651331542901227E-2</v>
      </c>
      <c r="L830" s="1263">
        <f ca="1">Fixed!U118</f>
        <v>4.1452156537748773E-2</v>
      </c>
      <c r="M830" s="1263">
        <f ca="1">Fixed!V118</f>
        <v>4.5222067949881012E-2</v>
      </c>
      <c r="N830" s="1263">
        <f ca="1">Fixed!W118</f>
        <v>4.8961441399987059E-2</v>
      </c>
      <c r="O830" s="1263">
        <f ca="1">Fixed!X118</f>
        <v>5.2670646447913957E-2</v>
      </c>
      <c r="P830" s="1263">
        <f ca="1">Fixed!Y118</f>
        <v>5.6350046714419184E-2</v>
      </c>
      <c r="Q830" s="1263">
        <f>Fixed!Z118</f>
        <v>0.06</v>
      </c>
    </row>
    <row r="831" spans="2:17">
      <c r="B831" s="1264" t="s">
        <v>2014</v>
      </c>
      <c r="C831" s="1265"/>
      <c r="D831" s="1265"/>
      <c r="E831" s="1266">
        <f ca="1">Fixed!N119</f>
        <v>-8.2587481351234018E-3</v>
      </c>
      <c r="F831" s="1266">
        <f ca="1">Fixed!O119</f>
        <v>3.264093131159046E-2</v>
      </c>
      <c r="G831" s="1266">
        <f ca="1">Fixed!P119</f>
        <v>6.8964291018674267E-2</v>
      </c>
      <c r="H831" s="1266">
        <f ca="1">Fixed!Q119</f>
        <v>0.10315548375976644</v>
      </c>
      <c r="I831" s="1266">
        <f ca="1">Fixed!R119</f>
        <v>0.14051208148375302</v>
      </c>
      <c r="J831" s="1266">
        <f ca="1">Fixed!S119</f>
        <v>0.19539493403824801</v>
      </c>
      <c r="K831" s="1266">
        <f ca="1">Fixed!T119</f>
        <v>0.23328908129893153</v>
      </c>
      <c r="L831" s="1266">
        <f ca="1">Fixed!U119</f>
        <v>0.24867194585963789</v>
      </c>
      <c r="M831" s="1266">
        <f ca="1">Fixed!V119</f>
        <v>0.25980545775346081</v>
      </c>
      <c r="N831" s="1266">
        <f ca="1">Fixed!W119</f>
        <v>0.26837541229515804</v>
      </c>
      <c r="O831" s="1266">
        <f ca="1">Fixed!X119</f>
        <v>0.27528003801987333</v>
      </c>
      <c r="P831" s="1267">
        <f ca="1">Fixed!Y119</f>
        <v>0.28104181595339267</v>
      </c>
      <c r="Q831" s="1268">
        <f ca="1">Fixed!Z119</f>
        <v>0.3158937481241853</v>
      </c>
    </row>
    <row r="833" spans="2:17">
      <c r="B833" s="1011" t="s">
        <v>2015</v>
      </c>
      <c r="C833" s="1011">
        <v>2022</v>
      </c>
      <c r="D833" s="1011">
        <f>C833+1</f>
        <v>2023</v>
      </c>
      <c r="E833" s="1011">
        <f t="shared" ref="E833" si="169">D833+1</f>
        <v>2024</v>
      </c>
      <c r="F833" s="1011">
        <f t="shared" ref="F833" si="170">E833+1</f>
        <v>2025</v>
      </c>
      <c r="G833" s="1011">
        <f t="shared" ref="G833" si="171">F833+1</f>
        <v>2026</v>
      </c>
      <c r="H833" s="1011">
        <f t="shared" ref="H833" si="172">G833+1</f>
        <v>2027</v>
      </c>
      <c r="I833" s="1011">
        <f t="shared" ref="I833" si="173">H833+1</f>
        <v>2028</v>
      </c>
      <c r="J833" s="1011">
        <f t="shared" ref="J833" si="174">I833+1</f>
        <v>2029</v>
      </c>
      <c r="K833" s="1011">
        <f t="shared" ref="K833" si="175">J833+1</f>
        <v>2030</v>
      </c>
      <c r="L833" s="1011">
        <f t="shared" ref="L833" si="176">K833+1</f>
        <v>2031</v>
      </c>
      <c r="M833" s="1011">
        <f t="shared" ref="M833" si="177">L833+1</f>
        <v>2032</v>
      </c>
      <c r="N833" s="1011">
        <f t="shared" ref="N833" si="178">M833+1</f>
        <v>2033</v>
      </c>
      <c r="O833" s="1011">
        <f t="shared" ref="O833" si="179">N833+1</f>
        <v>2034</v>
      </c>
      <c r="P833" s="1011">
        <f t="shared" ref="P833" si="180">O833+1</f>
        <v>2035</v>
      </c>
      <c r="Q833" s="1011">
        <f t="shared" ref="Q833" si="181">P833+1</f>
        <v>2036</v>
      </c>
    </row>
    <row r="834" spans="2:17">
      <c r="B834" s="1031" t="s">
        <v>795</v>
      </c>
      <c r="C834" s="1194">
        <f ca="1">Fixed!L67</f>
        <v>1902</v>
      </c>
      <c r="D834" s="1194">
        <f>Fixed!M67</f>
        <v>1790</v>
      </c>
      <c r="E834" s="1194">
        <f>Fixed!N67</f>
        <v>1171.8682250000002</v>
      </c>
      <c r="F834" s="1194">
        <f>Fixed!O67</f>
        <v>1204.0695499999999</v>
      </c>
      <c r="G834" s="1194">
        <f>Fixed!P67</f>
        <v>1162.702</v>
      </c>
      <c r="H834" s="1194">
        <f>Fixed!Q67</f>
        <v>1125.8344499999998</v>
      </c>
      <c r="I834" s="1194">
        <f>Fixed!R67</f>
        <v>1093.1668999999999</v>
      </c>
      <c r="J834" s="1194">
        <f>Fixed!S67</f>
        <v>1064.3993499999999</v>
      </c>
      <c r="K834" s="1194">
        <f>Fixed!T67</f>
        <v>1035.6317999999999</v>
      </c>
      <c r="L834" s="1194">
        <f>Fixed!U67</f>
        <v>1006.8642499999999</v>
      </c>
      <c r="M834" s="1194">
        <f>Fixed!V67</f>
        <v>978.09669999999983</v>
      </c>
      <c r="N834" s="1194">
        <f>Fixed!W67</f>
        <v>949.3291499999998</v>
      </c>
      <c r="O834" s="1194">
        <f>Fixed!X67</f>
        <v>920.56159999999977</v>
      </c>
      <c r="P834" s="1194">
        <f>Fixed!Y67</f>
        <v>891.79404999999974</v>
      </c>
      <c r="Q834" s="1194">
        <f>Fixed!Z67</f>
        <v>863.02649999999971</v>
      </c>
    </row>
    <row r="835" spans="2:17">
      <c r="B835" s="1031"/>
      <c r="C835" s="1194"/>
      <c r="D835" s="1194"/>
      <c r="E835" s="1194"/>
      <c r="F835" s="1194"/>
      <c r="G835" s="1194"/>
      <c r="H835" s="1194"/>
      <c r="I835" s="1194"/>
      <c r="J835" s="1194"/>
      <c r="K835" s="1194"/>
      <c r="L835" s="1194"/>
      <c r="M835" s="1194"/>
      <c r="N835" s="1194"/>
      <c r="O835" s="1194"/>
      <c r="P835" s="1194"/>
      <c r="Q835" s="1194"/>
    </row>
    <row r="836" spans="2:17">
      <c r="B836" s="1031" t="s">
        <v>34</v>
      </c>
      <c r="C836" s="1194">
        <f>Fixed!L54</f>
        <v>2034.6155000000001</v>
      </c>
      <c r="D836" s="1194">
        <f>Fixed!M54</f>
        <v>1948</v>
      </c>
      <c r="E836" s="1194">
        <f>Fixed!N54</f>
        <v>1364.7073</v>
      </c>
      <c r="F836" s="1194">
        <f>Fixed!O54</f>
        <v>1439.0099500000001</v>
      </c>
      <c r="G836" s="1194">
        <f>Fixed!P54</f>
        <v>1453.3775000000001</v>
      </c>
      <c r="H836" s="1194">
        <f>Fixed!Q54</f>
        <v>1472.24505</v>
      </c>
      <c r="I836" s="1194">
        <f>Fixed!R54</f>
        <v>1495.9126000000001</v>
      </c>
      <c r="J836" s="1194">
        <f>Fixed!S54</f>
        <v>1553.4477000000002</v>
      </c>
      <c r="K836" s="1194">
        <f>Fixed!T54</f>
        <v>1610.9828000000002</v>
      </c>
      <c r="L836" s="1194">
        <f>Fixed!U54</f>
        <v>1668.5179000000003</v>
      </c>
      <c r="M836" s="1194">
        <f>Fixed!V54</f>
        <v>1726.0530000000003</v>
      </c>
      <c r="N836" s="1194">
        <f>Fixed!W54</f>
        <v>1783.5881000000004</v>
      </c>
      <c r="O836" s="1194">
        <f>Fixed!X54</f>
        <v>1841.1232000000005</v>
      </c>
      <c r="P836" s="1194">
        <f>Fixed!Y54</f>
        <v>1898.6583000000005</v>
      </c>
      <c r="Q836" s="1194">
        <f>Fixed!Z54</f>
        <v>1956.1934000000006</v>
      </c>
    </row>
    <row r="837" spans="2:17">
      <c r="B837" s="1064" t="s">
        <v>2016</v>
      </c>
      <c r="C837" s="1247">
        <f>C836-C825</f>
        <v>1375.6155000000001</v>
      </c>
      <c r="D837" s="1247">
        <f t="shared" ref="D837:Q837" ca="1" si="182">D836-D825</f>
        <v>1230</v>
      </c>
      <c r="E837" s="1247">
        <f t="shared" ca="1" si="182"/>
        <v>613.50416816447648</v>
      </c>
      <c r="F837" s="1247">
        <f t="shared" ca="1" si="182"/>
        <v>610.35098688003393</v>
      </c>
      <c r="G837" s="1247">
        <f t="shared" ca="1" si="182"/>
        <v>544.49870559559133</v>
      </c>
      <c r="H837" s="1247">
        <f t="shared" ca="1" si="182"/>
        <v>475.44942431114862</v>
      </c>
      <c r="I837" s="1247">
        <f t="shared" ca="1" si="182"/>
        <v>410.85014302670606</v>
      </c>
      <c r="J837" s="1247">
        <f t="shared" ca="1" si="182"/>
        <v>365.02158045782107</v>
      </c>
      <c r="K837" s="1247">
        <f t="shared" ca="1" si="182"/>
        <v>330.81301788893597</v>
      </c>
      <c r="L837" s="1247">
        <f t="shared" ca="1" si="182"/>
        <v>295.90445532005106</v>
      </c>
      <c r="M837" s="1247">
        <f t="shared" ca="1" si="182"/>
        <v>260.29589275116587</v>
      </c>
      <c r="N837" s="1247">
        <f t="shared" ca="1" si="182"/>
        <v>223.98733018228086</v>
      </c>
      <c r="O837" s="1247">
        <f t="shared" ca="1" si="182"/>
        <v>186.9787676133958</v>
      </c>
      <c r="P837" s="1247">
        <f t="shared" ca="1" si="182"/>
        <v>149.27020504451048</v>
      </c>
      <c r="Q837" s="1247">
        <f t="shared" ca="1" si="182"/>
        <v>110.86164247562556</v>
      </c>
    </row>
    <row r="838" spans="2:17">
      <c r="B838" s="1031"/>
      <c r="C838" s="1194"/>
      <c r="D838" s="1194"/>
      <c r="E838" s="1194"/>
      <c r="F838" s="1194"/>
      <c r="G838" s="1194"/>
      <c r="H838" s="1194"/>
      <c r="I838" s="1194"/>
      <c r="J838" s="1194"/>
      <c r="K838" s="1194"/>
      <c r="L838" s="1194"/>
      <c r="M838" s="1194"/>
      <c r="N838" s="1194"/>
      <c r="O838" s="1194"/>
      <c r="P838" s="1194"/>
      <c r="Q838" s="1194"/>
    </row>
    <row r="839" spans="2:17">
      <c r="B839" s="998" t="s">
        <v>854</v>
      </c>
      <c r="C839" s="1148">
        <f ca="1">Fixed!L68</f>
        <v>496</v>
      </c>
      <c r="D839" s="1148">
        <f>Fixed!M68</f>
        <v>506</v>
      </c>
      <c r="E839" s="1148">
        <f>Fixed!N68</f>
        <v>512.90511780796101</v>
      </c>
      <c r="F839" s="1148">
        <f>Fixed!O68</f>
        <v>551.08043510474863</v>
      </c>
      <c r="G839" s="1148">
        <f>Fixed!P68</f>
        <v>555.40131011173185</v>
      </c>
      <c r="H839" s="1148">
        <f>Fixed!Q68</f>
        <v>560.30705015782121</v>
      </c>
      <c r="I839" s="1148">
        <f>Fixed!R68</f>
        <v>565.91235077374301</v>
      </c>
      <c r="J839" s="1148">
        <f>Fixed!S68</f>
        <v>572.30790749022356</v>
      </c>
      <c r="K839" s="1148">
        <f>Fixed!T68</f>
        <v>577.55276220670396</v>
      </c>
      <c r="L839" s="1148">
        <f>Fixed!U68</f>
        <v>581.64691492318445</v>
      </c>
      <c r="M839" s="1148">
        <f>Fixed!V68</f>
        <v>584.59036563966481</v>
      </c>
      <c r="N839" s="1148">
        <f>Fixed!W68</f>
        <v>586.38311435614526</v>
      </c>
      <c r="O839" s="1148">
        <f>Fixed!X68</f>
        <v>587.02516107262568</v>
      </c>
      <c r="P839" s="1148">
        <f>Fixed!Y68</f>
        <v>586.51650578910619</v>
      </c>
      <c r="Q839" s="1148">
        <f>Fixed!Z68</f>
        <v>584.85714850558657</v>
      </c>
    </row>
    <row r="840" spans="2:17">
      <c r="B840" s="1120" t="s">
        <v>1840</v>
      </c>
      <c r="C840" s="1191">
        <f ca="1">C839/C834</f>
        <v>0.26077812828601471</v>
      </c>
      <c r="D840" s="1191">
        <f t="shared" ref="D840:Q840" si="183">D839/D834</f>
        <v>0.28268156424581004</v>
      </c>
      <c r="E840" s="1191">
        <f t="shared" si="183"/>
        <v>0.43768156424581006</v>
      </c>
      <c r="F840" s="1191">
        <f t="shared" si="183"/>
        <v>0.45768156424581008</v>
      </c>
      <c r="G840" s="1191">
        <f t="shared" si="183"/>
        <v>0.47768156424581004</v>
      </c>
      <c r="H840" s="1191">
        <f t="shared" si="183"/>
        <v>0.49768156424581012</v>
      </c>
      <c r="I840" s="1191">
        <f t="shared" si="183"/>
        <v>0.51768156424581013</v>
      </c>
      <c r="J840" s="1191">
        <f t="shared" si="183"/>
        <v>0.53768156424581015</v>
      </c>
      <c r="K840" s="1191">
        <f t="shared" si="183"/>
        <v>0.55768156424581017</v>
      </c>
      <c r="L840" s="1191">
        <f t="shared" si="183"/>
        <v>0.57768156424581019</v>
      </c>
      <c r="M840" s="1191">
        <f t="shared" si="183"/>
        <v>0.5976815642458102</v>
      </c>
      <c r="N840" s="1191">
        <f t="shared" si="183"/>
        <v>0.61768156424581022</v>
      </c>
      <c r="O840" s="1191">
        <f t="shared" si="183"/>
        <v>0.63768156424581024</v>
      </c>
      <c r="P840" s="1191">
        <f t="shared" si="183"/>
        <v>0.65768156424581026</v>
      </c>
      <c r="Q840" s="1191">
        <f t="shared" si="183"/>
        <v>0.67768156424581028</v>
      </c>
    </row>
    <row r="841" spans="2:17">
      <c r="E841" s="1148"/>
    </row>
    <row r="842" spans="2:17">
      <c r="B842" s="1011"/>
      <c r="C842" s="1011">
        <v>2022</v>
      </c>
      <c r="D842" s="1011">
        <f>C842+1</f>
        <v>2023</v>
      </c>
      <c r="E842" s="1011">
        <f t="shared" ref="E842" si="184">D842+1</f>
        <v>2024</v>
      </c>
      <c r="F842" s="1011">
        <f t="shared" ref="F842" si="185">E842+1</f>
        <v>2025</v>
      </c>
      <c r="G842" s="1011">
        <f t="shared" ref="G842" si="186">F842+1</f>
        <v>2026</v>
      </c>
      <c r="H842" s="1011">
        <f t="shared" ref="H842" si="187">G842+1</f>
        <v>2027</v>
      </c>
      <c r="I842" s="1011">
        <f t="shared" ref="I842" si="188">H842+1</f>
        <v>2028</v>
      </c>
      <c r="J842" s="1011">
        <f t="shared" ref="J842" si="189">I842+1</f>
        <v>2029</v>
      </c>
      <c r="K842" s="1011">
        <f t="shared" ref="K842" si="190">J842+1</f>
        <v>2030</v>
      </c>
      <c r="L842" s="1011">
        <f t="shared" ref="L842" si="191">K842+1</f>
        <v>2031</v>
      </c>
      <c r="M842" s="1011">
        <f t="shared" ref="M842" si="192">L842+1</f>
        <v>2032</v>
      </c>
      <c r="N842" s="1011">
        <f t="shared" ref="N842" si="193">M842+1</f>
        <v>2033</v>
      </c>
      <c r="O842" s="1011">
        <f t="shared" ref="O842" si="194">N842+1</f>
        <v>2034</v>
      </c>
      <c r="P842" s="1011">
        <f t="shared" ref="P842" si="195">O842+1</f>
        <v>2035</v>
      </c>
      <c r="Q842" s="1011">
        <f t="shared" ref="Q842" si="196">P842+1</f>
        <v>2036</v>
      </c>
    </row>
    <row r="843" spans="2:17">
      <c r="B843" s="1058" t="s">
        <v>2024</v>
      </c>
      <c r="C843" s="1192">
        <f>Fixed!L116</f>
        <v>12</v>
      </c>
      <c r="D843" s="1192">
        <f ca="1">Fixed!M116</f>
        <v>24.03846153846154</v>
      </c>
      <c r="E843" s="1192">
        <f ca="1">Fixed!N116</f>
        <v>33.723195266272192</v>
      </c>
      <c r="F843" s="1192">
        <f ca="1">Fixed!O116</f>
        <v>43.407928994082845</v>
      </c>
      <c r="G843" s="1192">
        <f ca="1">Fixed!P116</f>
        <v>53.092662721893497</v>
      </c>
      <c r="H843" s="1192">
        <f ca="1">Fixed!Q116</f>
        <v>62.777396449704149</v>
      </c>
      <c r="I843" s="1192">
        <f ca="1">Fixed!R116</f>
        <v>72.462130177514794</v>
      </c>
      <c r="J843" s="1192">
        <f ca="1">Fixed!S116</f>
        <v>82.146863905325446</v>
      </c>
      <c r="K843" s="1192">
        <f ca="1">Fixed!T116</f>
        <v>91.831597633136099</v>
      </c>
      <c r="L843" s="1192">
        <f ca="1">Fixed!U116</f>
        <v>101.51633136094675</v>
      </c>
      <c r="M843" s="1192">
        <f ca="1">Fixed!V116</f>
        <v>111.2010650887574</v>
      </c>
      <c r="N843" s="1192">
        <f ca="1">Fixed!W116</f>
        <v>120.88579881656806</v>
      </c>
      <c r="O843" s="1192">
        <f ca="1">Fixed!X116</f>
        <v>130.57053254437869</v>
      </c>
      <c r="P843" s="1192">
        <f ca="1">Fixed!Y116</f>
        <v>140.25526627218935</v>
      </c>
      <c r="Q843" s="1192">
        <f>Fixed!Z116</f>
        <v>149.94</v>
      </c>
    </row>
    <row r="844" spans="2:17">
      <c r="B844" s="1262" t="s">
        <v>1655</v>
      </c>
      <c r="C844" s="1247">
        <f>C843-C845</f>
        <v>12</v>
      </c>
      <c r="D844" s="1247">
        <f t="shared" ref="D844:Q844" ca="1" si="197">D843-D845</f>
        <v>24.03846153846154</v>
      </c>
      <c r="E844" s="1247">
        <f t="shared" ca="1" si="197"/>
        <v>31.647921711424672</v>
      </c>
      <c r="F844" s="1247">
        <f t="shared" ca="1" si="197"/>
        <v>38.065414656349574</v>
      </c>
      <c r="G844" s="1247">
        <f t="shared" ca="1" si="197"/>
        <v>43.290940373236239</v>
      </c>
      <c r="H844" s="1247">
        <f t="shared" ca="1" si="197"/>
        <v>47.324498862084667</v>
      </c>
      <c r="I844" s="1247">
        <f t="shared" ca="1" si="197"/>
        <v>50.166090122894857</v>
      </c>
      <c r="J844" s="1247">
        <f t="shared" ca="1" si="197"/>
        <v>51.815714155666818</v>
      </c>
      <c r="K844" s="1247">
        <f t="shared" ca="1" si="197"/>
        <v>52.273370960400548</v>
      </c>
      <c r="L844" s="1247">
        <f t="shared" ca="1" si="197"/>
        <v>51.539060537096042</v>
      </c>
      <c r="M844" s="1247">
        <f t="shared" ca="1" si="197"/>
        <v>49.612782885753298</v>
      </c>
      <c r="N844" s="1247">
        <f t="shared" ca="1" si="197"/>
        <v>46.494538006372323</v>
      </c>
      <c r="O844" s="1247">
        <f t="shared" ca="1" si="197"/>
        <v>42.184325898953105</v>
      </c>
      <c r="P844" s="1247">
        <f t="shared" ca="1" si="197"/>
        <v>36.682146563495664</v>
      </c>
      <c r="Q844" s="1247">
        <f t="shared" si="197"/>
        <v>29.988</v>
      </c>
    </row>
    <row r="845" spans="2:17">
      <c r="B845" s="1262" t="s">
        <v>1653</v>
      </c>
      <c r="C845" s="1247">
        <f>C843*Fixed!L117</f>
        <v>0</v>
      </c>
      <c r="D845" s="1247">
        <f ca="1">D843*Fixed!M117</f>
        <v>0</v>
      </c>
      <c r="E845" s="1247">
        <f ca="1">E843*Fixed!N117</f>
        <v>2.0752735548475196</v>
      </c>
      <c r="F845" s="1247">
        <f ca="1">F843*Fixed!O117</f>
        <v>5.3425143377332738</v>
      </c>
      <c r="G845" s="1247">
        <f ca="1">G843*Fixed!P117</f>
        <v>9.8017223486572611</v>
      </c>
      <c r="H845" s="1247">
        <f ca="1">H843*Fixed!Q117</f>
        <v>15.452897587619484</v>
      </c>
      <c r="I845" s="1247">
        <f ca="1">I843*Fixed!R117</f>
        <v>22.296040054619937</v>
      </c>
      <c r="J845" s="1247">
        <f ca="1">J843*Fixed!S117</f>
        <v>30.331149749658628</v>
      </c>
      <c r="K845" s="1247">
        <f ca="1">K843*Fixed!T117</f>
        <v>39.55822667273555</v>
      </c>
      <c r="L845" s="1247">
        <f ca="1">L843*Fixed!U117</f>
        <v>49.977270823850709</v>
      </c>
      <c r="M845" s="1247">
        <f ca="1">M843*Fixed!V117</f>
        <v>61.588282203004105</v>
      </c>
      <c r="N845" s="1247">
        <f ca="1">N843*Fixed!W117</f>
        <v>74.391260810195732</v>
      </c>
      <c r="O845" s="1247">
        <f ca="1">O843*Fixed!X117</f>
        <v>88.386206645425588</v>
      </c>
      <c r="P845" s="1247">
        <f ca="1">P843*Fixed!Y117</f>
        <v>103.57311970869368</v>
      </c>
      <c r="Q845" s="1247">
        <f>Q843*Fixed!Z117</f>
        <v>119.952</v>
      </c>
    </row>
    <row r="846" spans="2:17">
      <c r="B846" s="1147"/>
      <c r="E846" s="1148"/>
    </row>
    <row r="847" spans="2:17">
      <c r="B847" s="1147" t="s">
        <v>2018</v>
      </c>
      <c r="C847" s="1148">
        <f>Fixed!L322</f>
        <v>0</v>
      </c>
      <c r="D847" s="1148">
        <f>Fixed!M322</f>
        <v>0</v>
      </c>
      <c r="E847" s="1148">
        <f ca="1">Fixed!N322</f>
        <v>0</v>
      </c>
      <c r="F847" s="1148">
        <f ca="1">Fixed!O322</f>
        <v>0</v>
      </c>
      <c r="G847" s="1148">
        <f ca="1">Fixed!P322</f>
        <v>1.5308104333648549</v>
      </c>
      <c r="H847" s="1148">
        <f ca="1">Fixed!Q322</f>
        <v>6.2469809710764022</v>
      </c>
      <c r="I847" s="1148">
        <f ca="1">Fixed!R322</f>
        <v>14.678318046108195</v>
      </c>
      <c r="J847" s="1148">
        <f ca="1">Fixed!S322</f>
        <v>29.746790475103531</v>
      </c>
      <c r="K847" s="1148">
        <f ca="1">Fixed!T322</f>
        <v>50.152995978739362</v>
      </c>
      <c r="L847" s="1148">
        <f ca="1">Fixed!U322</f>
        <v>75.959934557015686</v>
      </c>
      <c r="M847" s="1148">
        <f ca="1">Fixed!V322</f>
        <v>107.2306062099325</v>
      </c>
      <c r="N847" s="1148">
        <f ca="1">Fixed!W322</f>
        <v>144.02801093748982</v>
      </c>
      <c r="O847" s="1148">
        <f ca="1">Fixed!X322</f>
        <v>186.41514873968762</v>
      </c>
      <c r="P847" s="1148">
        <f ca="1">Fixed!Y322</f>
        <v>234.45501961652599</v>
      </c>
      <c r="Q847" s="1148">
        <f ca="1">Fixed!Z322</f>
        <v>288.21062356800485</v>
      </c>
    </row>
    <row r="848" spans="2:17">
      <c r="B848" s="1147" t="s">
        <v>2017</v>
      </c>
      <c r="C848" s="1148">
        <f>Fixed!L320-C845</f>
        <v>0</v>
      </c>
      <c r="D848" s="1148">
        <f ca="1">Fixed!M320-D845</f>
        <v>0</v>
      </c>
      <c r="E848" s="1148">
        <f ca="1">Fixed!N320-E845</f>
        <v>-1.486574664322212</v>
      </c>
      <c r="F848" s="1148">
        <f ca="1">Fixed!O320-F845</f>
        <v>8.4866421410135153</v>
      </c>
      <c r="G848" s="1148">
        <f ca="1">Fixed!P320-G845</f>
        <v>21.917048512984405</v>
      </c>
      <c r="H848" s="1148">
        <f ca="1">Fixed!Q320-H845</f>
        <v>44.557094780608573</v>
      </c>
      <c r="I848" s="1148">
        <f ca="1">Fixed!R320-I845</f>
        <v>75.951974510912507</v>
      </c>
      <c r="J848" s="1148">
        <f ca="1">Fixed!S320-J845</f>
        <v>126.08066942039926</v>
      </c>
      <c r="K848" s="1148">
        <f ca="1">Fixed!T320-K845</f>
        <v>171.4716312552456</v>
      </c>
      <c r="L848" s="1148">
        <f ca="1">Fixed!U320-L845</f>
        <v>212.06186001545134</v>
      </c>
      <c r="M848" s="1148">
        <f ca="1">Fixed!V320-M845</f>
        <v>247.78835570101666</v>
      </c>
      <c r="N848" s="1148">
        <f ca="1">Fixed!W320-N845</f>
        <v>278.58811831194146</v>
      </c>
      <c r="O848" s="1148">
        <f ca="1">Fixed!X320-O845</f>
        <v>304.39814784822568</v>
      </c>
      <c r="P848" s="1148">
        <f ca="1">Fixed!Y320-P845</f>
        <v>325.15544430986949</v>
      </c>
      <c r="Q848" s="1148">
        <f ca="1">Fixed!Z320-Q845</f>
        <v>340.79700769687287</v>
      </c>
    </row>
    <row r="849" spans="2:17">
      <c r="B849" s="1031" t="s">
        <v>2019</v>
      </c>
      <c r="C849" s="1194">
        <f>C843+C847+C848</f>
        <v>12</v>
      </c>
      <c r="D849" s="1194">
        <f t="shared" ref="D849:Q849" ca="1" si="198">D843+D847+D848</f>
        <v>24.03846153846154</v>
      </c>
      <c r="E849" s="1194">
        <f t="shared" ca="1" si="198"/>
        <v>32.23662060194998</v>
      </c>
      <c r="F849" s="1194">
        <f t="shared" ca="1" si="198"/>
        <v>51.894571135096356</v>
      </c>
      <c r="G849" s="1194">
        <f t="shared" ca="1" si="198"/>
        <v>76.540521668242761</v>
      </c>
      <c r="H849" s="1194">
        <f t="shared" ca="1" si="198"/>
        <v>113.58147220138912</v>
      </c>
      <c r="I849" s="1194">
        <f t="shared" ca="1" si="198"/>
        <v>163.09242273453549</v>
      </c>
      <c r="J849" s="1194">
        <f t="shared" ca="1" si="198"/>
        <v>237.97432380082824</v>
      </c>
      <c r="K849" s="1194">
        <f t="shared" ca="1" si="198"/>
        <v>313.45622486712102</v>
      </c>
      <c r="L849" s="1194">
        <f t="shared" ca="1" si="198"/>
        <v>389.53812593341377</v>
      </c>
      <c r="M849" s="1194">
        <f t="shared" ca="1" si="198"/>
        <v>466.22002699970653</v>
      </c>
      <c r="N849" s="1194">
        <f t="shared" ca="1" si="198"/>
        <v>543.50192806599932</v>
      </c>
      <c r="O849" s="1194">
        <f t="shared" ca="1" si="198"/>
        <v>621.38382913229202</v>
      </c>
      <c r="P849" s="1194">
        <f t="shared" ca="1" si="198"/>
        <v>699.86573019858486</v>
      </c>
      <c r="Q849" s="1194">
        <f t="shared" ca="1" si="198"/>
        <v>778.94763126487771</v>
      </c>
    </row>
    <row r="850" spans="2:17">
      <c r="E850" s="1148"/>
    </row>
    <row r="851" spans="2:17">
      <c r="B851" s="1272" t="s">
        <v>1850</v>
      </c>
      <c r="C851" s="1031"/>
      <c r="D851" s="1031"/>
      <c r="E851" s="1031"/>
      <c r="F851" s="1031"/>
      <c r="G851" s="1031"/>
      <c r="H851" s="1031"/>
      <c r="I851" s="1031"/>
      <c r="J851" s="1031"/>
      <c r="K851" s="1031"/>
      <c r="L851" s="1031"/>
      <c r="M851" s="1031"/>
      <c r="N851" s="1031"/>
      <c r="O851" s="1031"/>
      <c r="P851" s="1031"/>
      <c r="Q851" s="1031"/>
    </row>
    <row r="852" spans="2:17">
      <c r="B852" s="998" t="s">
        <v>2021</v>
      </c>
      <c r="C852" s="1019">
        <f>Fixed!L330</f>
        <v>13</v>
      </c>
      <c r="D852" s="1019">
        <f>Fixed!M330</f>
        <v>13</v>
      </c>
      <c r="E852" s="1019">
        <f>Fixed!N330</f>
        <v>13.13</v>
      </c>
      <c r="F852" s="1019">
        <f>Fixed!O330</f>
        <v>13.2613</v>
      </c>
      <c r="G852" s="1019">
        <f>Fixed!P330</f>
        <v>13.393913000000001</v>
      </c>
      <c r="H852" s="1019">
        <f>Fixed!Q330</f>
        <v>13.527852130000001</v>
      </c>
      <c r="I852" s="1019">
        <f>Fixed!R330</f>
        <v>13.663130651300001</v>
      </c>
      <c r="J852" s="1019">
        <f>Fixed!S330</f>
        <v>13.799761957813001</v>
      </c>
      <c r="K852" s="1019">
        <f>Fixed!T330</f>
        <v>13.93775957739113</v>
      </c>
      <c r="L852" s="1019">
        <f>Fixed!U330</f>
        <v>14.077137173165042</v>
      </c>
      <c r="M852" s="1019">
        <f>Fixed!V330</f>
        <v>14.217908544896693</v>
      </c>
      <c r="N852" s="1019">
        <f>Fixed!W330</f>
        <v>14.36008763034566</v>
      </c>
      <c r="O852" s="1019">
        <f>Fixed!X330</f>
        <v>14.503688506649118</v>
      </c>
      <c r="P852" s="1019">
        <f>Fixed!Y330</f>
        <v>14.648725391715608</v>
      </c>
      <c r="Q852" s="1019">
        <f>Fixed!Z330</f>
        <v>14.795212645632764</v>
      </c>
    </row>
    <row r="853" spans="2:17">
      <c r="B853" s="998" t="s">
        <v>1382</v>
      </c>
      <c r="C853" s="1018">
        <f>Fixed!L331</f>
        <v>0</v>
      </c>
      <c r="D853" s="1018">
        <f>Fixed!M331</f>
        <v>0</v>
      </c>
      <c r="E853" s="1018">
        <f>Fixed!N331</f>
        <v>0.01</v>
      </c>
      <c r="F853" s="1018">
        <f>Fixed!O331</f>
        <v>0.01</v>
      </c>
      <c r="G853" s="1018">
        <f>Fixed!P331</f>
        <v>0.01</v>
      </c>
      <c r="H853" s="1018">
        <f>Fixed!Q331</f>
        <v>0.01</v>
      </c>
      <c r="I853" s="1018">
        <f>Fixed!R331</f>
        <v>0.01</v>
      </c>
      <c r="J853" s="1018">
        <f>Fixed!S331</f>
        <v>0.01</v>
      </c>
      <c r="K853" s="1018">
        <f>Fixed!T331</f>
        <v>0.01</v>
      </c>
      <c r="L853" s="1018">
        <f>Fixed!U331</f>
        <v>0.01</v>
      </c>
      <c r="M853" s="1018">
        <f>Fixed!V331</f>
        <v>0.01</v>
      </c>
      <c r="N853" s="1018">
        <f>Fixed!W331</f>
        <v>0.01</v>
      </c>
      <c r="O853" s="1018">
        <f>Fixed!X331</f>
        <v>0.01</v>
      </c>
      <c r="P853" s="1018">
        <f>Fixed!Y331</f>
        <v>0.01</v>
      </c>
      <c r="Q853" s="1018">
        <f>Fixed!Z331</f>
        <v>0.01</v>
      </c>
    </row>
    <row r="854" spans="2:17">
      <c r="B854" s="998" t="s">
        <v>2025</v>
      </c>
      <c r="C854" s="1019">
        <f>Fixed!L332</f>
        <v>20</v>
      </c>
      <c r="D854" s="1019">
        <f>Fixed!M332</f>
        <v>20</v>
      </c>
      <c r="E854" s="1019">
        <f>Fixed!N332</f>
        <v>20.399999999999999</v>
      </c>
      <c r="F854" s="1019">
        <f>Fixed!O332</f>
        <v>20.808</v>
      </c>
      <c r="G854" s="1019">
        <f>Fixed!P332</f>
        <v>21.224160000000001</v>
      </c>
      <c r="H854" s="1019">
        <f>Fixed!Q332</f>
        <v>21.648643200000002</v>
      </c>
      <c r="I854" s="1019">
        <f>Fixed!R332</f>
        <v>22.081616064000002</v>
      </c>
      <c r="J854" s="1019">
        <f>Fixed!S332</f>
        <v>22.523248385280002</v>
      </c>
      <c r="K854" s="1019">
        <f>Fixed!T332</f>
        <v>22.973713352985602</v>
      </c>
      <c r="L854" s="1019">
        <f>Fixed!U332</f>
        <v>23.433187620045313</v>
      </c>
      <c r="M854" s="1019">
        <f>Fixed!V332</f>
        <v>23.90185137244622</v>
      </c>
      <c r="N854" s="1019">
        <f>Fixed!W332</f>
        <v>24.379888399895144</v>
      </c>
      <c r="O854" s="1019">
        <f>Fixed!X332</f>
        <v>24.867486167893048</v>
      </c>
      <c r="P854" s="1019">
        <f>Fixed!Y332</f>
        <v>25.364835891250909</v>
      </c>
      <c r="Q854" s="1019">
        <f>Fixed!Z332</f>
        <v>25.872132609075926</v>
      </c>
    </row>
    <row r="855" spans="2:17">
      <c r="B855" s="998" t="s">
        <v>1382</v>
      </c>
      <c r="C855" s="1018">
        <f>Fixed!L333</f>
        <v>0</v>
      </c>
      <c r="D855" s="1018">
        <f>Fixed!M333</f>
        <v>0</v>
      </c>
      <c r="E855" s="1018">
        <f>Fixed!N333</f>
        <v>0.02</v>
      </c>
      <c r="F855" s="1018">
        <f>Fixed!O333</f>
        <v>0.02</v>
      </c>
      <c r="G855" s="1018">
        <f>Fixed!P333</f>
        <v>0.02</v>
      </c>
      <c r="H855" s="1018">
        <f>Fixed!Q333</f>
        <v>0.02</v>
      </c>
      <c r="I855" s="1018">
        <f>Fixed!R333</f>
        <v>0.02</v>
      </c>
      <c r="J855" s="1018">
        <f>Fixed!S333</f>
        <v>0.02</v>
      </c>
      <c r="K855" s="1018">
        <f>Fixed!T333</f>
        <v>0.02</v>
      </c>
      <c r="L855" s="1018">
        <f>Fixed!U333</f>
        <v>0.02</v>
      </c>
      <c r="M855" s="1018">
        <f>Fixed!V333</f>
        <v>0.02</v>
      </c>
      <c r="N855" s="1018">
        <f>Fixed!W333</f>
        <v>0.02</v>
      </c>
      <c r="O855" s="1018">
        <f>Fixed!X333</f>
        <v>0.02</v>
      </c>
      <c r="P855" s="1018">
        <f>Fixed!Y333</f>
        <v>0.02</v>
      </c>
      <c r="Q855" s="1018">
        <f>Fixed!Z333</f>
        <v>0.02</v>
      </c>
    </row>
    <row r="856" spans="2:17">
      <c r="B856" s="998" t="s">
        <v>2041</v>
      </c>
      <c r="C856" s="1019"/>
      <c r="D856" s="1019"/>
      <c r="E856" s="1019">
        <f>Fixed!N334</f>
        <v>5</v>
      </c>
      <c r="F856" s="1019">
        <f>Fixed!O334</f>
        <v>5.0999999999999996</v>
      </c>
      <c r="G856" s="1019">
        <f>Fixed!P334</f>
        <v>5.202</v>
      </c>
      <c r="H856" s="1019">
        <f>Fixed!Q334</f>
        <v>5.3060400000000003</v>
      </c>
      <c r="I856" s="1019">
        <f>Fixed!R334</f>
        <v>5.4121608000000005</v>
      </c>
      <c r="J856" s="1019">
        <f>Fixed!S334</f>
        <v>5.5204040160000005</v>
      </c>
      <c r="K856" s="1019">
        <f>Fixed!T334</f>
        <v>5.6308120963200006</v>
      </c>
      <c r="L856" s="1019">
        <f>Fixed!U334</f>
        <v>5.7434283382464004</v>
      </c>
      <c r="M856" s="1019">
        <f>Fixed!V334</f>
        <v>5.8582969050113283</v>
      </c>
      <c r="N856" s="1019">
        <f>Fixed!W334</f>
        <v>5.9754628431115551</v>
      </c>
      <c r="O856" s="1019">
        <f>Fixed!X334</f>
        <v>6.094972099973786</v>
      </c>
      <c r="P856" s="1019">
        <f>Fixed!Y334</f>
        <v>6.2168715419732621</v>
      </c>
      <c r="Q856" s="1019">
        <f>Fixed!Z334</f>
        <v>6.3412089728127272</v>
      </c>
    </row>
    <row r="857" spans="2:17">
      <c r="B857" s="998" t="s">
        <v>1382</v>
      </c>
      <c r="C857" s="1018"/>
      <c r="D857" s="1018"/>
      <c r="E857" s="1018"/>
      <c r="F857" s="1018">
        <f>Fixed!O335</f>
        <v>0.02</v>
      </c>
      <c r="G857" s="1018">
        <f>Fixed!P335</f>
        <v>0.02</v>
      </c>
      <c r="H857" s="1018">
        <f>Fixed!Q335</f>
        <v>0.02</v>
      </c>
      <c r="I857" s="1018">
        <f>Fixed!R335</f>
        <v>0.02</v>
      </c>
      <c r="J857" s="1018">
        <f>Fixed!S335</f>
        <v>0.02</v>
      </c>
      <c r="K857" s="1018">
        <f>Fixed!T335</f>
        <v>0.02</v>
      </c>
      <c r="L857" s="1018">
        <f>Fixed!U335</f>
        <v>0.02</v>
      </c>
      <c r="M857" s="1018">
        <f>Fixed!V335</f>
        <v>0.02</v>
      </c>
      <c r="N857" s="1018">
        <f>Fixed!W335</f>
        <v>0.02</v>
      </c>
      <c r="O857" s="1018">
        <f>Fixed!X335</f>
        <v>0.02</v>
      </c>
      <c r="P857" s="1018">
        <f>Fixed!Y335</f>
        <v>0.02</v>
      </c>
      <c r="Q857" s="1018">
        <f>Fixed!Z335</f>
        <v>0.02</v>
      </c>
    </row>
    <row r="858" spans="2:17">
      <c r="E858" s="1148"/>
    </row>
    <row r="859" spans="2:17">
      <c r="B859" s="1031" t="s">
        <v>2023</v>
      </c>
      <c r="C859" s="1030">
        <f>C875</f>
        <v>0.93600000000000005</v>
      </c>
      <c r="D859" s="1030">
        <f t="shared" ref="D859:Q859" ca="1" si="199">D875</f>
        <v>2.8109999999999999</v>
      </c>
      <c r="E859" s="1030">
        <f t="shared" ca="1" si="199"/>
        <v>4.4590300166263432</v>
      </c>
      <c r="F859" s="1030">
        <f t="shared" ca="1" si="199"/>
        <v>7.3469772125866655</v>
      </c>
      <c r="G859" s="1030">
        <f t="shared" ca="1" si="199"/>
        <v>12.386158288071158</v>
      </c>
      <c r="H859" s="1030">
        <f t="shared" ca="1" si="199"/>
        <v>19.517428807888649</v>
      </c>
      <c r="I859" s="1030">
        <f t="shared" ca="1" si="199"/>
        <v>29.639221714849214</v>
      </c>
      <c r="J859" s="1030">
        <f t="shared" ca="1" si="199"/>
        <v>44.330015157269827</v>
      </c>
      <c r="K859" s="1030">
        <f t="shared" ca="1" si="199"/>
        <v>62.053014543760071</v>
      </c>
      <c r="L859" s="1030">
        <f t="shared" ca="1" si="199"/>
        <v>79.627300731223613</v>
      </c>
      <c r="M859" s="1030">
        <f t="shared" ca="1" si="199"/>
        <v>97.015482079866899</v>
      </c>
      <c r="N859" s="1030">
        <f t="shared" ca="1" si="199"/>
        <v>114.17797114080878</v>
      </c>
      <c r="O859" s="1030">
        <f t="shared" ca="1" si="199"/>
        <v>131.07289072963704</v>
      </c>
      <c r="P859" s="1030">
        <f t="shared" ca="1" si="199"/>
        <v>147.65597658503913</v>
      </c>
      <c r="Q859" s="1030">
        <f t="shared" ca="1" si="199"/>
        <v>163.88047650051419</v>
      </c>
    </row>
    <row r="860" spans="2:17">
      <c r="B860" s="1112" t="s">
        <v>2022</v>
      </c>
      <c r="C860" s="1273">
        <f>C873</f>
        <v>13</v>
      </c>
      <c r="D860" s="1273">
        <f t="shared" ref="D860:Q860" ca="1" si="200">D873</f>
        <v>13</v>
      </c>
      <c r="E860" s="1273">
        <f t="shared" ca="1" si="200"/>
        <v>13.206052149038902</v>
      </c>
      <c r="F860" s="1273">
        <f t="shared" ca="1" si="200"/>
        <v>14.55460426526424</v>
      </c>
      <c r="G860" s="1273">
        <f t="shared" ca="1" si="200"/>
        <v>16.073174937004897</v>
      </c>
      <c r="H860" s="1273">
        <f t="shared" ca="1" si="200"/>
        <v>17.109565995532925</v>
      </c>
      <c r="I860" s="1273">
        <f t="shared" ca="1" si="200"/>
        <v>17.854486369059977</v>
      </c>
      <c r="J860" s="1273">
        <f t="shared" ca="1" si="200"/>
        <v>18.421711406815696</v>
      </c>
      <c r="K860" s="1273">
        <f t="shared" ca="1" si="200"/>
        <v>18.75516167105631</v>
      </c>
      <c r="L860" s="1273">
        <f t="shared" ca="1" si="200"/>
        <v>18.878127218838486</v>
      </c>
      <c r="M860" s="1273">
        <f t="shared" ca="1" si="200"/>
        <v>18.894645593373411</v>
      </c>
      <c r="N860" s="1273">
        <f t="shared" ca="1" si="200"/>
        <v>18.846437636946444</v>
      </c>
      <c r="O860" s="1273">
        <f t="shared" ca="1" si="200"/>
        <v>18.753325511348169</v>
      </c>
      <c r="P860" s="1273">
        <f t="shared" ca="1" si="200"/>
        <v>18.625799537297716</v>
      </c>
      <c r="Q860" s="1273">
        <f t="shared" ca="1" si="200"/>
        <v>18.46981739673749</v>
      </c>
    </row>
    <row r="861" spans="2:17">
      <c r="E861" s="1148"/>
    </row>
    <row r="862" spans="2:17">
      <c r="E862" s="1148"/>
    </row>
    <row r="863" spans="2:17">
      <c r="B863" s="1011" t="s">
        <v>1843</v>
      </c>
      <c r="C863" s="1011">
        <v>2022</v>
      </c>
      <c r="D863" s="1011">
        <f>C863+1</f>
        <v>2023</v>
      </c>
      <c r="E863" s="1011">
        <f t="shared" ref="E863:Q863" si="201">D863+1</f>
        <v>2024</v>
      </c>
      <c r="F863" s="1011">
        <f t="shared" si="201"/>
        <v>2025</v>
      </c>
      <c r="G863" s="1011">
        <f t="shared" si="201"/>
        <v>2026</v>
      </c>
      <c r="H863" s="1011">
        <f t="shared" si="201"/>
        <v>2027</v>
      </c>
      <c r="I863" s="1011">
        <f t="shared" si="201"/>
        <v>2028</v>
      </c>
      <c r="J863" s="1011">
        <f t="shared" si="201"/>
        <v>2029</v>
      </c>
      <c r="K863" s="1011">
        <f t="shared" si="201"/>
        <v>2030</v>
      </c>
      <c r="L863" s="1011">
        <f t="shared" si="201"/>
        <v>2031</v>
      </c>
      <c r="M863" s="1011">
        <f t="shared" si="201"/>
        <v>2032</v>
      </c>
      <c r="N863" s="1011">
        <f t="shared" si="201"/>
        <v>2033</v>
      </c>
      <c r="O863" s="1011">
        <f t="shared" si="201"/>
        <v>2034</v>
      </c>
      <c r="P863" s="1011">
        <f t="shared" si="201"/>
        <v>2035</v>
      </c>
      <c r="Q863" s="1011">
        <f t="shared" si="201"/>
        <v>2036</v>
      </c>
    </row>
    <row r="864" spans="2:17">
      <c r="B864" s="1058" t="s">
        <v>1845</v>
      </c>
      <c r="C864" s="1196">
        <f>Fixed!L158</f>
        <v>8.4</v>
      </c>
      <c r="D864" s="1196">
        <f>Fixed!M158</f>
        <v>8.3307723311365312</v>
      </c>
      <c r="E864" s="1196">
        <f>Fixed!N158</f>
        <v>8.0865343946392674</v>
      </c>
      <c r="F864" s="1196">
        <f>Fixed!O158</f>
        <v>8.3547192123272112</v>
      </c>
      <c r="G864" s="1196">
        <f>Fixed!P158</f>
        <v>8.4131238092423004</v>
      </c>
      <c r="H864" s="1196">
        <f>Fixed!Q158</f>
        <v>8.4754857962861916</v>
      </c>
      <c r="I864" s="1196">
        <f>Fixed!R158</f>
        <v>8.541862520801768</v>
      </c>
      <c r="J864" s="1196">
        <f>Fixed!S158</f>
        <v>8.6123120813397573</v>
      </c>
      <c r="K864" s="1196">
        <f>Fixed!T158</f>
        <v>8.6868933369481596</v>
      </c>
      <c r="L864" s="1196">
        <f>Fixed!U158</f>
        <v>8.7656659165723276</v>
      </c>
      <c r="M864" s="1196">
        <f>Fixed!V158</f>
        <v>8.8486902285670155</v>
      </c>
      <c r="N864" s="1196">
        <f>Fixed!W158</f>
        <v>8.9360274703216724</v>
      </c>
      <c r="O864" s="1196">
        <f>Fixed!X158</f>
        <v>9.0277396380002966</v>
      </c>
      <c r="P864" s="1196">
        <f>Fixed!Y158</f>
        <v>9.1238895363971935</v>
      </c>
      <c r="Q864" s="1196">
        <f>Fixed!Z158</f>
        <v>9.2245407889099607</v>
      </c>
    </row>
    <row r="865" spans="2:17">
      <c r="B865" s="998" t="s">
        <v>1196</v>
      </c>
      <c r="C865" s="1018">
        <f>Fixed!L159</f>
        <v>-4.5454545454545525E-2</v>
      </c>
      <c r="D865" s="1018">
        <f>Fixed!M159</f>
        <v>-8.2413891504129477E-3</v>
      </c>
      <c r="E865" s="1018">
        <f>Fixed!N159</f>
        <v>-2.93175622606342E-2</v>
      </c>
      <c r="F865" s="1018">
        <f>Fixed!O159</f>
        <v>3.3164369877129118E-2</v>
      </c>
      <c r="G865" s="1018">
        <f>Fixed!P159</f>
        <v>6.9906115849966977E-3</v>
      </c>
      <c r="H865" s="1018">
        <f>Fixed!Q159</f>
        <v>7.4124651506237704E-3</v>
      </c>
      <c r="I865" s="1018">
        <f>Fixed!R159</f>
        <v>7.8316129731066386E-3</v>
      </c>
      <c r="J865" s="1018">
        <f>Fixed!S159</f>
        <v>8.2475643182531311E-3</v>
      </c>
      <c r="K865" s="1018">
        <f>Fixed!T159</f>
        <v>8.6598412718923434E-3</v>
      </c>
      <c r="L865" s="1018">
        <f>Fixed!U159</f>
        <v>9.067980527529107E-3</v>
      </c>
      <c r="M865" s="1018">
        <f>Fixed!V159</f>
        <v>9.4715350533405296E-3</v>
      </c>
      <c r="N865" s="1018">
        <f>Fixed!W159</f>
        <v>9.870075626864816E-3</v>
      </c>
      <c r="O865" s="1018">
        <f>Fixed!X159</f>
        <v>1.0263192227555118E-2</v>
      </c>
      <c r="P865" s="1018">
        <f>Fixed!Y159</f>
        <v>1.0650495279258543E-2</v>
      </c>
      <c r="Q865" s="1018">
        <f>Fixed!Z159</f>
        <v>1.1031616736617345E-2</v>
      </c>
    </row>
    <row r="866" spans="2:17">
      <c r="B866" s="1031" t="s">
        <v>1844</v>
      </c>
      <c r="C866" s="1030">
        <f>Fixed!L179</f>
        <v>202.52998415548132</v>
      </c>
      <c r="D866" s="1030">
        <f>Fixed!M179</f>
        <v>188.7110290691534</v>
      </c>
      <c r="E866" s="1030">
        <f ca="1">Fixed!N179</f>
        <v>147.8752560329269</v>
      </c>
      <c r="F866" s="1030">
        <f ca="1">Fixed!O179</f>
        <v>123.26951824633576</v>
      </c>
      <c r="G866" s="1030">
        <f ca="1">Fixed!P179</f>
        <v>123.63941285987076</v>
      </c>
      <c r="H866" s="1030">
        <f ca="1">Fixed!Q179</f>
        <v>120.54650944736628</v>
      </c>
      <c r="I866" s="1030">
        <f ca="1">Fixed!R179</f>
        <v>117.8941871808581</v>
      </c>
      <c r="J866" s="1030">
        <f ca="1">Fixed!S179</f>
        <v>115.65756367681243</v>
      </c>
      <c r="K866" s="1030">
        <f ca="1">Fixed!T179</f>
        <v>113.62424001572842</v>
      </c>
      <c r="L866" s="1030">
        <f ca="1">Fixed!U179</f>
        <v>111.59078845112856</v>
      </c>
      <c r="M866" s="1030">
        <f ca="1">Fixed!V179</f>
        <v>109.55358776392953</v>
      </c>
      <c r="N866" s="1030">
        <f ca="1">Fixed!W179</f>
        <v>107.50894244546552</v>
      </c>
      <c r="O866" s="1030">
        <f ca="1">Fixed!X179</f>
        <v>105.45308144484754</v>
      </c>
      <c r="P866" s="1030">
        <f ca="1">Fixed!Y179</f>
        <v>103.38215689740892</v>
      </c>
      <c r="Q866" s="1030">
        <f ca="1">Fixed!Z179</f>
        <v>101.29224283397139</v>
      </c>
    </row>
    <row r="867" spans="2:17">
      <c r="B867" s="1031" t="s">
        <v>1334</v>
      </c>
      <c r="C867" s="1193">
        <f>Fixed!L180</f>
        <v>-7.1980002905925322E-2</v>
      </c>
      <c r="D867" s="1193">
        <f>Fixed!M180</f>
        <v>-6.8231650458823734E-2</v>
      </c>
      <c r="E867" s="1193">
        <f ca="1">Fixed!N180</f>
        <v>-0.21639314478679561</v>
      </c>
      <c r="F867" s="1193">
        <f ca="1">Fixed!O180</f>
        <v>-0.16639523370368503</v>
      </c>
      <c r="G867" s="1193">
        <f ca="1">Fixed!P180</f>
        <v>3.0006981352503903E-3</v>
      </c>
      <c r="H867" s="1193">
        <f ca="1">Fixed!Q180</f>
        <v>-2.501551358877685E-2</v>
      </c>
      <c r="I867" s="1193">
        <f ca="1">Fixed!R180</f>
        <v>-2.2002480857118867E-2</v>
      </c>
      <c r="J867" s="1193">
        <f ca="1">Fixed!S180</f>
        <v>-1.8971448529642276E-2</v>
      </c>
      <c r="K867" s="1193">
        <f ca="1">Fixed!T180</f>
        <v>-1.7580550691572827E-2</v>
      </c>
      <c r="L867" s="1193">
        <f ca="1">Fixed!U180</f>
        <v>-1.789628308465141E-2</v>
      </c>
      <c r="M867" s="1193">
        <f ca="1">Fixed!V180</f>
        <v>-1.825599330800709E-2</v>
      </c>
      <c r="N867" s="1193">
        <f ca="1">Fixed!W180</f>
        <v>-1.8663426366919977E-2</v>
      </c>
      <c r="O867" s="1193">
        <f ca="1">Fixed!X180</f>
        <v>-1.9122697645926778E-2</v>
      </c>
      <c r="P867" s="1193">
        <f ca="1">Fixed!Y180</f>
        <v>-1.9638350241303559E-2</v>
      </c>
      <c r="Q867" s="1193">
        <f ca="1">Fixed!Z180</f>
        <v>-2.0215423300864677E-2</v>
      </c>
    </row>
    <row r="869" spans="2:17" ht="13.5" thickBot="1">
      <c r="B869" s="998" t="s">
        <v>1846</v>
      </c>
      <c r="C869" s="1019">
        <f>Fixed!L161</f>
        <v>24.2</v>
      </c>
      <c r="D869" s="1019">
        <f>Fixed!M161</f>
        <v>24.290818524144427</v>
      </c>
      <c r="E869" s="1019">
        <f>Fixed!N161</f>
        <v>24.533726709385871</v>
      </c>
      <c r="F869" s="1019">
        <f>Fixed!O161</f>
        <v>24.77906397647973</v>
      </c>
      <c r="G869" s="1019">
        <f>Fixed!P161</f>
        <v>25.274645256009325</v>
      </c>
      <c r="H869" s="1019">
        <f>Fixed!Q161</f>
        <v>25.780138161129511</v>
      </c>
      <c r="I869" s="1019">
        <f>Fixed!R161</f>
        <v>26.295740924352103</v>
      </c>
      <c r="J869" s="1019">
        <f>Fixed!S161</f>
        <v>27.084613152082667</v>
      </c>
      <c r="K869" s="1019">
        <f>Fixed!T161</f>
        <v>27.897151546645148</v>
      </c>
      <c r="L869" s="1019">
        <f>Fixed!U161</f>
        <v>29.013037608510956</v>
      </c>
      <c r="M869" s="1019">
        <f>Fixed!V161</f>
        <v>30.173559112851397</v>
      </c>
      <c r="N869" s="1019">
        <f>Fixed!W161</f>
        <v>31.380501477365453</v>
      </c>
      <c r="O869" s="1019">
        <f>Fixed!X161</f>
        <v>32.635721536460075</v>
      </c>
      <c r="P869" s="1019">
        <f>Fixed!Y161</f>
        <v>33.941150397918477</v>
      </c>
      <c r="Q869" s="1019">
        <f>Fixed!Z161</f>
        <v>35.29879641383522</v>
      </c>
    </row>
    <row r="870" spans="2:17" ht="13.5" thickBot="1">
      <c r="B870" s="998" t="s">
        <v>1196</v>
      </c>
      <c r="C870" s="1002">
        <f>Fixed!L162</f>
        <v>4.1493775933609811E-3</v>
      </c>
      <c r="D870" s="1002">
        <f>Fixed!M162</f>
        <v>3.7528315762160869E-3</v>
      </c>
      <c r="E870" s="1269">
        <f>Fixed!N162</f>
        <v>0.01</v>
      </c>
      <c r="F870" s="1270">
        <f>Fixed!O162</f>
        <v>0.01</v>
      </c>
      <c r="G870" s="1270">
        <f>Fixed!P162</f>
        <v>0.02</v>
      </c>
      <c r="H870" s="1270">
        <f>Fixed!Q162</f>
        <v>0.02</v>
      </c>
      <c r="I870" s="1270">
        <f>Fixed!R162</f>
        <v>0.02</v>
      </c>
      <c r="J870" s="1270">
        <f>Fixed!S162</f>
        <v>0.03</v>
      </c>
      <c r="K870" s="1270">
        <f>Fixed!T162</f>
        <v>0.03</v>
      </c>
      <c r="L870" s="1270">
        <f>Fixed!U162</f>
        <v>0.04</v>
      </c>
      <c r="M870" s="1270">
        <f>Fixed!V162</f>
        <v>0.04</v>
      </c>
      <c r="N870" s="1270">
        <f>Fixed!W162</f>
        <v>0.04</v>
      </c>
      <c r="O870" s="1270">
        <f>Fixed!X162</f>
        <v>0.04</v>
      </c>
      <c r="P870" s="1270">
        <f>Fixed!Y162</f>
        <v>0.04</v>
      </c>
      <c r="Q870" s="1271">
        <f>Fixed!Z162</f>
        <v>0.04</v>
      </c>
    </row>
    <row r="871" spans="2:17">
      <c r="B871" s="1031" t="s">
        <v>1901</v>
      </c>
      <c r="C871" s="1030">
        <f>C877*Fixed!L200/Fixed!L198</f>
        <v>157.54322310999999</v>
      </c>
      <c r="D871" s="1030">
        <f ca="1">D877*Fixed!M200/Fixed!M198</f>
        <v>168.13099800000001</v>
      </c>
      <c r="E871" s="1030">
        <f ca="1">E877*Fixed!N200/Fixed!N198</f>
        <v>187.37801335158861</v>
      </c>
      <c r="F871" s="1030">
        <f ca="1">F877*Fixed!O200/Fixed!O198</f>
        <v>208.40147837195119</v>
      </c>
      <c r="G871" s="1030">
        <f ca="1">G877*Fixed!P200/Fixed!P198</f>
        <v>229.76209426355169</v>
      </c>
      <c r="H871" s="1030">
        <f ca="1">H877*Fixed!Q200/Fixed!Q198</f>
        <v>250.8230735013594</v>
      </c>
      <c r="I871" s="1030">
        <f ca="1">I877*Fixed!R200/Fixed!R198</f>
        <v>269.98113644577961</v>
      </c>
      <c r="J871" s="1030">
        <f ca="1">J877*Fixed!S200/Fixed!S198</f>
        <v>289.00720371738117</v>
      </c>
      <c r="K871" s="1030">
        <f ca="1">K877*Fixed!T200/Fixed!T198</f>
        <v>305.16672088094123</v>
      </c>
      <c r="L871" s="1030">
        <f ca="1">L877*Fixed!U200/Fixed!U198</f>
        <v>323.0524347154082</v>
      </c>
      <c r="M871" s="1030">
        <f ca="1">M877*Fixed!V200/Fixed!V198</f>
        <v>341.91694717415845</v>
      </c>
      <c r="N871" s="1030">
        <f ca="1">N877*Fixed!W200/Fixed!W198</f>
        <v>361.81139333583684</v>
      </c>
      <c r="O871" s="1030">
        <f ca="1">O877*Fixed!X200/Fixed!X198</f>
        <v>382.78949094081474</v>
      </c>
      <c r="P871" s="1030">
        <f ca="1">P877*Fixed!Y200/Fixed!Y198</f>
        <v>404.90766750533083</v>
      </c>
      <c r="Q871" s="1030">
        <f ca="1">Q877*Fixed!Z200/Fixed!Z198</f>
        <v>428.22519356519967</v>
      </c>
    </row>
    <row r="872" spans="2:17">
      <c r="C872" s="1003"/>
      <c r="D872" s="1003"/>
      <c r="E872" s="1003"/>
      <c r="F872" s="1003"/>
      <c r="G872" s="1003"/>
      <c r="H872" s="1003"/>
      <c r="I872" s="1003"/>
      <c r="J872" s="1003"/>
      <c r="K872" s="1003"/>
      <c r="L872" s="1003"/>
      <c r="M872" s="1003"/>
      <c r="N872" s="1003"/>
      <c r="O872" s="1003"/>
      <c r="P872" s="1003"/>
      <c r="Q872" s="1003"/>
    </row>
    <row r="873" spans="2:17">
      <c r="B873" s="998" t="s">
        <v>1847</v>
      </c>
      <c r="C873" s="1019">
        <f>Fixed!L163</f>
        <v>13</v>
      </c>
      <c r="D873" s="1019">
        <f ca="1">Fixed!M163</f>
        <v>13</v>
      </c>
      <c r="E873" s="1019">
        <f ca="1">Fixed!N163</f>
        <v>13.206052149038902</v>
      </c>
      <c r="F873" s="1019">
        <f ca="1">Fixed!O163</f>
        <v>14.55460426526424</v>
      </c>
      <c r="G873" s="1019">
        <f ca="1">Fixed!P163</f>
        <v>16.073174937004897</v>
      </c>
      <c r="H873" s="1019">
        <f ca="1">Fixed!Q163</f>
        <v>17.109565995532925</v>
      </c>
      <c r="I873" s="1019">
        <f ca="1">Fixed!R163</f>
        <v>17.854486369059977</v>
      </c>
      <c r="J873" s="1019">
        <f ca="1">Fixed!S163</f>
        <v>18.421711406815696</v>
      </c>
      <c r="K873" s="1019">
        <f ca="1">Fixed!T163</f>
        <v>18.75516167105631</v>
      </c>
      <c r="L873" s="1019">
        <f ca="1">Fixed!U163</f>
        <v>18.878127218838486</v>
      </c>
      <c r="M873" s="1019">
        <f ca="1">Fixed!V163</f>
        <v>18.894645593373411</v>
      </c>
      <c r="N873" s="1019">
        <f ca="1">Fixed!W163</f>
        <v>18.846437636946444</v>
      </c>
      <c r="O873" s="1019">
        <f ca="1">Fixed!X163</f>
        <v>18.753325511348169</v>
      </c>
      <c r="P873" s="1019">
        <f ca="1">Fixed!Y163</f>
        <v>18.625799537297716</v>
      </c>
      <c r="Q873" s="1019">
        <f ca="1">Fixed!Z163</f>
        <v>18.46981739673749</v>
      </c>
    </row>
    <row r="874" spans="2:17">
      <c r="B874" s="998" t="s">
        <v>1196</v>
      </c>
      <c r="C874" s="1018">
        <f>Fixed!L164</f>
        <v>0</v>
      </c>
      <c r="D874" s="1018">
        <f ca="1">Fixed!M164</f>
        <v>0</v>
      </c>
      <c r="E874" s="1018">
        <f ca="1">Fixed!N164</f>
        <v>1.5850165310684838E-2</v>
      </c>
      <c r="F874" s="1018">
        <f ca="1">Fixed!O164</f>
        <v>0.10211621921570879</v>
      </c>
      <c r="G874" s="1018">
        <f ca="1">Fixed!P164</f>
        <v>0.1043361017629898</v>
      </c>
      <c r="H874" s="1018">
        <f ca="1">Fixed!Q164</f>
        <v>6.4479548228021155E-2</v>
      </c>
      <c r="I874" s="1018">
        <f ca="1">Fixed!R164</f>
        <v>4.3538239001593704E-2</v>
      </c>
      <c r="J874" s="1018">
        <f ca="1">Fixed!S164</f>
        <v>3.1769328225462967E-2</v>
      </c>
      <c r="K874" s="1018">
        <f ca="1">Fixed!T164</f>
        <v>1.810093844577576E-2</v>
      </c>
      <c r="L874" s="1018">
        <f ca="1">Fixed!U164</f>
        <v>6.5563576544338531E-3</v>
      </c>
      <c r="M874" s="1018">
        <f ca="1">Fixed!V164</f>
        <v>8.7500070019874698E-4</v>
      </c>
      <c r="N874" s="1018">
        <f ca="1">Fixed!W164</f>
        <v>-2.551408344164674E-3</v>
      </c>
      <c r="O874" s="1018">
        <f ca="1">Fixed!X164</f>
        <v>-4.9405690025863258E-3</v>
      </c>
      <c r="P874" s="1018">
        <f ca="1">Fixed!Y164</f>
        <v>-6.8001791987923887E-3</v>
      </c>
      <c r="Q874" s="1018">
        <f ca="1">Fixed!Z164</f>
        <v>-8.3745205271793521E-3</v>
      </c>
    </row>
    <row r="875" spans="2:17">
      <c r="B875" s="998" t="s">
        <v>1902</v>
      </c>
      <c r="C875" s="1275">
        <f>Fixed!L201</f>
        <v>0.93600000000000005</v>
      </c>
      <c r="D875" s="1275">
        <f ca="1">Fixed!M201</f>
        <v>2.8109999999999999</v>
      </c>
      <c r="E875" s="1003">
        <f t="shared" ref="E875:P875" ca="1" si="202">E877-E871</f>
        <v>4.4590300166263432</v>
      </c>
      <c r="F875" s="1003">
        <f t="shared" ca="1" si="202"/>
        <v>7.3469772125866655</v>
      </c>
      <c r="G875" s="1003">
        <f t="shared" ca="1" si="202"/>
        <v>12.386158288071158</v>
      </c>
      <c r="H875" s="1003">
        <f t="shared" ca="1" si="202"/>
        <v>19.517428807888649</v>
      </c>
      <c r="I875" s="1003">
        <f t="shared" ca="1" si="202"/>
        <v>29.639221714849214</v>
      </c>
      <c r="J875" s="1003">
        <f t="shared" ca="1" si="202"/>
        <v>44.330015157269827</v>
      </c>
      <c r="K875" s="1003">
        <f t="shared" ca="1" si="202"/>
        <v>62.053014543760071</v>
      </c>
      <c r="L875" s="1003">
        <f t="shared" ca="1" si="202"/>
        <v>79.627300731223613</v>
      </c>
      <c r="M875" s="1003">
        <f t="shared" ca="1" si="202"/>
        <v>97.015482079866899</v>
      </c>
      <c r="N875" s="1003">
        <f t="shared" ca="1" si="202"/>
        <v>114.17797114080878</v>
      </c>
      <c r="O875" s="1003">
        <f t="shared" ca="1" si="202"/>
        <v>131.07289072963704</v>
      </c>
      <c r="P875" s="1003">
        <f t="shared" ca="1" si="202"/>
        <v>147.65597658503913</v>
      </c>
      <c r="Q875" s="1003">
        <f ca="1">Q877-Q871</f>
        <v>163.88047650051419</v>
      </c>
    </row>
    <row r="876" spans="2:17">
      <c r="C876" s="1018"/>
      <c r="D876" s="1018"/>
      <c r="E876" s="1018"/>
      <c r="F876" s="1018"/>
      <c r="G876" s="1018"/>
      <c r="H876" s="1018"/>
      <c r="I876" s="1018"/>
      <c r="J876" s="1018"/>
      <c r="K876" s="1018"/>
      <c r="L876" s="1018"/>
      <c r="M876" s="1018"/>
      <c r="N876" s="1018"/>
      <c r="O876" s="1018"/>
      <c r="P876" s="1018"/>
      <c r="Q876" s="1018"/>
    </row>
    <row r="877" spans="2:17">
      <c r="B877" s="1031" t="s">
        <v>2081</v>
      </c>
      <c r="C877" s="1030">
        <f>Fixed!L181</f>
        <v>157.54322310999999</v>
      </c>
      <c r="D877" s="1030">
        <f>Fixed!M181</f>
        <v>168.13099800000001</v>
      </c>
      <c r="E877" s="1030">
        <f ca="1">Fixed!N181+Fixed!N201</f>
        <v>191.83704336821495</v>
      </c>
      <c r="F877" s="1030">
        <f ca="1">Fixed!O181+Fixed!O201</f>
        <v>215.74845558453785</v>
      </c>
      <c r="G877" s="1030">
        <f ca="1">Fixed!P181+Fixed!P201</f>
        <v>242.14825255162285</v>
      </c>
      <c r="H877" s="1030">
        <f ca="1">Fixed!Q181+Fixed!Q201</f>
        <v>270.34050230924805</v>
      </c>
      <c r="I877" s="1030">
        <f ca="1">Fixed!R181+Fixed!R201</f>
        <v>299.62035816062883</v>
      </c>
      <c r="J877" s="1030">
        <f ca="1">Fixed!S181+Fixed!S201</f>
        <v>333.337218874651</v>
      </c>
      <c r="K877" s="1030">
        <f ca="1">Fixed!T181+Fixed!T201</f>
        <v>367.2197354247013</v>
      </c>
      <c r="L877" s="1030">
        <f ca="1">Fixed!U181+Fixed!U201</f>
        <v>402.67973544663181</v>
      </c>
      <c r="M877" s="1030">
        <f ca="1">Fixed!V181+Fixed!V201</f>
        <v>438.93242925402535</v>
      </c>
      <c r="N877" s="1030">
        <f ca="1">Fixed!W181+Fixed!W201</f>
        <v>475.98936447664562</v>
      </c>
      <c r="O877" s="1030">
        <f ca="1">Fixed!X181+Fixed!X201</f>
        <v>513.86238167045178</v>
      </c>
      <c r="P877" s="1030">
        <f ca="1">Fixed!Y181+Fixed!Y201</f>
        <v>552.56364409036996</v>
      </c>
      <c r="Q877" s="1030">
        <f ca="1">Fixed!Z181+Fixed!Z201</f>
        <v>592.10567006571387</v>
      </c>
    </row>
    <row r="878" spans="2:17">
      <c r="B878" s="1031" t="s">
        <v>1334</v>
      </c>
      <c r="C878" s="1193">
        <f>Fixed!L182</f>
        <v>4.4302004999685174E-2</v>
      </c>
      <c r="D878" s="1193">
        <f>Fixed!M182</f>
        <v>6.7205524179275056E-2</v>
      </c>
      <c r="E878" s="1193">
        <f ca="1">Fixed!N182</f>
        <v>0.11447630467041292</v>
      </c>
      <c r="F878" s="1193">
        <f ca="1">Fixed!O182</f>
        <v>0.11219814237711545</v>
      </c>
      <c r="G878" s="1193">
        <f ca="1">Fixed!P182</f>
        <v>0.10249742976139764</v>
      </c>
      <c r="H878" s="1193">
        <f ca="1">Fixed!Q182</f>
        <v>9.1664289992279713E-2</v>
      </c>
      <c r="I878" s="1193">
        <f ca="1">Fixed!R182</f>
        <v>7.6380783781107686E-2</v>
      </c>
      <c r="J878" s="1193">
        <f ca="1">Fixed!S182</f>
        <v>7.0471839336903264E-2</v>
      </c>
      <c r="K878" s="1193">
        <f ca="1">Fixed!T182</f>
        <v>5.5913890573338065E-2</v>
      </c>
      <c r="L878" s="1193">
        <f ca="1">Fixed!U182</f>
        <v>5.8609647155611677E-2</v>
      </c>
      <c r="M878" s="1193">
        <f ca="1">Fixed!V182</f>
        <v>5.8394583762753083E-2</v>
      </c>
      <c r="N878" s="1193">
        <f ca="1">Fixed!W182</f>
        <v>5.8185025124083634E-2</v>
      </c>
      <c r="O878" s="1193">
        <f ca="1">Fixed!X182</f>
        <v>5.7980754590295058E-2</v>
      </c>
      <c r="P878" s="1193">
        <f ca="1">Fixed!Y182</f>
        <v>5.7781566861081712E-2</v>
      </c>
      <c r="Q878" s="1193">
        <f ca="1">Fixed!Z182</f>
        <v>5.7587267249173069E-2</v>
      </c>
    </row>
    <row r="880" spans="2:17">
      <c r="B880" s="998" t="s">
        <v>1848</v>
      </c>
      <c r="C880" s="1003">
        <f>Fixed!L207+Fixed!L210</f>
        <v>86.462994024518693</v>
      </c>
      <c r="D880" s="1003">
        <f>Fixed!M207+Fixed!M210</f>
        <v>95.219184490846601</v>
      </c>
      <c r="E880" s="1003">
        <f>Fixed!N207+Fixed!N210</f>
        <v>94.152321144521181</v>
      </c>
      <c r="F880" s="1003">
        <f>Fixed!O207+Fixed!O210</f>
        <v>95.131562912269615</v>
      </c>
      <c r="G880" s="1003">
        <f>Fixed!P207+Fixed!P210</f>
        <v>97.034194170515008</v>
      </c>
      <c r="H880" s="1003">
        <f>Fixed!Q207+Fixed!Q210</f>
        <v>98.974878053925323</v>
      </c>
      <c r="I880" s="1003">
        <f>Fixed!R207+Fixed!R210</f>
        <v>100.95437561500383</v>
      </c>
      <c r="J880" s="1003">
        <f>Fixed!S207+Fixed!S210</f>
        <v>102.9734631273039</v>
      </c>
      <c r="K880" s="1003">
        <f>Fixed!T207+Fixed!T210</f>
        <v>104.49235137111864</v>
      </c>
      <c r="L880" s="1003">
        <f>Fixed!U207+Fixed!U210</f>
        <v>106.03621156962238</v>
      </c>
      <c r="M880" s="1003">
        <f>Fixed!V207+Fixed!V210</f>
        <v>107.605489103807</v>
      </c>
      <c r="N880" s="1003">
        <f>Fixed!W207+Fixed!W210</f>
        <v>109.20063772170323</v>
      </c>
      <c r="O880" s="1003">
        <f>Fixed!X207+Fixed!X210</f>
        <v>110.82211970031558</v>
      </c>
      <c r="P880" s="1003">
        <f>Fixed!Y207+Fixed!Y210</f>
        <v>112.47040601074197</v>
      </c>
      <c r="Q880" s="1003">
        <f>Fixed!Z207+Fixed!Z210</f>
        <v>114.14597648654109</v>
      </c>
    </row>
    <row r="882" spans="2:18">
      <c r="B882" s="1031" t="s">
        <v>1849</v>
      </c>
      <c r="C882" s="1030">
        <f>C866+C877+C880</f>
        <v>446.53620129000001</v>
      </c>
      <c r="D882" s="1030">
        <f t="shared" ref="D882:Q882" si="203">D866+D877+D880</f>
        <v>452.06121156</v>
      </c>
      <c r="E882" s="1030">
        <f t="shared" ca="1" si="203"/>
        <v>433.86462054566306</v>
      </c>
      <c r="F882" s="1030">
        <f t="shared" ca="1" si="203"/>
        <v>434.14953674314324</v>
      </c>
      <c r="G882" s="1030">
        <f t="shared" ca="1" si="203"/>
        <v>462.82185958200864</v>
      </c>
      <c r="H882" s="1030">
        <f t="shared" ca="1" si="203"/>
        <v>489.86188981053965</v>
      </c>
      <c r="I882" s="1030">
        <f t="shared" ca="1" si="203"/>
        <v>518.46892095649082</v>
      </c>
      <c r="J882" s="1030">
        <f t="shared" ca="1" si="203"/>
        <v>551.9682456787674</v>
      </c>
      <c r="K882" s="1030">
        <f t="shared" ca="1" si="203"/>
        <v>585.33632681154836</v>
      </c>
      <c r="L882" s="1030">
        <f t="shared" ca="1" si="203"/>
        <v>620.30673546738274</v>
      </c>
      <c r="M882" s="1030">
        <f t="shared" ca="1" si="203"/>
        <v>656.09150612176188</v>
      </c>
      <c r="N882" s="1030">
        <f t="shared" ca="1" si="203"/>
        <v>692.69894464381446</v>
      </c>
      <c r="O882" s="1030">
        <f t="shared" ca="1" si="203"/>
        <v>730.13758281561491</v>
      </c>
      <c r="P882" s="1030">
        <f t="shared" ca="1" si="203"/>
        <v>768.41620699852081</v>
      </c>
      <c r="Q882" s="1030">
        <f t="shared" ca="1" si="203"/>
        <v>807.54388938622628</v>
      </c>
      <c r="R882" s="1003">
        <f ca="1">Q882-F882</f>
        <v>373.39435264308304</v>
      </c>
    </row>
    <row r="883" spans="2:18">
      <c r="B883" s="1112" t="s">
        <v>1334</v>
      </c>
      <c r="C883" s="1208">
        <f>Model!L10</f>
        <v>-3.5233196566933023E-2</v>
      </c>
      <c r="D883" s="1208">
        <f>Model!M10</f>
        <v>1.2373039977584765E-2</v>
      </c>
      <c r="E883" s="1208">
        <f ca="1">Model!N10</f>
        <v>-4.0252493576131143E-2</v>
      </c>
      <c r="F883" s="1208">
        <f ca="1">Model!O10</f>
        <v>6.5669377955246411E-4</v>
      </c>
      <c r="G883" s="1208">
        <f ca="1">Model!P10</f>
        <v>6.6042504741468555E-2</v>
      </c>
      <c r="H883" s="1208">
        <f ca="1">Model!Q10</f>
        <v>5.8424272036225355E-2</v>
      </c>
      <c r="I883" s="1208">
        <f ca="1">Model!R10</f>
        <v>5.8398156176254767E-2</v>
      </c>
      <c r="J883" s="1208">
        <f ca="1">Model!S10</f>
        <v>6.4612020833333172E-2</v>
      </c>
      <c r="K883" s="1208">
        <f ca="1">Model!T10</f>
        <v>6.0452899952147421E-2</v>
      </c>
      <c r="L883" s="1208">
        <f ca="1">Model!U10</f>
        <v>5.9744128382268391E-2</v>
      </c>
      <c r="M883" s="1208">
        <f ca="1">Model!V10</f>
        <v>5.7688831360853232E-2</v>
      </c>
      <c r="N883" s="1208">
        <f ca="1">Model!W10</f>
        <v>5.5796239061900677E-2</v>
      </c>
      <c r="O883" s="1208">
        <f ca="1">Model!X10</f>
        <v>5.4047488394906473E-2</v>
      </c>
      <c r="P883" s="1208">
        <f ca="1">Model!Y10</f>
        <v>5.2426590664313988E-2</v>
      </c>
      <c r="Q883" s="1208">
        <f ca="1">Model!Z10</f>
        <v>5.0919907767875694E-2</v>
      </c>
    </row>
    <row r="885" spans="2:18">
      <c r="B885" s="1011" t="s">
        <v>1813</v>
      </c>
      <c r="C885" s="1011">
        <v>2022</v>
      </c>
      <c r="D885" s="1011">
        <f>C885+1</f>
        <v>2023</v>
      </c>
      <c r="E885" s="1011">
        <f t="shared" ref="E885:Q885" si="204">D885+1</f>
        <v>2024</v>
      </c>
      <c r="F885" s="1011">
        <f t="shared" si="204"/>
        <v>2025</v>
      </c>
      <c r="G885" s="1011">
        <f t="shared" si="204"/>
        <v>2026</v>
      </c>
      <c r="H885" s="1011">
        <f t="shared" si="204"/>
        <v>2027</v>
      </c>
      <c r="I885" s="1011">
        <f t="shared" si="204"/>
        <v>2028</v>
      </c>
      <c r="J885" s="1011">
        <f t="shared" si="204"/>
        <v>2029</v>
      </c>
      <c r="K885" s="1011">
        <f t="shared" si="204"/>
        <v>2030</v>
      </c>
      <c r="L885" s="1011">
        <f t="shared" si="204"/>
        <v>2031</v>
      </c>
      <c r="M885" s="1011">
        <f t="shared" si="204"/>
        <v>2032</v>
      </c>
      <c r="N885" s="1011">
        <f t="shared" si="204"/>
        <v>2033</v>
      </c>
      <c r="O885" s="1011">
        <f t="shared" si="204"/>
        <v>2034</v>
      </c>
      <c r="P885" s="1011">
        <f t="shared" si="204"/>
        <v>2035</v>
      </c>
      <c r="Q885" s="1011">
        <f t="shared" si="204"/>
        <v>2036</v>
      </c>
    </row>
    <row r="886" spans="2:18">
      <c r="B886" s="1198" t="s">
        <v>1850</v>
      </c>
      <c r="C886" s="1103"/>
      <c r="D886" s="1103"/>
      <c r="E886" s="1103"/>
      <c r="F886" s="1103"/>
      <c r="G886" s="1103"/>
      <c r="H886" s="1103"/>
      <c r="I886" s="1103"/>
      <c r="J886" s="1103"/>
      <c r="K886" s="1103"/>
      <c r="L886" s="1103"/>
      <c r="M886" s="1103"/>
      <c r="N886" s="1103"/>
      <c r="O886" s="1103"/>
      <c r="P886" s="1103"/>
      <c r="Q886" s="1103"/>
    </row>
    <row r="887" spans="2:18">
      <c r="B887" s="998" t="s">
        <v>2020</v>
      </c>
      <c r="C887" s="1019">
        <f>Fixed!L330</f>
        <v>13</v>
      </c>
      <c r="D887" s="1019">
        <f>Fixed!M330</f>
        <v>13</v>
      </c>
      <c r="E887" s="1019">
        <f>Fixed!N330</f>
        <v>13.13</v>
      </c>
      <c r="F887" s="1019">
        <f>Fixed!O330</f>
        <v>13.2613</v>
      </c>
      <c r="G887" s="1019">
        <f>Fixed!P330</f>
        <v>13.393913000000001</v>
      </c>
      <c r="H887" s="1019">
        <f>Fixed!Q330</f>
        <v>13.527852130000001</v>
      </c>
      <c r="I887" s="1019">
        <f>Fixed!R330</f>
        <v>13.663130651300001</v>
      </c>
      <c r="J887" s="1019">
        <f>Fixed!S330</f>
        <v>13.799761957813001</v>
      </c>
      <c r="K887" s="1019">
        <f>Fixed!T330</f>
        <v>13.93775957739113</v>
      </c>
      <c r="L887" s="1019">
        <f>Fixed!U330</f>
        <v>14.077137173165042</v>
      </c>
      <c r="M887" s="1019">
        <f>Fixed!V330</f>
        <v>14.217908544896693</v>
      </c>
      <c r="N887" s="1019">
        <f>Fixed!W330</f>
        <v>14.36008763034566</v>
      </c>
      <c r="O887" s="1019">
        <f>Fixed!X330</f>
        <v>14.503688506649118</v>
      </c>
      <c r="P887" s="1019">
        <f>Fixed!Y330</f>
        <v>14.648725391715608</v>
      </c>
      <c r="Q887" s="1019">
        <f>Fixed!Z330</f>
        <v>14.795212645632764</v>
      </c>
    </row>
    <row r="888" spans="2:18">
      <c r="B888" s="998" t="s">
        <v>1382</v>
      </c>
      <c r="C888" s="1018">
        <f>Fixed!L331</f>
        <v>0</v>
      </c>
      <c r="D888" s="1018">
        <f>Fixed!M331</f>
        <v>0</v>
      </c>
      <c r="E888" s="1018">
        <f>Fixed!N331</f>
        <v>0.01</v>
      </c>
      <c r="F888" s="1018">
        <f>Fixed!O331</f>
        <v>0.01</v>
      </c>
      <c r="G888" s="1018">
        <f>Fixed!P331</f>
        <v>0.01</v>
      </c>
      <c r="H888" s="1018">
        <f>Fixed!Q331</f>
        <v>0.01</v>
      </c>
      <c r="I888" s="1018">
        <f>Fixed!R331</f>
        <v>0.01</v>
      </c>
      <c r="J888" s="1018">
        <f>Fixed!S331</f>
        <v>0.01</v>
      </c>
      <c r="K888" s="1018">
        <f>Fixed!T331</f>
        <v>0.01</v>
      </c>
      <c r="L888" s="1018">
        <f>Fixed!U331</f>
        <v>0.01</v>
      </c>
      <c r="M888" s="1018">
        <f>Fixed!V331</f>
        <v>0.01</v>
      </c>
      <c r="N888" s="1018">
        <f>Fixed!W331</f>
        <v>0.01</v>
      </c>
      <c r="O888" s="1018">
        <f>Fixed!X331</f>
        <v>0.01</v>
      </c>
      <c r="P888" s="1018">
        <f>Fixed!Y331</f>
        <v>0.01</v>
      </c>
      <c r="Q888" s="1018">
        <f>Fixed!Z331</f>
        <v>0.01</v>
      </c>
    </row>
    <row r="889" spans="2:18">
      <c r="B889" s="998" t="s">
        <v>2026</v>
      </c>
      <c r="C889" s="1019">
        <f>Fixed!L332</f>
        <v>20</v>
      </c>
      <c r="D889" s="1019">
        <f>Fixed!M332</f>
        <v>20</v>
      </c>
      <c r="E889" s="1019">
        <f>Fixed!N332</f>
        <v>20.399999999999999</v>
      </c>
      <c r="F889" s="1019">
        <f>Fixed!O332</f>
        <v>20.808</v>
      </c>
      <c r="G889" s="1019">
        <f>Fixed!P332</f>
        <v>21.224160000000001</v>
      </c>
      <c r="H889" s="1019">
        <f>Fixed!Q332</f>
        <v>21.648643200000002</v>
      </c>
      <c r="I889" s="1019">
        <f>Fixed!R332</f>
        <v>22.081616064000002</v>
      </c>
      <c r="J889" s="1019">
        <f>Fixed!S332</f>
        <v>22.523248385280002</v>
      </c>
      <c r="K889" s="1019">
        <f>Fixed!T332</f>
        <v>22.973713352985602</v>
      </c>
      <c r="L889" s="1019">
        <f>Fixed!U332</f>
        <v>23.433187620045313</v>
      </c>
      <c r="M889" s="1019">
        <f>Fixed!V332</f>
        <v>23.90185137244622</v>
      </c>
      <c r="N889" s="1019">
        <f>Fixed!W332</f>
        <v>24.379888399895144</v>
      </c>
      <c r="O889" s="1019">
        <f>Fixed!X332</f>
        <v>24.867486167893048</v>
      </c>
      <c r="P889" s="1019">
        <f>Fixed!Y332</f>
        <v>25.364835891250909</v>
      </c>
      <c r="Q889" s="1019">
        <f>Fixed!Z332</f>
        <v>25.872132609075926</v>
      </c>
    </row>
    <row r="890" spans="2:18">
      <c r="B890" s="998" t="s">
        <v>1382</v>
      </c>
      <c r="C890" s="1018">
        <f>Fixed!L333</f>
        <v>0</v>
      </c>
      <c r="D890" s="1018">
        <f>Fixed!M333</f>
        <v>0</v>
      </c>
      <c r="E890" s="1018">
        <f>Fixed!N333</f>
        <v>0.02</v>
      </c>
      <c r="F890" s="1018">
        <f>Fixed!O333</f>
        <v>0.02</v>
      </c>
      <c r="G890" s="1018">
        <f>Fixed!P333</f>
        <v>0.02</v>
      </c>
      <c r="H890" s="1018">
        <f>Fixed!Q333</f>
        <v>0.02</v>
      </c>
      <c r="I890" s="1018">
        <f>Fixed!R333</f>
        <v>0.02</v>
      </c>
      <c r="J890" s="1018">
        <f>Fixed!S333</f>
        <v>0.02</v>
      </c>
      <c r="K890" s="1018">
        <f>Fixed!T333</f>
        <v>0.02</v>
      </c>
      <c r="L890" s="1018">
        <f>Fixed!U333</f>
        <v>0.02</v>
      </c>
      <c r="M890" s="1018">
        <f>Fixed!V333</f>
        <v>0.02</v>
      </c>
      <c r="N890" s="1018">
        <f>Fixed!W333</f>
        <v>0.02</v>
      </c>
      <c r="O890" s="1018">
        <f>Fixed!X333</f>
        <v>0.02</v>
      </c>
      <c r="P890" s="1018">
        <f>Fixed!Y333</f>
        <v>0.02</v>
      </c>
      <c r="Q890" s="1018">
        <f>Fixed!Z333</f>
        <v>0.02</v>
      </c>
    </row>
    <row r="891" spans="2:18">
      <c r="B891" s="998" t="s">
        <v>2180</v>
      </c>
      <c r="C891" s="1019"/>
      <c r="D891" s="1019"/>
      <c r="E891" s="1019">
        <f>Fixed!N336</f>
        <v>15.399999999999999</v>
      </c>
      <c r="F891" s="1019">
        <f>Fixed!O336</f>
        <v>15.708</v>
      </c>
      <c r="G891" s="1019">
        <f>Fixed!P336</f>
        <v>16.02216</v>
      </c>
      <c r="H891" s="1019">
        <f>Fixed!Q336</f>
        <v>16.342603200000003</v>
      </c>
      <c r="I891" s="1019">
        <f>Fixed!R336</f>
        <v>16.669455264</v>
      </c>
      <c r="J891" s="1019">
        <f>Fixed!S336</f>
        <v>17.002844369280002</v>
      </c>
      <c r="K891" s="1019">
        <f>Fixed!T336</f>
        <v>17.342901256665602</v>
      </c>
      <c r="L891" s="1019">
        <f>Fixed!U336</f>
        <v>17.689759281798914</v>
      </c>
      <c r="M891" s="1019">
        <f>Fixed!V336</f>
        <v>18.043554467434891</v>
      </c>
      <c r="N891" s="1019">
        <f>Fixed!W336</f>
        <v>18.40442555678359</v>
      </c>
      <c r="O891" s="1019">
        <f>Fixed!X336</f>
        <v>18.772514067919261</v>
      </c>
      <c r="P891" s="1019">
        <f>Fixed!Y336</f>
        <v>19.147964349277647</v>
      </c>
      <c r="Q891" s="1019">
        <f>Fixed!Z336</f>
        <v>19.5309236362632</v>
      </c>
    </row>
    <row r="892" spans="2:18">
      <c r="B892" s="998" t="s">
        <v>1382</v>
      </c>
      <c r="C892" s="1018"/>
      <c r="D892" s="1018"/>
      <c r="E892" s="1018"/>
      <c r="F892" s="1018">
        <f>Fixed!O337</f>
        <v>2.0000000000000018E-2</v>
      </c>
      <c r="G892" s="1018">
        <f>Fixed!P337</f>
        <v>2.0000000000000018E-2</v>
      </c>
      <c r="H892" s="1018">
        <f>Fixed!Q337</f>
        <v>2.000000000000024E-2</v>
      </c>
      <c r="I892" s="1018">
        <f>Fixed!R337</f>
        <v>1.9999999999999796E-2</v>
      </c>
      <c r="J892" s="1018">
        <f>Fixed!S337</f>
        <v>2.0000000000000018E-2</v>
      </c>
      <c r="K892" s="1018">
        <f>Fixed!T337</f>
        <v>2.0000000000000018E-2</v>
      </c>
      <c r="L892" s="1018">
        <f>Fixed!U337</f>
        <v>2.0000000000000018E-2</v>
      </c>
      <c r="M892" s="1018">
        <f>Fixed!V337</f>
        <v>2.0000000000000018E-2</v>
      </c>
      <c r="N892" s="1018">
        <f>Fixed!W337</f>
        <v>2.0000000000000018E-2</v>
      </c>
      <c r="O892" s="1018">
        <f>Fixed!X337</f>
        <v>2.0000000000000018E-2</v>
      </c>
      <c r="P892" s="1018">
        <f>Fixed!Y337</f>
        <v>2.0000000000000018E-2</v>
      </c>
      <c r="Q892" s="1018">
        <f>Fixed!Z337</f>
        <v>2.0000000000000018E-2</v>
      </c>
    </row>
    <row r="893" spans="2:18">
      <c r="B893" s="998" t="s">
        <v>2027</v>
      </c>
      <c r="C893" s="1019"/>
      <c r="D893" s="1019"/>
      <c r="E893" s="1019">
        <f>Fixed!N334</f>
        <v>5</v>
      </c>
      <c r="F893" s="1019">
        <f>Fixed!O334</f>
        <v>5.0999999999999996</v>
      </c>
      <c r="G893" s="1019">
        <f>Fixed!P334</f>
        <v>5.202</v>
      </c>
      <c r="H893" s="1019">
        <f>Fixed!Q334</f>
        <v>5.3060400000000003</v>
      </c>
      <c r="I893" s="1019">
        <f>Fixed!R334</f>
        <v>5.4121608000000005</v>
      </c>
      <c r="J893" s="1019">
        <f>Fixed!S334</f>
        <v>5.5204040160000005</v>
      </c>
      <c r="K893" s="1019">
        <f>Fixed!T334</f>
        <v>5.6308120963200006</v>
      </c>
      <c r="L893" s="1019">
        <f>Fixed!U334</f>
        <v>5.7434283382464004</v>
      </c>
      <c r="M893" s="1019">
        <f>Fixed!V334</f>
        <v>5.8582969050113283</v>
      </c>
      <c r="N893" s="1019">
        <f>Fixed!W334</f>
        <v>5.9754628431115551</v>
      </c>
      <c r="O893" s="1019">
        <f>Fixed!X334</f>
        <v>6.094972099973786</v>
      </c>
      <c r="P893" s="1019">
        <f>Fixed!Y334</f>
        <v>6.2168715419732621</v>
      </c>
      <c r="Q893" s="1019">
        <f>Fixed!Z334</f>
        <v>6.3412089728127272</v>
      </c>
    </row>
    <row r="894" spans="2:18">
      <c r="B894" s="998" t="s">
        <v>1382</v>
      </c>
      <c r="C894" s="1018"/>
      <c r="D894" s="1018"/>
      <c r="E894" s="1018"/>
      <c r="F894" s="1018">
        <f>Fixed!O335</f>
        <v>0.02</v>
      </c>
      <c r="G894" s="1018">
        <f>Fixed!P335</f>
        <v>0.02</v>
      </c>
      <c r="H894" s="1018">
        <f>Fixed!Q335</f>
        <v>0.02</v>
      </c>
      <c r="I894" s="1018">
        <f>Fixed!R335</f>
        <v>0.02</v>
      </c>
      <c r="J894" s="1018">
        <f>Fixed!S335</f>
        <v>0.02</v>
      </c>
      <c r="K894" s="1018">
        <f>Fixed!T335</f>
        <v>0.02</v>
      </c>
      <c r="L894" s="1018">
        <f>Fixed!U335</f>
        <v>0.02</v>
      </c>
      <c r="M894" s="1018">
        <f>Fixed!V335</f>
        <v>0.02</v>
      </c>
      <c r="N894" s="1018">
        <f>Fixed!W335</f>
        <v>0.02</v>
      </c>
      <c r="O894" s="1018">
        <f>Fixed!X335</f>
        <v>0.02</v>
      </c>
      <c r="P894" s="1018">
        <f>Fixed!Y335</f>
        <v>0.02</v>
      </c>
      <c r="Q894" s="1018">
        <f>Fixed!Z335</f>
        <v>0.02</v>
      </c>
    </row>
    <row r="895" spans="2:18">
      <c r="B895" s="998" t="s">
        <v>1801</v>
      </c>
      <c r="C895" s="1019">
        <f>Fixed!L338</f>
        <v>5</v>
      </c>
      <c r="D895" s="1019">
        <f>Fixed!M338</f>
        <v>5</v>
      </c>
      <c r="E895" s="1019">
        <f>Fixed!N338</f>
        <v>5.05</v>
      </c>
      <c r="F895" s="1019">
        <f>Fixed!O338</f>
        <v>5.1005000000000003</v>
      </c>
      <c r="G895" s="1019">
        <f>Fixed!P338</f>
        <v>5.1515050000000002</v>
      </c>
      <c r="H895" s="1019">
        <f>Fixed!Q338</f>
        <v>5.2030200500000001</v>
      </c>
      <c r="I895" s="1019">
        <f>Fixed!R338</f>
        <v>5.2550502505000001</v>
      </c>
      <c r="J895" s="1019">
        <f>Fixed!S338</f>
        <v>5.3076007530050004</v>
      </c>
      <c r="K895" s="1019">
        <f>Fixed!T338</f>
        <v>5.3606767605350507</v>
      </c>
      <c r="L895" s="1019">
        <f>Fixed!U338</f>
        <v>5.4142835281404009</v>
      </c>
      <c r="M895" s="1019">
        <f>Fixed!V338</f>
        <v>5.4684263634218047</v>
      </c>
      <c r="N895" s="1019">
        <f>Fixed!W338</f>
        <v>5.5231106270560231</v>
      </c>
      <c r="O895" s="1019">
        <f>Fixed!X338</f>
        <v>5.5783417333265835</v>
      </c>
      <c r="P895" s="1019">
        <f>Fixed!Y338</f>
        <v>5.6341251506598491</v>
      </c>
      <c r="Q895" s="1019">
        <f>Fixed!Z338</f>
        <v>5.6904664021664475</v>
      </c>
    </row>
    <row r="896" spans="2:18">
      <c r="B896" s="998" t="s">
        <v>1382</v>
      </c>
      <c r="C896" s="1018">
        <f>Fixed!L339</f>
        <v>0</v>
      </c>
      <c r="D896" s="1018">
        <f>Fixed!M339</f>
        <v>0</v>
      </c>
      <c r="E896" s="1018">
        <f>Fixed!N339</f>
        <v>0.01</v>
      </c>
      <c r="F896" s="1018">
        <f>Fixed!O339</f>
        <v>0.01</v>
      </c>
      <c r="G896" s="1018">
        <f>Fixed!P339</f>
        <v>0.01</v>
      </c>
      <c r="H896" s="1018">
        <f>Fixed!Q339</f>
        <v>0.01</v>
      </c>
      <c r="I896" s="1018">
        <f>Fixed!R339</f>
        <v>0.01</v>
      </c>
      <c r="J896" s="1018">
        <f>Fixed!S339</f>
        <v>0.01</v>
      </c>
      <c r="K896" s="1018">
        <f>Fixed!T339</f>
        <v>0.01</v>
      </c>
      <c r="L896" s="1018">
        <f>Fixed!U339</f>
        <v>0.01</v>
      </c>
      <c r="M896" s="1018">
        <f>Fixed!V339</f>
        <v>0.01</v>
      </c>
      <c r="N896" s="1018">
        <f>Fixed!W339</f>
        <v>0.01</v>
      </c>
      <c r="O896" s="1018">
        <f>Fixed!X339</f>
        <v>0.01</v>
      </c>
      <c r="P896" s="1018">
        <f>Fixed!Y339</f>
        <v>0.01</v>
      </c>
      <c r="Q896" s="1018">
        <f>Fixed!Z339</f>
        <v>0.01</v>
      </c>
    </row>
    <row r="898" spans="2:19">
      <c r="B898" s="998" t="s">
        <v>1851</v>
      </c>
      <c r="C898" s="1148">
        <f>Fixed!L315+Fixed!L321</f>
        <v>659</v>
      </c>
      <c r="D898" s="1148">
        <f ca="1">Fixed!M315+Fixed!M321</f>
        <v>668</v>
      </c>
      <c r="E898" s="1148">
        <f ca="1">Fixed!N315+Fixed!N321</f>
        <v>676.81358443774968</v>
      </c>
      <c r="F898" s="1148">
        <f ca="1">Fixed!O315+Fixed!O321</f>
        <v>711.07757973069647</v>
      </c>
      <c r="G898" s="1148">
        <f ca="1">Fixed!P315+Fixed!P321</f>
        <v>738.94724125640357</v>
      </c>
      <c r="H898" s="1148">
        <f ca="1">Fixed!Q315+Fixed!Q321</f>
        <v>732.0967405252743</v>
      </c>
      <c r="I898" s="1148">
        <f ca="1">Fixed!R315+Fixed!R321</f>
        <v>709.71570869136826</v>
      </c>
      <c r="J898" s="1148">
        <f ca="1">Fixed!S315+Fixed!S321</f>
        <v>675.24886320716234</v>
      </c>
      <c r="K898" s="1148">
        <f ca="1">Fixed!T315+Fixed!T321</f>
        <v>629.40413548728691</v>
      </c>
      <c r="L898" s="1148">
        <f ca="1">Fixed!U315+Fixed!U321</f>
        <v>558.62068964909952</v>
      </c>
      <c r="M898" s="1148">
        <f ca="1">Fixed!V315+Fixed!V321</f>
        <v>484.71021057272583</v>
      </c>
      <c r="N898" s="1148">
        <f ca="1">Fixed!W315+Fixed!W321</f>
        <v>407.67368103081867</v>
      </c>
      <c r="O898" s="1148">
        <f ca="1">Fixed!X315+Fixed!X321</f>
        <v>327.51207882449859</v>
      </c>
      <c r="P898" s="1148">
        <f ca="1">Fixed!Y315+Fixed!Y321</f>
        <v>244.22637688322396</v>
      </c>
      <c r="Q898" s="1148">
        <f ca="1">Fixed!Z315+Fixed!Z321</f>
        <v>246.67861997381874</v>
      </c>
    </row>
    <row r="899" spans="2:19">
      <c r="B899" s="998" t="s">
        <v>2039</v>
      </c>
      <c r="C899" s="1148">
        <f>Fixed!L316+Fixed!L320</f>
        <v>0</v>
      </c>
      <c r="D899" s="1148">
        <f ca="1">Fixed!M316+Fixed!M320</f>
        <v>50</v>
      </c>
      <c r="E899" s="1148">
        <f ca="1">Fixed!N316+Fixed!N320</f>
        <v>74.389547397773939</v>
      </c>
      <c r="F899" s="1148">
        <f ca="1">Fixed!O316+Fixed!O320</f>
        <v>116.91255810131065</v>
      </c>
      <c r="G899" s="1148">
        <f ca="1">Fixed!P316+Fixed!P320</f>
        <v>165.54598579341587</v>
      </c>
      <c r="H899" s="1148">
        <f ca="1">Fixed!Q316+Fixed!Q320</f>
        <v>251.66438210683953</v>
      </c>
      <c r="I899" s="1148">
        <f ca="1">Fixed!R316+Fixed!R320</f>
        <v>348.12430311426107</v>
      </c>
      <c r="J899" s="1148">
        <f ca="1">Fixed!S316+Fixed!S320</f>
        <v>463.30795753590633</v>
      </c>
      <c r="K899" s="1148">
        <f ca="1">Fixed!T316+Fixed!T320</f>
        <v>571.2613037025211</v>
      </c>
      <c r="L899" s="1148">
        <f ca="1">Fixed!U316+Fixed!U320</f>
        <v>697.57209980537232</v>
      </c>
      <c r="M899" s="1148">
        <f ca="1">Fixed!V316+Fixed!V320</f>
        <v>820.30321865529925</v>
      </c>
      <c r="N899" s="1148">
        <f ca="1">Fixed!W316+Fixed!W320</f>
        <v>939.32824702262258</v>
      </c>
      <c r="O899" s="1148">
        <f ca="1">Fixed!X316+Fixed!X320</f>
        <v>1054.5207882621557</v>
      </c>
      <c r="P899" s="1148">
        <f ca="1">Fixed!Y316+Fixed!Y320</f>
        <v>1165.7544619800494</v>
      </c>
      <c r="Q899" s="1148">
        <f ca="1">Fixed!Z316+Fixed!Z320</f>
        <v>1204.2308256968417</v>
      </c>
    </row>
    <row r="900" spans="2:19">
      <c r="B900" s="998" t="s">
        <v>1897</v>
      </c>
      <c r="C900" s="1148">
        <f>Fixed!L317</f>
        <v>0</v>
      </c>
      <c r="D900" s="1148">
        <f>Fixed!M317</f>
        <v>0</v>
      </c>
      <c r="E900" s="1148">
        <f ca="1">Fixed!N317</f>
        <v>0</v>
      </c>
      <c r="F900" s="1148">
        <f ca="1">Fixed!O317</f>
        <v>0.66882528795904805</v>
      </c>
      <c r="G900" s="1148">
        <f ca="1">Fixed!P317</f>
        <v>2.8547569212245008</v>
      </c>
      <c r="H900" s="1148">
        <f ca="1">Fixed!Q317</f>
        <v>6.7875220856610854</v>
      </c>
      <c r="I900" s="1148">
        <f ca="1">Fixed!R317</f>
        <v>12.544127121556381</v>
      </c>
      <c r="J900" s="1148">
        <f ca="1">Fixed!S317</f>
        <v>20.12250832400694</v>
      </c>
      <c r="K900" s="1148">
        <f ca="1">Fixed!T317</f>
        <v>29.351346942516848</v>
      </c>
      <c r="L900" s="1148">
        <f ca="1">Fixed!U317</f>
        <v>40.460720668461825</v>
      </c>
      <c r="M900" s="1148">
        <f ca="1">Fixed!V317</f>
        <v>53.51307181087693</v>
      </c>
      <c r="N900" s="1148">
        <f ca="1">Fixed!W317</f>
        <v>68.57083082678858</v>
      </c>
      <c r="O900" s="1148">
        <f ca="1">Fixed!X317</f>
        <v>85.696416560262719</v>
      </c>
      <c r="P900" s="1148">
        <f ca="1">Fixed!Y317</f>
        <v>104.9522364756905</v>
      </c>
      <c r="Q900" s="1148">
        <f ca="1">Fixed!Z317</f>
        <v>106.21168828570984</v>
      </c>
    </row>
    <row r="901" spans="2:19">
      <c r="B901" s="998" t="s">
        <v>2040</v>
      </c>
      <c r="C901" s="1148">
        <f>Fixed!L322</f>
        <v>0</v>
      </c>
      <c r="D901" s="1148">
        <f>Fixed!M322</f>
        <v>0</v>
      </c>
      <c r="E901" s="1148">
        <f ca="1">Fixed!N322</f>
        <v>0</v>
      </c>
      <c r="F901" s="1148">
        <f ca="1">Fixed!O322</f>
        <v>0</v>
      </c>
      <c r="G901" s="1148">
        <f ca="1">Fixed!P322</f>
        <v>1.5308104333648549</v>
      </c>
      <c r="H901" s="1148">
        <f ca="1">Fixed!Q322</f>
        <v>6.2469809710764022</v>
      </c>
      <c r="I901" s="1148">
        <f ca="1">Fixed!R322</f>
        <v>14.678318046108195</v>
      </c>
      <c r="J901" s="1148">
        <f ca="1">Fixed!S322</f>
        <v>29.746790475103531</v>
      </c>
      <c r="K901" s="1148">
        <f ca="1">Fixed!T322</f>
        <v>50.152995978739362</v>
      </c>
      <c r="L901" s="1148">
        <f ca="1">Fixed!U322</f>
        <v>75.959934557015686</v>
      </c>
      <c r="M901" s="1148">
        <f ca="1">Fixed!V322</f>
        <v>107.2306062099325</v>
      </c>
      <c r="N901" s="1148">
        <f ca="1">Fixed!W322</f>
        <v>144.02801093748982</v>
      </c>
      <c r="O901" s="1148">
        <f ca="1">Fixed!X322</f>
        <v>186.41514873968762</v>
      </c>
      <c r="P901" s="1148">
        <f ca="1">Fixed!Y322</f>
        <v>234.45501961652599</v>
      </c>
      <c r="Q901" s="1148">
        <f ca="1">Fixed!Z322</f>
        <v>288.21062356800485</v>
      </c>
    </row>
    <row r="902" spans="2:19">
      <c r="B902" s="998" t="s">
        <v>1798</v>
      </c>
      <c r="C902" s="1148">
        <f>Fixed!L326</f>
        <v>1375.6155000000001</v>
      </c>
      <c r="D902" s="1148">
        <f ca="1">Fixed!M326</f>
        <v>1230</v>
      </c>
      <c r="E902" s="1148">
        <f ca="1">Fixed!N326</f>
        <v>613.50416816447648</v>
      </c>
      <c r="F902" s="1148">
        <f ca="1">Fixed!O326</f>
        <v>610.35098688003393</v>
      </c>
      <c r="G902" s="1148">
        <f ca="1">Fixed!P326</f>
        <v>544.49870559559133</v>
      </c>
      <c r="H902" s="1148">
        <f ca="1">Fixed!Q326</f>
        <v>475.44942431114862</v>
      </c>
      <c r="I902" s="1148">
        <f ca="1">Fixed!R326</f>
        <v>410.85014302670618</v>
      </c>
      <c r="J902" s="1148">
        <f ca="1">Fixed!S326</f>
        <v>365.02158045782102</v>
      </c>
      <c r="K902" s="1148">
        <f ca="1">Fixed!T326</f>
        <v>330.81301788893597</v>
      </c>
      <c r="L902" s="1148">
        <f ca="1">Fixed!U326</f>
        <v>295.90445532005094</v>
      </c>
      <c r="M902" s="1148">
        <f ca="1">Fixed!V326</f>
        <v>260.29589275116587</v>
      </c>
      <c r="N902" s="1148">
        <f ca="1">Fixed!W326</f>
        <v>223.98733018228074</v>
      </c>
      <c r="O902" s="1148">
        <f ca="1">Fixed!X326</f>
        <v>186.9787676133958</v>
      </c>
      <c r="P902" s="1148">
        <f ca="1">Fixed!Y326</f>
        <v>149.27020504451059</v>
      </c>
      <c r="Q902" s="1148">
        <f ca="1">Fixed!Z326</f>
        <v>110.86164247562544</v>
      </c>
    </row>
    <row r="903" spans="2:19">
      <c r="B903" s="1031" t="s">
        <v>1852</v>
      </c>
      <c r="C903" s="1194">
        <f>SUM(C898:C902)</f>
        <v>2034.6155000000001</v>
      </c>
      <c r="D903" s="1194">
        <f t="shared" ref="D903:Q903" ca="1" si="205">SUM(D898:D902)</f>
        <v>1948</v>
      </c>
      <c r="E903" s="1194">
        <f t="shared" ca="1" si="205"/>
        <v>1364.7073</v>
      </c>
      <c r="F903" s="1194">
        <f t="shared" ca="1" si="205"/>
        <v>1439.0099500000001</v>
      </c>
      <c r="G903" s="1194">
        <f t="shared" ca="1" si="205"/>
        <v>1453.3775000000001</v>
      </c>
      <c r="H903" s="1194">
        <f t="shared" ca="1" si="205"/>
        <v>1472.24505</v>
      </c>
      <c r="I903" s="1194">
        <f t="shared" ca="1" si="205"/>
        <v>1495.9126000000001</v>
      </c>
      <c r="J903" s="1194">
        <f t="shared" ca="1" si="205"/>
        <v>1553.4477000000004</v>
      </c>
      <c r="K903" s="1194">
        <f t="shared" ca="1" si="205"/>
        <v>1610.9828000000002</v>
      </c>
      <c r="L903" s="1194">
        <f t="shared" ca="1" si="205"/>
        <v>1668.5179000000003</v>
      </c>
      <c r="M903" s="1194">
        <f t="shared" ca="1" si="205"/>
        <v>1726.0530000000003</v>
      </c>
      <c r="N903" s="1194">
        <f t="shared" ca="1" si="205"/>
        <v>1783.5881000000004</v>
      </c>
      <c r="O903" s="1194">
        <f t="shared" ca="1" si="205"/>
        <v>1841.1232000000002</v>
      </c>
      <c r="P903" s="1194">
        <f t="shared" ca="1" si="205"/>
        <v>1898.6583000000005</v>
      </c>
      <c r="Q903" s="1194">
        <f t="shared" ca="1" si="205"/>
        <v>1956.1934000000006</v>
      </c>
    </row>
    <row r="905" spans="2:19">
      <c r="B905" s="998" t="s">
        <v>2042</v>
      </c>
      <c r="D905" s="1148">
        <f ca="1">Fixed!M346</f>
        <v>103.50600000000003</v>
      </c>
      <c r="E905" s="1148">
        <f ca="1">Fixed!N346</f>
        <v>105.94441418200591</v>
      </c>
      <c r="F905" s="1148">
        <f ca="1">Fixed!O346</f>
        <v>110.43144657232209</v>
      </c>
      <c r="G905" s="1148">
        <f ca="1">Fixed!P346</f>
        <v>116.52903780085076</v>
      </c>
      <c r="H905" s="1148">
        <f ca="1">Fixed!Q346</f>
        <v>119.40039277361373</v>
      </c>
      <c r="I905" s="1148">
        <f ca="1">Fixed!R346</f>
        <v>118.19803120990701</v>
      </c>
      <c r="J905" s="1148">
        <f ca="1">Fixed!S346</f>
        <v>114.67308847322465</v>
      </c>
      <c r="K905" s="1148">
        <f ca="1">Fixed!T346</f>
        <v>109.10363896635369</v>
      </c>
      <c r="L905" s="1148">
        <f ca="1">Fixed!U346</f>
        <v>100.34393057142195</v>
      </c>
      <c r="M905" s="1148">
        <f ca="1">Fixed!V346</f>
        <v>89.003899928511899</v>
      </c>
      <c r="N905" s="1148">
        <f ca="1">Fixed!W346</f>
        <v>76.888265300014695</v>
      </c>
      <c r="O905" s="1148">
        <f ca="1">Fixed!X346</f>
        <v>63.977431532793979</v>
      </c>
      <c r="P905" s="1148">
        <f ca="1">Fixed!Y346</f>
        <v>50.251437801275912</v>
      </c>
      <c r="Q905" s="1148">
        <f ca="1">Fixed!Z346</f>
        <v>43.578262903821781</v>
      </c>
    </row>
    <row r="906" spans="2:19">
      <c r="B906" s="998" t="s">
        <v>1810</v>
      </c>
      <c r="D906" s="1148">
        <f ca="1">Fixed!M347</f>
        <v>6</v>
      </c>
      <c r="E906" s="1148">
        <f ca="1">Fixed!N347</f>
        <v>15.22528060148753</v>
      </c>
      <c r="F906" s="1148">
        <f ca="1">Fixed!O347</f>
        <v>23.883685267349712</v>
      </c>
      <c r="G906" s="1148">
        <f ca="1">Fixed!P347</f>
        <v>35.969671973932194</v>
      </c>
      <c r="H906" s="1148">
        <f ca="1">Fixed!Q347</f>
        <v>54.192230364080167</v>
      </c>
      <c r="I906" s="1148">
        <f ca="1">Fixed!R347</f>
        <v>79.465820799502183</v>
      </c>
      <c r="J906" s="1148">
        <f ca="1">Fixed!S347</f>
        <v>109.65654212671791</v>
      </c>
      <c r="K906" s="1148">
        <f ca="1">Fixed!T347</f>
        <v>142.60738590901025</v>
      </c>
      <c r="L906" s="1148">
        <f ca="1">Fixed!U347</f>
        <v>178.39686721788675</v>
      </c>
      <c r="M906" s="1148">
        <f ca="1">Fixed!V347</f>
        <v>217.68018158250868</v>
      </c>
      <c r="N906" s="1148">
        <f ca="1">Fixed!W347</f>
        <v>257.3977125490299</v>
      </c>
      <c r="O906" s="1148">
        <f ca="1">Fixed!X347</f>
        <v>297.49207983486673</v>
      </c>
      <c r="P906" s="1148">
        <f ca="1">Fixed!Y347</f>
        <v>337.90150413479751</v>
      </c>
      <c r="Q906" s="1148">
        <f ca="1">Fixed!Z347</f>
        <v>367.89944186601298</v>
      </c>
    </row>
    <row r="907" spans="2:19">
      <c r="B907" s="998" t="s">
        <v>2181</v>
      </c>
      <c r="D907" s="1148">
        <f>Fixed!M348</f>
        <v>0</v>
      </c>
      <c r="E907" s="1148">
        <f ca="1">Fixed!N348</f>
        <v>0</v>
      </c>
      <c r="F907" s="1148">
        <f ca="1">Fixed!O348</f>
        <v>6.3035445739564364E-2</v>
      </c>
      <c r="G907" s="1148">
        <f ca="1">Fixed!P348</f>
        <v>0.33873238757215374</v>
      </c>
      <c r="H907" s="1148">
        <f ca="1">Fixed!Q348</f>
        <v>0.94547963851932737</v>
      </c>
      <c r="I907" s="1148">
        <f ca="1">Fixed!R348</f>
        <v>1.9334883698343157</v>
      </c>
      <c r="J907" s="1148">
        <f ca="1">Fixed!S348</f>
        <v>3.3325543112935132</v>
      </c>
      <c r="K907" s="1148">
        <f ca="1">Fixed!T348</f>
        <v>5.1481211200433252</v>
      </c>
      <c r="L907" s="1148">
        <f ca="1">Fixed!U348</f>
        <v>7.4097520260172995</v>
      </c>
      <c r="M907" s="1148">
        <f ca="1">Fixed!V348</f>
        <v>10.173727458674234</v>
      </c>
      <c r="N907" s="1148">
        <f ca="1">Fixed!W348</f>
        <v>13.481304586659183</v>
      </c>
      <c r="O907" s="1148">
        <f ca="1">Fixed!X348</f>
        <v>17.375904430755607</v>
      </c>
      <c r="P907" s="1148">
        <f ca="1">Fixed!Y348</f>
        <v>21.903201669421414</v>
      </c>
      <c r="Q907" s="1148">
        <f ca="1">Fixed!Z348</f>
        <v>24.745358935491225</v>
      </c>
    </row>
    <row r="908" spans="2:19">
      <c r="B908" s="998" t="s">
        <v>2182</v>
      </c>
      <c r="D908" s="1148">
        <f>Fixed!M349</f>
        <v>0</v>
      </c>
      <c r="E908" s="1148">
        <f ca="1">Fixed!N349</f>
        <v>0</v>
      </c>
      <c r="F908" s="1148">
        <f ca="1">Fixed!O349</f>
        <v>0</v>
      </c>
      <c r="G908" s="1148">
        <f ca="1">Fixed!P349</f>
        <v>4.7779655246183848E-2</v>
      </c>
      <c r="H908" s="1148">
        <f ca="1">Fixed!Q349</f>
        <v>0.24761563382172894</v>
      </c>
      <c r="I908" s="1148">
        <f ca="1">Fixed!R349</f>
        <v>0.67950649841451016</v>
      </c>
      <c r="J908" s="1148">
        <f ca="1">Fixed!S349</f>
        <v>1.4714672849503985</v>
      </c>
      <c r="K908" s="1148">
        <f ca="1">Fixed!T349</f>
        <v>2.699404104346101</v>
      </c>
      <c r="L908" s="1148">
        <f ca="1">Fixed!U349</f>
        <v>4.3459234743501325</v>
      </c>
      <c r="M908" s="1148">
        <f ca="1">Fixed!V349</f>
        <v>6.4391074680141838</v>
      </c>
      <c r="N908" s="1148">
        <f ca="1">Fixed!W349</f>
        <v>9.0083191846560844</v>
      </c>
      <c r="O908" s="1148">
        <f ca="1">Fixed!X349</f>
        <v>12.084251033157473</v>
      </c>
      <c r="P908" s="1148">
        <f ca="1">Fixed!Y349</f>
        <v>15.698974635115443</v>
      </c>
      <c r="Q908" s="1148">
        <f ca="1">Fixed!Z349</f>
        <v>19.885992398056093</v>
      </c>
    </row>
    <row r="909" spans="2:19">
      <c r="B909" s="998" t="s">
        <v>1811</v>
      </c>
      <c r="D909" s="1148">
        <f ca="1">Fixed!M350</f>
        <v>110.76</v>
      </c>
      <c r="E909" s="1148">
        <f>Fixed!N350</f>
        <v>89.744607217500004</v>
      </c>
      <c r="F909" s="1148">
        <f>Fixed!O350</f>
        <v>72.710823728325025</v>
      </c>
      <c r="G909" s="1148">
        <f>Fixed!P350</f>
        <v>73.154612842096498</v>
      </c>
      <c r="H909" s="1148">
        <f>Fixed!Q350</f>
        <v>71.443806207034925</v>
      </c>
      <c r="I909" s="1148">
        <f>Fixed!R350</f>
        <v>69.965781601064009</v>
      </c>
      <c r="J909" s="1148">
        <f>Fixed!S350</f>
        <v>68.709001518949037</v>
      </c>
      <c r="K909" s="1148">
        <f>Fixed!T350</f>
        <v>67.545529093228183</v>
      </c>
      <c r="L909" s="1148">
        <f>Fixed!U350</f>
        <v>66.351916318840992</v>
      </c>
      <c r="M909" s="1148">
        <f>Fixed!V350</f>
        <v>65.127676736056728</v>
      </c>
      <c r="N909" s="1148">
        <f>Fixed!W350</f>
        <v>63.87231716998491</v>
      </c>
      <c r="O909" s="1148">
        <f>Fixed!X350</f>
        <v>62.585337644918063</v>
      </c>
      <c r="P909" s="1148">
        <f>Fixed!Y350</f>
        <v>61.266231297632864</v>
      </c>
      <c r="Q909" s="1148">
        <f>Fixed!Z350</f>
        <v>59.914484289637464</v>
      </c>
      <c r="S909" s="998" t="s">
        <v>2206</v>
      </c>
    </row>
    <row r="910" spans="2:19">
      <c r="B910" s="998" t="s">
        <v>2154</v>
      </c>
      <c r="D910" s="1148">
        <f>Fixed!M351</f>
        <v>44.742804710000001</v>
      </c>
      <c r="E910" s="1148">
        <f>Fixed!N351</f>
        <v>45.190232757099999</v>
      </c>
      <c r="F910" s="1148">
        <f>Fixed!O351</f>
        <v>45.190232757099999</v>
      </c>
      <c r="G910" s="1148">
        <f>Fixed!P351</f>
        <v>46.094037412242002</v>
      </c>
      <c r="H910" s="1148">
        <f>Fixed!Q351</f>
        <v>47.015918160486841</v>
      </c>
      <c r="I910" s="1148">
        <f>Fixed!R351</f>
        <v>47.956236523696582</v>
      </c>
      <c r="J910" s="1148">
        <f>Fixed!S351</f>
        <v>48.915361254170513</v>
      </c>
      <c r="K910" s="1148">
        <f>Fixed!T351</f>
        <v>49.893668479253925</v>
      </c>
      <c r="L910" s="1148">
        <f>Fixed!U351</f>
        <v>50.891541848839005</v>
      </c>
      <c r="M910" s="1148">
        <f>Fixed!V351</f>
        <v>51.909372685815782</v>
      </c>
      <c r="N910" s="1148">
        <f>Fixed!W351</f>
        <v>52.947560139532101</v>
      </c>
      <c r="O910" s="1148">
        <f>Fixed!X351</f>
        <v>54.006511342322746</v>
      </c>
      <c r="P910" s="1148">
        <f>Fixed!Y351</f>
        <v>55.086641569169203</v>
      </c>
      <c r="Q910" s="1148">
        <f>Fixed!Z351</f>
        <v>56.18837440055259</v>
      </c>
    </row>
    <row r="911" spans="2:19">
      <c r="B911" s="1031" t="s">
        <v>1853</v>
      </c>
      <c r="C911" s="1031"/>
      <c r="D911" s="1194">
        <f ca="1">Fixed!M352</f>
        <v>265.00880471000005</v>
      </c>
      <c r="E911" s="1194">
        <f ca="1">Fixed!N352</f>
        <v>256.10453475809345</v>
      </c>
      <c r="F911" s="1194">
        <f ca="1">Fixed!O352</f>
        <v>252.27922377083641</v>
      </c>
      <c r="G911" s="1194">
        <f ca="1">Fixed!P352</f>
        <v>272.13387207193978</v>
      </c>
      <c r="H911" s="1194">
        <f ca="1">Fixed!Q352</f>
        <v>293.24544277755672</v>
      </c>
      <c r="I911" s="1194">
        <f ca="1">Fixed!R352</f>
        <v>318.19886500241864</v>
      </c>
      <c r="J911" s="1194">
        <f ca="1">Fixed!S352</f>
        <v>346.75801496930603</v>
      </c>
      <c r="K911" s="1194">
        <f ca="1">Fixed!T352</f>
        <v>376.99774767223545</v>
      </c>
      <c r="L911" s="1194">
        <f ca="1">Fixed!U352</f>
        <v>407.73993145735614</v>
      </c>
      <c r="M911" s="1194">
        <f ca="1">Fixed!V352</f>
        <v>440.33396585958155</v>
      </c>
      <c r="N911" s="1194">
        <f ca="1">Fixed!W352</f>
        <v>473.59547892987689</v>
      </c>
      <c r="O911" s="1194">
        <f ca="1">Fixed!X352</f>
        <v>507.52151581881463</v>
      </c>
      <c r="P911" s="1194">
        <f ca="1">Fixed!Y352</f>
        <v>542.10799110741243</v>
      </c>
      <c r="Q911" s="1194">
        <f ca="1">Fixed!Z352</f>
        <v>572.21191479357208</v>
      </c>
    </row>
    <row r="912" spans="2:19">
      <c r="B912" s="1262" t="s">
        <v>2044</v>
      </c>
      <c r="C912" s="1031"/>
      <c r="D912" s="1247">
        <f ca="1">D859+D910</f>
        <v>47.553804710000001</v>
      </c>
      <c r="E912" s="1247">
        <f t="shared" ref="E912:Q912" ca="1" si="206">E859+E910</f>
        <v>49.649262773726342</v>
      </c>
      <c r="F912" s="1247">
        <f t="shared" ca="1" si="206"/>
        <v>52.537209969686664</v>
      </c>
      <c r="G912" s="1247">
        <f t="shared" ca="1" si="206"/>
        <v>58.480195700313161</v>
      </c>
      <c r="H912" s="1247">
        <f t="shared" ca="1" si="206"/>
        <v>66.533346968375497</v>
      </c>
      <c r="I912" s="1247">
        <f t="shared" ca="1" si="206"/>
        <v>77.595458238545802</v>
      </c>
      <c r="J912" s="1247">
        <f t="shared" ca="1" si="206"/>
        <v>93.245376411440333</v>
      </c>
      <c r="K912" s="1247">
        <f t="shared" ca="1" si="206"/>
        <v>111.946683023014</v>
      </c>
      <c r="L912" s="1247">
        <f t="shared" ca="1" si="206"/>
        <v>130.51884258006262</v>
      </c>
      <c r="M912" s="1247">
        <f t="shared" ca="1" si="206"/>
        <v>148.92485476568268</v>
      </c>
      <c r="N912" s="1247">
        <f t="shared" ca="1" si="206"/>
        <v>167.12553128034088</v>
      </c>
      <c r="O912" s="1247">
        <f t="shared" ca="1" si="206"/>
        <v>185.07940207195978</v>
      </c>
      <c r="P912" s="1247">
        <f t="shared" ca="1" si="206"/>
        <v>202.74261815420834</v>
      </c>
      <c r="Q912" s="1247">
        <f t="shared" ca="1" si="206"/>
        <v>220.06885090106678</v>
      </c>
    </row>
    <row r="913" spans="2:17">
      <c r="B913" s="1276" t="s">
        <v>2045</v>
      </c>
      <c r="C913" s="1112"/>
      <c r="D913" s="1277">
        <f t="shared" ref="D913:P913" ca="1" si="207">D911-D912</f>
        <v>217.45500000000004</v>
      </c>
      <c r="E913" s="1277">
        <f t="shared" ca="1" si="207"/>
        <v>206.4552719843671</v>
      </c>
      <c r="F913" s="1277">
        <f t="shared" ca="1" si="207"/>
        <v>199.74201380114974</v>
      </c>
      <c r="G913" s="1277">
        <f t="shared" ca="1" si="207"/>
        <v>213.6536763716266</v>
      </c>
      <c r="H913" s="1277">
        <f t="shared" ca="1" si="207"/>
        <v>226.71209580918122</v>
      </c>
      <c r="I913" s="1277">
        <f t="shared" ca="1" si="207"/>
        <v>240.60340676387284</v>
      </c>
      <c r="J913" s="1277">
        <f t="shared" ca="1" si="207"/>
        <v>253.5126385578657</v>
      </c>
      <c r="K913" s="1277">
        <f t="shared" ca="1" si="207"/>
        <v>265.05106464922142</v>
      </c>
      <c r="L913" s="1277">
        <f t="shared" ca="1" si="207"/>
        <v>277.22108887729348</v>
      </c>
      <c r="M913" s="1277">
        <f t="shared" ca="1" si="207"/>
        <v>291.4091110938989</v>
      </c>
      <c r="N913" s="1277">
        <f t="shared" ca="1" si="207"/>
        <v>306.46994764953604</v>
      </c>
      <c r="O913" s="1277">
        <f t="shared" ca="1" si="207"/>
        <v>322.44211374685483</v>
      </c>
      <c r="P913" s="1277">
        <f t="shared" ca="1" si="207"/>
        <v>339.36537295320409</v>
      </c>
      <c r="Q913" s="1277">
        <f ca="1">Q911-Q912</f>
        <v>352.14306389250532</v>
      </c>
    </row>
    <row r="916" spans="2:17">
      <c r="B916" s="1011" t="s">
        <v>161</v>
      </c>
      <c r="C916" s="1011">
        <v>2022</v>
      </c>
      <c r="D916" s="1011">
        <f>C916+1</f>
        <v>2023</v>
      </c>
      <c r="E916" s="1011">
        <f t="shared" ref="E916:Q916" si="208">D916+1</f>
        <v>2024</v>
      </c>
      <c r="F916" s="1011">
        <f t="shared" si="208"/>
        <v>2025</v>
      </c>
      <c r="G916" s="1011">
        <f t="shared" si="208"/>
        <v>2026</v>
      </c>
      <c r="H916" s="1011">
        <f t="shared" si="208"/>
        <v>2027</v>
      </c>
      <c r="I916" s="1011">
        <f t="shared" si="208"/>
        <v>2028</v>
      </c>
      <c r="J916" s="1011">
        <f t="shared" si="208"/>
        <v>2029</v>
      </c>
      <c r="K916" s="1011">
        <f t="shared" si="208"/>
        <v>2030</v>
      </c>
      <c r="L916" s="1011">
        <f t="shared" si="208"/>
        <v>2031</v>
      </c>
      <c r="M916" s="1011">
        <f t="shared" si="208"/>
        <v>2032</v>
      </c>
      <c r="N916" s="1011">
        <f t="shared" si="208"/>
        <v>2033</v>
      </c>
      <c r="O916" s="1011">
        <f t="shared" si="208"/>
        <v>2034</v>
      </c>
      <c r="P916" s="1011">
        <f t="shared" si="208"/>
        <v>2035</v>
      </c>
      <c r="Q916" s="1011">
        <f t="shared" si="208"/>
        <v>2036</v>
      </c>
    </row>
    <row r="917" spans="2:17">
      <c r="B917" s="998" t="s">
        <v>1856</v>
      </c>
      <c r="C917" s="1148">
        <f>Fixed!L302</f>
        <v>65</v>
      </c>
      <c r="D917" s="1148">
        <f>Fixed!M302</f>
        <v>101</v>
      </c>
      <c r="E917" s="1148">
        <f>Fixed!N302</f>
        <v>180</v>
      </c>
      <c r="F917" s="1148">
        <f>Fixed!O302</f>
        <v>260</v>
      </c>
      <c r="G917" s="1148">
        <f>Fixed!P302</f>
        <v>340</v>
      </c>
      <c r="H917" s="1148">
        <f>Fixed!Q302</f>
        <v>492.5</v>
      </c>
      <c r="I917" s="1148">
        <f>Fixed!R302</f>
        <v>645</v>
      </c>
      <c r="J917" s="1148">
        <f>Fixed!S302</f>
        <v>797.5</v>
      </c>
      <c r="K917" s="1148">
        <f>Fixed!T302</f>
        <v>950</v>
      </c>
      <c r="L917" s="1148">
        <f>Fixed!U302</f>
        <v>1158.24</v>
      </c>
      <c r="M917" s="1148">
        <f>Fixed!V302</f>
        <v>1366.48</v>
      </c>
      <c r="N917" s="1148">
        <f>Fixed!W302</f>
        <v>1574.72</v>
      </c>
      <c r="O917" s="1148">
        <f>Fixed!X302</f>
        <v>1782.96</v>
      </c>
      <c r="P917" s="1148">
        <f>Fixed!Y302</f>
        <v>1991.2</v>
      </c>
      <c r="Q917" s="1148">
        <f>Fixed!Z302</f>
        <v>1991.2</v>
      </c>
    </row>
    <row r="918" spans="2:17">
      <c r="B918" s="998" t="s">
        <v>1857</v>
      </c>
      <c r="D918" s="1148">
        <f>Fixed!M286</f>
        <v>36</v>
      </c>
      <c r="E918" s="1278">
        <f>Fixed!N286</f>
        <v>79</v>
      </c>
      <c r="F918" s="1279">
        <f>Fixed!O286</f>
        <v>80</v>
      </c>
      <c r="G918" s="1280">
        <f>Fixed!P286</f>
        <v>80</v>
      </c>
      <c r="H918" s="1148">
        <f>Fixed!Q286</f>
        <v>152.5</v>
      </c>
      <c r="I918" s="1148">
        <f>Fixed!R286</f>
        <v>152.5</v>
      </c>
      <c r="J918" s="1148">
        <f>Fixed!S286</f>
        <v>152.5</v>
      </c>
      <c r="K918" s="1148">
        <f>Fixed!T286</f>
        <v>152.5</v>
      </c>
      <c r="L918" s="1148">
        <f>Fixed!U286</f>
        <v>208.24</v>
      </c>
      <c r="M918" s="1148">
        <f>Fixed!V286</f>
        <v>208.24</v>
      </c>
      <c r="N918" s="1148">
        <f>Fixed!W286</f>
        <v>208.24</v>
      </c>
      <c r="O918" s="1148">
        <f>Fixed!X286</f>
        <v>208.24</v>
      </c>
      <c r="P918" s="1148">
        <f>Fixed!Y286</f>
        <v>208.24</v>
      </c>
      <c r="Q918" s="1148">
        <f>Fixed!Z286</f>
        <v>0</v>
      </c>
    </row>
    <row r="919" spans="2:17">
      <c r="B919" s="998" t="s">
        <v>1858</v>
      </c>
      <c r="D919" s="1148">
        <f>Fixed!M287</f>
        <v>1805.5555555555557</v>
      </c>
      <c r="E919" s="1148">
        <f>Fixed!N287</f>
        <v>750</v>
      </c>
      <c r="F919" s="1148">
        <f>Fixed!O287</f>
        <v>750</v>
      </c>
      <c r="G919" s="1148">
        <f>Fixed!P287</f>
        <v>750</v>
      </c>
      <c r="H919" s="1148">
        <f>Fixed!Q287</f>
        <v>459.01639344262298</v>
      </c>
      <c r="I919" s="1148">
        <f>Fixed!R287</f>
        <v>459.01639344262298</v>
      </c>
      <c r="J919" s="1148">
        <f>Fixed!S287</f>
        <v>650</v>
      </c>
      <c r="K919" s="1148">
        <f>Fixed!T287</f>
        <v>650</v>
      </c>
      <c r="L919" s="1148">
        <f>Fixed!U287</f>
        <v>650</v>
      </c>
      <c r="M919" s="1148">
        <f>Fixed!V287</f>
        <v>650</v>
      </c>
      <c r="N919" s="1148">
        <f>Fixed!W287</f>
        <v>650</v>
      </c>
      <c r="O919" s="1148">
        <f>Fixed!X287</f>
        <v>650</v>
      </c>
      <c r="P919" s="1148">
        <f>Fixed!Y287</f>
        <v>650</v>
      </c>
      <c r="Q919" s="1148">
        <f>Fixed!Z287</f>
        <v>0</v>
      </c>
    </row>
    <row r="920" spans="2:17">
      <c r="B920" s="1031" t="s">
        <v>1859</v>
      </c>
      <c r="C920" s="1031"/>
      <c r="D920" s="1194">
        <f>Fixed!M278</f>
        <v>65</v>
      </c>
      <c r="E920" s="1194">
        <f>Fixed!N278</f>
        <v>59.25</v>
      </c>
      <c r="F920" s="1194">
        <f>Fixed!O278</f>
        <v>60</v>
      </c>
      <c r="G920" s="1194">
        <f>Fixed!P278</f>
        <v>60</v>
      </c>
      <c r="H920" s="1194">
        <f>Fixed!Q278</f>
        <v>70</v>
      </c>
      <c r="I920" s="1194">
        <f>Fixed!R278</f>
        <v>70</v>
      </c>
      <c r="J920" s="1194">
        <f>Fixed!S278</f>
        <v>99.125</v>
      </c>
      <c r="K920" s="1194">
        <f>Fixed!T278</f>
        <v>99.125</v>
      </c>
      <c r="L920" s="1194">
        <f>Fixed!U278</f>
        <v>135.35599999999999</v>
      </c>
      <c r="M920" s="1194">
        <f>Fixed!V278</f>
        <v>135.35599999999999</v>
      </c>
      <c r="N920" s="1194">
        <f>Fixed!W278</f>
        <v>135.35599999999999</v>
      </c>
      <c r="O920" s="1194">
        <f>Fixed!X278</f>
        <v>135.35599999999999</v>
      </c>
      <c r="P920" s="1194">
        <f>Fixed!Y278</f>
        <v>135.35599999999999</v>
      </c>
      <c r="Q920" s="1194">
        <f>Fixed!Z278</f>
        <v>0</v>
      </c>
    </row>
    <row r="922" spans="2:17">
      <c r="B922" s="1031" t="s">
        <v>1861</v>
      </c>
      <c r="C922" s="1031"/>
      <c r="D922" s="1030">
        <f>Fixed!M279</f>
        <v>54.166666666666664</v>
      </c>
      <c r="E922" s="1030">
        <f>Fixed!N279</f>
        <v>54.166666666666664</v>
      </c>
      <c r="F922" s="1030">
        <f>Fixed!O279</f>
        <v>54.166666666666664</v>
      </c>
      <c r="G922" s="1030">
        <f>Fixed!P279</f>
        <v>54.166666666666664</v>
      </c>
      <c r="H922" s="1030">
        <f>Fixed!Q279</f>
        <v>54.166666666666664</v>
      </c>
      <c r="I922" s="1030">
        <f>Fixed!R279</f>
        <v>54.166666666666664</v>
      </c>
      <c r="J922" s="1030">
        <f>Fixed!S279</f>
        <v>54.166666666666664</v>
      </c>
      <c r="K922" s="1030">
        <f>Fixed!T279</f>
        <v>54.166666666666664</v>
      </c>
      <c r="L922" s="1030">
        <f>Fixed!U279</f>
        <v>54.166666666666664</v>
      </c>
      <c r="M922" s="1030">
        <f>Fixed!V279</f>
        <v>54.166666666666664</v>
      </c>
      <c r="N922" s="1030">
        <f>Fixed!W279</f>
        <v>54.166666666666664</v>
      </c>
      <c r="O922" s="1030">
        <f>Fixed!X279</f>
        <v>54.166666666666664</v>
      </c>
      <c r="P922" s="1030">
        <f>Fixed!Y279</f>
        <v>54.166666666666664</v>
      </c>
      <c r="Q922" s="1030">
        <f>Fixed!Z279</f>
        <v>54.166666666666664</v>
      </c>
    </row>
    <row r="924" spans="2:17">
      <c r="B924" s="998" t="s">
        <v>1803</v>
      </c>
      <c r="D924" s="1003">
        <f ca="1">Fixed!M290</f>
        <v>46.961538461538453</v>
      </c>
      <c r="E924" s="1003">
        <f ca="1">Fixed!N290</f>
        <v>25.004972772035103</v>
      </c>
      <c r="F924" s="1003">
        <f ca="1">Fixed!O290</f>
        <v>57.797880751296248</v>
      </c>
      <c r="G924" s="1003">
        <f ca="1">Fixed!P290</f>
        <v>55.573880751296201</v>
      </c>
      <c r="H924" s="1003">
        <f ca="1">Fixed!Q290</f>
        <v>50.875880751296222</v>
      </c>
      <c r="I924" s="1003">
        <f ca="1">Fixed!R290</f>
        <v>38.755880751296218</v>
      </c>
      <c r="J924" s="1003">
        <f ca="1">Fixed!S290</f>
        <v>28.481761502592462</v>
      </c>
      <c r="K924" s="1003">
        <f ca="1">Fixed!T290</f>
        <v>16.261761502592321</v>
      </c>
      <c r="L924" s="1003">
        <f ca="1">Fixed!U290</f>
        <v>16.361761502592344</v>
      </c>
      <c r="M924" s="1003">
        <f ca="1">Fixed!V290</f>
        <v>16.461761502592367</v>
      </c>
      <c r="N924" s="1003">
        <f ca="1">Fixed!W290</f>
        <v>16.56176150259239</v>
      </c>
      <c r="O924" s="1003">
        <f ca="1">Fixed!X290</f>
        <v>16.661761502592299</v>
      </c>
      <c r="P924" s="1003">
        <f ca="1">Fixed!Y290</f>
        <v>16.761761502592435</v>
      </c>
      <c r="Q924" s="1003">
        <f ca="1">Fixed!Z290</f>
        <v>16.861761502592344</v>
      </c>
    </row>
    <row r="925" spans="2:17">
      <c r="B925" s="998" t="s">
        <v>1762</v>
      </c>
      <c r="D925" s="1018">
        <f>Fixed!M291</f>
        <v>0.14000000000000001</v>
      </c>
      <c r="E925" s="1018">
        <f>Fixed!N291</f>
        <v>0.14000000000000001</v>
      </c>
      <c r="F925" s="1018">
        <f>Fixed!O291</f>
        <v>0.14000000000000001</v>
      </c>
      <c r="G925" s="1018">
        <f>Fixed!P291</f>
        <v>0.14000000000000001</v>
      </c>
      <c r="H925" s="1018">
        <f>Fixed!Q291</f>
        <v>0.14000000000000001</v>
      </c>
      <c r="I925" s="1018">
        <f>Fixed!R291</f>
        <v>0.14000000000000001</v>
      </c>
      <c r="J925" s="1018">
        <f>Fixed!S291</f>
        <v>0.14000000000000001</v>
      </c>
      <c r="K925" s="1018">
        <f>Fixed!T291</f>
        <v>0.14000000000000001</v>
      </c>
      <c r="L925" s="1018">
        <f>Fixed!U291</f>
        <v>0.14000000000000001</v>
      </c>
      <c r="M925" s="1018">
        <f>Fixed!V291</f>
        <v>0.14000000000000001</v>
      </c>
      <c r="N925" s="1018">
        <f>Fixed!W291</f>
        <v>0.14000000000000001</v>
      </c>
      <c r="O925" s="1018">
        <f>Fixed!X291</f>
        <v>0.14000000000000001</v>
      </c>
      <c r="P925" s="1018">
        <f>Fixed!Y291</f>
        <v>0.14000000000000001</v>
      </c>
      <c r="Q925" s="1018">
        <f>Fixed!Z291</f>
        <v>0.14000000000000001</v>
      </c>
    </row>
    <row r="926" spans="2:17">
      <c r="B926" s="998" t="s">
        <v>1860</v>
      </c>
      <c r="D926" s="1003">
        <f ca="1">Fixed!M292</f>
        <v>137.54153846153847</v>
      </c>
      <c r="E926" s="1003">
        <f ca="1">Fixed!N292</f>
        <v>172.1595881566505</v>
      </c>
      <c r="F926" s="1003">
        <f ca="1">Fixed!O292</f>
        <v>158.45319232399657</v>
      </c>
      <c r="G926" s="1003">
        <f ca="1">Fixed!P292</f>
        <v>164.32089562917798</v>
      </c>
      <c r="H926" s="1003">
        <f ca="1">Fixed!Q292</f>
        <v>167.40323893435948</v>
      </c>
      <c r="I926" s="1003">
        <f ca="1">Fixed!R292</f>
        <v>162.40586223954094</v>
      </c>
      <c r="J926" s="1003">
        <f ca="1">Fixed!S292</f>
        <v>157.55756629601865</v>
      </c>
      <c r="K926" s="1003">
        <f ca="1">Fixed!T292</f>
        <v>149.32501290638146</v>
      </c>
      <c r="L926" s="1003">
        <f ca="1">Fixed!U292</f>
        <v>151.7016595167444</v>
      </c>
      <c r="M926" s="1003">
        <f ca="1">Fixed!V292</f>
        <v>154.09230612710735</v>
      </c>
      <c r="N926" s="1003">
        <f ca="1">Fixed!W292</f>
        <v>156.49695273747031</v>
      </c>
      <c r="O926" s="1003">
        <f ca="1">Fixed!X292</f>
        <v>158.91559934783317</v>
      </c>
      <c r="P926" s="1003">
        <f ca="1">Fixed!Y292</f>
        <v>161.34824595819623</v>
      </c>
      <c r="Q926" s="1003">
        <f ca="1">Fixed!Z292</f>
        <v>163.79489256855908</v>
      </c>
    </row>
    <row r="927" spans="2:17">
      <c r="B927" s="998" t="s">
        <v>1854</v>
      </c>
      <c r="D927" s="998">
        <f>Fixed!M293</f>
        <v>224</v>
      </c>
      <c r="E927" s="998">
        <f>Fixed!N293</f>
        <v>265</v>
      </c>
      <c r="F927" s="998">
        <f>Fixed!O293</f>
        <v>235</v>
      </c>
      <c r="G927" s="998">
        <f>Fixed!P293</f>
        <v>235</v>
      </c>
      <c r="H927" s="998">
        <f>Fixed!Q293</f>
        <v>235</v>
      </c>
      <c r="I927" s="998">
        <f>Fixed!R293</f>
        <v>235</v>
      </c>
      <c r="J927" s="998">
        <f>Fixed!S293</f>
        <v>235</v>
      </c>
      <c r="K927" s="998">
        <f>Fixed!T293</f>
        <v>235</v>
      </c>
      <c r="L927" s="998">
        <f>Fixed!U293</f>
        <v>235</v>
      </c>
      <c r="M927" s="998">
        <f>Fixed!V293</f>
        <v>235</v>
      </c>
      <c r="N927" s="998">
        <f>Fixed!W293</f>
        <v>235</v>
      </c>
      <c r="O927" s="998">
        <f>Fixed!X293</f>
        <v>235</v>
      </c>
      <c r="P927" s="998">
        <f>Fixed!Y293</f>
        <v>235</v>
      </c>
      <c r="Q927" s="998">
        <f>Fixed!Z293</f>
        <v>235</v>
      </c>
    </row>
    <row r="928" spans="2:17">
      <c r="B928" s="1031" t="s">
        <v>1769</v>
      </c>
      <c r="C928" s="1031"/>
      <c r="D928" s="1031">
        <f>Fixed!M296</f>
        <v>31</v>
      </c>
      <c r="E928" s="1030">
        <f ca="1">Fixed!N296</f>
        <v>45.812986246127764</v>
      </c>
      <c r="F928" s="1030">
        <f ca="1">Fixed!O296</f>
        <v>37.427195580754585</v>
      </c>
      <c r="G928" s="1030">
        <f ca="1">Fixed!P296</f>
        <v>38.806105857472218</v>
      </c>
      <c r="H928" s="1030">
        <f ca="1">Fixed!Q296</f>
        <v>39.530456534189867</v>
      </c>
      <c r="I928" s="1030">
        <f ca="1">Fixed!R296</f>
        <v>38.356073010907508</v>
      </c>
      <c r="J928" s="1030">
        <f ca="1">Fixed!S296</f>
        <v>37.216723464179765</v>
      </c>
      <c r="K928" s="1030">
        <f ca="1">Fixed!T296</f>
        <v>35.282073417615024</v>
      </c>
      <c r="L928" s="1030">
        <f ca="1">Fixed!U296</f>
        <v>35.840585371050324</v>
      </c>
      <c r="M928" s="1030">
        <f ca="1">Fixed!V296</f>
        <v>36.402387324485616</v>
      </c>
      <c r="N928" s="1030">
        <f ca="1">Fixed!W296</f>
        <v>36.967479277920916</v>
      </c>
      <c r="O928" s="1030">
        <f ca="1">Fixed!X296</f>
        <v>37.535861231356179</v>
      </c>
      <c r="P928" s="1030">
        <f ca="1">Fixed!Y296</f>
        <v>38.107533184791507</v>
      </c>
      <c r="Q928" s="1030">
        <f ca="1">Fixed!Z296</f>
        <v>38.68249513822677</v>
      </c>
    </row>
    <row r="930" spans="2:17">
      <c r="B930" s="1031" t="s">
        <v>1855</v>
      </c>
      <c r="D930" s="1030">
        <f>Fixed!M298</f>
        <v>22</v>
      </c>
      <c r="E930" s="1030">
        <f ca="1">Fixed!N298</f>
        <v>22.792708774904622</v>
      </c>
      <c r="F930" s="1030">
        <f ca="1">Fixed!O298</f>
        <v>24.625019798001748</v>
      </c>
      <c r="G930" s="1030">
        <f ca="1">Fixed!P298</f>
        <v>26.386825472764343</v>
      </c>
      <c r="H930" s="1030">
        <f ca="1">Fixed!Q298</f>
        <v>27.999694939579257</v>
      </c>
      <c r="I930" s="1030">
        <f ca="1">Fixed!R298</f>
        <v>29.228335619607051</v>
      </c>
      <c r="J930" s="1030">
        <f ca="1">Fixed!S298</f>
        <v>30.13126570770121</v>
      </c>
      <c r="K930" s="1030">
        <f ca="1">Fixed!T298</f>
        <v>30.646796804496802</v>
      </c>
      <c r="L930" s="1030">
        <f ca="1">Fixed!U298</f>
        <v>31.165498105803835</v>
      </c>
      <c r="M930" s="1030">
        <f ca="1">Fixed!V298</f>
        <v>31.687369611622316</v>
      </c>
      <c r="N930" s="1030">
        <f ca="1">Fixed!W298</f>
        <v>32.212411321952246</v>
      </c>
      <c r="O930" s="1030">
        <f ca="1">Fixed!X298</f>
        <v>32.740623236793617</v>
      </c>
      <c r="P930" s="1030">
        <f ca="1">Fixed!Y298</f>
        <v>33.27200535614643</v>
      </c>
      <c r="Q930" s="1030">
        <f ca="1">Fixed!Z298</f>
        <v>33.806557680010691</v>
      </c>
    </row>
    <row r="932" spans="2:17">
      <c r="B932" s="1031" t="s">
        <v>1626</v>
      </c>
      <c r="D932" s="1030">
        <f>Fixed!M280</f>
        <v>11.247333333333337</v>
      </c>
      <c r="E932" s="1030">
        <f>Fixed!N280</f>
        <v>11.247333333333337</v>
      </c>
      <c r="F932" s="1030">
        <f>Fixed!O280</f>
        <v>11.247333333333337</v>
      </c>
      <c r="G932" s="1030">
        <f>Fixed!P280</f>
        <v>11.247333333333337</v>
      </c>
      <c r="H932" s="1030">
        <f>Fixed!Q280</f>
        <v>11.247333333333337</v>
      </c>
      <c r="I932" s="1030">
        <f>Fixed!R280</f>
        <v>11.247333333333337</v>
      </c>
      <c r="J932" s="1030">
        <f>Fixed!S280</f>
        <v>11.247333333333337</v>
      </c>
      <c r="K932" s="1030">
        <f>Fixed!T280</f>
        <v>11.247333333333337</v>
      </c>
      <c r="L932" s="1030">
        <f>Fixed!U280</f>
        <v>11.247333333333337</v>
      </c>
      <c r="M932" s="1030">
        <f>Fixed!V280</f>
        <v>11.247333333333337</v>
      </c>
      <c r="N932" s="1030">
        <f>Fixed!W280</f>
        <v>11.247333333333337</v>
      </c>
      <c r="O932" s="1030">
        <f>Fixed!X280</f>
        <v>11.247333333333337</v>
      </c>
      <c r="P932" s="1030">
        <f>Fixed!Y280</f>
        <v>11.247333333333337</v>
      </c>
      <c r="Q932" s="1030">
        <f>Fixed!Z280</f>
        <v>11.247333333333337</v>
      </c>
    </row>
    <row r="934" spans="2:17">
      <c r="B934" s="1112" t="s">
        <v>1862</v>
      </c>
      <c r="C934" s="1112"/>
      <c r="D934" s="1197">
        <f t="shared" ref="D934:Q934" si="209">D920+D922+D928+D930+D932</f>
        <v>183.41399999999999</v>
      </c>
      <c r="E934" s="1197">
        <f t="shared" ca="1" si="209"/>
        <v>193.26969502103236</v>
      </c>
      <c r="F934" s="1197">
        <f t="shared" ca="1" si="209"/>
        <v>187.46621537875632</v>
      </c>
      <c r="G934" s="1197">
        <f t="shared" ca="1" si="209"/>
        <v>190.60693133023653</v>
      </c>
      <c r="H934" s="1197">
        <f t="shared" ca="1" si="209"/>
        <v>202.94415147376913</v>
      </c>
      <c r="I934" s="1197">
        <f t="shared" ca="1" si="209"/>
        <v>202.99840863051455</v>
      </c>
      <c r="J934" s="1197">
        <f t="shared" ca="1" si="209"/>
        <v>231.88698917188094</v>
      </c>
      <c r="K934" s="1197">
        <f t="shared" ca="1" si="209"/>
        <v>230.4678702221118</v>
      </c>
      <c r="L934" s="1197">
        <f t="shared" ca="1" si="209"/>
        <v>267.77608347685418</v>
      </c>
      <c r="M934" s="1197">
        <f t="shared" ca="1" si="209"/>
        <v>268.85975693610794</v>
      </c>
      <c r="N934" s="1197">
        <f t="shared" ca="1" si="209"/>
        <v>269.94989059987319</v>
      </c>
      <c r="O934" s="1197">
        <f t="shared" ca="1" si="209"/>
        <v>271.0464844681498</v>
      </c>
      <c r="P934" s="1197">
        <f t="shared" ca="1" si="209"/>
        <v>272.14953854093795</v>
      </c>
      <c r="Q934" s="1197">
        <f t="shared" ca="1" si="209"/>
        <v>137.90305281823746</v>
      </c>
    </row>
    <row r="936" spans="2:17">
      <c r="B936" s="1011" t="s">
        <v>1865</v>
      </c>
      <c r="C936" s="1011">
        <v>2022</v>
      </c>
      <c r="D936" s="1011">
        <f>C936+1</f>
        <v>2023</v>
      </c>
      <c r="E936" s="1011">
        <f t="shared" ref="E936:Q936" si="210">D936+1</f>
        <v>2024</v>
      </c>
      <c r="F936" s="1011">
        <f t="shared" si="210"/>
        <v>2025</v>
      </c>
      <c r="G936" s="1011">
        <f t="shared" si="210"/>
        <v>2026</v>
      </c>
      <c r="H936" s="1011">
        <f t="shared" si="210"/>
        <v>2027</v>
      </c>
      <c r="I936" s="1011">
        <f t="shared" si="210"/>
        <v>2028</v>
      </c>
      <c r="J936" s="1011">
        <f t="shared" si="210"/>
        <v>2029</v>
      </c>
      <c r="K936" s="1011">
        <f t="shared" si="210"/>
        <v>2030</v>
      </c>
      <c r="L936" s="1011">
        <f t="shared" si="210"/>
        <v>2031</v>
      </c>
      <c r="M936" s="1011">
        <f t="shared" si="210"/>
        <v>2032</v>
      </c>
      <c r="N936" s="1011">
        <f t="shared" si="210"/>
        <v>2033</v>
      </c>
      <c r="O936" s="1011">
        <f t="shared" si="210"/>
        <v>2034</v>
      </c>
      <c r="P936" s="1011">
        <f t="shared" si="210"/>
        <v>2035</v>
      </c>
      <c r="Q936" s="1011">
        <f t="shared" si="210"/>
        <v>2036</v>
      </c>
    </row>
    <row r="937" spans="2:17">
      <c r="B937" s="1379" t="s">
        <v>1867</v>
      </c>
      <c r="C937" s="1380"/>
      <c r="D937" s="1380"/>
      <c r="E937" s="1380"/>
      <c r="F937" s="1380"/>
      <c r="G937" s="1380"/>
      <c r="H937" s="1380"/>
      <c r="I937" s="1380"/>
      <c r="J937" s="1380"/>
      <c r="K937" s="1380"/>
      <c r="L937" s="1380"/>
      <c r="M937" s="1380"/>
      <c r="N937" s="1380"/>
      <c r="O937" s="1380"/>
      <c r="P937" s="1380"/>
      <c r="Q937" s="1380"/>
    </row>
    <row r="938" spans="2:17">
      <c r="B938" s="1381" t="s">
        <v>1813</v>
      </c>
      <c r="C938" s="1381"/>
      <c r="D938" s="1376">
        <f t="shared" ref="D938:Q938" ca="1" si="211">D911</f>
        <v>265.00880471000005</v>
      </c>
      <c r="E938" s="1376">
        <f t="shared" ca="1" si="211"/>
        <v>256.10453475809345</v>
      </c>
      <c r="F938" s="1376">
        <f t="shared" ca="1" si="211"/>
        <v>252.27922377083641</v>
      </c>
      <c r="G938" s="1376">
        <f t="shared" ca="1" si="211"/>
        <v>272.13387207193978</v>
      </c>
      <c r="H938" s="1376">
        <f t="shared" ca="1" si="211"/>
        <v>293.24544277755672</v>
      </c>
      <c r="I938" s="1376">
        <f t="shared" ca="1" si="211"/>
        <v>318.19886500241864</v>
      </c>
      <c r="J938" s="1376">
        <f t="shared" ca="1" si="211"/>
        <v>346.75801496930603</v>
      </c>
      <c r="K938" s="1376">
        <f t="shared" ca="1" si="211"/>
        <v>376.99774767223545</v>
      </c>
      <c r="L938" s="1376">
        <f t="shared" ca="1" si="211"/>
        <v>407.73993145735614</v>
      </c>
      <c r="M938" s="1376">
        <f t="shared" ca="1" si="211"/>
        <v>440.33396585958155</v>
      </c>
      <c r="N938" s="1376">
        <f t="shared" ca="1" si="211"/>
        <v>473.59547892987689</v>
      </c>
      <c r="O938" s="1376">
        <f t="shared" ca="1" si="211"/>
        <v>507.52151581881463</v>
      </c>
      <c r="P938" s="1376">
        <f t="shared" ca="1" si="211"/>
        <v>542.10799110741243</v>
      </c>
      <c r="Q938" s="1376">
        <f t="shared" ca="1" si="211"/>
        <v>572.21191479357208</v>
      </c>
    </row>
    <row r="939" spans="2:17">
      <c r="B939" s="1381"/>
      <c r="C939" s="1381"/>
      <c r="D939" s="1381"/>
      <c r="E939" s="1381"/>
      <c r="F939" s="1381"/>
      <c r="G939" s="1381"/>
      <c r="H939" s="1381"/>
      <c r="I939" s="1381"/>
      <c r="J939" s="1381"/>
      <c r="K939" s="1381"/>
      <c r="L939" s="1381"/>
      <c r="M939" s="1381"/>
      <c r="N939" s="1381"/>
      <c r="O939" s="1381"/>
      <c r="P939" s="1381"/>
      <c r="Q939" s="1381"/>
    </row>
    <row r="940" spans="2:17" outlineLevel="1">
      <c r="B940" s="1381" t="s">
        <v>1819</v>
      </c>
      <c r="C940" s="1381"/>
      <c r="D940" s="1382">
        <f ca="1">Fixed!M355</f>
        <v>145.7548425905</v>
      </c>
      <c r="E940" s="1382">
        <f ca="1">Fixed!N355</f>
        <v>138.29644876937044</v>
      </c>
      <c r="F940" s="1382">
        <f ca="1">Fixed!O355</f>
        <v>131.18519636083494</v>
      </c>
      <c r="G940" s="1382">
        <f ca="1">Fixed!P355</f>
        <v>138.78827475668928</v>
      </c>
      <c r="H940" s="1382">
        <f ca="1">Fixed!Q355</f>
        <v>146.62272138877836</v>
      </c>
      <c r="I940" s="1382">
        <f ca="1">Fixed!R355</f>
        <v>154.85678096784375</v>
      </c>
      <c r="J940" s="1382">
        <f ca="1">Fixed!S355</f>
        <v>164.13212708547155</v>
      </c>
      <c r="K940" s="1382">
        <f ca="1">Fixed!T355</f>
        <v>173.41896392922834</v>
      </c>
      <c r="L940" s="1382">
        <f ca="1">Fixed!U355</f>
        <v>182.12383605095243</v>
      </c>
      <c r="M940" s="1382">
        <f ca="1">Fixed!V355</f>
        <v>190.81138520581874</v>
      </c>
      <c r="N940" s="1382">
        <f ca="1">Fixed!W355</f>
        <v>198.91010115054837</v>
      </c>
      <c r="O940" s="1382">
        <f ca="1">Fixed!X355</f>
        <v>206.39208309965136</v>
      </c>
      <c r="P940" s="1382">
        <f ca="1">Fixed!Y355</f>
        <v>213.22914316891564</v>
      </c>
      <c r="Q940" s="1382">
        <f ca="1">Fixed!Z355</f>
        <v>217.44052762155741</v>
      </c>
    </row>
    <row r="941" spans="2:17" outlineLevel="1">
      <c r="B941" s="1381" t="s">
        <v>1196</v>
      </c>
      <c r="C941" s="1381"/>
      <c r="D941" s="1382"/>
      <c r="E941" s="1378">
        <f ca="1">E940/D940-1</f>
        <v>-5.117081318583705E-2</v>
      </c>
      <c r="F941" s="1378">
        <f t="shared" ref="F941:Q941" ca="1" si="212">F940/E940-1</f>
        <v>-5.1420354403998947E-2</v>
      </c>
      <c r="G941" s="1378">
        <f t="shared" ca="1" si="212"/>
        <v>5.7956832072282749E-2</v>
      </c>
      <c r="H941" s="1378">
        <f t="shared" ca="1" si="212"/>
        <v>5.644890856827578E-2</v>
      </c>
      <c r="I941" s="1378">
        <f t="shared" ca="1" si="212"/>
        <v>5.615814180144918E-2</v>
      </c>
      <c r="J941" s="1378">
        <f t="shared" ca="1" si="212"/>
        <v>5.9896286489087291E-2</v>
      </c>
      <c r="K941" s="1378">
        <f t="shared" ca="1" si="212"/>
        <v>5.6581468897437093E-2</v>
      </c>
      <c r="L941" s="1378">
        <f t="shared" ca="1" si="212"/>
        <v>5.0195618313557233E-2</v>
      </c>
      <c r="M941" s="1378">
        <f t="shared" ca="1" si="212"/>
        <v>4.7701329728393249E-2</v>
      </c>
      <c r="N941" s="1378">
        <f t="shared" ca="1" si="212"/>
        <v>4.2443567693793316E-2</v>
      </c>
      <c r="O941" s="1378">
        <f t="shared" ca="1" si="212"/>
        <v>3.7614891882439494E-2</v>
      </c>
      <c r="P941" s="1378">
        <f t="shared" ca="1" si="212"/>
        <v>3.3126561671278809E-2</v>
      </c>
      <c r="Q941" s="1378">
        <f t="shared" ca="1" si="212"/>
        <v>1.9750510601196813E-2</v>
      </c>
    </row>
    <row r="942" spans="2:17" outlineLevel="1">
      <c r="B942" s="1383" t="s">
        <v>2043</v>
      </c>
      <c r="C942" s="1383"/>
      <c r="D942" s="1384">
        <f ca="1">D940/AVERAGE(C825:D825)*1000</f>
        <v>211.69911777850399</v>
      </c>
      <c r="E942" s="1384">
        <f t="shared" ref="E942:Q942" ca="1" si="213">E940/AVERAGE(D825:E825)*1000</f>
        <v>188.26048729775326</v>
      </c>
      <c r="F942" s="1384">
        <f t="shared" ca="1" si="213"/>
        <v>166.07170559976109</v>
      </c>
      <c r="G942" s="1384">
        <f t="shared" ca="1" si="213"/>
        <v>159.75281590937431</v>
      </c>
      <c r="H942" s="1384">
        <f t="shared" ca="1" si="213"/>
        <v>153.88013801602366</v>
      </c>
      <c r="I942" s="1384">
        <f t="shared" ca="1" si="213"/>
        <v>148.76785527073287</v>
      </c>
      <c r="J942" s="1384">
        <f t="shared" ca="1" si="213"/>
        <v>144.38790568900356</v>
      </c>
      <c r="K942" s="1384">
        <f t="shared" ca="1" si="213"/>
        <v>140.50008250689223</v>
      </c>
      <c r="L942" s="1384">
        <f t="shared" ca="1" si="213"/>
        <v>137.30774095044455</v>
      </c>
      <c r="M942" s="1384">
        <f t="shared" ca="1" si="213"/>
        <v>134.45135630804438</v>
      </c>
      <c r="N942" s="1384">
        <f t="shared" ca="1" si="213"/>
        <v>131.49525393895911</v>
      </c>
      <c r="O942" s="1384">
        <f t="shared" ca="1" si="213"/>
        <v>128.44333953923041</v>
      </c>
      <c r="P942" s="1384">
        <f t="shared" ca="1" si="213"/>
        <v>125.2987250487256</v>
      </c>
      <c r="Q942" s="1384">
        <f t="shared" ca="1" si="213"/>
        <v>120.97773208755234</v>
      </c>
    </row>
    <row r="943" spans="2:17" outlineLevel="1">
      <c r="B943" s="1381"/>
      <c r="C943" s="1381"/>
      <c r="D943" s="1382"/>
      <c r="E943" s="1382"/>
      <c r="F943" s="1382"/>
      <c r="G943" s="1382"/>
      <c r="H943" s="1382"/>
      <c r="I943" s="1382"/>
      <c r="J943" s="1382"/>
      <c r="K943" s="1382"/>
      <c r="L943" s="1382"/>
      <c r="M943" s="1382"/>
      <c r="N943" s="1382"/>
      <c r="O943" s="1382"/>
      <c r="P943" s="1382"/>
      <c r="Q943" s="1382"/>
    </row>
    <row r="944" spans="2:17" ht="13.5" thickBot="1">
      <c r="B944" s="1380" t="s">
        <v>1823</v>
      </c>
      <c r="C944" s="1380"/>
      <c r="D944" s="1385">
        <f ca="1">Fixed!M358</f>
        <v>119.25396211950003</v>
      </c>
      <c r="E944" s="1385">
        <f ca="1">Fixed!N358</f>
        <v>117.80808598872299</v>
      </c>
      <c r="F944" s="1385">
        <f ca="1">Fixed!O358</f>
        <v>121.09402741000147</v>
      </c>
      <c r="G944" s="1385">
        <f ca="1">Fixed!P358</f>
        <v>133.3455973152505</v>
      </c>
      <c r="H944" s="1385">
        <f ca="1">Fixed!Q358</f>
        <v>146.62272138877836</v>
      </c>
      <c r="I944" s="1385">
        <f ca="1">Fixed!R358</f>
        <v>163.3420840345749</v>
      </c>
      <c r="J944" s="1385">
        <f ca="1">Fixed!S358</f>
        <v>182.62588788383448</v>
      </c>
      <c r="K944" s="1385">
        <f ca="1">Fixed!T358</f>
        <v>203.57878374300711</v>
      </c>
      <c r="L944" s="1385">
        <f ca="1">Fixed!U358</f>
        <v>225.6160954064037</v>
      </c>
      <c r="M944" s="1385">
        <f ca="1">Fixed!V358</f>
        <v>249.52258065376282</v>
      </c>
      <c r="N944" s="1385">
        <f ca="1">Fixed!W358</f>
        <v>274.68537777932852</v>
      </c>
      <c r="O944" s="1385">
        <f ca="1">Fixed!X358</f>
        <v>301.12943271916328</v>
      </c>
      <c r="P944" s="1385">
        <f ca="1">Fixed!Y358</f>
        <v>328.87884793849679</v>
      </c>
      <c r="Q944" s="1385">
        <f ca="1">Fixed!Z358</f>
        <v>354.77138717201467</v>
      </c>
    </row>
    <row r="945" spans="2:17" ht="13.5" thickBot="1">
      <c r="B945" s="1380" t="s">
        <v>1863</v>
      </c>
      <c r="C945" s="1380"/>
      <c r="D945" s="1219">
        <f>Fixed!M359</f>
        <v>0.45</v>
      </c>
      <c r="E945" s="1386">
        <f>Fixed!N359</f>
        <v>0.46</v>
      </c>
      <c r="F945" s="1386">
        <f>Fixed!O359</f>
        <v>0.48</v>
      </c>
      <c r="G945" s="1386">
        <f>Fixed!P359</f>
        <v>0.49</v>
      </c>
      <c r="H945" s="1386">
        <f>Fixed!Q359</f>
        <v>0.5</v>
      </c>
      <c r="I945" s="1386">
        <f>Fixed!R359</f>
        <v>0.51333333333333331</v>
      </c>
      <c r="J945" s="1386">
        <f>Fixed!S359</f>
        <v>0.52666666666666662</v>
      </c>
      <c r="K945" s="1386">
        <f>Fixed!T359</f>
        <v>0.53999999999999992</v>
      </c>
      <c r="L945" s="1386">
        <f>Fixed!U359</f>
        <v>0.55333333333333323</v>
      </c>
      <c r="M945" s="1386">
        <f>Fixed!V359</f>
        <v>0.56666666666666654</v>
      </c>
      <c r="N945" s="1386">
        <f>Fixed!W359</f>
        <v>0.57999999999999985</v>
      </c>
      <c r="O945" s="1386">
        <f>Fixed!X359</f>
        <v>0.59333333333333316</v>
      </c>
      <c r="P945" s="1386">
        <f>Fixed!Y359</f>
        <v>0.60666666666666647</v>
      </c>
      <c r="Q945" s="1219">
        <f>Fixed!Z359</f>
        <v>0.62</v>
      </c>
    </row>
    <row r="946" spans="2:17">
      <c r="B946" s="1381"/>
      <c r="C946" s="1381"/>
      <c r="D946" s="1381"/>
      <c r="E946" s="1381"/>
      <c r="F946" s="1381"/>
      <c r="G946" s="1381"/>
      <c r="H946" s="1381"/>
      <c r="I946" s="1381"/>
      <c r="J946" s="1381"/>
      <c r="K946" s="1381"/>
      <c r="L946" s="1381"/>
      <c r="M946" s="1381"/>
      <c r="N946" s="1381"/>
      <c r="O946" s="1381"/>
      <c r="P946" s="1381"/>
      <c r="Q946" s="1381"/>
    </row>
    <row r="947" spans="2:17">
      <c r="B947" s="1381" t="s">
        <v>1864</v>
      </c>
      <c r="C947" s="1381"/>
      <c r="D947" s="1376">
        <f>-Fixed!M361</f>
        <v>-133.41453333333334</v>
      </c>
      <c r="E947" s="1376">
        <f ca="1">-Fixed!N361</f>
        <v>-129.27510283543657</v>
      </c>
      <c r="F947" s="1376">
        <f ca="1">-Fixed!O361</f>
        <v>-129.36975487120895</v>
      </c>
      <c r="G947" s="1376">
        <f ca="1">-Fixed!P361</f>
        <v>-129.68382646635698</v>
      </c>
      <c r="H947" s="1376">
        <f ca="1">-Fixed!Q361</f>
        <v>-139.91754848071025</v>
      </c>
      <c r="I947" s="1376">
        <f ca="1">-Fixed!R361</f>
        <v>-139.92297419638479</v>
      </c>
      <c r="J947" s="1376">
        <f ca="1">-Fixed!S361</f>
        <v>-169.02433225052144</v>
      </c>
      <c r="K947" s="1376">
        <f ca="1">-Fixed!T361</f>
        <v>-168.88242035554453</v>
      </c>
      <c r="L947" s="1376">
        <f ca="1">-Fixed!U361</f>
        <v>-205.22114168101874</v>
      </c>
      <c r="M947" s="1376">
        <f ca="1">-Fixed!V361</f>
        <v>-205.32950902694412</v>
      </c>
      <c r="N947" s="1376">
        <f ca="1">-Fixed!W361</f>
        <v>-205.43852239332065</v>
      </c>
      <c r="O947" s="1376">
        <f ca="1">-Fixed!X361</f>
        <v>-205.5481817801483</v>
      </c>
      <c r="P947" s="1376">
        <f ca="1">-Fixed!Y361</f>
        <v>-205.65848718742711</v>
      </c>
      <c r="Q947" s="1376">
        <f ca="1">-Fixed!Z361</f>
        <v>-70.413438615157091</v>
      </c>
    </row>
    <row r="948" spans="2:17">
      <c r="B948" s="1381" t="s">
        <v>2028</v>
      </c>
      <c r="C948" s="1381"/>
      <c r="D948" s="1376">
        <f>Fixed!M362</f>
        <v>-36.068800000000003</v>
      </c>
      <c r="E948" s="1376">
        <f>Fixed!N362</f>
        <v>-36</v>
      </c>
      <c r="F948" s="1376">
        <f>Fixed!O362</f>
        <v>-36</v>
      </c>
      <c r="G948" s="1376">
        <f>Fixed!P362</f>
        <v>-36</v>
      </c>
      <c r="H948" s="1376">
        <f>Fixed!Q362</f>
        <v>-36</v>
      </c>
      <c r="I948" s="1376">
        <f>Fixed!R362</f>
        <v>-36</v>
      </c>
      <c r="J948" s="1376">
        <f>Fixed!S362</f>
        <v>-36</v>
      </c>
      <c r="K948" s="1376">
        <f>Fixed!T362</f>
        <v>-36</v>
      </c>
      <c r="L948" s="1376">
        <f>Fixed!U362</f>
        <v>-36</v>
      </c>
      <c r="M948" s="1376">
        <f>Fixed!V362</f>
        <v>-36</v>
      </c>
      <c r="N948" s="1376">
        <f>Fixed!W362</f>
        <v>-36</v>
      </c>
      <c r="O948" s="1376">
        <f>Fixed!X362</f>
        <v>-36</v>
      </c>
      <c r="P948" s="1376">
        <f>Fixed!Y362</f>
        <v>-36</v>
      </c>
      <c r="Q948" s="1376">
        <f>Fixed!Z362</f>
        <v>-36</v>
      </c>
    </row>
    <row r="949" spans="2:17">
      <c r="B949" s="1381" t="str">
        <f>Fixed!B363</f>
        <v>Less: one-offs (50% to NetCo)</v>
      </c>
      <c r="C949" s="1381"/>
      <c r="D949" s="1195">
        <f ca="1">Fixed!M363</f>
        <v>-23.777273265757032</v>
      </c>
      <c r="E949" s="1195">
        <f>Fixed!N363</f>
        <v>-22.5</v>
      </c>
      <c r="F949" s="1195">
        <f>Fixed!O363</f>
        <v>-12.5</v>
      </c>
      <c r="G949" s="1195">
        <f>Fixed!P363</f>
        <v>-10</v>
      </c>
      <c r="H949" s="1195">
        <f>Fixed!Q363</f>
        <v>-5</v>
      </c>
      <c r="I949" s="1195">
        <f>Fixed!R363</f>
        <v>-5</v>
      </c>
      <c r="J949" s="1195">
        <f>Fixed!S363</f>
        <v>-5</v>
      </c>
      <c r="K949" s="1195">
        <f>Fixed!T363</f>
        <v>-5</v>
      </c>
      <c r="L949" s="1195">
        <f>Fixed!U363</f>
        <v>-5</v>
      </c>
      <c r="M949" s="1195">
        <f>Fixed!V363</f>
        <v>-5</v>
      </c>
      <c r="N949" s="1195">
        <f>Fixed!W363</f>
        <v>-5</v>
      </c>
      <c r="O949" s="1195">
        <f>Fixed!X363</f>
        <v>-5</v>
      </c>
      <c r="P949" s="1195">
        <f>Fixed!Y363</f>
        <v>-5</v>
      </c>
      <c r="Q949" s="1195">
        <f>Fixed!Z363</f>
        <v>0</v>
      </c>
    </row>
    <row r="950" spans="2:17">
      <c r="B950" s="1112" t="s">
        <v>2029</v>
      </c>
      <c r="C950" s="1112"/>
      <c r="D950" s="1197">
        <f ca="1">Fixed!M364</f>
        <v>-74.006644479590335</v>
      </c>
      <c r="E950" s="1197">
        <f ca="1">Fixed!N364</f>
        <v>-69.967016846713577</v>
      </c>
      <c r="F950" s="1197">
        <f ca="1">Fixed!O364</f>
        <v>-56.775727461207481</v>
      </c>
      <c r="G950" s="1197">
        <f ca="1">Fixed!P364</f>
        <v>-42.338229151106475</v>
      </c>
      <c r="H950" s="1197">
        <f ca="1">Fixed!Q364</f>
        <v>-34.294827091931893</v>
      </c>
      <c r="I950" s="1197">
        <f ca="1">Fixed!R364</f>
        <v>-17.58089016180989</v>
      </c>
      <c r="J950" s="1197">
        <f ca="1">Fixed!S364</f>
        <v>-27.398444366686959</v>
      </c>
      <c r="K950" s="1197">
        <f ca="1">Fixed!T364</f>
        <v>-6.3036366125374172</v>
      </c>
      <c r="L950" s="1197">
        <f ca="1">Fixed!U364</f>
        <v>-20.605046274615034</v>
      </c>
      <c r="M950" s="1197">
        <f ca="1">Fixed!V364</f>
        <v>3.1930716268186927</v>
      </c>
      <c r="N950" s="1197">
        <f ca="1">Fixed!W364</f>
        <v>28.246855386007866</v>
      </c>
      <c r="O950" s="1197">
        <f ca="1">Fixed!X364</f>
        <v>54.581250939014978</v>
      </c>
      <c r="P950" s="1197">
        <f ca="1">Fixed!Y364</f>
        <v>82.220360751069677</v>
      </c>
      <c r="Q950" s="1197">
        <f ca="1">Fixed!Z364</f>
        <v>248.35794855685759</v>
      </c>
    </row>
    <row r="952" spans="2:17">
      <c r="B952" s="1011" t="s">
        <v>1865</v>
      </c>
      <c r="C952" s="1011">
        <v>2022</v>
      </c>
      <c r="D952" s="1011">
        <f>C952+1</f>
        <v>2023</v>
      </c>
      <c r="E952" s="1011">
        <f t="shared" ref="E952" si="214">D952+1</f>
        <v>2024</v>
      </c>
      <c r="F952" s="1011">
        <f t="shared" ref="F952" si="215">E952+1</f>
        <v>2025</v>
      </c>
      <c r="G952" s="1011">
        <f t="shared" ref="G952" si="216">F952+1</f>
        <v>2026</v>
      </c>
      <c r="H952" s="1011">
        <f t="shared" ref="H952" si="217">G952+1</f>
        <v>2027</v>
      </c>
      <c r="I952" s="1011">
        <f t="shared" ref="I952" si="218">H952+1</f>
        <v>2028</v>
      </c>
      <c r="J952" s="1011">
        <f t="shared" ref="J952" si="219">I952+1</f>
        <v>2029</v>
      </c>
      <c r="K952" s="1011">
        <f t="shared" ref="K952" si="220">J952+1</f>
        <v>2030</v>
      </c>
      <c r="L952" s="1011">
        <f t="shared" ref="L952" si="221">K952+1</f>
        <v>2031</v>
      </c>
      <c r="M952" s="1011">
        <f t="shared" ref="M952" si="222">L952+1</f>
        <v>2032</v>
      </c>
      <c r="N952" s="1011">
        <f t="shared" ref="N952" si="223">M952+1</f>
        <v>2033</v>
      </c>
      <c r="O952" s="1011">
        <f t="shared" ref="O952" si="224">N952+1</f>
        <v>2034</v>
      </c>
      <c r="P952" s="1011">
        <f t="shared" ref="P952" si="225">O952+1</f>
        <v>2035</v>
      </c>
      <c r="Q952" s="1011">
        <f t="shared" ref="Q952" si="226">P952+1</f>
        <v>2036</v>
      </c>
    </row>
    <row r="953" spans="2:17">
      <c r="B953" s="1043" t="s">
        <v>2160</v>
      </c>
    </row>
    <row r="954" spans="2:17">
      <c r="B954" s="998" t="s">
        <v>1866</v>
      </c>
      <c r="D954" s="1148">
        <f t="shared" ref="D954:Q954" si="227">D882</f>
        <v>452.06121156</v>
      </c>
      <c r="E954" s="1148">
        <f t="shared" ca="1" si="227"/>
        <v>433.86462054566306</v>
      </c>
      <c r="F954" s="1148">
        <f t="shared" ca="1" si="227"/>
        <v>434.14953674314324</v>
      </c>
      <c r="G954" s="1148">
        <f t="shared" ca="1" si="227"/>
        <v>462.82185958200864</v>
      </c>
      <c r="H954" s="1148">
        <f t="shared" ca="1" si="227"/>
        <v>489.86188981053965</v>
      </c>
      <c r="I954" s="1148">
        <f t="shared" ca="1" si="227"/>
        <v>518.46892095649082</v>
      </c>
      <c r="J954" s="1148">
        <f t="shared" ca="1" si="227"/>
        <v>551.9682456787674</v>
      </c>
      <c r="K954" s="1148">
        <f t="shared" ca="1" si="227"/>
        <v>585.33632681154836</v>
      </c>
      <c r="L954" s="1148">
        <f t="shared" ca="1" si="227"/>
        <v>620.30673546738274</v>
      </c>
      <c r="M954" s="1148">
        <f t="shared" ca="1" si="227"/>
        <v>656.09150612176188</v>
      </c>
      <c r="N954" s="1148">
        <f t="shared" ca="1" si="227"/>
        <v>692.69894464381446</v>
      </c>
      <c r="O954" s="1148">
        <f t="shared" ca="1" si="227"/>
        <v>730.13758281561491</v>
      </c>
      <c r="P954" s="1148">
        <f t="shared" ca="1" si="227"/>
        <v>768.41620699852081</v>
      </c>
      <c r="Q954" s="1148">
        <f t="shared" ca="1" si="227"/>
        <v>807.54388938622628</v>
      </c>
    </row>
    <row r="955" spans="2:17">
      <c r="B955" s="998" t="s">
        <v>2156</v>
      </c>
      <c r="D955" s="1148">
        <f>-D910</f>
        <v>-44.742804710000001</v>
      </c>
      <c r="E955" s="1148">
        <f t="shared" ref="E955:Q955" si="228">-E910</f>
        <v>-45.190232757099999</v>
      </c>
      <c r="F955" s="1148">
        <f t="shared" si="228"/>
        <v>-45.190232757099999</v>
      </c>
      <c r="G955" s="1148">
        <f t="shared" si="228"/>
        <v>-46.094037412242002</v>
      </c>
      <c r="H955" s="1148">
        <f t="shared" si="228"/>
        <v>-47.015918160486841</v>
      </c>
      <c r="I955" s="1148">
        <f t="shared" si="228"/>
        <v>-47.956236523696582</v>
      </c>
      <c r="J955" s="1148">
        <f t="shared" si="228"/>
        <v>-48.915361254170513</v>
      </c>
      <c r="K955" s="1148">
        <f t="shared" si="228"/>
        <v>-49.893668479253925</v>
      </c>
      <c r="L955" s="1148">
        <f t="shared" si="228"/>
        <v>-50.891541848839005</v>
      </c>
      <c r="M955" s="1148">
        <f t="shared" si="228"/>
        <v>-51.909372685815782</v>
      </c>
      <c r="N955" s="1148">
        <f t="shared" si="228"/>
        <v>-52.947560139532101</v>
      </c>
      <c r="O955" s="1148">
        <f t="shared" si="228"/>
        <v>-54.006511342322746</v>
      </c>
      <c r="P955" s="1148">
        <f t="shared" si="228"/>
        <v>-55.086641569169203</v>
      </c>
      <c r="Q955" s="1148">
        <f t="shared" si="228"/>
        <v>-56.18837440055259</v>
      </c>
    </row>
    <row r="956" spans="2:17">
      <c r="B956" s="998" t="s">
        <v>2208</v>
      </c>
      <c r="D956" s="1148">
        <f>-Fixed!M366</f>
        <v>-12.000000000000002</v>
      </c>
      <c r="E956" s="1148">
        <f>-Fixed!N366</f>
        <v>-12.000000000000002</v>
      </c>
      <c r="F956" s="1148">
        <f>-Fixed!O366</f>
        <v>-12.000000000000002</v>
      </c>
      <c r="G956" s="1148">
        <f>-Fixed!P366</f>
        <v>-11.760000000000002</v>
      </c>
      <c r="H956" s="1148">
        <f>-Fixed!Q366</f>
        <v>-11.524800000000001</v>
      </c>
      <c r="I956" s="1148">
        <f>-Fixed!R366</f>
        <v>-11.294304</v>
      </c>
      <c r="J956" s="1148">
        <f>-Fixed!S366</f>
        <v>-11.06841792</v>
      </c>
      <c r="K956" s="1148">
        <f>-Fixed!T366</f>
        <v>-10.8470495616</v>
      </c>
      <c r="L956" s="1148">
        <f>-Fixed!U366</f>
        <v>-10.630108570368</v>
      </c>
      <c r="M956" s="1148">
        <f>-Fixed!V366</f>
        <v>-10.41750639896064</v>
      </c>
      <c r="N956" s="1148">
        <f>-Fixed!W366</f>
        <v>-10.209156270981428</v>
      </c>
      <c r="O956" s="1148">
        <f>-Fixed!X366</f>
        <v>-10.004973145561799</v>
      </c>
      <c r="P956" s="1148">
        <f>-Fixed!Y366</f>
        <v>-9.8048736826505625</v>
      </c>
      <c r="Q956" s="1148">
        <f>-Fixed!Z366</f>
        <v>-9.6087762089975506</v>
      </c>
    </row>
    <row r="957" spans="2:17">
      <c r="B957" s="998" t="s">
        <v>1898</v>
      </c>
      <c r="D957" s="1195">
        <f ca="1">-Fixed!M343</f>
        <v>-2.8109999999999999</v>
      </c>
      <c r="E957" s="1195">
        <f ca="1">-Fixed!N343</f>
        <v>-4.4590300166263335</v>
      </c>
      <c r="F957" s="1195">
        <f ca="1">-Fixed!O343</f>
        <v>-7.3469772125866708</v>
      </c>
      <c r="G957" s="1195">
        <f ca="1">-Fixed!P343</f>
        <v>-12.386158288071169</v>
      </c>
      <c r="H957" s="1195">
        <f ca="1">-Fixed!Q343</f>
        <v>-19.517428807888631</v>
      </c>
      <c r="I957" s="1195">
        <f ca="1">-Fixed!R343</f>
        <v>-29.639221714849192</v>
      </c>
      <c r="J957" s="1195">
        <f ca="1">-Fixed!S343</f>
        <v>-44.330015157269813</v>
      </c>
      <c r="K957" s="1195">
        <f ca="1">-Fixed!T343</f>
        <v>-62.05301454376005</v>
      </c>
      <c r="L957" s="1195">
        <f ca="1">-Fixed!U343</f>
        <v>-79.627300731223613</v>
      </c>
      <c r="M957" s="1195">
        <f ca="1">-Fixed!V343</f>
        <v>-97.015482079866899</v>
      </c>
      <c r="N957" s="1195">
        <f ca="1">-Fixed!W343</f>
        <v>-114.17797114080879</v>
      </c>
      <c r="O957" s="1195">
        <f ca="1">-Fixed!X343</f>
        <v>-131.07289072963707</v>
      </c>
      <c r="P957" s="1195">
        <f ca="1">-Fixed!Y343</f>
        <v>-147.65597658503913</v>
      </c>
      <c r="Q957" s="1195">
        <f ca="1">-Fixed!Z343</f>
        <v>-163.88047650051425</v>
      </c>
    </row>
    <row r="958" spans="2:17">
      <c r="B958" s="1031" t="s">
        <v>2167</v>
      </c>
      <c r="C958" s="1031"/>
      <c r="D958" s="1194">
        <f ca="1">Fixed!M367</f>
        <v>392.50740684999994</v>
      </c>
      <c r="E958" s="1194">
        <f ca="1">Fixed!N367</f>
        <v>372.21535777193668</v>
      </c>
      <c r="F958" s="1194">
        <f ca="1">Fixed!O367</f>
        <v>369.61232677345652</v>
      </c>
      <c r="G958" s="1194">
        <f ca="1">Fixed!P367</f>
        <v>392.58166388169542</v>
      </c>
      <c r="H958" s="1194">
        <f ca="1">Fixed!Q367</f>
        <v>411.80374284216413</v>
      </c>
      <c r="I958" s="1194">
        <f ca="1">Fixed!R367</f>
        <v>429.57915871794489</v>
      </c>
      <c r="J958" s="1194">
        <f ca="1">Fixed!S367</f>
        <v>447.65445134732693</v>
      </c>
      <c r="K958" s="1194">
        <f ca="1">Fixed!T367</f>
        <v>462.54259422693445</v>
      </c>
      <c r="L958" s="1194">
        <f ca="1">Fixed!U367</f>
        <v>479.15778431695213</v>
      </c>
      <c r="M958" s="1194">
        <f ca="1">Fixed!V367</f>
        <v>496.74914495711846</v>
      </c>
      <c r="N958" s="1194">
        <f ca="1">Fixed!W367</f>
        <v>515.36425709249204</v>
      </c>
      <c r="O958" s="1194">
        <f ca="1">Fixed!X367</f>
        <v>535.05320759809319</v>
      </c>
      <c r="P958" s="1194">
        <f ca="1">Fixed!Y367</f>
        <v>555.86871516166195</v>
      </c>
      <c r="Q958" s="1194">
        <f ca="1">Fixed!Z367</f>
        <v>577.86626227616205</v>
      </c>
    </row>
    <row r="959" spans="2:17">
      <c r="B959" s="1147" t="s">
        <v>2194</v>
      </c>
      <c r="C959" s="1031"/>
      <c r="D959" s="1148">
        <f ca="1">Fixed!M179+Fixed!M185+D957+D956</f>
        <v>224.37640884999999</v>
      </c>
      <c r="E959" s="1148">
        <f ca="1">Fixed!N179+Fixed!N185+E957+E956</f>
        <v>184.83734442034807</v>
      </c>
      <c r="F959" s="1148">
        <f ca="1">Fixed!O179+Fixed!O185+F957+F956</f>
        <v>161.21084840150539</v>
      </c>
      <c r="G959" s="1148">
        <f ca="1">Fixed!P179+Fixed!P185+G957+G956</f>
        <v>162.81956961814379</v>
      </c>
      <c r="H959" s="1148">
        <f ca="1">Fixed!Q179+Fixed!Q185+H957+H956</f>
        <v>160.98066934080478</v>
      </c>
      <c r="I959" s="1148">
        <f ca="1">Fixed!R179+Fixed!R185+I957+I956</f>
        <v>159.59802227216534</v>
      </c>
      <c r="J959" s="1148">
        <f ca="1">Fixed!S179+Fixed!S185+J957+J956</f>
        <v>158.64724762994581</v>
      </c>
      <c r="K959" s="1148">
        <f ca="1">Fixed!T179+Fixed!T185+K957+K956</f>
        <v>157.37587334599314</v>
      </c>
      <c r="L959" s="1148">
        <f ca="1">Fixed!U179+Fixed!U185+L957+L956</f>
        <v>156.10534960154391</v>
      </c>
      <c r="M959" s="1148">
        <f ca="1">Fixed!V179+Fixed!V185+M957+M956</f>
        <v>154.83219778296012</v>
      </c>
      <c r="N959" s="1148">
        <f ca="1">Fixed!W179+Fixed!W185+N957+N956</f>
        <v>153.55286375665523</v>
      </c>
      <c r="O959" s="1148">
        <f ca="1">Fixed!X179+Fixed!X185+O957+O956</f>
        <v>152.26371665727859</v>
      </c>
      <c r="P959" s="1148">
        <f ca="1">Fixed!Y179+Fixed!Y185+P957+P956</f>
        <v>150.96104765633106</v>
      </c>
      <c r="Q959" s="1148">
        <f ca="1">Fixed!Z179+Fixed!Z185+Q957+Q956</f>
        <v>149.64106871096237</v>
      </c>
    </row>
    <row r="960" spans="2:17">
      <c r="B960" s="1147" t="s">
        <v>2195</v>
      </c>
      <c r="C960" s="1031"/>
      <c r="D960" s="1148">
        <f ca="1">D958-D959</f>
        <v>168.13099799999995</v>
      </c>
      <c r="E960" s="1148">
        <f t="shared" ref="E960:Q960" ca="1" si="229">E958-E959</f>
        <v>187.37801335158861</v>
      </c>
      <c r="F960" s="1148">
        <f t="shared" ca="1" si="229"/>
        <v>208.40147837195113</v>
      </c>
      <c r="G960" s="1148">
        <f t="shared" ca="1" si="229"/>
        <v>229.76209426355163</v>
      </c>
      <c r="H960" s="1148">
        <f t="shared" ca="1" si="229"/>
        <v>250.82307350135935</v>
      </c>
      <c r="I960" s="1148">
        <f t="shared" ca="1" si="229"/>
        <v>269.98113644577955</v>
      </c>
      <c r="J960" s="1148">
        <f t="shared" ca="1" si="229"/>
        <v>289.00720371738112</v>
      </c>
      <c r="K960" s="1148">
        <f t="shared" ca="1" si="229"/>
        <v>305.16672088094128</v>
      </c>
      <c r="L960" s="1148">
        <f t="shared" ca="1" si="229"/>
        <v>323.05243471540825</v>
      </c>
      <c r="M960" s="1148">
        <f t="shared" ca="1" si="229"/>
        <v>341.91694717415834</v>
      </c>
      <c r="N960" s="1148">
        <f t="shared" ca="1" si="229"/>
        <v>361.81139333583678</v>
      </c>
      <c r="O960" s="1148">
        <f t="shared" ca="1" si="229"/>
        <v>382.78949094081463</v>
      </c>
      <c r="P960" s="1148">
        <f t="shared" ca="1" si="229"/>
        <v>404.90766750533089</v>
      </c>
      <c r="Q960" s="1148">
        <f t="shared" ca="1" si="229"/>
        <v>428.22519356519967</v>
      </c>
    </row>
    <row r="961" spans="2:17">
      <c r="B961" s="1147" t="s">
        <v>796</v>
      </c>
      <c r="C961" s="1031"/>
      <c r="D961" s="1148">
        <f ca="1">Fixed!M70</f>
        <v>693.96153846153845</v>
      </c>
      <c r="E961" s="1148">
        <f ca="1">Fixed!N70</f>
        <v>718.96651123357356</v>
      </c>
      <c r="F961" s="1148">
        <f ca="1">Fixed!O70</f>
        <v>776.7643919848698</v>
      </c>
      <c r="G961" s="1148">
        <f ca="1">Fixed!P70</f>
        <v>832.338272736166</v>
      </c>
      <c r="H961" s="1148">
        <f ca="1">Fixed!Q70</f>
        <v>883.21415348746223</v>
      </c>
      <c r="I961" s="1148">
        <f ca="1">Fixed!R70</f>
        <v>921.97003423875844</v>
      </c>
      <c r="J961" s="1148">
        <f ca="1">Fixed!S70</f>
        <v>950.45179574135091</v>
      </c>
      <c r="K961" s="1148">
        <f ca="1">Fixed!T70</f>
        <v>966.71355724394323</v>
      </c>
      <c r="L961" s="1148">
        <f ca="1">Fixed!U70</f>
        <v>983.07531874653557</v>
      </c>
      <c r="M961" s="1148">
        <f ca="1">Fixed!V70</f>
        <v>999.53708024912794</v>
      </c>
      <c r="N961" s="1148">
        <f ca="1">Fixed!W70</f>
        <v>1016.0988417517203</v>
      </c>
      <c r="O961" s="1148">
        <f ca="1">Fixed!X70</f>
        <v>1032.7606032543126</v>
      </c>
      <c r="P961" s="1148">
        <f ca="1">Fixed!Y70</f>
        <v>1049.5223647569051</v>
      </c>
      <c r="Q961" s="1148">
        <f ca="1">Fixed!Z70</f>
        <v>1066.3841262594974</v>
      </c>
    </row>
    <row r="962" spans="2:17">
      <c r="B962" s="1147" t="s">
        <v>2196</v>
      </c>
      <c r="C962" s="1031"/>
      <c r="D962" s="1377">
        <f>Fixed!M161</f>
        <v>24.290818524144427</v>
      </c>
      <c r="E962" s="1377">
        <f>Fixed!N161</f>
        <v>24.533726709385871</v>
      </c>
      <c r="F962" s="1377">
        <f>Fixed!O161</f>
        <v>24.77906397647973</v>
      </c>
      <c r="G962" s="1377">
        <f>Fixed!P161</f>
        <v>25.274645256009325</v>
      </c>
      <c r="H962" s="1377">
        <f>Fixed!Q161</f>
        <v>25.780138161129511</v>
      </c>
      <c r="I962" s="1377">
        <f>Fixed!R161</f>
        <v>26.295740924352103</v>
      </c>
      <c r="J962" s="1377">
        <f>Fixed!S161</f>
        <v>27.084613152082667</v>
      </c>
      <c r="K962" s="1377">
        <f>Fixed!T161</f>
        <v>27.897151546645148</v>
      </c>
      <c r="L962" s="1377">
        <f>Fixed!U161</f>
        <v>29.013037608510956</v>
      </c>
      <c r="M962" s="1377">
        <f>Fixed!V161</f>
        <v>30.173559112851397</v>
      </c>
      <c r="N962" s="1377">
        <f>Fixed!W161</f>
        <v>31.380501477365453</v>
      </c>
      <c r="O962" s="1377">
        <f>Fixed!X161</f>
        <v>32.635721536460075</v>
      </c>
      <c r="P962" s="1377">
        <f>Fixed!Y161</f>
        <v>33.941150397918477</v>
      </c>
      <c r="Q962" s="1377">
        <f>Fixed!Z161</f>
        <v>35.29879641383522</v>
      </c>
    </row>
    <row r="964" spans="2:17" outlineLevel="1">
      <c r="B964" s="998" t="s">
        <v>2161</v>
      </c>
      <c r="D964" s="1148">
        <f ca="1">Fixed!M375+Fixed!M376</f>
        <v>217.45500000000004</v>
      </c>
      <c r="E964" s="1148">
        <f ca="1">Fixed!N375+Fixed!N376</f>
        <v>206.45527198436713</v>
      </c>
      <c r="F964" s="1148">
        <f ca="1">Fixed!O375+Fixed!O376</f>
        <v>199.80042072548278</v>
      </c>
      <c r="G964" s="1148">
        <f ca="1">Fixed!P375+Fixed!P376</f>
        <v>213.99348729114539</v>
      </c>
      <c r="H964" s="1148">
        <f ca="1">Fixed!Q375+Fixed!Q376</f>
        <v>227.70194706327516</v>
      </c>
      <c r="I964" s="1148">
        <f ca="1">Fixed!R375+Fixed!R376</f>
        <v>242.67434676744313</v>
      </c>
      <c r="J964" s="1148">
        <f ca="1">Fixed!S375+Fixed!S376</f>
        <v>257.12329054272465</v>
      </c>
      <c r="K964" s="1148">
        <f ca="1">Fixed!T375+Fixed!T376</f>
        <v>270.61840557330606</v>
      </c>
      <c r="L964" s="1148">
        <f ca="1">Fixed!U375+Fixed!U376</f>
        <v>285.12861543991471</v>
      </c>
      <c r="M964" s="1148">
        <f ca="1">Fixed!V375+Fixed!V376</f>
        <v>302.06272011767282</v>
      </c>
      <c r="N964" s="1148">
        <f ca="1">Fixed!W375+Fixed!W376</f>
        <v>320.27502759475078</v>
      </c>
      <c r="O964" s="1148">
        <f ca="1">Fixed!X375+Fixed!X376</f>
        <v>339.80025718278904</v>
      </c>
      <c r="P964" s="1148">
        <f ca="1">Fixed!Y375+Fixed!Y376</f>
        <v>360.67127451422499</v>
      </c>
      <c r="Q964" s="1148">
        <f ca="1">Fixed!Z375+Fixed!Z376</f>
        <v>375.54401867923417</v>
      </c>
    </row>
    <row r="965" spans="2:17" outlineLevel="1">
      <c r="B965" s="1228" t="s">
        <v>2162</v>
      </c>
      <c r="C965" s="1228"/>
      <c r="D965" s="1229">
        <f ca="1">D958-D964</f>
        <v>175.0524068499999</v>
      </c>
      <c r="E965" s="1229">
        <f t="shared" ref="E965:Q965" ca="1" si="230">E958-E964</f>
        <v>165.76008578756955</v>
      </c>
      <c r="F965" s="1229">
        <f t="shared" ca="1" si="230"/>
        <v>169.81190604797374</v>
      </c>
      <c r="G965" s="1229">
        <f t="shared" ca="1" si="230"/>
        <v>178.58817659055003</v>
      </c>
      <c r="H965" s="1229">
        <f t="shared" ca="1" si="230"/>
        <v>184.10179577888897</v>
      </c>
      <c r="I965" s="1229">
        <f t="shared" ca="1" si="230"/>
        <v>186.90481195050177</v>
      </c>
      <c r="J965" s="1229">
        <f t="shared" ca="1" si="230"/>
        <v>190.53116080460228</v>
      </c>
      <c r="K965" s="1229">
        <f t="shared" ca="1" si="230"/>
        <v>191.92418865362839</v>
      </c>
      <c r="L965" s="1229">
        <f t="shared" ca="1" si="230"/>
        <v>194.02916887703742</v>
      </c>
      <c r="M965" s="1229">
        <f t="shared" ca="1" si="230"/>
        <v>194.68642483944564</v>
      </c>
      <c r="N965" s="1229">
        <f t="shared" ca="1" si="230"/>
        <v>195.08922949774126</v>
      </c>
      <c r="O965" s="1229">
        <f t="shared" ca="1" si="230"/>
        <v>195.25295041530416</v>
      </c>
      <c r="P965" s="1229">
        <f t="shared" ca="1" si="230"/>
        <v>195.19744064743696</v>
      </c>
      <c r="Q965" s="1229">
        <f t="shared" ca="1" si="230"/>
        <v>202.32224359692788</v>
      </c>
    </row>
    <row r="966" spans="2:17" outlineLevel="1">
      <c r="B966" s="1031" t="s">
        <v>2183</v>
      </c>
      <c r="D966" s="1193">
        <f ca="1">D965/D958</f>
        <v>0.44598497708578955</v>
      </c>
      <c r="E966" s="1193">
        <f t="shared" ref="E966:Q966" ca="1" si="231">E965/E958</f>
        <v>0.44533381636857083</v>
      </c>
      <c r="F966" s="1193">
        <f t="shared" ca="1" si="231"/>
        <v>0.45943247491324923</v>
      </c>
      <c r="G966" s="1193">
        <f t="shared" ca="1" si="231"/>
        <v>0.45490707544702758</v>
      </c>
      <c r="H966" s="1193">
        <f t="shared" ca="1" si="231"/>
        <v>0.44706197789331747</v>
      </c>
      <c r="I966" s="1193">
        <f t="shared" ca="1" si="231"/>
        <v>0.43508817445499171</v>
      </c>
      <c r="J966" s="1193">
        <f t="shared" ca="1" si="231"/>
        <v>0.42562105711481607</v>
      </c>
      <c r="K966" s="1193">
        <f t="shared" ca="1" si="231"/>
        <v>0.41493300519576753</v>
      </c>
      <c r="L966" s="1193">
        <f t="shared" ca="1" si="231"/>
        <v>0.4049379457617065</v>
      </c>
      <c r="M966" s="1193">
        <f t="shared" ca="1" si="231"/>
        <v>0.39192100643927996</v>
      </c>
      <c r="N966" s="1193">
        <f t="shared" ca="1" si="231"/>
        <v>0.37854629383567967</v>
      </c>
      <c r="O966" s="1193">
        <f t="shared" ca="1" si="231"/>
        <v>0.36492249302048663</v>
      </c>
      <c r="P966" s="1193">
        <f t="shared" ca="1" si="231"/>
        <v>0.35115745017358668</v>
      </c>
      <c r="Q966" s="1193">
        <f t="shared" ca="1" si="231"/>
        <v>0.35011949443111484</v>
      </c>
    </row>
    <row r="967" spans="2:17" outlineLevel="1">
      <c r="B967" s="1262" t="s">
        <v>2192</v>
      </c>
      <c r="C967" s="1064"/>
      <c r="D967" s="1247">
        <f ca="1">Fixed!M379</f>
        <v>65.951029069153392</v>
      </c>
      <c r="E967" s="1247">
        <f ca="1">Fixed!N379</f>
        <v>46.130648815426895</v>
      </c>
      <c r="F967" s="1247">
        <f ca="1">Fixed!O379</f>
        <v>38.558694518010739</v>
      </c>
      <c r="G967" s="1247">
        <f ca="1">Fixed!P379</f>
        <v>38.724800017774257</v>
      </c>
      <c r="H967" s="1247">
        <f ca="1">Fixed!Q379</f>
        <v>37.577903240331352</v>
      </c>
      <c r="I967" s="1247">
        <f ca="1">Fixed!R379</f>
        <v>36.634101579794091</v>
      </c>
      <c r="J967" s="1247">
        <f ca="1">Fixed!S379</f>
        <v>35.880144237863391</v>
      </c>
      <c r="K967" s="1247">
        <f ca="1">Fixed!T379</f>
        <v>35.231661360900233</v>
      </c>
      <c r="L967" s="1247">
        <f ca="1">Fixed!U379</f>
        <v>34.608763561919567</v>
      </c>
      <c r="M967" s="1247">
        <f ca="1">Fixed!V379</f>
        <v>34.00840462891216</v>
      </c>
      <c r="N967" s="1247">
        <f ca="1">Fixed!W379</f>
        <v>33.427469004499187</v>
      </c>
      <c r="O967" s="1247">
        <f ca="1">Fixed!X379</f>
        <v>32.862770654367679</v>
      </c>
      <c r="P967" s="1247">
        <f ca="1">Fixed!Y379</f>
        <v>32.311051917125496</v>
      </c>
      <c r="Q967" s="1247">
        <f ca="1">Fixed!Z379</f>
        <v>31.768982335336371</v>
      </c>
    </row>
    <row r="968" spans="2:17" outlineLevel="1">
      <c r="B968" s="1262" t="s">
        <v>2193</v>
      </c>
      <c r="C968" s="1064"/>
      <c r="D968" s="1247">
        <f ca="1">Fixed!M380</f>
        <v>109.10137778084651</v>
      </c>
      <c r="E968" s="1247">
        <f ca="1">Fixed!N380</f>
        <v>119.62943697214266</v>
      </c>
      <c r="F968" s="1247">
        <f ca="1">Fixed!O380</f>
        <v>131.25321152996298</v>
      </c>
      <c r="G968" s="1247">
        <f ca="1">Fixed!P380</f>
        <v>139.86337657277579</v>
      </c>
      <c r="H968" s="1247">
        <f ca="1">Fixed!Q380</f>
        <v>146.52389253855765</v>
      </c>
      <c r="I968" s="1247">
        <f ca="1">Fixed!R380</f>
        <v>150.27071037070766</v>
      </c>
      <c r="J968" s="1247">
        <f ca="1">Fixed!S380</f>
        <v>154.65101656673892</v>
      </c>
      <c r="K968" s="1247">
        <f ca="1">Fixed!T380</f>
        <v>156.69252729272816</v>
      </c>
      <c r="L968" s="1247">
        <f ca="1">Fixed!U380</f>
        <v>159.42040531511785</v>
      </c>
      <c r="M968" s="1247">
        <f ca="1">Fixed!V380</f>
        <v>160.67802021053353</v>
      </c>
      <c r="N968" s="1247">
        <f ca="1">Fixed!W380</f>
        <v>161.66176049324201</v>
      </c>
      <c r="O968" s="1247">
        <f ca="1">Fixed!X380</f>
        <v>162.39017976093646</v>
      </c>
      <c r="P968" s="1247">
        <f ca="1">Fixed!Y380</f>
        <v>162.88638873031147</v>
      </c>
      <c r="Q968" s="1247">
        <f ca="1">Fixed!Z380</f>
        <v>170.55326126159144</v>
      </c>
    </row>
    <row r="969" spans="2:17" outlineLevel="1">
      <c r="B969" s="1147" t="s">
        <v>2197</v>
      </c>
      <c r="C969" s="1064"/>
      <c r="D969" s="1377">
        <f ca="1">Fixed!M384</f>
        <v>13.261006740283957</v>
      </c>
      <c r="E969" s="1377">
        <f ca="1">Fixed!N384</f>
        <v>13.766997877451661</v>
      </c>
      <c r="F969" s="1377">
        <f ca="1">Fixed!O384</f>
        <v>14.161370507187304</v>
      </c>
      <c r="G969" s="1377">
        <f ca="1">Fixed!P384</f>
        <v>14.587724112418645</v>
      </c>
      <c r="H969" s="1377">
        <f ca="1">Fixed!Q384</f>
        <v>15.180546556287659</v>
      </c>
      <c r="I969" s="1377">
        <f ca="1">Fixed!R384</f>
        <v>15.945608795366185</v>
      </c>
      <c r="J969" s="1377">
        <f ca="1">Fixed!S384</f>
        <v>16.77099732611865</v>
      </c>
      <c r="K969" s="1377">
        <f ca="1">Fixed!T384</f>
        <v>17.653917728402597</v>
      </c>
      <c r="L969" s="1377">
        <f ca="1">Fixed!U384</f>
        <v>18.700887893989439</v>
      </c>
      <c r="M969" s="1377">
        <f ca="1">Fixed!V384</f>
        <v>19.917747874945267</v>
      </c>
      <c r="N969" s="1377">
        <f ca="1">Fixed!W384</f>
        <v>21.201142827606507</v>
      </c>
      <c r="O969" s="1377">
        <f ca="1">Fixed!X384</f>
        <v>22.550344633088834</v>
      </c>
      <c r="P969" s="1377">
        <f ca="1">Fixed!Y384</f>
        <v>23.96448576043381</v>
      </c>
      <c r="Q969" s="1377">
        <f ca="1">Fixed!Z384</f>
        <v>24.861648008365755</v>
      </c>
    </row>
    <row r="970" spans="2:17" outlineLevel="1">
      <c r="B970" s="1228" t="s">
        <v>2191</v>
      </c>
      <c r="C970" s="1369"/>
      <c r="D970" s="1387">
        <f ca="1">D962-D969</f>
        <v>11.02981178386047</v>
      </c>
      <c r="E970" s="1387">
        <f t="shared" ref="E970:Q970" ca="1" si="232">E962-E969</f>
        <v>10.766728831934209</v>
      </c>
      <c r="F970" s="1387">
        <f t="shared" ca="1" si="232"/>
        <v>10.617693469292426</v>
      </c>
      <c r="G970" s="1387">
        <f t="shared" ca="1" si="232"/>
        <v>10.686921143590681</v>
      </c>
      <c r="H970" s="1387">
        <f t="shared" ca="1" si="232"/>
        <v>10.599591604841851</v>
      </c>
      <c r="I970" s="1387">
        <f t="shared" ca="1" si="232"/>
        <v>10.350132128985917</v>
      </c>
      <c r="J970" s="1387">
        <f t="shared" ca="1" si="232"/>
        <v>10.313615825964018</v>
      </c>
      <c r="K970" s="1387">
        <f t="shared" ca="1" si="232"/>
        <v>10.243233818242551</v>
      </c>
      <c r="L970" s="1387">
        <f t="shared" ca="1" si="232"/>
        <v>10.312149714521517</v>
      </c>
      <c r="M970" s="1387">
        <f t="shared" ca="1" si="232"/>
        <v>10.25581123790613</v>
      </c>
      <c r="N970" s="1387">
        <f t="shared" ca="1" si="232"/>
        <v>10.179358649758946</v>
      </c>
      <c r="O970" s="1387">
        <f t="shared" ca="1" si="232"/>
        <v>10.085376903371241</v>
      </c>
      <c r="P970" s="1387">
        <f t="shared" ca="1" si="232"/>
        <v>9.9766646374846673</v>
      </c>
      <c r="Q970" s="1387">
        <f t="shared" ca="1" si="232"/>
        <v>10.437148405469465</v>
      </c>
    </row>
    <row r="971" spans="2:17" outlineLevel="1">
      <c r="B971" s="1031"/>
      <c r="D971" s="1193"/>
      <c r="E971" s="1193"/>
      <c r="F971" s="1193"/>
      <c r="G971" s="1193"/>
      <c r="H971" s="1193"/>
      <c r="I971" s="1193"/>
      <c r="J971" s="1193"/>
      <c r="K971" s="1193"/>
      <c r="L971" s="1193"/>
      <c r="M971" s="1193"/>
      <c r="N971" s="1193"/>
      <c r="O971" s="1193"/>
      <c r="P971" s="1193"/>
      <c r="Q971" s="1193"/>
    </row>
    <row r="972" spans="2:17" outlineLevel="1">
      <c r="B972" s="998" t="s">
        <v>2163</v>
      </c>
      <c r="D972" s="1148">
        <f ca="1">D974-D965</f>
        <v>-103.45182243798585</v>
      </c>
      <c r="E972" s="1148">
        <f t="shared" ref="E972:Q972" ca="1" si="233">E974-E965</f>
        <v>-98.588422232272634</v>
      </c>
      <c r="F972" s="1148">
        <f t="shared" ca="1" si="233"/>
        <v>-98.640171229044739</v>
      </c>
      <c r="G972" s="1148">
        <f t="shared" ca="1" si="233"/>
        <v>-102.24979222273765</v>
      </c>
      <c r="H972" s="1148">
        <f t="shared" ca="1" si="233"/>
        <v>-102.09740624522476</v>
      </c>
      <c r="I972" s="1148">
        <f t="shared" ca="1" si="233"/>
        <v>-101.1418616473795</v>
      </c>
      <c r="J972" s="1148">
        <f t="shared" ca="1" si="233"/>
        <v>-99.680434687896252</v>
      </c>
      <c r="K972" s="1148">
        <f t="shared" ca="1" si="233"/>
        <v>-96.708015774903771</v>
      </c>
      <c r="L972" s="1148">
        <f t="shared" ca="1" si="233"/>
        <v>-93.787821381394906</v>
      </c>
      <c r="M972" s="1148">
        <f t="shared" ca="1" si="233"/>
        <v>-91.396307868704866</v>
      </c>
      <c r="N972" s="1148">
        <f t="shared" ca="1" si="233"/>
        <v>-88.992892349492308</v>
      </c>
      <c r="O972" s="1148">
        <f t="shared" ca="1" si="233"/>
        <v>-86.597978226086695</v>
      </c>
      <c r="P972" s="1148">
        <f t="shared" ca="1" si="233"/>
        <v>-84.235002811296567</v>
      </c>
      <c r="Q972" s="1148">
        <f t="shared" ca="1" si="233"/>
        <v>-86.1201110693396</v>
      </c>
    </row>
    <row r="973" spans="2:17" outlineLevel="1"/>
    <row r="974" spans="2:17">
      <c r="B974" s="1031" t="s">
        <v>2164</v>
      </c>
      <c r="C974" s="1031"/>
      <c r="D974" s="1030">
        <f ca="1">Fixed!M372</f>
        <v>71.600584412014044</v>
      </c>
      <c r="E974" s="1030">
        <f ca="1">Fixed!N372</f>
        <v>67.171663555296917</v>
      </c>
      <c r="F974" s="1030">
        <f ca="1">Fixed!O372</f>
        <v>71.171734818928996</v>
      </c>
      <c r="G974" s="1030">
        <f ca="1">Fixed!P372</f>
        <v>76.338384367812381</v>
      </c>
      <c r="H974" s="1030">
        <f ca="1">Fixed!Q372</f>
        <v>82.004389533664209</v>
      </c>
      <c r="I974" s="1030">
        <f ca="1">Fixed!R372</f>
        <v>85.762950303122267</v>
      </c>
      <c r="J974" s="1030">
        <f ca="1">Fixed!S372</f>
        <v>90.850726116706028</v>
      </c>
      <c r="K974" s="1030">
        <f ca="1">Fixed!T372</f>
        <v>95.21617287872462</v>
      </c>
      <c r="L974" s="1030">
        <f ca="1">Fixed!U372</f>
        <v>100.24134749564251</v>
      </c>
      <c r="M974" s="1030">
        <f ca="1">Fixed!V372</f>
        <v>103.29011697074077</v>
      </c>
      <c r="N974" s="1030">
        <f ca="1">Fixed!W372</f>
        <v>106.09633714824895</v>
      </c>
      <c r="O974" s="1030">
        <f ca="1">Fixed!X372</f>
        <v>108.65497218921746</v>
      </c>
      <c r="P974" s="1030">
        <f ca="1">Fixed!Y372</f>
        <v>110.9624378361404</v>
      </c>
      <c r="Q974" s="1030">
        <f ca="1">Fixed!Z372</f>
        <v>116.20213252758828</v>
      </c>
    </row>
    <row r="975" spans="2:17">
      <c r="B975" s="1031" t="s">
        <v>2168</v>
      </c>
      <c r="C975" s="1031"/>
      <c r="D975" s="1193">
        <f ca="1">Fixed!M373</f>
        <v>0.18241842870337685</v>
      </c>
      <c r="E975" s="1193">
        <f ca="1">Fixed!N373</f>
        <v>0.1804645137626327</v>
      </c>
      <c r="F975" s="1193">
        <f ca="1">Fixed!O373</f>
        <v>0.19255779546159918</v>
      </c>
      <c r="G975" s="1193">
        <f ca="1">Fixed!P373</f>
        <v>0.19445224112865589</v>
      </c>
      <c r="H975" s="1193">
        <f ca="1">Fixed!Q373</f>
        <v>0.19913463866960238</v>
      </c>
      <c r="I975" s="1193">
        <f ca="1">Fixed!R373</f>
        <v>0.1996441134599663</v>
      </c>
      <c r="J975" s="1193">
        <f ca="1">Fixed!S373</f>
        <v>0.20294833625191991</v>
      </c>
      <c r="K975" s="1193">
        <f ca="1">Fixed!T373</f>
        <v>0.20585384798531503</v>
      </c>
      <c r="L975" s="1193">
        <f ca="1">Fixed!U373</f>
        <v>0.20920321192013674</v>
      </c>
      <c r="M975" s="1193">
        <f ca="1">Fixed!V373</f>
        <v>0.20793214848846336</v>
      </c>
      <c r="N975" s="1193">
        <f ca="1">Fixed!W373</f>
        <v>0.20586669659011281</v>
      </c>
      <c r="O975" s="1193">
        <f ca="1">Fixed!X373</f>
        <v>0.20307320962896452</v>
      </c>
      <c r="P975" s="1193">
        <f ca="1">Fixed!Y373</f>
        <v>0.19961986492416553</v>
      </c>
      <c r="Q975" s="1193">
        <f ca="1">Fixed!Z373</f>
        <v>0.2010882796131388</v>
      </c>
    </row>
    <row r="976" spans="2:17">
      <c r="E976" s="1003"/>
      <c r="F976" s="1003"/>
      <c r="G976" s="1003"/>
      <c r="H976" s="1003"/>
      <c r="I976" s="1003"/>
      <c r="J976" s="1003"/>
      <c r="K976" s="1003"/>
      <c r="L976" s="1003"/>
      <c r="M976" s="1003"/>
      <c r="N976" s="1003"/>
    </row>
    <row r="977" spans="2:17">
      <c r="B977" s="998" t="s">
        <v>2200</v>
      </c>
      <c r="D977" s="1003">
        <f>-Fixed!M391</f>
        <v>-53.585466666666662</v>
      </c>
      <c r="E977" s="1003">
        <f ca="1">-Fixed!N391</f>
        <v>-63.99459218559582</v>
      </c>
      <c r="F977" s="1003">
        <f ca="1">-Fixed!O391</f>
        <v>-58.096460507547363</v>
      </c>
      <c r="G977" s="1003">
        <f ca="1">-Fixed!P391</f>
        <v>-60.923104863879587</v>
      </c>
      <c r="H977" s="1003">
        <f ca="1">-Fixed!Q391</f>
        <v>-63.026602993058873</v>
      </c>
      <c r="I977" s="1003">
        <f ca="1">-Fixed!R391</f>
        <v>-63.075434434129761</v>
      </c>
      <c r="J977" s="1003">
        <f ca="1">-Fixed!S391</f>
        <v>-62.86265692135953</v>
      </c>
      <c r="K977" s="1003">
        <f ca="1">-Fixed!T391</f>
        <v>-61.585449866567274</v>
      </c>
      <c r="L977" s="1003">
        <f ca="1">-Fixed!U391</f>
        <v>-62.554941795835447</v>
      </c>
      <c r="M977" s="1003">
        <f ca="1">-Fixed!V391</f>
        <v>-63.530247909163819</v>
      </c>
      <c r="N977" s="1003">
        <f ca="1">-Fixed!W391</f>
        <v>-64.511368206552532</v>
      </c>
      <c r="O977" s="1003">
        <f ca="1">-Fixed!X391</f>
        <v>-65.498302688001502</v>
      </c>
      <c r="P977" s="1003">
        <f ca="1">-Fixed!Y391</f>
        <v>-66.491051353510841</v>
      </c>
      <c r="Q977" s="1003">
        <f ca="1">-Fixed!Z391</f>
        <v>-67.489614203080365</v>
      </c>
    </row>
    <row r="978" spans="2:17">
      <c r="B978" s="998" t="s">
        <v>2165</v>
      </c>
      <c r="D978" s="1003">
        <f>Fixed!M393</f>
        <v>-9.0171999999999954</v>
      </c>
      <c r="E978" s="1003">
        <f>Fixed!N393</f>
        <v>-9</v>
      </c>
      <c r="F978" s="1003">
        <f>Fixed!O393</f>
        <v>-9</v>
      </c>
      <c r="G978" s="1003">
        <f>Fixed!P393</f>
        <v>-9</v>
      </c>
      <c r="H978" s="1003">
        <f>Fixed!Q393</f>
        <v>-9</v>
      </c>
      <c r="I978" s="1003">
        <f>Fixed!R393</f>
        <v>-9</v>
      </c>
      <c r="J978" s="1003">
        <f>Fixed!S393</f>
        <v>-9</v>
      </c>
      <c r="K978" s="1003">
        <f>Fixed!T393</f>
        <v>-9</v>
      </c>
      <c r="L978" s="1003">
        <f>Fixed!U393</f>
        <v>-9</v>
      </c>
      <c r="M978" s="1003">
        <f>Fixed!V393</f>
        <v>-9</v>
      </c>
      <c r="N978" s="1003">
        <f>Fixed!W393</f>
        <v>-9</v>
      </c>
      <c r="O978" s="1003">
        <f>Fixed!X393</f>
        <v>-9</v>
      </c>
      <c r="P978" s="1003">
        <f>Fixed!Y393</f>
        <v>-9</v>
      </c>
      <c r="Q978" s="1003">
        <f>Fixed!Z393</f>
        <v>-9</v>
      </c>
    </row>
    <row r="979" spans="2:17">
      <c r="B979" s="998" t="s">
        <v>2166</v>
      </c>
      <c r="D979" s="1199">
        <f ca="1">Fixed!M394</f>
        <v>-23.777273265757032</v>
      </c>
      <c r="E979" s="1199">
        <f>Fixed!N394</f>
        <v>-22.5</v>
      </c>
      <c r="F979" s="1199">
        <f>Fixed!O394</f>
        <v>-12.5</v>
      </c>
      <c r="G979" s="1199">
        <f>Fixed!P394</f>
        <v>-10</v>
      </c>
      <c r="H979" s="1199">
        <f>Fixed!Q394</f>
        <v>-5</v>
      </c>
      <c r="I979" s="1199">
        <f>Fixed!R394</f>
        <v>-5</v>
      </c>
      <c r="J979" s="1199">
        <f>Fixed!S394</f>
        <v>-5</v>
      </c>
      <c r="K979" s="1199">
        <f>Fixed!T394</f>
        <v>-5</v>
      </c>
      <c r="L979" s="1199">
        <f>Fixed!U394</f>
        <v>-5</v>
      </c>
      <c r="M979" s="1199">
        <f>Fixed!V394</f>
        <v>-5</v>
      </c>
      <c r="N979" s="1199">
        <f>Fixed!W394</f>
        <v>-5</v>
      </c>
      <c r="O979" s="1199">
        <f>Fixed!X394</f>
        <v>-5</v>
      </c>
      <c r="P979" s="1199">
        <f>Fixed!Y394</f>
        <v>-5</v>
      </c>
      <c r="Q979" s="1199">
        <f>Fixed!Z394</f>
        <v>0</v>
      </c>
    </row>
    <row r="980" spans="2:17">
      <c r="B980" s="1112" t="s">
        <v>2184</v>
      </c>
      <c r="C980" s="1112"/>
      <c r="D980" s="1138">
        <f ca="1">D974+D977+D979+D978</f>
        <v>-14.779355520409645</v>
      </c>
      <c r="E980" s="1138">
        <f ca="1">E974+E977+E979+E978</f>
        <v>-28.322928630298904</v>
      </c>
      <c r="F980" s="1138">
        <f ca="1">F974+F977+F979+F978</f>
        <v>-8.4247256886183663</v>
      </c>
      <c r="G980" s="1138">
        <f ca="1">G974+G977+G979+G978</f>
        <v>-3.5847204960672059</v>
      </c>
      <c r="H980" s="1138">
        <f ca="1">H974+H977+H979+H978</f>
        <v>4.9777865406053365</v>
      </c>
      <c r="I980" s="1138">
        <f ca="1">I974+I977+I979+I978</f>
        <v>8.6875158689925058</v>
      </c>
      <c r="J980" s="1138">
        <f ca="1">J974+J977+J979+J978</f>
        <v>13.988069195346498</v>
      </c>
      <c r="K980" s="1138">
        <f ca="1">K974+K977+K979+K978</f>
        <v>19.630723012157347</v>
      </c>
      <c r="L980" s="1138">
        <f ca="1">L974+L977+L979+L978</f>
        <v>23.686405699807068</v>
      </c>
      <c r="M980" s="1138">
        <f ca="1">M974+M977+M979+M978</f>
        <v>25.75986906157695</v>
      </c>
      <c r="N980" s="1138">
        <f ca="1">N974+N977+N979+N978</f>
        <v>27.584968941696417</v>
      </c>
      <c r="O980" s="1138">
        <f ca="1">O974+O977+O979+O978</f>
        <v>29.156669501215958</v>
      </c>
      <c r="P980" s="1138">
        <f ca="1">P974+P977+P979+P978</f>
        <v>30.471386482629555</v>
      </c>
      <c r="Q980" s="1138">
        <f ca="1">Q974+Q977+Q979+Q978</f>
        <v>39.712518324507911</v>
      </c>
    </row>
    <row r="983" spans="2:17">
      <c r="B983" s="1011" t="s">
        <v>2032</v>
      </c>
      <c r="C983" s="1011">
        <v>2022</v>
      </c>
      <c r="D983" s="1011">
        <f>C983+1</f>
        <v>2023</v>
      </c>
      <c r="E983" s="1011">
        <f t="shared" ref="E983:Q983" si="234">D983+1</f>
        <v>2024</v>
      </c>
      <c r="F983" s="1011">
        <f t="shared" si="234"/>
        <v>2025</v>
      </c>
      <c r="G983" s="1011">
        <f t="shared" si="234"/>
        <v>2026</v>
      </c>
      <c r="H983" s="1011">
        <f t="shared" si="234"/>
        <v>2027</v>
      </c>
      <c r="I983" s="1011">
        <f t="shared" si="234"/>
        <v>2028</v>
      </c>
      <c r="J983" s="1011">
        <f t="shared" si="234"/>
        <v>2029</v>
      </c>
      <c r="K983" s="1011">
        <f t="shared" si="234"/>
        <v>2030</v>
      </c>
      <c r="L983" s="1011">
        <f t="shared" si="234"/>
        <v>2031</v>
      </c>
      <c r="M983" s="1011">
        <f t="shared" si="234"/>
        <v>2032</v>
      </c>
      <c r="N983" s="1011">
        <f t="shared" si="234"/>
        <v>2033</v>
      </c>
      <c r="O983" s="1011">
        <f t="shared" si="234"/>
        <v>2034</v>
      </c>
      <c r="P983" s="1011">
        <f t="shared" si="234"/>
        <v>2035</v>
      </c>
      <c r="Q983" s="1011">
        <f t="shared" si="234"/>
        <v>2036</v>
      </c>
    </row>
    <row r="984" spans="2:17">
      <c r="B984" s="1058" t="s">
        <v>143</v>
      </c>
      <c r="C984" s="1192">
        <f>Model!L9</f>
        <v>446.53620129000001</v>
      </c>
      <c r="D984" s="1192">
        <f>Model!M9</f>
        <v>452.06121156</v>
      </c>
      <c r="E984" s="1192">
        <f ca="1">Model!N9</f>
        <v>433.86462054566306</v>
      </c>
      <c r="F984" s="1192">
        <f ca="1">Model!O9</f>
        <v>434.14953674314324</v>
      </c>
      <c r="G984" s="1192">
        <f ca="1">Model!P9</f>
        <v>462.82185958200864</v>
      </c>
      <c r="H984" s="1192">
        <f ca="1">Model!Q9</f>
        <v>489.86188981053959</v>
      </c>
      <c r="I984" s="1192">
        <f ca="1">Model!R9</f>
        <v>518.46892095649082</v>
      </c>
      <c r="J984" s="1192">
        <f ca="1">Model!S9</f>
        <v>551.9682456787674</v>
      </c>
      <c r="K984" s="1192">
        <f ca="1">Model!T9</f>
        <v>585.33632681154825</v>
      </c>
      <c r="L984" s="1192">
        <f ca="1">Model!U9</f>
        <v>620.30673546738274</v>
      </c>
      <c r="M984" s="1192">
        <f ca="1">Model!V9</f>
        <v>656.091506121762</v>
      </c>
      <c r="N984" s="1192">
        <f ca="1">Model!W9</f>
        <v>692.69894464381434</v>
      </c>
      <c r="O984" s="1192">
        <f ca="1">Model!X9</f>
        <v>730.13758281561491</v>
      </c>
      <c r="P984" s="1192">
        <f ca="1">Model!Y9</f>
        <v>768.41620699852081</v>
      </c>
      <c r="Q984" s="1192">
        <f ca="1">Model!Z9</f>
        <v>807.5438893862264</v>
      </c>
    </row>
    <row r="985" spans="2:17">
      <c r="D985" s="1148"/>
      <c r="E985" s="1148"/>
      <c r="F985" s="1148"/>
      <c r="G985" s="1148"/>
      <c r="H985" s="1148"/>
      <c r="I985" s="1148"/>
      <c r="J985" s="1148"/>
      <c r="K985" s="1148"/>
      <c r="L985" s="1148"/>
      <c r="M985" s="1148"/>
      <c r="N985" s="1148"/>
      <c r="O985" s="1148"/>
      <c r="P985" s="1148"/>
      <c r="Q985" s="1148"/>
    </row>
    <row r="986" spans="2:17">
      <c r="B986" s="998" t="s">
        <v>28</v>
      </c>
      <c r="C986" s="1148">
        <f>Model!L12</f>
        <v>181.58300000000003</v>
      </c>
      <c r="D986" s="1148">
        <f ca="1">Model!M12</f>
        <v>190.85454653151407</v>
      </c>
      <c r="E986" s="1148">
        <f ca="1">Model!N12</f>
        <v>184.97974954401991</v>
      </c>
      <c r="F986" s="1148">
        <f ca="1">Model!O12</f>
        <v>192.26576222893047</v>
      </c>
      <c r="G986" s="1148">
        <f ca="1">Model!P12</f>
        <v>209.68398168306288</v>
      </c>
      <c r="H986" s="1148">
        <f ca="1">Model!Q12</f>
        <v>228.62711092244257</v>
      </c>
      <c r="I986" s="1148">
        <f ca="1">Model!R12</f>
        <v>249.10503433769716</v>
      </c>
      <c r="J986" s="1148">
        <f ca="1">Model!S12</f>
        <v>273.47661400054051</v>
      </c>
      <c r="K986" s="1148">
        <f ca="1">Model!T12</f>
        <v>298.79495662173173</v>
      </c>
      <c r="L986" s="1148">
        <f ca="1">Model!U12</f>
        <v>325.85744290204622</v>
      </c>
      <c r="M986" s="1148">
        <f ca="1">Model!V12</f>
        <v>352.81269762450358</v>
      </c>
      <c r="N986" s="1148">
        <f ca="1">Model!W12</f>
        <v>380.78171492757747</v>
      </c>
      <c r="O986" s="1148">
        <f ca="1">Model!X12</f>
        <v>409.78440490838074</v>
      </c>
      <c r="P986" s="1148">
        <f ca="1">Model!Y12</f>
        <v>439.84128577463719</v>
      </c>
      <c r="Q986" s="1148">
        <f ca="1">Model!Z12</f>
        <v>470.97351969960295</v>
      </c>
    </row>
    <row r="987" spans="2:17">
      <c r="B987" s="998" t="s">
        <v>1540</v>
      </c>
      <c r="C987" s="1148">
        <f>Model!L126</f>
        <v>-186</v>
      </c>
      <c r="D987" s="1148">
        <f>Model!M126</f>
        <v>-187</v>
      </c>
      <c r="E987" s="1148">
        <f ca="1">Model!N126</f>
        <v>-193.26969502103239</v>
      </c>
      <c r="F987" s="1148">
        <f ca="1">Model!O126</f>
        <v>-187.46621537875632</v>
      </c>
      <c r="G987" s="1148">
        <f ca="1">Model!P126</f>
        <v>-190.60693133023656</v>
      </c>
      <c r="H987" s="1148">
        <f ca="1">Model!Q126</f>
        <v>-202.94415147376913</v>
      </c>
      <c r="I987" s="1148">
        <f ca="1">Model!R126</f>
        <v>-202.99840863051455</v>
      </c>
      <c r="J987" s="1148">
        <f ca="1">Model!S126</f>
        <v>-231.88698917188097</v>
      </c>
      <c r="K987" s="1148">
        <f ca="1">Model!T126</f>
        <v>-230.4678702221118</v>
      </c>
      <c r="L987" s="1148">
        <f ca="1">Model!U126</f>
        <v>-267.77608347685418</v>
      </c>
      <c r="M987" s="1148">
        <f ca="1">Model!V126</f>
        <v>-268.85975693610794</v>
      </c>
      <c r="N987" s="1148">
        <f ca="1">Model!W126</f>
        <v>-269.94989059987319</v>
      </c>
      <c r="O987" s="1148">
        <f ca="1">Model!X126</f>
        <v>-271.0464844681498</v>
      </c>
      <c r="P987" s="1148">
        <f ca="1">Model!Y126</f>
        <v>-272.14953854093795</v>
      </c>
      <c r="Q987" s="1148">
        <f ca="1">Model!Z126</f>
        <v>-137.90305281823746</v>
      </c>
    </row>
    <row r="988" spans="2:17">
      <c r="B988" s="998" t="s">
        <v>1871</v>
      </c>
      <c r="C988" s="1003">
        <f ca="1">Model!L16</f>
        <v>-18.283000000000015</v>
      </c>
      <c r="D988" s="1003">
        <f ca="1">Model!M16</f>
        <v>-47.554546531514063</v>
      </c>
      <c r="E988" s="1003">
        <f>Model!N16</f>
        <v>-45</v>
      </c>
      <c r="F988" s="1003">
        <f>Model!O16</f>
        <v>-25</v>
      </c>
      <c r="G988" s="1003">
        <f>Model!P16</f>
        <v>-20</v>
      </c>
      <c r="H988" s="1003">
        <f>Model!Q16</f>
        <v>-10</v>
      </c>
      <c r="I988" s="1003">
        <f>Model!R16</f>
        <v>-10</v>
      </c>
      <c r="J988" s="1003">
        <f>Model!S16</f>
        <v>-10</v>
      </c>
      <c r="K988" s="1003">
        <f>Model!T16</f>
        <v>-10</v>
      </c>
      <c r="L988" s="1003">
        <f>Model!U16</f>
        <v>-10</v>
      </c>
      <c r="M988" s="1003">
        <f>Model!V16</f>
        <v>-10</v>
      </c>
      <c r="N988" s="1003">
        <f>Model!W16</f>
        <v>-10</v>
      </c>
      <c r="O988" s="1003">
        <f>Model!X16</f>
        <v>-10</v>
      </c>
      <c r="P988" s="1003">
        <f>Model!Y16</f>
        <v>-10</v>
      </c>
      <c r="Q988" s="1003">
        <f>Model!Z16</f>
        <v>0</v>
      </c>
    </row>
    <row r="989" spans="2:17">
      <c r="B989" s="998" t="s">
        <v>1528</v>
      </c>
      <c r="C989" s="1199">
        <f>Model!L131</f>
        <v>-38.730000000000004</v>
      </c>
      <c r="D989" s="1199">
        <f>Model!M131</f>
        <v>-45.085999999999999</v>
      </c>
      <c r="E989" s="1199">
        <f>Model!N131</f>
        <v>-45</v>
      </c>
      <c r="F989" s="1199">
        <f>Model!O131</f>
        <v>-45</v>
      </c>
      <c r="G989" s="1199">
        <f>Model!P131</f>
        <v>-45</v>
      </c>
      <c r="H989" s="1199">
        <f>Model!Q131</f>
        <v>-45</v>
      </c>
      <c r="I989" s="1199">
        <f>Model!R131</f>
        <v>-45</v>
      </c>
      <c r="J989" s="1199">
        <f>Model!S131</f>
        <v>-45</v>
      </c>
      <c r="K989" s="1199">
        <f>Model!T131</f>
        <v>-45</v>
      </c>
      <c r="L989" s="1199">
        <f>Model!U131</f>
        <v>-45</v>
      </c>
      <c r="M989" s="1199">
        <f>Model!V131</f>
        <v>-45</v>
      </c>
      <c r="N989" s="1199">
        <f>Model!W131</f>
        <v>-45</v>
      </c>
      <c r="O989" s="1199">
        <f>Model!X131</f>
        <v>-45</v>
      </c>
      <c r="P989" s="1199">
        <f>Model!Y131</f>
        <v>-45</v>
      </c>
      <c r="Q989" s="1199">
        <f>Model!Z131</f>
        <v>-45</v>
      </c>
    </row>
    <row r="990" spans="2:17">
      <c r="B990" s="1031" t="s">
        <v>1880</v>
      </c>
      <c r="C990" s="1030">
        <f ca="1">SUM(C986:C989)</f>
        <v>-61.429999999999993</v>
      </c>
      <c r="D990" s="1030">
        <f t="shared" ref="D990:Q990" ca="1" si="235">SUM(D986:D989)</f>
        <v>-88.785999999999987</v>
      </c>
      <c r="E990" s="1030">
        <f t="shared" ca="1" si="235"/>
        <v>-98.289945477012481</v>
      </c>
      <c r="F990" s="1030">
        <f t="shared" ca="1" si="235"/>
        <v>-65.200453149825847</v>
      </c>
      <c r="G990" s="1030">
        <f t="shared" ca="1" si="235"/>
        <v>-45.922949647173681</v>
      </c>
      <c r="H990" s="1030">
        <f t="shared" ca="1" si="235"/>
        <v>-29.317040551326556</v>
      </c>
      <c r="I990" s="1030">
        <f t="shared" ca="1" si="235"/>
        <v>-8.8933742928173842</v>
      </c>
      <c r="J990" s="1030">
        <f t="shared" ca="1" si="235"/>
        <v>-13.410375171340462</v>
      </c>
      <c r="K990" s="1030">
        <f t="shared" ca="1" si="235"/>
        <v>13.32708639961993</v>
      </c>
      <c r="L990" s="1030">
        <f t="shared" ca="1" si="235"/>
        <v>3.0813594251920335</v>
      </c>
      <c r="M990" s="1030">
        <f t="shared" ca="1" si="235"/>
        <v>28.952940688395643</v>
      </c>
      <c r="N990" s="1030">
        <f t="shared" ca="1" si="235"/>
        <v>55.831824327704282</v>
      </c>
      <c r="O990" s="1030">
        <f t="shared" ca="1" si="235"/>
        <v>83.737920440230937</v>
      </c>
      <c r="P990" s="1030">
        <f t="shared" ca="1" si="235"/>
        <v>112.69174723369923</v>
      </c>
      <c r="Q990" s="1030">
        <f t="shared" ca="1" si="235"/>
        <v>288.07046688136552</v>
      </c>
    </row>
    <row r="991" spans="2:17">
      <c r="B991" s="998" t="s">
        <v>1552</v>
      </c>
      <c r="C991" s="1003">
        <f>Model!L129</f>
        <v>-48.257999999999996</v>
      </c>
      <c r="D991" s="1003">
        <f>Model!M129</f>
        <v>-44.177999999999997</v>
      </c>
      <c r="E991" s="1003">
        <f>Model!N129</f>
        <v>-37.31</v>
      </c>
      <c r="F991" s="1003">
        <f>Model!O129</f>
        <v>-7.5150000000000006</v>
      </c>
      <c r="G991" s="1003">
        <f>Model!P129</f>
        <v>-9.6150000000000002</v>
      </c>
      <c r="H991" s="1003">
        <f ca="1">Model!Q129</f>
        <v>-11.648314379180837</v>
      </c>
      <c r="I991" s="1003">
        <f ca="1">Model!R129</f>
        <v>-14.515889224316352</v>
      </c>
      <c r="J991" s="1003">
        <f ca="1">Model!S129</f>
        <v>-615.01856336828996</v>
      </c>
      <c r="K991" s="1003">
        <f ca="1">Model!T129</f>
        <v>-137.19856336828985</v>
      </c>
      <c r="L991" s="1003">
        <f ca="1">Model!U129</f>
        <v>-145.86956675609673</v>
      </c>
      <c r="M991" s="1003">
        <f ca="1">Model!V129</f>
        <v>-155.86474126926007</v>
      </c>
      <c r="N991" s="1003">
        <f ca="1">Model!W129</f>
        <v>-164.74856730992059</v>
      </c>
      <c r="O991" s="1003">
        <f ca="1">Model!X129</f>
        <v>-172.37273931867574</v>
      </c>
      <c r="P991" s="1003">
        <f ca="1">Model!Y129</f>
        <v>-178.5771766401669</v>
      </c>
      <c r="Q991" s="1003">
        <f ca="1">Model!Z129</f>
        <v>-183.18915669861963</v>
      </c>
    </row>
    <row r="992" spans="2:17">
      <c r="B992" s="998" t="s">
        <v>1009</v>
      </c>
      <c r="C992" s="1003">
        <f>Model!L130</f>
        <v>-10.089</v>
      </c>
      <c r="D992" s="1003">
        <f>Model!M130</f>
        <v>0.22299999999999998</v>
      </c>
      <c r="E992" s="1003">
        <f>Model!N130</f>
        <v>-2</v>
      </c>
      <c r="F992" s="1003">
        <f ca="1">Model!O130</f>
        <v>0</v>
      </c>
      <c r="G992" s="1003">
        <f ca="1">Model!P130</f>
        <v>0</v>
      </c>
      <c r="H992" s="1003">
        <f ca="1">Model!Q130</f>
        <v>0</v>
      </c>
      <c r="I992" s="1003">
        <f ca="1">Model!R130</f>
        <v>0</v>
      </c>
      <c r="J992" s="1003">
        <f ca="1">Model!S130</f>
        <v>0</v>
      </c>
      <c r="K992" s="1003">
        <f ca="1">Model!T130</f>
        <v>0</v>
      </c>
      <c r="L992" s="1003">
        <f ca="1">Model!U130</f>
        <v>0</v>
      </c>
      <c r="M992" s="1003">
        <f ca="1">Model!V130</f>
        <v>0</v>
      </c>
      <c r="N992" s="1003">
        <f ca="1">Model!W130</f>
        <v>0</v>
      </c>
      <c r="O992" s="1003">
        <f ca="1">Model!X130</f>
        <v>0</v>
      </c>
      <c r="P992" s="1003">
        <f ca="1">Model!Y130</f>
        <v>0</v>
      </c>
      <c r="Q992" s="1003">
        <f ca="1">Model!Z130</f>
        <v>-13.185757221929508</v>
      </c>
    </row>
    <row r="993" spans="2:17">
      <c r="B993" s="998" t="s">
        <v>1388</v>
      </c>
      <c r="C993" s="1003">
        <f>Model!L132</f>
        <v>6.5010000000000012</v>
      </c>
      <c r="D993" s="1003">
        <f>Model!M132</f>
        <v>-12.202000000000002</v>
      </c>
      <c r="E993" s="1003">
        <f>Model!N132</f>
        <v>15</v>
      </c>
      <c r="F993" s="1003">
        <f>Model!O132</f>
        <v>-10</v>
      </c>
      <c r="G993" s="1003">
        <f>Model!P132</f>
        <v>-5</v>
      </c>
      <c r="H993" s="1003">
        <f>Model!Q132</f>
        <v>0</v>
      </c>
      <c r="I993" s="1003">
        <f>Model!R132</f>
        <v>0</v>
      </c>
      <c r="J993" s="1003">
        <f>Model!S132</f>
        <v>0</v>
      </c>
      <c r="K993" s="1003">
        <f>Model!T132</f>
        <v>0</v>
      </c>
      <c r="L993" s="1003">
        <f>Model!U132</f>
        <v>0</v>
      </c>
      <c r="M993" s="1003">
        <f>Model!V132</f>
        <v>0</v>
      </c>
      <c r="N993" s="1003">
        <f>Model!W132</f>
        <v>0</v>
      </c>
      <c r="O993" s="1003">
        <f>Model!X132</f>
        <v>0</v>
      </c>
      <c r="P993" s="1003">
        <f>Model!Y132</f>
        <v>0</v>
      </c>
      <c r="Q993" s="1003">
        <f>Model!Z132</f>
        <v>0</v>
      </c>
    </row>
    <row r="994" spans="2:17">
      <c r="B994" s="998" t="s">
        <v>309</v>
      </c>
      <c r="C994" s="1003">
        <f>Model!L133</f>
        <v>-2.7850000000000001</v>
      </c>
      <c r="D994" s="1003">
        <f>Model!M133</f>
        <v>-1.3940000000000001</v>
      </c>
      <c r="E994" s="1003">
        <f>Model!N133</f>
        <v>0</v>
      </c>
      <c r="F994" s="1003">
        <f>Model!O133</f>
        <v>0</v>
      </c>
      <c r="G994" s="1003">
        <f>Model!P133</f>
        <v>0</v>
      </c>
      <c r="H994" s="1003">
        <f>Model!Q133</f>
        <v>0</v>
      </c>
      <c r="I994" s="1003">
        <f>Model!R133</f>
        <v>0</v>
      </c>
      <c r="J994" s="1003">
        <f>Model!S133</f>
        <v>0</v>
      </c>
      <c r="K994" s="1003">
        <f>Model!T133</f>
        <v>0</v>
      </c>
      <c r="L994" s="1003">
        <f>Model!U133</f>
        <v>0</v>
      </c>
      <c r="M994" s="1003">
        <f>Model!V133</f>
        <v>0</v>
      </c>
      <c r="N994" s="1003">
        <f>Model!W133</f>
        <v>0</v>
      </c>
      <c r="O994" s="1003">
        <f>Model!X133</f>
        <v>0</v>
      </c>
      <c r="P994" s="1003">
        <f>Model!Y133</f>
        <v>0</v>
      </c>
      <c r="Q994" s="1003">
        <f>Model!Z133</f>
        <v>0</v>
      </c>
    </row>
    <row r="995" spans="2:17">
      <c r="B995" s="998" t="s">
        <v>1872</v>
      </c>
      <c r="C995" s="1003">
        <f>Model!L134</f>
        <v>73.8</v>
      </c>
      <c r="D995" s="1003">
        <f>Model!M134</f>
        <v>0</v>
      </c>
      <c r="E995" s="1003">
        <f>Model!N134</f>
        <v>250</v>
      </c>
      <c r="F995" s="1003">
        <f>Model!O134</f>
        <v>50</v>
      </c>
      <c r="G995" s="1003">
        <f>Model!P134</f>
        <v>0</v>
      </c>
      <c r="H995" s="1003">
        <f>Model!Q134</f>
        <v>0</v>
      </c>
      <c r="I995" s="1003">
        <f>Model!R134</f>
        <v>0</v>
      </c>
      <c r="J995" s="1003">
        <f>Model!S134</f>
        <v>0</v>
      </c>
      <c r="K995" s="1003">
        <f>Model!T134</f>
        <v>0</v>
      </c>
      <c r="L995" s="1003">
        <f>Model!U134</f>
        <v>0</v>
      </c>
      <c r="M995" s="1003">
        <f>Model!V134</f>
        <v>0</v>
      </c>
      <c r="N995" s="1003">
        <f>Model!W134</f>
        <v>0</v>
      </c>
      <c r="O995" s="1003">
        <f>Model!X134</f>
        <v>0</v>
      </c>
      <c r="P995" s="1003">
        <f>Model!Y134</f>
        <v>0</v>
      </c>
      <c r="Q995" s="1003">
        <f>Model!Z134</f>
        <v>0</v>
      </c>
    </row>
    <row r="996" spans="2:17">
      <c r="B996" s="998" t="s">
        <v>169</v>
      </c>
      <c r="C996" s="1199">
        <f ca="1">Model!L135</f>
        <v>17.167000000000044</v>
      </c>
      <c r="D996" s="1199">
        <f>Model!M135</f>
        <v>-4.0570000000000164</v>
      </c>
      <c r="E996" s="1199">
        <f>Model!N135</f>
        <v>-120</v>
      </c>
      <c r="F996" s="1199">
        <f>Model!O135</f>
        <v>0</v>
      </c>
      <c r="G996" s="1199">
        <f>Model!P135</f>
        <v>0</v>
      </c>
      <c r="H996" s="1199">
        <f>Model!Q135</f>
        <v>0</v>
      </c>
      <c r="I996" s="1199">
        <f>Model!R135</f>
        <v>0</v>
      </c>
      <c r="J996" s="1199">
        <f>Model!S135</f>
        <v>80</v>
      </c>
      <c r="K996" s="1199">
        <f>Model!T135</f>
        <v>0</v>
      </c>
      <c r="L996" s="1199">
        <f>Model!U135</f>
        <v>0</v>
      </c>
      <c r="M996" s="1199">
        <f>Model!V135</f>
        <v>0</v>
      </c>
      <c r="N996" s="1199">
        <f>Model!W135</f>
        <v>0</v>
      </c>
      <c r="O996" s="1199">
        <f>Model!X135</f>
        <v>0</v>
      </c>
      <c r="P996" s="1199">
        <f>Model!Y135</f>
        <v>0</v>
      </c>
      <c r="Q996" s="1199">
        <f>Model!Z135</f>
        <v>0</v>
      </c>
    </row>
    <row r="997" spans="2:17">
      <c r="B997" s="1031" t="s">
        <v>2030</v>
      </c>
      <c r="C997" s="1030">
        <f ca="1">SUM(C990:C996)</f>
        <v>-25.093999999999937</v>
      </c>
      <c r="D997" s="1030">
        <f t="shared" ref="D997:Q997" ca="1" si="236">SUM(D990:D996)</f>
        <v>-150.39400000000001</v>
      </c>
      <c r="E997" s="1030">
        <f t="shared" ca="1" si="236"/>
        <v>7.4000545229875172</v>
      </c>
      <c r="F997" s="1030">
        <f t="shared" ca="1" si="236"/>
        <v>-32.715453149825848</v>
      </c>
      <c r="G997" s="1030">
        <f t="shared" ca="1" si="236"/>
        <v>-60.537949647173683</v>
      </c>
      <c r="H997" s="1030">
        <f t="shared" ca="1" si="236"/>
        <v>-40.965354930507395</v>
      </c>
      <c r="I997" s="1030">
        <f t="shared" ca="1" si="236"/>
        <v>-23.409263517133738</v>
      </c>
      <c r="J997" s="1030">
        <f t="shared" ca="1" si="236"/>
        <v>-548.42893853963039</v>
      </c>
      <c r="K997" s="1030">
        <f t="shared" ca="1" si="236"/>
        <v>-123.87147696866992</v>
      </c>
      <c r="L997" s="1030">
        <f t="shared" ca="1" si="236"/>
        <v>-142.7882073309047</v>
      </c>
      <c r="M997" s="1030">
        <f t="shared" ca="1" si="236"/>
        <v>-126.91180058086442</v>
      </c>
      <c r="N997" s="1030">
        <f t="shared" ca="1" si="236"/>
        <v>-108.91674298221631</v>
      </c>
      <c r="O997" s="1030">
        <f t="shared" ca="1" si="236"/>
        <v>-88.634818878444804</v>
      </c>
      <c r="P997" s="1030">
        <f t="shared" ca="1" si="236"/>
        <v>-65.885429406467665</v>
      </c>
      <c r="Q997" s="1030">
        <f t="shared" ca="1" si="236"/>
        <v>91.695552960816386</v>
      </c>
    </row>
    <row r="998" spans="2:17">
      <c r="D998" s="1148"/>
      <c r="E998" s="1148"/>
      <c r="F998" s="1148"/>
      <c r="G998" s="1148"/>
      <c r="H998" s="1148"/>
      <c r="I998" s="1148"/>
      <c r="J998" s="1148"/>
    </row>
    <row r="999" spans="2:17">
      <c r="B999" s="998" t="s">
        <v>2031</v>
      </c>
      <c r="C999" s="1148">
        <f>Model!L138</f>
        <v>1009.5</v>
      </c>
      <c r="D999" s="1148">
        <f>Model!M138</f>
        <v>1159.894</v>
      </c>
      <c r="E999" s="1148">
        <f ca="1">Model!N138</f>
        <v>1152.4939454770124</v>
      </c>
      <c r="F999" s="1148">
        <f ca="1">Model!O138</f>
        <v>1185.2093986268383</v>
      </c>
      <c r="G999" s="1148">
        <f ca="1">Model!P138</f>
        <v>1245.747348274012</v>
      </c>
      <c r="H999" s="1148">
        <f ca="1">Model!Q138</f>
        <v>1286.7127032045194</v>
      </c>
      <c r="I999" s="1148">
        <f ca="1">Model!R138</f>
        <v>1310.1219667216531</v>
      </c>
      <c r="J999" s="1148">
        <f ca="1">Model!S138</f>
        <v>1858.5509052612833</v>
      </c>
      <c r="K999" s="1148">
        <f ca="1">Model!T138</f>
        <v>1982.4223822299532</v>
      </c>
      <c r="L999" s="1148">
        <f ca="1">Model!U138</f>
        <v>2125.2105895608579</v>
      </c>
      <c r="M999" s="1148">
        <f ca="1">Model!V138</f>
        <v>2252.1223901417225</v>
      </c>
      <c r="N999" s="1148">
        <f ca="1">Model!W138</f>
        <v>2361.0391331239389</v>
      </c>
      <c r="O999" s="1148">
        <f ca="1">Model!X138</f>
        <v>2449.6739520023839</v>
      </c>
      <c r="P999" s="1148">
        <f ca="1">Model!Y138</f>
        <v>2515.5593814088516</v>
      </c>
      <c r="Q999" s="1148">
        <f ca="1">Model!Z138</f>
        <v>2423.8638284480353</v>
      </c>
    </row>
    <row r="1000" spans="2:17">
      <c r="B1000" s="998" t="s">
        <v>1873</v>
      </c>
      <c r="C1000" s="1195">
        <f>Model!L144</f>
        <v>10</v>
      </c>
      <c r="D1000" s="1195">
        <f>Model!M144</f>
        <v>34</v>
      </c>
      <c r="E1000" s="1195">
        <f>Model!N144</f>
        <v>91.04000000000002</v>
      </c>
      <c r="F1000" s="1195">
        <f>Model!O144</f>
        <v>204.84000000000003</v>
      </c>
      <c r="G1000" s="1195">
        <f>Model!P144</f>
        <v>284.50000000000006</v>
      </c>
      <c r="H1000" s="1195">
        <f>Model!Q144</f>
        <v>364.16000000000008</v>
      </c>
      <c r="I1000" s="1195">
        <f>Model!R144</f>
        <v>443.82000000000011</v>
      </c>
      <c r="J1000" s="1195">
        <f>Model!S144</f>
        <v>0</v>
      </c>
      <c r="K1000" s="1195">
        <f>Model!T144</f>
        <v>0</v>
      </c>
      <c r="L1000" s="1195">
        <f>Model!U144</f>
        <v>0</v>
      </c>
      <c r="M1000" s="1195">
        <f>Model!V144</f>
        <v>0</v>
      </c>
      <c r="N1000" s="1195">
        <f>Model!W144</f>
        <v>0</v>
      </c>
      <c r="O1000" s="1195">
        <f>Model!X144</f>
        <v>0</v>
      </c>
      <c r="P1000" s="1195">
        <f>Model!Y144</f>
        <v>0</v>
      </c>
      <c r="Q1000" s="1195">
        <f>Model!Z144</f>
        <v>0</v>
      </c>
    </row>
    <row r="1001" spans="2:17">
      <c r="B1001" s="1228" t="s">
        <v>1874</v>
      </c>
      <c r="C1001" s="1229">
        <f t="shared" ref="C1001:Q1001" si="237">C999+C1000</f>
        <v>1019.5</v>
      </c>
      <c r="D1001" s="1229">
        <f t="shared" si="237"/>
        <v>1193.894</v>
      </c>
      <c r="E1001" s="1229">
        <f t="shared" ca="1" si="237"/>
        <v>1243.5339454770124</v>
      </c>
      <c r="F1001" s="1229">
        <f t="shared" ca="1" si="237"/>
        <v>1390.0493986268384</v>
      </c>
      <c r="G1001" s="1229">
        <f t="shared" ca="1" si="237"/>
        <v>1530.247348274012</v>
      </c>
      <c r="H1001" s="1229">
        <f t="shared" ca="1" si="237"/>
        <v>1650.8727032045194</v>
      </c>
      <c r="I1001" s="1229">
        <f t="shared" ca="1" si="237"/>
        <v>1753.9419667216532</v>
      </c>
      <c r="J1001" s="1229">
        <f t="shared" ca="1" si="237"/>
        <v>1858.5509052612833</v>
      </c>
      <c r="K1001" s="1229">
        <f t="shared" ca="1" si="237"/>
        <v>1982.4223822299532</v>
      </c>
      <c r="L1001" s="1229">
        <f t="shared" ca="1" si="237"/>
        <v>2125.2105895608579</v>
      </c>
      <c r="M1001" s="1229">
        <f t="shared" ca="1" si="237"/>
        <v>2252.1223901417225</v>
      </c>
      <c r="N1001" s="1229">
        <f t="shared" ca="1" si="237"/>
        <v>2361.0391331239389</v>
      </c>
      <c r="O1001" s="1229">
        <f t="shared" ca="1" si="237"/>
        <v>2449.6739520023839</v>
      </c>
      <c r="P1001" s="1229">
        <f t="shared" ca="1" si="237"/>
        <v>2515.5593814088516</v>
      </c>
      <c r="Q1001" s="1229">
        <f t="shared" ca="1" si="237"/>
        <v>2423.8638284480353</v>
      </c>
    </row>
    <row r="1002" spans="2:17">
      <c r="B1002" s="1228" t="s">
        <v>1825</v>
      </c>
      <c r="C1002" s="1230">
        <f t="shared" ref="C1002:Q1002" si="238">C1001/(C986+C989)</f>
        <v>7.1367069645019701</v>
      </c>
      <c r="D1002" s="1230">
        <f t="shared" ca="1" si="238"/>
        <v>8.1903402922515181</v>
      </c>
      <c r="E1002" s="1230">
        <f t="shared" ca="1" si="238"/>
        <v>8.8836703132259434</v>
      </c>
      <c r="F1002" s="1230">
        <f t="shared" ca="1" si="238"/>
        <v>9.4390534336552143</v>
      </c>
      <c r="G1002" s="1230">
        <f t="shared" ca="1" si="238"/>
        <v>9.2920230166586517</v>
      </c>
      <c r="H1002" s="1230">
        <f t="shared" ca="1" si="238"/>
        <v>8.990353847596003</v>
      </c>
      <c r="I1002" s="1230">
        <f t="shared" ca="1" si="238"/>
        <v>8.5933302547535888</v>
      </c>
      <c r="J1002" s="1230">
        <f t="shared" ca="1" si="238"/>
        <v>8.13453452727064</v>
      </c>
      <c r="K1002" s="1230">
        <f t="shared" ca="1" si="238"/>
        <v>7.8111181113210666</v>
      </c>
      <c r="L1002" s="1230">
        <f t="shared" ca="1" si="238"/>
        <v>7.5668658362814369</v>
      </c>
      <c r="M1002" s="1230">
        <f t="shared" ca="1" si="238"/>
        <v>7.3165350471963153</v>
      </c>
      <c r="N1002" s="1230">
        <f t="shared" ca="1" si="238"/>
        <v>7.031470232478787</v>
      </c>
      <c r="O1002" s="1230">
        <f t="shared" ca="1" si="238"/>
        <v>6.7154020814503959</v>
      </c>
      <c r="P1002" s="1230">
        <f t="shared" ca="1" si="238"/>
        <v>6.3710647088831855</v>
      </c>
      <c r="Q1002" s="1230">
        <f t="shared" ca="1" si="238"/>
        <v>5.690174896686881</v>
      </c>
    </row>
    <row r="1004" spans="2:17">
      <c r="B1004" s="998" t="s">
        <v>1875</v>
      </c>
      <c r="C1004" s="1148">
        <f>Model!L173</f>
        <v>1114</v>
      </c>
      <c r="D1004" s="1148">
        <f>Model!M173</f>
        <v>1183.0940000000001</v>
      </c>
      <c r="E1004" s="1148">
        <f ca="1">Model!N173</f>
        <v>1216.7</v>
      </c>
      <c r="F1004" s="1148">
        <f ca="1">Model!O173</f>
        <v>1246.7</v>
      </c>
      <c r="G1004" s="1148">
        <f ca="1">Model!P173</f>
        <v>1275.747348274012</v>
      </c>
      <c r="H1004" s="1148">
        <f ca="1">Model!Q173</f>
        <v>1316.7127032045194</v>
      </c>
      <c r="I1004" s="1148">
        <f ca="1">Model!R173</f>
        <v>1340.1219667216531</v>
      </c>
      <c r="J1004" s="1148">
        <f ca="1">Model!S173</f>
        <v>1888.5509052612833</v>
      </c>
      <c r="K1004" s="1148">
        <f ca="1">Model!T173</f>
        <v>2012.4223822299532</v>
      </c>
      <c r="L1004" s="1148">
        <f ca="1">Model!U173</f>
        <v>2155.2105895608579</v>
      </c>
      <c r="M1004" s="1148">
        <f ca="1">Model!V173</f>
        <v>2282.1223901417225</v>
      </c>
      <c r="N1004" s="1148">
        <f ca="1">Model!W173</f>
        <v>2391.0391331239389</v>
      </c>
      <c r="O1004" s="1148">
        <f ca="1">Model!X173</f>
        <v>2479.6739520023839</v>
      </c>
      <c r="P1004" s="1148">
        <f ca="1">Model!Y173</f>
        <v>2545.5593814088516</v>
      </c>
      <c r="Q1004" s="1148">
        <f ca="1">Model!Z173</f>
        <v>2453.8638284480353</v>
      </c>
    </row>
    <row r="1005" spans="2:17">
      <c r="B1005" s="998" t="s">
        <v>2033</v>
      </c>
      <c r="C1005" s="1148">
        <f>-Model!L171</f>
        <v>0</v>
      </c>
      <c r="D1005" s="1148">
        <f>-Model!M171</f>
        <v>0</v>
      </c>
      <c r="E1005" s="1148">
        <f ca="1">-Model!N171</f>
        <v>-78.700000000000045</v>
      </c>
      <c r="F1005" s="1148">
        <f ca="1">-Model!O171</f>
        <v>-78.700000000000045</v>
      </c>
      <c r="G1005" s="1148">
        <f ca="1">-Model!P171</f>
        <v>-78.700000000000045</v>
      </c>
      <c r="H1005" s="1148">
        <f ca="1">-Model!Q171</f>
        <v>-78.700000000000045</v>
      </c>
      <c r="I1005" s="1148">
        <f ca="1">-Model!R171</f>
        <v>-78.700000000000045</v>
      </c>
      <c r="J1005" s="1148">
        <f>-Model!S171</f>
        <v>0</v>
      </c>
      <c r="K1005" s="1148">
        <f>-Model!T171</f>
        <v>0</v>
      </c>
      <c r="L1005" s="1148">
        <f>-Model!U171</f>
        <v>0</v>
      </c>
      <c r="M1005" s="1148">
        <f>-Model!V171</f>
        <v>0</v>
      </c>
      <c r="N1005" s="1148">
        <f>-Model!W171</f>
        <v>0</v>
      </c>
      <c r="O1005" s="1148">
        <f>-Model!X171</f>
        <v>0</v>
      </c>
      <c r="P1005" s="1148">
        <f>-Model!Y171</f>
        <v>0</v>
      </c>
      <c r="Q1005" s="1148">
        <f>-Model!Z171</f>
        <v>0</v>
      </c>
    </row>
    <row r="1006" spans="2:17">
      <c r="B1006" s="998" t="s">
        <v>159</v>
      </c>
      <c r="C1006" s="1195">
        <f>Model!L174</f>
        <v>104.5</v>
      </c>
      <c r="D1006" s="1195">
        <f>Model!M174</f>
        <v>23.2</v>
      </c>
      <c r="E1006" s="1195">
        <f ca="1">Model!N174</f>
        <v>64.206054522987642</v>
      </c>
      <c r="F1006" s="1195">
        <f ca="1">Model!O174</f>
        <v>61.49060137316178</v>
      </c>
      <c r="G1006" s="1195">
        <f>Model!P174</f>
        <v>30</v>
      </c>
      <c r="H1006" s="1195">
        <f>Model!Q174</f>
        <v>30</v>
      </c>
      <c r="I1006" s="1195">
        <f>Model!R174</f>
        <v>30</v>
      </c>
      <c r="J1006" s="1195">
        <f>Model!S174</f>
        <v>30</v>
      </c>
      <c r="K1006" s="1195">
        <f>Model!T174</f>
        <v>30</v>
      </c>
      <c r="L1006" s="1195">
        <f>Model!U174</f>
        <v>30</v>
      </c>
      <c r="M1006" s="1195">
        <f>Model!V174</f>
        <v>30</v>
      </c>
      <c r="N1006" s="1195">
        <f>Model!W174</f>
        <v>30</v>
      </c>
      <c r="O1006" s="1195">
        <f>Model!X174</f>
        <v>30</v>
      </c>
      <c r="P1006" s="1195">
        <f>Model!Y174</f>
        <v>30</v>
      </c>
      <c r="Q1006" s="1195">
        <f>Model!Z174</f>
        <v>30</v>
      </c>
    </row>
    <row r="1007" spans="2:17">
      <c r="B1007" s="1031" t="s">
        <v>2034</v>
      </c>
      <c r="C1007" s="1194">
        <f>C1004-C1006+C1005</f>
        <v>1009.5</v>
      </c>
      <c r="D1007" s="1194">
        <f t="shared" ref="D1007:Q1007" si="239">D1004-D1006+D1005</f>
        <v>1159.894</v>
      </c>
      <c r="E1007" s="1194">
        <f t="shared" ca="1" si="239"/>
        <v>1073.7939454770124</v>
      </c>
      <c r="F1007" s="1194">
        <f t="shared" ca="1" si="239"/>
        <v>1106.5093986268382</v>
      </c>
      <c r="G1007" s="1194">
        <f t="shared" ca="1" si="239"/>
        <v>1167.0473482740119</v>
      </c>
      <c r="H1007" s="1194">
        <f t="shared" ca="1" si="239"/>
        <v>1208.0127032045193</v>
      </c>
      <c r="I1007" s="1194">
        <f t="shared" ca="1" si="239"/>
        <v>1231.421966721653</v>
      </c>
      <c r="J1007" s="1194">
        <f t="shared" ca="1" si="239"/>
        <v>1858.5509052612833</v>
      </c>
      <c r="K1007" s="1194">
        <f t="shared" ca="1" si="239"/>
        <v>1982.4223822299532</v>
      </c>
      <c r="L1007" s="1194">
        <f t="shared" ca="1" si="239"/>
        <v>2125.2105895608579</v>
      </c>
      <c r="M1007" s="1194">
        <f t="shared" ca="1" si="239"/>
        <v>2252.1223901417225</v>
      </c>
      <c r="N1007" s="1194">
        <f t="shared" ca="1" si="239"/>
        <v>2361.0391331239389</v>
      </c>
      <c r="O1007" s="1194">
        <f t="shared" ca="1" si="239"/>
        <v>2449.6739520023839</v>
      </c>
      <c r="P1007" s="1194">
        <f t="shared" ca="1" si="239"/>
        <v>2515.5593814088516</v>
      </c>
      <c r="Q1007" s="1194">
        <f t="shared" ca="1" si="239"/>
        <v>2423.8638284480353</v>
      </c>
    </row>
    <row r="1008" spans="2:17">
      <c r="B1008" s="1281" t="s">
        <v>286</v>
      </c>
      <c r="C1008" s="1282">
        <f>Model!L177</f>
        <v>5.2421165344694938E-2</v>
      </c>
      <c r="D1008" s="1282">
        <f>Model!M177</f>
        <v>5.9360217735974233E-2</v>
      </c>
      <c r="E1008" s="1282">
        <f>Model!N177</f>
        <v>0.1</v>
      </c>
      <c r="F1008" s="1282">
        <f>Model!O177</f>
        <v>0.1</v>
      </c>
      <c r="G1008" s="1282">
        <f>Model!P177</f>
        <v>7.0000000000000007E-2</v>
      </c>
      <c r="H1008" s="1282">
        <f>Model!Q177</f>
        <v>7.0000000000000007E-2</v>
      </c>
      <c r="I1008" s="1282">
        <f>Model!R177</f>
        <v>7.0000000000000007E-2</v>
      </c>
      <c r="J1008" s="1282">
        <f>Model!S177</f>
        <v>7.0000000000000007E-2</v>
      </c>
      <c r="K1008" s="1282">
        <f>Model!T177</f>
        <v>7.0000000000000007E-2</v>
      </c>
      <c r="L1008" s="1282">
        <f>Model!U177</f>
        <v>7.0000000000000007E-2</v>
      </c>
      <c r="M1008" s="1282">
        <f>Model!V177</f>
        <v>7.0000000000000007E-2</v>
      </c>
      <c r="N1008" s="1282">
        <f>Model!W177</f>
        <v>7.0000000000000007E-2</v>
      </c>
      <c r="O1008" s="1282">
        <f>Model!X177</f>
        <v>7.0000000000000007E-2</v>
      </c>
      <c r="P1008" s="1282">
        <f>Model!Y177</f>
        <v>7.0000000000000007E-2</v>
      </c>
      <c r="Q1008" s="1282">
        <f>Model!Z177</f>
        <v>7.0000000000000007E-2</v>
      </c>
    </row>
    <row r="1009" spans="2:19">
      <c r="B1009" s="1120" t="s">
        <v>2179</v>
      </c>
      <c r="C1009" s="1120"/>
      <c r="D1009" s="1195">
        <f>D1004-C1004+D1005-C1005</f>
        <v>69.094000000000051</v>
      </c>
      <c r="E1009" s="1195">
        <f t="shared" ref="E1009:Q1009" ca="1" si="240">E1004-D1004+E1005-D1005</f>
        <v>-45.094000000000051</v>
      </c>
      <c r="F1009" s="1278">
        <f t="shared" ca="1" si="240"/>
        <v>30</v>
      </c>
      <c r="G1009" s="1279">
        <f t="shared" ca="1" si="240"/>
        <v>29.047348274011938</v>
      </c>
      <c r="H1009" s="1279">
        <f t="shared" ca="1" si="240"/>
        <v>40.965354930507374</v>
      </c>
      <c r="I1009" s="1279">
        <f t="shared" ca="1" si="240"/>
        <v>23.409263517133695</v>
      </c>
      <c r="J1009" s="1279">
        <f t="shared" ca="1" si="240"/>
        <v>627.12893853963033</v>
      </c>
      <c r="K1009" s="1279">
        <f t="shared" ca="1" si="240"/>
        <v>123.87147696866987</v>
      </c>
      <c r="L1009" s="1279">
        <f t="shared" ca="1" si="240"/>
        <v>142.7882073309047</v>
      </c>
      <c r="M1009" s="1279">
        <f t="shared" ca="1" si="240"/>
        <v>126.91180058086456</v>
      </c>
      <c r="N1009" s="1279">
        <f t="shared" ca="1" si="240"/>
        <v>108.91674298221642</v>
      </c>
      <c r="O1009" s="1279">
        <f t="shared" ca="1" si="240"/>
        <v>88.634818878445003</v>
      </c>
      <c r="P1009" s="1280">
        <f t="shared" ca="1" si="240"/>
        <v>65.885429406467665</v>
      </c>
      <c r="Q1009" s="1195">
        <f t="shared" ca="1" si="240"/>
        <v>-91.695552960816258</v>
      </c>
    </row>
    <row r="1011" spans="2:19">
      <c r="B1011" s="1011" t="s">
        <v>1826</v>
      </c>
      <c r="C1011" s="1011">
        <v>2022</v>
      </c>
      <c r="D1011" s="1011">
        <f>C1011+1</f>
        <v>2023</v>
      </c>
      <c r="E1011" s="1011">
        <f t="shared" ref="E1011:Q1011" si="241">D1011+1</f>
        <v>2024</v>
      </c>
      <c r="F1011" s="1011">
        <f t="shared" si="241"/>
        <v>2025</v>
      </c>
      <c r="G1011" s="1011">
        <f t="shared" si="241"/>
        <v>2026</v>
      </c>
      <c r="H1011" s="1011">
        <f t="shared" si="241"/>
        <v>2027</v>
      </c>
      <c r="I1011" s="1011">
        <f t="shared" si="241"/>
        <v>2028</v>
      </c>
      <c r="J1011" s="1011">
        <f t="shared" si="241"/>
        <v>2029</v>
      </c>
      <c r="K1011" s="1011">
        <f t="shared" si="241"/>
        <v>2030</v>
      </c>
      <c r="L1011" s="1011">
        <f t="shared" si="241"/>
        <v>2031</v>
      </c>
      <c r="M1011" s="1011">
        <f t="shared" si="241"/>
        <v>2032</v>
      </c>
      <c r="N1011" s="1011">
        <f t="shared" si="241"/>
        <v>2033</v>
      </c>
      <c r="O1011" s="1011">
        <f t="shared" si="241"/>
        <v>2034</v>
      </c>
      <c r="P1011" s="1011">
        <f t="shared" si="241"/>
        <v>2035</v>
      </c>
      <c r="Q1011" s="1011">
        <f t="shared" si="241"/>
        <v>2036</v>
      </c>
    </row>
    <row r="1012" spans="2:19">
      <c r="B1012" s="1058" t="s">
        <v>1880</v>
      </c>
      <c r="C1012" s="1058"/>
      <c r="D1012" s="1058"/>
      <c r="E1012" s="1058"/>
      <c r="F1012" s="1206"/>
      <c r="G1012" s="1206">
        <f t="shared" ref="G1012:Q1012" ca="1" si="242">G990</f>
        <v>-45.922949647173681</v>
      </c>
      <c r="H1012" s="1206">
        <f t="shared" ca="1" si="242"/>
        <v>-29.317040551326556</v>
      </c>
      <c r="I1012" s="1206">
        <f t="shared" ca="1" si="242"/>
        <v>-8.8933742928173842</v>
      </c>
      <c r="J1012" s="1206">
        <f t="shared" ca="1" si="242"/>
        <v>-13.410375171340462</v>
      </c>
      <c r="K1012" s="1206">
        <f t="shared" ca="1" si="242"/>
        <v>13.32708639961993</v>
      </c>
      <c r="L1012" s="1206">
        <f t="shared" ca="1" si="242"/>
        <v>3.0813594251920335</v>
      </c>
      <c r="M1012" s="1206">
        <f t="shared" ca="1" si="242"/>
        <v>28.952940688395643</v>
      </c>
      <c r="N1012" s="1206">
        <f t="shared" ca="1" si="242"/>
        <v>55.831824327704282</v>
      </c>
      <c r="O1012" s="1206">
        <f t="shared" ca="1" si="242"/>
        <v>83.737920440230937</v>
      </c>
      <c r="P1012" s="1206">
        <f t="shared" ca="1" si="242"/>
        <v>112.69174723369923</v>
      </c>
      <c r="Q1012" s="1206">
        <f t="shared" ca="1" si="242"/>
        <v>288.07046688136552</v>
      </c>
    </row>
    <row r="1013" spans="2:19">
      <c r="B1013" s="998" t="s">
        <v>1881</v>
      </c>
      <c r="F1013" s="1003"/>
      <c r="G1013" s="1003">
        <f ca="1">Value!P12</f>
        <v>-45.922949647173681</v>
      </c>
      <c r="H1013" s="1003">
        <f ca="1">Value!Q12</f>
        <v>-29.317040551326556</v>
      </c>
      <c r="I1013" s="1003">
        <f ca="1">Value!R12</f>
        <v>-8.8933742928173842</v>
      </c>
      <c r="J1013" s="1003">
        <f ca="1">Value!S12</f>
        <v>-13.410375171340462</v>
      </c>
      <c r="K1013" s="1003">
        <f ca="1">Value!T12</f>
        <v>9.3289604797339507</v>
      </c>
      <c r="L1013" s="1003">
        <f ca="1">Value!U12</f>
        <v>2.1569515976344231</v>
      </c>
      <c r="M1013" s="1003">
        <f ca="1">Value!V12</f>
        <v>20.267058481876948</v>
      </c>
      <c r="N1013" s="1003">
        <f ca="1">Value!W12</f>
        <v>39.082277029392998</v>
      </c>
      <c r="O1013" s="1003">
        <f ca="1">Value!X12</f>
        <v>58.61654430816165</v>
      </c>
      <c r="P1013" s="1003">
        <f ca="1">Value!Y12</f>
        <v>78.884223063589459</v>
      </c>
      <c r="Q1013" s="1003">
        <f ca="1">Value!Z12</f>
        <v>201.64932681695586</v>
      </c>
    </row>
    <row r="1014" spans="2:19">
      <c r="B1014" s="998" t="s">
        <v>1882</v>
      </c>
      <c r="D1014" s="1148"/>
      <c r="E1014" s="1148"/>
      <c r="F1014" s="1148"/>
      <c r="G1014" s="1148">
        <f ca="1">Value!P15</f>
        <v>944.41334827401204</v>
      </c>
      <c r="H1014" s="1148">
        <f ca="1">Value!Q15</f>
        <v>973.73038882533865</v>
      </c>
      <c r="I1014" s="1148">
        <f ca="1">Value!R15</f>
        <v>982.62376311815603</v>
      </c>
      <c r="J1014" s="1148">
        <f ca="1">Value!S15</f>
        <v>996.03413828949647</v>
      </c>
      <c r="K1014" s="1148">
        <f ca="1">Value!T15</f>
        <v>988.03788644972451</v>
      </c>
      <c r="L1014" s="1148">
        <f ca="1">Value!U15</f>
        <v>986.18907079460928</v>
      </c>
      <c r="M1014" s="1148">
        <f ca="1">Value!V15</f>
        <v>968.81730638157194</v>
      </c>
      <c r="N1014" s="1148">
        <f ca="1">Value!W15</f>
        <v>935.31821178494943</v>
      </c>
      <c r="O1014" s="1148">
        <f ca="1">Value!X15</f>
        <v>885.07545952081091</v>
      </c>
      <c r="P1014" s="1148">
        <f ca="1">Value!Y15</f>
        <v>817.46041118059134</v>
      </c>
      <c r="Q1014" s="1148">
        <f ca="1">Value!Z15</f>
        <v>644.61813105177202</v>
      </c>
    </row>
    <row r="1016" spans="2:19">
      <c r="B1016" s="1148" t="str">
        <f>Value!B24</f>
        <v>WACC</v>
      </c>
      <c r="C1016" s="1002">
        <f>Value!C24</f>
        <v>7.5999999999999998E-2</v>
      </c>
    </row>
    <row r="1017" spans="2:19">
      <c r="B1017" s="1148" t="str">
        <f>Value!B25</f>
        <v>Perpetual FCF g</v>
      </c>
      <c r="C1017" s="1002">
        <f>Value!C25</f>
        <v>0</v>
      </c>
    </row>
    <row r="1018" spans="2:19">
      <c r="B1018" s="1148" t="str">
        <f>Value!B26</f>
        <v>Implied FCF multiple</v>
      </c>
      <c r="C1018" s="1207">
        <f>Value!C26</f>
        <v>13.157894736842106</v>
      </c>
    </row>
    <row r="1019" spans="2:19">
      <c r="B1019" s="1148" t="str">
        <f>Value!B27</f>
        <v>NPV of FCF</v>
      </c>
      <c r="C1019" s="1148">
        <f ca="1">Value!C27</f>
        <v>114.92683893034244</v>
      </c>
    </row>
    <row r="1020" spans="2:19">
      <c r="B1020" s="1148" t="str">
        <f>Value!B28</f>
        <v>Terminal value</v>
      </c>
      <c r="C1020" s="1148">
        <f ca="1">Value!C28</f>
        <v>2653.2806160125774</v>
      </c>
    </row>
    <row r="1021" spans="2:19">
      <c r="B1021" s="1148" t="str">
        <f>Value!B29</f>
        <v>PV of TV</v>
      </c>
      <c r="C1021" s="1148">
        <f ca="1">Value!C29</f>
        <v>1185.3543548549467</v>
      </c>
    </row>
    <row r="1022" spans="2:19">
      <c r="B1022" s="1148" t="str">
        <f>Value!B30</f>
        <v>Tax asset</v>
      </c>
      <c r="C1022" s="1195">
        <f ca="1">Value!C30</f>
        <v>111.57942495476098</v>
      </c>
    </row>
    <row r="1023" spans="2:19">
      <c r="B1023" s="1194" t="str">
        <f>Value!B31</f>
        <v>EV</v>
      </c>
      <c r="C1023" s="1194">
        <f ca="1">Value!C31</f>
        <v>1411.8606187400501</v>
      </c>
      <c r="S1023" s="1148">
        <f ca="1">C1023-C1053</f>
        <v>388.16246875501315</v>
      </c>
    </row>
    <row r="1024" spans="2:19">
      <c r="B1024" s="1194" t="s">
        <v>1652</v>
      </c>
      <c r="C1024" s="1201">
        <f ca="1">C1023/(E986+E989)</f>
        <v>10.086177631687057</v>
      </c>
    </row>
    <row r="1025" spans="2:17">
      <c r="B1025" s="1148" t="str">
        <f>Value!B32</f>
        <v>Net debt, 2025 + accrued</v>
      </c>
      <c r="C1025" s="1148">
        <f ca="1">Value!C32</f>
        <v>-1311.3493986268381</v>
      </c>
    </row>
    <row r="1026" spans="2:17">
      <c r="B1026" s="1194" t="s">
        <v>315</v>
      </c>
      <c r="C1026" s="1194">
        <f ca="1">C1023+C1025</f>
        <v>100.51122011321195</v>
      </c>
    </row>
    <row r="1027" spans="2:17">
      <c r="B1027" s="1148"/>
      <c r="C1027" s="1148"/>
    </row>
    <row r="1028" spans="2:17">
      <c r="B1028" s="1148" t="s">
        <v>2035</v>
      </c>
      <c r="C1028" s="1148">
        <f ca="1">Value!C39*-Value!C32</f>
        <v>1003.1822899495312</v>
      </c>
    </row>
    <row r="1029" spans="2:17">
      <c r="B1029" s="1197" t="s">
        <v>2036</v>
      </c>
      <c r="C1029" s="1208">
        <f ca="1">Value!C40</f>
        <v>1.4073819213964383</v>
      </c>
      <c r="D1029" s="1120"/>
      <c r="E1029" s="1120"/>
      <c r="F1029" s="1120"/>
      <c r="G1029" s="1120"/>
      <c r="H1029" s="1120"/>
      <c r="I1029" s="1120"/>
      <c r="J1029" s="1120"/>
      <c r="K1029" s="1120"/>
      <c r="L1029" s="1120"/>
      <c r="M1029" s="1120"/>
      <c r="N1029" s="1120"/>
      <c r="O1029" s="1120"/>
      <c r="P1029" s="1120"/>
      <c r="Q1029" s="1120"/>
    </row>
    <row r="1030" spans="2:17">
      <c r="B1030" s="1148"/>
      <c r="C1030" s="1018"/>
    </row>
    <row r="1031" spans="2:17">
      <c r="F1031" s="1003">
        <f ca="1">F1033+F1035</f>
        <v>85.094027410001473</v>
      </c>
      <c r="K1031" s="1003">
        <f ca="1">K1033+K1035</f>
        <v>167.57878374300711</v>
      </c>
    </row>
    <row r="1032" spans="2:17">
      <c r="B1032" s="1011" t="s">
        <v>192</v>
      </c>
      <c r="C1032" s="1011">
        <v>2022</v>
      </c>
      <c r="D1032" s="1011">
        <f>C1032+1</f>
        <v>2023</v>
      </c>
      <c r="E1032" s="1011">
        <f t="shared" ref="E1032" si="243">D1032+1</f>
        <v>2024</v>
      </c>
      <c r="F1032" s="1011">
        <f t="shared" ref="F1032" si="244">E1032+1</f>
        <v>2025</v>
      </c>
      <c r="G1032" s="1011">
        <f t="shared" ref="G1032" si="245">F1032+1</f>
        <v>2026</v>
      </c>
      <c r="H1032" s="1011">
        <f t="shared" ref="H1032" si="246">G1032+1</f>
        <v>2027</v>
      </c>
      <c r="I1032" s="1011">
        <f t="shared" ref="I1032" si="247">H1032+1</f>
        <v>2028</v>
      </c>
      <c r="J1032" s="1011">
        <f t="shared" ref="J1032" si="248">I1032+1</f>
        <v>2029</v>
      </c>
      <c r="K1032" s="1011">
        <f t="shared" ref="K1032" si="249">J1032+1</f>
        <v>2030</v>
      </c>
      <c r="L1032" s="1011">
        <f t="shared" ref="L1032" si="250">K1032+1</f>
        <v>2031</v>
      </c>
      <c r="M1032" s="1011">
        <f t="shared" ref="M1032" si="251">L1032+1</f>
        <v>2032</v>
      </c>
      <c r="N1032" s="1011">
        <f t="shared" ref="N1032" si="252">M1032+1</f>
        <v>2033</v>
      </c>
      <c r="O1032" s="1011">
        <f t="shared" ref="O1032" si="253">N1032+1</f>
        <v>2034</v>
      </c>
      <c r="P1032" s="1011">
        <f t="shared" ref="P1032" si="254">O1032+1</f>
        <v>2035</v>
      </c>
      <c r="Q1032" s="1011">
        <f t="shared" ref="Q1032" si="255">P1032+1</f>
        <v>2036</v>
      </c>
    </row>
    <row r="1033" spans="2:17">
      <c r="B1033" s="1058" t="s">
        <v>1823</v>
      </c>
      <c r="C1033" s="1058"/>
      <c r="D1033" s="1058"/>
      <c r="E1033" s="1206">
        <f ca="1">Value!N48</f>
        <v>117.80808598872299</v>
      </c>
      <c r="F1033" s="1206">
        <f ca="1">Value!O48</f>
        <v>121.09402741000147</v>
      </c>
      <c r="G1033" s="1206">
        <f ca="1">Value!P48</f>
        <v>133.3455973152505</v>
      </c>
      <c r="H1033" s="1206">
        <f ca="1">Value!Q48</f>
        <v>146.62272138877836</v>
      </c>
      <c r="I1033" s="1206">
        <f ca="1">Value!R48</f>
        <v>163.3420840345749</v>
      </c>
      <c r="J1033" s="1206">
        <f ca="1">Value!S48</f>
        <v>182.62588788383448</v>
      </c>
      <c r="K1033" s="1206">
        <f ca="1">Value!T48</f>
        <v>203.57878374300711</v>
      </c>
      <c r="L1033" s="1206">
        <f ca="1">Value!U48</f>
        <v>225.6160954064037</v>
      </c>
      <c r="M1033" s="1206">
        <f ca="1">Value!V48</f>
        <v>249.52258065376282</v>
      </c>
      <c r="N1033" s="1206">
        <f ca="1">Value!W48</f>
        <v>274.68537777932852</v>
      </c>
      <c r="O1033" s="1206">
        <f ca="1">Value!X48</f>
        <v>301.12943271916328</v>
      </c>
      <c r="P1033" s="1206">
        <f ca="1">Value!Y48</f>
        <v>328.87884793849679</v>
      </c>
      <c r="Q1033" s="1206">
        <f ca="1">Value!Z48</f>
        <v>354.77138717201467</v>
      </c>
    </row>
    <row r="1034" spans="2:17">
      <c r="B1034" s="998" t="s">
        <v>1913</v>
      </c>
      <c r="E1034" s="1003">
        <f ca="1">Value!N49</f>
        <v>-129.27510283543657</v>
      </c>
      <c r="F1034" s="1003">
        <f ca="1">Value!O49</f>
        <v>-129.36975487120895</v>
      </c>
      <c r="G1034" s="1003">
        <f ca="1">Value!P49</f>
        <v>-129.68382646635698</v>
      </c>
      <c r="H1034" s="1003">
        <f ca="1">Value!Q49</f>
        <v>-139.91754848071025</v>
      </c>
      <c r="I1034" s="1003">
        <f ca="1">Value!R49</f>
        <v>-139.92297419638479</v>
      </c>
      <c r="J1034" s="1003">
        <f ca="1">Value!S49</f>
        <v>-169.02433225052144</v>
      </c>
      <c r="K1034" s="1003">
        <f ca="1">Value!T49</f>
        <v>-168.88242035554453</v>
      </c>
      <c r="L1034" s="1003">
        <f ca="1">Value!U49</f>
        <v>-205.22114168101874</v>
      </c>
      <c r="M1034" s="1003">
        <f ca="1">Value!V49</f>
        <v>-205.32950902694412</v>
      </c>
      <c r="N1034" s="1003">
        <f ca="1">Value!W49</f>
        <v>-205.43852239332065</v>
      </c>
      <c r="O1034" s="1003">
        <f ca="1">Value!X49</f>
        <v>-205.5481817801483</v>
      </c>
      <c r="P1034" s="1003">
        <f ca="1">Value!Y49</f>
        <v>-205.65848718742711</v>
      </c>
      <c r="Q1034" s="1003">
        <f ca="1">Value!Z49</f>
        <v>-70.413438615157091</v>
      </c>
    </row>
    <row r="1035" spans="2:17">
      <c r="B1035" s="998" t="s">
        <v>1914</v>
      </c>
      <c r="D1035" s="1148"/>
      <c r="E1035" s="1003">
        <f>Value!N50</f>
        <v>-36</v>
      </c>
      <c r="F1035" s="1003">
        <f>Value!O50</f>
        <v>-36</v>
      </c>
      <c r="G1035" s="1003">
        <f>Value!P50</f>
        <v>-36</v>
      </c>
      <c r="H1035" s="1003">
        <f>Value!Q50</f>
        <v>-36</v>
      </c>
      <c r="I1035" s="1003">
        <f>Value!R50</f>
        <v>-36</v>
      </c>
      <c r="J1035" s="1003">
        <f>Value!S50</f>
        <v>-36</v>
      </c>
      <c r="K1035" s="1003">
        <f>Value!T50</f>
        <v>-36</v>
      </c>
      <c r="L1035" s="1003">
        <f>Value!U50</f>
        <v>-36</v>
      </c>
      <c r="M1035" s="1003">
        <f>Value!V50</f>
        <v>-36</v>
      </c>
      <c r="N1035" s="1003">
        <f>Value!W50</f>
        <v>-36</v>
      </c>
      <c r="O1035" s="1003">
        <f>Value!X50</f>
        <v>-36</v>
      </c>
      <c r="P1035" s="1003">
        <f>Value!Y50</f>
        <v>-36</v>
      </c>
      <c r="Q1035" s="1003">
        <f>Value!Z50</f>
        <v>-36</v>
      </c>
    </row>
    <row r="1036" spans="2:17">
      <c r="B1036" s="998" t="s">
        <v>2175</v>
      </c>
      <c r="E1036" s="1199">
        <f>Value!N51</f>
        <v>-22.5</v>
      </c>
      <c r="F1036" s="1199">
        <f>Value!O51</f>
        <v>-12.5</v>
      </c>
      <c r="G1036" s="1199">
        <f>Value!P51</f>
        <v>-10</v>
      </c>
      <c r="H1036" s="1199">
        <f>Value!Q51</f>
        <v>-5</v>
      </c>
      <c r="I1036" s="1199">
        <f>Value!R51</f>
        <v>-5</v>
      </c>
      <c r="J1036" s="1199">
        <f>Value!S51</f>
        <v>-5</v>
      </c>
      <c r="K1036" s="1199">
        <f>Value!T51</f>
        <v>-5</v>
      </c>
      <c r="L1036" s="1199">
        <f>Value!U51</f>
        <v>-5</v>
      </c>
      <c r="M1036" s="1199">
        <f>Value!V51</f>
        <v>-5</v>
      </c>
      <c r="N1036" s="1199">
        <f>Value!W51</f>
        <v>-5</v>
      </c>
      <c r="O1036" s="1199">
        <f>Value!X51</f>
        <v>-5</v>
      </c>
      <c r="P1036" s="1199">
        <f>Value!Y51</f>
        <v>-5</v>
      </c>
      <c r="Q1036" s="1199">
        <f>Value!Z51</f>
        <v>0</v>
      </c>
    </row>
    <row r="1037" spans="2:17">
      <c r="B1037" s="1148" t="s">
        <v>1824</v>
      </c>
      <c r="C1037" s="1002"/>
      <c r="E1037" s="1030">
        <f ca="1">Value!N52</f>
        <v>-69.967016846713577</v>
      </c>
      <c r="F1037" s="1030">
        <f ca="1">Value!O52</f>
        <v>-56.775727461207481</v>
      </c>
      <c r="G1037" s="1030">
        <f ca="1">Value!P52</f>
        <v>-42.338229151106475</v>
      </c>
      <c r="H1037" s="1030">
        <f ca="1">Value!Q52</f>
        <v>-34.294827091931893</v>
      </c>
      <c r="I1037" s="1030">
        <f ca="1">Value!R52</f>
        <v>-17.58089016180989</v>
      </c>
      <c r="J1037" s="1030">
        <f ca="1">Value!S52</f>
        <v>-27.398444366686959</v>
      </c>
      <c r="K1037" s="1030">
        <f ca="1">Value!T52</f>
        <v>-6.3036366125374172</v>
      </c>
      <c r="L1037" s="1030">
        <f ca="1">Value!U52</f>
        <v>-20.605046274615034</v>
      </c>
      <c r="M1037" s="1030">
        <f ca="1">Value!V52</f>
        <v>3.1930716268186927</v>
      </c>
      <c r="N1037" s="1030">
        <f ca="1">Value!W52</f>
        <v>28.246855386007866</v>
      </c>
      <c r="O1037" s="1030">
        <f ca="1">Value!X52</f>
        <v>54.581250939014978</v>
      </c>
      <c r="P1037" s="1030">
        <f ca="1">Value!Y52</f>
        <v>82.220360751069677</v>
      </c>
      <c r="Q1037" s="1030">
        <f ca="1">Value!Z52</f>
        <v>248.35794855685759</v>
      </c>
    </row>
    <row r="1038" spans="2:17" ht="13.5" thickBot="1">
      <c r="B1038" s="1148"/>
      <c r="C1038" s="1002"/>
      <c r="E1038" s="1030"/>
      <c r="F1038" s="1030"/>
      <c r="G1038" s="1030"/>
      <c r="H1038" s="1030"/>
      <c r="I1038" s="1030"/>
      <c r="J1038" s="1030"/>
      <c r="K1038" s="1030"/>
      <c r="L1038" s="1030"/>
      <c r="M1038" s="1030"/>
      <c r="N1038" s="1030"/>
      <c r="O1038" s="1030"/>
      <c r="P1038" s="1030"/>
      <c r="Q1038" s="1030"/>
    </row>
    <row r="1039" spans="2:17" ht="13.5" thickBot="1">
      <c r="B1039" s="1148" t="str">
        <f>Fixed!B397</f>
        <v>NetCo interest rate</v>
      </c>
      <c r="C1039" s="1002"/>
      <c r="E1039" s="1018"/>
      <c r="F1039" s="1224">
        <f>Fixed!O397</f>
        <v>0.05</v>
      </c>
      <c r="G1039" s="1225">
        <f>Fixed!P397</f>
        <v>0.05</v>
      </c>
      <c r="H1039" s="1225">
        <f>Fixed!Q397</f>
        <v>0.05</v>
      </c>
      <c r="I1039" s="1225">
        <f>Fixed!R397</f>
        <v>0.05</v>
      </c>
      <c r="J1039" s="1225">
        <f>Fixed!S397</f>
        <v>0.05</v>
      </c>
      <c r="K1039" s="1225">
        <f>Fixed!T397</f>
        <v>0.05</v>
      </c>
      <c r="L1039" s="1225">
        <f>Fixed!U397</f>
        <v>0.05</v>
      </c>
      <c r="M1039" s="1225">
        <f>Fixed!V397</f>
        <v>0.05</v>
      </c>
      <c r="N1039" s="1225">
        <f>Fixed!W397</f>
        <v>0.05</v>
      </c>
      <c r="O1039" s="1225">
        <f>Fixed!X397</f>
        <v>0.05</v>
      </c>
      <c r="P1039" s="1225">
        <f>Fixed!Y397</f>
        <v>0.05</v>
      </c>
      <c r="Q1039" s="1226">
        <f>Fixed!Z397</f>
        <v>0.05</v>
      </c>
    </row>
    <row r="1040" spans="2:17">
      <c r="B1040" s="1148" t="str">
        <f>Fixed!B398</f>
        <v>NetCo interest costs</v>
      </c>
      <c r="C1040" s="1002"/>
      <c r="E1040" s="1003"/>
      <c r="F1040" s="1003">
        <f ca="1">Fixed!O398</f>
        <v>38.287627946334972</v>
      </c>
      <c r="G1040" s="1003">
        <f ca="1">Fixed!P398</f>
        <v>43.040795716712097</v>
      </c>
      <c r="H1040" s="1003">
        <f ca="1">Fixed!Q398</f>
        <v>47.30974696010302</v>
      </c>
      <c r="I1040" s="1003">
        <f ca="1">Fixed!R398</f>
        <v>51.389975662704764</v>
      </c>
      <c r="J1040" s="1003">
        <f ca="1">Fixed!S398</f>
        <v>54.838518953930503</v>
      </c>
      <c r="K1040" s="1003">
        <f ca="1">Fixed!T398</f>
        <v>58.950367119961385</v>
      </c>
      <c r="L1040" s="1003">
        <f ca="1">Fixed!U398</f>
        <v>62.213067306586325</v>
      </c>
      <c r="M1040" s="1003">
        <f ca="1">Fixed!V398</f>
        <v>66.353972985646394</v>
      </c>
      <c r="N1040" s="1003">
        <f ca="1">Fixed!W398</f>
        <v>69.512018053587767</v>
      </c>
      <c r="O1040" s="1003">
        <f ca="1">Fixed!X398</f>
        <v>71.575276186966775</v>
      </c>
      <c r="P1040" s="1003">
        <f ca="1">Fixed!Y398</f>
        <v>72.424977449364349</v>
      </c>
      <c r="Q1040" s="1003">
        <f ca="1">Fixed!Z398</f>
        <v>71.935208284279085</v>
      </c>
    </row>
    <row r="1041" spans="2:17">
      <c r="B1041" s="1148" t="str">
        <f>Fixed!B399</f>
        <v>Less: tax</v>
      </c>
      <c r="C1041" s="1002"/>
      <c r="E1041" s="1003">
        <f>Fixed!N399</f>
        <v>0</v>
      </c>
      <c r="F1041" s="1003">
        <f ca="1">Fixed!O399</f>
        <v>0</v>
      </c>
      <c r="G1041" s="1003">
        <f ca="1">Fixed!P399</f>
        <v>0</v>
      </c>
      <c r="H1041" s="1003">
        <f ca="1">Fixed!Q399</f>
        <v>0</v>
      </c>
      <c r="I1041" s="1003">
        <f ca="1">Fixed!R399</f>
        <v>0</v>
      </c>
      <c r="J1041" s="1003">
        <f ca="1">Fixed!S399</f>
        <v>0</v>
      </c>
      <c r="K1041" s="1003">
        <f ca="1">Fixed!T399</f>
        <v>0</v>
      </c>
      <c r="L1041" s="1003">
        <f ca="1">Fixed!U399</f>
        <v>0</v>
      </c>
      <c r="M1041" s="1003">
        <f ca="1">Fixed!V399</f>
        <v>0</v>
      </c>
      <c r="N1041" s="1003">
        <f ca="1">Fixed!W399</f>
        <v>0</v>
      </c>
      <c r="O1041" s="1003">
        <f ca="1">Fixed!X399</f>
        <v>0</v>
      </c>
      <c r="P1041" s="1003">
        <f ca="1">Fixed!Y399</f>
        <v>0</v>
      </c>
      <c r="Q1041" s="1003">
        <f ca="1">Fixed!Z399</f>
        <v>13.185757221929508</v>
      </c>
    </row>
    <row r="1042" spans="2:17">
      <c r="B1042" s="1148" t="str">
        <f>Fixed!B400</f>
        <v>Debt allocated to NetCo</v>
      </c>
      <c r="C1042" s="1002"/>
      <c r="E1042" s="1148">
        <f ca="1">Fixed!N400</f>
        <v>765.75255892669941</v>
      </c>
      <c r="F1042" s="1148">
        <f ca="1">Fixed!O400</f>
        <v>860.81591433424182</v>
      </c>
      <c r="G1042" s="1148">
        <f ca="1">Fixed!P400</f>
        <v>946.19493920206037</v>
      </c>
      <c r="H1042" s="1148">
        <f ca="1">Fixed!Q400</f>
        <v>1027.7995132540952</v>
      </c>
      <c r="I1042" s="1148">
        <f ca="1">Fixed!R400</f>
        <v>1096.7703790786099</v>
      </c>
      <c r="J1042" s="1148">
        <f ca="1">Fixed!S400</f>
        <v>1179.0073423992276</v>
      </c>
      <c r="K1042" s="1148">
        <f ca="1">Fixed!T400</f>
        <v>1244.2613461317264</v>
      </c>
      <c r="L1042" s="1148">
        <f ca="1">Fixed!U400</f>
        <v>1327.0794597129277</v>
      </c>
      <c r="M1042" s="1148">
        <f ca="1">Fixed!V400</f>
        <v>1390.2403610717554</v>
      </c>
      <c r="N1042" s="1148">
        <f ca="1">Fixed!W400</f>
        <v>1431.5055237393353</v>
      </c>
      <c r="O1042" s="1148">
        <f ca="1">Fixed!X400</f>
        <v>1448.499548987287</v>
      </c>
      <c r="P1042" s="1148">
        <f ca="1">Fixed!Y400</f>
        <v>1438.7041656855818</v>
      </c>
      <c r="Q1042" s="1148">
        <f ca="1">Fixed!Z400</f>
        <v>1275.4671826349327</v>
      </c>
    </row>
    <row r="1043" spans="2:17">
      <c r="B1043" s="1194" t="str">
        <f>Fixed!B401</f>
        <v>Net debt/ EBITDA</v>
      </c>
      <c r="C1043" s="1231"/>
      <c r="D1043" s="1031"/>
      <c r="E1043" s="1230">
        <f>Fixed!N401</f>
        <v>6.5</v>
      </c>
      <c r="F1043" s="1230">
        <f ca="1">Fixed!O401</f>
        <v>7.1086570720757507</v>
      </c>
      <c r="G1043" s="1230">
        <f ca="1">Fixed!P401</f>
        <v>7.0958093724317193</v>
      </c>
      <c r="H1043" s="1230">
        <f ca="1">Fixed!Q401</f>
        <v>7.0098242858883193</v>
      </c>
      <c r="I1043" s="1230">
        <f ca="1">Fixed!R401</f>
        <v>6.7145609507862938</v>
      </c>
      <c r="J1043" s="1230">
        <f ca="1">Fixed!S401</f>
        <v>6.4558609738241275</v>
      </c>
      <c r="K1043" s="1230">
        <f ca="1">Fixed!T401</f>
        <v>6.1119401700643401</v>
      </c>
      <c r="L1043" s="1230">
        <f ca="1">Fixed!U401</f>
        <v>5.8820247612319108</v>
      </c>
      <c r="M1043" s="1230">
        <f ca="1">Fixed!V401</f>
        <v>5.5716014054890328</v>
      </c>
      <c r="N1043" s="1230">
        <f ca="1">Fixed!W401</f>
        <v>5.211436936731852</v>
      </c>
      <c r="O1043" s="1230">
        <f ca="1">Fixed!X401</f>
        <v>4.8102224213272908</v>
      </c>
      <c r="P1043" s="1230">
        <f ca="1">Fixed!Y401</f>
        <v>4.3745718969273204</v>
      </c>
      <c r="Q1043" s="1230">
        <f ca="1">Fixed!Z401</f>
        <v>3.595180526823345</v>
      </c>
    </row>
    <row r="1044" spans="2:17">
      <c r="B1044" s="1194" t="str">
        <f>Fixed!B402</f>
        <v>Net debt/ EBITDAaL</v>
      </c>
      <c r="C1044" s="1231"/>
      <c r="D1044" s="1031"/>
      <c r="E1044" s="1201">
        <f ca="1">Fixed!N402</f>
        <v>9.3603529488791146</v>
      </c>
      <c r="F1044" s="1201">
        <f ca="1">Fixed!O402</f>
        <v>10.116055621467346</v>
      </c>
      <c r="G1044" s="1201">
        <f ca="1">Fixed!P402</f>
        <v>9.7199561695413852</v>
      </c>
      <c r="H1044" s="1201">
        <f ca="1">Fixed!Q402</f>
        <v>9.2910344308195256</v>
      </c>
      <c r="I1044" s="1201">
        <f ca="1">Fixed!R402</f>
        <v>8.6127880456300971</v>
      </c>
      <c r="J1044" s="1201">
        <f ca="1">Fixed!S402</f>
        <v>8.0409221005591149</v>
      </c>
      <c r="K1044" s="1201">
        <f ca="1">Fixed!T402</f>
        <v>7.4249336242938817</v>
      </c>
      <c r="L1044" s="1201">
        <f ca="1">Fixed!U402</f>
        <v>6.9987701037119328</v>
      </c>
      <c r="M1044" s="1201">
        <f ca="1">Fixed!V402</f>
        <v>6.5109758266086963</v>
      </c>
      <c r="N1044" s="1201">
        <f ca="1">Fixed!W402</f>
        <v>5.9974579802823245</v>
      </c>
      <c r="O1044" s="1201">
        <f ca="1">Fixed!X402</f>
        <v>5.4633675866594613</v>
      </c>
      <c r="P1044" s="1201">
        <f ca="1">Fixed!Y402</f>
        <v>4.9122842971155878</v>
      </c>
      <c r="Q1044" s="1201">
        <f ca="1">Fixed!Z402</f>
        <v>4.0011972026418672</v>
      </c>
    </row>
    <row r="1045" spans="2:17">
      <c r="B1045" s="1148"/>
      <c r="C1045" s="1002"/>
      <c r="E1045" s="1030"/>
      <c r="F1045" s="1030"/>
      <c r="G1045" s="1030"/>
      <c r="H1045" s="1030"/>
      <c r="I1045" s="1030"/>
      <c r="J1045" s="1030"/>
      <c r="K1045" s="1030"/>
      <c r="L1045" s="1030"/>
      <c r="M1045" s="1030"/>
      <c r="N1045" s="1030"/>
      <c r="O1045" s="1030"/>
      <c r="P1045" s="1030"/>
      <c r="Q1045" s="1030"/>
    </row>
    <row r="1046" spans="2:17">
      <c r="B1046" s="1148" t="str">
        <f>Value!B60</f>
        <v>WACC</v>
      </c>
      <c r="C1046" s="1002">
        <f>Value!C60</f>
        <v>7.5999999999999998E-2</v>
      </c>
      <c r="F1046" s="1003"/>
    </row>
    <row r="1047" spans="2:17">
      <c r="B1047" s="1148" t="str">
        <f>Value!B61</f>
        <v>Perpetual FCF g</v>
      </c>
      <c r="C1047" s="1002">
        <f>Value!C61</f>
        <v>0</v>
      </c>
    </row>
    <row r="1048" spans="2:17">
      <c r="B1048" s="1148" t="str">
        <f>Value!B62</f>
        <v>Implied exit FCF multiple</v>
      </c>
      <c r="C1048" s="1207">
        <f>Value!C62</f>
        <v>13.157894736842106</v>
      </c>
    </row>
    <row r="1049" spans="2:17">
      <c r="B1049" s="1148" t="str">
        <f>Value!B63</f>
        <v>NPV FCF</v>
      </c>
      <c r="C1049" s="1148">
        <f ca="1">Value!C63</f>
        <v>-37.644294534847539</v>
      </c>
    </row>
    <row r="1050" spans="2:17">
      <c r="B1050" s="1148" t="str">
        <f>Value!B64</f>
        <v>TV</v>
      </c>
      <c r="C1050" s="1148">
        <f ca="1">Value!C64</f>
        <v>2287.5074209184249</v>
      </c>
    </row>
    <row r="1051" spans="2:17">
      <c r="B1051" s="1148" t="str">
        <f>Value!B65</f>
        <v>PV TV</v>
      </c>
      <c r="C1051" s="1148">
        <f ca="1">Value!C65</f>
        <v>949.7630195651235</v>
      </c>
    </row>
    <row r="1052" spans="2:17">
      <c r="B1052" s="1148" t="str">
        <f>Value!B66</f>
        <v>NPV of tax losses</v>
      </c>
      <c r="C1052" s="1148">
        <f ca="1">Value!C66</f>
        <v>111.57942495476098</v>
      </c>
    </row>
    <row r="1053" spans="2:17">
      <c r="B1053" s="1194" t="str">
        <f>Value!B67</f>
        <v>EV</v>
      </c>
      <c r="C1053" s="1194">
        <f ca="1">Value!C67</f>
        <v>1023.6981499850369</v>
      </c>
    </row>
    <row r="1054" spans="2:17">
      <c r="B1054" s="1227" t="str">
        <f>Value!B68</f>
        <v>EV/ EBITDAaL</v>
      </c>
      <c r="C1054" s="1232">
        <f ca="1">Value!C68</f>
        <v>12.513410350734166</v>
      </c>
    </row>
    <row r="1055" spans="2:17">
      <c r="B1055" s="1148" t="str">
        <f>Value!B69</f>
        <v>Net debt</v>
      </c>
      <c r="C1055" s="1148">
        <f ca="1">Value!C69</f>
        <v>765.75255892669941</v>
      </c>
    </row>
    <row r="1056" spans="2:17">
      <c r="B1056" s="1233" t="str">
        <f>Value!B70</f>
        <v>Equity value</v>
      </c>
      <c r="C1056" s="1233">
        <f ca="1">Value!C70</f>
        <v>257.94559105833753</v>
      </c>
      <c r="D1056" s="1120"/>
      <c r="E1056" s="1120"/>
      <c r="F1056" s="1120"/>
      <c r="G1056" s="1120"/>
      <c r="H1056" s="1120"/>
      <c r="I1056" s="1120"/>
      <c r="J1056" s="1120"/>
      <c r="K1056" s="1120"/>
      <c r="L1056" s="1120"/>
      <c r="M1056" s="1120"/>
      <c r="N1056" s="1120"/>
      <c r="O1056" s="1120"/>
      <c r="P1056" s="1120"/>
      <c r="Q1056" s="1120"/>
    </row>
    <row r="1057" spans="2:19">
      <c r="D1057" s="1003"/>
    </row>
    <row r="1058" spans="2:19">
      <c r="B1058" s="1011" t="s">
        <v>192</v>
      </c>
      <c r="C1058" s="1011">
        <v>2024</v>
      </c>
      <c r="D1058" s="1011">
        <f t="shared" ref="D1058" si="256">C1058+1</f>
        <v>2025</v>
      </c>
      <c r="E1058" s="1011">
        <f t="shared" ref="E1058" si="257">D1058+1</f>
        <v>2026</v>
      </c>
      <c r="F1058" s="1011">
        <f t="shared" ref="F1058" si="258">E1058+1</f>
        <v>2027</v>
      </c>
      <c r="G1058" s="1011">
        <f t="shared" ref="G1058" si="259">F1058+1</f>
        <v>2028</v>
      </c>
      <c r="H1058" s="1011">
        <f t="shared" ref="H1058" si="260">G1058+1</f>
        <v>2029</v>
      </c>
      <c r="I1058" s="1011">
        <f t="shared" ref="I1058" si="261">H1058+1</f>
        <v>2030</v>
      </c>
      <c r="J1058" s="1011">
        <f t="shared" ref="J1058" si="262">I1058+1</f>
        <v>2031</v>
      </c>
      <c r="K1058" s="1011">
        <f t="shared" ref="K1058" si="263">J1058+1</f>
        <v>2032</v>
      </c>
      <c r="L1058" s="1011">
        <f t="shared" ref="L1058" si="264">K1058+1</f>
        <v>2033</v>
      </c>
      <c r="M1058" s="1011">
        <f t="shared" ref="M1058" si="265">L1058+1</f>
        <v>2034</v>
      </c>
      <c r="N1058" s="1011">
        <f t="shared" ref="N1058" si="266">M1058+1</f>
        <v>2035</v>
      </c>
      <c r="O1058" s="1011">
        <f t="shared" ref="O1058" si="267">N1058+1</f>
        <v>2036</v>
      </c>
    </row>
    <row r="1059" spans="2:19">
      <c r="B1059" s="1058" t="s">
        <v>1868</v>
      </c>
      <c r="C1059" s="1206">
        <f ca="1">Fixed!N372</f>
        <v>67.171663555296917</v>
      </c>
      <c r="D1059" s="1206">
        <f ca="1">Fixed!O372</f>
        <v>71.171734818928996</v>
      </c>
      <c r="E1059" s="1206">
        <f ca="1">Fixed!P372</f>
        <v>76.338384367812381</v>
      </c>
      <c r="F1059" s="1206">
        <f ca="1">Fixed!Q372</f>
        <v>82.004389533664209</v>
      </c>
      <c r="G1059" s="1206">
        <f ca="1">Fixed!R372</f>
        <v>85.762950303122267</v>
      </c>
      <c r="H1059" s="1206">
        <f ca="1">Fixed!S372</f>
        <v>90.850726116706028</v>
      </c>
      <c r="I1059" s="1206">
        <f ca="1">Fixed!T372</f>
        <v>95.21617287872462</v>
      </c>
      <c r="J1059" s="1206">
        <f ca="1">Fixed!U372</f>
        <v>100.24134749564251</v>
      </c>
      <c r="K1059" s="1206">
        <f ca="1">Fixed!V372</f>
        <v>103.29011697074077</v>
      </c>
      <c r="L1059" s="1206">
        <f ca="1">Fixed!W372</f>
        <v>106.09633714824895</v>
      </c>
      <c r="M1059" s="1206">
        <f ca="1">Fixed!X372</f>
        <v>108.65497218921746</v>
      </c>
      <c r="N1059" s="1206">
        <f ca="1">Fixed!Y372</f>
        <v>110.9624378361404</v>
      </c>
      <c r="O1059" s="1206">
        <f ca="1">Fixed!Z372</f>
        <v>116.20213252758828</v>
      </c>
      <c r="R1059" s="998" t="s">
        <v>1348</v>
      </c>
      <c r="S1059" s="998">
        <v>80</v>
      </c>
    </row>
    <row r="1060" spans="2:19">
      <c r="B1060" s="998" t="s">
        <v>1869</v>
      </c>
      <c r="C1060" s="1003">
        <f ca="1">-Fixed!N391</f>
        <v>-63.99459218559582</v>
      </c>
      <c r="D1060" s="1003">
        <f ca="1">-Fixed!O391</f>
        <v>-58.096460507547363</v>
      </c>
      <c r="E1060" s="1003">
        <f ca="1">-Fixed!P391</f>
        <v>-60.923104863879587</v>
      </c>
      <c r="F1060" s="1003">
        <f ca="1">-Fixed!Q391</f>
        <v>-63.026602993058873</v>
      </c>
      <c r="G1060" s="1003">
        <f ca="1">-Fixed!R391</f>
        <v>-63.075434434129761</v>
      </c>
      <c r="H1060" s="1003">
        <f ca="1">-Fixed!S391</f>
        <v>-62.86265692135953</v>
      </c>
      <c r="I1060" s="1003">
        <f ca="1">-Fixed!T391</f>
        <v>-61.585449866567274</v>
      </c>
      <c r="J1060" s="1003">
        <f ca="1">-Fixed!U391</f>
        <v>-62.554941795835447</v>
      </c>
      <c r="K1060" s="1003">
        <f ca="1">-Fixed!V391</f>
        <v>-63.530247909163819</v>
      </c>
      <c r="L1060" s="1003">
        <f ca="1">-Fixed!W391</f>
        <v>-64.511368206552532</v>
      </c>
      <c r="M1060" s="1003">
        <f ca="1">-Fixed!X391</f>
        <v>-65.498302688001502</v>
      </c>
      <c r="N1060" s="1003">
        <f ca="1">-Fixed!Y391</f>
        <v>-66.491051353510841</v>
      </c>
      <c r="O1060" s="1003">
        <f ca="1">-Fixed!Z391</f>
        <v>-67.489614203080365</v>
      </c>
      <c r="R1060" s="998" t="s">
        <v>161</v>
      </c>
      <c r="S1060" s="998">
        <v>-60</v>
      </c>
    </row>
    <row r="1061" spans="2:19">
      <c r="B1061" s="998" t="s">
        <v>1915</v>
      </c>
      <c r="C1061" s="1003">
        <f>E978</f>
        <v>-9</v>
      </c>
      <c r="D1061" s="1003">
        <f t="shared" ref="D1061:O1061" si="268">F978</f>
        <v>-9</v>
      </c>
      <c r="E1061" s="1003">
        <f t="shared" si="268"/>
        <v>-9</v>
      </c>
      <c r="F1061" s="1003">
        <f t="shared" si="268"/>
        <v>-9</v>
      </c>
      <c r="G1061" s="1003">
        <f t="shared" si="268"/>
        <v>-9</v>
      </c>
      <c r="H1061" s="1003">
        <f t="shared" si="268"/>
        <v>-9</v>
      </c>
      <c r="I1061" s="1003">
        <f t="shared" si="268"/>
        <v>-9</v>
      </c>
      <c r="J1061" s="1003">
        <f t="shared" si="268"/>
        <v>-9</v>
      </c>
      <c r="K1061" s="1003">
        <f t="shared" si="268"/>
        <v>-9</v>
      </c>
      <c r="L1061" s="1003">
        <f t="shared" si="268"/>
        <v>-9</v>
      </c>
      <c r="M1061" s="1003">
        <f t="shared" si="268"/>
        <v>-9</v>
      </c>
      <c r="N1061" s="1003">
        <f t="shared" si="268"/>
        <v>-9</v>
      </c>
      <c r="O1061" s="1003">
        <f t="shared" si="268"/>
        <v>-9</v>
      </c>
      <c r="R1061" s="998" t="s">
        <v>351</v>
      </c>
      <c r="S1061" s="998">
        <f>S1059+S1060</f>
        <v>20</v>
      </c>
    </row>
    <row r="1062" spans="2:19">
      <c r="B1062" s="998" t="s">
        <v>1916</v>
      </c>
      <c r="C1062" s="1199">
        <f>Fixed!N394</f>
        <v>-22.5</v>
      </c>
      <c r="D1062" s="1199">
        <f>Fixed!O394</f>
        <v>-12.5</v>
      </c>
      <c r="E1062" s="1199">
        <f>Fixed!P394</f>
        <v>-10</v>
      </c>
      <c r="F1062" s="1199">
        <f>Fixed!Q394</f>
        <v>-5</v>
      </c>
      <c r="G1062" s="1199">
        <f>Fixed!R394</f>
        <v>-5</v>
      </c>
      <c r="H1062" s="1199">
        <f>Fixed!S394</f>
        <v>-5</v>
      </c>
      <c r="I1062" s="1199">
        <f>Fixed!T394</f>
        <v>-5</v>
      </c>
      <c r="J1062" s="1199">
        <f>Fixed!U394</f>
        <v>-5</v>
      </c>
      <c r="K1062" s="1199">
        <f>Fixed!V394</f>
        <v>-5</v>
      </c>
      <c r="L1062" s="1199">
        <f>Fixed!W394</f>
        <v>-5</v>
      </c>
      <c r="M1062" s="1199">
        <f>Fixed!X394</f>
        <v>-5</v>
      </c>
      <c r="N1062" s="1199">
        <f>Fixed!Y394</f>
        <v>-5</v>
      </c>
      <c r="O1062" s="1199">
        <f>Fixed!Z394</f>
        <v>0</v>
      </c>
    </row>
    <row r="1063" spans="2:19">
      <c r="B1063" s="1148" t="s">
        <v>1870</v>
      </c>
      <c r="C1063" s="1030">
        <f ca="1">Fixed!N395</f>
        <v>-28.322928630298904</v>
      </c>
      <c r="D1063" s="1030">
        <f ca="1">Fixed!O395</f>
        <v>-8.4247256886183663</v>
      </c>
      <c r="E1063" s="1030">
        <f ca="1">Fixed!P395</f>
        <v>-3.5847204960672059</v>
      </c>
      <c r="F1063" s="1030">
        <f ca="1">Fixed!Q395</f>
        <v>4.9777865406053365</v>
      </c>
      <c r="G1063" s="1030">
        <f ca="1">Fixed!R395</f>
        <v>8.6875158689925058</v>
      </c>
      <c r="H1063" s="1030">
        <f ca="1">Fixed!S395</f>
        <v>13.988069195346498</v>
      </c>
      <c r="I1063" s="1030">
        <f ca="1">Fixed!T395</f>
        <v>19.630723012157347</v>
      </c>
      <c r="J1063" s="1030">
        <f ca="1">Fixed!U395</f>
        <v>23.686405699807068</v>
      </c>
      <c r="K1063" s="1030">
        <f ca="1">Fixed!V395</f>
        <v>25.75986906157695</v>
      </c>
      <c r="L1063" s="1030">
        <f ca="1">Fixed!W395</f>
        <v>27.584968941696417</v>
      </c>
      <c r="M1063" s="1030">
        <f ca="1">Fixed!X395</f>
        <v>29.156669501215958</v>
      </c>
      <c r="N1063" s="1030">
        <f ca="1">Fixed!Y395</f>
        <v>30.471386482629555</v>
      </c>
      <c r="O1063" s="1030">
        <f ca="1">Fixed!Z395</f>
        <v>39.712518324507911</v>
      </c>
      <c r="R1063" s="998" t="s">
        <v>317</v>
      </c>
      <c r="S1063" s="998">
        <f>S1064*S1059</f>
        <v>720</v>
      </c>
    </row>
    <row r="1064" spans="2:19" ht="13.5" thickBot="1">
      <c r="B1064" s="1148"/>
      <c r="C1064" s="1030"/>
      <c r="D1064" s="1030"/>
      <c r="E1064" s="1030"/>
      <c r="F1064" s="1030"/>
      <c r="G1064" s="1030"/>
      <c r="H1064" s="1030"/>
      <c r="I1064" s="1030"/>
      <c r="J1064" s="1030"/>
      <c r="K1064" s="1030"/>
      <c r="L1064" s="1030"/>
      <c r="M1064" s="1030"/>
      <c r="N1064" s="1030"/>
      <c r="O1064" s="1030"/>
      <c r="R1064" s="998" t="s">
        <v>1652</v>
      </c>
      <c r="S1064" s="1207">
        <v>9</v>
      </c>
    </row>
    <row r="1065" spans="2:19" ht="13.5" thickBot="1">
      <c r="B1065" s="1148" t="s">
        <v>1833</v>
      </c>
      <c r="C1065" s="1018"/>
      <c r="D1065" s="1224">
        <f>Fixed!O404</f>
        <v>0.05</v>
      </c>
      <c r="E1065" s="1225">
        <f>Fixed!P404</f>
        <v>0.05</v>
      </c>
      <c r="F1065" s="1225">
        <f>Fixed!Q404</f>
        <v>0.05</v>
      </c>
      <c r="G1065" s="1225">
        <f>Fixed!R404</f>
        <v>0.05</v>
      </c>
      <c r="H1065" s="1225">
        <f>Fixed!S404</f>
        <v>0.05</v>
      </c>
      <c r="I1065" s="1225">
        <f>Fixed!T404</f>
        <v>0.05</v>
      </c>
      <c r="J1065" s="1225">
        <f>Fixed!U404</f>
        <v>0.05</v>
      </c>
      <c r="K1065" s="1225">
        <f>Fixed!V404</f>
        <v>0.05</v>
      </c>
      <c r="L1065" s="1225">
        <f>Fixed!W404</f>
        <v>0.05</v>
      </c>
      <c r="M1065" s="1225">
        <f>Fixed!X404</f>
        <v>0.05</v>
      </c>
      <c r="N1065" s="1225">
        <f>Fixed!Y404</f>
        <v>0.05</v>
      </c>
      <c r="O1065" s="1226">
        <f>Fixed!Z404</f>
        <v>0.05</v>
      </c>
      <c r="R1065" s="998" t="s">
        <v>2204</v>
      </c>
      <c r="S1065" s="1207">
        <f>S1059*S1064/S1061</f>
        <v>36</v>
      </c>
    </row>
    <row r="1066" spans="2:19">
      <c r="B1066" s="1148" t="s">
        <v>1830</v>
      </c>
      <c r="C1066" s="1003"/>
      <c r="D1066" s="1003">
        <f ca="1">Fixed!O405</f>
        <v>19.954069327515647</v>
      </c>
      <c r="E1066" s="1003">
        <f ca="1">Fixed!P405</f>
        <v>21.373009078322347</v>
      </c>
      <c r="F1066" s="1003">
        <f ca="1">Fixed!Q405</f>
        <v>22.620895557041823</v>
      </c>
      <c r="G1066" s="1003">
        <f ca="1">Fixed!R405</f>
        <v>23.503051007863647</v>
      </c>
      <c r="H1066" s="1003">
        <f ca="1">Fixed!S405</f>
        <v>24.243827764807204</v>
      </c>
      <c r="I1066" s="1003">
        <f ca="1">Fixed!T405</f>
        <v>24.756615693280239</v>
      </c>
      <c r="J1066" s="1003">
        <f ca="1">Fixed!U405</f>
        <v>25.012910327336385</v>
      </c>
      <c r="K1066" s="1003">
        <f ca="1">Fixed!V405</f>
        <v>25.079235558712853</v>
      </c>
      <c r="L1066" s="1003">
        <f ca="1">Fixed!W405</f>
        <v>25.045203883569645</v>
      </c>
      <c r="M1066" s="1003">
        <f ca="1">Fixed!X405</f>
        <v>24.918215630663308</v>
      </c>
      <c r="N1066" s="1003">
        <f ca="1">Fixed!Y405</f>
        <v>24.706292937135675</v>
      </c>
      <c r="O1066" s="1003">
        <f ca="1">Fixed!Z405</f>
        <v>24.418038259860982</v>
      </c>
    </row>
    <row r="1067" spans="2:19">
      <c r="B1067" s="1148" t="s">
        <v>1829</v>
      </c>
      <c r="C1067" s="1003"/>
      <c r="D1067" s="1003">
        <f>Fixed!O406</f>
        <v>0</v>
      </c>
      <c r="E1067" s="1003">
        <f>Fixed!P406</f>
        <v>0</v>
      </c>
      <c r="F1067" s="1003">
        <f>Fixed!Q406</f>
        <v>0</v>
      </c>
      <c r="G1067" s="1003">
        <f>Fixed!R406</f>
        <v>0</v>
      </c>
      <c r="H1067" s="1003">
        <f>Fixed!S406</f>
        <v>0</v>
      </c>
      <c r="I1067" s="1003">
        <f>Fixed!T406</f>
        <v>0</v>
      </c>
      <c r="J1067" s="1003">
        <f>Fixed!U406</f>
        <v>0</v>
      </c>
      <c r="K1067" s="1003">
        <f>Fixed!V406</f>
        <v>0</v>
      </c>
      <c r="L1067" s="1003">
        <f>Fixed!W406</f>
        <v>0</v>
      </c>
      <c r="M1067" s="1003">
        <f>Fixed!X406</f>
        <v>0</v>
      </c>
      <c r="N1067" s="1003">
        <f>Fixed!Y406</f>
        <v>0</v>
      </c>
      <c r="O1067" s="1003">
        <f>Fixed!Z406</f>
        <v>0</v>
      </c>
      <c r="R1067" s="998" t="s">
        <v>1102</v>
      </c>
      <c r="S1067" s="998">
        <v>50</v>
      </c>
    </row>
    <row r="1068" spans="2:19">
      <c r="B1068" s="1148" t="s">
        <v>1831</v>
      </c>
      <c r="C1068" s="1148">
        <f ca="1">Fixed!N407</f>
        <v>399.08138655031291</v>
      </c>
      <c r="D1068" s="1148">
        <f ca="1">Fixed!O407</f>
        <v>427.46018156644692</v>
      </c>
      <c r="E1068" s="1148">
        <f ca="1">Fixed!P407</f>
        <v>452.41791114083645</v>
      </c>
      <c r="F1068" s="1148">
        <f ca="1">Fixed!Q407</f>
        <v>470.06102015727294</v>
      </c>
      <c r="G1068" s="1148">
        <f ca="1">Fixed!R407</f>
        <v>484.87655529614403</v>
      </c>
      <c r="H1068" s="1148">
        <f ca="1">Fixed!S407</f>
        <v>495.13231386560471</v>
      </c>
      <c r="I1068" s="1148">
        <f ca="1">Fixed!T407</f>
        <v>500.25820654672765</v>
      </c>
      <c r="J1068" s="1148">
        <f ca="1">Fixed!U407</f>
        <v>501.584711174257</v>
      </c>
      <c r="K1068" s="1148">
        <f ca="1">Fixed!V407</f>
        <v>500.90407767139288</v>
      </c>
      <c r="L1068" s="1148">
        <f ca="1">Fixed!W407</f>
        <v>498.36431261326612</v>
      </c>
      <c r="M1068" s="1148">
        <f ca="1">Fixed!X407</f>
        <v>494.12585874271349</v>
      </c>
      <c r="N1068" s="1148">
        <f ca="1">Fixed!Y407</f>
        <v>488.36076519721962</v>
      </c>
      <c r="O1068" s="1148">
        <f ca="1">Fixed!Z407</f>
        <v>473.06628513257266</v>
      </c>
    </row>
    <row r="1069" spans="2:19">
      <c r="B1069" s="1194" t="s">
        <v>1821</v>
      </c>
      <c r="C1069" s="1230">
        <f ca="1">Fixed!N408</f>
        <v>5.941216361595421</v>
      </c>
      <c r="D1069" s="1230">
        <f ca="1">Fixed!O408</f>
        <v>6.0060385299580847</v>
      </c>
      <c r="E1069" s="1230">
        <f ca="1">Fixed!P408</f>
        <v>5.9264800386788865</v>
      </c>
      <c r="F1069" s="1230">
        <f ca="1">Fixed!Q408</f>
        <v>5.7321446184817315</v>
      </c>
      <c r="G1069" s="1230">
        <f ca="1">Fixed!R408</f>
        <v>5.6536832464646647</v>
      </c>
      <c r="H1069" s="1230">
        <f ca="1">Fixed!S408</f>
        <v>5.4499543925445595</v>
      </c>
      <c r="I1069" s="1230">
        <f ca="1">Fixed!T408</f>
        <v>5.2539205412498449</v>
      </c>
      <c r="J1069" s="1230">
        <f ca="1">Fixed!U408</f>
        <v>5.0037706366233836</v>
      </c>
      <c r="K1069" s="1230">
        <f ca="1">Fixed!V408</f>
        <v>4.8494869825085507</v>
      </c>
      <c r="L1069" s="1230">
        <f ca="1">Fixed!W408</f>
        <v>4.6972810372981977</v>
      </c>
      <c r="M1069" s="1230">
        <f ca="1">Fixed!X408</f>
        <v>4.5476598887919906</v>
      </c>
      <c r="N1069" s="1230">
        <f ca="1">Fixed!Y408</f>
        <v>4.4011358683231885</v>
      </c>
      <c r="O1069" s="1230">
        <f ca="1">Fixed!Z408</f>
        <v>4.0710637132262528</v>
      </c>
      <c r="R1069" s="998" t="s">
        <v>2205</v>
      </c>
    </row>
    <row r="1070" spans="2:19">
      <c r="B1070" s="1194" t="s">
        <v>1825</v>
      </c>
      <c r="C1070" s="1201">
        <f ca="1">Fixed!N409</f>
        <v>5.941216361595421</v>
      </c>
      <c r="D1070" s="1201">
        <f ca="1">Fixed!O409</f>
        <v>6.0060385299580847</v>
      </c>
      <c r="E1070" s="1201">
        <f ca="1">Fixed!P409</f>
        <v>5.9264800386788865</v>
      </c>
      <c r="F1070" s="1201">
        <f ca="1">Fixed!Q409</f>
        <v>5.7321446184817315</v>
      </c>
      <c r="G1070" s="1201">
        <f ca="1">Fixed!R409</f>
        <v>5.6536832464646647</v>
      </c>
      <c r="H1070" s="1201">
        <f ca="1">Fixed!S409</f>
        <v>5.4499543925445595</v>
      </c>
      <c r="I1070" s="1201">
        <f ca="1">Fixed!T409</f>
        <v>5.2539205412498449</v>
      </c>
      <c r="J1070" s="1201">
        <f ca="1">Fixed!U409</f>
        <v>5.0037706366233836</v>
      </c>
      <c r="K1070" s="1201">
        <f ca="1">Fixed!V409</f>
        <v>4.8494869825085507</v>
      </c>
      <c r="L1070" s="1201">
        <f ca="1">Fixed!W409</f>
        <v>4.6972810372981977</v>
      </c>
      <c r="M1070" s="1201">
        <f ca="1">Fixed!X409</f>
        <v>4.5476598887919906</v>
      </c>
      <c r="N1070" s="1201">
        <f ca="1">Fixed!Y409</f>
        <v>4.4011358683231885</v>
      </c>
      <c r="O1070" s="1201">
        <f ca="1">Fixed!Z409</f>
        <v>4.0710637132262528</v>
      </c>
      <c r="R1070" s="998" t="s">
        <v>1348</v>
      </c>
      <c r="S1070" s="998">
        <f>S1059+S1067</f>
        <v>130</v>
      </c>
    </row>
    <row r="1071" spans="2:19">
      <c r="R1071" s="998" t="s">
        <v>1880</v>
      </c>
      <c r="S1071" s="998">
        <f>S1061+S1067</f>
        <v>70</v>
      </c>
    </row>
    <row r="1073" spans="2:19">
      <c r="B1073" s="1011"/>
      <c r="C1073" s="1012" t="s">
        <v>1929</v>
      </c>
      <c r="D1073" s="1012" t="s">
        <v>192</v>
      </c>
      <c r="R1073" s="998" t="s">
        <v>1652</v>
      </c>
      <c r="S1073" s="1207">
        <f>S1063/S1070</f>
        <v>5.5384615384615383</v>
      </c>
    </row>
    <row r="1074" spans="2:19">
      <c r="B1074" s="998" t="s">
        <v>1920</v>
      </c>
      <c r="C1074" s="1274">
        <v>0.1</v>
      </c>
      <c r="D1074" s="1003">
        <f ca="1">I940*C1074</f>
        <v>15.485678096784376</v>
      </c>
      <c r="R1074" s="998" t="s">
        <v>2204</v>
      </c>
      <c r="S1074" s="1207">
        <f>S1063/S1071</f>
        <v>10.285714285714286</v>
      </c>
    </row>
    <row r="1075" spans="2:19">
      <c r="B1075" s="998" t="s">
        <v>1917</v>
      </c>
      <c r="C1075" s="1018">
        <v>0.25</v>
      </c>
      <c r="D1075" s="1003">
        <f>-I948*C1075</f>
        <v>9</v>
      </c>
    </row>
    <row r="1076" spans="2:19">
      <c r="B1076" s="998" t="s">
        <v>1918</v>
      </c>
      <c r="C1076" s="1018">
        <v>0.15</v>
      </c>
      <c r="D1076" s="1003">
        <f ca="1">-Q947*C1076</f>
        <v>10.562015792273563</v>
      </c>
    </row>
    <row r="1077" spans="2:19">
      <c r="B1077" s="998" t="s">
        <v>1919</v>
      </c>
      <c r="C1077" s="1018">
        <v>0.1</v>
      </c>
      <c r="D1077" s="1003">
        <f ca="1">Fixed!R388*C1077</f>
        <v>10.114186164737951</v>
      </c>
    </row>
    <row r="1078" spans="2:19">
      <c r="B1078" s="1031" t="s">
        <v>1922</v>
      </c>
      <c r="D1078" s="1030">
        <f ca="1">SUM(D1074:D1077)</f>
        <v>45.16188005379589</v>
      </c>
    </row>
    <row r="1079" spans="2:19">
      <c r="B1079" s="998" t="s">
        <v>1921</v>
      </c>
      <c r="D1079" s="1207">
        <v>10</v>
      </c>
    </row>
    <row r="1080" spans="2:19">
      <c r="B1080" s="1031" t="s">
        <v>1923</v>
      </c>
      <c r="D1080" s="1030">
        <f ca="1">D1078*D1079</f>
        <v>451.61880053795892</v>
      </c>
    </row>
    <row r="1081" spans="2:19">
      <c r="B1081" s="998" t="s">
        <v>1924</v>
      </c>
      <c r="D1081" s="1018">
        <v>0.5</v>
      </c>
    </row>
    <row r="1082" spans="2:19">
      <c r="B1082" s="998" t="s">
        <v>1925</v>
      </c>
      <c r="D1082" s="1003">
        <f ca="1">D1080*D1081</f>
        <v>225.80940026897946</v>
      </c>
    </row>
    <row r="1084" spans="2:19">
      <c r="B1084" s="998" t="s">
        <v>1926</v>
      </c>
      <c r="D1084" s="1148">
        <f ca="1">C1023</f>
        <v>1411.8606187400501</v>
      </c>
    </row>
    <row r="1085" spans="2:19">
      <c r="B1085" s="998" t="s">
        <v>1927</v>
      </c>
      <c r="D1085" s="1003">
        <f ca="1">D1082</f>
        <v>225.80940026897946</v>
      </c>
    </row>
    <row r="1086" spans="2:19">
      <c r="B1086" s="998" t="s">
        <v>1928</v>
      </c>
      <c r="D1086" s="1195">
        <f ca="1">C1025</f>
        <v>-1311.3493986268381</v>
      </c>
    </row>
    <row r="1087" spans="2:19">
      <c r="B1087" s="1112" t="s">
        <v>315</v>
      </c>
      <c r="C1087" s="1112"/>
      <c r="D1087" s="1197">
        <f ca="1">SUM(D1084:D1086)</f>
        <v>326.32062038219146</v>
      </c>
    </row>
    <row r="1089" spans="2:4">
      <c r="B1089" s="1045" t="s">
        <v>1930</v>
      </c>
      <c r="C1089" s="1149">
        <f ca="1">Model!N12</f>
        <v>184.97974954401991</v>
      </c>
    </row>
    <row r="1090" spans="2:4">
      <c r="B1090" s="998" t="s">
        <v>1777</v>
      </c>
      <c r="C1090" s="1120">
        <f>Model!N131</f>
        <v>-45</v>
      </c>
    </row>
    <row r="1091" spans="2:4">
      <c r="B1091" s="1049" t="s">
        <v>1933</v>
      </c>
      <c r="C1091" s="1234">
        <f ca="1">Model!N12+Model!N131</f>
        <v>139.97974954401991</v>
      </c>
    </row>
    <row r="1093" spans="2:4">
      <c r="B1093" s="1049" t="s">
        <v>1931</v>
      </c>
      <c r="C1093" s="1049">
        <v>77</v>
      </c>
    </row>
    <row r="1094" spans="2:4">
      <c r="B1094" s="998" t="s">
        <v>1934</v>
      </c>
      <c r="C1094" s="1003">
        <f ca="1">C1093/100*Model!N138</f>
        <v>887.42033801729963</v>
      </c>
    </row>
    <row r="1095" spans="2:4">
      <c r="B1095" s="1235" t="s">
        <v>1932</v>
      </c>
      <c r="C1095" s="1236">
        <f ca="1">C1094/C1091</f>
        <v>6.3396337035038739</v>
      </c>
    </row>
    <row r="1097" spans="2:4">
      <c r="B1097" s="1011" t="s">
        <v>633</v>
      </c>
      <c r="C1097" s="1012" t="s">
        <v>1946</v>
      </c>
      <c r="D1097" s="1012" t="s">
        <v>1947</v>
      </c>
    </row>
    <row r="1098" spans="2:4">
      <c r="B1098" s="1049" t="s">
        <v>1945</v>
      </c>
      <c r="C1098" s="1234">
        <f>Interims!BH19</f>
        <v>1790</v>
      </c>
      <c r="D1098" s="1234">
        <f>Interims!BJ19</f>
        <v>1106</v>
      </c>
    </row>
    <row r="1099" spans="2:4">
      <c r="B1099" s="1064" t="s">
        <v>1948</v>
      </c>
      <c r="C1099" s="1247">
        <v>1192</v>
      </c>
      <c r="D1099" s="1247">
        <v>373</v>
      </c>
    </row>
    <row r="1100" spans="2:4">
      <c r="B1100" s="1139" t="s">
        <v>1949</v>
      </c>
      <c r="C1100" s="1248">
        <f>C1098-C1099</f>
        <v>598</v>
      </c>
      <c r="D1100" s="1248">
        <f>D1098-D1099</f>
        <v>733</v>
      </c>
    </row>
    <row r="1101" spans="2:4">
      <c r="C1101" s="1148"/>
      <c r="D1101" s="1148"/>
    </row>
    <row r="1102" spans="2:4">
      <c r="B1102" s="1049" t="s">
        <v>1953</v>
      </c>
      <c r="C1102" s="1234"/>
      <c r="D1102" s="1234">
        <f>D1098-C1098</f>
        <v>-684</v>
      </c>
    </row>
    <row r="1103" spans="2:4">
      <c r="B1103" s="1147" t="s">
        <v>1950</v>
      </c>
      <c r="C1103" s="1148"/>
      <c r="D1103" s="1148">
        <f>-416+307</f>
        <v>-109</v>
      </c>
    </row>
    <row r="1104" spans="2:4">
      <c r="B1104" s="1246" t="s">
        <v>1951</v>
      </c>
      <c r="C1104" s="1128"/>
      <c r="D1104" s="1128">
        <f>D1102-D1103</f>
        <v>-575</v>
      </c>
    </row>
    <row r="1105" spans="2:15">
      <c r="C1105" s="1148"/>
      <c r="D1105" s="1148"/>
    </row>
    <row r="1106" spans="2:15">
      <c r="B1106" s="1049" t="s">
        <v>1956</v>
      </c>
      <c r="C1106" s="1234"/>
      <c r="D1106" s="1234">
        <f>C1099</f>
        <v>1192</v>
      </c>
    </row>
    <row r="1107" spans="2:15">
      <c r="B1107" s="998" t="s">
        <v>1952</v>
      </c>
      <c r="C1107" s="1148"/>
      <c r="D1107" s="1148">
        <v>200</v>
      </c>
    </row>
    <row r="1108" spans="2:15">
      <c r="B1108" s="1049" t="s">
        <v>1955</v>
      </c>
      <c r="C1108" s="1234"/>
      <c r="D1108" s="1234">
        <f>-D1103</f>
        <v>109</v>
      </c>
    </row>
    <row r="1109" spans="2:15">
      <c r="B1109" s="998" t="s">
        <v>1954</v>
      </c>
      <c r="C1109" s="1148"/>
      <c r="D1109" s="1148">
        <f>C1099-D1107+D1103</f>
        <v>883</v>
      </c>
    </row>
    <row r="1110" spans="2:15">
      <c r="B1110" s="1051" t="s">
        <v>1957</v>
      </c>
      <c r="C1110" s="1051"/>
      <c r="D1110" s="1127">
        <f>-D1104/D1109</f>
        <v>0.65118912797281991</v>
      </c>
    </row>
    <row r="1112" spans="2:15">
      <c r="B1112" s="1049" t="s">
        <v>1958</v>
      </c>
      <c r="C1112" s="1049"/>
      <c r="D1112" s="1124">
        <v>0.45</v>
      </c>
    </row>
    <row r="1113" spans="2:15">
      <c r="B1113" s="1120" t="s">
        <v>1959</v>
      </c>
      <c r="C1113" s="1120"/>
      <c r="D1113" s="1195">
        <f>(D1110-D1112)*D1109</f>
        <v>177.64999999999998</v>
      </c>
    </row>
    <row r="1116" spans="2:15">
      <c r="B1116" s="1011" t="s">
        <v>192</v>
      </c>
      <c r="C1116" s="1011">
        <v>2024</v>
      </c>
      <c r="D1116" s="1011">
        <f>C1116+1</f>
        <v>2025</v>
      </c>
      <c r="E1116" s="1011">
        <f t="shared" ref="E1116:O1116" si="269">D1116+1</f>
        <v>2026</v>
      </c>
      <c r="F1116" s="1011">
        <f t="shared" si="269"/>
        <v>2027</v>
      </c>
      <c r="G1116" s="1011">
        <f t="shared" si="269"/>
        <v>2028</v>
      </c>
      <c r="H1116" s="1011">
        <f t="shared" si="269"/>
        <v>2029</v>
      </c>
      <c r="I1116" s="1011">
        <f t="shared" si="269"/>
        <v>2030</v>
      </c>
      <c r="J1116" s="1011">
        <f t="shared" si="269"/>
        <v>2031</v>
      </c>
      <c r="K1116" s="1011">
        <f t="shared" si="269"/>
        <v>2032</v>
      </c>
      <c r="L1116" s="1011">
        <f t="shared" si="269"/>
        <v>2033</v>
      </c>
      <c r="M1116" s="1011">
        <f t="shared" si="269"/>
        <v>2034</v>
      </c>
      <c r="N1116" s="1011">
        <f t="shared" si="269"/>
        <v>2035</v>
      </c>
      <c r="O1116" s="1011">
        <f t="shared" si="269"/>
        <v>2036</v>
      </c>
    </row>
    <row r="1117" spans="2:15">
      <c r="B1117" s="1049" t="s">
        <v>2082</v>
      </c>
      <c r="C1117" s="1065">
        <v>164.66217828659313</v>
      </c>
      <c r="D1117" s="1065">
        <v>153.25320459554109</v>
      </c>
      <c r="E1117" s="1065">
        <v>154.34124579193954</v>
      </c>
      <c r="F1117" s="1065">
        <v>152.39946635414898</v>
      </c>
      <c r="G1117" s="1065">
        <v>150.92025219915357</v>
      </c>
      <c r="H1117" s="1065">
        <v>149.89181310152213</v>
      </c>
      <c r="I1117" s="1065">
        <v>149.05254055439565</v>
      </c>
      <c r="J1117" s="1065">
        <v>148.13905656055059</v>
      </c>
      <c r="K1117" s="1065">
        <v>147.14570976194264</v>
      </c>
      <c r="L1117" s="1065">
        <v>146.06673261851867</v>
      </c>
      <c r="M1117" s="1065">
        <v>144.896239447271</v>
      </c>
      <c r="N1117" s="1065">
        <v>143.62822443166684</v>
      </c>
      <c r="O1117" s="1065">
        <v>142.25655960103606</v>
      </c>
    </row>
    <row r="1118" spans="2:15">
      <c r="B1118" s="998" t="s">
        <v>2083</v>
      </c>
      <c r="C1118" s="1003">
        <f ca="1">Fixed!N179</f>
        <v>147.8752560329269</v>
      </c>
      <c r="D1118" s="1003">
        <f ca="1">Fixed!O179</f>
        <v>123.26951824633576</v>
      </c>
      <c r="E1118" s="1003">
        <f ca="1">Fixed!P179</f>
        <v>123.63941285987076</v>
      </c>
      <c r="F1118" s="1003">
        <f ca="1">Fixed!Q179</f>
        <v>120.54650944736628</v>
      </c>
      <c r="G1118" s="1003">
        <f ca="1">Fixed!R179</f>
        <v>117.8941871808581</v>
      </c>
      <c r="H1118" s="1003">
        <f ca="1">Fixed!S179</f>
        <v>115.65756367681243</v>
      </c>
      <c r="I1118" s="1003">
        <f ca="1">Fixed!T179</f>
        <v>113.62424001572842</v>
      </c>
      <c r="J1118" s="1003">
        <f ca="1">Fixed!U179</f>
        <v>111.59078845112856</v>
      </c>
      <c r="K1118" s="1003">
        <f ca="1">Fixed!V179</f>
        <v>109.55358776392953</v>
      </c>
      <c r="L1118" s="1003">
        <f ca="1">Fixed!W179</f>
        <v>107.50894244546552</v>
      </c>
      <c r="M1118" s="1003">
        <f ca="1">Fixed!X179</f>
        <v>105.45308144484754</v>
      </c>
      <c r="N1118" s="1003">
        <f ca="1">Fixed!Y179</f>
        <v>103.38215689740892</v>
      </c>
      <c r="O1118" s="1003">
        <f ca="1">Fixed!Z179</f>
        <v>101.29224283397139</v>
      </c>
    </row>
    <row r="1119" spans="2:15">
      <c r="B1119" s="1051" t="s">
        <v>1196</v>
      </c>
      <c r="C1119" s="1127">
        <f ca="1">C1118/C1117-1</f>
        <v>-0.10194765081055068</v>
      </c>
      <c r="D1119" s="1127">
        <f t="shared" ref="D1119:O1119" ca="1" si="270">D1118/D1117-1</f>
        <v>-0.19564802203214549</v>
      </c>
      <c r="E1119" s="1127">
        <f t="shared" ca="1" si="270"/>
        <v>-0.1989217643963852</v>
      </c>
      <c r="F1119" s="1127">
        <f t="shared" ca="1" si="270"/>
        <v>-0.20900963545871054</v>
      </c>
      <c r="G1119" s="1127">
        <f t="shared" ca="1" si="270"/>
        <v>-0.21883123396000193</v>
      </c>
      <c r="H1119" s="1127">
        <f t="shared" ca="1" si="270"/>
        <v>-0.2283930570745899</v>
      </c>
      <c r="I1119" s="1127">
        <f t="shared" ca="1" si="270"/>
        <v>-0.23769001458742611</v>
      </c>
      <c r="J1119" s="1127">
        <f t="shared" ca="1" si="270"/>
        <v>-0.24671595025639459</v>
      </c>
      <c r="K1119" s="1127">
        <f t="shared" ca="1" si="270"/>
        <v>-0.25547548792846853</v>
      </c>
      <c r="L1119" s="1127">
        <f t="shared" ca="1" si="270"/>
        <v>-0.26397379801569343</v>
      </c>
      <c r="M1119" s="1127">
        <f t="shared" ca="1" si="270"/>
        <v>-0.27221657479093631</v>
      </c>
      <c r="N1119" s="1127">
        <f t="shared" ca="1" si="270"/>
        <v>-0.28021001925986733</v>
      </c>
      <c r="O1119" s="1127">
        <f t="shared" ca="1" si="270"/>
        <v>-0.28796082853367644</v>
      </c>
    </row>
    <row r="1121" spans="2:15">
      <c r="B1121" s="1049" t="s">
        <v>2093</v>
      </c>
      <c r="C1121" s="1065">
        <v>189.50323562511375</v>
      </c>
      <c r="D1121" s="1065">
        <v>213.49620452729408</v>
      </c>
      <c r="E1121" s="1065">
        <v>239.88690645048919</v>
      </c>
      <c r="F1121" s="1065">
        <v>267.99105215505483</v>
      </c>
      <c r="G1121" s="1065">
        <v>297.14274835605283</v>
      </c>
      <c r="H1121" s="1065">
        <v>329.27933577138879</v>
      </c>
      <c r="I1121" s="1065">
        <v>361.41610174636753</v>
      </c>
      <c r="J1121" s="1065">
        <v>391.86007849766247</v>
      </c>
      <c r="K1121" s="1065">
        <v>422.55699630409487</v>
      </c>
      <c r="L1121" s="1065">
        <v>453.48216704922021</v>
      </c>
      <c r="M1121" s="1065">
        <v>484.60910987757029</v>
      </c>
      <c r="N1121" s="1065">
        <v>515.90947002654116</v>
      </c>
      <c r="O1121" s="1065">
        <v>547.35293464533709</v>
      </c>
    </row>
    <row r="1122" spans="2:15">
      <c r="B1122" s="998" t="s">
        <v>2086</v>
      </c>
      <c r="C1122" s="1003">
        <f ca="1">Fixed!N204</f>
        <v>191.83704336821495</v>
      </c>
      <c r="D1122" s="1003">
        <f ca="1">Fixed!O204</f>
        <v>215.74845558453785</v>
      </c>
      <c r="E1122" s="1003">
        <f ca="1">Fixed!P204</f>
        <v>242.14825255162285</v>
      </c>
      <c r="F1122" s="1003">
        <f ca="1">Fixed!Q204</f>
        <v>270.34050230924805</v>
      </c>
      <c r="G1122" s="1003">
        <f ca="1">Fixed!R204</f>
        <v>299.62035816062883</v>
      </c>
      <c r="H1122" s="1003">
        <f ca="1">Fixed!S204</f>
        <v>333.337218874651</v>
      </c>
      <c r="I1122" s="1003">
        <f ca="1">Fixed!T204</f>
        <v>367.2197354247013</v>
      </c>
      <c r="J1122" s="1003">
        <f ca="1">Fixed!U204</f>
        <v>402.67973544663181</v>
      </c>
      <c r="K1122" s="1003">
        <f ca="1">Fixed!V204</f>
        <v>438.93242925402535</v>
      </c>
      <c r="L1122" s="1003">
        <f ca="1">Fixed!W204</f>
        <v>475.98936447664562</v>
      </c>
      <c r="M1122" s="1003">
        <f ca="1">Fixed!X204</f>
        <v>513.86238167045178</v>
      </c>
      <c r="N1122" s="1003">
        <f ca="1">Fixed!Y204</f>
        <v>552.56364409036996</v>
      </c>
      <c r="O1122" s="1003">
        <f ca="1">Fixed!Z204</f>
        <v>592.10567006571387</v>
      </c>
    </row>
    <row r="1123" spans="2:15">
      <c r="B1123" s="1051" t="s">
        <v>1196</v>
      </c>
      <c r="C1123" s="1127">
        <f ca="1">C1122/C1121-1</f>
        <v>1.2315397863274846E-2</v>
      </c>
      <c r="D1123" s="1127">
        <f t="shared" ref="D1123" ca="1" si="271">D1122/D1121-1</f>
        <v>1.0549372820142233E-2</v>
      </c>
      <c r="E1123" s="1127">
        <f t="shared" ref="E1123" ca="1" si="272">E1122/E1121-1</f>
        <v>9.4267175086539812E-3</v>
      </c>
      <c r="F1123" s="1127">
        <f t="shared" ref="F1123" ca="1" si="273">F1122/F1121-1</f>
        <v>8.7668977575932061E-3</v>
      </c>
      <c r="G1123" s="1127">
        <f t="shared" ref="G1123" ca="1" si="274">G1122/G1121-1</f>
        <v>8.3381129719080072E-3</v>
      </c>
      <c r="H1123" s="1127">
        <f t="shared" ref="H1123" ca="1" si="275">H1122/H1121-1</f>
        <v>1.2323527966782377E-2</v>
      </c>
      <c r="I1123" s="1127">
        <f t="shared" ref="I1123" ca="1" si="276">I1122/I1121-1</f>
        <v>1.6058038505452732E-2</v>
      </c>
      <c r="J1123" s="1127">
        <f t="shared" ref="J1123" ca="1" si="277">J1122/J1121-1</f>
        <v>2.7611021236075839E-2</v>
      </c>
      <c r="K1123" s="1127">
        <f t="shared" ref="K1123" ca="1" si="278">K1122/K1121-1</f>
        <v>3.8753193280808507E-2</v>
      </c>
      <c r="L1123" s="1127">
        <f t="shared" ref="L1123" ca="1" si="279">L1122/L1121-1</f>
        <v>4.9631934975256753E-2</v>
      </c>
      <c r="M1123" s="1127">
        <f t="shared" ref="M1123" ca="1" si="280">M1122/M1121-1</f>
        <v>6.0364675769863041E-2</v>
      </c>
      <c r="N1123" s="1127">
        <f t="shared" ref="N1123" ca="1" si="281">N1122/N1121-1</f>
        <v>7.1047686063880677E-2</v>
      </c>
      <c r="O1123" s="1127">
        <f t="shared" ref="O1123" ca="1" si="282">O1122/O1121-1</f>
        <v>8.176211834759739E-2</v>
      </c>
    </row>
    <row r="1125" spans="2:15">
      <c r="B1125" s="1049" t="s">
        <v>2084</v>
      </c>
      <c r="C1125" s="1065">
        <v>445.40382377079425</v>
      </c>
      <c r="D1125" s="1065">
        <v>458.92667964584626</v>
      </c>
      <c r="E1125" s="1065">
        <v>488.24896817590002</v>
      </c>
      <c r="F1125" s="1065">
        <v>516.29175076134447</v>
      </c>
      <c r="G1125" s="1065">
        <v>545.88225745238992</v>
      </c>
      <c r="H1125" s="1065">
        <v>578.94679090803811</v>
      </c>
      <c r="I1125" s="1065">
        <v>611.72150815863404</v>
      </c>
      <c r="J1125" s="1065">
        <v>642.75358632510279</v>
      </c>
      <c r="K1125" s="1065">
        <v>673.98353973104508</v>
      </c>
      <c r="L1125" s="1065">
        <v>705.38135631255466</v>
      </c>
      <c r="M1125" s="1065">
        <v>736.91512147212643</v>
      </c>
      <c r="N1125" s="1065">
        <v>768.55093508170751</v>
      </c>
      <c r="O1125" s="1065">
        <v>800.25282544594404</v>
      </c>
    </row>
    <row r="1126" spans="2:15">
      <c r="B1126" s="998" t="s">
        <v>2085</v>
      </c>
      <c r="C1126" s="1003">
        <f ca="1">Model!N9</f>
        <v>433.86462054566306</v>
      </c>
      <c r="D1126" s="1003">
        <f ca="1">Model!O9</f>
        <v>434.14953674314324</v>
      </c>
      <c r="E1126" s="1003">
        <f ca="1">Model!P9</f>
        <v>462.82185958200864</v>
      </c>
      <c r="F1126" s="1003">
        <f ca="1">Model!Q9</f>
        <v>489.86188981053959</v>
      </c>
      <c r="G1126" s="1003">
        <f ca="1">Model!R9</f>
        <v>518.46892095649082</v>
      </c>
      <c r="H1126" s="1003">
        <f ca="1">Model!S9</f>
        <v>551.9682456787674</v>
      </c>
      <c r="I1126" s="1003">
        <f ca="1">Model!T9</f>
        <v>585.33632681154825</v>
      </c>
      <c r="J1126" s="1003">
        <f ca="1">Model!U9</f>
        <v>620.30673546738274</v>
      </c>
      <c r="K1126" s="1003">
        <f ca="1">Model!V9</f>
        <v>656.091506121762</v>
      </c>
      <c r="L1126" s="1003">
        <f ca="1">Model!W9</f>
        <v>692.69894464381434</v>
      </c>
      <c r="M1126" s="1003">
        <f ca="1">Model!X9</f>
        <v>730.13758281561491</v>
      </c>
      <c r="N1126" s="1003">
        <f ca="1">Model!Y9</f>
        <v>768.41620699852081</v>
      </c>
      <c r="O1126" s="1003">
        <f ca="1">Model!Z9</f>
        <v>807.5438893862264</v>
      </c>
    </row>
    <row r="1127" spans="2:15">
      <c r="B1127" s="1051" t="s">
        <v>1196</v>
      </c>
      <c r="C1127" s="1127">
        <f ca="1">C1126/C1125-1</f>
        <v>-2.5907283703674011E-2</v>
      </c>
      <c r="D1127" s="1127">
        <f t="shared" ref="D1127" ca="1" si="283">D1126/D1125-1</f>
        <v>-5.3989327710961432E-2</v>
      </c>
      <c r="E1127" s="1127">
        <f t="shared" ref="E1127" ca="1" si="284">E1126/E1125-1</f>
        <v>-5.207816145293076E-2</v>
      </c>
      <c r="F1127" s="1127">
        <f t="shared" ref="F1127" ca="1" si="285">F1126/F1125-1</f>
        <v>-5.1191716528165232E-2</v>
      </c>
      <c r="G1127" s="1127">
        <f t="shared" ref="G1127" ca="1" si="286">G1126/G1125-1</f>
        <v>-5.0218405382574605E-2</v>
      </c>
      <c r="H1127" s="1127">
        <f t="shared" ref="H1127" ca="1" si="287">H1126/H1125-1</f>
        <v>-4.6599351879914042E-2</v>
      </c>
      <c r="I1127" s="1127">
        <f t="shared" ref="I1127" ca="1" si="288">I1126/I1125-1</f>
        <v>-4.3132669025336079E-2</v>
      </c>
      <c r="J1127" s="1127">
        <f t="shared" ref="J1127" ca="1" si="289">J1126/J1125-1</f>
        <v>-3.4922949222357946E-2</v>
      </c>
      <c r="K1127" s="1127">
        <f t="shared" ref="K1127" ca="1" si="290">K1126/K1125-1</f>
        <v>-2.6546692247740866E-2</v>
      </c>
      <c r="L1127" s="1127">
        <f t="shared" ref="L1127" ca="1" si="291">L1126/L1125-1</f>
        <v>-1.79795107359213E-2</v>
      </c>
      <c r="M1127" s="1127">
        <f t="shared" ref="M1127" ca="1" si="292">M1126/M1125-1</f>
        <v>-9.1971767969316609E-3</v>
      </c>
      <c r="N1127" s="1127">
        <f t="shared" ref="N1127" ca="1" si="293">N1126/N1125-1</f>
        <v>-1.7530143681676602E-4</v>
      </c>
      <c r="O1127" s="1127">
        <f t="shared" ref="O1127" ca="1" si="294">O1126/O1125-1</f>
        <v>9.1109505751751918E-3</v>
      </c>
    </row>
    <row r="1129" spans="2:15">
      <c r="B1129" s="1049" t="s">
        <v>2094</v>
      </c>
      <c r="C1129" s="1065">
        <f>C1125-C1133</f>
        <v>249.64324910125819</v>
      </c>
      <c r="D1129" s="1065">
        <f t="shared" ref="D1129:G1129" si="295">D1125-D1133</f>
        <v>254.27499655366069</v>
      </c>
      <c r="E1129" s="1065">
        <f t="shared" si="295"/>
        <v>266.17741178221047</v>
      </c>
      <c r="F1129" s="1065">
        <f t="shared" si="295"/>
        <v>275.12978835886827</v>
      </c>
      <c r="G1129" s="1065">
        <f t="shared" si="295"/>
        <v>284.13814355269881</v>
      </c>
      <c r="H1129" s="1065">
        <f t="shared" ref="H1129:O1129" si="296">H1125-H1133</f>
        <v>293.75884814580206</v>
      </c>
      <c r="I1129" s="1065">
        <f t="shared" si="296"/>
        <v>302.3037800238132</v>
      </c>
      <c r="J1129" s="1065">
        <f t="shared" si="296"/>
        <v>309.80725765327321</v>
      </c>
      <c r="K1129" s="1065">
        <f t="shared" si="296"/>
        <v>316.83385257510588</v>
      </c>
      <c r="L1129" s="1065">
        <f t="shared" si="296"/>
        <v>323.36538882052145</v>
      </c>
      <c r="M1129" s="1065">
        <f t="shared" si="296"/>
        <v>329.38372075218177</v>
      </c>
      <c r="N1129" s="1065">
        <f t="shared" si="296"/>
        <v>334.87077744204362</v>
      </c>
      <c r="O1129" s="1065">
        <f t="shared" si="296"/>
        <v>339.8086100803331</v>
      </c>
    </row>
    <row r="1130" spans="2:15">
      <c r="B1130" s="998" t="s">
        <v>2095</v>
      </c>
      <c r="C1130" s="1003">
        <f ca="1">C1126-C1134</f>
        <v>248.88487100164315</v>
      </c>
      <c r="D1130" s="1003">
        <f t="shared" ref="D1130:G1130" ca="1" si="297">D1126-D1134</f>
        <v>241.88377451421277</v>
      </c>
      <c r="E1130" s="1003">
        <f t="shared" ca="1" si="297"/>
        <v>253.13787789894576</v>
      </c>
      <c r="F1130" s="1003">
        <f t="shared" ca="1" si="297"/>
        <v>261.23477888809703</v>
      </c>
      <c r="G1130" s="1003">
        <f t="shared" ca="1" si="297"/>
        <v>269.36388661879369</v>
      </c>
      <c r="H1130" s="1003">
        <f t="shared" ref="H1130:O1130" ca="1" si="298">H1126-H1134</f>
        <v>278.4916316782269</v>
      </c>
      <c r="I1130" s="1003">
        <f t="shared" ca="1" si="298"/>
        <v>286.54137018981652</v>
      </c>
      <c r="J1130" s="1003">
        <f t="shared" ca="1" si="298"/>
        <v>294.44929256533652</v>
      </c>
      <c r="K1130" s="1003">
        <f t="shared" ca="1" si="298"/>
        <v>303.27880849725841</v>
      </c>
      <c r="L1130" s="1003">
        <f t="shared" ca="1" si="298"/>
        <v>311.91722971623687</v>
      </c>
      <c r="M1130" s="1003">
        <f t="shared" ca="1" si="298"/>
        <v>320.35317790723417</v>
      </c>
      <c r="N1130" s="1003">
        <f t="shared" ca="1" si="298"/>
        <v>328.57492122388362</v>
      </c>
      <c r="O1130" s="1003">
        <f t="shared" ca="1" si="298"/>
        <v>336.57036968662345</v>
      </c>
    </row>
    <row r="1131" spans="2:15">
      <c r="B1131" s="1051" t="s">
        <v>1196</v>
      </c>
      <c r="C1131" s="1127">
        <f ca="1">C1130/C1129-1</f>
        <v>-3.0378474176461223E-3</v>
      </c>
      <c r="D1131" s="1127">
        <f t="shared" ref="D1131" ca="1" si="299">D1130/D1129-1</f>
        <v>-4.8731578831554323E-2</v>
      </c>
      <c r="E1131" s="1127">
        <f t="shared" ref="E1131" ca="1" si="300">E1130/E1129-1</f>
        <v>-4.8988130870901259E-2</v>
      </c>
      <c r="F1131" s="1127">
        <f t="shared" ref="F1131" ca="1" si="301">F1130/F1129-1</f>
        <v>-5.0503471665696686E-2</v>
      </c>
      <c r="G1131" s="1127">
        <f t="shared" ref="G1131" ca="1" si="302">G1130/G1129-1</f>
        <v>-5.1996739153625682E-2</v>
      </c>
      <c r="H1131" s="1127">
        <f t="shared" ref="H1131" ca="1" si="303">H1130/H1129-1</f>
        <v>-5.1971937403558877E-2</v>
      </c>
      <c r="I1131" s="1127">
        <f t="shared" ref="I1131" ca="1" si="304">I1130/I1129-1</f>
        <v>-5.2140961759575277E-2</v>
      </c>
      <c r="J1131" s="1127">
        <f t="shared" ref="J1131" ca="1" si="305">J1130/J1129-1</f>
        <v>-4.9572644631601381E-2</v>
      </c>
      <c r="K1131" s="1127">
        <f t="shared" ref="K1131" ca="1" si="306">K1130/K1129-1</f>
        <v>-4.2782814928635893E-2</v>
      </c>
      <c r="L1131" s="1127">
        <f t="shared" ref="L1131" ca="1" si="307">L1130/L1129-1</f>
        <v>-3.540316774792085E-2</v>
      </c>
      <c r="M1131" s="1127">
        <f t="shared" ref="M1131" ca="1" si="308">M1130/M1129-1</f>
        <v>-2.7416481981336061E-2</v>
      </c>
      <c r="N1131" s="1127">
        <f t="shared" ref="N1131" ca="1" si="309">N1130/N1129-1</f>
        <v>-1.8800852873014917E-2</v>
      </c>
      <c r="O1131" s="1127">
        <f t="shared" ref="O1131" ca="1" si="310">O1130/O1129-1</f>
        <v>-9.5296007742243782E-3</v>
      </c>
    </row>
    <row r="1133" spans="2:15">
      <c r="B1133" s="1049" t="s">
        <v>2087</v>
      </c>
      <c r="C1133" s="1065">
        <v>195.76057466953606</v>
      </c>
      <c r="D1133" s="1065">
        <v>204.65168309218558</v>
      </c>
      <c r="E1133" s="1065">
        <v>222.07155639368952</v>
      </c>
      <c r="F1133" s="1065">
        <v>241.16196240247621</v>
      </c>
      <c r="G1133" s="1065">
        <v>261.74411389969111</v>
      </c>
      <c r="H1133" s="1065">
        <v>285.18794276223605</v>
      </c>
      <c r="I1133" s="1065">
        <v>309.41772813482083</v>
      </c>
      <c r="J1133" s="1065">
        <v>332.94632867182958</v>
      </c>
      <c r="K1133" s="1065">
        <v>357.1496871559392</v>
      </c>
      <c r="L1133" s="1065">
        <v>382.01596749203321</v>
      </c>
      <c r="M1133" s="1065">
        <v>407.53140071994466</v>
      </c>
      <c r="N1133" s="1065">
        <v>433.68015763966389</v>
      </c>
      <c r="O1133" s="1065">
        <v>460.44421536561094</v>
      </c>
    </row>
    <row r="1134" spans="2:15">
      <c r="B1134" s="998" t="s">
        <v>2088</v>
      </c>
      <c r="C1134" s="1003">
        <f ca="1">Model!N12</f>
        <v>184.97974954401991</v>
      </c>
      <c r="D1134" s="1003">
        <f ca="1">Model!O12</f>
        <v>192.26576222893047</v>
      </c>
      <c r="E1134" s="1003">
        <f ca="1">Model!P12</f>
        <v>209.68398168306288</v>
      </c>
      <c r="F1134" s="1003">
        <f ca="1">Model!Q12</f>
        <v>228.62711092244257</v>
      </c>
      <c r="G1134" s="1003">
        <f ca="1">Model!R12</f>
        <v>249.10503433769716</v>
      </c>
      <c r="H1134" s="1003">
        <f ca="1">Model!S12</f>
        <v>273.47661400054051</v>
      </c>
      <c r="I1134" s="1003">
        <f ca="1">Model!T12</f>
        <v>298.79495662173173</v>
      </c>
      <c r="J1134" s="1003">
        <f ca="1">Model!U12</f>
        <v>325.85744290204622</v>
      </c>
      <c r="K1134" s="1003">
        <f ca="1">Model!V12</f>
        <v>352.81269762450358</v>
      </c>
      <c r="L1134" s="1003">
        <f ca="1">Model!W12</f>
        <v>380.78171492757747</v>
      </c>
      <c r="M1134" s="1003">
        <f ca="1">Model!X12</f>
        <v>409.78440490838074</v>
      </c>
      <c r="N1134" s="1003">
        <f ca="1">Model!Y12</f>
        <v>439.84128577463719</v>
      </c>
      <c r="O1134" s="1003">
        <f ca="1">Model!Z12</f>
        <v>470.97351969960295</v>
      </c>
    </row>
    <row r="1135" spans="2:15">
      <c r="B1135" s="1051" t="s">
        <v>1196</v>
      </c>
      <c r="C1135" s="1127">
        <f ca="1">C1134/C1133-1</f>
        <v>-5.5071482823930595E-2</v>
      </c>
      <c r="D1135" s="1127">
        <f t="shared" ref="D1135" ca="1" si="311">D1134/D1133-1</f>
        <v>-6.0521959439130857E-2</v>
      </c>
      <c r="E1135" s="1127">
        <f t="shared" ref="E1135" ca="1" si="312">E1134/E1133-1</f>
        <v>-5.5781906119781843E-2</v>
      </c>
      <c r="F1135" s="1127">
        <f t="shared" ref="F1135" ca="1" si="313">F1134/F1133-1</f>
        <v>-5.1976901146268517E-2</v>
      </c>
      <c r="G1135" s="1127">
        <f t="shared" ref="G1135" ca="1" si="314">G1134/G1133-1</f>
        <v>-4.8287922787206061E-2</v>
      </c>
      <c r="H1135" s="1127">
        <f t="shared" ref="H1135" ca="1" si="315">H1134/H1133-1</f>
        <v>-4.1065301177404256E-2</v>
      </c>
      <c r="I1135" s="1127">
        <f t="shared" ref="I1135" ca="1" si="316">I1134/I1133-1</f>
        <v>-3.4331489592155817E-2</v>
      </c>
      <c r="J1135" s="1127">
        <f t="shared" ref="J1135" ca="1" si="317">J1134/J1133-1</f>
        <v>-2.1291376895675507E-2</v>
      </c>
      <c r="K1135" s="1127">
        <f t="shared" ref="K1135" ca="1" si="318">K1134/K1133-1</f>
        <v>-1.2143338458370234E-2</v>
      </c>
      <c r="L1135" s="1127">
        <f t="shared" ref="L1135" ca="1" si="319">L1134/L1133-1</f>
        <v>-3.2308926052455611E-3</v>
      </c>
      <c r="M1135" s="1127">
        <f t="shared" ref="M1135" ca="1" si="320">M1134/M1133-1</f>
        <v>5.5284186309469963E-3</v>
      </c>
      <c r="N1135" s="1127">
        <f t="shared" ref="N1135" ca="1" si="321">N1134/N1133-1</f>
        <v>1.4206617541613342E-2</v>
      </c>
      <c r="O1135" s="1127">
        <f t="shared" ref="O1135" ca="1" si="322">O1134/O1133-1</f>
        <v>2.2867709013634441E-2</v>
      </c>
    </row>
    <row r="1137" spans="2:18">
      <c r="B1137" s="1049" t="s">
        <v>2089</v>
      </c>
      <c r="C1137" s="1065">
        <v>229.58223621449764</v>
      </c>
      <c r="D1137" s="1065">
        <v>223.20291837938305</v>
      </c>
      <c r="E1137" s="1065">
        <v>226.37263364320489</v>
      </c>
      <c r="F1137" s="1065">
        <v>228.73626313784331</v>
      </c>
      <c r="G1137" s="1065">
        <v>228.81024800879027</v>
      </c>
      <c r="H1137" s="1065">
        <v>234.90688750468036</v>
      </c>
      <c r="I1137" s="1065">
        <v>233.49345746017923</v>
      </c>
      <c r="J1137" s="1065">
        <v>234.57641474920695</v>
      </c>
      <c r="K1137" s="1065">
        <v>235.6658873717634</v>
      </c>
      <c r="L1137" s="1065">
        <v>236.76187532784866</v>
      </c>
      <c r="M1137" s="1065">
        <v>237.86437861746282</v>
      </c>
      <c r="N1137" s="1065">
        <v>238.97339724060544</v>
      </c>
      <c r="O1137" s="1065">
        <v>138.76321691156312</v>
      </c>
    </row>
    <row r="1138" spans="2:18">
      <c r="B1138" s="998" t="s">
        <v>2090</v>
      </c>
      <c r="C1138" s="1003">
        <f ca="1">-Model!N126</f>
        <v>193.26969502103239</v>
      </c>
      <c r="D1138" s="1003">
        <f ca="1">-Model!O126</f>
        <v>187.46621537875632</v>
      </c>
      <c r="E1138" s="1003">
        <f ca="1">-Model!P126</f>
        <v>190.60693133023656</v>
      </c>
      <c r="F1138" s="1003">
        <f ca="1">-Model!Q126</f>
        <v>202.94415147376913</v>
      </c>
      <c r="G1138" s="1003">
        <f ca="1">-Model!R126</f>
        <v>202.99840863051455</v>
      </c>
      <c r="H1138" s="1003">
        <f ca="1">-Model!S126</f>
        <v>231.88698917188097</v>
      </c>
      <c r="I1138" s="1003">
        <f ca="1">-Model!T126</f>
        <v>230.4678702221118</v>
      </c>
      <c r="J1138" s="1003">
        <f ca="1">-Model!U126</f>
        <v>267.77608347685418</v>
      </c>
      <c r="K1138" s="1003">
        <f ca="1">-Model!V126</f>
        <v>268.85975693610794</v>
      </c>
      <c r="L1138" s="1003">
        <f ca="1">-Model!W126</f>
        <v>269.94989059987319</v>
      </c>
      <c r="M1138" s="1003">
        <f ca="1">-Model!X126</f>
        <v>271.0464844681498</v>
      </c>
      <c r="N1138" s="1003">
        <f ca="1">-Model!Y126</f>
        <v>272.14953854093795</v>
      </c>
      <c r="O1138" s="1003">
        <f ca="1">-Model!Z126</f>
        <v>137.90305281823746</v>
      </c>
    </row>
    <row r="1139" spans="2:18">
      <c r="B1139" s="1051" t="s">
        <v>1196</v>
      </c>
      <c r="C1139" s="1127">
        <f ca="1">C1138/C1137-1</f>
        <v>-0.15816790441721551</v>
      </c>
      <c r="D1139" s="1127">
        <f t="shared" ref="D1139" ca="1" si="323">D1138/D1137-1</f>
        <v>-0.16010858307813092</v>
      </c>
      <c r="E1139" s="1127">
        <f t="shared" ref="E1139" ca="1" si="324">E1138/E1137-1</f>
        <v>-0.1579948147325092</v>
      </c>
      <c r="F1139" s="1127">
        <f t="shared" ref="F1139" ca="1" si="325">F1138/F1137-1</f>
        <v>-0.1127591721148784</v>
      </c>
      <c r="G1139" s="1127">
        <f t="shared" ref="G1139" ca="1" si="326">G1138/G1137-1</f>
        <v>-0.11280893055665975</v>
      </c>
      <c r="H1139" s="1127">
        <f t="shared" ref="H1139" ca="1" si="327">H1138/H1137-1</f>
        <v>-1.2855724942246405E-2</v>
      </c>
      <c r="I1139" s="1127">
        <f t="shared" ref="I1139" ca="1" si="328">I1138/I1137-1</f>
        <v>-1.2957910131522365E-2</v>
      </c>
      <c r="J1139" s="1127">
        <f t="shared" ref="J1139" ca="1" si="329">J1138/J1137-1</f>
        <v>0.14153029307376053</v>
      </c>
      <c r="K1139" s="1127">
        <f t="shared" ref="K1139" ca="1" si="330">K1138/K1137-1</f>
        <v>0.1408513974361556</v>
      </c>
      <c r="L1139" s="1127">
        <f t="shared" ref="L1139" ca="1" si="331">L1138/L1137-1</f>
        <v>0.1401746595648834</v>
      </c>
      <c r="M1139" s="1127">
        <f t="shared" ref="M1139" ca="1" si="332">M1138/M1137-1</f>
        <v>0.13950010524295853</v>
      </c>
      <c r="N1139" s="1127">
        <f t="shared" ref="N1139" ca="1" si="333">N1138/N1137-1</f>
        <v>0.13882775942181458</v>
      </c>
      <c r="O1139" s="1127">
        <f t="shared" ref="O1139" ca="1" si="334">O1138/O1137-1</f>
        <v>-6.1987903744972206E-3</v>
      </c>
    </row>
    <row r="1141" spans="2:18">
      <c r="B1141" s="1049" t="s">
        <v>2091</v>
      </c>
      <c r="C1141" s="1065">
        <f>C1133-C1137</f>
        <v>-33.821661544961586</v>
      </c>
      <c r="D1141" s="1065">
        <f t="shared" ref="D1141:O1141" si="335">D1133-D1137</f>
        <v>-18.551235287197471</v>
      </c>
      <c r="E1141" s="1065">
        <f t="shared" si="335"/>
        <v>-4.3010772495153731</v>
      </c>
      <c r="F1141" s="1065">
        <f t="shared" si="335"/>
        <v>12.425699264632897</v>
      </c>
      <c r="G1141" s="1065">
        <f t="shared" si="335"/>
        <v>32.933865890900847</v>
      </c>
      <c r="H1141" s="1065">
        <f t="shared" si="335"/>
        <v>50.281055257555693</v>
      </c>
      <c r="I1141" s="1065">
        <f t="shared" si="335"/>
        <v>75.924270674641605</v>
      </c>
      <c r="J1141" s="1065">
        <f t="shared" si="335"/>
        <v>98.369913922622629</v>
      </c>
      <c r="K1141" s="1065">
        <f t="shared" si="335"/>
        <v>121.4837997841758</v>
      </c>
      <c r="L1141" s="1065">
        <f t="shared" si="335"/>
        <v>145.25409216418456</v>
      </c>
      <c r="M1141" s="1065">
        <f t="shared" si="335"/>
        <v>169.66702210248184</v>
      </c>
      <c r="N1141" s="1065">
        <f t="shared" si="335"/>
        <v>194.70676039905845</v>
      </c>
      <c r="O1141" s="1065">
        <f t="shared" si="335"/>
        <v>321.68099845404782</v>
      </c>
    </row>
    <row r="1142" spans="2:18">
      <c r="B1142" s="998" t="s">
        <v>2092</v>
      </c>
      <c r="C1142" s="1003">
        <f ca="1">C1134-C1138</f>
        <v>-8.2899454770124805</v>
      </c>
      <c r="D1142" s="1003">
        <f t="shared" ref="D1142:O1142" ca="1" si="336">D1134-D1138</f>
        <v>4.7995468501741527</v>
      </c>
      <c r="E1142" s="1003">
        <f t="shared" ca="1" si="336"/>
        <v>19.077050352826319</v>
      </c>
      <c r="F1142" s="1003">
        <f t="shared" ca="1" si="336"/>
        <v>25.682959448673444</v>
      </c>
      <c r="G1142" s="1003">
        <f t="shared" ca="1" si="336"/>
        <v>46.106625707182616</v>
      </c>
      <c r="H1142" s="1003">
        <f t="shared" ca="1" si="336"/>
        <v>41.589624828659538</v>
      </c>
      <c r="I1142" s="1003">
        <f t="shared" ca="1" si="336"/>
        <v>68.32708639961993</v>
      </c>
      <c r="J1142" s="1003">
        <f t="shared" ca="1" si="336"/>
        <v>58.081359425192034</v>
      </c>
      <c r="K1142" s="1003">
        <f t="shared" ca="1" si="336"/>
        <v>83.952940688395643</v>
      </c>
      <c r="L1142" s="1003">
        <f t="shared" ca="1" si="336"/>
        <v>110.83182432770428</v>
      </c>
      <c r="M1142" s="1003">
        <f t="shared" ca="1" si="336"/>
        <v>138.73792044023094</v>
      </c>
      <c r="N1142" s="1003">
        <f t="shared" ca="1" si="336"/>
        <v>167.69174723369923</v>
      </c>
      <c r="O1142" s="1003">
        <f t="shared" ca="1" si="336"/>
        <v>333.07046688136552</v>
      </c>
    </row>
    <row r="1143" spans="2:18">
      <c r="B1143" s="1235" t="s">
        <v>1196</v>
      </c>
      <c r="C1143" s="1324">
        <f ca="1">C1142/C1141-1</f>
        <v>-0.75489242401671919</v>
      </c>
      <c r="D1143" s="1324">
        <f t="shared" ref="D1143" ca="1" si="337">D1142/D1141-1</f>
        <v>-1.2587184505975406</v>
      </c>
      <c r="E1143" s="1324">
        <f t="shared" ref="E1143" ca="1" si="338">E1142/E1141-1</f>
        <v>-5.4354121644701543</v>
      </c>
      <c r="F1143" s="1324">
        <f t="shared" ref="F1143" ca="1" si="339">F1142/F1141-1</f>
        <v>1.0669226658152358</v>
      </c>
      <c r="G1143" s="1324">
        <f t="shared" ref="G1143" ca="1" si="340">G1142/G1141-1</f>
        <v>0.39997611759028917</v>
      </c>
      <c r="H1143" s="1324">
        <f t="shared" ref="H1143" ca="1" si="341">H1142/H1141-1</f>
        <v>-0.17285696142166984</v>
      </c>
      <c r="I1143" s="1324">
        <f t="shared" ref="I1143" ca="1" si="342">I1142/I1141-1</f>
        <v>-0.10006265727039909</v>
      </c>
      <c r="J1143" s="1324">
        <f t="shared" ref="J1143" ca="1" si="343">J1142/J1141-1</f>
        <v>-0.40956175410625451</v>
      </c>
      <c r="K1143" s="1324">
        <f t="shared" ref="K1143" ca="1" si="344">K1142/K1141-1</f>
        <v>-0.30893715180506598</v>
      </c>
      <c r="L1143" s="1324">
        <f t="shared" ref="L1143" ca="1" si="345">L1142/L1141-1</f>
        <v>-0.23697967694825339</v>
      </c>
      <c r="M1143" s="1324">
        <f t="shared" ref="M1143" ca="1" si="346">M1142/M1141-1</f>
        <v>-0.18229294814621777</v>
      </c>
      <c r="N1143" s="1324">
        <f t="shared" ref="N1143" ca="1" si="347">N1142/N1141-1</f>
        <v>-0.13874717606102116</v>
      </c>
      <c r="O1143" s="1324">
        <f t="shared" ref="O1143" ca="1" si="348">O1142/O1141-1</f>
        <v>3.5406096356495498E-2</v>
      </c>
    </row>
    <row r="1146" spans="2:18">
      <c r="B1146" s="1325"/>
      <c r="C1146" s="1012" t="s">
        <v>1509</v>
      </c>
      <c r="D1146" s="1012" t="s">
        <v>1510</v>
      </c>
      <c r="E1146" s="1012" t="s">
        <v>1511</v>
      </c>
      <c r="F1146" s="1012" t="s">
        <v>1596</v>
      </c>
      <c r="G1146" s="1326" t="s">
        <v>1657</v>
      </c>
      <c r="H1146" s="1012" t="s">
        <v>1693</v>
      </c>
      <c r="I1146" s="1012" t="s">
        <v>1694</v>
      </c>
      <c r="J1146" s="1326" t="s">
        <v>1695</v>
      </c>
      <c r="K1146" s="1012" t="s">
        <v>2109</v>
      </c>
      <c r="L1146" s="1012" t="s">
        <v>2110</v>
      </c>
      <c r="M1146" s="1012" t="s">
        <v>2111</v>
      </c>
      <c r="N1146" s="1012" t="s">
        <v>2112</v>
      </c>
      <c r="O1146" s="1012" t="s">
        <v>2113</v>
      </c>
      <c r="R1146" s="1012" t="s">
        <v>2106</v>
      </c>
    </row>
    <row r="1147" spans="2:18">
      <c r="B1147" s="1045" t="s">
        <v>2096</v>
      </c>
      <c r="C1147" s="1149">
        <v>1315</v>
      </c>
      <c r="D1147" s="1149">
        <v>1312.7729999999999</v>
      </c>
      <c r="E1147" s="1149">
        <v>1292.538</v>
      </c>
      <c r="F1147" s="1149">
        <v>1290.124</v>
      </c>
      <c r="G1147" s="1327">
        <v>1191.557</v>
      </c>
      <c r="H1147" s="1149">
        <v>1152.6179999999999</v>
      </c>
      <c r="I1147" s="1149">
        <v>373.16399999999999</v>
      </c>
      <c r="J1147" s="1327">
        <v>252.828</v>
      </c>
      <c r="K1147" s="1352">
        <v>220</v>
      </c>
      <c r="L1147" s="1352">
        <v>200</v>
      </c>
      <c r="M1147" s="1352">
        <v>200</v>
      </c>
      <c r="N1147" s="1352">
        <v>200</v>
      </c>
      <c r="O1147" s="1352">
        <v>200</v>
      </c>
      <c r="R1147" s="1149"/>
    </row>
    <row r="1148" spans="2:18">
      <c r="B1148" s="998" t="s">
        <v>2097</v>
      </c>
      <c r="C1148" s="1148">
        <f t="shared" ref="C1148:I1148" si="349">C1149-C1147</f>
        <v>587</v>
      </c>
      <c r="D1148" s="1148">
        <f t="shared" si="349"/>
        <v>590.22700000000009</v>
      </c>
      <c r="E1148" s="1148">
        <f t="shared" si="349"/>
        <v>585.69399999999996</v>
      </c>
      <c r="F1148" s="1148">
        <f t="shared" si="349"/>
        <v>581.17799999999988</v>
      </c>
      <c r="G1148" s="1328">
        <f t="shared" si="349"/>
        <v>597.98399999999992</v>
      </c>
      <c r="H1148" s="1148">
        <f t="shared" si="349"/>
        <v>635.38200000000006</v>
      </c>
      <c r="I1148" s="1148">
        <f t="shared" si="349"/>
        <v>732.83600000000001</v>
      </c>
      <c r="J1148" s="1328">
        <f>J1149-J1147</f>
        <v>863.17200000000003</v>
      </c>
      <c r="K1148" s="1247">
        <f>K1149-K1147</f>
        <v>951.86822500000017</v>
      </c>
      <c r="L1148" s="1247">
        <f t="shared" ref="L1148:O1148" si="350">L1149-L1147</f>
        <v>981.86822500000017</v>
      </c>
      <c r="M1148" s="1247">
        <f t="shared" si="350"/>
        <v>991.86822500000017</v>
      </c>
      <c r="N1148" s="1247">
        <f t="shared" si="350"/>
        <v>1001.8682250000002</v>
      </c>
      <c r="O1148" s="1247">
        <f t="shared" si="350"/>
        <v>1004.0695499999999</v>
      </c>
      <c r="R1148" s="1018">
        <f>J1148/G1148-1</f>
        <v>0.44347005939958284</v>
      </c>
    </row>
    <row r="1149" spans="2:18">
      <c r="B1149" s="1051" t="s">
        <v>2103</v>
      </c>
      <c r="C1149" s="1128">
        <v>1902</v>
      </c>
      <c r="D1149" s="1128">
        <f>Interims!BD19</f>
        <v>1903</v>
      </c>
      <c r="E1149" s="1128">
        <f>Interims!BE19</f>
        <v>1878.232</v>
      </c>
      <c r="F1149" s="1128">
        <f>Interims!BF19</f>
        <v>1871.3019999999999</v>
      </c>
      <c r="G1149" s="1329">
        <f>Interims!BG19</f>
        <v>1789.5409999999999</v>
      </c>
      <c r="H1149" s="1128">
        <f>Interims!BI19</f>
        <v>1788</v>
      </c>
      <c r="I1149" s="1128">
        <f>Interims!BJ19</f>
        <v>1106</v>
      </c>
      <c r="J1149" s="1329">
        <f>Interims!BK19</f>
        <v>1116</v>
      </c>
      <c r="K1149" s="1353">
        <f>Fixed!N67</f>
        <v>1171.8682250000002</v>
      </c>
      <c r="L1149" s="1353">
        <f>K1149+10</f>
        <v>1181.8682250000002</v>
      </c>
      <c r="M1149" s="1353">
        <f>L1149+10</f>
        <v>1191.8682250000002</v>
      </c>
      <c r="N1149" s="1353">
        <f>M1149+10</f>
        <v>1201.8682250000002</v>
      </c>
      <c r="O1149" s="1353">
        <f>Fixed!O67</f>
        <v>1204.0695499999999</v>
      </c>
      <c r="R1149" s="1128"/>
    </row>
    <row r="1150" spans="2:18">
      <c r="G1150" s="1330"/>
      <c r="J1150" s="1330"/>
      <c r="K1150" s="1064"/>
      <c r="L1150" s="1064"/>
      <c r="M1150" s="1064"/>
      <c r="N1150" s="1064"/>
      <c r="O1150" s="1064"/>
    </row>
    <row r="1151" spans="2:18">
      <c r="B1151" s="1049" t="s">
        <v>2101</v>
      </c>
      <c r="C1151" s="1049"/>
      <c r="D1151" s="1311">
        <v>8.3871666077642146</v>
      </c>
      <c r="E1151" s="1311">
        <v>8.2887622590228442</v>
      </c>
      <c r="F1151" s="1311">
        <v>8.3150410279340949</v>
      </c>
      <c r="G1151" s="1331">
        <v>8.3229036160302634</v>
      </c>
      <c r="H1151" s="1311">
        <v>8.152145084166337</v>
      </c>
      <c r="I1151" s="1311">
        <v>8.20024207384823</v>
      </c>
      <c r="J1151" s="1331">
        <v>9.118836513287512</v>
      </c>
      <c r="K1151" s="1354">
        <f ca="1">K1157/((J1149*K1155+K1149*(1-K1155))*3)*1000</f>
        <v>9.5795890321806425</v>
      </c>
      <c r="L1151" s="1354">
        <f t="shared" ref="L1151:O1151" si="351">L1157/((K1149*L1155+L1149*(1-L1155))*3)*1000</f>
        <v>8.4971280450706352</v>
      </c>
      <c r="M1151" s="1354">
        <f t="shared" si="351"/>
        <v>8.4255351936816734</v>
      </c>
      <c r="N1151" s="1354">
        <f t="shared" si="351"/>
        <v>8.6336433013194345</v>
      </c>
      <c r="O1151" s="1354">
        <f t="shared" ca="1" si="351"/>
        <v>8.9416328168436685</v>
      </c>
      <c r="R1151" s="1311"/>
    </row>
    <row r="1152" spans="2:18">
      <c r="B1152" s="998" t="s">
        <v>2100</v>
      </c>
      <c r="D1152" s="1019">
        <v>6.5</v>
      </c>
      <c r="E1152" s="1019">
        <v>6.5</v>
      </c>
      <c r="F1152" s="1019">
        <v>6.5</v>
      </c>
      <c r="G1152" s="1332">
        <v>6.5</v>
      </c>
      <c r="H1152" s="1019">
        <v>6.5</v>
      </c>
      <c r="I1152" s="1019">
        <v>6.5</v>
      </c>
      <c r="J1152" s="1332">
        <v>6.5</v>
      </c>
      <c r="K1152" s="1355">
        <f>J1152</f>
        <v>6.5</v>
      </c>
      <c r="L1152" s="1355">
        <f t="shared" ref="L1152:O1152" si="352">K1152</f>
        <v>6.5</v>
      </c>
      <c r="M1152" s="1355">
        <f t="shared" si="352"/>
        <v>6.5</v>
      </c>
      <c r="N1152" s="1355">
        <f t="shared" si="352"/>
        <v>6.5</v>
      </c>
      <c r="O1152" s="1355">
        <f t="shared" si="352"/>
        <v>6.5</v>
      </c>
      <c r="R1152" s="1019"/>
    </row>
    <row r="1153" spans="2:18">
      <c r="B1153" s="1049" t="s">
        <v>2104</v>
      </c>
      <c r="C1153" s="1049"/>
      <c r="D1153" s="1311">
        <f t="shared" ref="D1153:H1153" si="353">D1159/(C1148*D1155+D1148*(1-D1155))/3*1000</f>
        <v>12.599646833229986</v>
      </c>
      <c r="E1153" s="1311">
        <f t="shared" si="353"/>
        <v>12.251853308351041</v>
      </c>
      <c r="F1153" s="1311">
        <f t="shared" si="353"/>
        <v>12.33230898130544</v>
      </c>
      <c r="G1153" s="1311">
        <f t="shared" si="353"/>
        <v>12.159412313506603</v>
      </c>
      <c r="H1153" s="1311">
        <f t="shared" si="353"/>
        <v>11.292265050725838</v>
      </c>
      <c r="I1153" s="1311">
        <f>I1159/(H1148*I1155+I1148*(1-I1155))/3*1000</f>
        <v>10.788038546062285</v>
      </c>
      <c r="J1153" s="1331">
        <f>J1159/(I1148*J1155+J1148*(1-J1155))/3*1000</f>
        <v>10.146005992780019</v>
      </c>
      <c r="K1153" s="1354">
        <f t="shared" ref="K1153:O1153" ca="1" si="354">K1159/(J1148*K1155+K1148*(1-K1155))/3*1000</f>
        <v>10.381838978408645</v>
      </c>
      <c r="L1153" s="1354">
        <f t="shared" si="354"/>
        <v>8.9308964517889695</v>
      </c>
      <c r="M1153" s="1354">
        <f t="shared" si="354"/>
        <v>8.8157666642879278</v>
      </c>
      <c r="N1153" s="1354">
        <f t="shared" si="354"/>
        <v>9.0617125782430588</v>
      </c>
      <c r="O1153" s="1354">
        <f t="shared" ca="1" si="354"/>
        <v>9.4285138850948869</v>
      </c>
      <c r="R1153" s="1311"/>
    </row>
    <row r="1154" spans="2:18">
      <c r="B1154" s="998" t="s">
        <v>2102</v>
      </c>
      <c r="G1154" s="1330"/>
      <c r="H1154" s="1193">
        <f>H1153/D1153-1</f>
        <v>-0.10376336732360569</v>
      </c>
      <c r="I1154" s="1193">
        <f>I1153/E1153-1</f>
        <v>-0.11947700690237606</v>
      </c>
      <c r="J1154" s="1346">
        <f>J1153/F1153-1</f>
        <v>-0.17728253418233686</v>
      </c>
      <c r="K1154" s="1356">
        <f t="shared" ref="K1154:O1154" ca="1" si="355">K1153/G1153-1</f>
        <v>-0.1461890829315361</v>
      </c>
      <c r="L1154" s="1356">
        <f t="shared" si="355"/>
        <v>-0.2091138127142248</v>
      </c>
      <c r="M1154" s="1356">
        <f t="shared" si="355"/>
        <v>-0.1828202479397194</v>
      </c>
      <c r="N1154" s="1356">
        <f t="shared" si="355"/>
        <v>-0.10686899015322404</v>
      </c>
      <c r="O1154" s="1356">
        <f t="shared" ca="1" si="355"/>
        <v>-9.1826226095050312E-2</v>
      </c>
      <c r="R1154" s="1193"/>
    </row>
    <row r="1155" spans="2:18">
      <c r="B1155" s="1139" t="s">
        <v>2108</v>
      </c>
      <c r="C1155" s="1139"/>
      <c r="D1155" s="1348">
        <v>0.5</v>
      </c>
      <c r="E1155" s="1348">
        <v>0.5</v>
      </c>
      <c r="F1155" s="1348">
        <v>0.5</v>
      </c>
      <c r="G1155" s="1348">
        <v>0.5</v>
      </c>
      <c r="H1155" s="1348">
        <v>0.5</v>
      </c>
      <c r="I1155" s="1348">
        <v>0.8</v>
      </c>
      <c r="J1155" s="1347">
        <v>0.5</v>
      </c>
      <c r="K1155" s="1348">
        <v>0.5</v>
      </c>
      <c r="L1155" s="1348">
        <v>0.5</v>
      </c>
      <c r="M1155" s="1348">
        <v>0.5</v>
      </c>
      <c r="N1155" s="1348">
        <v>0.5</v>
      </c>
      <c r="O1155" s="1348">
        <v>0.5</v>
      </c>
      <c r="R1155" s="1193"/>
    </row>
    <row r="1156" spans="2:18">
      <c r="B1156" s="1032"/>
      <c r="C1156" s="1032"/>
      <c r="D1156" s="1032"/>
      <c r="E1156" s="1032"/>
      <c r="F1156" s="1032"/>
      <c r="G1156" s="1344"/>
      <c r="H1156" s="1032"/>
      <c r="I1156" s="1032"/>
      <c r="J1156" s="1344"/>
      <c r="K1156" s="1357"/>
      <c r="L1156" s="1357"/>
      <c r="M1156" s="1357"/>
      <c r="N1156" s="1357"/>
      <c r="O1156" s="1357"/>
      <c r="R1156" s="1049"/>
    </row>
    <row r="1157" spans="2:18">
      <c r="B1157" s="1049" t="s">
        <v>1844</v>
      </c>
      <c r="C1157" s="1049"/>
      <c r="D1157" s="1311">
        <f>D1151*AVERAGE(C1149:D1149)*3/1000</f>
        <v>47.869753413814259</v>
      </c>
      <c r="E1157" s="1311">
        <f>E1151*AVERAGE(D1149:E1149)*3/1000</f>
        <v>47.012599641314196</v>
      </c>
      <c r="F1157" s="1311">
        <f>F1151*AVERAGE(E1149:F1149)*3/1000</f>
        <v>46.766293568450756</v>
      </c>
      <c r="G1157" s="1331">
        <f>G1151*AVERAGE(F1149:G1149)*3/1000</f>
        <v>45.703265163628608</v>
      </c>
      <c r="H1157" s="1311">
        <f>H1151*AVERAGE(G1149:H1149)*3/1000</f>
        <v>43.746949914830289</v>
      </c>
      <c r="I1157" s="1311">
        <f>I1151*(0.8*H1149+0.2*I1149)*3/1000</f>
        <v>40.630559427503215</v>
      </c>
      <c r="J1157" s="1331">
        <f>J1151*AVERAGE(I1149:J1149)*3/1000</f>
        <v>30.393082098787279</v>
      </c>
      <c r="K1157" s="1354">
        <f ca="1">Interims!BL62</f>
        <v>32.875256032926899</v>
      </c>
      <c r="L1157" s="1354">
        <v>30</v>
      </c>
      <c r="M1157" s="1354">
        <v>30</v>
      </c>
      <c r="N1157" s="1354">
        <v>31</v>
      </c>
      <c r="O1157" s="1354">
        <f ca="1">Fixed!O179-L1157-M1157-N1157</f>
        <v>32.269518246335764</v>
      </c>
      <c r="R1157" s="1019"/>
    </row>
    <row r="1158" spans="2:18">
      <c r="B1158" s="1032" t="s">
        <v>2098</v>
      </c>
      <c r="C1158" s="1032"/>
      <c r="D1158" s="1183">
        <f>D1152*AVERAGE(C1147:D1147)*3/1000</f>
        <v>25.620786750000001</v>
      </c>
      <c r="E1158" s="1183">
        <f>E1152*AVERAGE(D1147:E1147)*3/1000</f>
        <v>25.401782249999997</v>
      </c>
      <c r="F1158" s="1183">
        <f>F1152*AVERAGE(E1147:F1147)*3/1000</f>
        <v>25.180954499999999</v>
      </c>
      <c r="G1158" s="1345">
        <f>G1152*AVERAGE(F1147:G1147)*3/1000</f>
        <v>24.196389749999998</v>
      </c>
      <c r="H1158" s="1183">
        <f>H1152*AVERAGE(G1147:H1147)*3/1000</f>
        <v>22.855706250000004</v>
      </c>
      <c r="I1158" s="1183">
        <f>I1152*(0.8*H1147+0.2*I1147)*3/1000</f>
        <v>19.436180399999998</v>
      </c>
      <c r="J1158" s="1345">
        <f>J1152*AVERAGE(I1147:J1147)*3/1000</f>
        <v>6.1034219999999992</v>
      </c>
      <c r="K1158" s="1358">
        <f t="shared" ref="K1158:O1158" si="356">K1152*AVERAGE(J1147:K1147)*3/1000</f>
        <v>4.610072999999999</v>
      </c>
      <c r="L1158" s="1358">
        <f t="shared" si="356"/>
        <v>4.0949999999999998</v>
      </c>
      <c r="M1158" s="1358">
        <f t="shared" si="356"/>
        <v>3.9</v>
      </c>
      <c r="N1158" s="1358">
        <f t="shared" si="356"/>
        <v>3.9</v>
      </c>
      <c r="O1158" s="1358">
        <f t="shared" si="356"/>
        <v>3.9</v>
      </c>
      <c r="R1158" s="1311"/>
    </row>
    <row r="1159" spans="2:18">
      <c r="B1159" s="1049" t="s">
        <v>2099</v>
      </c>
      <c r="C1159" s="1049"/>
      <c r="D1159" s="1311">
        <f>D1157-D1158</f>
        <v>22.248966663814258</v>
      </c>
      <c r="E1159" s="1311">
        <f t="shared" ref="E1159:O1159" si="357">E1157-E1158</f>
        <v>21.6108173913142</v>
      </c>
      <c r="F1159" s="1311">
        <f t="shared" si="357"/>
        <v>21.585339068450757</v>
      </c>
      <c r="G1159" s="1331">
        <f t="shared" si="357"/>
        <v>21.50687541362861</v>
      </c>
      <c r="H1159" s="1311">
        <f t="shared" si="357"/>
        <v>20.891243664830284</v>
      </c>
      <c r="I1159" s="1311">
        <f t="shared" si="357"/>
        <v>21.194379027503217</v>
      </c>
      <c r="J1159" s="1331">
        <f t="shared" si="357"/>
        <v>24.28966009878728</v>
      </c>
      <c r="K1159" s="1354">
        <f t="shared" ca="1" si="357"/>
        <v>28.265183032926899</v>
      </c>
      <c r="L1159" s="1354">
        <f t="shared" si="357"/>
        <v>25.905000000000001</v>
      </c>
      <c r="M1159" s="1354">
        <f t="shared" si="357"/>
        <v>26.1</v>
      </c>
      <c r="N1159" s="1354">
        <f t="shared" si="357"/>
        <v>27.1</v>
      </c>
      <c r="O1159" s="1354">
        <f t="shared" ca="1" si="357"/>
        <v>28.369518246335765</v>
      </c>
      <c r="R1159" s="1018">
        <f>J1159/G1159-1</f>
        <v>0.129390468472945</v>
      </c>
    </row>
    <row r="1160" spans="2:18">
      <c r="B1160" s="1070" t="s">
        <v>2105</v>
      </c>
      <c r="C1160" s="1070"/>
      <c r="D1160" s="1070"/>
      <c r="E1160" s="1070"/>
      <c r="F1160" s="1070"/>
      <c r="G1160" s="1349"/>
      <c r="H1160" s="1350">
        <f>H1159-$G$1159</f>
        <v>-0.61563174879832516</v>
      </c>
      <c r="I1160" s="1350">
        <f>I1159-$G$1159</f>
        <v>-0.31249638612539243</v>
      </c>
      <c r="J1160" s="1351">
        <f>J1159-$G$1159</f>
        <v>2.7827846851586706</v>
      </c>
      <c r="K1160" s="1359">
        <f t="shared" ref="K1160:O1160" ca="1" si="358">K1159-$G$1159</f>
        <v>6.7583076192982894</v>
      </c>
      <c r="L1160" s="1359">
        <f t="shared" si="358"/>
        <v>4.3981245863713916</v>
      </c>
      <c r="M1160" s="1359">
        <f t="shared" si="358"/>
        <v>4.5931245863713919</v>
      </c>
      <c r="N1160" s="1359">
        <f t="shared" si="358"/>
        <v>5.5931245863713919</v>
      </c>
      <c r="O1160" s="1359">
        <f t="shared" ca="1" si="358"/>
        <v>6.8626428327071558</v>
      </c>
      <c r="R1160" s="1333"/>
    </row>
    <row r="1161" spans="2:18">
      <c r="D1161" s="1019"/>
      <c r="E1161" s="1019"/>
      <c r="F1161" s="1019"/>
      <c r="G1161" s="1019"/>
      <c r="H1161" s="1019"/>
      <c r="I1161" s="1019"/>
      <c r="J1161" s="1019"/>
    </row>
    <row r="1162" spans="2:18">
      <c r="B1162" s="1031" t="s">
        <v>2118</v>
      </c>
      <c r="C1162" s="1194">
        <f>Interims!BK155</f>
        <v>1452.1999999999998</v>
      </c>
    </row>
    <row r="1163" spans="2:18">
      <c r="B1163" s="998" t="s">
        <v>2114</v>
      </c>
      <c r="C1163" s="1148">
        <f ca="1">SUM(Interims!BL140:BL145)</f>
        <v>-28.066945477012492</v>
      </c>
    </row>
    <row r="1164" spans="2:18">
      <c r="B1164" s="998" t="s">
        <v>2115</v>
      </c>
      <c r="C1164" s="1148">
        <f>Interims!BL147</f>
        <v>-30.140000000000015</v>
      </c>
    </row>
    <row r="1165" spans="2:18">
      <c r="B1165" s="998" t="s">
        <v>2116</v>
      </c>
      <c r="C1165" s="1148">
        <v>300</v>
      </c>
    </row>
    <row r="1166" spans="2:18">
      <c r="B1166" s="998" t="s">
        <v>169</v>
      </c>
      <c r="C1166" s="1195">
        <f ca="1">Interims!BL148-C1165</f>
        <v>-33.127000000000066</v>
      </c>
    </row>
    <row r="1167" spans="2:18">
      <c r="B1167" s="1031" t="s">
        <v>2117</v>
      </c>
      <c r="C1167" s="1194">
        <f ca="1">C1162-SUM(C1163:C1166)</f>
        <v>1243.5339454770124</v>
      </c>
    </row>
    <row r="1168" spans="2:18">
      <c r="C1168" s="1148"/>
    </row>
    <row r="1169" spans="2:4">
      <c r="B1169" s="998" t="s">
        <v>2119</v>
      </c>
      <c r="C1169" s="1148">
        <v>561</v>
      </c>
    </row>
    <row r="1170" spans="2:4">
      <c r="B1170" s="998" t="s">
        <v>2120</v>
      </c>
      <c r="C1170" s="1148">
        <v>711</v>
      </c>
    </row>
    <row r="1171" spans="2:4">
      <c r="B1171" s="998" t="s">
        <v>1673</v>
      </c>
      <c r="C1171" s="1148">
        <v>233</v>
      </c>
    </row>
    <row r="1172" spans="2:4">
      <c r="B1172" s="998" t="s">
        <v>169</v>
      </c>
      <c r="C1172" s="1195">
        <f>Interims!BK153-SUM(C1169:C1171)</f>
        <v>5.5999999999999091</v>
      </c>
    </row>
    <row r="1173" spans="2:4">
      <c r="B1173" s="1031" t="s">
        <v>2123</v>
      </c>
      <c r="C1173" s="1194">
        <f>SUM(C1169:C1172)</f>
        <v>1510.6</v>
      </c>
    </row>
    <row r="1174" spans="2:4">
      <c r="C1174" s="1148"/>
    </row>
    <row r="1175" spans="2:4">
      <c r="B1175" s="998" t="s">
        <v>2124</v>
      </c>
      <c r="C1175" s="1148">
        <f>-C1171</f>
        <v>-233</v>
      </c>
    </row>
    <row r="1176" spans="2:4">
      <c r="B1176" s="998" t="s">
        <v>2121</v>
      </c>
      <c r="C1176" s="1195">
        <f>-C1164</f>
        <v>30.140000000000015</v>
      </c>
    </row>
    <row r="1177" spans="2:4">
      <c r="B1177" s="1031" t="s">
        <v>2122</v>
      </c>
      <c r="C1177" s="1194">
        <f>C1173+C1175+C1176</f>
        <v>1307.74</v>
      </c>
    </row>
    <row r="1178" spans="2:4">
      <c r="C1178" s="1148"/>
    </row>
    <row r="1179" spans="2:4">
      <c r="B1179" s="1228" t="s">
        <v>2127</v>
      </c>
      <c r="C1179" s="1229">
        <f ca="1">C1177-C1167</f>
        <v>64.206054522987642</v>
      </c>
    </row>
    <row r="1181" spans="2:4">
      <c r="B1181" s="998" t="s">
        <v>2125</v>
      </c>
      <c r="C1181" s="998">
        <f ca="1">SUM(Model!O136)</f>
        <v>-32.715453149825848</v>
      </c>
      <c r="D1181" s="998" t="s">
        <v>2129</v>
      </c>
    </row>
    <row r="1182" spans="2:4">
      <c r="B1182" s="998" t="s">
        <v>2126</v>
      </c>
      <c r="C1182" s="998">
        <f>Model!O172</f>
        <v>30</v>
      </c>
    </row>
    <row r="1183" spans="2:4">
      <c r="B1183" s="1228" t="s">
        <v>2128</v>
      </c>
      <c r="C1183" s="1229">
        <f ca="1">C1179+C1181+C1182</f>
        <v>61.490601373161795</v>
      </c>
    </row>
    <row r="1185" spans="2:18">
      <c r="B1185" s="1325"/>
      <c r="C1185" s="1011">
        <v>2024</v>
      </c>
      <c r="D1185" s="1011">
        <v>2030</v>
      </c>
      <c r="E1185" s="1011">
        <v>2036</v>
      </c>
    </row>
    <row r="1186" spans="2:18">
      <c r="B1186" s="1045" t="s">
        <v>67</v>
      </c>
      <c r="C1186" s="1123">
        <f ca="1">Fixed!N104</f>
        <v>0.3157642420494004</v>
      </c>
      <c r="D1186" s="1123">
        <f ca="1">Fixed!T104</f>
        <v>0.52487485941413048</v>
      </c>
      <c r="E1186" s="1123">
        <f ca="1">Fixed!Z104</f>
        <v>0.73842807423944579</v>
      </c>
    </row>
    <row r="1187" spans="2:18">
      <c r="B1187" s="1147" t="s">
        <v>2130</v>
      </c>
      <c r="C1187" s="1018">
        <f ca="1">Fixed!N105</f>
        <v>0.30221374999309525</v>
      </c>
      <c r="D1187" s="1018">
        <f ca="1">Fixed!T105</f>
        <v>0.39635652203523708</v>
      </c>
      <c r="E1187" s="1018">
        <f ca="1">Fixed!Z105</f>
        <v>0.42672434023989492</v>
      </c>
    </row>
    <row r="1188" spans="2:18">
      <c r="B1188" s="1360" t="s">
        <v>2131</v>
      </c>
      <c r="C1188" s="1124">
        <f ca="1">Fixed!N106</f>
        <v>1.3550492056305161E-2</v>
      </c>
      <c r="D1188" s="1124">
        <f ca="1">Fixed!T106</f>
        <v>0.1285183373788934</v>
      </c>
      <c r="E1188" s="1124">
        <f ca="1">Fixed!Z106</f>
        <v>0.31170373399955092</v>
      </c>
    </row>
    <row r="1190" spans="2:18">
      <c r="B1190" s="1049" t="s">
        <v>143</v>
      </c>
      <c r="C1190" s="1065">
        <f ca="1">Model!N9</f>
        <v>433.86462054566306</v>
      </c>
      <c r="D1190" s="1065">
        <f ca="1">Model!T9</f>
        <v>585.33632681154825</v>
      </c>
      <c r="E1190" s="1065">
        <f ca="1">Model!Z9</f>
        <v>807.5438893862264</v>
      </c>
    </row>
    <row r="1191" spans="2:18">
      <c r="B1191" s="998" t="s">
        <v>1348</v>
      </c>
      <c r="C1191" s="1148">
        <f ca="1">Model!N12+Model!N131</f>
        <v>139.97974954401991</v>
      </c>
      <c r="D1191" s="1148">
        <f ca="1">Model!T12+Model!T131</f>
        <v>253.79495662173173</v>
      </c>
      <c r="E1191" s="1148">
        <f ca="1">Model!Z12+Model!Z131</f>
        <v>425.97351969960295</v>
      </c>
      <c r="F1191" s="1148"/>
      <c r="G1191" s="1148"/>
      <c r="H1191" s="1148"/>
      <c r="J1191" s="1148"/>
      <c r="K1191" s="1148"/>
      <c r="L1191" s="1148"/>
      <c r="M1191" s="1148"/>
      <c r="N1191" s="1148"/>
      <c r="P1191" s="1148"/>
      <c r="Q1191" s="1148"/>
      <c r="R1191" s="1148"/>
    </row>
    <row r="1192" spans="2:18">
      <c r="B1192" s="1049" t="s">
        <v>351</v>
      </c>
      <c r="C1192" s="1234">
        <f ca="1">C1191+Model!N126</f>
        <v>-53.289945477012481</v>
      </c>
      <c r="D1192" s="1234">
        <f ca="1">D1191+Model!T126</f>
        <v>23.32708639961993</v>
      </c>
      <c r="E1192" s="1234">
        <f ca="1">E1191+Model!Z126</f>
        <v>288.07046688136552</v>
      </c>
      <c r="F1192" s="1148"/>
      <c r="G1192" s="1148"/>
      <c r="H1192" s="1148"/>
      <c r="J1192" s="1148"/>
      <c r="K1192" s="1148"/>
      <c r="L1192" s="1148"/>
      <c r="M1192" s="1148"/>
      <c r="N1192" s="1148"/>
      <c r="P1192" s="1148"/>
      <c r="Q1192" s="1148"/>
      <c r="R1192" s="1148"/>
    </row>
    <row r="1194" spans="2:18">
      <c r="B1194" s="1049" t="s">
        <v>160</v>
      </c>
      <c r="C1194" s="1234">
        <f ca="1">E1001</f>
        <v>1243.5339454770124</v>
      </c>
      <c r="D1194" s="1234">
        <f ca="1">K1001</f>
        <v>1982.4223822299532</v>
      </c>
      <c r="E1194" s="1234">
        <f ca="1">Q1001</f>
        <v>2423.8638284480353</v>
      </c>
      <c r="F1194" s="1148"/>
      <c r="G1194" s="1148"/>
      <c r="H1194" s="1148"/>
      <c r="J1194" s="1148"/>
      <c r="K1194" s="1148"/>
      <c r="L1194" s="1148"/>
      <c r="M1194" s="1148"/>
      <c r="N1194" s="1148"/>
      <c r="P1194" s="1148"/>
      <c r="Q1194" s="1148"/>
      <c r="R1194" s="1148"/>
    </row>
    <row r="1195" spans="2:18">
      <c r="B1195" s="1120" t="s">
        <v>1825</v>
      </c>
      <c r="C1195" s="1361">
        <f ca="1">E1002</f>
        <v>8.8836703132259434</v>
      </c>
      <c r="D1195" s="1361">
        <f ca="1">K1002</f>
        <v>7.8111181113210666</v>
      </c>
      <c r="E1195" s="1361">
        <f ca="1">Q1002</f>
        <v>5.690174896686881</v>
      </c>
      <c r="F1195" s="1207"/>
      <c r="G1195" s="1207"/>
      <c r="H1195" s="1207"/>
      <c r="J1195" s="1207"/>
      <c r="K1195" s="1207"/>
      <c r="L1195" s="1207"/>
      <c r="M1195" s="1207"/>
      <c r="N1195" s="1207"/>
      <c r="P1195" s="1207"/>
      <c r="Q1195" s="1207"/>
      <c r="R1195" s="1207"/>
    </row>
    <row r="1198" spans="2:18">
      <c r="B1198" s="998" t="s">
        <v>2141</v>
      </c>
      <c r="C1198" s="1003">
        <f ca="1">D1059+D1061</f>
        <v>62.171734818928996</v>
      </c>
    </row>
    <row r="1199" spans="2:18">
      <c r="B1199" s="998" t="s">
        <v>1186</v>
      </c>
      <c r="C1199" s="1207">
        <v>7</v>
      </c>
    </row>
    <row r="1200" spans="2:18">
      <c r="B1200" s="998" t="s">
        <v>2142</v>
      </c>
      <c r="C1200" s="1003">
        <f ca="1">C1198*C1199</f>
        <v>435.20214373250298</v>
      </c>
    </row>
    <row r="1202" spans="2:20">
      <c r="B1202" s="1011" t="s">
        <v>2143</v>
      </c>
      <c r="C1202" s="1011">
        <v>2025</v>
      </c>
      <c r="D1202" s="1011">
        <f>C1202+1</f>
        <v>2026</v>
      </c>
      <c r="E1202" s="1011">
        <f t="shared" ref="E1202:K1202" si="359">D1202+1</f>
        <v>2027</v>
      </c>
      <c r="F1202" s="1011">
        <f t="shared" si="359"/>
        <v>2028</v>
      </c>
      <c r="G1202" s="1011">
        <f t="shared" si="359"/>
        <v>2029</v>
      </c>
      <c r="H1202" s="1011">
        <f t="shared" si="359"/>
        <v>2030</v>
      </c>
      <c r="I1202" s="1011">
        <f t="shared" si="359"/>
        <v>2031</v>
      </c>
      <c r="J1202" s="1011">
        <f t="shared" si="359"/>
        <v>2032</v>
      </c>
      <c r="K1202" s="1011">
        <f t="shared" si="359"/>
        <v>2033</v>
      </c>
      <c r="L1202" s="1011">
        <f t="shared" ref="L1202:N1202" si="360">K1202+1</f>
        <v>2034</v>
      </c>
      <c r="M1202" s="1011">
        <f t="shared" si="360"/>
        <v>2035</v>
      </c>
      <c r="N1202" s="1011">
        <f t="shared" si="360"/>
        <v>2036</v>
      </c>
      <c r="O1202" s="1012" t="s">
        <v>279</v>
      </c>
    </row>
    <row r="1203" spans="2:20">
      <c r="B1203" s="1049" t="str">
        <f>B1033</f>
        <v>NetCo EBITDA</v>
      </c>
      <c r="C1203" s="1065">
        <f ca="1">F1033</f>
        <v>121.09402741000147</v>
      </c>
      <c r="D1203" s="1065">
        <f t="shared" ref="D1203:N1203" ca="1" si="361">G1033</f>
        <v>133.3455973152505</v>
      </c>
      <c r="E1203" s="1065">
        <f t="shared" ca="1" si="361"/>
        <v>146.62272138877836</v>
      </c>
      <c r="F1203" s="1065">
        <f t="shared" ca="1" si="361"/>
        <v>163.3420840345749</v>
      </c>
      <c r="G1203" s="1065">
        <f t="shared" ca="1" si="361"/>
        <v>182.62588788383448</v>
      </c>
      <c r="H1203" s="1065">
        <f t="shared" ca="1" si="361"/>
        <v>203.57878374300711</v>
      </c>
      <c r="I1203" s="1065">
        <f t="shared" ca="1" si="361"/>
        <v>225.6160954064037</v>
      </c>
      <c r="J1203" s="1065">
        <f t="shared" ca="1" si="361"/>
        <v>249.52258065376282</v>
      </c>
      <c r="K1203" s="1065">
        <f t="shared" ca="1" si="361"/>
        <v>274.68537777932852</v>
      </c>
      <c r="L1203" s="1065">
        <f t="shared" ca="1" si="361"/>
        <v>301.12943271916328</v>
      </c>
      <c r="M1203" s="1065">
        <f t="shared" ca="1" si="361"/>
        <v>328.87884793849679</v>
      </c>
      <c r="N1203" s="1065">
        <f t="shared" ca="1" si="361"/>
        <v>354.77138717201467</v>
      </c>
      <c r="O1203" s="1065"/>
    </row>
    <row r="1204" spans="2:20">
      <c r="B1204" s="998" t="str">
        <f t="shared" ref="B1204:B1206" si="362">B1034</f>
        <v>Less: NetCo capex</v>
      </c>
      <c r="C1204" s="1003">
        <f ca="1">F1034</f>
        <v>-129.36975487120895</v>
      </c>
      <c r="D1204" s="1003">
        <f t="shared" ref="D1204:N1204" ca="1" si="363">G1034</f>
        <v>-129.68382646635698</v>
      </c>
      <c r="E1204" s="1003">
        <f t="shared" ca="1" si="363"/>
        <v>-139.91754848071025</v>
      </c>
      <c r="F1204" s="1003">
        <f t="shared" ca="1" si="363"/>
        <v>-139.92297419638479</v>
      </c>
      <c r="G1204" s="1003">
        <f t="shared" ca="1" si="363"/>
        <v>-169.02433225052144</v>
      </c>
      <c r="H1204" s="1003">
        <f t="shared" ca="1" si="363"/>
        <v>-168.88242035554453</v>
      </c>
      <c r="I1204" s="1003">
        <f t="shared" ca="1" si="363"/>
        <v>-205.22114168101874</v>
      </c>
      <c r="J1204" s="1003">
        <f t="shared" ca="1" si="363"/>
        <v>-205.32950902694412</v>
      </c>
      <c r="K1204" s="1003">
        <f t="shared" ca="1" si="363"/>
        <v>-205.43852239332065</v>
      </c>
      <c r="L1204" s="1003">
        <f t="shared" ca="1" si="363"/>
        <v>-205.5481817801483</v>
      </c>
      <c r="M1204" s="1003">
        <f t="shared" ca="1" si="363"/>
        <v>-205.65848718742711</v>
      </c>
      <c r="N1204" s="1003">
        <f t="shared" ca="1" si="363"/>
        <v>-70.413438615157091</v>
      </c>
      <c r="O1204" s="1003"/>
    </row>
    <row r="1205" spans="2:20">
      <c r="B1205" s="1049" t="str">
        <f t="shared" si="362"/>
        <v>Less: NetCo leases</v>
      </c>
      <c r="C1205" s="1065">
        <f>F1035</f>
        <v>-36</v>
      </c>
      <c r="D1205" s="1065">
        <f t="shared" ref="D1205:N1205" si="364">G1035</f>
        <v>-36</v>
      </c>
      <c r="E1205" s="1065">
        <f t="shared" si="364"/>
        <v>-36</v>
      </c>
      <c r="F1205" s="1065">
        <f t="shared" si="364"/>
        <v>-36</v>
      </c>
      <c r="G1205" s="1065">
        <f t="shared" si="364"/>
        <v>-36</v>
      </c>
      <c r="H1205" s="1065">
        <f t="shared" si="364"/>
        <v>-36</v>
      </c>
      <c r="I1205" s="1065">
        <f t="shared" si="364"/>
        <v>-36</v>
      </c>
      <c r="J1205" s="1065">
        <f t="shared" si="364"/>
        <v>-36</v>
      </c>
      <c r="K1205" s="1065">
        <f t="shared" si="364"/>
        <v>-36</v>
      </c>
      <c r="L1205" s="1065">
        <f t="shared" si="364"/>
        <v>-36</v>
      </c>
      <c r="M1205" s="1065">
        <f t="shared" si="364"/>
        <v>-36</v>
      </c>
      <c r="N1205" s="1065">
        <f t="shared" si="364"/>
        <v>-36</v>
      </c>
      <c r="O1205" s="1065"/>
    </row>
    <row r="1206" spans="2:20">
      <c r="B1206" s="998" t="str">
        <f t="shared" si="362"/>
        <v>Less: NetCo one-offs</v>
      </c>
      <c r="C1206" s="1199">
        <f>F1036</f>
        <v>-12.5</v>
      </c>
      <c r="D1206" s="1199">
        <f t="shared" ref="D1206:N1206" si="365">G1036</f>
        <v>-10</v>
      </c>
      <c r="E1206" s="1199">
        <f t="shared" si="365"/>
        <v>-5</v>
      </c>
      <c r="F1206" s="1199">
        <f t="shared" si="365"/>
        <v>-5</v>
      </c>
      <c r="G1206" s="1199">
        <f t="shared" si="365"/>
        <v>-5</v>
      </c>
      <c r="H1206" s="1199">
        <f t="shared" si="365"/>
        <v>-5</v>
      </c>
      <c r="I1206" s="1199">
        <f t="shared" si="365"/>
        <v>-5</v>
      </c>
      <c r="J1206" s="1199">
        <f t="shared" si="365"/>
        <v>-5</v>
      </c>
      <c r="K1206" s="1199">
        <f t="shared" si="365"/>
        <v>-5</v>
      </c>
      <c r="L1206" s="1199">
        <f t="shared" si="365"/>
        <v>-5</v>
      </c>
      <c r="M1206" s="1199">
        <f t="shared" si="365"/>
        <v>-5</v>
      </c>
      <c r="N1206" s="1199">
        <f t="shared" si="365"/>
        <v>0</v>
      </c>
      <c r="O1206" s="1003"/>
    </row>
    <row r="1207" spans="2:20">
      <c r="B1207" s="1051" t="s">
        <v>2029</v>
      </c>
      <c r="C1207" s="1125">
        <f ca="1">F1037</f>
        <v>-56.775727461207481</v>
      </c>
      <c r="D1207" s="1125">
        <f t="shared" ref="D1207:N1207" ca="1" si="366">G1037</f>
        <v>-42.338229151106475</v>
      </c>
      <c r="E1207" s="1125">
        <f t="shared" ca="1" si="366"/>
        <v>-34.294827091931893</v>
      </c>
      <c r="F1207" s="1125">
        <f t="shared" ca="1" si="366"/>
        <v>-17.58089016180989</v>
      </c>
      <c r="G1207" s="1125">
        <f t="shared" ca="1" si="366"/>
        <v>-27.398444366686959</v>
      </c>
      <c r="H1207" s="1125">
        <f t="shared" ca="1" si="366"/>
        <v>-6.3036366125374172</v>
      </c>
      <c r="I1207" s="1125">
        <f t="shared" ca="1" si="366"/>
        <v>-20.605046274615034</v>
      </c>
      <c r="J1207" s="1125">
        <f t="shared" ca="1" si="366"/>
        <v>3.1930716268186927</v>
      </c>
      <c r="K1207" s="1125">
        <f t="shared" ca="1" si="366"/>
        <v>28.246855386007866</v>
      </c>
      <c r="L1207" s="1125">
        <f t="shared" ca="1" si="366"/>
        <v>54.581250939014978</v>
      </c>
      <c r="M1207" s="1125">
        <f t="shared" ca="1" si="366"/>
        <v>82.220360751069677</v>
      </c>
      <c r="N1207" s="1125">
        <f t="shared" ca="1" si="366"/>
        <v>248.35794855685759</v>
      </c>
      <c r="O1207" s="1125"/>
    </row>
    <row r="1209" spans="2:20">
      <c r="B1209" s="1049" t="s">
        <v>2136</v>
      </c>
      <c r="C1209" s="1049"/>
      <c r="D1209" s="1124">
        <v>0.06</v>
      </c>
      <c r="E1209" s="1124">
        <f>D1209</f>
        <v>0.06</v>
      </c>
      <c r="F1209" s="1124">
        <f t="shared" ref="F1209:N1209" si="367">E1209</f>
        <v>0.06</v>
      </c>
      <c r="G1209" s="1124">
        <f t="shared" si="367"/>
        <v>0.06</v>
      </c>
      <c r="H1209" s="1124">
        <f t="shared" si="367"/>
        <v>0.06</v>
      </c>
      <c r="I1209" s="1124">
        <f t="shared" si="367"/>
        <v>0.06</v>
      </c>
      <c r="J1209" s="1124">
        <f t="shared" si="367"/>
        <v>0.06</v>
      </c>
      <c r="K1209" s="1124">
        <f t="shared" si="367"/>
        <v>0.06</v>
      </c>
      <c r="L1209" s="1124">
        <f t="shared" si="367"/>
        <v>0.06</v>
      </c>
      <c r="M1209" s="1124">
        <f t="shared" si="367"/>
        <v>0.06</v>
      </c>
      <c r="N1209" s="1124">
        <f t="shared" si="367"/>
        <v>0.06</v>
      </c>
      <c r="O1209" s="1124"/>
    </row>
    <row r="1210" spans="2:20">
      <c r="B1210" s="998" t="s">
        <v>2137</v>
      </c>
      <c r="D1210" s="1003">
        <f t="shared" ref="D1210:N1210" ca="1" si="368">-D1209*C1217</f>
        <v>-58.08</v>
      </c>
      <c r="E1210" s="1003">
        <f t="shared" ca="1" si="368"/>
        <v>-67.08</v>
      </c>
      <c r="F1210" s="1003">
        <f t="shared" ca="1" si="368"/>
        <v>-67.08</v>
      </c>
      <c r="G1210" s="1003">
        <f t="shared" ca="1" si="368"/>
        <v>-73.08</v>
      </c>
      <c r="H1210" s="1003">
        <f t="shared" ca="1" si="368"/>
        <v>-73.08</v>
      </c>
      <c r="I1210" s="1003">
        <f t="shared" ca="1" si="368"/>
        <v>-79.08</v>
      </c>
      <c r="J1210" s="1003">
        <f t="shared" ca="1" si="368"/>
        <v>-79.08</v>
      </c>
      <c r="K1210" s="1003">
        <f t="shared" ca="1" si="368"/>
        <v>-85.08</v>
      </c>
      <c r="L1210" s="1003">
        <f t="shared" ca="1" si="368"/>
        <v>-85.08</v>
      </c>
      <c r="M1210" s="1003">
        <f t="shared" ca="1" si="368"/>
        <v>-85.08</v>
      </c>
      <c r="N1210" s="1003">
        <f t="shared" ca="1" si="368"/>
        <v>-85.08</v>
      </c>
      <c r="O1210" s="1003"/>
    </row>
    <row r="1211" spans="2:20">
      <c r="B1211" s="1049" t="s">
        <v>1009</v>
      </c>
      <c r="C1211" s="1049"/>
      <c r="D1211" s="1370">
        <v>0</v>
      </c>
      <c r="E1211" s="1370">
        <v>0</v>
      </c>
      <c r="F1211" s="1370">
        <v>0</v>
      </c>
      <c r="G1211" s="1370">
        <v>0</v>
      </c>
      <c r="H1211" s="1370">
        <v>0</v>
      </c>
      <c r="I1211" s="1370">
        <v>0</v>
      </c>
      <c r="J1211" s="1370">
        <v>0</v>
      </c>
      <c r="K1211" s="1370">
        <v>0</v>
      </c>
      <c r="L1211" s="1370">
        <v>0</v>
      </c>
      <c r="M1211" s="1370">
        <v>0</v>
      </c>
      <c r="N1211" s="1370">
        <v>0</v>
      </c>
      <c r="O1211" s="1124"/>
      <c r="R1211" s="998" t="s">
        <v>2138</v>
      </c>
      <c r="T1211" s="1148">
        <f ca="1">Model!O174</f>
        <v>61.49060137316178</v>
      </c>
    </row>
    <row r="1212" spans="2:20">
      <c r="B1212" s="1031" t="s">
        <v>320</v>
      </c>
      <c r="C1212" s="1031"/>
      <c r="D1212" s="1030">
        <f ca="1">D1207+D1210+D1211</f>
        <v>-100.41822915110647</v>
      </c>
      <c r="E1212" s="1030">
        <f t="shared" ref="E1212:N1212" ca="1" si="369">E1207+E1210+E1211</f>
        <v>-101.37482709193189</v>
      </c>
      <c r="F1212" s="1030">
        <f t="shared" ca="1" si="369"/>
        <v>-84.660890161809888</v>
      </c>
      <c r="G1212" s="1030">
        <f t="shared" ca="1" si="369"/>
        <v>-100.47844436668696</v>
      </c>
      <c r="H1212" s="1030">
        <f t="shared" ca="1" si="369"/>
        <v>-79.383636612537416</v>
      </c>
      <c r="I1212" s="1030">
        <f t="shared" ca="1" si="369"/>
        <v>-99.685046274615033</v>
      </c>
      <c r="J1212" s="1030">
        <f t="shared" ca="1" si="369"/>
        <v>-75.886928373181306</v>
      </c>
      <c r="K1212" s="1030">
        <f t="shared" ca="1" si="369"/>
        <v>-56.833144613992133</v>
      </c>
      <c r="L1212" s="1030">
        <f t="shared" ca="1" si="369"/>
        <v>-30.49874906098502</v>
      </c>
      <c r="M1212" s="1030">
        <f t="shared" ca="1" si="369"/>
        <v>-2.8596392489303213</v>
      </c>
      <c r="N1212" s="1030">
        <f t="shared" ca="1" si="369"/>
        <v>163.27794855685761</v>
      </c>
      <c r="O1212" s="1030"/>
      <c r="R1212" s="1147" t="s">
        <v>2170</v>
      </c>
      <c r="T1212" s="1148">
        <f ca="1">C1200</f>
        <v>435.20214373250298</v>
      </c>
    </row>
    <row r="1213" spans="2:20">
      <c r="B1213" s="1049"/>
      <c r="C1213" s="1049"/>
      <c r="D1213" s="1049"/>
      <c r="E1213" s="1049"/>
      <c r="F1213" s="1049"/>
      <c r="G1213" s="1049"/>
      <c r="H1213" s="1049"/>
      <c r="I1213" s="1049"/>
      <c r="J1213" s="1049"/>
      <c r="K1213" s="1049"/>
      <c r="L1213" s="1049"/>
      <c r="M1213" s="1049"/>
      <c r="N1213" s="1049"/>
      <c r="O1213" s="1049"/>
      <c r="R1213" s="1147" t="s">
        <v>2178</v>
      </c>
      <c r="T1213" s="1148">
        <f>-Model!O144</f>
        <v>-204.84000000000003</v>
      </c>
    </row>
    <row r="1214" spans="2:20">
      <c r="B1214" s="998" t="s">
        <v>2139</v>
      </c>
      <c r="C1214" s="1148"/>
      <c r="D1214" s="998">
        <v>75</v>
      </c>
      <c r="F1214" s="998">
        <v>50</v>
      </c>
      <c r="H1214" s="998">
        <v>50</v>
      </c>
      <c r="J1214" s="998">
        <v>50</v>
      </c>
      <c r="O1214" s="998">
        <f>SUM(D1214:J1214)</f>
        <v>225</v>
      </c>
      <c r="R1214" s="1147" t="s">
        <v>2171</v>
      </c>
      <c r="T1214" s="1148">
        <v>-200</v>
      </c>
    </row>
    <row r="1215" spans="2:20">
      <c r="B1215" s="1049" t="s">
        <v>2140</v>
      </c>
      <c r="C1215" s="1234"/>
      <c r="D1215" s="1049">
        <v>150</v>
      </c>
      <c r="E1215" s="1049"/>
      <c r="F1215" s="1049">
        <v>100</v>
      </c>
      <c r="G1215" s="1049"/>
      <c r="H1215" s="1049">
        <v>100</v>
      </c>
      <c r="I1215" s="1049"/>
      <c r="J1215" s="1049">
        <v>100</v>
      </c>
      <c r="K1215" s="1049"/>
      <c r="L1215" s="1049"/>
      <c r="M1215" s="1049"/>
      <c r="N1215" s="1049"/>
      <c r="O1215" s="1370">
        <f>SUM(D1215:J1215)</f>
        <v>450</v>
      </c>
      <c r="R1215" s="1031" t="s">
        <v>2172</v>
      </c>
      <c r="S1215" s="1031"/>
      <c r="T1215" s="1368">
        <f ca="1">T1211+T1212+T1213+T1214</f>
        <v>91.852745105664724</v>
      </c>
    </row>
    <row r="1216" spans="2:20">
      <c r="C1216" s="1148"/>
      <c r="O1216" s="1228">
        <f>O1214+O1215</f>
        <v>675</v>
      </c>
    </row>
    <row r="1217" spans="2:27">
      <c r="B1217" s="1049" t="s">
        <v>2176</v>
      </c>
      <c r="C1217" s="1234">
        <f ca="1">T1217+T1214</f>
        <v>968</v>
      </c>
      <c r="D1217" s="1234">
        <f ca="1">C1217+D1215</f>
        <v>1118</v>
      </c>
      <c r="E1217" s="1234">
        <f t="shared" ref="E1217:N1217" ca="1" si="370">D1217+E1215</f>
        <v>1118</v>
      </c>
      <c r="F1217" s="1234">
        <f t="shared" ca="1" si="370"/>
        <v>1218</v>
      </c>
      <c r="G1217" s="1234">
        <f t="shared" ca="1" si="370"/>
        <v>1218</v>
      </c>
      <c r="H1217" s="1234">
        <f t="shared" ca="1" si="370"/>
        <v>1318</v>
      </c>
      <c r="I1217" s="1234">
        <f t="shared" ca="1" si="370"/>
        <v>1318</v>
      </c>
      <c r="J1217" s="1234">
        <f t="shared" ca="1" si="370"/>
        <v>1418</v>
      </c>
      <c r="K1217" s="1234">
        <f t="shared" ca="1" si="370"/>
        <v>1418</v>
      </c>
      <c r="L1217" s="1234">
        <f t="shared" ca="1" si="370"/>
        <v>1418</v>
      </c>
      <c r="M1217" s="1234">
        <f t="shared" ca="1" si="370"/>
        <v>1418</v>
      </c>
      <c r="N1217" s="1234">
        <f t="shared" ca="1" si="370"/>
        <v>1418</v>
      </c>
      <c r="O1217" s="1234"/>
      <c r="R1217" s="998" t="s">
        <v>2173</v>
      </c>
      <c r="T1217" s="1148">
        <f ca="1">Model!O173-Model!O171</f>
        <v>1168</v>
      </c>
    </row>
    <row r="1218" spans="2:27">
      <c r="B1218" s="1369" t="s">
        <v>2177</v>
      </c>
      <c r="C1218" s="1227">
        <f ca="1">T1211+T1212+T1213+T1214</f>
        <v>91.852745105664724</v>
      </c>
      <c r="D1218" s="1227">
        <f t="shared" ref="D1218:N1218" ca="1" si="371">C1218+D1212+D1215+D1214</f>
        <v>216.43451595455826</v>
      </c>
      <c r="E1218" s="1227">
        <f t="shared" ca="1" si="371"/>
        <v>115.05968886262637</v>
      </c>
      <c r="F1218" s="1227">
        <f t="shared" ca="1" si="371"/>
        <v>180.39879870081649</v>
      </c>
      <c r="G1218" s="1227">
        <f t="shared" ca="1" si="371"/>
        <v>79.920354334129527</v>
      </c>
      <c r="H1218" s="1227">
        <f t="shared" ca="1" si="371"/>
        <v>150.53671772159211</v>
      </c>
      <c r="I1218" s="1227">
        <f t="shared" ca="1" si="371"/>
        <v>50.851671446977079</v>
      </c>
      <c r="J1218" s="1227">
        <f t="shared" ca="1" si="371"/>
        <v>124.96474307379577</v>
      </c>
      <c r="K1218" s="1227">
        <f t="shared" ca="1" si="371"/>
        <v>68.131598459803641</v>
      </c>
      <c r="L1218" s="1227">
        <f t="shared" ca="1" si="371"/>
        <v>37.632849398818621</v>
      </c>
      <c r="M1218" s="1227">
        <f t="shared" ca="1" si="371"/>
        <v>34.7732101498883</v>
      </c>
      <c r="N1218" s="1227">
        <f t="shared" ca="1" si="371"/>
        <v>198.05115870674592</v>
      </c>
      <c r="O1218" s="1227"/>
      <c r="R1218" s="1147" t="s">
        <v>2171</v>
      </c>
      <c r="T1218" s="1148">
        <v>-200</v>
      </c>
    </row>
    <row r="1219" spans="2:27">
      <c r="B1219" s="1051" t="s">
        <v>1570</v>
      </c>
      <c r="C1219" s="1128">
        <f ca="1">C1217-C1218</f>
        <v>876.14725489433522</v>
      </c>
      <c r="D1219" s="1128">
        <f t="shared" ref="D1219:N1219" ca="1" si="372">C1219-D1212-D1214</f>
        <v>901.56548404544174</v>
      </c>
      <c r="E1219" s="1128">
        <f t="shared" ca="1" si="372"/>
        <v>1002.9403111373737</v>
      </c>
      <c r="F1219" s="1128">
        <f t="shared" ca="1" si="372"/>
        <v>1037.6012012991835</v>
      </c>
      <c r="G1219" s="1128">
        <f t="shared" ca="1" si="372"/>
        <v>1138.0796456658704</v>
      </c>
      <c r="H1219" s="1128">
        <f t="shared" ca="1" si="372"/>
        <v>1167.4632822784079</v>
      </c>
      <c r="I1219" s="1128">
        <f t="shared" ca="1" si="372"/>
        <v>1267.1483285530228</v>
      </c>
      <c r="J1219" s="1128">
        <f t="shared" ca="1" si="372"/>
        <v>1293.0352569262041</v>
      </c>
      <c r="K1219" s="1128">
        <f t="shared" ca="1" si="372"/>
        <v>1349.8684015401961</v>
      </c>
      <c r="L1219" s="1128">
        <f t="shared" ca="1" si="372"/>
        <v>1380.3671506011813</v>
      </c>
      <c r="M1219" s="1128">
        <f t="shared" ca="1" si="372"/>
        <v>1383.2267898501116</v>
      </c>
      <c r="N1219" s="1128">
        <f t="shared" ca="1" si="372"/>
        <v>1219.948841293254</v>
      </c>
      <c r="O1219" s="1128"/>
      <c r="R1219" s="1031" t="s">
        <v>2174</v>
      </c>
      <c r="S1219" s="1031"/>
      <c r="T1219" s="1368">
        <f ca="1">T1217+T1218</f>
        <v>968</v>
      </c>
    </row>
    <row r="1220" spans="2:27">
      <c r="B1220" s="1120" t="s">
        <v>1825</v>
      </c>
      <c r="C1220" s="1361">
        <f t="shared" ref="C1220:N1220" ca="1" si="373">C1219/(C1203+C1205)</f>
        <v>10.296225029670623</v>
      </c>
      <c r="D1220" s="1361">
        <f t="shared" ca="1" si="373"/>
        <v>9.2614921363700891</v>
      </c>
      <c r="E1220" s="1361">
        <f t="shared" ca="1" si="373"/>
        <v>9.0663138507738115</v>
      </c>
      <c r="F1220" s="1361">
        <f t="shared" ca="1" si="373"/>
        <v>8.1481405708537196</v>
      </c>
      <c r="G1220" s="1361">
        <f t="shared" ca="1" si="373"/>
        <v>7.7617920142964323</v>
      </c>
      <c r="H1220" s="1361">
        <f t="shared" ca="1" si="373"/>
        <v>6.9666532731779949</v>
      </c>
      <c r="I1220" s="1361">
        <f t="shared" ca="1" si="373"/>
        <v>6.6827044710373711</v>
      </c>
      <c r="J1220" s="1361">
        <f t="shared" ca="1" si="373"/>
        <v>6.0557307473860256</v>
      </c>
      <c r="K1220" s="1361">
        <f t="shared" ca="1" si="373"/>
        <v>5.655429813501974</v>
      </c>
      <c r="L1220" s="1361">
        <f t="shared" ca="1" si="373"/>
        <v>5.2063897110334283</v>
      </c>
      <c r="M1220" s="1361">
        <f t="shared" ca="1" si="373"/>
        <v>4.7228633941519149</v>
      </c>
      <c r="N1220" s="1361">
        <f t="shared" ca="1" si="373"/>
        <v>3.827033699969276</v>
      </c>
      <c r="O1220" s="1361"/>
    </row>
    <row r="1221" spans="2:27">
      <c r="C1221" s="1148"/>
    </row>
    <row r="1229" spans="2:27">
      <c r="D1229" s="1148"/>
      <c r="E1229" s="1148"/>
      <c r="F1229" s="1148"/>
      <c r="G1229" s="1148"/>
      <c r="H1229" s="1148"/>
      <c r="I1229" s="1148"/>
      <c r="J1229" s="1148"/>
      <c r="K1229" s="1148"/>
      <c r="L1229" s="1148"/>
      <c r="M1229" s="1148"/>
      <c r="N1229" s="1148"/>
    </row>
    <row r="1230" spans="2:27">
      <c r="B1230" s="1011" t="s">
        <v>1827</v>
      </c>
      <c r="C1230" s="1011">
        <f>C1202</f>
        <v>2025</v>
      </c>
      <c r="D1230" s="1011">
        <f t="shared" ref="D1230:N1230" si="374">D1202</f>
        <v>2026</v>
      </c>
      <c r="E1230" s="1011">
        <f t="shared" si="374"/>
        <v>2027</v>
      </c>
      <c r="F1230" s="1011">
        <f t="shared" si="374"/>
        <v>2028</v>
      </c>
      <c r="G1230" s="1011">
        <f t="shared" si="374"/>
        <v>2029</v>
      </c>
      <c r="H1230" s="1011">
        <f t="shared" si="374"/>
        <v>2030</v>
      </c>
      <c r="I1230" s="1011">
        <f t="shared" si="374"/>
        <v>2031</v>
      </c>
      <c r="J1230" s="1011">
        <f t="shared" si="374"/>
        <v>2032</v>
      </c>
      <c r="K1230" s="1011">
        <f t="shared" si="374"/>
        <v>2033</v>
      </c>
      <c r="L1230" s="1011">
        <f t="shared" si="374"/>
        <v>2034</v>
      </c>
      <c r="M1230" s="1011">
        <f t="shared" si="374"/>
        <v>2035</v>
      </c>
      <c r="N1230" s="1011">
        <f t="shared" si="374"/>
        <v>2036</v>
      </c>
    </row>
    <row r="1231" spans="2:27">
      <c r="B1231" s="1045" t="s">
        <v>1880</v>
      </c>
      <c r="C1231" s="1045"/>
      <c r="D1231" s="1149">
        <f ca="1">D1207</f>
        <v>-42.338229151106475</v>
      </c>
      <c r="E1231" s="1149">
        <f t="shared" ref="E1231:N1231" ca="1" si="375">E1207</f>
        <v>-34.294827091931893</v>
      </c>
      <c r="F1231" s="1149">
        <f t="shared" ca="1" si="375"/>
        <v>-17.58089016180989</v>
      </c>
      <c r="G1231" s="1149">
        <f t="shared" ca="1" si="375"/>
        <v>-27.398444366686959</v>
      </c>
      <c r="H1231" s="1149">
        <f t="shared" ca="1" si="375"/>
        <v>-6.3036366125374172</v>
      </c>
      <c r="I1231" s="1149">
        <f t="shared" ca="1" si="375"/>
        <v>-20.605046274615034</v>
      </c>
      <c r="J1231" s="1149">
        <f t="shared" ca="1" si="375"/>
        <v>3.1930716268186927</v>
      </c>
      <c r="K1231" s="1149">
        <f t="shared" ca="1" si="375"/>
        <v>28.246855386007866</v>
      </c>
      <c r="L1231" s="1149">
        <f t="shared" ca="1" si="375"/>
        <v>54.581250939014978</v>
      </c>
      <c r="M1231" s="1149">
        <f t="shared" ca="1" si="375"/>
        <v>82.220360751069677</v>
      </c>
      <c r="N1231" s="1149">
        <f t="shared" ca="1" si="375"/>
        <v>248.35794855685759</v>
      </c>
      <c r="O1231" s="1148">
        <f ca="1">N1231</f>
        <v>248.35794855685759</v>
      </c>
      <c r="P1231" s="1148">
        <f t="shared" ref="P1231:AA1231" ca="1" si="376">O1231</f>
        <v>248.35794855685759</v>
      </c>
      <c r="Q1231" s="1148">
        <f t="shared" ca="1" si="376"/>
        <v>248.35794855685759</v>
      </c>
      <c r="R1231" s="1148">
        <f t="shared" ca="1" si="376"/>
        <v>248.35794855685759</v>
      </c>
      <c r="S1231" s="1148">
        <f t="shared" ca="1" si="376"/>
        <v>248.35794855685759</v>
      </c>
      <c r="T1231" s="1148">
        <f t="shared" ca="1" si="376"/>
        <v>248.35794855685759</v>
      </c>
      <c r="U1231" s="1148">
        <f t="shared" ca="1" si="376"/>
        <v>248.35794855685759</v>
      </c>
      <c r="V1231" s="1148">
        <f t="shared" ca="1" si="376"/>
        <v>248.35794855685759</v>
      </c>
      <c r="W1231" s="1148">
        <f t="shared" ca="1" si="376"/>
        <v>248.35794855685759</v>
      </c>
      <c r="X1231" s="1148">
        <f t="shared" ca="1" si="376"/>
        <v>248.35794855685759</v>
      </c>
      <c r="Y1231" s="1148">
        <f t="shared" ca="1" si="376"/>
        <v>248.35794855685759</v>
      </c>
      <c r="Z1231" s="1148">
        <f t="shared" ca="1" si="376"/>
        <v>248.35794855685759</v>
      </c>
      <c r="AA1231" s="1148">
        <f t="shared" ca="1" si="376"/>
        <v>248.35794855685759</v>
      </c>
    </row>
    <row r="1232" spans="2:27">
      <c r="B1232" s="1031"/>
      <c r="D1232" s="1148"/>
      <c r="E1232" s="1148"/>
      <c r="F1232" s="1148"/>
      <c r="G1232" s="1148"/>
      <c r="H1232" s="1148"/>
      <c r="I1232" s="1148"/>
      <c r="J1232" s="1148"/>
      <c r="K1232" s="1148"/>
      <c r="L1232" s="1148"/>
      <c r="M1232" s="1148"/>
      <c r="N1232" s="1148"/>
    </row>
    <row r="1233" spans="2:27">
      <c r="B1233" s="1049" t="s">
        <v>355</v>
      </c>
      <c r="C1233" s="1049"/>
      <c r="D1233" s="1124">
        <f t="shared" ref="D1233:AA1233" ca="1" si="377">IF(D1231&lt;0,0,30%)</f>
        <v>0</v>
      </c>
      <c r="E1233" s="1124">
        <f t="shared" ca="1" si="377"/>
        <v>0</v>
      </c>
      <c r="F1233" s="1124">
        <f t="shared" ca="1" si="377"/>
        <v>0</v>
      </c>
      <c r="G1233" s="1124">
        <f t="shared" ca="1" si="377"/>
        <v>0</v>
      </c>
      <c r="H1233" s="1124">
        <f t="shared" ca="1" si="377"/>
        <v>0</v>
      </c>
      <c r="I1233" s="1124">
        <f t="shared" ca="1" si="377"/>
        <v>0</v>
      </c>
      <c r="J1233" s="1124">
        <f t="shared" ca="1" si="377"/>
        <v>0.3</v>
      </c>
      <c r="K1233" s="1124">
        <f t="shared" ca="1" si="377"/>
        <v>0.3</v>
      </c>
      <c r="L1233" s="1124">
        <f t="shared" ca="1" si="377"/>
        <v>0.3</v>
      </c>
      <c r="M1233" s="1124">
        <f t="shared" ca="1" si="377"/>
        <v>0.3</v>
      </c>
      <c r="N1233" s="1124">
        <f t="shared" ca="1" si="377"/>
        <v>0.3</v>
      </c>
      <c r="O1233" s="1363">
        <f t="shared" ca="1" si="377"/>
        <v>0.3</v>
      </c>
      <c r="P1233" s="1363">
        <f t="shared" ca="1" si="377"/>
        <v>0.3</v>
      </c>
      <c r="Q1233" s="1363">
        <f t="shared" ca="1" si="377"/>
        <v>0.3</v>
      </c>
      <c r="R1233" s="1363">
        <f t="shared" ca="1" si="377"/>
        <v>0.3</v>
      </c>
      <c r="S1233" s="1363">
        <f t="shared" ca="1" si="377"/>
        <v>0.3</v>
      </c>
      <c r="T1233" s="1363">
        <f t="shared" ca="1" si="377"/>
        <v>0.3</v>
      </c>
      <c r="U1233" s="1363">
        <f t="shared" ca="1" si="377"/>
        <v>0.3</v>
      </c>
      <c r="V1233" s="1363">
        <f t="shared" ca="1" si="377"/>
        <v>0.3</v>
      </c>
      <c r="W1233" s="1363">
        <f t="shared" ca="1" si="377"/>
        <v>0.3</v>
      </c>
      <c r="X1233" s="1363">
        <f t="shared" ca="1" si="377"/>
        <v>0.3</v>
      </c>
      <c r="Y1233" s="1363">
        <f t="shared" ca="1" si="377"/>
        <v>0.3</v>
      </c>
      <c r="Z1233" s="1363">
        <f t="shared" ca="1" si="377"/>
        <v>0.3</v>
      </c>
      <c r="AA1233" s="1363">
        <f t="shared" ca="1" si="377"/>
        <v>0.3</v>
      </c>
    </row>
    <row r="1234" spans="2:27">
      <c r="B1234" s="998" t="s">
        <v>320</v>
      </c>
      <c r="D1234" s="1148">
        <f t="shared" ref="D1234:N1234" ca="1" si="378">D1231*(1-D1233)</f>
        <v>-42.338229151106475</v>
      </c>
      <c r="E1234" s="1148">
        <f t="shared" ca="1" si="378"/>
        <v>-34.294827091931893</v>
      </c>
      <c r="F1234" s="1148">
        <f t="shared" ca="1" si="378"/>
        <v>-17.58089016180989</v>
      </c>
      <c r="G1234" s="1148">
        <f t="shared" ca="1" si="378"/>
        <v>-27.398444366686959</v>
      </c>
      <c r="H1234" s="1148">
        <f t="shared" ca="1" si="378"/>
        <v>-6.3036366125374172</v>
      </c>
      <c r="I1234" s="1148">
        <f t="shared" ca="1" si="378"/>
        <v>-20.605046274615034</v>
      </c>
      <c r="J1234" s="1148">
        <f t="shared" ca="1" si="378"/>
        <v>2.2351501387730845</v>
      </c>
      <c r="K1234" s="1148">
        <f t="shared" ca="1" si="378"/>
        <v>19.772798770205505</v>
      </c>
      <c r="L1234" s="1148">
        <f t="shared" ca="1" si="378"/>
        <v>38.206875657310484</v>
      </c>
      <c r="M1234" s="1148">
        <f t="shared" ca="1" si="378"/>
        <v>57.554252525748772</v>
      </c>
      <c r="N1234" s="1148">
        <f t="shared" ca="1" si="378"/>
        <v>173.85056398980029</v>
      </c>
    </row>
    <row r="1235" spans="2:27">
      <c r="B1235" s="1049" t="s">
        <v>1549</v>
      </c>
      <c r="C1235" s="1049"/>
      <c r="D1235" s="1234">
        <v>1</v>
      </c>
      <c r="E1235" s="1234">
        <f>D1235+1</f>
        <v>2</v>
      </c>
      <c r="F1235" s="1234">
        <f t="shared" ref="F1235:N1235" si="379">E1235+1</f>
        <v>3</v>
      </c>
      <c r="G1235" s="1234">
        <f t="shared" si="379"/>
        <v>4</v>
      </c>
      <c r="H1235" s="1234">
        <f t="shared" si="379"/>
        <v>5</v>
      </c>
      <c r="I1235" s="1234">
        <f t="shared" si="379"/>
        <v>6</v>
      </c>
      <c r="J1235" s="1234">
        <f t="shared" si="379"/>
        <v>7</v>
      </c>
      <c r="K1235" s="1234">
        <f t="shared" si="379"/>
        <v>8</v>
      </c>
      <c r="L1235" s="1234">
        <f t="shared" si="379"/>
        <v>9</v>
      </c>
      <c r="M1235" s="1234">
        <f t="shared" si="379"/>
        <v>10</v>
      </c>
      <c r="N1235" s="1234">
        <f t="shared" si="379"/>
        <v>11</v>
      </c>
    </row>
    <row r="1236" spans="2:27">
      <c r="D1236" s="1148"/>
      <c r="E1236" s="1148"/>
      <c r="F1236" s="1148"/>
      <c r="G1236" s="1148"/>
      <c r="H1236" s="1148"/>
      <c r="I1236" s="1148"/>
      <c r="J1236" s="1148"/>
      <c r="K1236" s="1148"/>
      <c r="L1236" s="1148"/>
      <c r="M1236" s="1148"/>
      <c r="N1236" s="1148"/>
    </row>
    <row r="1237" spans="2:27">
      <c r="B1237" s="1049" t="s">
        <v>1876</v>
      </c>
      <c r="C1237" s="1234">
        <f ca="1">Value!O15</f>
        <v>898.49039862683833</v>
      </c>
      <c r="D1237" s="1234">
        <f t="shared" ref="D1237" ca="1" si="380">IF(D1231&lt;0,C1237-D1231,C1237-D1231*0.6)</f>
        <v>940.8286277779448</v>
      </c>
      <c r="E1237" s="1234">
        <f t="shared" ref="E1237" ca="1" si="381">IF(E1231&lt;0,D1237-E1231,D1237-E1231*0.6)</f>
        <v>975.1234548698767</v>
      </c>
      <c r="F1237" s="1234">
        <f t="shared" ref="F1237" ca="1" si="382">IF(F1231&lt;0,E1237-F1231,E1237-F1231*0.6)</f>
        <v>992.70434503168656</v>
      </c>
      <c r="G1237" s="1234">
        <f t="shared" ref="G1237" ca="1" si="383">IF(G1231&lt;0,F1237-G1231,F1237-G1231*0.6)</f>
        <v>1020.1027893983735</v>
      </c>
      <c r="H1237" s="1234">
        <f t="shared" ref="H1237" ca="1" si="384">IF(H1231&lt;0,G1237-H1231,G1237-H1231*0.6)</f>
        <v>1026.406426010911</v>
      </c>
      <c r="I1237" s="1234">
        <f t="shared" ref="I1237" ca="1" si="385">IF(I1231&lt;0,H1237-I1231,H1237-I1231*0.6)</f>
        <v>1047.011472285526</v>
      </c>
      <c r="J1237" s="1234">
        <f t="shared" ref="J1237" ca="1" si="386">IF(J1231&lt;0,I1237-J1231,I1237-J1231*0.6)</f>
        <v>1045.0956293094348</v>
      </c>
      <c r="K1237" s="1234">
        <f t="shared" ref="K1237" ca="1" si="387">IF(K1231&lt;0,J1237-K1231,J1237-K1231*0.6)</f>
        <v>1028.14751607783</v>
      </c>
      <c r="L1237" s="1234">
        <f t="shared" ref="L1237" ca="1" si="388">IF(L1231&lt;0,K1237-L1231,K1237-L1231*0.6)</f>
        <v>995.39876551442103</v>
      </c>
      <c r="M1237" s="1234">
        <f t="shared" ref="M1237" ca="1" si="389">IF(M1231&lt;0,L1237-M1231,L1237-M1231*0.6)</f>
        <v>946.06654906377923</v>
      </c>
      <c r="N1237" s="1234">
        <f t="shared" ref="N1237" ca="1" si="390">IF(N1231&lt;0,M1237-N1231,M1237-N1231*0.6)</f>
        <v>797.05177992966469</v>
      </c>
      <c r="O1237" s="1148">
        <f t="shared" ref="O1237" ca="1" si="391">IF(O1231&lt;0,N1237-O1231,N1237-O1231*0.6)</f>
        <v>648.03701079555015</v>
      </c>
      <c r="P1237" s="1148">
        <f t="shared" ref="P1237" ca="1" si="392">IF(P1231&lt;0,O1237-P1231,O1237-P1231*0.6)</f>
        <v>499.0222416614356</v>
      </c>
      <c r="Q1237" s="1148">
        <f t="shared" ref="Q1237" ca="1" si="393">IF(Q1231&lt;0,P1237-Q1231,P1237-Q1231*0.6)</f>
        <v>350.00747252732106</v>
      </c>
      <c r="R1237" s="1148">
        <f t="shared" ref="R1237" ca="1" si="394">IF(R1231&lt;0,Q1237-R1231,Q1237-R1231*0.6)</f>
        <v>200.99270339320651</v>
      </c>
      <c r="S1237" s="1148">
        <f t="shared" ref="S1237" ca="1" si="395">IF(S1231&lt;0,R1237-S1231,R1237-S1231*0.6)</f>
        <v>51.977934259091967</v>
      </c>
      <c r="T1237" s="1148">
        <f t="shared" ref="T1237" ca="1" si="396">IF(T1231&lt;0,S1237-T1231,S1237-T1231*0.6)</f>
        <v>-97.036834875022578</v>
      </c>
      <c r="U1237" s="1148">
        <f t="shared" ref="U1237" ca="1" si="397">IF(U1231&lt;0,T1237-U1231,T1237-U1231*0.6)</f>
        <v>-246.05160400913712</v>
      </c>
      <c r="V1237" s="1148">
        <f t="shared" ref="V1237" ca="1" si="398">IF(V1231&lt;0,U1237-V1231,U1237-V1231*0.6)</f>
        <v>-395.06637314325167</v>
      </c>
      <c r="W1237" s="1148">
        <f t="shared" ref="W1237" ca="1" si="399">IF(W1231&lt;0,V1237-W1231,V1237-W1231*0.6)</f>
        <v>-544.08114227736621</v>
      </c>
      <c r="X1237" s="1148">
        <f t="shared" ref="X1237" ca="1" si="400">IF(X1231&lt;0,W1237-X1231,W1237-X1231*0.6)</f>
        <v>-693.09591141148076</v>
      </c>
      <c r="Y1237" s="1148">
        <f t="shared" ref="Y1237" ca="1" si="401">IF(Y1231&lt;0,X1237-Y1231,X1237-Y1231*0.6)</f>
        <v>-842.1106805455953</v>
      </c>
      <c r="Z1237" s="1148">
        <f t="shared" ref="Z1237" ca="1" si="402">IF(Z1231&lt;0,Y1237-Z1231,Y1237-Z1231*0.6)</f>
        <v>-991.12544967970985</v>
      </c>
      <c r="AA1237" s="1148">
        <f t="shared" ref="AA1237" ca="1" si="403">IF(AA1231&lt;0,Z1237-AA1231,Z1237-AA1231*0.6)</f>
        <v>-1140.1402188138245</v>
      </c>
    </row>
    <row r="1238" spans="2:27">
      <c r="B1238" s="998" t="s">
        <v>361</v>
      </c>
      <c r="D1238" s="1148">
        <f t="shared" ref="D1238:AA1238" ca="1" si="404">IF(D1237&gt;0,IF(D1231&gt;0,D1231*0.6*D1233,0),0)</f>
        <v>0</v>
      </c>
      <c r="E1238" s="1148">
        <f t="shared" ca="1" si="404"/>
        <v>0</v>
      </c>
      <c r="F1238" s="1148">
        <f t="shared" ca="1" si="404"/>
        <v>0</v>
      </c>
      <c r="G1238" s="1148">
        <f t="shared" ca="1" si="404"/>
        <v>0</v>
      </c>
      <c r="H1238" s="1148">
        <f t="shared" ca="1" si="404"/>
        <v>0</v>
      </c>
      <c r="I1238" s="1148">
        <f t="shared" ca="1" si="404"/>
        <v>0</v>
      </c>
      <c r="J1238" s="1148">
        <f t="shared" ca="1" si="404"/>
        <v>0.57475289282736464</v>
      </c>
      <c r="K1238" s="1148">
        <f t="shared" ca="1" si="404"/>
        <v>5.0844339694814158</v>
      </c>
      <c r="L1238" s="1148">
        <f t="shared" ca="1" si="404"/>
        <v>9.8246251690226938</v>
      </c>
      <c r="M1238" s="1148">
        <f t="shared" ca="1" si="404"/>
        <v>14.79966493519254</v>
      </c>
      <c r="N1238" s="1148">
        <f t="shared" ca="1" si="404"/>
        <v>44.704430740234365</v>
      </c>
      <c r="O1238" s="1148">
        <f t="shared" ca="1" si="404"/>
        <v>44.704430740234365</v>
      </c>
      <c r="P1238" s="1148">
        <f t="shared" ca="1" si="404"/>
        <v>44.704430740234365</v>
      </c>
      <c r="Q1238" s="1148">
        <f t="shared" ca="1" si="404"/>
        <v>44.704430740234365</v>
      </c>
      <c r="R1238" s="1148">
        <f t="shared" ca="1" si="404"/>
        <v>44.704430740234365</v>
      </c>
      <c r="S1238" s="1148">
        <f t="shared" ca="1" si="404"/>
        <v>44.704430740234365</v>
      </c>
      <c r="T1238" s="1148">
        <f t="shared" ca="1" si="404"/>
        <v>0</v>
      </c>
      <c r="U1238" s="1148">
        <f t="shared" ca="1" si="404"/>
        <v>0</v>
      </c>
      <c r="V1238" s="1148">
        <f t="shared" ca="1" si="404"/>
        <v>0</v>
      </c>
      <c r="W1238" s="1148">
        <f t="shared" ca="1" si="404"/>
        <v>0</v>
      </c>
      <c r="X1238" s="1148">
        <f t="shared" ca="1" si="404"/>
        <v>0</v>
      </c>
      <c r="Y1238" s="1148">
        <f t="shared" ca="1" si="404"/>
        <v>0</v>
      </c>
      <c r="Z1238" s="1148">
        <f t="shared" ca="1" si="404"/>
        <v>0</v>
      </c>
      <c r="AA1238" s="1148">
        <f t="shared" ca="1" si="404"/>
        <v>0</v>
      </c>
    </row>
    <row r="1239" spans="2:27">
      <c r="B1239" s="1049"/>
      <c r="C1239" s="1049"/>
      <c r="D1239" s="1234"/>
      <c r="E1239" s="1234"/>
      <c r="F1239" s="1234"/>
      <c r="G1239" s="1234"/>
      <c r="H1239" s="1234"/>
      <c r="I1239" s="1234"/>
      <c r="J1239" s="1234"/>
      <c r="K1239" s="1234"/>
      <c r="L1239" s="1234"/>
      <c r="M1239" s="1234"/>
      <c r="N1239" s="1234"/>
    </row>
    <row r="1240" spans="2:27">
      <c r="B1240" s="998" t="s">
        <v>323</v>
      </c>
      <c r="C1240" s="1148">
        <f ca="1">NPV(Value!$C$24,Workings!D1234:N1234)</f>
        <v>16.270466541711574</v>
      </c>
      <c r="D1240" s="1148"/>
      <c r="E1240" s="1148"/>
      <c r="F1240" s="1148"/>
      <c r="G1240" s="1148"/>
      <c r="H1240" s="1148"/>
      <c r="I1240" s="1148"/>
      <c r="J1240" s="1148"/>
      <c r="K1240" s="1148"/>
      <c r="L1240" s="1148"/>
      <c r="M1240" s="1148"/>
      <c r="N1240" s="1148"/>
    </row>
    <row r="1241" spans="2:27">
      <c r="B1241" s="1049" t="s">
        <v>326</v>
      </c>
      <c r="C1241" s="1234">
        <f ca="1">Value!$C$26*N1234/((1+Value!$C$24)^Workings!N1235)</f>
        <v>1021.9450090520728</v>
      </c>
      <c r="D1241" s="1234"/>
      <c r="E1241" s="1234"/>
      <c r="F1241" s="1234"/>
      <c r="G1241" s="1234"/>
      <c r="H1241" s="1234"/>
      <c r="I1241" s="1234"/>
      <c r="J1241" s="1234"/>
      <c r="K1241" s="1234"/>
      <c r="L1241" s="1234"/>
      <c r="M1241" s="1234"/>
      <c r="N1241" s="1234"/>
    </row>
    <row r="1242" spans="2:27">
      <c r="B1242" s="998" t="s">
        <v>2053</v>
      </c>
      <c r="C1242" s="1148">
        <f ca="1">NPV(Value!$C$24,Workings!D1238:AA1238)</f>
        <v>115.93065487180195</v>
      </c>
      <c r="D1242" s="1148"/>
      <c r="E1242" s="1148"/>
      <c r="F1242" s="1148"/>
      <c r="G1242" s="1148"/>
      <c r="H1242" s="1148"/>
      <c r="I1242" s="1148"/>
      <c r="J1242" s="1148"/>
      <c r="K1242" s="1148"/>
      <c r="L1242" s="1148"/>
      <c r="M1242" s="1148"/>
      <c r="N1242" s="1148"/>
    </row>
    <row r="1243" spans="2:27">
      <c r="B1243" s="1051" t="s">
        <v>317</v>
      </c>
      <c r="C1243" s="1128">
        <f ca="1">C1241+C1240+C1242</f>
        <v>1154.1461304655863</v>
      </c>
      <c r="D1243" s="1234"/>
      <c r="E1243" s="1234"/>
      <c r="F1243" s="1234"/>
      <c r="G1243" s="1234"/>
      <c r="H1243" s="1234"/>
      <c r="I1243" s="1234"/>
      <c r="J1243" s="1234"/>
      <c r="K1243" s="1234"/>
      <c r="L1243" s="1234"/>
      <c r="M1243" s="1234"/>
      <c r="N1243" s="1234"/>
    </row>
    <row r="1244" spans="2:27">
      <c r="B1244" s="1036" t="s">
        <v>1652</v>
      </c>
      <c r="C1244" s="1388">
        <f ca="1">C1243/(F1033+F1035)</f>
        <v>13.563186108287718</v>
      </c>
      <c r="D1244" s="1033"/>
      <c r="E1244" s="1033"/>
      <c r="F1244" s="1033"/>
      <c r="G1244" s="1033"/>
      <c r="H1244" s="1033"/>
      <c r="I1244" s="1033"/>
      <c r="J1244" s="1033"/>
      <c r="K1244" s="1033"/>
      <c r="L1244" s="1033"/>
      <c r="M1244" s="1033"/>
      <c r="N1244" s="1033"/>
    </row>
    <row r="1245" spans="2:27">
      <c r="B1245" s="1049" t="s">
        <v>2201</v>
      </c>
      <c r="C1245" s="1234">
        <f ca="1">C1025</f>
        <v>-1311.3493986268381</v>
      </c>
      <c r="D1245" s="1234"/>
      <c r="E1245" s="1234"/>
      <c r="F1245" s="1234"/>
      <c r="G1245" s="1234"/>
      <c r="H1245" s="1234"/>
      <c r="I1245" s="1234"/>
      <c r="J1245" s="1234"/>
      <c r="K1245" s="1234"/>
      <c r="L1245" s="1234"/>
      <c r="M1245" s="1234"/>
      <c r="N1245" s="1234"/>
    </row>
    <row r="1246" spans="2:27">
      <c r="B1246" s="1032" t="s">
        <v>2215</v>
      </c>
      <c r="C1246" s="1181">
        <f ca="1">C1200</f>
        <v>435.20214373250298</v>
      </c>
      <c r="D1246" s="1033"/>
      <c r="E1246" s="1033"/>
      <c r="F1246" s="1033"/>
      <c r="G1246" s="1033"/>
      <c r="H1246" s="1033"/>
      <c r="I1246" s="1033"/>
      <c r="J1246" s="1033"/>
      <c r="K1246" s="1033"/>
      <c r="L1246" s="1033"/>
      <c r="M1246" s="1033"/>
      <c r="N1246" s="1033"/>
    </row>
    <row r="1247" spans="2:27">
      <c r="B1247" s="1049" t="s">
        <v>2202</v>
      </c>
      <c r="C1247" s="1234">
        <f ca="1">-C1219</f>
        <v>-876.14725489433522</v>
      </c>
      <c r="D1247" s="1234"/>
      <c r="E1247" s="1234"/>
      <c r="F1247" s="1234"/>
      <c r="G1247" s="1234"/>
      <c r="H1247" s="1234"/>
      <c r="I1247" s="1234"/>
      <c r="J1247" s="1234"/>
      <c r="K1247" s="1234"/>
      <c r="L1247" s="1234"/>
      <c r="M1247" s="1234"/>
      <c r="N1247" s="1234"/>
    </row>
    <row r="1248" spans="2:27">
      <c r="C1248" s="1148"/>
      <c r="D1248" s="1148"/>
      <c r="E1248" s="1148"/>
      <c r="F1248" s="1148"/>
      <c r="G1248" s="1148"/>
      <c r="H1248" s="1148"/>
      <c r="I1248" s="1148"/>
      <c r="J1248" s="1148"/>
      <c r="K1248" s="1148"/>
      <c r="L1248" s="1148"/>
      <c r="M1248" s="1148"/>
      <c r="N1248" s="1148"/>
    </row>
    <row r="1249" spans="2:14">
      <c r="B1249" s="1235" t="s">
        <v>315</v>
      </c>
      <c r="C1249" s="1371">
        <f ca="1">C1243+C1247</f>
        <v>277.99887557125112</v>
      </c>
      <c r="D1249" s="1372"/>
      <c r="E1249" s="1372"/>
      <c r="F1249" s="1372"/>
      <c r="G1249" s="1372"/>
      <c r="H1249" s="1372"/>
      <c r="I1249" s="1372"/>
      <c r="J1249" s="1372"/>
      <c r="K1249" s="1372"/>
      <c r="L1249" s="1372"/>
      <c r="M1249" s="1372"/>
      <c r="N1249" s="1372"/>
    </row>
    <row r="1250" spans="2:14">
      <c r="D1250" s="1148"/>
      <c r="E1250" s="1148"/>
      <c r="F1250" s="1148"/>
      <c r="G1250" s="1148"/>
      <c r="H1250" s="1148"/>
      <c r="I1250" s="1148"/>
      <c r="J1250" s="1148"/>
      <c r="K1250" s="1148"/>
      <c r="L1250" s="1148"/>
      <c r="M1250" s="1148"/>
      <c r="N1250" s="1148"/>
    </row>
    <row r="1251" spans="2:14">
      <c r="B1251" s="998" t="s">
        <v>2217</v>
      </c>
      <c r="C1251" s="1019">
        <f ca="1">Fixed!O384</f>
        <v>14.161370507187304</v>
      </c>
      <c r="D1251" s="1019">
        <f ca="1">($N$1251-$C$1251)/11+C1251</f>
        <v>14.722488881747944</v>
      </c>
      <c r="E1251" s="1019">
        <f t="shared" ref="E1251:M1251" ca="1" si="405">($N$1251-$C$1251)/11+D1251</f>
        <v>15.283607256308585</v>
      </c>
      <c r="F1251" s="1019">
        <f t="shared" ca="1" si="405"/>
        <v>15.844725630869226</v>
      </c>
      <c r="G1251" s="1019">
        <f t="shared" ca="1" si="405"/>
        <v>16.405844005429866</v>
      </c>
      <c r="H1251" s="1019">
        <f t="shared" ca="1" si="405"/>
        <v>16.966962379990505</v>
      </c>
      <c r="I1251" s="1019">
        <f t="shared" ca="1" si="405"/>
        <v>17.528080754551144</v>
      </c>
      <c r="J1251" s="1019">
        <f t="shared" ca="1" si="405"/>
        <v>18.089199129111783</v>
      </c>
      <c r="K1251" s="1019">
        <f t="shared" ca="1" si="405"/>
        <v>18.650317503672422</v>
      </c>
      <c r="L1251" s="1019">
        <f t="shared" ca="1" si="405"/>
        <v>19.211435878233061</v>
      </c>
      <c r="M1251" s="1019">
        <f t="shared" ca="1" si="405"/>
        <v>19.7725542527937</v>
      </c>
      <c r="N1251" s="1019">
        <f>(Fixed!Z330+Fixed!Z332)/2</f>
        <v>20.333672627354346</v>
      </c>
    </row>
    <row r="1252" spans="2:14">
      <c r="B1252" s="998" t="s">
        <v>2145</v>
      </c>
      <c r="C1252" s="1391">
        <v>0.5</v>
      </c>
    </row>
    <row r="1254" spans="2:14">
      <c r="B1254" s="1011" t="s">
        <v>2144</v>
      </c>
      <c r="C1254" s="1011">
        <v>2025</v>
      </c>
      <c r="D1254" s="1011">
        <f>C1254+1</f>
        <v>2026</v>
      </c>
      <c r="E1254" s="1011">
        <f t="shared" ref="E1254:N1254" si="406">D1254+1</f>
        <v>2027</v>
      </c>
      <c r="F1254" s="1011">
        <f t="shared" si="406"/>
        <v>2028</v>
      </c>
      <c r="G1254" s="1011">
        <f t="shared" si="406"/>
        <v>2029</v>
      </c>
      <c r="H1254" s="1011">
        <f t="shared" si="406"/>
        <v>2030</v>
      </c>
      <c r="I1254" s="1011">
        <f t="shared" si="406"/>
        <v>2031</v>
      </c>
      <c r="J1254" s="1011">
        <f t="shared" si="406"/>
        <v>2032</v>
      </c>
      <c r="K1254" s="1011">
        <f t="shared" si="406"/>
        <v>2033</v>
      </c>
      <c r="L1254" s="1011">
        <f t="shared" si="406"/>
        <v>2034</v>
      </c>
      <c r="M1254" s="1011">
        <f t="shared" si="406"/>
        <v>2035</v>
      </c>
      <c r="N1254" s="1011">
        <f t="shared" si="406"/>
        <v>2036</v>
      </c>
    </row>
    <row r="1255" spans="2:14">
      <c r="B1255" s="1049" t="s">
        <v>1813</v>
      </c>
      <c r="C1255" s="1234">
        <f ca="1">Fixed!O352</f>
        <v>252.27922377083641</v>
      </c>
      <c r="D1255" s="1234">
        <f ca="1">Fixed!P352</f>
        <v>272.13387207193978</v>
      </c>
      <c r="E1255" s="1234">
        <f ca="1">Fixed!Q352</f>
        <v>293.24544277755672</v>
      </c>
      <c r="F1255" s="1234">
        <f ca="1">Fixed!R352</f>
        <v>318.19886500241864</v>
      </c>
      <c r="G1255" s="1234">
        <f ca="1">Fixed!S352</f>
        <v>346.75801496930603</v>
      </c>
      <c r="H1255" s="1234">
        <f ca="1">Fixed!T352</f>
        <v>376.99774767223545</v>
      </c>
      <c r="I1255" s="1234">
        <f ca="1">Fixed!U352</f>
        <v>407.73993145735614</v>
      </c>
      <c r="J1255" s="1234">
        <f ca="1">Fixed!V352</f>
        <v>440.33396585958155</v>
      </c>
      <c r="K1255" s="1234">
        <f ca="1">Fixed!W352</f>
        <v>473.59547892987689</v>
      </c>
      <c r="L1255" s="1234">
        <f ca="1">Fixed!X352</f>
        <v>507.52151581881463</v>
      </c>
      <c r="M1255" s="1234">
        <f ca="1">Fixed!Y352</f>
        <v>542.10799110741243</v>
      </c>
      <c r="N1255" s="1234">
        <f ca="1">Fixed!Z352</f>
        <v>572.21191479357208</v>
      </c>
    </row>
    <row r="1256" spans="2:14">
      <c r="B1256" s="998" t="s">
        <v>2146</v>
      </c>
      <c r="C1256" s="1003">
        <f ca="1">-Fixed!O343*$C$1252</f>
        <v>-3.6734886062933354</v>
      </c>
      <c r="D1256" s="1003">
        <f ca="1">-Fixed!P343*$C$1252</f>
        <v>-6.1930791440355843</v>
      </c>
      <c r="E1256" s="1003">
        <f ca="1">-Fixed!Q343*$C$1252</f>
        <v>-9.7587144039443157</v>
      </c>
      <c r="F1256" s="1003">
        <f ca="1">-Fixed!R343*$C$1252</f>
        <v>-14.819610857424596</v>
      </c>
      <c r="G1256" s="1003">
        <f ca="1">-Fixed!S343*$C$1252</f>
        <v>-22.165007578634906</v>
      </c>
      <c r="H1256" s="1003">
        <f ca="1">-Fixed!T343*$C$1252</f>
        <v>-31.026507271880025</v>
      </c>
      <c r="I1256" s="1003">
        <f ca="1">-Fixed!U343*$C$1252</f>
        <v>-39.813650365611807</v>
      </c>
      <c r="J1256" s="1003">
        <f ca="1">-Fixed!V343*$C$1252</f>
        <v>-48.50774103993345</v>
      </c>
      <c r="K1256" s="1003">
        <f ca="1">-Fixed!W343*$C$1252</f>
        <v>-57.088985570404397</v>
      </c>
      <c r="L1256" s="1003">
        <f ca="1">-Fixed!X343*$C$1252</f>
        <v>-65.536445364818533</v>
      </c>
      <c r="M1256" s="1003">
        <f ca="1">-Fixed!Y343*$C$1252</f>
        <v>-73.827988292519564</v>
      </c>
      <c r="N1256" s="1003">
        <f ca="1">-Fixed!Z343*$C$1252</f>
        <v>-81.940238250257124</v>
      </c>
    </row>
    <row r="1257" spans="2:14">
      <c r="B1257" s="1049" t="s">
        <v>2216</v>
      </c>
      <c r="C1257" s="1389">
        <f ca="1">-(1-Workings!C1251/Fixed!O384)*Fixed!O376</f>
        <v>0</v>
      </c>
      <c r="D1257" s="1389">
        <f ca="1">-(1-Workings!D1251/Fixed!P384)*Fixed!P376</f>
        <v>1.9737820780465125</v>
      </c>
      <c r="E1257" s="1389">
        <f ca="1">-(1-Workings!E1251/Fixed!Q384)*Fixed!Q376</f>
        <v>1.5391479622074513</v>
      </c>
      <c r="F1257" s="1389">
        <f ca="1">-(1-Workings!F1251/Fixed!R384)*Fixed!R376</f>
        <v>-1.5222268007818194</v>
      </c>
      <c r="G1257" s="1389">
        <f ca="1">-(1-Workings!G1251/Fixed!S384)*Fixed!S376</f>
        <v>-5.5197064316391335</v>
      </c>
      <c r="H1257" s="1389">
        <f ca="1">-(1-Workings!H1251/Fixed!T384)*Fixed!T376</f>
        <v>-10.313758637844117</v>
      </c>
      <c r="I1257" s="1389">
        <f ca="1">-(1-Workings!I1251/Fixed!U384)*Fixed!U376</f>
        <v>-17.385638269220635</v>
      </c>
      <c r="J1257" s="1389">
        <f ca="1">-(1-Workings!J1251/Fixed!V384)*Fixed!V376</f>
        <v>-26.752812012721748</v>
      </c>
      <c r="K1257" s="1389">
        <f ca="1">-(1-Workings!K1251/Fixed!W384)*Fixed!W376</f>
        <v>-36.873073769931537</v>
      </c>
      <c r="L1257" s="1389">
        <f ca="1">-(1-Workings!L1251/Fixed!X384)*Fixed!X376</f>
        <v>-47.742276849456111</v>
      </c>
      <c r="M1257" s="1389">
        <f ca="1">-(1-Workings!M1251/Fixed!Y384)*Fixed!Y376</f>
        <v>-59.362692515327339</v>
      </c>
      <c r="N1257" s="1389">
        <f ca="1">-(1-Workings!N1251/Fixed!Z384)*Fixed!Z376</f>
        <v>-64.134731670348515</v>
      </c>
    </row>
    <row r="1258" spans="2:14">
      <c r="B1258" s="1036" t="s">
        <v>2150</v>
      </c>
      <c r="C1258" s="1182">
        <f ca="1">C1255+C1256+C1257</f>
        <v>248.60573516454306</v>
      </c>
      <c r="D1258" s="1182">
        <f t="shared" ref="D1258:N1258" ca="1" si="407">D1255+D1256+D1257</f>
        <v>267.91457500595067</v>
      </c>
      <c r="E1258" s="1182">
        <f t="shared" ca="1" si="407"/>
        <v>285.02587633581982</v>
      </c>
      <c r="F1258" s="1182">
        <f t="shared" ca="1" si="407"/>
        <v>301.85702734421221</v>
      </c>
      <c r="G1258" s="1182">
        <f t="shared" ca="1" si="407"/>
        <v>319.073300959032</v>
      </c>
      <c r="H1258" s="1182">
        <f t="shared" ca="1" si="407"/>
        <v>335.65748176251134</v>
      </c>
      <c r="I1258" s="1182">
        <f t="shared" ca="1" si="407"/>
        <v>350.54064282252369</v>
      </c>
      <c r="J1258" s="1182">
        <f t="shared" ca="1" si="407"/>
        <v>365.0734128069264</v>
      </c>
      <c r="K1258" s="1182">
        <f t="shared" ca="1" si="407"/>
        <v>379.63341958954095</v>
      </c>
      <c r="L1258" s="1182">
        <f t="shared" ca="1" si="407"/>
        <v>394.24279360454</v>
      </c>
      <c r="M1258" s="1182">
        <f t="shared" ca="1" si="407"/>
        <v>408.91731029956554</v>
      </c>
      <c r="N1258" s="1182">
        <f t="shared" ca="1" si="407"/>
        <v>426.13694487296641</v>
      </c>
    </row>
    <row r="1259" spans="2:14">
      <c r="B1259" s="1051"/>
      <c r="C1259" s="1051"/>
      <c r="D1259" s="1051"/>
      <c r="E1259" s="1051"/>
      <c r="F1259" s="1051"/>
      <c r="G1259" s="1051"/>
      <c r="H1259" s="1051"/>
      <c r="I1259" s="1051"/>
      <c r="J1259" s="1051"/>
      <c r="K1259" s="1051"/>
      <c r="L1259" s="1051"/>
      <c r="M1259" s="1051"/>
      <c r="N1259" s="1051"/>
    </row>
    <row r="1260" spans="2:14">
      <c r="B1260" s="1032" t="s">
        <v>2151</v>
      </c>
      <c r="C1260" s="1363">
        <f>Fixed!O359</f>
        <v>0.48</v>
      </c>
      <c r="D1260" s="1363">
        <f>Fixed!P359</f>
        <v>0.49</v>
      </c>
      <c r="E1260" s="1363">
        <f>Fixed!Q359</f>
        <v>0.5</v>
      </c>
      <c r="F1260" s="1363">
        <f>Fixed!R359</f>
        <v>0.51333333333333331</v>
      </c>
      <c r="G1260" s="1363">
        <f>Fixed!S359</f>
        <v>0.52666666666666662</v>
      </c>
      <c r="H1260" s="1363">
        <f>Fixed!T359</f>
        <v>0.53999999999999992</v>
      </c>
      <c r="I1260" s="1363">
        <f>Fixed!U359</f>
        <v>0.55333333333333323</v>
      </c>
      <c r="J1260" s="1363">
        <f>Fixed!V359</f>
        <v>0.56666666666666654</v>
      </c>
      <c r="K1260" s="1363">
        <f>Fixed!W359</f>
        <v>0.57999999999999985</v>
      </c>
      <c r="L1260" s="1363">
        <f>Fixed!X359</f>
        <v>0.59333333333333316</v>
      </c>
      <c r="M1260" s="1363">
        <f>Fixed!Y359</f>
        <v>0.60666666666666647</v>
      </c>
      <c r="N1260" s="1363">
        <f>Fixed!Z359</f>
        <v>0.62</v>
      </c>
    </row>
    <row r="1261" spans="2:14">
      <c r="B1261" s="1051" t="s">
        <v>2152</v>
      </c>
      <c r="C1261" s="1127">
        <f>C1260</f>
        <v>0.48</v>
      </c>
      <c r="D1261" s="1127">
        <f>C1261+(D1260-C1260)*$C$1252</f>
        <v>0.48499999999999999</v>
      </c>
      <c r="E1261" s="1127">
        <f t="shared" ref="E1261:N1261" si="408">D1261+(E1260-D1260)*$C$1252</f>
        <v>0.49</v>
      </c>
      <c r="F1261" s="1127">
        <f t="shared" si="408"/>
        <v>0.49666666666666665</v>
      </c>
      <c r="G1261" s="1127">
        <f t="shared" si="408"/>
        <v>0.5033333333333333</v>
      </c>
      <c r="H1261" s="1127">
        <f t="shared" si="408"/>
        <v>0.51</v>
      </c>
      <c r="I1261" s="1127">
        <f t="shared" si="408"/>
        <v>0.51666666666666661</v>
      </c>
      <c r="J1261" s="1127">
        <f t="shared" si="408"/>
        <v>0.52333333333333321</v>
      </c>
      <c r="K1261" s="1127">
        <f t="shared" si="408"/>
        <v>0.5299999999999998</v>
      </c>
      <c r="L1261" s="1127">
        <f t="shared" si="408"/>
        <v>0.5366666666666664</v>
      </c>
      <c r="M1261" s="1127">
        <f t="shared" si="408"/>
        <v>0.543333333333333</v>
      </c>
      <c r="N1261" s="1127">
        <f t="shared" si="408"/>
        <v>0.54999999999999982</v>
      </c>
    </row>
    <row r="1262" spans="2:14">
      <c r="B1262" s="1036"/>
      <c r="C1262" s="1036"/>
      <c r="D1262" s="1036"/>
      <c r="E1262" s="1036"/>
      <c r="F1262" s="1036"/>
      <c r="G1262" s="1036"/>
      <c r="H1262" s="1036"/>
      <c r="I1262" s="1036"/>
      <c r="J1262" s="1036"/>
      <c r="K1262" s="1036"/>
      <c r="L1262" s="1036"/>
      <c r="M1262" s="1036"/>
      <c r="N1262" s="1036"/>
    </row>
    <row r="1263" spans="2:14">
      <c r="B1263" s="1051" t="s">
        <v>2147</v>
      </c>
      <c r="C1263" s="1125">
        <f t="shared" ref="C1263:N1263" ca="1" si="409">C1258*C1261</f>
        <v>119.33075287898066</v>
      </c>
      <c r="D1263" s="1125">
        <f t="shared" ca="1" si="409"/>
        <v>129.93856887788607</v>
      </c>
      <c r="E1263" s="1125">
        <f t="shared" ca="1" si="409"/>
        <v>139.66267940455171</v>
      </c>
      <c r="F1263" s="1125">
        <f t="shared" ca="1" si="409"/>
        <v>149.92232358095873</v>
      </c>
      <c r="G1263" s="1125">
        <f t="shared" ca="1" si="409"/>
        <v>160.60022814937943</v>
      </c>
      <c r="H1263" s="1125">
        <f t="shared" ca="1" si="409"/>
        <v>171.1853156988808</v>
      </c>
      <c r="I1263" s="1125">
        <f t="shared" ca="1" si="409"/>
        <v>181.11266545830389</v>
      </c>
      <c r="J1263" s="1125">
        <f t="shared" ca="1" si="409"/>
        <v>191.05508603562478</v>
      </c>
      <c r="K1263" s="1125">
        <f t="shared" ca="1" si="409"/>
        <v>201.20571238245662</v>
      </c>
      <c r="L1263" s="1125">
        <f t="shared" ca="1" si="409"/>
        <v>211.57696590110302</v>
      </c>
      <c r="M1263" s="1125">
        <f t="shared" ca="1" si="409"/>
        <v>222.17840526276382</v>
      </c>
      <c r="N1263" s="1125">
        <f t="shared" ca="1" si="409"/>
        <v>234.37531968013144</v>
      </c>
    </row>
    <row r="1264" spans="2:14">
      <c r="B1264" s="1032"/>
      <c r="C1264" s="1032"/>
      <c r="D1264" s="1032"/>
      <c r="E1264" s="1032"/>
      <c r="F1264" s="1032"/>
      <c r="G1264" s="1032"/>
      <c r="H1264" s="1032"/>
      <c r="I1264" s="1032"/>
      <c r="J1264" s="1032"/>
      <c r="K1264" s="1032"/>
      <c r="L1264" s="1032"/>
      <c r="M1264" s="1032"/>
      <c r="N1264" s="1032"/>
    </row>
    <row r="1265" spans="2:14">
      <c r="B1265" s="1049" t="s">
        <v>2148</v>
      </c>
      <c r="C1265" s="1065">
        <f ca="1">C1204</f>
        <v>-129.36975487120895</v>
      </c>
      <c r="D1265" s="1065">
        <f ca="1">D1204</f>
        <v>-129.68382646635698</v>
      </c>
      <c r="E1265" s="1065">
        <f ca="1">E1204</f>
        <v>-139.91754848071025</v>
      </c>
      <c r="F1265" s="1065">
        <f ca="1">F1204</f>
        <v>-139.92297419638479</v>
      </c>
      <c r="G1265" s="1065">
        <f ca="1">G1204</f>
        <v>-169.02433225052144</v>
      </c>
      <c r="H1265" s="1065">
        <f ca="1">H1204</f>
        <v>-168.88242035554453</v>
      </c>
      <c r="I1265" s="1065">
        <f ca="1">I1204</f>
        <v>-205.22114168101874</v>
      </c>
      <c r="J1265" s="1065">
        <f ca="1">J1204</f>
        <v>-205.32950902694412</v>
      </c>
      <c r="K1265" s="1065">
        <f ca="1">K1204</f>
        <v>-205.43852239332065</v>
      </c>
      <c r="L1265" s="1065">
        <f ca="1">L1204</f>
        <v>-205.5481817801483</v>
      </c>
      <c r="M1265" s="1065">
        <f ca="1">M1204</f>
        <v>-205.65848718742711</v>
      </c>
      <c r="N1265" s="1065">
        <f ca="1">N1204</f>
        <v>-70.413438615157091</v>
      </c>
    </row>
    <row r="1266" spans="2:14">
      <c r="B1266" s="1032" t="s">
        <v>2149</v>
      </c>
      <c r="C1266" s="1396">
        <f>Fixed!O278*$C$1252</f>
        <v>30</v>
      </c>
      <c r="D1266" s="1396">
        <f>Fixed!P278*$C$1252</f>
        <v>30</v>
      </c>
      <c r="E1266" s="1396">
        <f>Fixed!Q278*$C$1252</f>
        <v>35</v>
      </c>
      <c r="F1266" s="1396">
        <f>Fixed!R278*$C$1252</f>
        <v>35</v>
      </c>
      <c r="G1266" s="1396">
        <f>Fixed!S278*$C$1252</f>
        <v>49.5625</v>
      </c>
      <c r="H1266" s="1396">
        <f>Fixed!T278*$C$1252</f>
        <v>49.5625</v>
      </c>
      <c r="I1266" s="1396">
        <f>Fixed!U278*$C$1252</f>
        <v>67.677999999999997</v>
      </c>
      <c r="J1266" s="1396">
        <f>Fixed!V278*$C$1252</f>
        <v>67.677999999999997</v>
      </c>
      <c r="K1266" s="1396">
        <f>Fixed!W278*$C$1252</f>
        <v>67.677999999999997</v>
      </c>
      <c r="L1266" s="1396">
        <f>Fixed!X278*$C$1252</f>
        <v>67.677999999999997</v>
      </c>
      <c r="M1266" s="1396">
        <f>Fixed!Y278*$C$1252</f>
        <v>67.677999999999997</v>
      </c>
      <c r="N1266" s="1396">
        <f>Fixed!Z278*$C$1252</f>
        <v>0</v>
      </c>
    </row>
    <row r="1267" spans="2:14">
      <c r="B1267" s="1049" t="str">
        <f>B1204</f>
        <v>Less: NetCo capex</v>
      </c>
      <c r="C1267" s="1065">
        <f ca="1">C1265+C1266</f>
        <v>-99.369754871208954</v>
      </c>
      <c r="D1267" s="1065">
        <f t="shared" ref="D1267:N1267" ca="1" si="410">D1265+D1266</f>
        <v>-99.683826466356976</v>
      </c>
      <c r="E1267" s="1065">
        <f t="shared" ca="1" si="410"/>
        <v>-104.91754848071025</v>
      </c>
      <c r="F1267" s="1065">
        <f t="shared" ca="1" si="410"/>
        <v>-104.92297419638479</v>
      </c>
      <c r="G1267" s="1065">
        <f t="shared" ca="1" si="410"/>
        <v>-119.46183225052144</v>
      </c>
      <c r="H1267" s="1065">
        <f t="shared" ca="1" si="410"/>
        <v>-119.31992035554453</v>
      </c>
      <c r="I1267" s="1065">
        <f t="shared" ca="1" si="410"/>
        <v>-137.54314168101874</v>
      </c>
      <c r="J1267" s="1065">
        <f t="shared" ca="1" si="410"/>
        <v>-137.65150902694413</v>
      </c>
      <c r="K1267" s="1065">
        <f t="shared" ca="1" si="410"/>
        <v>-137.76052239332066</v>
      </c>
      <c r="L1267" s="1065">
        <f t="shared" ca="1" si="410"/>
        <v>-137.8701817801483</v>
      </c>
      <c r="M1267" s="1065">
        <f t="shared" ca="1" si="410"/>
        <v>-137.98048718742712</v>
      </c>
      <c r="N1267" s="1065">
        <f t="shared" ca="1" si="410"/>
        <v>-70.413438615157091</v>
      </c>
    </row>
    <row r="1268" spans="2:14">
      <c r="B1268" s="1032"/>
      <c r="C1268" s="1397"/>
      <c r="D1268" s="1397"/>
      <c r="E1268" s="1397"/>
      <c r="F1268" s="1397"/>
      <c r="G1268" s="1397"/>
      <c r="H1268" s="1397"/>
      <c r="I1268" s="1397"/>
      <c r="J1268" s="1397"/>
      <c r="K1268" s="1397"/>
      <c r="L1268" s="1397"/>
      <c r="M1268" s="1397"/>
      <c r="N1268" s="1397"/>
    </row>
    <row r="1269" spans="2:14">
      <c r="B1269" s="1049" t="str">
        <f>B1205</f>
        <v>Less: NetCo leases</v>
      </c>
      <c r="C1269" s="1065">
        <f>C1205</f>
        <v>-36</v>
      </c>
      <c r="D1269" s="1065">
        <f>D1205</f>
        <v>-36</v>
      </c>
      <c r="E1269" s="1065">
        <f>E1205</f>
        <v>-36</v>
      </c>
      <c r="F1269" s="1065">
        <f>F1205</f>
        <v>-36</v>
      </c>
      <c r="G1269" s="1065">
        <f>G1205</f>
        <v>-36</v>
      </c>
      <c r="H1269" s="1065">
        <f>H1205</f>
        <v>-36</v>
      </c>
      <c r="I1269" s="1065">
        <f>I1205</f>
        <v>-36</v>
      </c>
      <c r="J1269" s="1065">
        <f>J1205</f>
        <v>-36</v>
      </c>
      <c r="K1269" s="1065">
        <f>K1205</f>
        <v>-36</v>
      </c>
      <c r="L1269" s="1065">
        <f>L1205</f>
        <v>-36</v>
      </c>
      <c r="M1269" s="1065">
        <f>M1205</f>
        <v>-36</v>
      </c>
      <c r="N1269" s="1065">
        <f>N1205</f>
        <v>-36</v>
      </c>
    </row>
    <row r="1270" spans="2:14">
      <c r="B1270" s="1032" t="str">
        <f>B1206</f>
        <v>Less: NetCo one-offs</v>
      </c>
      <c r="C1270" s="1396">
        <f>C1206</f>
        <v>-12.5</v>
      </c>
      <c r="D1270" s="1396">
        <f>D1206</f>
        <v>-10</v>
      </c>
      <c r="E1270" s="1396">
        <f>E1206</f>
        <v>-5</v>
      </c>
      <c r="F1270" s="1396">
        <f>F1206</f>
        <v>-5</v>
      </c>
      <c r="G1270" s="1396">
        <f>G1206</f>
        <v>-5</v>
      </c>
      <c r="H1270" s="1396">
        <f>H1206</f>
        <v>-5</v>
      </c>
      <c r="I1270" s="1396">
        <f>I1206</f>
        <v>-5</v>
      </c>
      <c r="J1270" s="1396">
        <f>J1206</f>
        <v>-5</v>
      </c>
      <c r="K1270" s="1396">
        <f>K1206</f>
        <v>-5</v>
      </c>
      <c r="L1270" s="1396">
        <f>L1206</f>
        <v>-5</v>
      </c>
      <c r="M1270" s="1396">
        <f>M1206</f>
        <v>-5</v>
      </c>
      <c r="N1270" s="1396">
        <f>N1206</f>
        <v>0</v>
      </c>
    </row>
    <row r="1271" spans="2:14">
      <c r="B1271" s="1051" t="s">
        <v>2029</v>
      </c>
      <c r="C1271" s="1125">
        <f ca="1">C1263+C1267+C1269+C1270</f>
        <v>-28.539001992228293</v>
      </c>
      <c r="D1271" s="1125">
        <f t="shared" ref="D1271:N1271" ca="1" si="411">D1263+D1267+D1269+D1270</f>
        <v>-15.745257588470906</v>
      </c>
      <c r="E1271" s="1125">
        <f t="shared" ca="1" si="411"/>
        <v>-6.2548690761585419</v>
      </c>
      <c r="F1271" s="1125">
        <f t="shared" ca="1" si="411"/>
        <v>3.9993493845739465</v>
      </c>
      <c r="G1271" s="1125">
        <f t="shared" ca="1" si="411"/>
        <v>0.13839589885799342</v>
      </c>
      <c r="H1271" s="1125">
        <f t="shared" ca="1" si="411"/>
        <v>10.865395343336274</v>
      </c>
      <c r="I1271" s="1125">
        <f t="shared" ca="1" si="411"/>
        <v>2.5695237772851556</v>
      </c>
      <c r="J1271" s="1125">
        <f t="shared" ca="1" si="411"/>
        <v>12.403577008680656</v>
      </c>
      <c r="K1271" s="1125">
        <f t="shared" ca="1" si="411"/>
        <v>22.445189989135969</v>
      </c>
      <c r="L1271" s="1125">
        <f t="shared" ca="1" si="411"/>
        <v>32.706784120954723</v>
      </c>
      <c r="M1271" s="1125">
        <f t="shared" ca="1" si="411"/>
        <v>43.197918075336702</v>
      </c>
      <c r="N1271" s="1125">
        <f t="shared" ca="1" si="411"/>
        <v>127.96188106497436</v>
      </c>
    </row>
    <row r="1272" spans="2:14">
      <c r="B1272" s="1032"/>
      <c r="C1272" s="1032"/>
      <c r="D1272" s="1032"/>
      <c r="E1272" s="1032"/>
      <c r="F1272" s="1032"/>
      <c r="G1272" s="1032"/>
      <c r="H1272" s="1032"/>
      <c r="I1272" s="1032"/>
      <c r="J1272" s="1032"/>
      <c r="K1272" s="1032"/>
      <c r="L1272" s="1032"/>
      <c r="M1272" s="1032"/>
      <c r="N1272" s="1032"/>
    </row>
    <row r="1273" spans="2:14">
      <c r="B1273" s="1049" t="s">
        <v>2136</v>
      </c>
      <c r="C1273" s="1049"/>
      <c r="D1273" s="1124">
        <v>0.06</v>
      </c>
      <c r="E1273" s="1124">
        <f>D1273</f>
        <v>0.06</v>
      </c>
      <c r="F1273" s="1124">
        <f t="shared" ref="F1273:N1273" si="412">E1273</f>
        <v>0.06</v>
      </c>
      <c r="G1273" s="1124">
        <f t="shared" si="412"/>
        <v>0.06</v>
      </c>
      <c r="H1273" s="1124">
        <f t="shared" si="412"/>
        <v>0.06</v>
      </c>
      <c r="I1273" s="1124">
        <f t="shared" si="412"/>
        <v>0.06</v>
      </c>
      <c r="J1273" s="1124">
        <f t="shared" si="412"/>
        <v>0.06</v>
      </c>
      <c r="K1273" s="1124">
        <f t="shared" si="412"/>
        <v>0.06</v>
      </c>
      <c r="L1273" s="1124">
        <f t="shared" si="412"/>
        <v>0.06</v>
      </c>
      <c r="M1273" s="1124">
        <f t="shared" si="412"/>
        <v>0.06</v>
      </c>
      <c r="N1273" s="1124">
        <f t="shared" si="412"/>
        <v>0.06</v>
      </c>
    </row>
    <row r="1274" spans="2:14">
      <c r="B1274" s="1032" t="s">
        <v>2137</v>
      </c>
      <c r="C1274" s="1032"/>
      <c r="D1274" s="1397">
        <f ca="1">-D1273*C1289</f>
        <v>-58.08</v>
      </c>
      <c r="E1274" s="1397">
        <f t="shared" ref="E1274" ca="1" si="413">-E1273*D1289</f>
        <v>-64.08</v>
      </c>
      <c r="F1274" s="1397">
        <f t="shared" ref="F1274" ca="1" si="414">-F1273*E1289</f>
        <v>-64.08</v>
      </c>
      <c r="G1274" s="1397">
        <f t="shared" ref="G1274" ca="1" si="415">-G1273*F1289</f>
        <v>-70.08</v>
      </c>
      <c r="H1274" s="1397">
        <f t="shared" ref="H1274" ca="1" si="416">-H1273*G1289</f>
        <v>-70.08</v>
      </c>
      <c r="I1274" s="1397">
        <f t="shared" ref="I1274" ca="1" si="417">-I1273*H1289</f>
        <v>-76.08</v>
      </c>
      <c r="J1274" s="1397">
        <f t="shared" ref="J1274" ca="1" si="418">-J1273*I1289</f>
        <v>-76.08</v>
      </c>
      <c r="K1274" s="1397">
        <f t="shared" ref="K1274" ca="1" si="419">-K1273*J1289</f>
        <v>-76.08</v>
      </c>
      <c r="L1274" s="1397">
        <f t="shared" ref="L1274" ca="1" si="420">-L1273*K1289</f>
        <v>-82.08</v>
      </c>
      <c r="M1274" s="1397">
        <f t="shared" ref="M1274" ca="1" si="421">-M1273*L1289</f>
        <v>-82.08</v>
      </c>
      <c r="N1274" s="1397">
        <f t="shared" ref="N1274" ca="1" si="422">-N1273*M1289</f>
        <v>-82.08</v>
      </c>
    </row>
    <row r="1275" spans="2:14">
      <c r="B1275" s="1049" t="s">
        <v>1009</v>
      </c>
      <c r="C1275" s="1049"/>
      <c r="D1275" s="1370">
        <v>0</v>
      </c>
      <c r="E1275" s="1370">
        <v>0</v>
      </c>
      <c r="F1275" s="1370">
        <v>0</v>
      </c>
      <c r="G1275" s="1370">
        <v>0</v>
      </c>
      <c r="H1275" s="1370">
        <v>0</v>
      </c>
      <c r="I1275" s="1370">
        <v>0</v>
      </c>
      <c r="J1275" s="1370">
        <v>0</v>
      </c>
      <c r="K1275" s="1370">
        <v>0</v>
      </c>
      <c r="L1275" s="1370">
        <v>0</v>
      </c>
      <c r="M1275" s="1370">
        <v>0</v>
      </c>
      <c r="N1275" s="1370">
        <v>0</v>
      </c>
    </row>
    <row r="1276" spans="2:14">
      <c r="B1276" s="1036" t="s">
        <v>320</v>
      </c>
      <c r="C1276" s="1036"/>
      <c r="D1276" s="1398">
        <f ca="1">D1271+D1274+D1275</f>
        <v>-73.825257588470905</v>
      </c>
      <c r="E1276" s="1398">
        <f t="shared" ref="E1276" ca="1" si="423">E1271+E1274+E1275</f>
        <v>-70.33486907615854</v>
      </c>
      <c r="F1276" s="1398">
        <f t="shared" ref="F1276" ca="1" si="424">F1271+F1274+F1275</f>
        <v>-60.080650615426052</v>
      </c>
      <c r="G1276" s="1398">
        <f t="shared" ref="G1276" ca="1" si="425">G1271+G1274+G1275</f>
        <v>-69.941604101142005</v>
      </c>
      <c r="H1276" s="1398">
        <f t="shared" ref="H1276" ca="1" si="426">H1271+H1274+H1275</f>
        <v>-59.214604656663724</v>
      </c>
      <c r="I1276" s="1398">
        <f t="shared" ref="I1276" ca="1" si="427">I1271+I1274+I1275</f>
        <v>-73.510476222714843</v>
      </c>
      <c r="J1276" s="1398">
        <f t="shared" ref="J1276" ca="1" si="428">J1271+J1274+J1275</f>
        <v>-63.676422991319342</v>
      </c>
      <c r="K1276" s="1398">
        <f t="shared" ref="K1276" ca="1" si="429">K1271+K1274+K1275</f>
        <v>-53.63481001086403</v>
      </c>
      <c r="L1276" s="1398">
        <f t="shared" ref="L1276" ca="1" si="430">L1271+L1274+L1275</f>
        <v>-49.373215879045276</v>
      </c>
      <c r="M1276" s="1398">
        <f t="shared" ref="M1276" ca="1" si="431">M1271+M1274+M1275</f>
        <v>-38.882081924663296</v>
      </c>
      <c r="N1276" s="1398">
        <f t="shared" ref="N1276" ca="1" si="432">N1271+N1274+N1275</f>
        <v>45.881881064974365</v>
      </c>
    </row>
    <row r="1277" spans="2:14">
      <c r="B1277" s="1049"/>
      <c r="C1277" s="1049"/>
      <c r="D1277" s="1049"/>
      <c r="E1277" s="1049"/>
      <c r="F1277" s="1049"/>
      <c r="G1277" s="1049"/>
      <c r="H1277" s="1049"/>
      <c r="I1277" s="1049"/>
      <c r="J1277" s="1049"/>
      <c r="K1277" s="1049"/>
      <c r="L1277" s="1049"/>
      <c r="M1277" s="1049"/>
      <c r="N1277" s="1049"/>
    </row>
    <row r="1278" spans="2:14" hidden="1">
      <c r="B1278" s="1049" t="s">
        <v>2159</v>
      </c>
      <c r="C1278" s="1234">
        <f ca="1">T1217</f>
        <v>1168</v>
      </c>
      <c r="D1278" s="1049"/>
      <c r="E1278" s="1049"/>
      <c r="F1278" s="1049"/>
      <c r="G1278" s="1049"/>
      <c r="H1278" s="1049"/>
      <c r="I1278" s="1049"/>
      <c r="J1278" s="1049"/>
      <c r="K1278" s="1049"/>
      <c r="L1278" s="1049"/>
      <c r="M1278" s="1049"/>
      <c r="N1278" s="1049"/>
    </row>
    <row r="1279" spans="2:14" hidden="1">
      <c r="B1279" s="1049"/>
      <c r="C1279" s="1234"/>
      <c r="D1279" s="1049"/>
      <c r="E1279" s="1049"/>
      <c r="F1279" s="1049"/>
      <c r="G1279" s="1049"/>
      <c r="H1279" s="1049"/>
      <c r="I1279" s="1049"/>
      <c r="J1279" s="1049"/>
      <c r="K1279" s="1049"/>
      <c r="L1279" s="1049"/>
      <c r="M1279" s="1049"/>
      <c r="N1279" s="1049"/>
    </row>
    <row r="1280" spans="2:14" hidden="1">
      <c r="B1280" s="1049" t="s">
        <v>2138</v>
      </c>
      <c r="C1280" s="1234">
        <f ca="1">T1211</f>
        <v>61.49060137316178</v>
      </c>
      <c r="D1280" s="1049"/>
      <c r="E1280" s="1049"/>
      <c r="F1280" s="1049"/>
      <c r="G1280" s="1049"/>
      <c r="H1280" s="1049"/>
      <c r="I1280" s="1049"/>
      <c r="J1280" s="1049"/>
      <c r="K1280" s="1049"/>
      <c r="L1280" s="1049"/>
      <c r="M1280" s="1049"/>
      <c r="N1280" s="1049"/>
    </row>
    <row r="1281" spans="2:27" hidden="1">
      <c r="B1281" s="1049" t="s">
        <v>2132</v>
      </c>
      <c r="C1281" s="1234">
        <f ca="1">T1212</f>
        <v>435.20214373250298</v>
      </c>
      <c r="D1281" s="1049"/>
      <c r="E1281" s="1049"/>
      <c r="F1281" s="1049"/>
      <c r="G1281" s="1049"/>
      <c r="H1281" s="1049"/>
      <c r="I1281" s="1049"/>
      <c r="J1281" s="1049"/>
      <c r="K1281" s="1049"/>
      <c r="L1281" s="1049"/>
      <c r="M1281" s="1049"/>
      <c r="N1281" s="1049"/>
    </row>
    <row r="1282" spans="2:27" hidden="1">
      <c r="B1282" s="1049" t="s">
        <v>2133</v>
      </c>
      <c r="C1282" s="1234">
        <f>T1213</f>
        <v>-204.84000000000003</v>
      </c>
      <c r="D1282" s="1049"/>
      <c r="E1282" s="1049"/>
      <c r="F1282" s="1049"/>
      <c r="G1282" s="1049"/>
      <c r="H1282" s="1049"/>
      <c r="I1282" s="1049"/>
      <c r="J1282" s="1049"/>
      <c r="K1282" s="1049"/>
      <c r="L1282" s="1049"/>
      <c r="M1282" s="1049"/>
      <c r="N1282" s="1049"/>
    </row>
    <row r="1283" spans="2:27" hidden="1">
      <c r="B1283" s="1049" t="s">
        <v>2158</v>
      </c>
      <c r="C1283" s="1234">
        <v>-200</v>
      </c>
      <c r="D1283" s="1049"/>
      <c r="E1283" s="1049"/>
      <c r="F1283" s="1049"/>
      <c r="G1283" s="1049"/>
      <c r="H1283" s="1049"/>
      <c r="I1283" s="1049"/>
      <c r="J1283" s="1049"/>
      <c r="K1283" s="1049"/>
      <c r="L1283" s="1049"/>
      <c r="M1283" s="1049"/>
      <c r="N1283" s="1049"/>
    </row>
    <row r="1284" spans="2:27" hidden="1">
      <c r="B1284" s="1049" t="s">
        <v>2128</v>
      </c>
      <c r="C1284" s="1234">
        <f ca="1">C1280+C1281+C1282+C1283</f>
        <v>91.852745105664724</v>
      </c>
      <c r="D1284" s="1049"/>
      <c r="E1284" s="1049"/>
      <c r="F1284" s="1049"/>
      <c r="G1284" s="1049"/>
      <c r="H1284" s="1049"/>
      <c r="I1284" s="1049"/>
      <c r="J1284" s="1049"/>
      <c r="K1284" s="1049"/>
      <c r="L1284" s="1049"/>
      <c r="M1284" s="1049"/>
      <c r="N1284" s="1049"/>
    </row>
    <row r="1285" spans="2:27" hidden="1">
      <c r="B1285" s="1049"/>
      <c r="C1285" s="1234"/>
      <c r="D1285" s="1049"/>
      <c r="E1285" s="1049"/>
      <c r="F1285" s="1049"/>
      <c r="G1285" s="1049"/>
      <c r="H1285" s="1049"/>
      <c r="I1285" s="1049"/>
      <c r="J1285" s="1049"/>
      <c r="K1285" s="1049"/>
      <c r="L1285" s="1049"/>
      <c r="M1285" s="1049"/>
      <c r="N1285" s="1049"/>
    </row>
    <row r="1286" spans="2:27">
      <c r="B1286" s="1215" t="s">
        <v>2139</v>
      </c>
      <c r="C1286" s="1033"/>
      <c r="D1286" s="1215">
        <v>50</v>
      </c>
      <c r="E1286" s="1215"/>
      <c r="F1286" s="1215">
        <v>50</v>
      </c>
      <c r="G1286" s="1215"/>
      <c r="H1286" s="1215">
        <v>50</v>
      </c>
      <c r="I1286" s="1215"/>
      <c r="J1286" s="1215"/>
      <c r="K1286" s="1215">
        <v>50</v>
      </c>
      <c r="L1286" s="1032"/>
      <c r="M1286" s="1032"/>
      <c r="N1286" s="1032"/>
    </row>
    <row r="1287" spans="2:27">
      <c r="B1287" s="1390" t="s">
        <v>2140</v>
      </c>
      <c r="C1287" s="1234"/>
      <c r="D1287" s="1390">
        <v>100</v>
      </c>
      <c r="E1287" s="1390"/>
      <c r="F1287" s="1390">
        <v>100</v>
      </c>
      <c r="G1287" s="1390"/>
      <c r="H1287" s="1390">
        <v>100</v>
      </c>
      <c r="I1287" s="1390"/>
      <c r="J1287" s="1390"/>
      <c r="K1287" s="1390">
        <v>100</v>
      </c>
      <c r="L1287" s="1049"/>
      <c r="M1287" s="1049"/>
      <c r="N1287" s="1049"/>
    </row>
    <row r="1288" spans="2:27">
      <c r="B1288" s="1032"/>
      <c r="C1288" s="1033"/>
      <c r="D1288" s="1032"/>
      <c r="E1288" s="1032"/>
      <c r="F1288" s="1032"/>
      <c r="G1288" s="1032"/>
      <c r="H1288" s="1032"/>
      <c r="I1288" s="1032"/>
      <c r="J1288" s="1032"/>
      <c r="K1288" s="1032"/>
      <c r="L1288" s="1032"/>
      <c r="M1288" s="1032"/>
      <c r="N1288" s="1032"/>
    </row>
    <row r="1289" spans="2:27">
      <c r="B1289" s="1049" t="s">
        <v>2134</v>
      </c>
      <c r="C1289" s="1234">
        <f ca="1">C1278+C1283</f>
        <v>968</v>
      </c>
      <c r="D1289" s="1234">
        <f ca="1">C1289+D1287</f>
        <v>1068</v>
      </c>
      <c r="E1289" s="1234">
        <f t="shared" ref="E1289:N1289" ca="1" si="433">D1289+E1287</f>
        <v>1068</v>
      </c>
      <c r="F1289" s="1234">
        <f t="shared" ca="1" si="433"/>
        <v>1168</v>
      </c>
      <c r="G1289" s="1234">
        <f t="shared" ca="1" si="433"/>
        <v>1168</v>
      </c>
      <c r="H1289" s="1234">
        <f t="shared" ca="1" si="433"/>
        <v>1268</v>
      </c>
      <c r="I1289" s="1234">
        <f t="shared" ca="1" si="433"/>
        <v>1268</v>
      </c>
      <c r="J1289" s="1234">
        <f t="shared" ca="1" si="433"/>
        <v>1268</v>
      </c>
      <c r="K1289" s="1234">
        <f t="shared" ca="1" si="433"/>
        <v>1368</v>
      </c>
      <c r="L1289" s="1234">
        <f t="shared" ca="1" si="433"/>
        <v>1368</v>
      </c>
      <c r="M1289" s="1234">
        <f t="shared" ca="1" si="433"/>
        <v>1368</v>
      </c>
      <c r="N1289" s="1234">
        <f t="shared" ca="1" si="433"/>
        <v>1368</v>
      </c>
    </row>
    <row r="1290" spans="2:27">
      <c r="B1290" s="1032" t="s">
        <v>2135</v>
      </c>
      <c r="C1290" s="1033">
        <f ca="1">C1280+C1281+C1282+C1283</f>
        <v>91.852745105664724</v>
      </c>
      <c r="D1290" s="1033">
        <f ca="1">C1290+D1276+D1287+D1286</f>
        <v>168.02748751719383</v>
      </c>
      <c r="E1290" s="1033">
        <f ca="1">D1290+E1276+E1287+E1286</f>
        <v>97.692618441035293</v>
      </c>
      <c r="F1290" s="1033">
        <f t="shared" ref="F1290:N1290" ca="1" si="434">E1290+F1276+F1287+F1286</f>
        <v>187.61196782560924</v>
      </c>
      <c r="G1290" s="1033">
        <f t="shared" ca="1" si="434"/>
        <v>117.67036372446724</v>
      </c>
      <c r="H1290" s="1033">
        <f t="shared" ca="1" si="434"/>
        <v>208.45575906780351</v>
      </c>
      <c r="I1290" s="1033">
        <f t="shared" ca="1" si="434"/>
        <v>134.94528284508868</v>
      </c>
      <c r="J1290" s="1033">
        <f t="shared" ca="1" si="434"/>
        <v>71.268859853769342</v>
      </c>
      <c r="K1290" s="1033">
        <f t="shared" ca="1" si="434"/>
        <v>167.63404984290531</v>
      </c>
      <c r="L1290" s="1033">
        <f t="shared" ca="1" si="434"/>
        <v>118.26083396386004</v>
      </c>
      <c r="M1290" s="1033">
        <f t="shared" ca="1" si="434"/>
        <v>79.37875203919674</v>
      </c>
      <c r="N1290" s="1033">
        <f t="shared" ca="1" si="434"/>
        <v>125.26063310417111</v>
      </c>
    </row>
    <row r="1291" spans="2:27">
      <c r="B1291" s="1051" t="s">
        <v>160</v>
      </c>
      <c r="C1291" s="1128">
        <f ca="1">C1289-C1290</f>
        <v>876.14725489433522</v>
      </c>
      <c r="D1291" s="1128">
        <f ca="1">C1291-D1276-D1286</f>
        <v>899.97251248280611</v>
      </c>
      <c r="E1291" s="1128">
        <f t="shared" ref="E1291:N1291" ca="1" si="435">D1291-E1276-E1286</f>
        <v>970.30738155896461</v>
      </c>
      <c r="F1291" s="1128">
        <f t="shared" ca="1" si="435"/>
        <v>980.38803217439067</v>
      </c>
      <c r="G1291" s="1128">
        <f t="shared" ca="1" si="435"/>
        <v>1050.3296362755327</v>
      </c>
      <c r="H1291" s="1128">
        <f t="shared" ca="1" si="435"/>
        <v>1059.5442409321965</v>
      </c>
      <c r="I1291" s="1128">
        <f t="shared" ca="1" si="435"/>
        <v>1133.0547171549115</v>
      </c>
      <c r="J1291" s="1128">
        <f t="shared" ca="1" si="435"/>
        <v>1196.7311401462309</v>
      </c>
      <c r="K1291" s="1128">
        <f t="shared" ca="1" si="435"/>
        <v>1200.3659501570949</v>
      </c>
      <c r="L1291" s="1128">
        <f t="shared" ca="1" si="435"/>
        <v>1249.7391660361402</v>
      </c>
      <c r="M1291" s="1128">
        <f t="shared" ca="1" si="435"/>
        <v>1288.6212479608034</v>
      </c>
      <c r="N1291" s="1128">
        <f t="shared" ca="1" si="435"/>
        <v>1242.7393668958291</v>
      </c>
    </row>
    <row r="1292" spans="2:27">
      <c r="B1292" s="1216" t="s">
        <v>1825</v>
      </c>
      <c r="C1292" s="1399">
        <f ca="1">C1291/(C1263+C1269)</f>
        <v>10.514092632365193</v>
      </c>
      <c r="D1292" s="1399">
        <f t="shared" ref="D1292:N1292" ca="1" si="436">D1291/(D1263+D1269)</f>
        <v>9.5804366963766601</v>
      </c>
      <c r="E1292" s="1399">
        <f t="shared" ca="1" si="436"/>
        <v>9.3602382953296459</v>
      </c>
      <c r="F1292" s="1399">
        <f t="shared" ca="1" si="436"/>
        <v>8.6057587429533022</v>
      </c>
      <c r="G1292" s="1399">
        <f t="shared" ca="1" si="436"/>
        <v>8.4295964130685572</v>
      </c>
      <c r="H1292" s="1399">
        <f t="shared" ca="1" si="436"/>
        <v>7.8377169550891432</v>
      </c>
      <c r="I1292" s="1399">
        <f t="shared" ca="1" si="436"/>
        <v>7.8081035420059806</v>
      </c>
      <c r="J1292" s="1399">
        <f t="shared" ca="1" si="436"/>
        <v>7.718103099638248</v>
      </c>
      <c r="K1292" s="1399">
        <f t="shared" ca="1" si="436"/>
        <v>7.2658864687330453</v>
      </c>
      <c r="L1292" s="1399">
        <f t="shared" ca="1" si="436"/>
        <v>7.1178993190945041</v>
      </c>
      <c r="M1292" s="1399">
        <f t="shared" ca="1" si="436"/>
        <v>6.9214324085658667</v>
      </c>
      <c r="N1292" s="1399">
        <f t="shared" ca="1" si="436"/>
        <v>6.2645865871806707</v>
      </c>
    </row>
    <row r="1294" spans="2:27">
      <c r="B1294" s="1011" t="s">
        <v>2203</v>
      </c>
      <c r="C1294" s="1011">
        <v>2025</v>
      </c>
      <c r="D1294" s="1011">
        <f>C1294+1</f>
        <v>2026</v>
      </c>
      <c r="E1294" s="1011">
        <f t="shared" ref="E1294:N1294" si="437">D1294+1</f>
        <v>2027</v>
      </c>
      <c r="F1294" s="1011">
        <f t="shared" si="437"/>
        <v>2028</v>
      </c>
      <c r="G1294" s="1011">
        <f t="shared" si="437"/>
        <v>2029</v>
      </c>
      <c r="H1294" s="1011">
        <f t="shared" si="437"/>
        <v>2030</v>
      </c>
      <c r="I1294" s="1011">
        <f t="shared" si="437"/>
        <v>2031</v>
      </c>
      <c r="J1294" s="1011">
        <f t="shared" si="437"/>
        <v>2032</v>
      </c>
      <c r="K1294" s="1011">
        <f t="shared" si="437"/>
        <v>2033</v>
      </c>
      <c r="L1294" s="1011">
        <f t="shared" si="437"/>
        <v>2034</v>
      </c>
      <c r="M1294" s="1011">
        <f t="shared" si="437"/>
        <v>2035</v>
      </c>
      <c r="N1294" s="1011">
        <f t="shared" si="437"/>
        <v>2036</v>
      </c>
    </row>
    <row r="1295" spans="2:27">
      <c r="B1295" s="1049" t="s">
        <v>1880</v>
      </c>
      <c r="C1295" s="1049"/>
      <c r="D1295" s="1234">
        <f ca="1">D1271</f>
        <v>-15.745257588470906</v>
      </c>
      <c r="E1295" s="1234">
        <f t="shared" ref="E1295:N1295" ca="1" si="438">E1271</f>
        <v>-6.2548690761585419</v>
      </c>
      <c r="F1295" s="1234">
        <f t="shared" ca="1" si="438"/>
        <v>3.9993493845739465</v>
      </c>
      <c r="G1295" s="1234">
        <f t="shared" ca="1" si="438"/>
        <v>0.13839589885799342</v>
      </c>
      <c r="H1295" s="1234">
        <f t="shared" ca="1" si="438"/>
        <v>10.865395343336274</v>
      </c>
      <c r="I1295" s="1234">
        <f t="shared" ca="1" si="438"/>
        <v>2.5695237772851556</v>
      </c>
      <c r="J1295" s="1234">
        <f t="shared" ca="1" si="438"/>
        <v>12.403577008680656</v>
      </c>
      <c r="K1295" s="1234">
        <f t="shared" ca="1" si="438"/>
        <v>22.445189989135969</v>
      </c>
      <c r="L1295" s="1234">
        <f t="shared" ca="1" si="438"/>
        <v>32.706784120954723</v>
      </c>
      <c r="M1295" s="1234">
        <f t="shared" ca="1" si="438"/>
        <v>43.197918075336702</v>
      </c>
      <c r="N1295" s="1234">
        <f t="shared" ca="1" si="438"/>
        <v>127.96188106497436</v>
      </c>
      <c r="O1295" s="1148">
        <f ca="1">N1295</f>
        <v>127.96188106497436</v>
      </c>
      <c r="P1295" s="1148">
        <f t="shared" ref="P1295:AA1295" ca="1" si="439">O1295</f>
        <v>127.96188106497436</v>
      </c>
      <c r="Q1295" s="1148">
        <f t="shared" ca="1" si="439"/>
        <v>127.96188106497436</v>
      </c>
      <c r="R1295" s="1148">
        <f t="shared" ca="1" si="439"/>
        <v>127.96188106497436</v>
      </c>
      <c r="S1295" s="1148">
        <f t="shared" ca="1" si="439"/>
        <v>127.96188106497436</v>
      </c>
      <c r="T1295" s="1148">
        <f t="shared" ca="1" si="439"/>
        <v>127.96188106497436</v>
      </c>
      <c r="U1295" s="1148">
        <f t="shared" ca="1" si="439"/>
        <v>127.96188106497436</v>
      </c>
      <c r="V1295" s="1148">
        <f t="shared" ca="1" si="439"/>
        <v>127.96188106497436</v>
      </c>
      <c r="W1295" s="1148">
        <f t="shared" ca="1" si="439"/>
        <v>127.96188106497436</v>
      </c>
      <c r="X1295" s="1148">
        <f t="shared" ca="1" si="439"/>
        <v>127.96188106497436</v>
      </c>
      <c r="Y1295" s="1148">
        <f t="shared" ca="1" si="439"/>
        <v>127.96188106497436</v>
      </c>
      <c r="Z1295" s="1148">
        <f t="shared" ca="1" si="439"/>
        <v>127.96188106497436</v>
      </c>
      <c r="AA1295" s="1148">
        <f t="shared" ca="1" si="439"/>
        <v>127.96188106497436</v>
      </c>
    </row>
    <row r="1296" spans="2:27">
      <c r="B1296" s="1031"/>
      <c r="D1296" s="1148"/>
      <c r="E1296" s="1148"/>
      <c r="F1296" s="1148"/>
      <c r="G1296" s="1148"/>
      <c r="H1296" s="1148"/>
      <c r="I1296" s="1148"/>
      <c r="J1296" s="1148"/>
      <c r="K1296" s="1148"/>
      <c r="L1296" s="1148"/>
      <c r="M1296" s="1148"/>
      <c r="N1296" s="1148"/>
    </row>
    <row r="1297" spans="2:27">
      <c r="B1297" s="1049" t="s">
        <v>355</v>
      </c>
      <c r="C1297" s="1049"/>
      <c r="D1297" s="1124">
        <f t="shared" ref="D1297:AA1297" ca="1" si="440">IF(D1295&lt;0,0,30%)</f>
        <v>0</v>
      </c>
      <c r="E1297" s="1124">
        <f t="shared" ca="1" si="440"/>
        <v>0</v>
      </c>
      <c r="F1297" s="1124">
        <f t="shared" ca="1" si="440"/>
        <v>0.3</v>
      </c>
      <c r="G1297" s="1124">
        <f t="shared" ca="1" si="440"/>
        <v>0.3</v>
      </c>
      <c r="H1297" s="1124">
        <f t="shared" ca="1" si="440"/>
        <v>0.3</v>
      </c>
      <c r="I1297" s="1124">
        <f t="shared" ca="1" si="440"/>
        <v>0.3</v>
      </c>
      <c r="J1297" s="1124">
        <f t="shared" ca="1" si="440"/>
        <v>0.3</v>
      </c>
      <c r="K1297" s="1124">
        <f t="shared" ca="1" si="440"/>
        <v>0.3</v>
      </c>
      <c r="L1297" s="1124">
        <f t="shared" ca="1" si="440"/>
        <v>0.3</v>
      </c>
      <c r="M1297" s="1124">
        <f t="shared" ca="1" si="440"/>
        <v>0.3</v>
      </c>
      <c r="N1297" s="1124">
        <f t="shared" ca="1" si="440"/>
        <v>0.3</v>
      </c>
      <c r="O1297" s="1363">
        <f t="shared" ca="1" si="440"/>
        <v>0.3</v>
      </c>
      <c r="P1297" s="1363">
        <f t="shared" ca="1" si="440"/>
        <v>0.3</v>
      </c>
      <c r="Q1297" s="1363">
        <f t="shared" ca="1" si="440"/>
        <v>0.3</v>
      </c>
      <c r="R1297" s="1363">
        <f t="shared" ca="1" si="440"/>
        <v>0.3</v>
      </c>
      <c r="S1297" s="1363">
        <f t="shared" ca="1" si="440"/>
        <v>0.3</v>
      </c>
      <c r="T1297" s="1363">
        <f t="shared" ca="1" si="440"/>
        <v>0.3</v>
      </c>
      <c r="U1297" s="1363">
        <f t="shared" ca="1" si="440"/>
        <v>0.3</v>
      </c>
      <c r="V1297" s="1363">
        <f t="shared" ca="1" si="440"/>
        <v>0.3</v>
      </c>
      <c r="W1297" s="1363">
        <f t="shared" ca="1" si="440"/>
        <v>0.3</v>
      </c>
      <c r="X1297" s="1363">
        <f t="shared" ca="1" si="440"/>
        <v>0.3</v>
      </c>
      <c r="Y1297" s="1363">
        <f t="shared" ca="1" si="440"/>
        <v>0.3</v>
      </c>
      <c r="Z1297" s="1363">
        <f t="shared" ca="1" si="440"/>
        <v>0.3</v>
      </c>
      <c r="AA1297" s="1363">
        <f t="shared" ca="1" si="440"/>
        <v>0.3</v>
      </c>
    </row>
    <row r="1298" spans="2:27">
      <c r="B1298" s="998" t="s">
        <v>320</v>
      </c>
      <c r="D1298" s="1148">
        <f t="shared" ref="D1298:N1298" ca="1" si="441">D1295*(1-D1297)</f>
        <v>-15.745257588470906</v>
      </c>
      <c r="E1298" s="1148">
        <f t="shared" ca="1" si="441"/>
        <v>-6.2548690761585419</v>
      </c>
      <c r="F1298" s="1148">
        <f t="shared" ca="1" si="441"/>
        <v>2.7995445692017622</v>
      </c>
      <c r="G1298" s="1148">
        <f t="shared" ca="1" si="441"/>
        <v>9.687712920059538E-2</v>
      </c>
      <c r="H1298" s="1148">
        <f t="shared" ca="1" si="441"/>
        <v>7.6057767403353918</v>
      </c>
      <c r="I1298" s="1148">
        <f t="shared" ca="1" si="441"/>
        <v>1.7986666440996089</v>
      </c>
      <c r="J1298" s="1148">
        <f t="shared" ca="1" si="441"/>
        <v>8.6825039060764588</v>
      </c>
      <c r="K1298" s="1148">
        <f t="shared" ca="1" si="441"/>
        <v>15.711632992395177</v>
      </c>
      <c r="L1298" s="1148">
        <f t="shared" ca="1" si="441"/>
        <v>22.894748884668303</v>
      </c>
      <c r="M1298" s="1148">
        <f t="shared" ca="1" si="441"/>
        <v>30.238542652735688</v>
      </c>
      <c r="N1298" s="1148">
        <f t="shared" ca="1" si="441"/>
        <v>89.573316745482046</v>
      </c>
    </row>
    <row r="1299" spans="2:27">
      <c r="B1299" s="1049" t="s">
        <v>1549</v>
      </c>
      <c r="C1299" s="1049"/>
      <c r="D1299" s="1234">
        <v>1</v>
      </c>
      <c r="E1299" s="1234">
        <f>D1299+1</f>
        <v>2</v>
      </c>
      <c r="F1299" s="1234">
        <f t="shared" ref="F1299:N1299" si="442">E1299+1</f>
        <v>3</v>
      </c>
      <c r="G1299" s="1234">
        <f t="shared" si="442"/>
        <v>4</v>
      </c>
      <c r="H1299" s="1234">
        <f t="shared" si="442"/>
        <v>5</v>
      </c>
      <c r="I1299" s="1234">
        <f t="shared" si="442"/>
        <v>6</v>
      </c>
      <c r="J1299" s="1234">
        <f t="shared" si="442"/>
        <v>7</v>
      </c>
      <c r="K1299" s="1234">
        <f t="shared" si="442"/>
        <v>8</v>
      </c>
      <c r="L1299" s="1234">
        <f t="shared" si="442"/>
        <v>9</v>
      </c>
      <c r="M1299" s="1234">
        <f t="shared" si="442"/>
        <v>10</v>
      </c>
      <c r="N1299" s="1234">
        <f t="shared" si="442"/>
        <v>11</v>
      </c>
    </row>
    <row r="1300" spans="2:27">
      <c r="D1300" s="1148"/>
      <c r="E1300" s="1148"/>
      <c r="F1300" s="1148"/>
      <c r="G1300" s="1148"/>
      <c r="H1300" s="1148"/>
      <c r="I1300" s="1148"/>
      <c r="J1300" s="1148"/>
      <c r="K1300" s="1148"/>
      <c r="L1300" s="1148"/>
      <c r="M1300" s="1148"/>
      <c r="N1300" s="1148"/>
    </row>
    <row r="1301" spans="2:27">
      <c r="B1301" s="1049" t="s">
        <v>1876</v>
      </c>
      <c r="C1301" s="1234">
        <f ca="1">C1237</f>
        <v>898.49039862683833</v>
      </c>
      <c r="D1301" s="1234">
        <f t="shared" ref="D1301" ca="1" si="443">IF(D1295&lt;0,C1301-D1295,C1301-D1295*0.6)</f>
        <v>914.23565621530929</v>
      </c>
      <c r="E1301" s="1234">
        <f t="shared" ref="E1301" ca="1" si="444">IF(E1295&lt;0,D1301-E1295,D1301-E1295*0.6)</f>
        <v>920.49052529146786</v>
      </c>
      <c r="F1301" s="1234">
        <f t="shared" ref="F1301" ca="1" si="445">IF(F1295&lt;0,E1301-F1295,E1301-F1295*0.6)</f>
        <v>918.09091566072345</v>
      </c>
      <c r="G1301" s="1234">
        <f t="shared" ref="G1301" ca="1" si="446">IF(G1295&lt;0,F1301-G1295,F1301-G1295*0.6)</f>
        <v>918.00787812140868</v>
      </c>
      <c r="H1301" s="1234">
        <f t="shared" ref="H1301" ca="1" si="447">IF(H1295&lt;0,G1301-H1295,G1301-H1295*0.6)</f>
        <v>911.4886409154069</v>
      </c>
      <c r="I1301" s="1234">
        <f t="shared" ref="I1301" ca="1" si="448">IF(I1295&lt;0,H1301-I1295,H1301-I1295*0.6)</f>
        <v>909.94692664903585</v>
      </c>
      <c r="J1301" s="1234">
        <f t="shared" ref="J1301" ca="1" si="449">IF(J1295&lt;0,I1301-J1295,I1301-J1295*0.6)</f>
        <v>902.50478044382749</v>
      </c>
      <c r="K1301" s="1234">
        <f t="shared" ref="K1301" ca="1" si="450">IF(K1295&lt;0,J1301-K1295,J1301-K1295*0.6)</f>
        <v>889.03766645034591</v>
      </c>
      <c r="L1301" s="1234">
        <f t="shared" ref="L1301" ca="1" si="451">IF(L1295&lt;0,K1301-L1295,K1301-L1295*0.6)</f>
        <v>869.41359597777307</v>
      </c>
      <c r="M1301" s="1234">
        <f t="shared" ref="M1301" ca="1" si="452">IF(M1295&lt;0,L1301-M1295,L1301-M1295*0.6)</f>
        <v>843.49484513257107</v>
      </c>
      <c r="N1301" s="1234">
        <f t="shared" ref="N1301" ca="1" si="453">IF(N1295&lt;0,M1301-N1295,M1301-N1295*0.6)</f>
        <v>766.71771649358641</v>
      </c>
      <c r="O1301" s="1148">
        <f t="shared" ref="O1301" ca="1" si="454">IF(O1295&lt;0,N1301-O1295,N1301-O1295*0.6)</f>
        <v>689.94058785460174</v>
      </c>
      <c r="P1301" s="1148">
        <f t="shared" ref="P1301" ca="1" si="455">IF(P1295&lt;0,O1301-P1295,O1301-P1295*0.6)</f>
        <v>613.16345921561708</v>
      </c>
      <c r="Q1301" s="1148">
        <f t="shared" ref="Q1301" ca="1" si="456">IF(Q1295&lt;0,P1301-Q1295,P1301-Q1295*0.6)</f>
        <v>536.38633057663242</v>
      </c>
      <c r="R1301" s="1148">
        <f t="shared" ref="R1301" ca="1" si="457">IF(R1295&lt;0,Q1301-R1295,Q1301-R1295*0.6)</f>
        <v>459.60920193764781</v>
      </c>
      <c r="S1301" s="1148">
        <f t="shared" ref="S1301" ca="1" si="458">IF(S1295&lt;0,R1301-S1295,R1301-S1295*0.6)</f>
        <v>382.8320732986632</v>
      </c>
      <c r="T1301" s="1148">
        <f t="shared" ref="T1301" ca="1" si="459">IF(T1295&lt;0,S1301-T1295,S1301-T1295*0.6)</f>
        <v>306.0549446596786</v>
      </c>
      <c r="U1301" s="1148">
        <f t="shared" ref="U1301" ca="1" si="460">IF(U1295&lt;0,T1301-U1295,T1301-U1295*0.6)</f>
        <v>229.27781602069399</v>
      </c>
      <c r="V1301" s="1148">
        <f t="shared" ref="V1301" ca="1" si="461">IF(V1295&lt;0,U1301-V1295,U1301-V1295*0.6)</f>
        <v>152.50068738170938</v>
      </c>
      <c r="W1301" s="1148">
        <f t="shared" ref="W1301" ca="1" si="462">IF(W1295&lt;0,V1301-W1295,V1301-W1295*0.6)</f>
        <v>75.723558742724762</v>
      </c>
      <c r="X1301" s="1148">
        <f t="shared" ref="X1301" ca="1" si="463">IF(X1295&lt;0,W1301-X1295,W1301-X1295*0.6)</f>
        <v>-1.0535698962598588</v>
      </c>
      <c r="Y1301" s="1148">
        <f t="shared" ref="Y1301" ca="1" si="464">IF(Y1295&lt;0,X1301-Y1295,X1301-Y1295*0.6)</f>
        <v>-77.83069853524448</v>
      </c>
      <c r="Z1301" s="1148">
        <f t="shared" ref="Z1301" ca="1" si="465">IF(Z1295&lt;0,Y1301-Z1295,Y1301-Z1295*0.6)</f>
        <v>-154.6078271742291</v>
      </c>
      <c r="AA1301" s="1148">
        <f t="shared" ref="AA1301" ca="1" si="466">IF(AA1295&lt;0,Z1301-AA1295,Z1301-AA1295*0.6)</f>
        <v>-231.38495581321371</v>
      </c>
    </row>
    <row r="1302" spans="2:27">
      <c r="B1302" s="998" t="s">
        <v>361</v>
      </c>
      <c r="D1302" s="1148">
        <f t="shared" ref="D1302:AA1302" ca="1" si="467">IF(D1301&gt;0,IF(D1295&gt;0,D1295*0.6*D1297,0),0)</f>
        <v>0</v>
      </c>
      <c r="E1302" s="1148">
        <f t="shared" ca="1" si="467"/>
        <v>0</v>
      </c>
      <c r="F1302" s="1148">
        <f t="shared" ca="1" si="467"/>
        <v>0.71988288922331034</v>
      </c>
      <c r="G1302" s="1148">
        <f t="shared" ca="1" si="467"/>
        <v>2.4911261794438814E-2</v>
      </c>
      <c r="H1302" s="1148">
        <f t="shared" ca="1" si="467"/>
        <v>1.9557711618005293</v>
      </c>
      <c r="I1302" s="1148">
        <f t="shared" ca="1" si="467"/>
        <v>0.46251427991132793</v>
      </c>
      <c r="J1302" s="1148">
        <f t="shared" ca="1" si="467"/>
        <v>2.2326438615625182</v>
      </c>
      <c r="K1302" s="1148">
        <f t="shared" ca="1" si="467"/>
        <v>4.0401341980444743</v>
      </c>
      <c r="L1302" s="1148">
        <f t="shared" ca="1" si="467"/>
        <v>5.8872211417718496</v>
      </c>
      <c r="M1302" s="1148">
        <f t="shared" ca="1" si="467"/>
        <v>7.7756252535606052</v>
      </c>
      <c r="N1302" s="1148">
        <f t="shared" ca="1" si="467"/>
        <v>23.033138591695387</v>
      </c>
      <c r="O1302" s="1148">
        <f t="shared" ca="1" si="467"/>
        <v>23.033138591695387</v>
      </c>
      <c r="P1302" s="1148">
        <f t="shared" ca="1" si="467"/>
        <v>23.033138591695387</v>
      </c>
      <c r="Q1302" s="1148">
        <f t="shared" ca="1" si="467"/>
        <v>23.033138591695387</v>
      </c>
      <c r="R1302" s="1148">
        <f t="shared" ca="1" si="467"/>
        <v>23.033138591695387</v>
      </c>
      <c r="S1302" s="1148">
        <f t="shared" ca="1" si="467"/>
        <v>23.033138591695387</v>
      </c>
      <c r="T1302" s="1148">
        <f t="shared" ca="1" si="467"/>
        <v>23.033138591695387</v>
      </c>
      <c r="U1302" s="1148">
        <f t="shared" ca="1" si="467"/>
        <v>23.033138591695387</v>
      </c>
      <c r="V1302" s="1148">
        <f t="shared" ca="1" si="467"/>
        <v>23.033138591695387</v>
      </c>
      <c r="W1302" s="1148">
        <f t="shared" ca="1" si="467"/>
        <v>23.033138591695387</v>
      </c>
      <c r="X1302" s="1148">
        <f t="shared" ca="1" si="467"/>
        <v>0</v>
      </c>
      <c r="Y1302" s="1148">
        <f t="shared" ca="1" si="467"/>
        <v>0</v>
      </c>
      <c r="Z1302" s="1148">
        <f t="shared" ca="1" si="467"/>
        <v>0</v>
      </c>
      <c r="AA1302" s="1148">
        <f t="shared" ca="1" si="467"/>
        <v>0</v>
      </c>
    </row>
    <row r="1303" spans="2:27">
      <c r="B1303" s="1049"/>
      <c r="C1303" s="1049"/>
      <c r="D1303" s="1234"/>
      <c r="E1303" s="1234"/>
      <c r="F1303" s="1234"/>
      <c r="G1303" s="1234"/>
      <c r="H1303" s="1234"/>
      <c r="I1303" s="1234"/>
      <c r="J1303" s="1234"/>
      <c r="K1303" s="1234"/>
      <c r="L1303" s="1234"/>
      <c r="M1303" s="1234"/>
      <c r="N1303" s="1234"/>
    </row>
    <row r="1304" spans="2:27">
      <c r="B1304" s="998" t="s">
        <v>323</v>
      </c>
      <c r="C1304" s="1148">
        <f ca="1">NPV(Value!$C$24,Workings!D1298:N1298)</f>
        <v>69.054609487630003</v>
      </c>
      <c r="D1304" s="1148"/>
      <c r="E1304" s="1148"/>
      <c r="F1304" s="1148"/>
      <c r="G1304" s="1148"/>
      <c r="H1304" s="1148"/>
      <c r="I1304" s="1148"/>
      <c r="J1304" s="1148"/>
      <c r="K1304" s="1148"/>
      <c r="L1304" s="1148"/>
      <c r="M1304" s="1148"/>
      <c r="N1304" s="1148"/>
    </row>
    <row r="1305" spans="2:27">
      <c r="B1305" s="1049" t="s">
        <v>326</v>
      </c>
      <c r="C1305" s="1234">
        <f ca="1">Value!$C$26*N1298/((1+Value!$C$24)^Workings!N1299)</f>
        <v>526.53843560528435</v>
      </c>
      <c r="D1305" s="1234"/>
      <c r="E1305" s="1234"/>
      <c r="F1305" s="1234"/>
      <c r="G1305" s="1234"/>
      <c r="H1305" s="1234"/>
      <c r="I1305" s="1234"/>
      <c r="J1305" s="1234"/>
      <c r="K1305" s="1234"/>
      <c r="L1305" s="1234"/>
      <c r="M1305" s="1234"/>
      <c r="N1305" s="1234"/>
    </row>
    <row r="1306" spans="2:27">
      <c r="B1306" s="998" t="s">
        <v>2053</v>
      </c>
      <c r="C1306" s="1148">
        <f ca="1">NPV(Value!$C$24,Workings!D1302:AA1302)</f>
        <v>88.272906696647269</v>
      </c>
      <c r="D1306" s="1148"/>
      <c r="E1306" s="1148"/>
      <c r="F1306" s="1148"/>
      <c r="G1306" s="1148"/>
      <c r="H1306" s="1148"/>
      <c r="I1306" s="1148"/>
      <c r="J1306" s="1148"/>
      <c r="K1306" s="1148"/>
      <c r="L1306" s="1148"/>
      <c r="M1306" s="1148"/>
      <c r="N1306" s="1148"/>
    </row>
    <row r="1307" spans="2:27">
      <c r="B1307" s="1051" t="s">
        <v>317</v>
      </c>
      <c r="C1307" s="1128">
        <f ca="1">C1305+C1304+C1306</f>
        <v>683.86595178956168</v>
      </c>
      <c r="D1307" s="1234"/>
      <c r="E1307" s="1234"/>
      <c r="F1307" s="1234"/>
      <c r="G1307" s="1234"/>
      <c r="H1307" s="1234"/>
      <c r="I1307" s="1234"/>
      <c r="J1307" s="1234"/>
      <c r="K1307" s="1234"/>
      <c r="L1307" s="1234"/>
      <c r="M1307" s="1234"/>
      <c r="N1307" s="1234"/>
    </row>
    <row r="1308" spans="2:27">
      <c r="B1308" s="998" t="s">
        <v>2153</v>
      </c>
      <c r="C1308" s="1148">
        <f ca="1">-C1291</f>
        <v>-876.14725489433522</v>
      </c>
      <c r="D1308" s="1148"/>
      <c r="E1308" s="1148"/>
      <c r="F1308" s="1148"/>
      <c r="G1308" s="1148"/>
      <c r="H1308" s="1148"/>
      <c r="I1308" s="1148"/>
      <c r="J1308" s="1148"/>
      <c r="K1308" s="1148"/>
      <c r="L1308" s="1148"/>
      <c r="M1308" s="1148"/>
      <c r="N1308" s="1148"/>
    </row>
    <row r="1309" spans="2:27">
      <c r="B1309" s="1235" t="s">
        <v>315</v>
      </c>
      <c r="C1309" s="1392">
        <f ca="1">C1307+C1308</f>
        <v>-192.28130310477354</v>
      </c>
      <c r="D1309" s="1372"/>
      <c r="E1309" s="1372"/>
      <c r="F1309" s="1372"/>
      <c r="G1309" s="1372"/>
      <c r="H1309" s="1372"/>
      <c r="I1309" s="1372"/>
      <c r="J1309" s="1372"/>
      <c r="K1309" s="1372"/>
      <c r="L1309" s="1372"/>
      <c r="M1309" s="1372"/>
      <c r="N1309" s="1372"/>
    </row>
    <row r="1314" spans="2:14">
      <c r="B1314" s="1011" t="s">
        <v>2169</v>
      </c>
      <c r="C1314" s="1011">
        <f>C1294</f>
        <v>2025</v>
      </c>
      <c r="D1314" s="1011">
        <f t="shared" ref="D1314:N1314" si="468">D1294</f>
        <v>2026</v>
      </c>
      <c r="E1314" s="1011">
        <f t="shared" si="468"/>
        <v>2027</v>
      </c>
      <c r="F1314" s="1011">
        <f t="shared" si="468"/>
        <v>2028</v>
      </c>
      <c r="G1314" s="1011">
        <f t="shared" si="468"/>
        <v>2029</v>
      </c>
      <c r="H1314" s="1011">
        <f t="shared" si="468"/>
        <v>2030</v>
      </c>
      <c r="I1314" s="1011">
        <f t="shared" si="468"/>
        <v>2031</v>
      </c>
      <c r="J1314" s="1011">
        <f t="shared" si="468"/>
        <v>2032</v>
      </c>
      <c r="K1314" s="1011">
        <f t="shared" si="468"/>
        <v>2033</v>
      </c>
      <c r="L1314" s="1011">
        <f t="shared" si="468"/>
        <v>2034</v>
      </c>
      <c r="M1314" s="1011">
        <f t="shared" si="468"/>
        <v>2035</v>
      </c>
      <c r="N1314" s="1011">
        <f t="shared" si="468"/>
        <v>2036</v>
      </c>
    </row>
    <row r="1315" spans="2:14">
      <c r="B1315" s="1045" t="s">
        <v>1880</v>
      </c>
      <c r="C1315" s="1045"/>
      <c r="D1315" s="1149">
        <f ca="1">E1063</f>
        <v>-3.5847204960672059</v>
      </c>
      <c r="E1315" s="1149">
        <f ca="1">F1063</f>
        <v>4.9777865406053365</v>
      </c>
      <c r="F1315" s="1149">
        <f ca="1">G1063</f>
        <v>8.6875158689925058</v>
      </c>
      <c r="G1315" s="1149">
        <f ca="1">H1063</f>
        <v>13.988069195346498</v>
      </c>
      <c r="H1315" s="1149">
        <f ca="1">I1063</f>
        <v>19.630723012157347</v>
      </c>
      <c r="I1315" s="1149">
        <f ca="1">J1063</f>
        <v>23.686405699807068</v>
      </c>
      <c r="J1315" s="1149">
        <f ca="1">K1063</f>
        <v>25.75986906157695</v>
      </c>
      <c r="K1315" s="1149">
        <f ca="1">L1063</f>
        <v>27.584968941696417</v>
      </c>
      <c r="L1315" s="1149">
        <f ca="1">M1063</f>
        <v>29.156669501215958</v>
      </c>
      <c r="M1315" s="1149">
        <f ca="1">N1063</f>
        <v>30.471386482629555</v>
      </c>
      <c r="N1315" s="1149">
        <f ca="1">O1063</f>
        <v>39.712518324507911</v>
      </c>
    </row>
    <row r="1316" spans="2:14">
      <c r="B1316" s="1031"/>
      <c r="D1316" s="1148"/>
      <c r="E1316" s="1148"/>
      <c r="F1316" s="1148"/>
      <c r="G1316" s="1148"/>
      <c r="H1316" s="1148"/>
      <c r="I1316" s="1148"/>
      <c r="J1316" s="1148"/>
      <c r="K1316" s="1148"/>
      <c r="L1316" s="1148"/>
      <c r="M1316" s="1148"/>
      <c r="N1316" s="1148"/>
    </row>
    <row r="1317" spans="2:14">
      <c r="B1317" s="1049" t="s">
        <v>355</v>
      </c>
      <c r="C1317" s="1049"/>
      <c r="D1317" s="1124">
        <f t="shared" ref="D1317:N1317" ca="1" si="469">IF(D1315&lt;0,0,30%)</f>
        <v>0</v>
      </c>
      <c r="E1317" s="1124">
        <f t="shared" ca="1" si="469"/>
        <v>0.3</v>
      </c>
      <c r="F1317" s="1124">
        <f t="shared" ca="1" si="469"/>
        <v>0.3</v>
      </c>
      <c r="G1317" s="1124">
        <f t="shared" ca="1" si="469"/>
        <v>0.3</v>
      </c>
      <c r="H1317" s="1124">
        <f t="shared" ca="1" si="469"/>
        <v>0.3</v>
      </c>
      <c r="I1317" s="1124">
        <f t="shared" ca="1" si="469"/>
        <v>0.3</v>
      </c>
      <c r="J1317" s="1124">
        <f t="shared" ca="1" si="469"/>
        <v>0.3</v>
      </c>
      <c r="K1317" s="1124">
        <f t="shared" ca="1" si="469"/>
        <v>0.3</v>
      </c>
      <c r="L1317" s="1124">
        <f t="shared" ca="1" si="469"/>
        <v>0.3</v>
      </c>
      <c r="M1317" s="1124">
        <f t="shared" ca="1" si="469"/>
        <v>0.3</v>
      </c>
      <c r="N1317" s="1124">
        <f t="shared" ca="1" si="469"/>
        <v>0.3</v>
      </c>
    </row>
    <row r="1318" spans="2:14">
      <c r="B1318" s="998" t="s">
        <v>320</v>
      </c>
      <c r="D1318" s="1148">
        <f t="shared" ref="D1318:N1318" ca="1" si="470">D1315*(1-D1317)</f>
        <v>-3.5847204960672059</v>
      </c>
      <c r="E1318" s="1148">
        <f t="shared" ca="1" si="470"/>
        <v>3.4844505784237354</v>
      </c>
      <c r="F1318" s="1148">
        <f t="shared" ca="1" si="470"/>
        <v>6.0812611082947541</v>
      </c>
      <c r="G1318" s="1148">
        <f t="shared" ca="1" si="470"/>
        <v>9.7916484367425483</v>
      </c>
      <c r="H1318" s="1148">
        <f t="shared" ca="1" si="470"/>
        <v>13.741506108510142</v>
      </c>
      <c r="I1318" s="1148">
        <f t="shared" ca="1" si="470"/>
        <v>16.580483989864948</v>
      </c>
      <c r="J1318" s="1148">
        <f t="shared" ca="1" si="470"/>
        <v>18.031908343103865</v>
      </c>
      <c r="K1318" s="1148">
        <f t="shared" ca="1" si="470"/>
        <v>19.30947825918749</v>
      </c>
      <c r="L1318" s="1148">
        <f t="shared" ca="1" si="470"/>
        <v>20.40966865085117</v>
      </c>
      <c r="M1318" s="1148">
        <f t="shared" ca="1" si="470"/>
        <v>21.329970537840687</v>
      </c>
      <c r="N1318" s="1148">
        <f t="shared" ca="1" si="470"/>
        <v>27.798762827155535</v>
      </c>
    </row>
    <row r="1319" spans="2:14">
      <c r="B1319" s="1049" t="s">
        <v>1549</v>
      </c>
      <c r="C1319" s="1049"/>
      <c r="D1319" s="1234">
        <v>1</v>
      </c>
      <c r="E1319" s="1234">
        <f>D1319+1</f>
        <v>2</v>
      </c>
      <c r="F1319" s="1234">
        <f t="shared" ref="F1319" si="471">E1319+1</f>
        <v>3</v>
      </c>
      <c r="G1319" s="1234">
        <f t="shared" ref="G1319" si="472">F1319+1</f>
        <v>4</v>
      </c>
      <c r="H1319" s="1234">
        <f t="shared" ref="H1319" si="473">G1319+1</f>
        <v>5</v>
      </c>
      <c r="I1319" s="1234">
        <f t="shared" ref="I1319" si="474">H1319+1</f>
        <v>6</v>
      </c>
      <c r="J1319" s="1234">
        <f t="shared" ref="J1319" si="475">I1319+1</f>
        <v>7</v>
      </c>
      <c r="K1319" s="1234">
        <f t="shared" ref="K1319" si="476">J1319+1</f>
        <v>8</v>
      </c>
      <c r="L1319" s="1234">
        <f t="shared" ref="L1319" si="477">K1319+1</f>
        <v>9</v>
      </c>
      <c r="M1319" s="1234">
        <f t="shared" ref="M1319" si="478">L1319+1</f>
        <v>10</v>
      </c>
      <c r="N1319" s="1234">
        <f t="shared" ref="N1319" si="479">M1319+1</f>
        <v>11</v>
      </c>
    </row>
    <row r="1320" spans="2:14">
      <c r="D1320" s="1148"/>
      <c r="E1320" s="1148"/>
      <c r="F1320" s="1148"/>
      <c r="G1320" s="1148"/>
      <c r="H1320" s="1148"/>
      <c r="I1320" s="1148"/>
      <c r="J1320" s="1148"/>
      <c r="K1320" s="1148"/>
      <c r="L1320" s="1148"/>
      <c r="M1320" s="1148"/>
      <c r="N1320" s="1148"/>
    </row>
    <row r="1321" spans="2:14">
      <c r="B1321" s="1049" t="s">
        <v>323</v>
      </c>
      <c r="C1321" s="1234">
        <f ca="1">NPV(Value!$C$24,Workings!D1318:N1318)</f>
        <v>86.849589229721317</v>
      </c>
      <c r="D1321" s="1234"/>
      <c r="E1321" s="1234"/>
      <c r="F1321" s="1234"/>
      <c r="G1321" s="1234"/>
      <c r="H1321" s="1234"/>
      <c r="I1321" s="1234"/>
      <c r="J1321" s="1234"/>
      <c r="K1321" s="1234"/>
      <c r="L1321" s="1234"/>
      <c r="M1321" s="1234"/>
      <c r="N1321" s="1234"/>
    </row>
    <row r="1322" spans="2:14">
      <c r="B1322" s="998" t="s">
        <v>326</v>
      </c>
      <c r="C1322" s="1148">
        <f ca="1">Value!$C$26*N1318/((1+Value!$C$24)^Workings!N1319)</f>
        <v>163.40934580287364</v>
      </c>
      <c r="D1322" s="1148"/>
      <c r="E1322" s="1148"/>
      <c r="F1322" s="1148"/>
      <c r="G1322" s="1148"/>
      <c r="H1322" s="1148"/>
      <c r="I1322" s="1148"/>
      <c r="J1322" s="1148"/>
      <c r="K1322" s="1148"/>
      <c r="L1322" s="1148"/>
      <c r="M1322" s="1148"/>
      <c r="N1322" s="1148"/>
    </row>
    <row r="1323" spans="2:14">
      <c r="B1323" s="1051" t="s">
        <v>317</v>
      </c>
      <c r="C1323" s="1128">
        <f ca="1">C1322+C1321</f>
        <v>250.25893503259496</v>
      </c>
      <c r="D1323" s="1234"/>
      <c r="E1323" s="1234"/>
      <c r="F1323" s="1234"/>
      <c r="G1323" s="1234"/>
      <c r="H1323" s="1234"/>
      <c r="I1323" s="1234"/>
      <c r="J1323" s="1234"/>
      <c r="K1323" s="1234"/>
      <c r="L1323" s="1234"/>
      <c r="M1323" s="1234"/>
      <c r="N1323" s="1234"/>
    </row>
    <row r="1324" spans="2:14">
      <c r="B1324" s="1120" t="s">
        <v>1652</v>
      </c>
      <c r="C1324" s="1361">
        <f ca="1">C1323/(D1059+D1061)</f>
        <v>4.025284733672903</v>
      </c>
      <c r="D1324" s="1120"/>
      <c r="E1324" s="1120"/>
      <c r="F1324" s="1120"/>
      <c r="G1324" s="1120"/>
      <c r="H1324" s="1120"/>
      <c r="I1324" s="1120"/>
      <c r="J1324" s="1120"/>
      <c r="K1324" s="1120"/>
      <c r="L1324" s="1120"/>
      <c r="M1324" s="1120"/>
      <c r="N1324" s="1120"/>
    </row>
    <row r="1326" spans="2:14">
      <c r="B1326" s="1045" t="s">
        <v>2211</v>
      </c>
      <c r="C1326" s="1149">
        <f ca="1">-$F$972</f>
        <v>98.640171229044739</v>
      </c>
      <c r="D1326" s="1149">
        <f ca="1">-$F$972</f>
        <v>98.640171229044739</v>
      </c>
    </row>
    <row r="1327" spans="2:14">
      <c r="B1327" s="1381" t="s">
        <v>2209</v>
      </c>
      <c r="C1327" s="1393">
        <v>0.3</v>
      </c>
      <c r="D1327" s="1393">
        <v>0.5</v>
      </c>
    </row>
    <row r="1328" spans="2:14">
      <c r="B1328" s="1394" t="s">
        <v>1923</v>
      </c>
      <c r="C1328" s="1395">
        <f ca="1">C1326*C1327</f>
        <v>29.59205136871342</v>
      </c>
      <c r="D1328" s="1395">
        <f ca="1">D1326*D1327</f>
        <v>49.32008561452237</v>
      </c>
    </row>
    <row r="1329" spans="2:4">
      <c r="B1329" s="1381" t="s">
        <v>2210</v>
      </c>
      <c r="C1329" s="1382">
        <f ca="1">C1328*0.7*12</f>
        <v>248.57323149719272</v>
      </c>
      <c r="D1329" s="1382">
        <f ca="1">D1328*0.7*12</f>
        <v>414.28871916198784</v>
      </c>
    </row>
    <row r="1330" spans="2:4">
      <c r="B1330" s="1394" t="s">
        <v>2212</v>
      </c>
      <c r="C1330" s="1395">
        <f ca="1">C1329/2</f>
        <v>124.28661574859636</v>
      </c>
      <c r="D1330" s="1395">
        <f ca="1">D1329/2</f>
        <v>207.14435958099392</v>
      </c>
    </row>
    <row r="1331" spans="2:4">
      <c r="B1331" s="1381" t="s">
        <v>2213</v>
      </c>
      <c r="C1331" s="1376">
        <f ca="1">C1330+$C$1323</f>
        <v>374.54555078119131</v>
      </c>
      <c r="D1331" s="1376">
        <f ca="1">D1330+$C$1323</f>
        <v>457.40329461358886</v>
      </c>
    </row>
    <row r="1332" spans="2:4">
      <c r="B1332" s="1235" t="s">
        <v>1652</v>
      </c>
      <c r="C1332" s="1236">
        <f ca="1">C1331/($D$1059+$D$1061)</f>
        <v>6.0243702684512517</v>
      </c>
      <c r="D1332" s="1236">
        <f ca="1">D1331/($D$1059+$D$1061)</f>
        <v>7.3570939583034836</v>
      </c>
    </row>
  </sheetData>
  <mergeCells count="2">
    <mergeCell ref="C646:F646"/>
    <mergeCell ref="H646:J646"/>
  </mergeCells>
  <phoneticPr fontId="6" type="noConversion"/>
  <conditionalFormatting sqref="B798:C813 B818:Q832 B834:Q840 B917:Q934 B984:Q1009 B953:Q980">
    <cfRule type="expression" dxfId="5" priority="6">
      <formula>MOD(ROW(),2)=0</formula>
    </cfRule>
  </conditionalFormatting>
  <conditionalFormatting sqref="B1074:D1087">
    <cfRule type="expression" dxfId="4" priority="2">
      <formula>MOD(ROW(),2)=0</formula>
    </cfRule>
  </conditionalFormatting>
  <conditionalFormatting sqref="B698:M714">
    <cfRule type="expression" dxfId="3" priority="5">
      <formula>MOD(ROW(),2)=0</formula>
    </cfRule>
  </conditionalFormatting>
  <conditionalFormatting sqref="B843:Q860">
    <cfRule type="expression" dxfId="2" priority="1">
      <formula>MOD(ROW(),2)=0</formula>
    </cfRule>
  </conditionalFormatting>
  <conditionalFormatting sqref="B864:Q883 B1012:Q1029 B1059:O1070 B937:Q951 B886:Q913">
    <cfRule type="expression" dxfId="1" priority="13">
      <formula>MOD(ROW(),2)=0</formula>
    </cfRule>
  </conditionalFormatting>
  <conditionalFormatting sqref="B1033:Q1056">
    <cfRule type="expression" dxfId="0" priority="4">
      <formula>MOD(ROW(),2)=0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DC785-31E9-415C-813B-28FA28C1DF6E}">
  <sheetPr codeName="Sheet19"/>
  <dimension ref="A2:AH93"/>
  <sheetViews>
    <sheetView topLeftCell="A5" zoomScale="60" zoomScaleNormal="60" workbookViewId="0">
      <selection activeCell="P49" sqref="P49"/>
    </sheetView>
  </sheetViews>
  <sheetFormatPr defaultColWidth="9.1328125" defaultRowHeight="15.4"/>
  <cols>
    <col min="1" max="1" width="2.86328125" style="489" customWidth="1"/>
    <col min="2" max="2" width="37.1328125" style="489" customWidth="1"/>
    <col min="3" max="20" width="11.46484375" style="489" customWidth="1"/>
    <col min="21" max="16384" width="9.1328125" style="489"/>
  </cols>
  <sheetData>
    <row r="2" spans="1:34">
      <c r="H2" s="724" t="s">
        <v>1380</v>
      </c>
      <c r="I2" s="724" t="s">
        <v>1381</v>
      </c>
    </row>
    <row r="3" spans="1:34" s="513" customFormat="1">
      <c r="A3" s="722"/>
      <c r="B3" s="513" t="s">
        <v>1826</v>
      </c>
      <c r="C3" s="513">
        <v>2013</v>
      </c>
      <c r="D3" s="513">
        <v>2014</v>
      </c>
      <c r="E3" s="513">
        <v>2015</v>
      </c>
      <c r="F3" s="513">
        <v>2016</v>
      </c>
      <c r="G3" s="513">
        <v>2017</v>
      </c>
      <c r="H3" s="513">
        <v>2018</v>
      </c>
      <c r="I3" s="513">
        <v>2019</v>
      </c>
      <c r="J3" s="513">
        <f>I3+1</f>
        <v>2020</v>
      </c>
      <c r="K3" s="513">
        <f t="shared" ref="K3:T3" si="0">J3+1</f>
        <v>2021</v>
      </c>
      <c r="L3" s="513">
        <f t="shared" si="0"/>
        <v>2022</v>
      </c>
      <c r="M3" s="513">
        <f t="shared" si="0"/>
        <v>2023</v>
      </c>
      <c r="N3" s="513">
        <f t="shared" si="0"/>
        <v>2024</v>
      </c>
      <c r="O3" s="513">
        <f t="shared" si="0"/>
        <v>2025</v>
      </c>
      <c r="P3" s="513">
        <f t="shared" si="0"/>
        <v>2026</v>
      </c>
      <c r="Q3" s="513">
        <f t="shared" si="0"/>
        <v>2027</v>
      </c>
      <c r="R3" s="513">
        <f t="shared" si="0"/>
        <v>2028</v>
      </c>
      <c r="S3" s="513">
        <f t="shared" si="0"/>
        <v>2029</v>
      </c>
      <c r="T3" s="513">
        <f t="shared" si="0"/>
        <v>2030</v>
      </c>
      <c r="U3" s="513">
        <f t="shared" ref="U3" si="1">T3+1</f>
        <v>2031</v>
      </c>
      <c r="V3" s="513">
        <f t="shared" ref="V3" si="2">U3+1</f>
        <v>2032</v>
      </c>
      <c r="W3" s="513">
        <f t="shared" ref="W3" si="3">V3+1</f>
        <v>2033</v>
      </c>
      <c r="X3" s="513">
        <f t="shared" ref="X3" si="4">W3+1</f>
        <v>2034</v>
      </c>
      <c r="Y3" s="513">
        <f t="shared" ref="Y3" si="5">X3+1</f>
        <v>2035</v>
      </c>
      <c r="Z3" s="513">
        <f t="shared" ref="Z3" si="6">Y3+1</f>
        <v>2036</v>
      </c>
    </row>
    <row r="4" spans="1:34" s="486" customFormat="1"/>
    <row r="5" spans="1:34" s="486" customFormat="1">
      <c r="B5" s="912" t="s">
        <v>281</v>
      </c>
      <c r="L5" s="486">
        <f>Workings!C498</f>
        <v>181.58300000000003</v>
      </c>
      <c r="M5" s="486">
        <f ca="1">Workings!D498</f>
        <v>190.85454653151407</v>
      </c>
      <c r="N5" s="486">
        <f ca="1">Workings!E498</f>
        <v>184.97974954401991</v>
      </c>
      <c r="O5" s="486">
        <f ca="1">Workings!F498</f>
        <v>192.26576222893047</v>
      </c>
      <c r="P5" s="486">
        <f ca="1">Workings!G498</f>
        <v>209.68398168306288</v>
      </c>
      <c r="Q5" s="486">
        <f ca="1">Workings!H498</f>
        <v>228.62711092244257</v>
      </c>
      <c r="R5" s="486">
        <f ca="1">Workings!I498</f>
        <v>249.10503433769716</v>
      </c>
      <c r="S5" s="486">
        <f ca="1">Workings!J498</f>
        <v>273.47661400054051</v>
      </c>
      <c r="T5" s="486">
        <f ca="1">Workings!K498</f>
        <v>298.79495662173173</v>
      </c>
      <c r="U5" s="486">
        <f ca="1">Workings!L498</f>
        <v>325.85744290204622</v>
      </c>
      <c r="V5" s="486">
        <f ca="1">Workings!M498</f>
        <v>352.81269762450358</v>
      </c>
      <c r="W5" s="486">
        <f ca="1">Workings!N498</f>
        <v>380.78171492757747</v>
      </c>
      <c r="X5" s="486">
        <f ca="1">Workings!O498</f>
        <v>409.78440490838074</v>
      </c>
      <c r="Y5" s="486">
        <f ca="1">Workings!P498</f>
        <v>439.84128577463719</v>
      </c>
      <c r="Z5" s="486">
        <f ca="1">Workings!Q498</f>
        <v>470.97351969960295</v>
      </c>
    </row>
    <row r="6" spans="1:34" s="486" customFormat="1">
      <c r="B6" s="912" t="s">
        <v>1778</v>
      </c>
      <c r="L6" s="486">
        <f>Workings!C499</f>
        <v>-186</v>
      </c>
      <c r="M6" s="486">
        <f>Workings!D499</f>
        <v>-187</v>
      </c>
      <c r="N6" s="486">
        <f ca="1">Workings!E499</f>
        <v>-193.26969502103239</v>
      </c>
      <c r="O6" s="486">
        <f ca="1">Workings!F499</f>
        <v>-187.46621537875632</v>
      </c>
      <c r="P6" s="486">
        <f ca="1">Workings!G499</f>
        <v>-190.60693133023656</v>
      </c>
      <c r="Q6" s="486">
        <f ca="1">Workings!H499</f>
        <v>-202.94415147376913</v>
      </c>
      <c r="R6" s="486">
        <f ca="1">Workings!I499</f>
        <v>-202.99840863051455</v>
      </c>
      <c r="S6" s="486">
        <f ca="1">Workings!J499</f>
        <v>-231.88698917188097</v>
      </c>
      <c r="T6" s="486">
        <f ca="1">Workings!K499</f>
        <v>-230.4678702221118</v>
      </c>
      <c r="U6" s="486">
        <f ca="1">Workings!L499</f>
        <v>-267.77608347685418</v>
      </c>
      <c r="V6" s="486">
        <f ca="1">Workings!M499</f>
        <v>-268.85975693610794</v>
      </c>
      <c r="W6" s="486">
        <f ca="1">Workings!N499</f>
        <v>-269.94989059987319</v>
      </c>
      <c r="X6" s="486">
        <f ca="1">Workings!O499</f>
        <v>-271.0464844681498</v>
      </c>
      <c r="Y6" s="486">
        <f ca="1">Workings!P499</f>
        <v>-272.14953854093795</v>
      </c>
      <c r="Z6" s="486">
        <f ca="1">Workings!Q499</f>
        <v>-137.90305281823746</v>
      </c>
    </row>
    <row r="7" spans="1:34" s="486" customFormat="1">
      <c r="B7" s="912" t="s">
        <v>1777</v>
      </c>
      <c r="L7" s="486">
        <f>Workings!C500</f>
        <v>-38.730000000000004</v>
      </c>
      <c r="M7" s="486">
        <f>Workings!D500</f>
        <v>-45.085999999999999</v>
      </c>
      <c r="N7" s="486">
        <f>Workings!E500</f>
        <v>-45</v>
      </c>
      <c r="O7" s="486">
        <f>Workings!F500</f>
        <v>-45</v>
      </c>
      <c r="P7" s="486">
        <f>Workings!G500</f>
        <v>-45</v>
      </c>
      <c r="Q7" s="486">
        <f>Workings!H500</f>
        <v>-45</v>
      </c>
      <c r="R7" s="486">
        <f>Workings!I500</f>
        <v>-45</v>
      </c>
      <c r="S7" s="486">
        <f>Workings!J500</f>
        <v>-45</v>
      </c>
      <c r="T7" s="486">
        <f>Workings!K500</f>
        <v>-45</v>
      </c>
      <c r="U7" s="486">
        <f>Workings!L500</f>
        <v>-45</v>
      </c>
      <c r="V7" s="486">
        <f>Workings!M500</f>
        <v>-45</v>
      </c>
      <c r="W7" s="486">
        <f>Workings!N500</f>
        <v>-45</v>
      </c>
      <c r="X7" s="486">
        <f>Workings!O500</f>
        <v>-45</v>
      </c>
      <c r="Y7" s="486">
        <f>Workings!P500</f>
        <v>-45</v>
      </c>
      <c r="Z7" s="486">
        <f>Workings!Q500</f>
        <v>-45</v>
      </c>
    </row>
    <row r="8" spans="1:34" s="486" customFormat="1">
      <c r="B8" s="912" t="s">
        <v>1779</v>
      </c>
      <c r="L8" s="521">
        <f ca="1">Model!L16</f>
        <v>-18.283000000000015</v>
      </c>
      <c r="M8" s="521">
        <f ca="1">Model!M16</f>
        <v>-47.554546531514063</v>
      </c>
      <c r="N8" s="521">
        <f>Model!N16</f>
        <v>-45</v>
      </c>
      <c r="O8" s="521">
        <f>Model!O16</f>
        <v>-25</v>
      </c>
      <c r="P8" s="521">
        <f>Model!P16</f>
        <v>-20</v>
      </c>
      <c r="Q8" s="521">
        <f>Model!Q16</f>
        <v>-10</v>
      </c>
      <c r="R8" s="521">
        <f>Model!R16</f>
        <v>-10</v>
      </c>
      <c r="S8" s="521">
        <f>Model!S16</f>
        <v>-10</v>
      </c>
      <c r="T8" s="521">
        <f>Model!T16</f>
        <v>-10</v>
      </c>
      <c r="U8" s="521">
        <f>Model!U16</f>
        <v>-10</v>
      </c>
      <c r="V8" s="521">
        <f>Model!V16</f>
        <v>-10</v>
      </c>
      <c r="W8" s="521">
        <f>Model!W16</f>
        <v>-10</v>
      </c>
      <c r="X8" s="521">
        <f>Model!X16</f>
        <v>-10</v>
      </c>
      <c r="Y8" s="521">
        <f>Model!Y16</f>
        <v>-10</v>
      </c>
      <c r="Z8" s="521">
        <f>Model!Z16</f>
        <v>0</v>
      </c>
    </row>
    <row r="9" spans="1:34" s="486" customFormat="1">
      <c r="B9" s="516" t="s">
        <v>351</v>
      </c>
      <c r="L9" s="516">
        <f ca="1">SUM(L5:L8)</f>
        <v>-61.429999999999993</v>
      </c>
      <c r="M9" s="516">
        <f t="shared" ref="M9:Z9" ca="1" si="7">SUM(M5:M8)</f>
        <v>-88.785999999999987</v>
      </c>
      <c r="N9" s="516">
        <f t="shared" ca="1" si="7"/>
        <v>-98.289945477012481</v>
      </c>
      <c r="O9" s="516">
        <f t="shared" ca="1" si="7"/>
        <v>-65.200453149825847</v>
      </c>
      <c r="P9" s="516">
        <f t="shared" ca="1" si="7"/>
        <v>-45.922949647173681</v>
      </c>
      <c r="Q9" s="516">
        <f t="shared" ca="1" si="7"/>
        <v>-29.317040551326556</v>
      </c>
      <c r="R9" s="516">
        <f t="shared" ca="1" si="7"/>
        <v>-8.8933742928173842</v>
      </c>
      <c r="S9" s="516">
        <f t="shared" ca="1" si="7"/>
        <v>-13.410375171340462</v>
      </c>
      <c r="T9" s="516">
        <f t="shared" ca="1" si="7"/>
        <v>13.32708639961993</v>
      </c>
      <c r="U9" s="516">
        <f t="shared" ca="1" si="7"/>
        <v>3.0813594251920335</v>
      </c>
      <c r="V9" s="516">
        <f t="shared" ca="1" si="7"/>
        <v>28.952940688395643</v>
      </c>
      <c r="W9" s="516">
        <f t="shared" ca="1" si="7"/>
        <v>55.831824327704282</v>
      </c>
      <c r="X9" s="516">
        <f t="shared" ca="1" si="7"/>
        <v>83.737920440230937</v>
      </c>
      <c r="Y9" s="516">
        <f t="shared" ca="1" si="7"/>
        <v>112.69174723369923</v>
      </c>
      <c r="Z9" s="516">
        <f t="shared" ca="1" si="7"/>
        <v>288.07046688136552</v>
      </c>
      <c r="AA9" s="1203">
        <f ca="1">Z9</f>
        <v>288.07046688136552</v>
      </c>
      <c r="AB9" s="1203">
        <f t="shared" ref="AB9:AH9" ca="1" si="8">AA9</f>
        <v>288.07046688136552</v>
      </c>
      <c r="AC9" s="1203">
        <f t="shared" ca="1" si="8"/>
        <v>288.07046688136552</v>
      </c>
      <c r="AD9" s="1203">
        <f t="shared" ca="1" si="8"/>
        <v>288.07046688136552</v>
      </c>
      <c r="AE9" s="1203">
        <f t="shared" ca="1" si="8"/>
        <v>288.07046688136552</v>
      </c>
      <c r="AF9" s="1203">
        <f t="shared" ca="1" si="8"/>
        <v>288.07046688136552</v>
      </c>
      <c r="AG9" s="1203">
        <f t="shared" ca="1" si="8"/>
        <v>288.07046688136552</v>
      </c>
      <c r="AH9" s="1203">
        <f t="shared" ca="1" si="8"/>
        <v>288.07046688136552</v>
      </c>
    </row>
    <row r="10" spans="1:34" s="486" customFormat="1">
      <c r="B10" s="516"/>
      <c r="AA10" s="1203"/>
    </row>
    <row r="11" spans="1:34" s="486" customFormat="1">
      <c r="B11" s="516" t="s">
        <v>1788</v>
      </c>
      <c r="L11" s="1176">
        <f ca="1">IF(L9&lt;0,0,30%)</f>
        <v>0</v>
      </c>
      <c r="M11" s="1176">
        <f t="shared" ref="M11:Z11" ca="1" si="9">IF(M9&lt;0,0,30%)</f>
        <v>0</v>
      </c>
      <c r="N11" s="1176">
        <f t="shared" ca="1" si="9"/>
        <v>0</v>
      </c>
      <c r="O11" s="1176">
        <f t="shared" ca="1" si="9"/>
        <v>0</v>
      </c>
      <c r="P11" s="1176">
        <f t="shared" ca="1" si="9"/>
        <v>0</v>
      </c>
      <c r="Q11" s="1176">
        <f t="shared" ca="1" si="9"/>
        <v>0</v>
      </c>
      <c r="R11" s="1176">
        <f t="shared" ca="1" si="9"/>
        <v>0</v>
      </c>
      <c r="S11" s="1176">
        <f t="shared" ca="1" si="9"/>
        <v>0</v>
      </c>
      <c r="T11" s="1176">
        <f t="shared" ca="1" si="9"/>
        <v>0.3</v>
      </c>
      <c r="U11" s="1176">
        <f t="shared" ca="1" si="9"/>
        <v>0.3</v>
      </c>
      <c r="V11" s="1176">
        <f t="shared" ca="1" si="9"/>
        <v>0.3</v>
      </c>
      <c r="W11" s="1176">
        <f t="shared" ca="1" si="9"/>
        <v>0.3</v>
      </c>
      <c r="X11" s="1176">
        <f t="shared" ca="1" si="9"/>
        <v>0.3</v>
      </c>
      <c r="Y11" s="1176">
        <f t="shared" ca="1" si="9"/>
        <v>0.3</v>
      </c>
      <c r="Z11" s="1176">
        <f t="shared" ca="1" si="9"/>
        <v>0.3</v>
      </c>
      <c r="AA11" s="1204">
        <f t="shared" ref="AA11:AH11" ca="1" si="10">IF(AA9&lt;0,0,30%)</f>
        <v>0.3</v>
      </c>
      <c r="AB11" s="1204">
        <f t="shared" ca="1" si="10"/>
        <v>0.3</v>
      </c>
      <c r="AC11" s="1204">
        <f t="shared" ca="1" si="10"/>
        <v>0.3</v>
      </c>
      <c r="AD11" s="1204">
        <f t="shared" ca="1" si="10"/>
        <v>0.3</v>
      </c>
      <c r="AE11" s="1204">
        <f t="shared" ca="1" si="10"/>
        <v>0.3</v>
      </c>
      <c r="AF11" s="1204">
        <f t="shared" ca="1" si="10"/>
        <v>0.3</v>
      </c>
      <c r="AG11" s="1204">
        <f t="shared" ca="1" si="10"/>
        <v>0.3</v>
      </c>
      <c r="AH11" s="1204">
        <f t="shared" ca="1" si="10"/>
        <v>0.3</v>
      </c>
    </row>
    <row r="12" spans="1:34" s="58" customFormat="1">
      <c r="B12" s="58" t="s">
        <v>320</v>
      </c>
      <c r="C12" s="532"/>
      <c r="D12" s="532"/>
      <c r="E12" s="532"/>
      <c r="F12" s="532"/>
      <c r="G12" s="532"/>
      <c r="H12" s="532"/>
      <c r="I12" s="532"/>
      <c r="J12" s="532"/>
      <c r="K12" s="532"/>
      <c r="L12" s="532">
        <f ca="1">L9*(1-L11)</f>
        <v>-61.429999999999993</v>
      </c>
      <c r="M12" s="532">
        <f t="shared" ref="M12:Z12" ca="1" si="11">M9*(1-M11)</f>
        <v>-88.785999999999987</v>
      </c>
      <c r="N12" s="532">
        <f t="shared" ca="1" si="11"/>
        <v>-98.289945477012481</v>
      </c>
      <c r="O12" s="532">
        <f t="shared" ca="1" si="11"/>
        <v>-65.200453149825847</v>
      </c>
      <c r="P12" s="532">
        <f t="shared" ca="1" si="11"/>
        <v>-45.922949647173681</v>
      </c>
      <c r="Q12" s="532">
        <f t="shared" ca="1" si="11"/>
        <v>-29.317040551326556</v>
      </c>
      <c r="R12" s="532">
        <f t="shared" ca="1" si="11"/>
        <v>-8.8933742928173842</v>
      </c>
      <c r="S12" s="532">
        <f t="shared" ca="1" si="11"/>
        <v>-13.410375171340462</v>
      </c>
      <c r="T12" s="532">
        <f t="shared" ca="1" si="11"/>
        <v>9.3289604797339507</v>
      </c>
      <c r="U12" s="532">
        <f t="shared" ca="1" si="11"/>
        <v>2.1569515976344231</v>
      </c>
      <c r="V12" s="532">
        <f t="shared" ca="1" si="11"/>
        <v>20.267058481876948</v>
      </c>
      <c r="W12" s="532">
        <f t="shared" ca="1" si="11"/>
        <v>39.082277029392998</v>
      </c>
      <c r="X12" s="532">
        <f t="shared" ca="1" si="11"/>
        <v>58.61654430816165</v>
      </c>
      <c r="Y12" s="532">
        <f t="shared" ca="1" si="11"/>
        <v>78.884223063589459</v>
      </c>
      <c r="Z12" s="532">
        <f t="shared" ca="1" si="11"/>
        <v>201.64932681695586</v>
      </c>
      <c r="AA12" s="532"/>
    </row>
    <row r="13" spans="1:34">
      <c r="B13" s="536" t="s">
        <v>1549</v>
      </c>
      <c r="C13" s="855"/>
      <c r="D13" s="855"/>
      <c r="E13" s="855"/>
      <c r="F13" s="855"/>
      <c r="G13" s="855"/>
      <c r="H13" s="855"/>
      <c r="I13" s="855"/>
      <c r="J13" s="932">
        <v>0</v>
      </c>
      <c r="K13" s="932">
        <v>0</v>
      </c>
      <c r="L13" s="932">
        <v>0</v>
      </c>
      <c r="M13" s="932">
        <v>0</v>
      </c>
      <c r="N13" s="932">
        <v>0</v>
      </c>
      <c r="O13" s="932">
        <v>0</v>
      </c>
      <c r="P13" s="932">
        <v>1</v>
      </c>
      <c r="Q13" s="932">
        <f>P13+1</f>
        <v>2</v>
      </c>
      <c r="R13" s="932">
        <f t="shared" ref="R13:Z13" si="12">Q13+1</f>
        <v>3</v>
      </c>
      <c r="S13" s="932">
        <f t="shared" si="12"/>
        <v>4</v>
      </c>
      <c r="T13" s="932">
        <f t="shared" si="12"/>
        <v>5</v>
      </c>
      <c r="U13" s="932">
        <f t="shared" si="12"/>
        <v>6</v>
      </c>
      <c r="V13" s="932">
        <f t="shared" si="12"/>
        <v>7</v>
      </c>
      <c r="W13" s="932">
        <f t="shared" si="12"/>
        <v>8</v>
      </c>
      <c r="X13" s="932">
        <f t="shared" si="12"/>
        <v>9</v>
      </c>
      <c r="Y13" s="932">
        <f t="shared" si="12"/>
        <v>10</v>
      </c>
      <c r="Z13" s="932">
        <f t="shared" si="12"/>
        <v>11</v>
      </c>
    </row>
    <row r="15" spans="1:34">
      <c r="B15" s="618" t="s">
        <v>1876</v>
      </c>
      <c r="M15" s="486">
        <f>-Model!M164</f>
        <v>735</v>
      </c>
      <c r="N15" s="486">
        <f t="shared" ref="N15:Y15" ca="1" si="13">IF(N9&lt;0,M15-N9,M15-N9*0.6)</f>
        <v>833.28994547701245</v>
      </c>
      <c r="O15" s="486">
        <f t="shared" ca="1" si="13"/>
        <v>898.49039862683833</v>
      </c>
      <c r="P15" s="486">
        <f t="shared" ca="1" si="13"/>
        <v>944.41334827401204</v>
      </c>
      <c r="Q15" s="486">
        <f t="shared" ca="1" si="13"/>
        <v>973.73038882533865</v>
      </c>
      <c r="R15" s="486">
        <f t="shared" ca="1" si="13"/>
        <v>982.62376311815603</v>
      </c>
      <c r="S15" s="486">
        <f t="shared" ca="1" si="13"/>
        <v>996.03413828949647</v>
      </c>
      <c r="T15" s="486">
        <f t="shared" ca="1" si="13"/>
        <v>988.03788644972451</v>
      </c>
      <c r="U15" s="486">
        <f t="shared" ca="1" si="13"/>
        <v>986.18907079460928</v>
      </c>
      <c r="V15" s="486">
        <f t="shared" ca="1" si="13"/>
        <v>968.81730638157194</v>
      </c>
      <c r="W15" s="486">
        <f t="shared" ca="1" si="13"/>
        <v>935.31821178494943</v>
      </c>
      <c r="X15" s="486">
        <f t="shared" ca="1" si="13"/>
        <v>885.07545952081091</v>
      </c>
      <c r="Y15" s="486">
        <f t="shared" ca="1" si="13"/>
        <v>817.46041118059134</v>
      </c>
      <c r="Z15" s="486">
        <f ca="1">IF(Z9&lt;0,Y15-Z9,Y15-Z9*0.6)</f>
        <v>644.61813105177202</v>
      </c>
      <c r="AA15" s="486">
        <f ca="1">IF(AA9&lt;0,Z15-AA9,Z15-AA9*0.6)</f>
        <v>471.77585092295271</v>
      </c>
      <c r="AB15" s="486">
        <f t="shared" ref="AB15:AH15" ca="1" si="14">IF(AB9&lt;0,AA15-AB9,AA15-AB9*0.6)</f>
        <v>298.9335707941334</v>
      </c>
      <c r="AC15" s="486">
        <f t="shared" ca="1" si="14"/>
        <v>126.09129066531409</v>
      </c>
      <c r="AD15" s="486">
        <f t="shared" ca="1" si="14"/>
        <v>-46.750989463505221</v>
      </c>
      <c r="AE15" s="486">
        <f t="shared" ca="1" si="14"/>
        <v>-219.59326959232453</v>
      </c>
      <c r="AF15" s="486">
        <f t="shared" ca="1" si="14"/>
        <v>-392.43554972114384</v>
      </c>
      <c r="AG15" s="486">
        <f t="shared" ca="1" si="14"/>
        <v>-565.27782984996315</v>
      </c>
      <c r="AH15" s="486">
        <f t="shared" ca="1" si="14"/>
        <v>-738.12010997878247</v>
      </c>
    </row>
    <row r="16" spans="1:34">
      <c r="B16" s="618" t="s">
        <v>361</v>
      </c>
      <c r="N16" s="629">
        <f ca="1">IF(N15&gt;0,IF(N9&gt;0,N9*0.6*N11,0),0)</f>
        <v>0</v>
      </c>
      <c r="O16" s="629">
        <f t="shared" ref="O16:Z16" ca="1" si="15">IF(O15&gt;0,IF(O9&gt;0,O9*0.6*O11,0),0)</f>
        <v>0</v>
      </c>
      <c r="P16" s="629">
        <f t="shared" ca="1" si="15"/>
        <v>0</v>
      </c>
      <c r="Q16" s="629">
        <f t="shared" ca="1" si="15"/>
        <v>0</v>
      </c>
      <c r="R16" s="629">
        <f t="shared" ca="1" si="15"/>
        <v>0</v>
      </c>
      <c r="S16" s="629">
        <f t="shared" ca="1" si="15"/>
        <v>0</v>
      </c>
      <c r="T16" s="629">
        <f t="shared" ca="1" si="15"/>
        <v>2.3988755519315874</v>
      </c>
      <c r="U16" s="629">
        <f t="shared" ca="1" si="15"/>
        <v>0.55464469653456594</v>
      </c>
      <c r="V16" s="629">
        <f t="shared" ca="1" si="15"/>
        <v>5.2115293239112157</v>
      </c>
      <c r="W16" s="629">
        <f t="shared" ca="1" si="15"/>
        <v>10.049728378986771</v>
      </c>
      <c r="X16" s="629">
        <f t="shared" ca="1" si="15"/>
        <v>15.072825679241568</v>
      </c>
      <c r="Y16" s="629">
        <f t="shared" ca="1" si="15"/>
        <v>20.284514502065857</v>
      </c>
      <c r="Z16" s="629">
        <f t="shared" ca="1" si="15"/>
        <v>51.852684038645791</v>
      </c>
      <c r="AA16" s="629">
        <f t="shared" ref="AA16" ca="1" si="16">IF(AA15&gt;0,IF(AA9&gt;0,AA9*0.6*AA11,0),0)</f>
        <v>51.852684038645791</v>
      </c>
      <c r="AB16" s="629">
        <f t="shared" ref="AB16" ca="1" si="17">IF(AB15&gt;0,IF(AB9&gt;0,AB9*0.6*AB11,0),0)</f>
        <v>51.852684038645791</v>
      </c>
      <c r="AC16" s="629">
        <f t="shared" ref="AC16" ca="1" si="18">IF(AC15&gt;0,IF(AC9&gt;0,AC9*0.6*AC11,0),0)</f>
        <v>51.852684038645791</v>
      </c>
      <c r="AD16" s="629">
        <f t="shared" ref="AD16" ca="1" si="19">IF(AD15&gt;0,IF(AD9&gt;0,AD9*0.6*AD11,0),0)</f>
        <v>0</v>
      </c>
      <c r="AE16" s="629">
        <f t="shared" ref="AE16" ca="1" si="20">IF(AE15&gt;0,IF(AE9&gt;0,AE9*0.6*AE11,0),0)</f>
        <v>0</v>
      </c>
      <c r="AF16" s="629">
        <f t="shared" ref="AF16" ca="1" si="21">IF(AF15&gt;0,IF(AF9&gt;0,AF9*0.6*AF11,0),0)</f>
        <v>0</v>
      </c>
      <c r="AG16" s="629">
        <f t="shared" ref="AG16" ca="1" si="22">IF(AG15&gt;0,IF(AG9&gt;0,AG9*0.6*AG11,0),0)</f>
        <v>0</v>
      </c>
      <c r="AH16" s="629">
        <f t="shared" ref="AH16" ca="1" si="23">IF(AH15&gt;0,IF(AH9&gt;0,AH9*0.6*AH11,0),0)</f>
        <v>0</v>
      </c>
    </row>
    <row r="18" spans="2:26">
      <c r="B18" s="618" t="s">
        <v>1567</v>
      </c>
      <c r="N18" s="486">
        <f ca="1">Model!N23</f>
        <v>193.26969502103239</v>
      </c>
      <c r="O18" s="486">
        <f ca="1">Model!O23</f>
        <v>187.46621537875632</v>
      </c>
      <c r="P18" s="486">
        <f ca="1">Model!P23</f>
        <v>190.60693133023656</v>
      </c>
      <c r="Q18" s="486">
        <f ca="1">Model!Q23</f>
        <v>202.94415147376913</v>
      </c>
      <c r="R18" s="486">
        <f ca="1">Model!R23</f>
        <v>202.99840863051455</v>
      </c>
      <c r="S18" s="486">
        <f ca="1">Model!S23</f>
        <v>231.88698917188097</v>
      </c>
      <c r="T18" s="486">
        <f ca="1">Model!T23</f>
        <v>230.4678702221118</v>
      </c>
      <c r="U18" s="486">
        <f ca="1">Model!U23</f>
        <v>267.77608347685418</v>
      </c>
      <c r="V18" s="486">
        <f ca="1">Model!V23</f>
        <v>268.85975693610794</v>
      </c>
      <c r="W18" s="486">
        <f ca="1">Model!W23</f>
        <v>269.94989059987319</v>
      </c>
      <c r="X18" s="486">
        <f ca="1">Model!X23</f>
        <v>271.0464844681498</v>
      </c>
      <c r="Y18" s="486">
        <f ca="1">Model!Y23</f>
        <v>272.14953854093795</v>
      </c>
      <c r="Z18" s="486">
        <f ca="1">Model!Z23</f>
        <v>137.90305281823746</v>
      </c>
    </row>
    <row r="19" spans="2:26">
      <c r="B19" s="618" t="s">
        <v>1568</v>
      </c>
      <c r="N19" s="524">
        <f ca="1">N18-Fixed!N278</f>
        <v>134.01969502103239</v>
      </c>
      <c r="O19" s="524">
        <f ca="1">O18-Fixed!O278</f>
        <v>127.46621537875632</v>
      </c>
      <c r="P19" s="524">
        <f ca="1">P18-Fixed!P278</f>
        <v>130.60693133023656</v>
      </c>
      <c r="Q19" s="524">
        <f ca="1">Q18-Fixed!Q278</f>
        <v>132.94415147376913</v>
      </c>
      <c r="R19" s="524">
        <f ca="1">R18-Fixed!R278</f>
        <v>132.99840863051455</v>
      </c>
      <c r="S19" s="524">
        <f ca="1">S18-Fixed!S278</f>
        <v>132.76198917188097</v>
      </c>
      <c r="T19" s="524">
        <f ca="1">T18-Fixed!T278</f>
        <v>131.3428702221118</v>
      </c>
      <c r="U19" s="524">
        <f ca="1">U18-Fixed!U278</f>
        <v>132.42008347685419</v>
      </c>
      <c r="V19" s="524">
        <f ca="1">V18-Fixed!V278</f>
        <v>133.50375693610795</v>
      </c>
      <c r="W19" s="524">
        <f ca="1">W18-Fixed!W278</f>
        <v>134.59389059987319</v>
      </c>
      <c r="X19" s="524">
        <f ca="1">X18-Fixed!X278</f>
        <v>135.6904844681498</v>
      </c>
      <c r="Y19" s="524">
        <f ca="1">Y18-Fixed!Y278</f>
        <v>136.79353854093796</v>
      </c>
      <c r="Z19" s="524">
        <f ca="1">Z18-Fixed!Z278</f>
        <v>137.90305281823746</v>
      </c>
    </row>
    <row r="21" spans="2:26">
      <c r="B21" s="618" t="s">
        <v>1569</v>
      </c>
      <c r="N21" s="531">
        <f ca="1">N12+(N18-N19)*(1-'SOP OLD'!$M$38)</f>
        <v>-56.814945477012486</v>
      </c>
      <c r="O21" s="531">
        <f ca="1">O12+(O18-O19)*(1-'SOP OLD'!$M$38)</f>
        <v>-23.200453149825847</v>
      </c>
      <c r="P21" s="531">
        <f ca="1">P12+(P18-P19)*(1-'SOP OLD'!$M$38)</f>
        <v>-3.9229496471736809</v>
      </c>
      <c r="Q21" s="531">
        <f ca="1">Q12+(Q18-Q19)*(1-'SOP OLD'!$M$38)</f>
        <v>19.682959448673444</v>
      </c>
      <c r="R21" s="531">
        <f ca="1">R12+(R18-R19)*(1-'SOP OLD'!$M$38)</f>
        <v>40.106625707182616</v>
      </c>
      <c r="S21" s="531">
        <f ca="1">S12+(S18-S19)*(1-'SOP OLD'!$M$38)</f>
        <v>55.977124828659527</v>
      </c>
      <c r="T21" s="531">
        <f ca="1">T12+(T18-T19)*(1-'SOP OLD'!$M$38)</f>
        <v>78.716460479733939</v>
      </c>
      <c r="U21" s="531">
        <f ca="1">U12+(U18-U19)*(1-'SOP OLD'!$M$38)</f>
        <v>96.906151597634405</v>
      </c>
      <c r="V21" s="531">
        <f ca="1">V12+(V18-V19)*(1-'SOP OLD'!$M$38)</f>
        <v>115.01625848187693</v>
      </c>
      <c r="W21" s="531">
        <f ca="1">W12+(W18-W19)*(1-'SOP OLD'!$M$38)</f>
        <v>133.831477029393</v>
      </c>
      <c r="X21" s="531">
        <f ca="1">X12+(X18-X19)*(1-'SOP OLD'!$M$38)</f>
        <v>153.36574430816165</v>
      </c>
      <c r="Y21" s="531">
        <f ca="1">Y12+(Y18-Y19)*(1-'SOP OLD'!$M$38)</f>
        <v>173.63342306358945</v>
      </c>
      <c r="Z21" s="531">
        <f ca="1">Z12+(Z18-Z19)*(1-'SOP OLD'!$M$38)</f>
        <v>201.64932681695586</v>
      </c>
    </row>
    <row r="22" spans="2:26">
      <c r="B22" s="618"/>
      <c r="N22" s="531"/>
      <c r="O22" s="531"/>
      <c r="P22" s="531"/>
      <c r="Q22" s="531"/>
      <c r="R22" s="531"/>
      <c r="S22" s="531"/>
      <c r="T22" s="531"/>
      <c r="U22" s="531"/>
      <c r="V22" s="531"/>
      <c r="W22" s="531"/>
      <c r="X22" s="531"/>
      <c r="Y22" s="531"/>
      <c r="Z22" s="531"/>
    </row>
    <row r="23" spans="2:26">
      <c r="B23" s="1285" t="s">
        <v>192</v>
      </c>
      <c r="C23" s="1205" t="s">
        <v>1572</v>
      </c>
      <c r="E23" s="618" t="s">
        <v>1586</v>
      </c>
    </row>
    <row r="24" spans="2:26">
      <c r="B24" s="1286" t="s">
        <v>321</v>
      </c>
      <c r="C24" s="1291">
        <v>7.5999999999999998E-2</v>
      </c>
      <c r="D24" s="663"/>
      <c r="E24" s="933">
        <v>7.2999999999999995E-2</v>
      </c>
      <c r="F24" s="663"/>
      <c r="G24" s="663"/>
      <c r="H24" s="663"/>
      <c r="I24" s="663"/>
      <c r="J24" s="663"/>
      <c r="K24" s="663"/>
      <c r="L24" s="663"/>
      <c r="M24" s="663"/>
      <c r="N24" s="663"/>
    </row>
    <row r="25" spans="2:26">
      <c r="B25" s="1287" t="s">
        <v>1576</v>
      </c>
      <c r="C25" s="1292">
        <v>0</v>
      </c>
      <c r="D25" s="934"/>
      <c r="E25" s="933">
        <v>0</v>
      </c>
      <c r="F25" s="663"/>
      <c r="G25" s="663"/>
      <c r="H25" s="663"/>
      <c r="I25" s="663"/>
      <c r="J25" s="663"/>
      <c r="K25" s="663"/>
      <c r="L25" s="663"/>
      <c r="M25" s="663"/>
      <c r="N25" s="663"/>
    </row>
    <row r="26" spans="2:26">
      <c r="B26" s="1286" t="s">
        <v>2050</v>
      </c>
      <c r="C26" s="1293">
        <f>1/(C24-C25)</f>
        <v>13.157894736842106</v>
      </c>
      <c r="D26" s="663"/>
      <c r="E26" s="937">
        <f>1/(E24-E25)</f>
        <v>13.698630136986303</v>
      </c>
      <c r="F26" s="663"/>
      <c r="G26" s="663"/>
      <c r="H26" s="663"/>
      <c r="I26" s="663"/>
      <c r="J26" s="663"/>
      <c r="K26" s="663"/>
      <c r="L26" s="663"/>
      <c r="M26" s="663"/>
      <c r="N26" s="663"/>
    </row>
    <row r="27" spans="2:26">
      <c r="B27" s="1287" t="s">
        <v>2054</v>
      </c>
      <c r="C27" s="1294">
        <f ca="1">NPV(C24,P12:Z12)</f>
        <v>114.92683893034244</v>
      </c>
      <c r="D27" s="491"/>
      <c r="E27" s="935">
        <f ca="1">NPV(E24,O21:Z21)</f>
        <v>550.09057885362506</v>
      </c>
      <c r="F27" s="491"/>
      <c r="G27" s="491"/>
      <c r="H27" s="491"/>
      <c r="I27" s="491"/>
      <c r="J27" s="491"/>
      <c r="K27" s="491"/>
      <c r="L27" s="491"/>
      <c r="M27" s="491"/>
      <c r="N27" s="491"/>
    </row>
    <row r="28" spans="2:26">
      <c r="B28" s="1286" t="s">
        <v>2051</v>
      </c>
      <c r="C28" s="1295">
        <f ca="1">Z12*C26</f>
        <v>2653.2806160125774</v>
      </c>
      <c r="D28" s="491"/>
      <c r="E28" s="935">
        <f ca="1">Z21*E26</f>
        <v>2762.3195454377519</v>
      </c>
      <c r="F28" s="663"/>
      <c r="G28" s="663"/>
      <c r="H28" s="663"/>
      <c r="I28" s="663"/>
      <c r="J28" s="663"/>
      <c r="K28" s="663"/>
      <c r="L28" s="663"/>
      <c r="M28" s="663"/>
      <c r="N28" s="663"/>
    </row>
    <row r="29" spans="2:26">
      <c r="B29" s="1287" t="s">
        <v>2052</v>
      </c>
      <c r="C29" s="1296">
        <f ca="1">C28/(1+C24)^Z13</f>
        <v>1185.3543548549467</v>
      </c>
      <c r="D29" s="491"/>
      <c r="E29" s="983">
        <f ca="1">E28/(1+E24)^Z13</f>
        <v>1272.5562103851234</v>
      </c>
      <c r="F29" s="491"/>
      <c r="G29" s="491"/>
      <c r="H29" s="491"/>
      <c r="I29" s="491"/>
      <c r="J29" s="491"/>
      <c r="K29" s="491"/>
      <c r="L29" s="491"/>
      <c r="M29" s="491"/>
      <c r="N29" s="491"/>
    </row>
    <row r="30" spans="2:26">
      <c r="B30" s="1288" t="s">
        <v>2053</v>
      </c>
      <c r="C30" s="1297">
        <f ca="1">NPV(C24,P16:AH16)</f>
        <v>111.57942495476098</v>
      </c>
      <c r="E30" s="938"/>
    </row>
    <row r="31" spans="2:26">
      <c r="B31" s="1284" t="s">
        <v>317</v>
      </c>
      <c r="C31" s="1298">
        <f ca="1">C29+C27+C30</f>
        <v>1411.8606187400501</v>
      </c>
      <c r="D31" s="491"/>
      <c r="E31" s="936">
        <f ca="1">E29+E27</f>
        <v>1822.6467892387486</v>
      </c>
      <c r="F31" s="491"/>
      <c r="G31" s="491"/>
      <c r="H31" s="491"/>
      <c r="I31" s="491"/>
      <c r="J31" s="491"/>
      <c r="K31" s="491"/>
      <c r="L31" s="491"/>
      <c r="M31" s="491"/>
      <c r="N31" s="491"/>
    </row>
    <row r="32" spans="2:26">
      <c r="B32" s="1286" t="s">
        <v>2157</v>
      </c>
      <c r="C32" s="1299">
        <f ca="1">-Model!O138+Model!O171-Model!O144</f>
        <v>-1311.3493986268381</v>
      </c>
      <c r="E32" s="938">
        <f ca="1">C32</f>
        <v>-1311.3493986268381</v>
      </c>
      <c r="F32" s="491"/>
      <c r="G32" s="491"/>
      <c r="H32" s="491"/>
      <c r="I32" s="491"/>
      <c r="J32" s="491"/>
      <c r="K32" s="491"/>
      <c r="L32" s="491"/>
      <c r="M32" s="491"/>
      <c r="N32" s="491"/>
    </row>
    <row r="33" spans="1:26" ht="15.75" thickBot="1">
      <c r="B33" s="1289" t="s">
        <v>2049</v>
      </c>
      <c r="C33" s="1300"/>
      <c r="E33" s="938"/>
      <c r="F33" s="491"/>
      <c r="G33" s="491"/>
      <c r="H33" s="491"/>
      <c r="I33" s="491"/>
      <c r="J33" s="491"/>
      <c r="K33" s="491"/>
      <c r="L33" s="491"/>
      <c r="M33" s="491"/>
      <c r="N33" s="491"/>
    </row>
    <row r="34" spans="1:26" ht="15.75" thickBot="1">
      <c r="B34" s="1290" t="s">
        <v>1550</v>
      </c>
      <c r="C34" s="1301">
        <f ca="1">C31+C32</f>
        <v>100.51122011321195</v>
      </c>
      <c r="E34" s="945">
        <f ca="1">E31+E32+E30</f>
        <v>511.29739061191049</v>
      </c>
    </row>
    <row r="35" spans="1:26">
      <c r="B35" s="1287" t="s">
        <v>1578</v>
      </c>
      <c r="C35" s="1302">
        <f ca="1">C34/(C31+C30)</f>
        <v>6.5976485605197366E-2</v>
      </c>
      <c r="E35" s="909">
        <f ca="1">E34/(E31+E30)</f>
        <v>0.28052467084171601</v>
      </c>
    </row>
    <row r="36" spans="1:26" ht="15.75" thickBot="1">
      <c r="B36" s="1286" t="s">
        <v>1579</v>
      </c>
      <c r="C36" s="1303">
        <f ca="1">C31</f>
        <v>1411.8606187400501</v>
      </c>
      <c r="E36" s="629">
        <f ca="1">(E31+E30)</f>
        <v>1822.6467892387486</v>
      </c>
    </row>
    <row r="37" spans="1:26" ht="15.75" thickBot="1">
      <c r="B37" s="1284" t="s">
        <v>2048</v>
      </c>
      <c r="C37" s="1304">
        <f ca="1">C36/-C32</f>
        <v>1.0766471698682754</v>
      </c>
      <c r="E37" s="629"/>
    </row>
    <row r="38" spans="1:26">
      <c r="B38" s="966"/>
      <c r="C38" s="1283"/>
      <c r="E38" s="629"/>
    </row>
    <row r="39" spans="1:26" ht="15.75" thickBot="1">
      <c r="B39" s="966" t="s">
        <v>1935</v>
      </c>
      <c r="C39" s="1367">
        <v>0.76500000000000001</v>
      </c>
      <c r="E39" s="909"/>
    </row>
    <row r="40" spans="1:26" ht="15.75" thickBot="1">
      <c r="B40" s="967" t="s">
        <v>1936</v>
      </c>
      <c r="C40" s="968">
        <f ca="1">C36/-(C32*C39)</f>
        <v>1.4073819213964383</v>
      </c>
      <c r="E40" s="909">
        <f ca="1">(E31+E30)/-E32</f>
        <v>1.3899017234821693</v>
      </c>
    </row>
    <row r="46" spans="1:26" s="513" customFormat="1">
      <c r="A46" s="722"/>
      <c r="B46" s="513" t="s">
        <v>1827</v>
      </c>
      <c r="C46" s="513">
        <v>2013</v>
      </c>
      <c r="D46" s="513">
        <v>2014</v>
      </c>
      <c r="E46" s="513">
        <v>2015</v>
      </c>
      <c r="F46" s="513">
        <v>2016</v>
      </c>
      <c r="G46" s="513">
        <v>2017</v>
      </c>
      <c r="H46" s="513">
        <v>2018</v>
      </c>
      <c r="I46" s="513">
        <v>2019</v>
      </c>
      <c r="J46" s="513">
        <f>I46+1</f>
        <v>2020</v>
      </c>
      <c r="K46" s="513">
        <f t="shared" ref="K46" si="24">J46+1</f>
        <v>2021</v>
      </c>
      <c r="L46" s="513">
        <f t="shared" ref="L46" si="25">K46+1</f>
        <v>2022</v>
      </c>
      <c r="M46" s="513">
        <f t="shared" ref="M46" si="26">L46+1</f>
        <v>2023</v>
      </c>
      <c r="N46" s="513">
        <f t="shared" ref="N46" si="27">M46+1</f>
        <v>2024</v>
      </c>
      <c r="O46" s="513">
        <f t="shared" ref="O46" si="28">N46+1</f>
        <v>2025</v>
      </c>
      <c r="P46" s="513">
        <f t="shared" ref="P46" si="29">O46+1</f>
        <v>2026</v>
      </c>
      <c r="Q46" s="513">
        <f t="shared" ref="Q46" si="30">P46+1</f>
        <v>2027</v>
      </c>
      <c r="R46" s="513">
        <f t="shared" ref="R46" si="31">Q46+1</f>
        <v>2028</v>
      </c>
      <c r="S46" s="513">
        <f t="shared" ref="S46" si="32">R46+1</f>
        <v>2029</v>
      </c>
      <c r="T46" s="513">
        <f t="shared" ref="T46" si="33">S46+1</f>
        <v>2030</v>
      </c>
      <c r="U46" s="513">
        <f t="shared" ref="U46" si="34">T46+1</f>
        <v>2031</v>
      </c>
      <c r="V46" s="513">
        <f t="shared" ref="V46" si="35">U46+1</f>
        <v>2032</v>
      </c>
      <c r="W46" s="513">
        <f t="shared" ref="W46" si="36">V46+1</f>
        <v>2033</v>
      </c>
      <c r="X46" s="513">
        <f t="shared" ref="X46" si="37">W46+1</f>
        <v>2034</v>
      </c>
      <c r="Y46" s="513">
        <f t="shared" ref="Y46" si="38">X46+1</f>
        <v>2035</v>
      </c>
      <c r="Z46" s="513">
        <f t="shared" ref="Z46" si="39">Y46+1</f>
        <v>2036</v>
      </c>
    </row>
    <row r="47" spans="1:26" s="486" customFormat="1"/>
    <row r="48" spans="1:26" s="486" customFormat="1">
      <c r="B48" s="912" t="s">
        <v>281</v>
      </c>
      <c r="N48" s="486">
        <f ca="1">Fixed!N358</f>
        <v>117.80808598872299</v>
      </c>
      <c r="O48" s="486">
        <f ca="1">Fixed!O358</f>
        <v>121.09402741000147</v>
      </c>
      <c r="P48" s="486">
        <f ca="1">Fixed!P358</f>
        <v>133.3455973152505</v>
      </c>
      <c r="Q48" s="486">
        <f ca="1">Fixed!Q358</f>
        <v>146.62272138877836</v>
      </c>
      <c r="R48" s="486">
        <f ca="1">Fixed!R358</f>
        <v>163.3420840345749</v>
      </c>
      <c r="S48" s="486">
        <f ca="1">Fixed!S358</f>
        <v>182.62588788383448</v>
      </c>
      <c r="T48" s="486">
        <f ca="1">Fixed!T358</f>
        <v>203.57878374300711</v>
      </c>
      <c r="U48" s="486">
        <f ca="1">Fixed!U358</f>
        <v>225.6160954064037</v>
      </c>
      <c r="V48" s="486">
        <f ca="1">Fixed!V358</f>
        <v>249.52258065376282</v>
      </c>
      <c r="W48" s="486">
        <f ca="1">Fixed!W358</f>
        <v>274.68537777932852</v>
      </c>
      <c r="X48" s="486">
        <f ca="1">Fixed!X358</f>
        <v>301.12943271916328</v>
      </c>
      <c r="Y48" s="486">
        <f ca="1">Fixed!Y358</f>
        <v>328.87884793849679</v>
      </c>
      <c r="Z48" s="486">
        <f ca="1">Fixed!Z358</f>
        <v>354.77138717201467</v>
      </c>
    </row>
    <row r="49" spans="2:26" s="486" customFormat="1">
      <c r="B49" s="912" t="s">
        <v>1778</v>
      </c>
      <c r="N49" s="486">
        <f ca="1">-Fixed!N361</f>
        <v>-129.27510283543657</v>
      </c>
      <c r="O49" s="486">
        <f ca="1">-Fixed!O361</f>
        <v>-129.36975487120895</v>
      </c>
      <c r="P49" s="486">
        <f ca="1">-Fixed!P361</f>
        <v>-129.68382646635698</v>
      </c>
      <c r="Q49" s="486">
        <f ca="1">-Fixed!Q361</f>
        <v>-139.91754848071025</v>
      </c>
      <c r="R49" s="486">
        <f ca="1">-Fixed!R361</f>
        <v>-139.92297419638479</v>
      </c>
      <c r="S49" s="486">
        <f ca="1">-Fixed!S361</f>
        <v>-169.02433225052144</v>
      </c>
      <c r="T49" s="486">
        <f ca="1">-Fixed!T361</f>
        <v>-168.88242035554453</v>
      </c>
      <c r="U49" s="486">
        <f ca="1">-Fixed!U361</f>
        <v>-205.22114168101874</v>
      </c>
      <c r="V49" s="486">
        <f ca="1">-Fixed!V361</f>
        <v>-205.32950902694412</v>
      </c>
      <c r="W49" s="486">
        <f ca="1">-Fixed!W361</f>
        <v>-205.43852239332065</v>
      </c>
      <c r="X49" s="486">
        <f ca="1">-Fixed!X361</f>
        <v>-205.5481817801483</v>
      </c>
      <c r="Y49" s="486">
        <f ca="1">-Fixed!Y361</f>
        <v>-205.65848718742711</v>
      </c>
      <c r="Z49" s="486">
        <f ca="1">-Fixed!Z361</f>
        <v>-70.413438615157091</v>
      </c>
    </row>
    <row r="50" spans="2:26" s="486" customFormat="1">
      <c r="B50" s="912" t="s">
        <v>1777</v>
      </c>
      <c r="N50" s="486">
        <f>Fixed!N362</f>
        <v>-36</v>
      </c>
      <c r="O50" s="486">
        <f>Fixed!O362</f>
        <v>-36</v>
      </c>
      <c r="P50" s="486">
        <f>Fixed!P362</f>
        <v>-36</v>
      </c>
      <c r="Q50" s="486">
        <f>Fixed!Q362</f>
        <v>-36</v>
      </c>
      <c r="R50" s="486">
        <f>Fixed!R362</f>
        <v>-36</v>
      </c>
      <c r="S50" s="486">
        <f>Fixed!S362</f>
        <v>-36</v>
      </c>
      <c r="T50" s="486">
        <f>Fixed!T362</f>
        <v>-36</v>
      </c>
      <c r="U50" s="486">
        <f>Fixed!U362</f>
        <v>-36</v>
      </c>
      <c r="V50" s="486">
        <f>Fixed!V362</f>
        <v>-36</v>
      </c>
      <c r="W50" s="486">
        <f>Fixed!W362</f>
        <v>-36</v>
      </c>
      <c r="X50" s="486">
        <f>Fixed!X362</f>
        <v>-36</v>
      </c>
      <c r="Y50" s="486">
        <f>Fixed!Y362</f>
        <v>-36</v>
      </c>
      <c r="Z50" s="486">
        <f>Fixed!Z362</f>
        <v>-36</v>
      </c>
    </row>
    <row r="51" spans="2:26" s="486" customFormat="1">
      <c r="B51" s="912" t="s">
        <v>1779</v>
      </c>
      <c r="L51" s="521"/>
      <c r="M51" s="521"/>
      <c r="N51" s="521">
        <f>Fixed!N363</f>
        <v>-22.5</v>
      </c>
      <c r="O51" s="521">
        <f>Fixed!O363</f>
        <v>-12.5</v>
      </c>
      <c r="P51" s="521">
        <f>Fixed!P363</f>
        <v>-10</v>
      </c>
      <c r="Q51" s="521">
        <f>Fixed!Q363</f>
        <v>-5</v>
      </c>
      <c r="R51" s="521">
        <f>Fixed!R363</f>
        <v>-5</v>
      </c>
      <c r="S51" s="521">
        <f>Fixed!S363</f>
        <v>-5</v>
      </c>
      <c r="T51" s="521">
        <f>Fixed!T363</f>
        <v>-5</v>
      </c>
      <c r="U51" s="521">
        <f>Fixed!U363</f>
        <v>-5</v>
      </c>
      <c r="V51" s="521">
        <f>Fixed!V363</f>
        <v>-5</v>
      </c>
      <c r="W51" s="521">
        <f>Fixed!W363</f>
        <v>-5</v>
      </c>
      <c r="X51" s="521">
        <f>Fixed!X363</f>
        <v>-5</v>
      </c>
      <c r="Y51" s="521">
        <f>Fixed!Y363</f>
        <v>-5</v>
      </c>
      <c r="Z51" s="521">
        <f>Fixed!Z363</f>
        <v>0</v>
      </c>
    </row>
    <row r="52" spans="2:26" s="486" customFormat="1">
      <c r="B52" s="516" t="s">
        <v>351</v>
      </c>
      <c r="L52" s="516"/>
      <c r="M52" s="516"/>
      <c r="N52" s="516">
        <f t="shared" ref="N52:Z52" ca="1" si="40">SUM(N48:N51)</f>
        <v>-69.967016846713577</v>
      </c>
      <c r="O52" s="516">
        <f t="shared" ca="1" si="40"/>
        <v>-56.775727461207481</v>
      </c>
      <c r="P52" s="516">
        <f t="shared" ca="1" si="40"/>
        <v>-42.338229151106475</v>
      </c>
      <c r="Q52" s="516">
        <f t="shared" ca="1" si="40"/>
        <v>-34.294827091931893</v>
      </c>
      <c r="R52" s="516">
        <f t="shared" ca="1" si="40"/>
        <v>-17.58089016180989</v>
      </c>
      <c r="S52" s="516">
        <f t="shared" ca="1" si="40"/>
        <v>-27.398444366686959</v>
      </c>
      <c r="T52" s="516">
        <f t="shared" ca="1" si="40"/>
        <v>-6.3036366125374172</v>
      </c>
      <c r="U52" s="516">
        <f t="shared" ca="1" si="40"/>
        <v>-20.605046274615034</v>
      </c>
      <c r="V52" s="516">
        <f t="shared" ca="1" si="40"/>
        <v>3.1930716268186927</v>
      </c>
      <c r="W52" s="516">
        <f t="shared" ca="1" si="40"/>
        <v>28.246855386007866</v>
      </c>
      <c r="X52" s="516">
        <f t="shared" ca="1" si="40"/>
        <v>54.581250939014978</v>
      </c>
      <c r="Y52" s="516">
        <f t="shared" ca="1" si="40"/>
        <v>82.220360751069677</v>
      </c>
      <c r="Z52" s="516">
        <f t="shared" ca="1" si="40"/>
        <v>248.35794855685759</v>
      </c>
    </row>
    <row r="53" spans="2:26" s="486" customFormat="1">
      <c r="B53" s="516"/>
    </row>
    <row r="54" spans="2:26" s="486" customFormat="1">
      <c r="B54" s="516" t="s">
        <v>1788</v>
      </c>
      <c r="L54" s="1176">
        <v>0</v>
      </c>
      <c r="M54" s="1176">
        <v>0</v>
      </c>
      <c r="N54" s="1176">
        <f t="shared" ref="N54:Z54" ca="1" si="41">IF(N52&lt;0,0,30%)</f>
        <v>0</v>
      </c>
      <c r="O54" s="1176">
        <f t="shared" ca="1" si="41"/>
        <v>0</v>
      </c>
      <c r="P54" s="1176">
        <f t="shared" ca="1" si="41"/>
        <v>0</v>
      </c>
      <c r="Q54" s="1176">
        <f t="shared" ca="1" si="41"/>
        <v>0</v>
      </c>
      <c r="R54" s="1176">
        <f t="shared" ca="1" si="41"/>
        <v>0</v>
      </c>
      <c r="S54" s="1176">
        <f t="shared" ca="1" si="41"/>
        <v>0</v>
      </c>
      <c r="T54" s="1176">
        <f t="shared" ca="1" si="41"/>
        <v>0</v>
      </c>
      <c r="U54" s="1176">
        <f t="shared" ca="1" si="41"/>
        <v>0</v>
      </c>
      <c r="V54" s="1176">
        <f t="shared" ca="1" si="41"/>
        <v>0.3</v>
      </c>
      <c r="W54" s="1176">
        <f t="shared" ca="1" si="41"/>
        <v>0.3</v>
      </c>
      <c r="X54" s="1176">
        <f t="shared" ca="1" si="41"/>
        <v>0.3</v>
      </c>
      <c r="Y54" s="1176">
        <f t="shared" ca="1" si="41"/>
        <v>0.3</v>
      </c>
      <c r="Z54" s="1176">
        <f t="shared" ca="1" si="41"/>
        <v>0.3</v>
      </c>
    </row>
    <row r="55" spans="2:26" s="58" customFormat="1">
      <c r="B55" s="58" t="s">
        <v>320</v>
      </c>
      <c r="C55" s="532"/>
      <c r="D55" s="532"/>
      <c r="E55" s="532"/>
      <c r="F55" s="532"/>
      <c r="G55" s="532"/>
      <c r="H55" s="532"/>
      <c r="I55" s="532"/>
      <c r="J55" s="532"/>
      <c r="K55" s="532"/>
      <c r="L55" s="532">
        <f>L52*(1-L54)</f>
        <v>0</v>
      </c>
      <c r="M55" s="532">
        <f t="shared" ref="M55:Z55" si="42">M52*(1-M54)</f>
        <v>0</v>
      </c>
      <c r="N55" s="532">
        <f t="shared" ca="1" si="42"/>
        <v>-69.967016846713577</v>
      </c>
      <c r="O55" s="532">
        <f t="shared" ca="1" si="42"/>
        <v>-56.775727461207481</v>
      </c>
      <c r="P55" s="532">
        <f t="shared" ca="1" si="42"/>
        <v>-42.338229151106475</v>
      </c>
      <c r="Q55" s="532">
        <f t="shared" ca="1" si="42"/>
        <v>-34.294827091931893</v>
      </c>
      <c r="R55" s="532">
        <f t="shared" ca="1" si="42"/>
        <v>-17.58089016180989</v>
      </c>
      <c r="S55" s="532">
        <f t="shared" ca="1" si="42"/>
        <v>-27.398444366686959</v>
      </c>
      <c r="T55" s="532">
        <f t="shared" ca="1" si="42"/>
        <v>-6.3036366125374172</v>
      </c>
      <c r="U55" s="532">
        <f t="shared" ca="1" si="42"/>
        <v>-20.605046274615034</v>
      </c>
      <c r="V55" s="532">
        <f t="shared" ca="1" si="42"/>
        <v>2.2351501387730845</v>
      </c>
      <c r="W55" s="532">
        <f t="shared" ca="1" si="42"/>
        <v>19.772798770205505</v>
      </c>
      <c r="X55" s="532">
        <f t="shared" ca="1" si="42"/>
        <v>38.206875657310484</v>
      </c>
      <c r="Y55" s="532">
        <f t="shared" ca="1" si="42"/>
        <v>57.554252525748772</v>
      </c>
      <c r="Z55" s="532">
        <f t="shared" ca="1" si="42"/>
        <v>173.85056398980029</v>
      </c>
    </row>
    <row r="56" spans="2:26">
      <c r="B56" s="536" t="s">
        <v>1549</v>
      </c>
      <c r="C56" s="855"/>
      <c r="D56" s="855"/>
      <c r="E56" s="855"/>
      <c r="F56" s="855"/>
      <c r="G56" s="855"/>
      <c r="H56" s="855"/>
      <c r="I56" s="855"/>
      <c r="J56" s="932">
        <v>0</v>
      </c>
      <c r="K56" s="932">
        <v>0</v>
      </c>
      <c r="L56" s="932">
        <v>0</v>
      </c>
      <c r="M56" s="932">
        <v>0</v>
      </c>
      <c r="N56" s="932">
        <v>0</v>
      </c>
      <c r="O56" s="932">
        <v>1</v>
      </c>
      <c r="P56" s="932">
        <v>2</v>
      </c>
      <c r="Q56" s="932">
        <v>3</v>
      </c>
      <c r="R56" s="932">
        <v>4</v>
      </c>
      <c r="S56" s="932">
        <f>R56+1</f>
        <v>5</v>
      </c>
      <c r="T56" s="932">
        <f>S56+1</f>
        <v>6</v>
      </c>
      <c r="U56" s="932">
        <f t="shared" ref="U56" si="43">T56+1</f>
        <v>7</v>
      </c>
      <c r="V56" s="932">
        <f t="shared" ref="V56" si="44">U56+1</f>
        <v>8</v>
      </c>
      <c r="W56" s="932">
        <f t="shared" ref="W56" si="45">V56+1</f>
        <v>9</v>
      </c>
      <c r="X56" s="932">
        <f t="shared" ref="X56" si="46">W56+1</f>
        <v>10</v>
      </c>
      <c r="Y56" s="932">
        <f t="shared" ref="Y56" si="47">X56+1</f>
        <v>11</v>
      </c>
      <c r="Z56" s="932">
        <f t="shared" ref="Z56" si="48">Y56+1</f>
        <v>12</v>
      </c>
    </row>
    <row r="58" spans="2:26">
      <c r="B58" s="618"/>
      <c r="N58" s="531"/>
      <c r="O58" s="531"/>
      <c r="P58" s="531"/>
      <c r="Q58" s="531"/>
      <c r="R58" s="531"/>
      <c r="S58" s="531"/>
      <c r="T58" s="531"/>
      <c r="U58" s="531"/>
      <c r="V58" s="531"/>
      <c r="W58" s="531"/>
      <c r="X58" s="531"/>
      <c r="Y58" s="531"/>
      <c r="Z58" s="531"/>
    </row>
    <row r="59" spans="2:26">
      <c r="B59" s="969" t="s">
        <v>192</v>
      </c>
      <c r="C59" s="970" t="s">
        <v>1572</v>
      </c>
    </row>
    <row r="60" spans="2:26">
      <c r="B60" s="971" t="s">
        <v>321</v>
      </c>
      <c r="C60" s="972">
        <v>7.5999999999999998E-2</v>
      </c>
      <c r="D60" s="663"/>
      <c r="F60" s="663"/>
      <c r="G60" s="663"/>
      <c r="H60" s="663"/>
      <c r="I60" s="663"/>
      <c r="J60" s="663"/>
      <c r="K60" s="663"/>
      <c r="L60" s="663"/>
      <c r="M60" s="663"/>
      <c r="N60" s="663"/>
    </row>
    <row r="61" spans="2:26">
      <c r="B61" s="973" t="s">
        <v>1576</v>
      </c>
      <c r="C61" s="974">
        <v>0</v>
      </c>
      <c r="D61" s="934"/>
      <c r="F61" s="663"/>
      <c r="G61" s="663"/>
      <c r="H61" s="663"/>
      <c r="I61" s="663"/>
      <c r="J61" s="663"/>
      <c r="K61" s="663"/>
      <c r="L61" s="663"/>
      <c r="M61" s="663"/>
      <c r="N61" s="663"/>
    </row>
    <row r="62" spans="2:26">
      <c r="B62" s="971" t="s">
        <v>1577</v>
      </c>
      <c r="C62" s="975">
        <f>1/(C60-C61)</f>
        <v>13.157894736842106</v>
      </c>
      <c r="D62" s="663"/>
      <c r="F62" s="663"/>
      <c r="G62" s="663"/>
      <c r="H62" s="663"/>
      <c r="I62" s="663"/>
      <c r="J62" s="663"/>
      <c r="K62" s="663"/>
      <c r="L62" s="663"/>
      <c r="M62" s="663"/>
      <c r="N62" s="663"/>
    </row>
    <row r="63" spans="2:26">
      <c r="B63" s="973" t="s">
        <v>323</v>
      </c>
      <c r="C63" s="976">
        <f ca="1">NPV(C60,O55:Z55)</f>
        <v>-37.644294534847539</v>
      </c>
      <c r="D63" s="491"/>
      <c r="F63" s="491"/>
      <c r="G63" s="491"/>
      <c r="H63" s="491"/>
      <c r="I63" s="491"/>
      <c r="J63" s="491"/>
      <c r="K63" s="491"/>
      <c r="L63" s="491"/>
      <c r="M63" s="491"/>
      <c r="N63" s="491"/>
    </row>
    <row r="64" spans="2:26">
      <c r="B64" s="971" t="s">
        <v>93</v>
      </c>
      <c r="C64" s="977">
        <f ca="1">Z55*C62</f>
        <v>2287.5074209184249</v>
      </c>
      <c r="D64" s="491"/>
      <c r="F64" s="663"/>
      <c r="G64" s="663"/>
      <c r="H64" s="663"/>
      <c r="I64" s="663"/>
      <c r="J64" s="663"/>
      <c r="K64" s="663"/>
      <c r="L64" s="663"/>
      <c r="M64" s="663"/>
      <c r="N64" s="663"/>
    </row>
    <row r="65" spans="2:14">
      <c r="B65" s="973" t="s">
        <v>326</v>
      </c>
      <c r="C65" s="978">
        <f ca="1">C64/(1+C60)^Z56</f>
        <v>949.7630195651235</v>
      </c>
      <c r="D65" s="491"/>
      <c r="F65" s="491"/>
      <c r="G65" s="491"/>
      <c r="H65" s="491"/>
      <c r="I65" s="491"/>
      <c r="J65" s="491"/>
      <c r="K65" s="491"/>
      <c r="L65" s="491"/>
      <c r="M65" s="491"/>
      <c r="N65" s="491"/>
    </row>
    <row r="66" spans="2:14">
      <c r="B66" s="973" t="s">
        <v>327</v>
      </c>
      <c r="C66" s="981">
        <f ca="1">C30</f>
        <v>111.57942495476098</v>
      </c>
      <c r="D66" s="491"/>
      <c r="F66" s="491"/>
      <c r="G66" s="491"/>
      <c r="H66" s="491"/>
      <c r="I66" s="491"/>
      <c r="J66" s="491"/>
      <c r="K66" s="491"/>
      <c r="L66" s="491"/>
      <c r="M66" s="491"/>
      <c r="N66" s="491"/>
    </row>
    <row r="67" spans="2:14">
      <c r="B67" s="979" t="s">
        <v>317</v>
      </c>
      <c r="C67" s="980">
        <f ca="1">C65+C63+C66</f>
        <v>1023.6981499850369</v>
      </c>
      <c r="D67" s="491"/>
      <c r="F67" s="491"/>
      <c r="G67" s="491"/>
      <c r="H67" s="491"/>
      <c r="I67" s="491"/>
      <c r="J67" s="491"/>
      <c r="K67" s="491"/>
      <c r="L67" s="491"/>
      <c r="M67" s="491"/>
      <c r="N67" s="491"/>
    </row>
    <row r="68" spans="2:14">
      <c r="B68" s="618" t="s">
        <v>1652</v>
      </c>
      <c r="C68" s="1190">
        <f ca="1">C67/(N48+N50)</f>
        <v>12.513410350734166</v>
      </c>
    </row>
    <row r="69" spans="2:14">
      <c r="B69" s="618" t="s">
        <v>160</v>
      </c>
      <c r="C69" s="531">
        <f ca="1">Fixed!N400</f>
        <v>765.75255892669941</v>
      </c>
    </row>
    <row r="70" spans="2:14">
      <c r="B70" s="58" t="s">
        <v>315</v>
      </c>
      <c r="C70" s="1189">
        <f ca="1">C67-C69</f>
        <v>257.94559105833753</v>
      </c>
    </row>
    <row r="80" spans="2:14">
      <c r="B80" s="58"/>
      <c r="C80" s="1156"/>
    </row>
    <row r="82" spans="1:26" s="513" customFormat="1" hidden="1">
      <c r="A82" s="722"/>
      <c r="B82" s="513" t="s">
        <v>1435</v>
      </c>
      <c r="P82" s="722"/>
      <c r="Q82" s="722"/>
      <c r="R82" s="722"/>
      <c r="S82" s="722"/>
      <c r="T82" s="722"/>
      <c r="U82" s="722"/>
      <c r="V82" s="722"/>
      <c r="W82" s="722"/>
      <c r="X82" s="722"/>
      <c r="Y82" s="722"/>
      <c r="Z82" s="722"/>
    </row>
    <row r="83" spans="1:26" hidden="1"/>
    <row r="84" spans="1:26" hidden="1">
      <c r="B84" s="489" t="s">
        <v>1436</v>
      </c>
      <c r="I84" s="725">
        <f>Model!I131</f>
        <v>-23.753</v>
      </c>
      <c r="J84" s="725">
        <f>Model!J131</f>
        <v>-35.448999999999998</v>
      </c>
      <c r="K84" s="725">
        <f>Model!K131</f>
        <v>-38.118000000000002</v>
      </c>
      <c r="L84" s="725">
        <f>Model!L131</f>
        <v>-38.730000000000004</v>
      </c>
      <c r="M84" s="725">
        <f>Model!M131</f>
        <v>-45.085999999999999</v>
      </c>
      <c r="N84" s="725">
        <f>Model!N131</f>
        <v>-45</v>
      </c>
      <c r="O84" s="725">
        <f>Model!O131</f>
        <v>-45</v>
      </c>
      <c r="P84" s="725">
        <f>Model!P131</f>
        <v>-45</v>
      </c>
      <c r="Q84" s="725">
        <f>Model!Q131</f>
        <v>-45</v>
      </c>
      <c r="R84" s="725">
        <f>Model!R131</f>
        <v>-45</v>
      </c>
      <c r="S84" s="725">
        <f>Model!S131</f>
        <v>-45</v>
      </c>
      <c r="T84" s="725">
        <f>Model!T131</f>
        <v>-45</v>
      </c>
      <c r="U84" s="725">
        <f>Model!U131</f>
        <v>-45</v>
      </c>
      <c r="V84" s="725">
        <f>Model!AB131</f>
        <v>0</v>
      </c>
      <c r="W84" s="725">
        <f>Model!W131</f>
        <v>-45</v>
      </c>
      <c r="X84" s="725">
        <f>Model!X131</f>
        <v>-45</v>
      </c>
      <c r="Y84" s="725">
        <f>Model!Y131</f>
        <v>-45</v>
      </c>
      <c r="Z84" s="725">
        <f>Model!Z131</f>
        <v>-45</v>
      </c>
    </row>
    <row r="85" spans="1:26" hidden="1">
      <c r="B85" s="489" t="s">
        <v>1437</v>
      </c>
      <c r="I85" s="725">
        <f>I84*-30%</f>
        <v>7.1258999999999997</v>
      </c>
      <c r="J85" s="725">
        <f t="shared" ref="J85:T85" si="49">J84*-30%</f>
        <v>10.634699999999999</v>
      </c>
      <c r="K85" s="725">
        <f t="shared" si="49"/>
        <v>11.4354</v>
      </c>
      <c r="L85" s="725">
        <f t="shared" si="49"/>
        <v>11.619000000000002</v>
      </c>
      <c r="M85" s="725">
        <f t="shared" si="49"/>
        <v>13.525799999999998</v>
      </c>
      <c r="N85" s="725">
        <f t="shared" si="49"/>
        <v>13.5</v>
      </c>
      <c r="O85" s="725">
        <f t="shared" si="49"/>
        <v>13.5</v>
      </c>
      <c r="P85" s="725">
        <f t="shared" si="49"/>
        <v>13.5</v>
      </c>
      <c r="Q85" s="725">
        <f t="shared" si="49"/>
        <v>13.5</v>
      </c>
      <c r="R85" s="725">
        <f t="shared" si="49"/>
        <v>13.5</v>
      </c>
      <c r="S85" s="725">
        <f t="shared" si="49"/>
        <v>13.5</v>
      </c>
      <c r="T85" s="725">
        <f t="shared" si="49"/>
        <v>13.5</v>
      </c>
      <c r="U85" s="725">
        <f t="shared" ref="U85:Z85" si="50">U84*-30%</f>
        <v>13.5</v>
      </c>
      <c r="V85" s="725">
        <f t="shared" si="50"/>
        <v>0</v>
      </c>
      <c r="W85" s="725">
        <f t="shared" si="50"/>
        <v>13.5</v>
      </c>
      <c r="X85" s="725">
        <f t="shared" si="50"/>
        <v>13.5</v>
      </c>
      <c r="Y85" s="725">
        <f t="shared" si="50"/>
        <v>13.5</v>
      </c>
      <c r="Z85" s="725">
        <f t="shared" si="50"/>
        <v>13.5</v>
      </c>
    </row>
    <row r="86" spans="1:26" hidden="1">
      <c r="B86" s="58" t="s">
        <v>320</v>
      </c>
      <c r="I86" s="728">
        <f t="shared" ref="I86:N86" si="51">SUM(I84:I85)</f>
        <v>-16.627099999999999</v>
      </c>
      <c r="J86" s="728">
        <f t="shared" si="51"/>
        <v>-24.814299999999999</v>
      </c>
      <c r="K86" s="728">
        <f t="shared" si="51"/>
        <v>-26.682600000000001</v>
      </c>
      <c r="L86" s="728">
        <f t="shared" si="51"/>
        <v>-27.111000000000004</v>
      </c>
      <c r="M86" s="728">
        <f t="shared" si="51"/>
        <v>-31.560200000000002</v>
      </c>
      <c r="N86" s="728">
        <f t="shared" si="51"/>
        <v>-31.5</v>
      </c>
      <c r="O86" s="728">
        <f t="shared" ref="O86:T86" si="52">SUM(O84:O85)</f>
        <v>-31.5</v>
      </c>
      <c r="P86" s="728">
        <f t="shared" si="52"/>
        <v>-31.5</v>
      </c>
      <c r="Q86" s="728">
        <f t="shared" si="52"/>
        <v>-31.5</v>
      </c>
      <c r="R86" s="728">
        <f t="shared" si="52"/>
        <v>-31.5</v>
      </c>
      <c r="S86" s="728">
        <f t="shared" si="52"/>
        <v>-31.5</v>
      </c>
      <c r="T86" s="728">
        <f t="shared" si="52"/>
        <v>-31.5</v>
      </c>
      <c r="U86" s="728">
        <f t="shared" ref="U86:Z86" si="53">SUM(U84:U85)</f>
        <v>-31.5</v>
      </c>
      <c r="V86" s="728">
        <f t="shared" si="53"/>
        <v>0</v>
      </c>
      <c r="W86" s="728">
        <f t="shared" si="53"/>
        <v>-31.5</v>
      </c>
      <c r="X86" s="728">
        <f t="shared" si="53"/>
        <v>-31.5</v>
      </c>
      <c r="Y86" s="728">
        <f t="shared" si="53"/>
        <v>-31.5</v>
      </c>
      <c r="Z86" s="728">
        <f t="shared" si="53"/>
        <v>-31.5</v>
      </c>
    </row>
    <row r="87" spans="1:26" hidden="1">
      <c r="B87" s="58"/>
      <c r="I87" s="727"/>
      <c r="J87" s="727"/>
      <c r="K87" s="727"/>
      <c r="L87" s="727"/>
      <c r="M87" s="727"/>
      <c r="N87" s="727"/>
      <c r="O87" s="727"/>
      <c r="P87" s="727"/>
      <c r="Q87" s="727"/>
      <c r="R87" s="727"/>
      <c r="S87" s="727"/>
      <c r="T87" s="727"/>
      <c r="U87" s="727"/>
      <c r="V87" s="727"/>
      <c r="W87" s="727"/>
      <c r="X87" s="727"/>
      <c r="Y87" s="727"/>
      <c r="Z87" s="727"/>
    </row>
    <row r="88" spans="1:26" s="618" customFormat="1" hidden="1">
      <c r="B88" s="618" t="s">
        <v>1438</v>
      </c>
      <c r="I88" s="786">
        <f t="shared" ref="I88:N88" si="54">J88+1</f>
        <v>12</v>
      </c>
      <c r="J88" s="786">
        <f t="shared" si="54"/>
        <v>11</v>
      </c>
      <c r="K88" s="786">
        <f t="shared" si="54"/>
        <v>10</v>
      </c>
      <c r="L88" s="786">
        <f t="shared" si="54"/>
        <v>9</v>
      </c>
      <c r="M88" s="786">
        <f t="shared" si="54"/>
        <v>8</v>
      </c>
      <c r="N88" s="786">
        <f t="shared" si="54"/>
        <v>7</v>
      </c>
      <c r="O88" s="786">
        <f>P88+1</f>
        <v>6</v>
      </c>
      <c r="P88" s="786">
        <f>Q88+1</f>
        <v>5</v>
      </c>
      <c r="Q88" s="786">
        <f>R88+1</f>
        <v>4</v>
      </c>
      <c r="R88" s="786">
        <f>S88+1</f>
        <v>3</v>
      </c>
      <c r="S88" s="786">
        <f>T88+1</f>
        <v>2</v>
      </c>
      <c r="T88" s="786">
        <v>1</v>
      </c>
      <c r="U88" s="786">
        <v>1</v>
      </c>
      <c r="V88" s="786">
        <v>1</v>
      </c>
      <c r="W88" s="786">
        <v>1</v>
      </c>
      <c r="X88" s="786">
        <v>1</v>
      </c>
      <c r="Y88" s="786">
        <v>1</v>
      </c>
      <c r="Z88" s="786">
        <v>1</v>
      </c>
    </row>
    <row r="89" spans="1:26" hidden="1">
      <c r="B89" s="489" t="s">
        <v>323</v>
      </c>
      <c r="I89" s="725">
        <f>NPV($C$24,J86:T86)</f>
        <v>-215.45476745661259</v>
      </c>
      <c r="J89" s="725">
        <f t="shared" ref="J89:T89" si="55">NPV($C$24,K86:U86)</f>
        <v>-221.08766950057372</v>
      </c>
      <c r="K89" s="725">
        <f t="shared" si="55"/>
        <v>-211.20773238261734</v>
      </c>
      <c r="L89" s="725">
        <f t="shared" si="55"/>
        <v>-214.22115976095481</v>
      </c>
      <c r="M89" s="725">
        <f t="shared" si="55"/>
        <v>-213.01440762004597</v>
      </c>
      <c r="N89" s="725">
        <f t="shared" si="55"/>
        <v>-211.77614231642804</v>
      </c>
      <c r="O89" s="725">
        <f t="shared" si="55"/>
        <v>-210.44376884973511</v>
      </c>
      <c r="P89" s="725">
        <f t="shared" si="55"/>
        <v>-194.93749528231501</v>
      </c>
      <c r="Q89" s="725">
        <f t="shared" si="55"/>
        <v>-178.25274492377096</v>
      </c>
      <c r="R89" s="725">
        <f t="shared" si="55"/>
        <v>-160.29995353797756</v>
      </c>
      <c r="S89" s="725">
        <f t="shared" si="55"/>
        <v>-140.9827500068638</v>
      </c>
      <c r="T89" s="725">
        <f t="shared" si="55"/>
        <v>-120.19743900738548</v>
      </c>
      <c r="U89" s="725">
        <f t="shared" ref="U89" si="56">NPV($C$24,V86:AF86)</f>
        <v>-97.832444371946792</v>
      </c>
      <c r="V89" s="725">
        <f t="shared" ref="V89" si="57">NPV($C$24,W86:AG86)</f>
        <v>-105.26771014421479</v>
      </c>
      <c r="W89" s="725">
        <f t="shared" ref="W89" si="58">NPV($C$24,X86:AH86)</f>
        <v>-81.768056115175114</v>
      </c>
      <c r="X89" s="725">
        <f t="shared" ref="X89" si="59">NPV($C$24,Y86:AI86)</f>
        <v>-56.482428379928415</v>
      </c>
      <c r="Y89" s="725">
        <f t="shared" ref="Y89" si="60">NPV($C$24,Z86:AJ86)</f>
        <v>-29.275092936802974</v>
      </c>
      <c r="Z89" s="725">
        <f t="shared" ref="Z89" si="61">NPV($C$24,AA86:AK86)</f>
        <v>0</v>
      </c>
    </row>
    <row r="90" spans="1:26" hidden="1">
      <c r="B90" s="489" t="s">
        <v>831</v>
      </c>
      <c r="I90" s="725">
        <f>$T86/$C$24/POWER(1+$C$24,I88)</f>
        <v>-172.08765062192512</v>
      </c>
      <c r="J90" s="725">
        <f t="shared" ref="J90:T90" si="62">$T86/$C$24/POWER(1+$C$24,J88)</f>
        <v>-185.16631206919141</v>
      </c>
      <c r="K90" s="725">
        <f t="shared" si="62"/>
        <v>-199.23895178645</v>
      </c>
      <c r="L90" s="725">
        <f t="shared" si="62"/>
        <v>-214.3811121222202</v>
      </c>
      <c r="M90" s="725">
        <f t="shared" si="62"/>
        <v>-230.67407664350895</v>
      </c>
      <c r="N90" s="725">
        <f t="shared" si="62"/>
        <v>-248.20530646841564</v>
      </c>
      <c r="O90" s="725">
        <f t="shared" si="62"/>
        <v>-267.06890976001523</v>
      </c>
      <c r="P90" s="725">
        <f t="shared" si="62"/>
        <v>-287.3661469017764</v>
      </c>
      <c r="Q90" s="725">
        <f t="shared" si="62"/>
        <v>-309.20597406631146</v>
      </c>
      <c r="R90" s="725">
        <f t="shared" si="62"/>
        <v>-332.70562809535113</v>
      </c>
      <c r="S90" s="725">
        <f t="shared" si="62"/>
        <v>-357.99125583059782</v>
      </c>
      <c r="T90" s="725">
        <f t="shared" si="62"/>
        <v>-385.19859127372331</v>
      </c>
      <c r="U90" s="725">
        <f t="shared" ref="U90:Z90" si="63">$T86/$C$24/POWER(1+$C$24,U88)</f>
        <v>-385.19859127372331</v>
      </c>
      <c r="V90" s="725">
        <f t="shared" si="63"/>
        <v>-385.19859127372331</v>
      </c>
      <c r="W90" s="725">
        <f t="shared" si="63"/>
        <v>-385.19859127372331</v>
      </c>
      <c r="X90" s="725">
        <f t="shared" si="63"/>
        <v>-385.19859127372331</v>
      </c>
      <c r="Y90" s="725">
        <f t="shared" si="63"/>
        <v>-385.19859127372331</v>
      </c>
      <c r="Z90" s="725">
        <f t="shared" si="63"/>
        <v>-385.19859127372331</v>
      </c>
    </row>
    <row r="91" spans="1:26" s="618" customFormat="1" hidden="1">
      <c r="B91" s="618" t="s">
        <v>1439</v>
      </c>
      <c r="I91" s="787">
        <f t="shared" ref="I91:N91" si="64">SUM(I89:I90)</f>
        <v>-387.54241807853771</v>
      </c>
      <c r="J91" s="787">
        <f t="shared" si="64"/>
        <v>-406.25398156976513</v>
      </c>
      <c r="K91" s="787">
        <f t="shared" si="64"/>
        <v>-410.44668416906734</v>
      </c>
      <c r="L91" s="787">
        <f t="shared" si="64"/>
        <v>-428.60227188317504</v>
      </c>
      <c r="M91" s="787">
        <f t="shared" si="64"/>
        <v>-443.68848426355493</v>
      </c>
      <c r="N91" s="787">
        <f t="shared" si="64"/>
        <v>-459.98144878484368</v>
      </c>
      <c r="O91" s="787">
        <f t="shared" ref="O91:T91" si="65">SUM(O89:O90)</f>
        <v>-477.51267860975031</v>
      </c>
      <c r="P91" s="787">
        <f t="shared" si="65"/>
        <v>-482.30364218409142</v>
      </c>
      <c r="Q91" s="787">
        <f t="shared" si="65"/>
        <v>-487.45871899008239</v>
      </c>
      <c r="R91" s="787">
        <f t="shared" si="65"/>
        <v>-493.00558163332869</v>
      </c>
      <c r="S91" s="787">
        <f t="shared" si="65"/>
        <v>-498.97400583746162</v>
      </c>
      <c r="T91" s="787">
        <f t="shared" si="65"/>
        <v>-505.39603028110878</v>
      </c>
      <c r="U91" s="787">
        <f t="shared" ref="U91:Z91" si="66">SUM(U89:U90)</f>
        <v>-483.0310356456701</v>
      </c>
      <c r="V91" s="787">
        <f t="shared" si="66"/>
        <v>-490.4663014179381</v>
      </c>
      <c r="W91" s="787">
        <f t="shared" si="66"/>
        <v>-466.96664738889842</v>
      </c>
      <c r="X91" s="787">
        <f t="shared" si="66"/>
        <v>-441.68101965365173</v>
      </c>
      <c r="Y91" s="787">
        <f t="shared" si="66"/>
        <v>-414.4736842105263</v>
      </c>
      <c r="Z91" s="787">
        <f t="shared" si="66"/>
        <v>-385.19859127372331</v>
      </c>
    </row>
    <row r="92" spans="1:26" hidden="1"/>
    <row r="93" spans="1:26" hidden="1"/>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B2:E19"/>
  <sheetViews>
    <sheetView workbookViewId="0"/>
  </sheetViews>
  <sheetFormatPr defaultColWidth="9.1328125" defaultRowHeight="13.9"/>
  <cols>
    <col min="1" max="1" width="9.1328125" style="4"/>
    <col min="2" max="2" width="32.46484375" style="4" customWidth="1"/>
    <col min="3" max="3" width="17" style="4" customWidth="1"/>
    <col min="4" max="4" width="19.1328125" style="75" customWidth="1"/>
    <col min="5" max="5" width="17.1328125" style="4" customWidth="1"/>
    <col min="6" max="16384" width="9.1328125" style="4"/>
  </cols>
  <sheetData>
    <row r="2" spans="2:5">
      <c r="B2" s="18" t="s">
        <v>383</v>
      </c>
      <c r="C2" s="18" t="s">
        <v>393</v>
      </c>
      <c r="D2" s="80" t="s">
        <v>366</v>
      </c>
      <c r="E2" s="80" t="s">
        <v>385</v>
      </c>
    </row>
    <row r="3" spans="2:5">
      <c r="B3" s="81" t="s">
        <v>367</v>
      </c>
      <c r="C3" s="81" t="s">
        <v>369</v>
      </c>
      <c r="D3" s="82">
        <f>+('Model also  old'!P94/'Model also  old'!F94)^(1/3)-1</f>
        <v>0.3418785118557528</v>
      </c>
      <c r="E3" s="83" t="s">
        <v>373</v>
      </c>
    </row>
    <row r="4" spans="2:5">
      <c r="B4" s="4" t="s">
        <v>370</v>
      </c>
      <c r="C4" s="4" t="s">
        <v>371</v>
      </c>
      <c r="D4" s="84">
        <f>+'Model also  old'!P113</f>
        <v>0.56625646539150809</v>
      </c>
      <c r="E4" s="75" t="s">
        <v>372</v>
      </c>
    </row>
    <row r="5" spans="2:5">
      <c r="B5" s="81" t="s">
        <v>374</v>
      </c>
      <c r="C5" s="81" t="s">
        <v>964</v>
      </c>
      <c r="D5" s="283">
        <f>+'Model also  old'!F212</f>
        <v>115</v>
      </c>
      <c r="E5" s="83" t="s">
        <v>378</v>
      </c>
    </row>
    <row r="6" spans="2:5">
      <c r="B6" s="4" t="s">
        <v>376</v>
      </c>
      <c r="C6" s="4" t="s">
        <v>375</v>
      </c>
      <c r="D6" s="84">
        <f>+'Model also  old'!P214</f>
        <v>0.28499999999999998</v>
      </c>
      <c r="E6" s="75" t="s">
        <v>377</v>
      </c>
    </row>
    <row r="7" spans="2:5">
      <c r="B7" s="81" t="s">
        <v>734</v>
      </c>
      <c r="C7" s="81" t="s">
        <v>735</v>
      </c>
      <c r="D7" s="85">
        <f>+'Model also  old'!F260</f>
        <v>3.4293574758104661</v>
      </c>
      <c r="E7" s="83" t="s">
        <v>201</v>
      </c>
    </row>
    <row r="8" spans="2:5">
      <c r="B8" s="18" t="s">
        <v>384</v>
      </c>
      <c r="C8" s="18" t="s">
        <v>393</v>
      </c>
      <c r="D8" s="80" t="s">
        <v>366</v>
      </c>
      <c r="E8" s="80" t="s">
        <v>385</v>
      </c>
    </row>
    <row r="9" spans="2:5">
      <c r="B9" s="81" t="s">
        <v>386</v>
      </c>
      <c r="C9" s="81" t="s">
        <v>387</v>
      </c>
      <c r="D9" s="76" t="e">
        <f>+'Model also  old'!#REF!</f>
        <v>#REF!</v>
      </c>
      <c r="E9" s="83" t="s">
        <v>388</v>
      </c>
    </row>
    <row r="10" spans="2:5">
      <c r="B10" s="4" t="s">
        <v>389</v>
      </c>
      <c r="C10" s="4" t="s">
        <v>390</v>
      </c>
      <c r="D10" s="160" t="e">
        <f>+'Model also  old'!#REF!</f>
        <v>#REF!</v>
      </c>
      <c r="E10" s="75" t="s">
        <v>388</v>
      </c>
    </row>
    <row r="11" spans="2:5">
      <c r="B11" s="81" t="s">
        <v>391</v>
      </c>
      <c r="C11" s="81" t="s">
        <v>392</v>
      </c>
      <c r="D11" s="90" t="e">
        <f>+'Model also  old'!#REF!</f>
        <v>#REF!</v>
      </c>
      <c r="E11" s="83" t="s">
        <v>388</v>
      </c>
    </row>
    <row r="14" spans="2:5">
      <c r="B14" s="18"/>
      <c r="C14" s="80" t="s">
        <v>965</v>
      </c>
      <c r="D14" s="80" t="s">
        <v>966</v>
      </c>
      <c r="E14" s="80" t="s">
        <v>868</v>
      </c>
    </row>
    <row r="15" spans="2:5">
      <c r="B15" s="81" t="s">
        <v>967</v>
      </c>
      <c r="C15" s="83" t="e">
        <f>+'Model also  old'!#REF!</f>
        <v>#REF!</v>
      </c>
      <c r="D15" s="82" t="s">
        <v>968</v>
      </c>
      <c r="E15" s="83" t="e">
        <f>+'Model also  old'!#REF!</f>
        <v>#REF!</v>
      </c>
    </row>
    <row r="16" spans="2:5">
      <c r="B16" s="4" t="s">
        <v>969</v>
      </c>
      <c r="C16" s="84">
        <f>+'Model also  old'!E5</f>
        <v>3.2977691561590694E-2</v>
      </c>
      <c r="D16" s="84" t="s">
        <v>970</v>
      </c>
      <c r="E16" s="84">
        <f>+'Model also  old'!F5</f>
        <v>4.3151276634540769E-2</v>
      </c>
    </row>
    <row r="17" spans="2:5">
      <c r="B17" s="81" t="s">
        <v>971</v>
      </c>
      <c r="C17" s="82">
        <f>+'Model also  old'!E8</f>
        <v>0.4649435572373784</v>
      </c>
      <c r="D17" s="283" t="s">
        <v>972</v>
      </c>
      <c r="E17" s="82">
        <f>+'Model also  old'!F8</f>
        <v>0.47449106544596875</v>
      </c>
    </row>
    <row r="18" spans="2:5">
      <c r="B18" s="4" t="s">
        <v>973</v>
      </c>
      <c r="C18" s="75">
        <f>+'Model also  old'!E9</f>
        <v>84.1</v>
      </c>
      <c r="D18" s="84" t="s">
        <v>974</v>
      </c>
      <c r="E18" s="75">
        <f>+'Model also  old'!F9</f>
        <v>115</v>
      </c>
    </row>
    <row r="19" spans="2:5">
      <c r="B19" s="81" t="s">
        <v>975</v>
      </c>
      <c r="C19" s="82" t="e">
        <f>+'Model also  old'!#REF!</f>
        <v>#REF!</v>
      </c>
      <c r="D19" s="85" t="s">
        <v>976</v>
      </c>
      <c r="E19" s="82" t="e">
        <f>+'Model also  old'!#REF!</f>
        <v>#REF!</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C68DD-B2D6-4DB0-BF4B-100DC22699AD}">
  <sheetPr codeName="Sheet18"/>
  <dimension ref="A3:V301"/>
  <sheetViews>
    <sheetView showGridLines="0" zoomScale="70" zoomScaleNormal="70" workbookViewId="0">
      <selection activeCell="A27" sqref="A27"/>
    </sheetView>
  </sheetViews>
  <sheetFormatPr defaultRowHeight="12.75"/>
  <cols>
    <col min="2" max="2" width="35.33203125" customWidth="1"/>
    <col min="3" max="10" width="9.1328125" customWidth="1"/>
  </cols>
  <sheetData>
    <row r="3" spans="2:12">
      <c r="C3" t="str">
        <f t="shared" ref="C3:L3" si="0">C27</f>
        <v>1Q21</v>
      </c>
      <c r="D3" t="str">
        <f t="shared" si="0"/>
        <v>2Q21</v>
      </c>
      <c r="E3" t="str">
        <f t="shared" si="0"/>
        <v>3Q21</v>
      </c>
      <c r="F3" t="str">
        <f t="shared" si="0"/>
        <v>4Q21</v>
      </c>
      <c r="G3" t="str">
        <f t="shared" si="0"/>
        <v>1Q22</v>
      </c>
      <c r="H3" t="str">
        <f t="shared" si="0"/>
        <v>2Q22</v>
      </c>
      <c r="I3" t="str">
        <f t="shared" si="0"/>
        <v>3Q22</v>
      </c>
      <c r="J3" t="str">
        <f t="shared" si="0"/>
        <v>4Q22</v>
      </c>
      <c r="K3" t="str">
        <f t="shared" si="0"/>
        <v>1Q23</v>
      </c>
      <c r="L3" t="str">
        <f t="shared" si="0"/>
        <v>2Q23</v>
      </c>
    </row>
    <row r="4" spans="2:12">
      <c r="B4" t="s">
        <v>1563</v>
      </c>
      <c r="C4" s="954">
        <f>Interims!AT21/Interims!AT19</f>
        <v>0.28718959123373156</v>
      </c>
      <c r="D4" s="954">
        <f>Interims!AU21/Interims!AU19</f>
        <v>0.29301844232035318</v>
      </c>
      <c r="E4" s="954">
        <f>Interims!AV21/Interims!AV19</f>
        <v>0.29822029822029822</v>
      </c>
      <c r="F4" s="954">
        <f>Interims!AW21/Interims!AW19</f>
        <v>0.30924287118977384</v>
      </c>
      <c r="G4" s="954">
        <f>Interims!AY21/Interims!AY19</f>
        <v>0.31476877175534562</v>
      </c>
      <c r="H4" s="954">
        <f>Interims!AZ21/Interims!AZ19</f>
        <v>0.32112393376818865</v>
      </c>
      <c r="I4" s="954">
        <f>Interims!BA21/Interims!BA19</f>
        <v>0.33264675592173015</v>
      </c>
      <c r="J4" s="954">
        <f ca="1">Interims!BB21/Interims!BB19</f>
        <v>0.34647739221871715</v>
      </c>
      <c r="K4" s="954">
        <f>Interims!BD21/Interims!BD19</f>
        <v>0.35260115606936415</v>
      </c>
      <c r="L4" s="954">
        <f>Interims!BE21/Interims!BE19</f>
        <v>0.36364410796962254</v>
      </c>
    </row>
    <row r="26" spans="2:17">
      <c r="I26" t="s">
        <v>1565</v>
      </c>
      <c r="J26" t="s">
        <v>1566</v>
      </c>
    </row>
    <row r="27" spans="2:17">
      <c r="B27" t="s">
        <v>677</v>
      </c>
      <c r="C27" s="1238" t="s">
        <v>1554</v>
      </c>
      <c r="D27" s="1238" t="s">
        <v>1555</v>
      </c>
      <c r="E27" s="1238" t="s">
        <v>1556</v>
      </c>
      <c r="F27" s="1238" t="s">
        <v>1557</v>
      </c>
      <c r="G27" s="1238" t="s">
        <v>1558</v>
      </c>
      <c r="H27" s="1238" t="s">
        <v>1559</v>
      </c>
      <c r="I27" s="1238" t="s">
        <v>1560</v>
      </c>
      <c r="J27" s="1238" t="s">
        <v>1561</v>
      </c>
      <c r="K27" s="1238" t="s">
        <v>1641</v>
      </c>
      <c r="L27" s="1238" t="s">
        <v>1642</v>
      </c>
      <c r="M27" s="1238" t="s">
        <v>1643</v>
      </c>
      <c r="N27" s="1238" t="s">
        <v>1691</v>
      </c>
      <c r="O27" s="1238" t="s">
        <v>1697</v>
      </c>
      <c r="P27" s="1238" t="s">
        <v>1937</v>
      </c>
      <c r="Q27" s="1238" t="s">
        <v>2057</v>
      </c>
    </row>
    <row r="28" spans="2:17">
      <c r="B28" t="str">
        <f>Interims!B37</f>
        <v xml:space="preserve">CATV </v>
      </c>
      <c r="C28" s="953">
        <f>Interims!AT37</f>
        <v>-14.188999999999851</v>
      </c>
      <c r="D28" s="953">
        <f>Interims!AU37</f>
        <v>-22.384000000000015</v>
      </c>
      <c r="E28" s="953">
        <f>Interims!AV37</f>
        <v>-21.663000000000011</v>
      </c>
      <c r="F28" s="953">
        <f>Interims!AW37</f>
        <v>-45</v>
      </c>
      <c r="G28" s="953">
        <f>Interims!AY37</f>
        <v>-23</v>
      </c>
      <c r="H28" s="953">
        <f>Interims!AZ37</f>
        <v>-18</v>
      </c>
      <c r="I28" s="963">
        <v>-7</v>
      </c>
      <c r="J28" s="963">
        <f>-9+-30+16</f>
        <v>-23</v>
      </c>
      <c r="K28" s="953">
        <f ca="1">Interims!BD37</f>
        <v>1</v>
      </c>
      <c r="L28" s="953">
        <f>Interims!BE37</f>
        <v>-24.768000000000029</v>
      </c>
      <c r="M28" s="953">
        <f>Interims!BF37</f>
        <v>-6.9300000000000637</v>
      </c>
      <c r="N28" s="953">
        <f>Interims!BG37</f>
        <v>-81.760999999999967</v>
      </c>
      <c r="O28" s="953">
        <f>Interims!BI37</f>
        <v>-2</v>
      </c>
      <c r="P28" s="953">
        <f>Interims!BJ37</f>
        <v>-682</v>
      </c>
      <c r="Q28" s="953">
        <f>Interims!BK37</f>
        <v>10</v>
      </c>
    </row>
    <row r="29" spans="2:17">
      <c r="B29" t="str">
        <f>Interims!B38</f>
        <v>Premium TV</v>
      </c>
      <c r="C29" s="953">
        <f>Interims!AT38</f>
        <v>3.8290002000001095</v>
      </c>
      <c r="D29" s="953">
        <f>Interims!AU38</f>
        <v>-0.67099999999993543</v>
      </c>
      <c r="E29" s="953">
        <f>Interims!AV38</f>
        <v>-0.8060005000000956</v>
      </c>
      <c r="F29" s="953">
        <f>Interims!AW38</f>
        <v>-4</v>
      </c>
      <c r="G29" s="953">
        <f>Interims!AY38</f>
        <v>-41</v>
      </c>
      <c r="H29" s="953">
        <f>Interims!AZ38</f>
        <v>-5</v>
      </c>
      <c r="I29" s="953">
        <f>Interims!BA38</f>
        <v>-2</v>
      </c>
      <c r="J29" s="953">
        <f ca="1">Interims!BB38</f>
        <v>5</v>
      </c>
      <c r="K29" s="953">
        <f ca="1">Interims!BD38</f>
        <v>4</v>
      </c>
      <c r="L29" s="953">
        <f>Interims!BE38</f>
        <v>-2.9710006000000249</v>
      </c>
      <c r="M29" s="953">
        <f>Interims!BF38</f>
        <v>0.90600040000003901</v>
      </c>
      <c r="N29" s="953">
        <f>Interims!BG38</f>
        <v>7.7349998999999912</v>
      </c>
      <c r="O29" s="953">
        <f>Interims!BI38</f>
        <v>12</v>
      </c>
      <c r="P29" s="953">
        <f>Interims!BJ38</f>
        <v>-25</v>
      </c>
      <c r="Q29" s="953">
        <f>Interims!BK38</f>
        <v>12</v>
      </c>
    </row>
    <row r="30" spans="2:17">
      <c r="B30" t="str">
        <f>Interims!B39</f>
        <v>Internet</v>
      </c>
      <c r="C30" s="953">
        <f>Interims!AT39</f>
        <v>8.0660000000000309</v>
      </c>
      <c r="D30" s="953">
        <f>Interims!AU39</f>
        <v>5.8160000000000309</v>
      </c>
      <c r="E30" s="953">
        <f>Interims!AV39</f>
        <v>4.4669998999999052</v>
      </c>
      <c r="F30" s="953">
        <f>Interims!AW39</f>
        <v>9</v>
      </c>
      <c r="G30" s="953">
        <f>Interims!AY39</f>
        <v>4</v>
      </c>
      <c r="H30" s="953">
        <f>Interims!AZ39</f>
        <v>7</v>
      </c>
      <c r="I30" s="953">
        <f>Interims!BA39</f>
        <v>6</v>
      </c>
      <c r="J30" s="953">
        <f ca="1">Interims!BB39</f>
        <v>13</v>
      </c>
      <c r="K30" s="953">
        <f ca="1">Interims!BD39</f>
        <v>12</v>
      </c>
      <c r="L30" s="953">
        <f>Interims!BE39</f>
        <v>12.008000200000083</v>
      </c>
      <c r="M30" s="953">
        <f>Interims!BF39</f>
        <v>10.038999999999874</v>
      </c>
      <c r="N30" s="953">
        <f>Interims!BG39</f>
        <v>25.15400000000011</v>
      </c>
      <c r="O30" s="953">
        <f>Interims!BI39</f>
        <v>14.732000000000085</v>
      </c>
      <c r="P30" s="953">
        <f>Interims!BJ39</f>
        <v>-26.732000000000085</v>
      </c>
      <c r="Q30" s="953">
        <f>Interims!BK39</f>
        <v>22</v>
      </c>
    </row>
    <row r="31" spans="2:17">
      <c r="B31" t="str">
        <f>Interims!B40</f>
        <v>Telephony</v>
      </c>
      <c r="C31" s="953">
        <f>Interims!AT40</f>
        <v>5.1360000000000241</v>
      </c>
      <c r="D31" s="953">
        <f>Interims!AU40</f>
        <v>3.5919999999999845</v>
      </c>
      <c r="E31" s="953">
        <f>Interims!AV40</f>
        <v>3.9399999999999977</v>
      </c>
      <c r="F31" s="953">
        <f>Interims!AW40</f>
        <v>2</v>
      </c>
      <c r="G31" s="953">
        <f>Interims!AY40</f>
        <v>1</v>
      </c>
      <c r="H31" s="953">
        <f>Interims!AZ40</f>
        <v>3</v>
      </c>
      <c r="I31" s="953">
        <f>Interims!BA40</f>
        <v>4</v>
      </c>
      <c r="J31" s="953">
        <f ca="1">Interims!BB40</f>
        <v>13</v>
      </c>
      <c r="K31" s="953">
        <f ca="1">Interims!BD40</f>
        <v>10</v>
      </c>
      <c r="L31" s="953">
        <f>Interims!BE40</f>
        <v>6.6680000000000064</v>
      </c>
      <c r="M31" s="953">
        <f>Interims!BF40</f>
        <v>12.341999999999985</v>
      </c>
      <c r="N31" s="953">
        <f>Interims!BG40</f>
        <v>28.144999999999982</v>
      </c>
      <c r="O31" s="953">
        <f>Interims!BI40</f>
        <v>18</v>
      </c>
      <c r="P31" s="953">
        <f>Interims!BJ40</f>
        <v>20</v>
      </c>
      <c r="Q31" s="953">
        <f>Interims!BK40</f>
        <v>14</v>
      </c>
    </row>
    <row r="32" spans="2:17">
      <c r="B32" t="str">
        <f>Interims!B41</f>
        <v xml:space="preserve">Total RGUs </v>
      </c>
      <c r="C32" s="953">
        <f>Interims!AT41</f>
        <v>2.8420002000003137</v>
      </c>
      <c r="D32" s="953">
        <f>Interims!AU41</f>
        <v>-13.646999999999935</v>
      </c>
      <c r="E32" s="953">
        <f>Interims!AV41</f>
        <v>-14.062000600000204</v>
      </c>
      <c r="F32" s="953">
        <f>Interims!AW41</f>
        <v>-38</v>
      </c>
      <c r="G32" s="953">
        <f>Interims!AY41</f>
        <v>-59</v>
      </c>
      <c r="H32" s="953">
        <f>Interims!AZ41</f>
        <v>-13</v>
      </c>
      <c r="I32" s="963">
        <f>SUM(I28:I31)</f>
        <v>1</v>
      </c>
      <c r="J32" s="963">
        <f ca="1">SUM(J28:J31)</f>
        <v>8</v>
      </c>
      <c r="K32" s="953">
        <f ca="1">Interims!BD41</f>
        <v>27</v>
      </c>
      <c r="L32" s="953">
        <f>Interims!BE41</f>
        <v>-9.0630003999999644</v>
      </c>
      <c r="M32" s="953">
        <f>Interims!BF41</f>
        <v>16.357000399999833</v>
      </c>
      <c r="N32" s="953">
        <f>Interims!BG41</f>
        <v>-20.727000099999884</v>
      </c>
      <c r="O32" s="953">
        <f>Interims!BI41</f>
        <v>42.732000000000085</v>
      </c>
      <c r="P32" s="953">
        <f>Interims!BJ41</f>
        <v>-713.73200000000008</v>
      </c>
      <c r="Q32" s="953">
        <f>Interims!BK41</f>
        <v>58</v>
      </c>
    </row>
    <row r="33" spans="2:17">
      <c r="C33" s="953"/>
      <c r="D33" s="953"/>
      <c r="E33" s="953"/>
      <c r="F33" s="953"/>
      <c r="G33" s="953"/>
      <c r="H33" s="953"/>
      <c r="I33" s="953"/>
      <c r="J33" s="953"/>
    </row>
    <row r="34" spans="2:17">
      <c r="C34" s="953"/>
      <c r="D34" s="953"/>
      <c r="E34" s="953"/>
      <c r="F34" s="953"/>
      <c r="G34" s="953"/>
      <c r="H34" s="953"/>
      <c r="I34" s="953"/>
      <c r="J34" s="953"/>
    </row>
    <row r="35" spans="2:17">
      <c r="B35" t="s">
        <v>677</v>
      </c>
      <c r="C35" s="1238" t="s">
        <v>1554</v>
      </c>
      <c r="D35" s="1238" t="s">
        <v>1555</v>
      </c>
      <c r="E35" s="1238" t="s">
        <v>1556</v>
      </c>
      <c r="F35" s="1238" t="s">
        <v>1557</v>
      </c>
      <c r="G35" s="1238" t="s">
        <v>1558</v>
      </c>
      <c r="H35" s="1238" t="s">
        <v>1559</v>
      </c>
      <c r="I35" s="1238" t="s">
        <v>1560</v>
      </c>
      <c r="J35" s="1238" t="s">
        <v>1561</v>
      </c>
      <c r="K35" s="1238" t="s">
        <v>1641</v>
      </c>
      <c r="L35" s="1238" t="s">
        <v>1642</v>
      </c>
      <c r="M35" s="1238" t="s">
        <v>1643</v>
      </c>
      <c r="N35" s="1238" t="s">
        <v>1691</v>
      </c>
      <c r="O35" s="1238" t="s">
        <v>1697</v>
      </c>
      <c r="P35" s="1238" t="s">
        <v>1937</v>
      </c>
      <c r="Q35" s="1238" t="s">
        <v>2057</v>
      </c>
    </row>
    <row r="36" spans="2:17">
      <c r="B36" t="s">
        <v>1943</v>
      </c>
      <c r="C36" s="953">
        <f>C30-C37</f>
        <v>8.0660000000000309</v>
      </c>
      <c r="D36" s="953">
        <f t="shared" ref="D36:P36" si="1">D30-D37</f>
        <v>5.8810000000000286</v>
      </c>
      <c r="E36" s="953">
        <f t="shared" si="1"/>
        <v>4.4689997999999065</v>
      </c>
      <c r="F36" s="953">
        <f t="shared" si="1"/>
        <v>9.2090001000000115</v>
      </c>
      <c r="G36" s="953">
        <f t="shared" si="1"/>
        <v>3.9940000999999938</v>
      </c>
      <c r="H36" s="953">
        <f t="shared" si="1"/>
        <v>7.0960000000000036</v>
      </c>
      <c r="I36" s="953">
        <f t="shared" si="1"/>
        <v>5.9470000000000027</v>
      </c>
      <c r="J36" s="953">
        <f t="shared" ca="1" si="1"/>
        <v>13.315999899999994</v>
      </c>
      <c r="K36" s="953">
        <f t="shared" ca="1" si="1"/>
        <v>12.077999900000009</v>
      </c>
      <c r="L36" s="953">
        <f t="shared" si="1"/>
        <v>11.887000200000088</v>
      </c>
      <c r="M36" s="953">
        <f t="shared" si="1"/>
        <v>10.176999999999865</v>
      </c>
      <c r="N36" s="953">
        <f t="shared" si="1"/>
        <v>25.40400000000011</v>
      </c>
      <c r="O36" s="953">
        <f t="shared" si="1"/>
        <v>14.789999900000083</v>
      </c>
      <c r="P36" s="953">
        <f t="shared" si="1"/>
        <v>19.068000299999916</v>
      </c>
      <c r="Q36" s="953">
        <f t="shared" ref="Q36" si="2">Q30-Q37</f>
        <v>22.119999999999997</v>
      </c>
    </row>
    <row r="37" spans="2:17">
      <c r="B37" t="s">
        <v>1944</v>
      </c>
      <c r="C37" s="953">
        <v>0</v>
      </c>
      <c r="D37" s="953">
        <f>D39-C39</f>
        <v>-6.4999999999997726E-2</v>
      </c>
      <c r="E37" s="953">
        <f t="shared" ref="E37:Q37" si="3">E39-D39</f>
        <v>-1.9999000000012757E-3</v>
      </c>
      <c r="F37" s="953">
        <f t="shared" si="3"/>
        <v>-0.20900010000001146</v>
      </c>
      <c r="G37" s="953">
        <f t="shared" si="3"/>
        <v>5.9999000000061642E-3</v>
      </c>
      <c r="H37" s="953">
        <f t="shared" si="3"/>
        <v>-9.6000000000003638E-2</v>
      </c>
      <c r="I37" s="953">
        <f t="shared" si="3"/>
        <v>5.2999999999997272E-2</v>
      </c>
      <c r="J37" s="953">
        <f t="shared" si="3"/>
        <v>-0.31599989999999423</v>
      </c>
      <c r="K37" s="953">
        <f t="shared" si="3"/>
        <v>-7.7999900000008893E-2</v>
      </c>
      <c r="L37" s="953">
        <f t="shared" si="3"/>
        <v>0.12099999999999511</v>
      </c>
      <c r="M37" s="953">
        <f t="shared" si="3"/>
        <v>-0.13799999999999102</v>
      </c>
      <c r="N37" s="953">
        <f t="shared" si="3"/>
        <v>-0.25</v>
      </c>
      <c r="O37" s="953">
        <f t="shared" si="3"/>
        <v>-5.7999899999998661E-2</v>
      </c>
      <c r="P37" s="953">
        <f t="shared" si="3"/>
        <v>-45.800000300000001</v>
      </c>
      <c r="Q37" s="953">
        <f t="shared" si="3"/>
        <v>-0.11999999999999744</v>
      </c>
    </row>
    <row r="38" spans="2:17">
      <c r="B38" t="s">
        <v>2070</v>
      </c>
      <c r="C38" s="156">
        <f>(Interims!AT21-Interims!AT28)/(Interims!AO21-Interims!AO28)-1</f>
        <v>5.1543685552587037E-2</v>
      </c>
      <c r="D38" s="156">
        <f>(Interims!AU21-Interims!AU28)/(Interims!AP21-Interims!AP28)-1</f>
        <v>5.4444227156328573E-2</v>
      </c>
      <c r="E38" s="156">
        <f>(Interims!AV21-Interims!AV28)/(Interims!AQ21-Interims!AQ28)-1</f>
        <v>4.752004102621199E-2</v>
      </c>
      <c r="F38" s="156">
        <f>(Interims!AW21-Interims!AW28)/(Interims!AR21-Interims!AR28)-1</f>
        <v>5.5402736564782007E-2</v>
      </c>
      <c r="G38" s="156">
        <f>(Interims!AY21-Interims!AY28)/(Interims!AT21-Interims!AT28)-1</f>
        <v>4.5059481099894105E-2</v>
      </c>
      <c r="H38" s="156">
        <f>(Interims!AZ21-Interims!AZ28)/(Interims!AU21-Interims!AU28)-1</f>
        <v>4.6823836763070448E-2</v>
      </c>
      <c r="I38" s="156">
        <f>(Interims!BA21-Interims!BA28)/(Interims!AV21-Interims!AV28)-1</f>
        <v>4.933586337760909E-2</v>
      </c>
      <c r="J38" s="156">
        <f ca="1">(Interims!BB21-Interims!BB28)/(Interims!AW21-Interims!AW28)-1</f>
        <v>5.5970149253731449E-2</v>
      </c>
      <c r="K38" s="156">
        <f>(Interims!BD21-Interims!BD28)/(Interims!AY21-Interims!AY28)-1</f>
        <v>7.0370370370370416E-2</v>
      </c>
      <c r="L38" s="156">
        <f>(Interims!BE21-Interims!BE28)/(Interims!AZ21-Interims!AZ28)-1</f>
        <v>7.862522888482637E-2</v>
      </c>
      <c r="M38" s="156">
        <f>(Interims!BF21-Interims!BF28)/(Interims!BA21-Interims!BA28)-1</f>
        <v>8.5075949728752098E-2</v>
      </c>
      <c r="N38" s="156">
        <f ca="1">(Interims!BG21-Interims!BG28)/(Interims!BB21-Interims!BB28)-1</f>
        <v>0.10459540671378109</v>
      </c>
      <c r="O38" s="156">
        <f>(Interims!BI21-Interims!BI28)/(Interims!BD21-Interims!BD28)-1</f>
        <v>0.10680276816609013</v>
      </c>
      <c r="P38" s="156">
        <f>(Interims!BJ21-Interims!BJ28)/(Interims!BE21-Interims!BE28)-1</f>
        <v>0.11693400729585557</v>
      </c>
      <c r="Q38" s="156">
        <f>(Interims!BK21-Interims!BK28)/(Interims!BF21-Interims!BF28)-1</f>
        <v>0.13491109825233338</v>
      </c>
    </row>
    <row r="39" spans="2:17">
      <c r="B39" t="s">
        <v>1942</v>
      </c>
      <c r="C39" s="1245">
        <v>93.78300010000001</v>
      </c>
      <c r="D39" s="1245">
        <v>93.718000100000012</v>
      </c>
      <c r="E39" s="1245">
        <v>93.716000200000011</v>
      </c>
      <c r="F39" s="1245">
        <v>93.507000099999999</v>
      </c>
      <c r="G39" s="1245">
        <v>93.513000000000005</v>
      </c>
      <c r="H39" s="1245">
        <v>93.417000000000002</v>
      </c>
      <c r="I39" s="1245">
        <v>93.47</v>
      </c>
      <c r="J39" s="1245">
        <v>93.154000100000005</v>
      </c>
      <c r="K39" s="1245">
        <v>93.076000199999996</v>
      </c>
      <c r="L39" s="1245">
        <v>93.197000199999991</v>
      </c>
      <c r="M39" s="1245">
        <v>93.0590002</v>
      </c>
      <c r="N39" s="1245">
        <v>92.8090002</v>
      </c>
      <c r="O39" s="1245">
        <v>92.751000300000001</v>
      </c>
      <c r="P39" s="1245">
        <v>46.951000000000001</v>
      </c>
      <c r="Q39" s="1245">
        <v>46.831000000000003</v>
      </c>
    </row>
    <row r="40" spans="2:17">
      <c r="C40" s="953"/>
      <c r="D40" s="953"/>
      <c r="E40" s="953"/>
      <c r="F40" s="953"/>
      <c r="G40" s="953"/>
      <c r="H40" s="953"/>
      <c r="I40" s="953"/>
      <c r="J40" s="953"/>
    </row>
    <row r="41" spans="2:17">
      <c r="C41" s="953"/>
      <c r="D41" s="953"/>
      <c r="E41" s="953"/>
      <c r="F41" s="953"/>
      <c r="G41" s="953"/>
      <c r="H41" s="953"/>
      <c r="I41" s="953"/>
      <c r="J41" s="953"/>
    </row>
    <row r="65" spans="2:17">
      <c r="C65" t="str">
        <f>C27</f>
        <v>1Q21</v>
      </c>
      <c r="D65" t="str">
        <f t="shared" ref="D65:P65" si="4">D27</f>
        <v>2Q21</v>
      </c>
      <c r="E65" t="str">
        <f t="shared" si="4"/>
        <v>3Q21</v>
      </c>
      <c r="F65" t="str">
        <f t="shared" si="4"/>
        <v>4Q21</v>
      </c>
      <c r="G65" t="str">
        <f t="shared" si="4"/>
        <v>1Q22</v>
      </c>
      <c r="H65" t="str">
        <f t="shared" si="4"/>
        <v>2Q22</v>
      </c>
      <c r="I65" t="str">
        <f t="shared" si="4"/>
        <v>3Q22</v>
      </c>
      <c r="J65" t="str">
        <f t="shared" si="4"/>
        <v>4Q22</v>
      </c>
      <c r="K65" t="str">
        <f t="shared" si="4"/>
        <v>1Q23</v>
      </c>
      <c r="L65" t="str">
        <f t="shared" si="4"/>
        <v>2Q23</v>
      </c>
      <c r="M65" t="str">
        <f t="shared" si="4"/>
        <v>3Q23</v>
      </c>
      <c r="N65" t="str">
        <f t="shared" si="4"/>
        <v>4Q23</v>
      </c>
      <c r="O65" t="str">
        <f t="shared" si="4"/>
        <v>1Q24</v>
      </c>
      <c r="P65" t="str">
        <f t="shared" si="4"/>
        <v>2Q24</v>
      </c>
      <c r="Q65" t="s">
        <v>2057</v>
      </c>
    </row>
    <row r="66" spans="2:17">
      <c r="B66" t="s">
        <v>1220</v>
      </c>
      <c r="C66" s="1237">
        <f>Interims!AT49</f>
        <v>8.6881587860762242</v>
      </c>
      <c r="D66" s="1237">
        <f>Interims!AU49</f>
        <v>8.6817115828117384</v>
      </c>
      <c r="E66" s="1237">
        <f>Interims!AV49</f>
        <v>8.5558948817118772</v>
      </c>
      <c r="F66" s="1237">
        <f>Interims!AW49</f>
        <v>8.6622268956210586</v>
      </c>
      <c r="G66" s="1237">
        <f>Interims!AY49</f>
        <v>8.4987057081240049</v>
      </c>
      <c r="H66" s="1237">
        <f>Interims!AZ49</f>
        <v>8.470331442928261</v>
      </c>
      <c r="I66" s="1237">
        <f>Interims!BA49</f>
        <v>8.3755711826882813</v>
      </c>
      <c r="J66" s="1237">
        <f>Interims!BB49</f>
        <v>8.4508555332095607</v>
      </c>
      <c r="K66" s="1237">
        <f>Interims!BD49</f>
        <v>8.4</v>
      </c>
      <c r="L66" s="1237">
        <f>Interims!BE49</f>
        <v>8.2887622590228442</v>
      </c>
      <c r="M66" s="1237">
        <f>Interims!BF49</f>
        <v>8.3150410279340949</v>
      </c>
      <c r="N66" s="1237">
        <f>Interims!BG49</f>
        <v>8.3229036160302634</v>
      </c>
      <c r="O66" s="1237">
        <f>Interims!BI49</f>
        <v>8.15</v>
      </c>
      <c r="P66" s="1237">
        <f>Interims!BJ49</f>
        <v>8.1999999999999993</v>
      </c>
      <c r="Q66" s="1237">
        <f>Interims!BK49</f>
        <v>9.1</v>
      </c>
    </row>
    <row r="67" spans="2:17">
      <c r="B67" t="s">
        <v>2064</v>
      </c>
      <c r="C67" s="1237">
        <f>Interims!AT50</f>
        <v>24.123639530948623</v>
      </c>
      <c r="D67" s="1237">
        <f>Interims!AU50</f>
        <v>24.076952708755439</v>
      </c>
      <c r="E67" s="1237">
        <f>Interims!AV50</f>
        <v>23.880301412428384</v>
      </c>
      <c r="F67" s="1237">
        <f>Interims!AW50</f>
        <v>24.25769522934624</v>
      </c>
      <c r="G67" s="1237">
        <f>Interims!AY50</f>
        <v>24.230918199540099</v>
      </c>
      <c r="H67" s="1237">
        <f>Interims!AZ50</f>
        <v>24.354265829490163</v>
      </c>
      <c r="I67" s="1237">
        <f>Interims!BA50</f>
        <v>24.332108746169695</v>
      </c>
      <c r="J67" s="1237">
        <f>Interims!BB50</f>
        <v>24.190913781654697</v>
      </c>
      <c r="K67" s="1237">
        <f>Interims!BD50</f>
        <v>24.2</v>
      </c>
      <c r="L67" s="1237">
        <f>Interims!BE50</f>
        <v>23.922705091472189</v>
      </c>
      <c r="M67" s="1237">
        <f>Interims!BF50</f>
        <v>24.349487530519173</v>
      </c>
      <c r="N67" s="1237">
        <f>Interims!BG50</f>
        <v>24.578806065755121</v>
      </c>
      <c r="O67" s="1237">
        <f>Interims!BI50</f>
        <v>24.3</v>
      </c>
      <c r="P67" s="1237">
        <f>Interims!BJ50</f>
        <v>24.3</v>
      </c>
      <c r="Q67" s="1237">
        <f>Interims!BK50</f>
        <v>24.3</v>
      </c>
    </row>
    <row r="68" spans="2:17">
      <c r="B68" t="s">
        <v>2063</v>
      </c>
      <c r="C68" s="1237"/>
      <c r="D68" s="1237"/>
      <c r="E68" s="1237"/>
      <c r="F68" s="1237"/>
      <c r="G68" s="1237"/>
      <c r="H68" s="1237"/>
      <c r="I68" s="1237"/>
      <c r="J68" s="1237"/>
      <c r="K68" s="1237"/>
      <c r="L68" s="1237"/>
      <c r="M68" s="1237"/>
      <c r="N68" s="1237">
        <f>Interims!BG52</f>
        <v>28.9</v>
      </c>
      <c r="O68" s="1237">
        <f>Interims!BI52</f>
        <v>28.92</v>
      </c>
      <c r="P68" s="1237">
        <f>Interims!BJ52</f>
        <v>29.31</v>
      </c>
      <c r="Q68" s="1237">
        <f>Interims!BK52</f>
        <v>29.08</v>
      </c>
    </row>
    <row r="69" spans="2:17">
      <c r="B69" t="str">
        <f>Interims!B51</f>
        <v>Total blended ARPU</v>
      </c>
      <c r="C69" s="3">
        <f>Interims!AT51</f>
        <v>17.746141830834912</v>
      </c>
      <c r="D69" s="3">
        <f>Interims!AU51</f>
        <v>17.7194511298277</v>
      </c>
      <c r="E69" s="3">
        <f>Interims!AV51</f>
        <v>17.627983717587501</v>
      </c>
      <c r="F69" s="3">
        <f>Interims!AW51</f>
        <v>16.921902028607594</v>
      </c>
      <c r="G69" s="3">
        <f>Interims!AY51</f>
        <v>17.30166635091334</v>
      </c>
      <c r="H69" s="3">
        <f>Interims!AZ51</f>
        <v>17.605118686392455</v>
      </c>
      <c r="I69" s="3">
        <f>Interims!BA51</f>
        <v>17.614171300855727</v>
      </c>
      <c r="J69" s="3">
        <f>Interims!BB51</f>
        <v>18.301453423365146</v>
      </c>
      <c r="K69" s="3">
        <f>Interims!BD51</f>
        <v>18.100000000000001</v>
      </c>
      <c r="L69" s="3">
        <f>Interims!BE51</f>
        <v>18</v>
      </c>
      <c r="M69" s="3">
        <f>Interims!BF51</f>
        <v>18.068139101020972</v>
      </c>
      <c r="N69" s="3">
        <f>Interims!BG51</f>
        <v>18.57736121178549</v>
      </c>
      <c r="O69" s="3">
        <f>Interims!BI51</f>
        <v>19</v>
      </c>
      <c r="P69" s="3">
        <f>Interims!BJ51</f>
        <v>19.899999999999999</v>
      </c>
      <c r="Q69" s="3"/>
    </row>
    <row r="71" spans="2:17">
      <c r="C71" t="str">
        <f>C65</f>
        <v>1Q21</v>
      </c>
      <c r="D71" t="str">
        <f t="shared" ref="D71:P71" si="5">D65</f>
        <v>2Q21</v>
      </c>
      <c r="E71" t="str">
        <f t="shared" si="5"/>
        <v>3Q21</v>
      </c>
      <c r="F71" t="str">
        <f t="shared" si="5"/>
        <v>4Q21</v>
      </c>
      <c r="G71" t="str">
        <f t="shared" si="5"/>
        <v>1Q22</v>
      </c>
      <c r="H71" t="str">
        <f t="shared" si="5"/>
        <v>2Q22</v>
      </c>
      <c r="I71" t="str">
        <f t="shared" si="5"/>
        <v>3Q22</v>
      </c>
      <c r="J71" t="str">
        <f t="shared" si="5"/>
        <v>4Q22</v>
      </c>
      <c r="K71" t="str">
        <f t="shared" si="5"/>
        <v>1Q23</v>
      </c>
      <c r="L71" t="str">
        <f t="shared" si="5"/>
        <v>2Q23</v>
      </c>
      <c r="M71" t="str">
        <f t="shared" si="5"/>
        <v>3Q23</v>
      </c>
      <c r="N71" t="str">
        <f t="shared" si="5"/>
        <v>4Q23</v>
      </c>
      <c r="O71" t="str">
        <f t="shared" si="5"/>
        <v>1Q24</v>
      </c>
      <c r="P71" t="str">
        <f t="shared" si="5"/>
        <v>2Q24</v>
      </c>
      <c r="Q71" t="str">
        <f t="shared" ref="Q71" si="6">Q65</f>
        <v>3Q24</v>
      </c>
    </row>
    <row r="72" spans="2:17">
      <c r="B72" t="str">
        <f>B66</f>
        <v>Blended TV ARPU</v>
      </c>
      <c r="C72" s="954">
        <f>Interims!DP49</f>
        <v>-6.0200269896193426E-4</v>
      </c>
      <c r="D72" s="954">
        <f>Interims!DQ49</f>
        <v>3.9807421349005168E-3</v>
      </c>
      <c r="E72" s="954">
        <f>Interims!DR49</f>
        <v>-2.2872133802960826E-2</v>
      </c>
      <c r="F72" s="954">
        <f>Interims!DS49</f>
        <v>-1.0588050123019666E-2</v>
      </c>
      <c r="G72" s="954">
        <f>Interims!DU49</f>
        <v>-2.1805894967739214E-2</v>
      </c>
      <c r="H72" s="954">
        <f>Interims!DV49</f>
        <v>-2.4347749619092696E-2</v>
      </c>
      <c r="I72" s="954">
        <f>Interims!DW49</f>
        <v>-2.1075960085605527E-2</v>
      </c>
      <c r="J72" s="954">
        <f>Interims!DX49</f>
        <v>-2.4401503788633261E-2</v>
      </c>
      <c r="K72" s="954">
        <f>Interims!DZ49</f>
        <v>-1.1614204740570178E-2</v>
      </c>
      <c r="L72" s="954">
        <f>Interims!EA49</f>
        <v>-2.1435900723460577E-2</v>
      </c>
      <c r="M72" s="954">
        <f>Interims!EB49</f>
        <v>-7.2269882774440575E-3</v>
      </c>
      <c r="N72" s="954">
        <f>Interims!EC49</f>
        <v>-1.5140705775466334E-2</v>
      </c>
      <c r="O72" s="954">
        <f>Interims!EE49</f>
        <v>-2.9761904761904767E-2</v>
      </c>
      <c r="P72" s="954">
        <f>Interims!EF49</f>
        <v>-1.0708747126414675E-2</v>
      </c>
      <c r="Q72" s="954">
        <f>Interims!EG49</f>
        <v>9.4402296925398366E-2</v>
      </c>
    </row>
    <row r="73" spans="2:17">
      <c r="B73" t="str">
        <f>B67</f>
        <v>Blended Internet/ telephony ARPU</v>
      </c>
      <c r="C73" s="954">
        <f>Interims!DP50</f>
        <v>-8.3904546747152198E-3</v>
      </c>
      <c r="D73" s="954">
        <f>Interims!DQ50</f>
        <v>-1.5446257164539512E-2</v>
      </c>
      <c r="E73" s="954">
        <f>Interims!DR50</f>
        <v>-1.9041148513092909E-2</v>
      </c>
      <c r="F73" s="954">
        <f>Interims!DS50</f>
        <v>-6.4501442464545145E-3</v>
      </c>
      <c r="G73" s="954">
        <f>Interims!DU50</f>
        <v>4.4470349697376399E-3</v>
      </c>
      <c r="H73" s="954">
        <f>Interims!DV50</f>
        <v>1.1517783171700158E-2</v>
      </c>
      <c r="I73" s="954">
        <f>Interims!DW50</f>
        <v>1.8919666294755055E-2</v>
      </c>
      <c r="J73" s="954">
        <f>Interims!DX50</f>
        <v>-2.7530005245821609E-3</v>
      </c>
      <c r="K73" s="954">
        <f>Interims!DZ50</f>
        <v>-1.2759813427410949E-3</v>
      </c>
      <c r="L73" s="954">
        <f>Interims!EA50</f>
        <v>-1.7720129238936289E-2</v>
      </c>
      <c r="M73" s="954">
        <f>Interims!EB50</f>
        <v>7.1423256121261325E-4</v>
      </c>
      <c r="N73" s="954">
        <f>Interims!EC50</f>
        <v>1.6034627199348783E-2</v>
      </c>
      <c r="O73" s="954">
        <f>Interims!EE50</f>
        <v>4.1322314049587749E-3</v>
      </c>
      <c r="P73" s="954">
        <f>Interims!EF50</f>
        <v>1.577141494179557E-2</v>
      </c>
      <c r="Q73" s="954">
        <f>Interims!EG50</f>
        <v>-2.0323848892978003E-3</v>
      </c>
    </row>
    <row r="74" spans="2:17">
      <c r="B74" t="str">
        <f>B69</f>
        <v>Total blended ARPU</v>
      </c>
      <c r="C74" s="954">
        <f>Interims!DP51</f>
        <v>1.8484371833836555E-2</v>
      </c>
      <c r="D74" s="954">
        <f>Interims!DQ51</f>
        <v>-1.6867753485489967E-3</v>
      </c>
      <c r="E74" s="954">
        <f>Interims!DR51</f>
        <v>3.1264688507079974E-3</v>
      </c>
      <c r="F74" s="954">
        <f>Interims!DS51</f>
        <v>-7.5662739725712802E-2</v>
      </c>
      <c r="G74" s="954">
        <f>Interims!DU51</f>
        <v>-2.5046316216704057E-2</v>
      </c>
      <c r="H74" s="954">
        <f>Interims!DV51</f>
        <v>-6.4523693537429372E-3</v>
      </c>
      <c r="I74" s="954">
        <f>Interims!DW51</f>
        <v>-7.8355057237733394E-4</v>
      </c>
      <c r="J74" s="954">
        <f>Interims!DX51</f>
        <v>8.152460594709332E-2</v>
      </c>
    </row>
    <row r="95" spans="2:17">
      <c r="C95" t="str">
        <f>C71</f>
        <v>1Q21</v>
      </c>
      <c r="D95" t="str">
        <f t="shared" ref="D95:P95" si="7">D71</f>
        <v>2Q21</v>
      </c>
      <c r="E95" t="str">
        <f t="shared" si="7"/>
        <v>3Q21</v>
      </c>
      <c r="F95" t="str">
        <f t="shared" si="7"/>
        <v>4Q21</v>
      </c>
      <c r="G95" t="str">
        <f t="shared" si="7"/>
        <v>1Q22</v>
      </c>
      <c r="H95" t="str">
        <f t="shared" si="7"/>
        <v>2Q22</v>
      </c>
      <c r="I95" t="str">
        <f t="shared" si="7"/>
        <v>3Q22</v>
      </c>
      <c r="J95" t="str">
        <f t="shared" si="7"/>
        <v>4Q22</v>
      </c>
      <c r="K95" t="str">
        <f t="shared" si="7"/>
        <v>1Q23</v>
      </c>
      <c r="L95" t="str">
        <f t="shared" si="7"/>
        <v>2Q23</v>
      </c>
      <c r="M95" t="str">
        <f t="shared" si="7"/>
        <v>3Q23</v>
      </c>
      <c r="N95" t="str">
        <f t="shared" si="7"/>
        <v>4Q23</v>
      </c>
      <c r="O95" t="str">
        <f t="shared" si="7"/>
        <v>1Q24</v>
      </c>
      <c r="P95" t="str">
        <f t="shared" si="7"/>
        <v>2Q24</v>
      </c>
      <c r="Q95" t="s">
        <v>2057</v>
      </c>
    </row>
    <row r="96" spans="2:17">
      <c r="B96" t="str">
        <f>Interims!B62</f>
        <v>TV</v>
      </c>
      <c r="C96" s="953">
        <f>Interims!AT62</f>
        <v>55.442703881499199</v>
      </c>
      <c r="D96" s="953">
        <f>Interims!AU62</f>
        <v>54.71832377829594</v>
      </c>
      <c r="E96" s="953">
        <f>Interims!AV62</f>
        <v>53.954918910497966</v>
      </c>
      <c r="F96" s="953">
        <f>Interims!AW62</f>
        <v>54.122868099290528</v>
      </c>
      <c r="G96" s="953">
        <f>Interims!AY62</f>
        <v>51.919214072674734</v>
      </c>
      <c r="H96" s="953">
        <f>Interims!AZ62</f>
        <v>51.517371855537057</v>
      </c>
      <c r="I96" s="953">
        <f>Interims!BA62</f>
        <v>49.624679108510875</v>
      </c>
      <c r="J96" s="953">
        <f>Interims!BB62</f>
        <v>49.468719118758628</v>
      </c>
      <c r="K96" s="953">
        <f>Interims!BD62</f>
        <v>48</v>
      </c>
      <c r="L96" s="953">
        <f>Interims!BE62</f>
        <v>47.252212876031059</v>
      </c>
      <c r="M96" s="953">
        <f>Interims!BF62</f>
        <v>46.812067869309523</v>
      </c>
      <c r="N96" s="953">
        <f>Interims!BG62</f>
        <v>46.646748323812822</v>
      </c>
      <c r="O96" s="953">
        <f>Interims!BI62</f>
        <v>44</v>
      </c>
      <c r="P96" s="953">
        <f>Interims!BJ62</f>
        <v>40.799999999999997</v>
      </c>
      <c r="Q96" s="953">
        <f>Interims!BK62</f>
        <v>30.2</v>
      </c>
    </row>
    <row r="97" spans="2:17">
      <c r="B97" t="str">
        <f>Interims!B63</f>
        <v>Internet &amp; Telephony</v>
      </c>
      <c r="C97" s="953">
        <f>Interims!AT63</f>
        <v>37.297041499999999</v>
      </c>
      <c r="D97" s="953">
        <f>Interims!AU63</f>
        <v>37.558685179999991</v>
      </c>
      <c r="E97" s="953">
        <f>Interims!AV63</f>
        <v>37.575876399999991</v>
      </c>
      <c r="F97" s="953">
        <f>Interims!AW63</f>
        <v>38.428227079999999</v>
      </c>
      <c r="G97" s="953">
        <f>Interims!AY63</f>
        <v>38.743665390000004</v>
      </c>
      <c r="H97" s="953">
        <f>Interims!AZ63</f>
        <v>39.336580330000004</v>
      </c>
      <c r="I97" s="953">
        <f>Interims!BA63</f>
        <v>39.462188670000003</v>
      </c>
      <c r="J97" s="953">
        <f>Interims!BB63</f>
        <v>40.000788719999981</v>
      </c>
      <c r="K97" s="953">
        <f>Interims!BD63</f>
        <v>40.799999999999997</v>
      </c>
      <c r="L97" s="953">
        <f>Interims!BE63</f>
        <v>41.017910769999986</v>
      </c>
      <c r="M97" s="953">
        <f>Interims!BF63</f>
        <v>42.455206420000032</v>
      </c>
      <c r="N97" s="953">
        <f>Interims!BG63</f>
        <v>43.857880809999976</v>
      </c>
      <c r="O97" s="953">
        <f>Interims!BI63</f>
        <v>45</v>
      </c>
      <c r="P97" s="953">
        <f>Interims!BJ63</f>
        <v>46</v>
      </c>
      <c r="Q97" s="953">
        <f>Interims!BK63</f>
        <v>47.5</v>
      </c>
    </row>
    <row r="98" spans="2:17">
      <c r="B98" t="str">
        <f>Interims!B64</f>
        <v>B2B</v>
      </c>
      <c r="C98" s="953">
        <f>Interims!AT64</f>
        <v>18.680568119999997</v>
      </c>
      <c r="D98" s="953">
        <f>Interims!AU64</f>
        <v>15.05306946</v>
      </c>
      <c r="E98" s="953">
        <f>Interims!AV64</f>
        <v>13.409018740000008</v>
      </c>
      <c r="F98" s="953">
        <f>Interims!AW64</f>
        <v>3.1987176899999903</v>
      </c>
      <c r="G98" s="953">
        <f>Interims!AY64</f>
        <v>10.4278718</v>
      </c>
      <c r="H98" s="953">
        <f>Interims!AZ64</f>
        <v>11.436752669999999</v>
      </c>
      <c r="I98" s="953">
        <f>Interims!BA64</f>
        <v>11.189002300000004</v>
      </c>
      <c r="J98" s="953">
        <f>Interims!BB64</f>
        <v>12.320141900000003</v>
      </c>
      <c r="K98" s="953">
        <f>Interims!BD64</f>
        <v>11.4</v>
      </c>
      <c r="L98" s="953">
        <f>Interims!BE64</f>
        <v>11.601689829999998</v>
      </c>
      <c r="M98" s="953">
        <f>Interims!BF64</f>
        <v>10.90991373</v>
      </c>
      <c r="N98" s="953">
        <f>Interims!BG64</f>
        <v>10.831201150000009</v>
      </c>
      <c r="O98" s="953">
        <f>Interims!BI64</f>
        <v>11</v>
      </c>
      <c r="P98" s="953">
        <f>Interims!BJ64</f>
        <v>11.3</v>
      </c>
      <c r="Q98" s="953">
        <f>Interims!BK64</f>
        <v>11.6</v>
      </c>
    </row>
    <row r="99" spans="2:17">
      <c r="B99" t="str">
        <f>Interims!B65</f>
        <v>Other revenue</v>
      </c>
      <c r="C99" s="953">
        <f>Interims!AT65</f>
        <v>8.8970947585008062</v>
      </c>
      <c r="D99" s="953">
        <f>Interims!AU65</f>
        <v>9.5685351117040582</v>
      </c>
      <c r="E99" s="953">
        <f>Interims!AV65</f>
        <v>9.6846759595020337</v>
      </c>
      <c r="F99" s="953">
        <f>Interims!AW65</f>
        <v>15.253338380709467</v>
      </c>
      <c r="G99" s="953">
        <f>Interims!AY65</f>
        <v>10.358437927325255</v>
      </c>
      <c r="H99" s="953">
        <f>Interims!AZ65</f>
        <v>10.293509564462951</v>
      </c>
      <c r="I99" s="953">
        <f>Interims!BA65</f>
        <v>10.149688341489144</v>
      </c>
      <c r="J99" s="953">
        <f>Interims!BB65</f>
        <v>10.287589521241337</v>
      </c>
      <c r="K99" s="953">
        <f>Interims!BD65</f>
        <v>10.6</v>
      </c>
      <c r="L99" s="953">
        <f>Interims!BE65</f>
        <v>10.537117713968938</v>
      </c>
      <c r="M99" s="953">
        <f>Interims!BF65</f>
        <v>11.204113690690457</v>
      </c>
      <c r="N99" s="953">
        <f>Interims!BG65</f>
        <v>18.135148376187196</v>
      </c>
      <c r="O99" s="953">
        <f>Interims!BI65</f>
        <v>12.3</v>
      </c>
      <c r="P99" s="953">
        <f>Interims!BJ65</f>
        <v>12.3</v>
      </c>
      <c r="Q99" s="953">
        <f>Interims!BK65</f>
        <v>13.1</v>
      </c>
    </row>
    <row r="100" spans="2:17">
      <c r="B100" t="str">
        <f>Interims!B66</f>
        <v>Total revenue</v>
      </c>
      <c r="C100" s="953">
        <f>Interims!AT66</f>
        <v>120.31740826000001</v>
      </c>
      <c r="D100" s="953">
        <f>Interims!AU66</f>
        <v>116.89861353000001</v>
      </c>
      <c r="E100" s="953">
        <f>Interims!AV66</f>
        <v>114.62449000999999</v>
      </c>
      <c r="F100" s="953">
        <f>Interims!AW66</f>
        <v>111.00315124999999</v>
      </c>
      <c r="G100" s="953">
        <f>Interims!AY66</f>
        <v>111.44918919</v>
      </c>
      <c r="H100" s="953">
        <f>Interims!AZ66</f>
        <v>112.58421442000001</v>
      </c>
      <c r="I100" s="953">
        <f>Interims!BA66</f>
        <v>110.42555842000002</v>
      </c>
      <c r="J100" s="953">
        <f>Interims!BB66</f>
        <v>112.07723925999994</v>
      </c>
      <c r="K100" s="953">
        <f>Interims!BD66</f>
        <v>110.8</v>
      </c>
      <c r="L100" s="953">
        <f>Interims!BE66</f>
        <v>110.40893118999998</v>
      </c>
      <c r="M100" s="953">
        <f>Interims!BF66</f>
        <v>111.38130171000002</v>
      </c>
      <c r="N100" s="953">
        <f>Interims!BG66</f>
        <v>119.47097866000001</v>
      </c>
      <c r="O100" s="953">
        <f>Interims!BI66</f>
        <v>112.3</v>
      </c>
      <c r="P100" s="953">
        <f>Interims!BJ66</f>
        <v>110.39999999999999</v>
      </c>
      <c r="Q100" s="953">
        <f>Interims!BK66</f>
        <v>102.39999999999999</v>
      </c>
    </row>
    <row r="102" spans="2:17">
      <c r="C102" t="str">
        <f>C95</f>
        <v>1Q21</v>
      </c>
      <c r="D102" t="str">
        <f t="shared" ref="D102:P102" si="8">D95</f>
        <v>2Q21</v>
      </c>
      <c r="E102" t="str">
        <f t="shared" si="8"/>
        <v>3Q21</v>
      </c>
      <c r="F102" t="str">
        <f t="shared" si="8"/>
        <v>4Q21</v>
      </c>
      <c r="G102" t="str">
        <f t="shared" si="8"/>
        <v>1Q22</v>
      </c>
      <c r="H102" t="str">
        <f t="shared" si="8"/>
        <v>2Q22</v>
      </c>
      <c r="I102" t="str">
        <f t="shared" si="8"/>
        <v>3Q22</v>
      </c>
      <c r="J102" t="str">
        <f t="shared" si="8"/>
        <v>4Q22</v>
      </c>
      <c r="K102" t="str">
        <f t="shared" si="8"/>
        <v>1Q23</v>
      </c>
      <c r="L102" t="str">
        <f t="shared" si="8"/>
        <v>2Q23</v>
      </c>
      <c r="M102" t="str">
        <f t="shared" si="8"/>
        <v>3Q23</v>
      </c>
      <c r="N102" t="str">
        <f t="shared" si="8"/>
        <v>4Q23</v>
      </c>
      <c r="O102" t="str">
        <f t="shared" si="8"/>
        <v>1Q24</v>
      </c>
      <c r="P102" t="str">
        <f t="shared" si="8"/>
        <v>2Q24</v>
      </c>
      <c r="Q102" t="str">
        <f t="shared" ref="Q102" si="9">Q95</f>
        <v>3Q24</v>
      </c>
    </row>
    <row r="103" spans="2:17">
      <c r="B103" t="str">
        <f>B96</f>
        <v>TV</v>
      </c>
      <c r="C103" s="962">
        <v>-2.7512137707812245E-2</v>
      </c>
      <c r="D103" s="962">
        <v>-2.6642896053087672E-2</v>
      </c>
      <c r="E103" s="962">
        <v>-3.4112705866790494E-2</v>
      </c>
      <c r="F103" s="962">
        <v>1.9762137504073296E-2</v>
      </c>
      <c r="G103" s="955">
        <f>Interims!DU62</f>
        <v>-6.3551911471623312E-2</v>
      </c>
      <c r="H103" s="955">
        <f>Interims!DV62</f>
        <v>-5.8498720387128222E-2</v>
      </c>
      <c r="I103" s="955">
        <f>Interims!DW62</f>
        <v>-8.025662700318803E-2</v>
      </c>
      <c r="J103" s="955">
        <f>Interims!DX62</f>
        <v>-8.5992282818302956E-2</v>
      </c>
      <c r="K103" s="955">
        <f>Interims!DZ62</f>
        <v>-7.5486775804979533E-2</v>
      </c>
      <c r="L103" s="955">
        <f>Interims!EA62</f>
        <v>-8.2790694204397441E-2</v>
      </c>
      <c r="M103" s="955">
        <f>Interims!EB62</f>
        <v>-5.6677671064657376E-2</v>
      </c>
      <c r="N103" s="955">
        <f>Interims!EC62</f>
        <v>-5.7045560208889845E-2</v>
      </c>
      <c r="O103" s="955">
        <f>Interims!EE62</f>
        <v>-8.333333333333337E-2</v>
      </c>
      <c r="P103" s="955">
        <f>Interims!EF62</f>
        <v>-0.1365483748445564</v>
      </c>
      <c r="Q103" s="955">
        <f>Interims!EG62</f>
        <v>-0.3548672089361079</v>
      </c>
    </row>
    <row r="104" spans="2:17">
      <c r="B104" t="str">
        <f>B97</f>
        <v>Internet &amp; Telephony</v>
      </c>
      <c r="C104" s="962">
        <v>4.5683256115179427E-2</v>
      </c>
      <c r="D104" s="962">
        <v>3.1926578632625047E-2</v>
      </c>
      <c r="E104" s="962">
        <v>2.6098303610264884E-2</v>
      </c>
      <c r="F104" s="962">
        <v>4.4846258438491438E-2</v>
      </c>
      <c r="G104" s="955">
        <f>Interims!DU63</f>
        <v>3.8786558714047237E-2</v>
      </c>
      <c r="H104" s="955">
        <f>Interims!DV63</f>
        <v>4.733645870401082E-2</v>
      </c>
      <c r="I104" s="955">
        <f>Interims!DW63</f>
        <v>5.020008714953117E-2</v>
      </c>
      <c r="J104" s="955">
        <f>Interims!DX63</f>
        <v>4.0922045056260847E-2</v>
      </c>
      <c r="K104" s="955">
        <f>Interims!DZ63</f>
        <v>5.3075376046654243E-2</v>
      </c>
      <c r="L104" s="955">
        <f>Interims!EA63</f>
        <v>4.2742160754571712E-2</v>
      </c>
      <c r="M104" s="955">
        <f>Interims!EB63</f>
        <v>7.5845204000947408E-2</v>
      </c>
      <c r="N104" s="955">
        <f>Interims!EC63</f>
        <v>9.642540093394425E-2</v>
      </c>
      <c r="O104" s="955">
        <f>Interims!EE63</f>
        <v>0.10294117647058831</v>
      </c>
      <c r="P104" s="955">
        <f>Interims!EF63</f>
        <v>0.12146131132655968</v>
      </c>
      <c r="Q104" s="955">
        <f>Interims!EG63</f>
        <v>0.11882626432416643</v>
      </c>
    </row>
    <row r="105" spans="2:17">
      <c r="B105" t="str">
        <f>B98</f>
        <v>B2B</v>
      </c>
      <c r="C105" s="955">
        <f>Interims!DP64</f>
        <v>0</v>
      </c>
      <c r="D105" s="955">
        <f>Interims!DQ64</f>
        <v>0</v>
      </c>
      <c r="E105" s="955">
        <f>Interims!DR64</f>
        <v>0</v>
      </c>
      <c r="F105" s="955">
        <f>Interims!DS64</f>
        <v>0</v>
      </c>
      <c r="G105" s="955">
        <f>Interims!DU64</f>
        <v>-0.44177972891329809</v>
      </c>
      <c r="H105" s="955">
        <f>Interims!DV64</f>
        <v>-0.24023783319471914</v>
      </c>
      <c r="I105" s="955">
        <f>Interims!DW64</f>
        <v>-0.16556143913629895</v>
      </c>
      <c r="J105" s="955">
        <f>Interims!DX64</f>
        <v>2.8515877592186136</v>
      </c>
      <c r="K105" s="955">
        <f>Interims!DZ64</f>
        <v>9.3224026785599712E-2</v>
      </c>
      <c r="L105" s="955">
        <f>Interims!EA64</f>
        <v>1.442167761769042E-2</v>
      </c>
      <c r="M105" s="955">
        <f>Interims!EB64</f>
        <v>-2.4943114901317398E-2</v>
      </c>
      <c r="N105" s="955">
        <f>Interims!EC64</f>
        <v>-0.12085418837586548</v>
      </c>
      <c r="O105" s="955">
        <f>Interims!EE64</f>
        <v>-3.5087719298245612E-2</v>
      </c>
      <c r="P105" s="955">
        <f>Interims!EF64</f>
        <v>-2.6003955839250081E-2</v>
      </c>
      <c r="Q105" s="955">
        <f>Interims!EG64</f>
        <v>6.3253137199646758E-2</v>
      </c>
    </row>
    <row r="106" spans="2:17">
      <c r="B106" t="str">
        <f>B99</f>
        <v>Other revenue</v>
      </c>
      <c r="C106" s="955">
        <f>Interims!DP65</f>
        <v>-0.23300907254303393</v>
      </c>
      <c r="D106" s="955">
        <f>Interims!DQ65</f>
        <v>-0.22207031612162131</v>
      </c>
      <c r="E106" s="955">
        <f>Interims!DR65</f>
        <v>-1.1767759234486475E-2</v>
      </c>
      <c r="F106" s="955">
        <f>Interims!DS65</f>
        <v>0.34985295404508543</v>
      </c>
      <c r="G106" s="955">
        <f>Interims!DU65</f>
        <v>0.16424947789031874</v>
      </c>
      <c r="H106" s="955">
        <f>Interims!DV65</f>
        <v>7.5766503889620251E-2</v>
      </c>
      <c r="I106" s="955">
        <f>Interims!DW65</f>
        <v>4.8015275258731505E-2</v>
      </c>
      <c r="J106" s="955">
        <f>Interims!DX65</f>
        <v>-0.3255516094593558</v>
      </c>
      <c r="K106" s="955">
        <f>Interims!DZ65</f>
        <v>2.3320318601080858E-2</v>
      </c>
      <c r="L106" s="955">
        <f>Interims!EA65</f>
        <v>2.3666189648962277E-2</v>
      </c>
      <c r="M106" s="955">
        <f>Interims!EB65</f>
        <v>0.10388746075001265</v>
      </c>
      <c r="N106" s="955">
        <f>Interims!EC65</f>
        <v>0.76281803805863224</v>
      </c>
      <c r="O106" s="955">
        <f>Interims!EE65</f>
        <v>0.16037735849056611</v>
      </c>
      <c r="P106" s="955">
        <f>Interims!EF65</f>
        <v>0.16730213459550036</v>
      </c>
      <c r="Q106" s="955">
        <f>Interims!EG65</f>
        <v>0.16921341229202636</v>
      </c>
    </row>
    <row r="107" spans="2:17">
      <c r="B107" t="s">
        <v>7</v>
      </c>
      <c r="C107" s="962">
        <v>1.5824682846180549E-2</v>
      </c>
      <c r="D107" s="962">
        <v>-2.543005607628035E-2</v>
      </c>
      <c r="E107" s="962">
        <v>-4.5756818795571474E-2</v>
      </c>
      <c r="F107" s="962">
        <v>-3.2875064444062518E-2</v>
      </c>
      <c r="G107" s="955">
        <f>Interims!DU66</f>
        <v>-7.3706865849671788E-2</v>
      </c>
      <c r="H107" s="955">
        <f>Interims!DV66</f>
        <v>-3.6907188030017024E-2</v>
      </c>
      <c r="I107" s="955">
        <f>Interims!DW66</f>
        <v>-3.6632063441535467E-2</v>
      </c>
      <c r="J107" s="955">
        <f>Interims!DX66</f>
        <v>9.6761938549014825E-3</v>
      </c>
      <c r="K107" s="955">
        <f>Interims!DZ66</f>
        <v>-5.8249790305181515E-3</v>
      </c>
      <c r="L107" s="955">
        <f>Interims!EA66</f>
        <v>-1.9321387471649021E-2</v>
      </c>
      <c r="M107" s="955">
        <f>Interims!EB66</f>
        <v>8.6550913001939289E-3</v>
      </c>
      <c r="N107" s="955">
        <f>Interims!EC66</f>
        <v>1.2435525796337998E-2</v>
      </c>
      <c r="O107" s="955">
        <f>Interims!EE66</f>
        <v>1.3537906137184086E-2</v>
      </c>
      <c r="P107" s="955">
        <f>Interims!EF66</f>
        <v>-8.0891916113379203E-5</v>
      </c>
      <c r="Q107" s="955">
        <f>Interims!EG66</f>
        <v>-8.0635632481512509E-2</v>
      </c>
    </row>
    <row r="128" spans="3:16">
      <c r="C128" t="str">
        <f>C102</f>
        <v>1Q21</v>
      </c>
      <c r="D128" t="str">
        <f t="shared" ref="D128:P128" si="10">D102</f>
        <v>2Q21</v>
      </c>
      <c r="E128" t="str">
        <f t="shared" si="10"/>
        <v>3Q21</v>
      </c>
      <c r="F128" t="str">
        <f t="shared" si="10"/>
        <v>4Q21</v>
      </c>
      <c r="G128" t="str">
        <f t="shared" si="10"/>
        <v>1Q22</v>
      </c>
      <c r="H128" t="str">
        <f t="shared" si="10"/>
        <v>2Q22</v>
      </c>
      <c r="I128" t="str">
        <f t="shared" si="10"/>
        <v>3Q22</v>
      </c>
      <c r="J128" t="str">
        <f t="shared" si="10"/>
        <v>4Q22</v>
      </c>
      <c r="K128" t="str">
        <f t="shared" si="10"/>
        <v>1Q23</v>
      </c>
      <c r="L128" t="str">
        <f t="shared" si="10"/>
        <v>2Q23</v>
      </c>
      <c r="M128" t="str">
        <f t="shared" si="10"/>
        <v>3Q23</v>
      </c>
      <c r="N128" t="str">
        <f t="shared" si="10"/>
        <v>4Q23</v>
      </c>
      <c r="O128" t="str">
        <f t="shared" si="10"/>
        <v>1Q24</v>
      </c>
      <c r="P128" t="str">
        <f t="shared" si="10"/>
        <v>2Q24</v>
      </c>
    </row>
    <row r="129" spans="2:15">
      <c r="B129" t="str">
        <f>Interims!B89</f>
        <v>TV</v>
      </c>
      <c r="C129" s="953">
        <f>Interims!AT89</f>
        <v>33.700000000000003</v>
      </c>
      <c r="D129" s="953">
        <f>Interims!AU89</f>
        <v>32.203999999999994</v>
      </c>
      <c r="E129" s="953">
        <f>Interims!AV89</f>
        <v>33.319000000000003</v>
      </c>
      <c r="F129" s="953">
        <f>Interims!AW89</f>
        <v>35.304999999999993</v>
      </c>
      <c r="G129" s="953">
        <f>Interims!AY89</f>
        <v>30.58</v>
      </c>
      <c r="H129" s="953">
        <f>Interims!AZ89</f>
        <v>30.064</v>
      </c>
      <c r="I129" s="953">
        <f>Interims!BA89</f>
        <v>30.809999999999995</v>
      </c>
      <c r="J129" s="953">
        <f>Interims!BB89</f>
        <v>28.546000000000006</v>
      </c>
      <c r="K129" s="953"/>
      <c r="L129" s="953"/>
      <c r="M129" s="953"/>
      <c r="N129" s="953"/>
      <c r="O129" s="953"/>
    </row>
    <row r="130" spans="2:15">
      <c r="B130" t="str">
        <f>Interims!B90</f>
        <v>Internet &amp; Telephony</v>
      </c>
      <c r="C130" s="953">
        <f>Interims!AT90</f>
        <v>30.67</v>
      </c>
      <c r="D130" s="953">
        <f>Interims!AU90</f>
        <v>29.617999999999995</v>
      </c>
      <c r="E130" s="953">
        <f>Interims!AV90</f>
        <v>31.555999999999997</v>
      </c>
      <c r="F130" s="953">
        <f>Interims!AW90</f>
        <v>31.117000000000004</v>
      </c>
      <c r="G130" s="953">
        <f>Interims!AY90</f>
        <v>30.097999999999999</v>
      </c>
      <c r="H130" s="953">
        <f>Interims!AZ90</f>
        <v>29.889000000000003</v>
      </c>
      <c r="I130" s="953">
        <f>Interims!BA90</f>
        <v>29.258000000000003</v>
      </c>
      <c r="J130" s="953">
        <f>Interims!BB90</f>
        <v>27.114999999999995</v>
      </c>
      <c r="K130" s="953"/>
      <c r="L130" s="953"/>
      <c r="M130" s="953"/>
      <c r="N130" s="953"/>
      <c r="O130" s="953"/>
    </row>
    <row r="131" spans="2:15">
      <c r="B131" t="str">
        <f>Interims!B91</f>
        <v>Other</v>
      </c>
      <c r="C131" s="953">
        <f>Interims!AT91</f>
        <v>-2.3420000000000059</v>
      </c>
      <c r="D131" s="953">
        <f>Interims!AU91</f>
        <v>-4.4799999999999827</v>
      </c>
      <c r="E131" s="953">
        <f>Interims!AV91</f>
        <v>-6.5970000000000155</v>
      </c>
      <c r="F131" s="953">
        <f>Interims!AW91</f>
        <v>-17.616999999999997</v>
      </c>
      <c r="G131" s="953">
        <f>Interims!AY91</f>
        <v>-11.711</v>
      </c>
      <c r="H131" s="953">
        <f>Interims!AZ91</f>
        <v>-11.383000000000001</v>
      </c>
      <c r="I131" s="953">
        <f>Interims!BA91</f>
        <v>-11.722</v>
      </c>
      <c r="J131" s="953">
        <f>Interims!BB91</f>
        <v>-19.983999999999995</v>
      </c>
      <c r="K131" s="953"/>
      <c r="L131" s="953"/>
      <c r="M131" s="953"/>
      <c r="N131" s="953"/>
      <c r="O131" s="953"/>
    </row>
    <row r="132" spans="2:15">
      <c r="B132" t="str">
        <f>Interims!B92</f>
        <v>Normalised EBITDA</v>
      </c>
      <c r="C132" s="953">
        <f>Interims!AT92</f>
        <v>62.027999999999999</v>
      </c>
      <c r="D132" s="953">
        <f>Interims!AU92</f>
        <v>57.342000000000006</v>
      </c>
      <c r="E132" s="953">
        <f>Interims!AV92</f>
        <v>58.277999999999984</v>
      </c>
      <c r="F132" s="953">
        <f>Interims!AW92</f>
        <v>48.805</v>
      </c>
      <c r="G132" s="953">
        <f>Interims!AY92</f>
        <v>48.966999999999999</v>
      </c>
      <c r="H132" s="953">
        <f>Interims!AZ92</f>
        <v>48.57</v>
      </c>
      <c r="I132" s="953">
        <f>Interims!BA92</f>
        <v>48.345999999999997</v>
      </c>
      <c r="J132" s="953">
        <f>Interims!BB92</f>
        <v>35.677000000000007</v>
      </c>
      <c r="K132" s="953"/>
      <c r="L132" s="953"/>
      <c r="M132" s="953"/>
      <c r="N132" s="953"/>
      <c r="O132" s="953"/>
    </row>
    <row r="134" spans="2:15">
      <c r="G134" t="str">
        <f>G128</f>
        <v>1Q22</v>
      </c>
      <c r="H134" t="str">
        <f>H128</f>
        <v>2Q22</v>
      </c>
      <c r="I134" t="str">
        <f>I128</f>
        <v>3Q22</v>
      </c>
      <c r="J134" t="str">
        <f>J128</f>
        <v>4Q22</v>
      </c>
    </row>
    <row r="135" spans="2:15">
      <c r="C135" s="956"/>
      <c r="D135" s="956"/>
      <c r="E135" s="956"/>
      <c r="F135" t="str">
        <f>B129</f>
        <v>TV</v>
      </c>
      <c r="G135" s="956">
        <f>Interims!DU89</f>
        <v>-9.2581602373887351E-2</v>
      </c>
      <c r="H135" s="956">
        <f>Interims!DV89</f>
        <v>-6.6451372500310302E-2</v>
      </c>
      <c r="I135" s="956">
        <f>Interims!DW89</f>
        <v>-7.5302380023410276E-2</v>
      </c>
      <c r="J135" s="956">
        <f>Interims!DX89</f>
        <v>-0.19144597082566173</v>
      </c>
    </row>
    <row r="136" spans="2:15">
      <c r="C136" s="956"/>
      <c r="D136" s="956"/>
      <c r="E136" s="956"/>
      <c r="F136" t="str">
        <f>B130</f>
        <v>Internet &amp; Telephony</v>
      </c>
      <c r="G136" s="956">
        <f>Interims!DU90</f>
        <v>-1.8650146723182326E-2</v>
      </c>
      <c r="H136" s="956">
        <f>Interims!DV90</f>
        <v>9.1498413127155676E-3</v>
      </c>
      <c r="I136" s="956">
        <f>Interims!DW90</f>
        <v>-7.2822917987070412E-2</v>
      </c>
      <c r="J136" s="956">
        <f>Interims!DX90</f>
        <v>-0.12861136999068068</v>
      </c>
    </row>
    <row r="137" spans="2:15">
      <c r="C137" s="956"/>
      <c r="D137" s="956"/>
      <c r="E137" s="956"/>
      <c r="F137" t="str">
        <f>B131</f>
        <v>Other</v>
      </c>
      <c r="G137" s="956">
        <f>Interims!DU91</f>
        <v>4.0004269854824814</v>
      </c>
      <c r="H137" s="956">
        <f>Interims!DV91</f>
        <v>1.5408482142857243</v>
      </c>
      <c r="I137" s="956">
        <f>Interims!DW91</f>
        <v>0.77686827345762799</v>
      </c>
      <c r="J137" s="956">
        <f>Interims!DX91</f>
        <v>0.13435885792132596</v>
      </c>
    </row>
    <row r="138" spans="2:15">
      <c r="C138" s="956"/>
      <c r="D138" s="956"/>
      <c r="E138" s="956"/>
      <c r="F138" t="str">
        <f>B132</f>
        <v>Normalised EBITDA</v>
      </c>
      <c r="G138" s="956">
        <f>Interims!DU92</f>
        <v>-0.21056619591152381</v>
      </c>
      <c r="H138" s="956">
        <f>Interims!DV92</f>
        <v>-0.15297687558857387</v>
      </c>
      <c r="I138" s="956">
        <f>Interims!DW92</f>
        <v>-0.17042451697038319</v>
      </c>
      <c r="J138" s="956">
        <f>Interims!DX92</f>
        <v>-0.26898883311136135</v>
      </c>
    </row>
    <row r="139" spans="2:15">
      <c r="C139" s="956"/>
      <c r="D139" s="956"/>
      <c r="E139" s="956"/>
      <c r="G139" s="956"/>
      <c r="H139" s="956"/>
      <c r="I139" s="956"/>
      <c r="J139" s="956"/>
    </row>
    <row r="140" spans="2:15">
      <c r="C140" s="956"/>
      <c r="D140" s="956"/>
      <c r="E140" s="956"/>
      <c r="G140" s="956"/>
      <c r="H140" s="956"/>
      <c r="I140" s="956"/>
      <c r="J140" s="956"/>
    </row>
    <row r="141" spans="2:15">
      <c r="B141" t="str">
        <f>B129</f>
        <v>TV</v>
      </c>
      <c r="C141" s="956">
        <f>Interims!AT89/Interims!AT62</f>
        <v>0.60783471296834479</v>
      </c>
      <c r="D141" s="956">
        <f>Interims!AU89/Interims!AU62</f>
        <v>0.58854142042950763</v>
      </c>
      <c r="E141" s="956">
        <f>Interims!AV89/Interims!AV62</f>
        <v>0.61753405755776514</v>
      </c>
      <c r="F141" s="956">
        <f>Interims!AW89/Interims!AW62</f>
        <v>0.65231206770549521</v>
      </c>
      <c r="G141" s="956">
        <f>Interims!AY89/Interims!AY62</f>
        <v>0.58899196658091091</v>
      </c>
      <c r="H141" s="956">
        <f>Interims!AZ89/Interims!AZ62</f>
        <v>0.58357014182136968</v>
      </c>
      <c r="I141" s="956">
        <f>Interims!BA89/Interims!BA62</f>
        <v>0.620860437860563</v>
      </c>
      <c r="J141" s="956">
        <f>Interims!BB89/Interims!BB62</f>
        <v>0.57705152889586975</v>
      </c>
      <c r="K141" s="956"/>
    </row>
    <row r="142" spans="2:15">
      <c r="B142" t="str">
        <f>B130</f>
        <v>Internet &amp; Telephony</v>
      </c>
      <c r="C142" s="956">
        <f>Interims!AT90/Interims!AT63</f>
        <v>0.82231723392859468</v>
      </c>
      <c r="D142" s="956">
        <f>Interims!AU90/Interims!AU63</f>
        <v>0.78857925558511266</v>
      </c>
      <c r="E142" s="956">
        <f>Interims!AV90/Interims!AV63</f>
        <v>0.8397941185478246</v>
      </c>
      <c r="F142" s="956">
        <f>Interims!AW90/Interims!AW63</f>
        <v>0.80974331538169952</v>
      </c>
      <c r="G142" s="956">
        <f>Interims!AY90/Interims!AY63</f>
        <v>0.77684957520225983</v>
      </c>
      <c r="H142" s="956">
        <f>Interims!AZ90/Interims!AZ63</f>
        <v>0.75982710620132854</v>
      </c>
      <c r="I142" s="956">
        <f>Interims!BA90/Interims!BA63</f>
        <v>0.74141858285327589</v>
      </c>
      <c r="J142" s="956">
        <f>Interims!BB90/Interims!BB63</f>
        <v>0.67786163392430243</v>
      </c>
      <c r="K142" s="956"/>
    </row>
    <row r="143" spans="2:15">
      <c r="C143" s="956"/>
      <c r="D143" s="956"/>
      <c r="E143" s="956"/>
      <c r="G143" s="956">
        <f t="shared" ref="G143:J144" si="11">G141-C141</f>
        <v>-1.8842746387433884E-2</v>
      </c>
      <c r="H143" s="956">
        <f t="shared" si="11"/>
        <v>-4.9712786081379523E-3</v>
      </c>
      <c r="I143" s="956">
        <f t="shared" si="11"/>
        <v>3.32638030279786E-3</v>
      </c>
      <c r="J143" s="956">
        <f t="shared" si="11"/>
        <v>-7.5260538809625466E-2</v>
      </c>
    </row>
    <row r="144" spans="2:15">
      <c r="C144" s="956"/>
      <c r="D144" s="956"/>
      <c r="E144" s="956"/>
      <c r="G144" s="956">
        <f t="shared" si="11"/>
        <v>-4.5467658726334848E-2</v>
      </c>
      <c r="H144" s="956">
        <f t="shared" si="11"/>
        <v>-2.875214938378412E-2</v>
      </c>
      <c r="I144" s="956">
        <f t="shared" si="11"/>
        <v>-9.837553569454871E-2</v>
      </c>
      <c r="J144" s="956">
        <f t="shared" si="11"/>
        <v>-0.13188168145739709</v>
      </c>
    </row>
    <row r="145" spans="3:10">
      <c r="C145" s="956"/>
      <c r="D145" s="956"/>
      <c r="E145" s="956"/>
      <c r="G145" s="956"/>
      <c r="H145" s="956"/>
      <c r="I145" s="956"/>
      <c r="J145" s="956"/>
    </row>
    <row r="167" spans="2:16">
      <c r="C167" t="str">
        <f>C128</f>
        <v>1Q21</v>
      </c>
      <c r="D167" t="str">
        <f t="shared" ref="D167:J167" si="12">D128</f>
        <v>2Q21</v>
      </c>
      <c r="E167" t="str">
        <f t="shared" si="12"/>
        <v>3Q21</v>
      </c>
      <c r="F167" t="str">
        <f t="shared" si="12"/>
        <v>4Q21</v>
      </c>
      <c r="G167" t="str">
        <f t="shared" si="12"/>
        <v>1Q22</v>
      </c>
      <c r="H167" t="str">
        <f t="shared" si="12"/>
        <v>2Q22</v>
      </c>
      <c r="I167" t="str">
        <f t="shared" si="12"/>
        <v>3Q22</v>
      </c>
      <c r="J167" t="str">
        <f t="shared" si="12"/>
        <v>4Q22</v>
      </c>
      <c r="K167" t="str">
        <f>K128</f>
        <v>1Q23</v>
      </c>
      <c r="L167" t="str">
        <f>L128</f>
        <v>2Q23</v>
      </c>
      <c r="M167" t="str">
        <f>M128</f>
        <v>3Q23</v>
      </c>
      <c r="N167" t="str">
        <f>N128</f>
        <v>4Q23</v>
      </c>
      <c r="O167" t="str">
        <f t="shared" ref="O167:P167" si="13">O128</f>
        <v>1Q24</v>
      </c>
      <c r="P167" t="str">
        <f t="shared" si="13"/>
        <v>2Q24</v>
      </c>
    </row>
    <row r="168" spans="2:16">
      <c r="B168" t="str">
        <f>Interims!B92</f>
        <v>Normalised EBITDA</v>
      </c>
      <c r="C168" s="155">
        <f>Interims!AT92</f>
        <v>62.027999999999999</v>
      </c>
      <c r="D168" s="155">
        <f>Interims!AU92</f>
        <v>57.342000000000006</v>
      </c>
      <c r="E168" s="155">
        <f>Interims!AV92</f>
        <v>58.277999999999984</v>
      </c>
      <c r="F168" s="155">
        <f>Interims!AW92</f>
        <v>48.805</v>
      </c>
      <c r="G168" s="155">
        <f>Interims!AY92</f>
        <v>48.966999999999999</v>
      </c>
      <c r="H168" s="155">
        <f>Interims!AZ92</f>
        <v>48.57</v>
      </c>
      <c r="I168" s="155">
        <f>Interims!BA92</f>
        <v>48.345999999999997</v>
      </c>
      <c r="J168" s="155">
        <f>Interims!BB92</f>
        <v>35.677000000000007</v>
      </c>
      <c r="K168" s="155">
        <f>Interims!BD86</f>
        <v>44.160000000000004</v>
      </c>
      <c r="L168" s="155">
        <f>Interims!BE86</f>
        <v>48.670860909999988</v>
      </c>
      <c r="M168" s="155">
        <f>Interims!BF86</f>
        <v>48.622492620000024</v>
      </c>
      <c r="N168" s="155">
        <f>Interims!BG86</f>
        <v>51.6</v>
      </c>
      <c r="O168" s="155">
        <f>Interims!BI86</f>
        <v>47.9</v>
      </c>
    </row>
    <row r="169" spans="2:16">
      <c r="B169" t="str">
        <f>Interims!B95</f>
        <v>Non-recurring items</v>
      </c>
      <c r="C169" s="155">
        <f>Interims!AT95</f>
        <v>-13.729999999999997</v>
      </c>
      <c r="D169" s="155">
        <f>Interims!AU95</f>
        <v>-2.6130000000000067</v>
      </c>
      <c r="E169" s="155">
        <f>Interims!AV95</f>
        <v>-5.4579999999999771</v>
      </c>
      <c r="F169" s="155">
        <f>Interims!AW95</f>
        <v>-2.2889999999999944</v>
      </c>
      <c r="G169" s="155">
        <f>Interims!AY95</f>
        <v>-1.6629999999999967</v>
      </c>
      <c r="H169" s="155">
        <f>Interims!AZ95</f>
        <v>-2.1180000000000021</v>
      </c>
      <c r="I169" s="155">
        <f>Interims!BA95</f>
        <v>-3.4010000000000034</v>
      </c>
      <c r="J169" s="155">
        <f>Interims!BB95</f>
        <v>-11.077999999999989</v>
      </c>
      <c r="K169" s="155">
        <f>Interims!BD95</f>
        <v>-3.159000000000006</v>
      </c>
      <c r="L169" s="155">
        <f>Interims!BE95</f>
        <v>-2.8940786100000011</v>
      </c>
      <c r="M169" s="155">
        <f>Interims!BF95</f>
        <v>-12.526047049999995</v>
      </c>
      <c r="N169" s="155">
        <f>Interims!BG95</f>
        <v>-31.1</v>
      </c>
      <c r="O169" s="155">
        <f>Interims!BI95</f>
        <v>-15.799999999999997</v>
      </c>
    </row>
    <row r="170" spans="2:16">
      <c r="B170" t="str">
        <f>Interims!B96</f>
        <v>Reported EBITDA</v>
      </c>
      <c r="C170" s="155">
        <f>Interims!AT96</f>
        <v>48.298000000000002</v>
      </c>
      <c r="D170" s="155">
        <f>Interims!AU96</f>
        <v>54.728999999999999</v>
      </c>
      <c r="E170" s="155">
        <f>Interims!AV96</f>
        <v>52.820000000000007</v>
      </c>
      <c r="F170" s="155">
        <f>Interims!AW96</f>
        <v>46.516000000000005</v>
      </c>
      <c r="G170" s="155">
        <f>Interims!AY96</f>
        <v>47.304000000000002</v>
      </c>
      <c r="H170" s="155">
        <f>Interims!AZ96</f>
        <v>46.451999999999998</v>
      </c>
      <c r="I170" s="155">
        <f>Interims!BA96</f>
        <v>44.944999999999993</v>
      </c>
      <c r="J170" s="155">
        <f>Interims!BB96</f>
        <v>24.599000000000018</v>
      </c>
      <c r="K170" s="155">
        <f>Interims!BD96</f>
        <v>41.000999999999998</v>
      </c>
      <c r="L170" s="155">
        <f>Interims!BE96</f>
        <v>45.776782299999986</v>
      </c>
      <c r="M170" s="155">
        <f>Interims!BF96</f>
        <v>36.096445570000029</v>
      </c>
      <c r="N170" s="155">
        <f>Interims!BG96</f>
        <v>20.5</v>
      </c>
      <c r="O170" s="155">
        <f>Interims!BI96</f>
        <v>32.1</v>
      </c>
    </row>
    <row r="171" spans="2:16">
      <c r="B171" t="s">
        <v>1185</v>
      </c>
      <c r="F171" s="954">
        <f>Interims!DS96</f>
        <v>-0.15748673271630631</v>
      </c>
      <c r="G171" s="954">
        <f>Interims!DU96</f>
        <v>-2.0580562342125908E-2</v>
      </c>
      <c r="H171" s="954">
        <f>Interims!DV96</f>
        <v>-0.15123609055528153</v>
      </c>
      <c r="I171" s="954">
        <f>Interims!DW96</f>
        <v>-0.14909125331313922</v>
      </c>
      <c r="J171" s="954">
        <f>Interims!DX96</f>
        <v>-0.47117120990626848</v>
      </c>
    </row>
    <row r="172" spans="2:16">
      <c r="B172" t="s">
        <v>611</v>
      </c>
      <c r="F172" s="954">
        <f>Interims!AW97</f>
        <v>0.41905116635145989</v>
      </c>
      <c r="G172" s="954">
        <f>Interims!AY97</f>
        <v>0.42444454144350519</v>
      </c>
      <c r="H172" s="954">
        <f>Interims!AZ97</f>
        <v>0.41259780724417472</v>
      </c>
      <c r="I172" s="954">
        <f>Interims!BA97</f>
        <v>0.40701627995443906</v>
      </c>
      <c r="J172" s="954">
        <f>Interims!BB97</f>
        <v>0.21948256543805977</v>
      </c>
    </row>
    <row r="194" spans="2:10">
      <c r="C194" t="str">
        <f t="shared" ref="C194:J194" si="14">C128</f>
        <v>1Q21</v>
      </c>
      <c r="D194" t="str">
        <f t="shared" si="14"/>
        <v>2Q21</v>
      </c>
      <c r="E194" t="str">
        <f t="shared" si="14"/>
        <v>3Q21</v>
      </c>
      <c r="F194" t="str">
        <f t="shared" si="14"/>
        <v>4Q21</v>
      </c>
      <c r="G194" t="str">
        <f t="shared" si="14"/>
        <v>1Q22</v>
      </c>
      <c r="H194" t="str">
        <f t="shared" si="14"/>
        <v>2Q22</v>
      </c>
      <c r="I194" t="str">
        <f t="shared" si="14"/>
        <v>3Q22</v>
      </c>
      <c r="J194" t="str">
        <f t="shared" si="14"/>
        <v>4Q22</v>
      </c>
    </row>
    <row r="195" spans="2:10">
      <c r="B195" t="s">
        <v>27</v>
      </c>
      <c r="C195" s="953">
        <f>Interims!AT96</f>
        <v>48.298000000000002</v>
      </c>
      <c r="D195" s="953">
        <f>Interims!AU96</f>
        <v>54.728999999999999</v>
      </c>
      <c r="E195" s="953">
        <f>Interims!AV96</f>
        <v>52.820000000000007</v>
      </c>
      <c r="F195" s="953">
        <f>Interims!AW96</f>
        <v>46.516000000000005</v>
      </c>
      <c r="G195" s="953">
        <f>Interims!AY96</f>
        <v>47.304000000000002</v>
      </c>
      <c r="H195" s="953">
        <f>Interims!AZ96</f>
        <v>46.451999999999998</v>
      </c>
      <c r="I195" s="953">
        <f>Interims!BA96</f>
        <v>44.944999999999993</v>
      </c>
      <c r="J195" s="953">
        <f>Interims!BB96</f>
        <v>24.599000000000018</v>
      </c>
    </row>
    <row r="196" spans="2:10">
      <c r="B196" t="s">
        <v>1540</v>
      </c>
      <c r="C196" s="953">
        <f>Interims!AT131</f>
        <v>20.439</v>
      </c>
      <c r="D196" s="953">
        <f>Interims!AU131</f>
        <v>27.762999999999998</v>
      </c>
      <c r="E196" s="953">
        <f>Interims!AV131</f>
        <v>32.528000000000006</v>
      </c>
      <c r="F196" s="953">
        <f>Interims!AW131</f>
        <v>53.439000000000014</v>
      </c>
      <c r="G196" s="953">
        <f>Interims!AY131</f>
        <v>26.881</v>
      </c>
      <c r="H196" s="953">
        <f>Interims!AZ131</f>
        <v>44.837999999999994</v>
      </c>
      <c r="I196" s="953">
        <f>Interims!BA131</f>
        <v>53.212000000000003</v>
      </c>
      <c r="J196" s="953">
        <f>Interims!BB131</f>
        <v>49.94</v>
      </c>
    </row>
    <row r="197" spans="2:10">
      <c r="B197" t="s">
        <v>1542</v>
      </c>
      <c r="C197" s="953">
        <f>C195-C196</f>
        <v>27.859000000000002</v>
      </c>
      <c r="D197" s="953">
        <f t="shared" ref="D197:J197" si="15">D195-D196</f>
        <v>26.966000000000001</v>
      </c>
      <c r="E197" s="953">
        <f t="shared" si="15"/>
        <v>20.292000000000002</v>
      </c>
      <c r="F197" s="953">
        <f t="shared" si="15"/>
        <v>-6.9230000000000089</v>
      </c>
      <c r="G197" s="953">
        <f t="shared" si="15"/>
        <v>20.423000000000002</v>
      </c>
      <c r="H197" s="953">
        <f t="shared" si="15"/>
        <v>1.6140000000000043</v>
      </c>
      <c r="I197" s="953">
        <f t="shared" si="15"/>
        <v>-8.2670000000000101</v>
      </c>
      <c r="J197" s="953">
        <f t="shared" si="15"/>
        <v>-25.34099999999998</v>
      </c>
    </row>
    <row r="198" spans="2:10">
      <c r="B198" t="s">
        <v>1564</v>
      </c>
      <c r="C198" s="954">
        <f>Interims!AT132</f>
        <v>0.16987566716723423</v>
      </c>
      <c r="D198" s="954">
        <f>Interims!AU132</f>
        <v>0.23749640104050596</v>
      </c>
      <c r="E198" s="954">
        <f>Interims!AV132</f>
        <v>0.28377879803139994</v>
      </c>
      <c r="F198" s="954">
        <f>Interims!AW132</f>
        <v>0.48141876512717491</v>
      </c>
      <c r="G198" s="954">
        <f>Interims!AY132</f>
        <v>0.2411951149700419</v>
      </c>
      <c r="H198" s="954">
        <f>Interims!AZ132</f>
        <v>0.39826187206609626</v>
      </c>
      <c r="I198" s="954">
        <f>Interims!BA132</f>
        <v>0.48188119454746059</v>
      </c>
      <c r="J198" s="954">
        <f>Interims!BB132</f>
        <v>0.44558556518462927</v>
      </c>
    </row>
    <row r="220" spans="1:17" ht="13.15">
      <c r="A220" s="961"/>
      <c r="B220" s="960"/>
      <c r="C220" s="960"/>
      <c r="D220" s="960"/>
      <c r="E220" s="960"/>
      <c r="F220" s="960"/>
      <c r="G220" s="960"/>
      <c r="H220" s="960"/>
      <c r="I220" s="960"/>
      <c r="J220" s="960"/>
      <c r="L220" s="960"/>
      <c r="M220" s="946"/>
      <c r="N220" s="946"/>
      <c r="O220" s="946"/>
    </row>
    <row r="221" spans="1:17" ht="13.15">
      <c r="A221" s="961"/>
      <c r="B221" s="984" t="s">
        <v>1589</v>
      </c>
      <c r="C221" s="985" t="str">
        <f>C194</f>
        <v>1Q21</v>
      </c>
      <c r="D221" s="985" t="str">
        <f t="shared" ref="D221:J221" si="16">D194</f>
        <v>2Q21</v>
      </c>
      <c r="E221" s="985" t="str">
        <f t="shared" si="16"/>
        <v>3Q21</v>
      </c>
      <c r="F221" s="985" t="str">
        <f t="shared" si="16"/>
        <v>4Q21</v>
      </c>
      <c r="G221" s="985" t="str">
        <f t="shared" si="16"/>
        <v>1Q22</v>
      </c>
      <c r="H221" s="985" t="str">
        <f t="shared" si="16"/>
        <v>2Q22</v>
      </c>
      <c r="I221" s="985" t="str">
        <f t="shared" si="16"/>
        <v>3Q22</v>
      </c>
      <c r="J221" s="985" t="str">
        <f t="shared" si="16"/>
        <v>4Q22</v>
      </c>
      <c r="K221" s="985" t="str">
        <f>Interims!BD2</f>
        <v>Q1 23</v>
      </c>
      <c r="L221" s="985" t="str">
        <f>Interims!BE2</f>
        <v>Q2 23</v>
      </c>
      <c r="M221" s="985" t="str">
        <f>Interims!BF2</f>
        <v>Q3 23</v>
      </c>
      <c r="N221" s="985" t="str">
        <f>Interims!BG2</f>
        <v>Q4 23</v>
      </c>
      <c r="O221" s="985" t="str">
        <f>Interims!BI2</f>
        <v>Q1 24</v>
      </c>
      <c r="P221" s="985" t="str">
        <f>Interims!BJ2</f>
        <v>Q2 24</v>
      </c>
      <c r="Q221" s="985" t="str">
        <f>Interims!BK2</f>
        <v>Q3 24</v>
      </c>
    </row>
    <row r="222" spans="1:17" ht="13.15">
      <c r="A222" s="961"/>
      <c r="B222" s="947" t="s">
        <v>28</v>
      </c>
      <c r="C222" s="1318"/>
      <c r="D222" s="1318"/>
      <c r="E222" s="1318"/>
      <c r="F222" s="1318"/>
      <c r="G222" s="1318"/>
      <c r="H222" s="1318"/>
      <c r="I222" s="1318"/>
      <c r="J222" s="1318"/>
      <c r="K222" s="988">
        <f>Interims!BD86</f>
        <v>44.160000000000004</v>
      </c>
      <c r="L222" s="988">
        <f>Interims!BE86</f>
        <v>48.670860909999988</v>
      </c>
      <c r="M222" s="988">
        <f>Interims!BF86</f>
        <v>48.622492620000024</v>
      </c>
      <c r="N222" s="988">
        <f>Interims!BG86</f>
        <v>51.6</v>
      </c>
      <c r="O222" s="988">
        <f>Interims!BI86</f>
        <v>47.9</v>
      </c>
      <c r="P222" s="988">
        <f>Interims!BJ86</f>
        <v>45.1</v>
      </c>
      <c r="Q222" s="988">
        <f>Interims!BK86</f>
        <v>48.6</v>
      </c>
    </row>
    <row r="223" spans="1:17" ht="13.15">
      <c r="A223" s="961"/>
      <c r="B223" s="960" t="s">
        <v>2075</v>
      </c>
      <c r="C223" s="1318"/>
      <c r="D223" s="1318"/>
      <c r="E223" s="1318"/>
      <c r="F223" s="1318"/>
      <c r="G223" s="1318"/>
      <c r="H223" s="1318"/>
      <c r="I223" s="1318"/>
      <c r="J223" s="1318"/>
      <c r="K223" s="986">
        <f>K224-K222</f>
        <v>-3.159000000000006</v>
      </c>
      <c r="L223" s="986">
        <f t="shared" ref="L223:Q223" si="17">L224-L222</f>
        <v>-2.8940786100000011</v>
      </c>
      <c r="M223" s="986">
        <f t="shared" si="17"/>
        <v>-12.526047049999995</v>
      </c>
      <c r="N223" s="986">
        <f t="shared" si="17"/>
        <v>-31.1</v>
      </c>
      <c r="O223" s="986">
        <f t="shared" si="17"/>
        <v>-15.799999999999997</v>
      </c>
      <c r="P223" s="986">
        <f t="shared" si="17"/>
        <v>-10.100000000000001</v>
      </c>
      <c r="Q223" s="986">
        <f t="shared" si="17"/>
        <v>-10.300000000000004</v>
      </c>
    </row>
    <row r="224" spans="1:17" ht="13.15">
      <c r="A224" s="961"/>
      <c r="B224" s="947" t="str">
        <f>Interims!B138</f>
        <v>Reported EBITDA</v>
      </c>
      <c r="C224" s="988">
        <f>Interims!AT138</f>
        <v>48.298000000000002</v>
      </c>
      <c r="D224" s="988">
        <f>Interims!AU138</f>
        <v>54.728999999999999</v>
      </c>
      <c r="E224" s="988">
        <f>Interims!AV138</f>
        <v>52.820000000000007</v>
      </c>
      <c r="F224" s="988">
        <f>Interims!AW138</f>
        <v>46.516000000000005</v>
      </c>
      <c r="G224" s="988">
        <f>Interims!AY138</f>
        <v>47.304000000000002</v>
      </c>
      <c r="H224" s="988">
        <f>Interims!AZ138</f>
        <v>46.451999999999998</v>
      </c>
      <c r="I224" s="988">
        <f>Interims!BA138</f>
        <v>44.944999999999993</v>
      </c>
      <c r="J224" s="988">
        <f>Interims!BB138</f>
        <v>24.599000000000018</v>
      </c>
      <c r="K224" s="988">
        <f>Interims!BD138</f>
        <v>41.000999999999998</v>
      </c>
      <c r="L224" s="988">
        <f>Interims!BE138</f>
        <v>45.776782299999986</v>
      </c>
      <c r="M224" s="988">
        <f>Interims!BF138</f>
        <v>36.096445570000029</v>
      </c>
      <c r="N224" s="988">
        <f>Interims!BG138</f>
        <v>20.5</v>
      </c>
      <c r="O224" s="988">
        <f>Interims!BI138</f>
        <v>32.1</v>
      </c>
      <c r="P224" s="988">
        <f>Interims!BJ138</f>
        <v>35</v>
      </c>
      <c r="Q224" s="988">
        <f>Interims!BK138</f>
        <v>38.299999999999997</v>
      </c>
    </row>
    <row r="225" spans="1:22" ht="13.15">
      <c r="A225" s="961"/>
      <c r="B225" s="960" t="str">
        <f>Interims!B139</f>
        <v>Capex</v>
      </c>
      <c r="C225" s="986">
        <f>Interims!AT139</f>
        <v>-20.439</v>
      </c>
      <c r="D225" s="986">
        <f>Interims!AU139</f>
        <v>-27.762999999999998</v>
      </c>
      <c r="E225" s="986">
        <f>Interims!AV139</f>
        <v>-32.528000000000006</v>
      </c>
      <c r="F225" s="986">
        <f>Interims!AW139</f>
        <v>-53.439000000000014</v>
      </c>
      <c r="G225" s="986">
        <f>Interims!AY139</f>
        <v>-26.881</v>
      </c>
      <c r="H225" s="986">
        <f>Interims!AZ139</f>
        <v>-44.837999999999994</v>
      </c>
      <c r="I225" s="986">
        <f>Interims!BA139</f>
        <v>-53.212000000000003</v>
      </c>
      <c r="J225" s="986">
        <f>Interims!BB139</f>
        <v>-49.94</v>
      </c>
      <c r="K225" s="986">
        <f>Interims!BD139</f>
        <v>-43.558</v>
      </c>
      <c r="L225" s="986">
        <f>Interims!BE139</f>
        <v>-44.473000000000006</v>
      </c>
      <c r="M225" s="986">
        <f>Interims!BF139</f>
        <v>-41.894999999999982</v>
      </c>
      <c r="N225" s="986">
        <f>Interims!BG139</f>
        <v>-57.2</v>
      </c>
      <c r="O225" s="986">
        <f>Interims!BI139</f>
        <v>-46.3</v>
      </c>
      <c r="P225" s="986">
        <f>Interims!BJ139</f>
        <v>-52.3</v>
      </c>
      <c r="Q225" s="986">
        <f>Interims!BK139</f>
        <v>-50</v>
      </c>
    </row>
    <row r="226" spans="1:22" ht="13.15">
      <c r="A226" s="961"/>
      <c r="B226" s="948" t="str">
        <f>Interims!B140</f>
        <v>OpFCF</v>
      </c>
      <c r="C226" s="989">
        <f>Interims!AT140</f>
        <v>27.859000000000002</v>
      </c>
      <c r="D226" s="989">
        <f>Interims!AU140</f>
        <v>26.966000000000001</v>
      </c>
      <c r="E226" s="989">
        <f>Interims!AV140</f>
        <v>20.292000000000002</v>
      </c>
      <c r="F226" s="989">
        <f>Interims!AW140</f>
        <v>-6.9230000000000089</v>
      </c>
      <c r="G226" s="989">
        <f>Interims!AY140</f>
        <v>20.423000000000002</v>
      </c>
      <c r="H226" s="989">
        <f>Interims!AZ140</f>
        <v>1.6140000000000043</v>
      </c>
      <c r="I226" s="989">
        <f>Interims!BA140</f>
        <v>-8.2670000000000101</v>
      </c>
      <c r="J226" s="989">
        <f>Interims!BB140</f>
        <v>-25.34099999999998</v>
      </c>
      <c r="K226" s="989">
        <f>Interims!BD140</f>
        <v>-2.5570000000000022</v>
      </c>
      <c r="L226" s="989">
        <f>Interims!BE140</f>
        <v>1.3037822999999804</v>
      </c>
      <c r="M226" s="989">
        <f>Interims!BF140</f>
        <v>-5.7985544299999532</v>
      </c>
      <c r="N226" s="989">
        <f>Interims!BG140</f>
        <v>-36.700000000000003</v>
      </c>
      <c r="O226" s="989">
        <f>Interims!BI140</f>
        <v>-14.199999999999996</v>
      </c>
      <c r="P226" s="989">
        <f>Interims!BJ140</f>
        <v>-17.299999999999997</v>
      </c>
      <c r="Q226" s="989">
        <f>Interims!BK140</f>
        <v>-11.700000000000003</v>
      </c>
    </row>
    <row r="227" spans="1:22" ht="13.15">
      <c r="A227" s="961"/>
      <c r="B227" s="960"/>
      <c r="C227" s="990"/>
      <c r="D227" s="990"/>
      <c r="E227" s="990"/>
      <c r="F227" s="990"/>
      <c r="G227" s="990"/>
      <c r="H227" s="990"/>
      <c r="I227" s="990"/>
      <c r="J227" s="990"/>
      <c r="K227" s="990"/>
      <c r="L227" s="990"/>
      <c r="M227" s="990"/>
      <c r="N227" s="990"/>
      <c r="O227" s="990"/>
      <c r="P227" s="990"/>
      <c r="Q227" s="990"/>
    </row>
    <row r="228" spans="1:22" ht="13.15">
      <c r="A228" s="961"/>
      <c r="B228" s="947" t="s">
        <v>1388</v>
      </c>
      <c r="C228" s="988">
        <f>Interims!AT145</f>
        <v>5.5639999999999983</v>
      </c>
      <c r="D228" s="988">
        <f>Interims!AU145</f>
        <v>-26.859000000000002</v>
      </c>
      <c r="E228" s="988">
        <f>Interims!AV145</f>
        <v>7.5990000000000038</v>
      </c>
      <c r="F228" s="988">
        <f>Interims!AW145</f>
        <v>3.4109999999999996</v>
      </c>
      <c r="G228" s="988">
        <f>Interims!AY145</f>
        <v>-2.6030000000000015</v>
      </c>
      <c r="H228" s="988">
        <f>Interims!AZ145</f>
        <v>-2.1819999999999986</v>
      </c>
      <c r="I228" s="988">
        <f>Interims!BA145</f>
        <v>-3.2139999999999986</v>
      </c>
      <c r="J228" s="988">
        <f>Interims!BB145</f>
        <v>14.5</v>
      </c>
      <c r="K228" s="988">
        <f>Interims!BD145</f>
        <v>-25.329000000000001</v>
      </c>
      <c r="L228" s="988">
        <f>Interims!BE145</f>
        <v>15.226999999999999</v>
      </c>
      <c r="M228" s="988">
        <f>Interims!BF145</f>
        <v>-10.1</v>
      </c>
      <c r="N228" s="988">
        <f>Interims!BG145</f>
        <v>8</v>
      </c>
      <c r="O228" s="988">
        <f>Interims!BI145</f>
        <v>18.899999999999999</v>
      </c>
      <c r="P228" s="988">
        <f>Interims!BJ145</f>
        <v>-4</v>
      </c>
      <c r="Q228" s="988">
        <f>Interims!BK145</f>
        <v>6.3</v>
      </c>
    </row>
    <row r="229" spans="1:22" ht="13.15">
      <c r="A229" s="961"/>
      <c r="B229" s="960" t="str">
        <f>Interims!B142</f>
        <v>Interest paid</v>
      </c>
      <c r="C229" s="990">
        <f>Interims!AT142</f>
        <v>-14.378</v>
      </c>
      <c r="D229" s="990">
        <f>Interims!AU142</f>
        <v>-17.756999999999998</v>
      </c>
      <c r="E229" s="990">
        <f>Interims!AV142</f>
        <v>-11.630000000000003</v>
      </c>
      <c r="F229" s="990">
        <f>Interims!AW142</f>
        <v>-18.420999999999999</v>
      </c>
      <c r="G229" s="990">
        <f>Interims!AY142</f>
        <v>-6.6929999999999996</v>
      </c>
      <c r="H229" s="990">
        <f>Interims!AZ142</f>
        <v>-19.439999999999998</v>
      </c>
      <c r="I229" s="990">
        <f>Interims!BA142</f>
        <v>-6.8250000000000011</v>
      </c>
      <c r="J229" s="990">
        <f>Interims!BB142</f>
        <v>-15.3</v>
      </c>
      <c r="K229" s="990">
        <f>Interims!BD142</f>
        <v>-15.236000000000001</v>
      </c>
      <c r="L229" s="990">
        <f>Interims!BE142</f>
        <v>-22.801999999999996</v>
      </c>
      <c r="M229" s="990">
        <f>Interims!BF142</f>
        <v>-2.740000000000002</v>
      </c>
      <c r="N229" s="990">
        <f>Interims!BG142</f>
        <v>-3.4</v>
      </c>
      <c r="O229" s="990">
        <f>Interims!BI142</f>
        <v>-27</v>
      </c>
      <c r="P229" s="990">
        <f>Interims!BJ142</f>
        <v>-4</v>
      </c>
      <c r="Q229" s="990">
        <f>Interims!BK142</f>
        <v>-5.3</v>
      </c>
    </row>
    <row r="230" spans="1:22" ht="13.15">
      <c r="A230" s="961"/>
      <c r="B230" s="947" t="str">
        <f>Interims!B143</f>
        <v>Tax paid</v>
      </c>
      <c r="C230" s="987">
        <f>Interims!AT143</f>
        <v>-0.17199999999999999</v>
      </c>
      <c r="D230" s="987">
        <f>Interims!AU143</f>
        <v>-1.8030000000000002</v>
      </c>
      <c r="E230" s="987">
        <f>Interims!AV143</f>
        <v>4.0830000000000002</v>
      </c>
      <c r="F230" s="987">
        <f>Interims!AW143</f>
        <v>-5.6610000000000005</v>
      </c>
      <c r="G230" s="987">
        <f>Interims!AY143</f>
        <v>-3.45</v>
      </c>
      <c r="H230" s="987">
        <f>Interims!AZ143</f>
        <v>-0.82599999999999962</v>
      </c>
      <c r="I230" s="987">
        <f>Interims!BA143</f>
        <v>-1.3130000000000006</v>
      </c>
      <c r="J230" s="987">
        <f>Interims!BB143</f>
        <v>-4.5</v>
      </c>
      <c r="K230" s="987">
        <f>Interims!BD143</f>
        <v>0.873</v>
      </c>
      <c r="L230" s="987">
        <f>Interims!BE143</f>
        <v>-0.253</v>
      </c>
      <c r="M230" s="987">
        <f>Interims!BF143</f>
        <v>3.0000000000000027E-3</v>
      </c>
      <c r="N230" s="987">
        <f>Interims!BG143</f>
        <v>-0.4</v>
      </c>
      <c r="O230" s="987">
        <f>Interims!BI143</f>
        <v>-0.1</v>
      </c>
      <c r="P230" s="987">
        <f>Interims!BJ143</f>
        <v>-0.7</v>
      </c>
      <c r="Q230" s="987">
        <f>Interims!BK143</f>
        <v>-0.5</v>
      </c>
    </row>
    <row r="231" spans="1:22" ht="13.15">
      <c r="A231" s="961"/>
      <c r="B231" s="991" t="s">
        <v>1536</v>
      </c>
      <c r="C231" s="992">
        <f>SUM(C226:C230)</f>
        <v>18.873000000000001</v>
      </c>
      <c r="D231" s="992">
        <f t="shared" ref="D231:J231" si="18">SUM(D226:D230)</f>
        <v>-19.452999999999999</v>
      </c>
      <c r="E231" s="992">
        <f t="shared" si="18"/>
        <v>20.344000000000001</v>
      </c>
      <c r="F231" s="992">
        <f t="shared" si="18"/>
        <v>-27.594000000000008</v>
      </c>
      <c r="G231" s="992">
        <f t="shared" si="18"/>
        <v>7.6770000000000005</v>
      </c>
      <c r="H231" s="992">
        <f t="shared" si="18"/>
        <v>-20.833999999999993</v>
      </c>
      <c r="I231" s="992">
        <f t="shared" si="18"/>
        <v>-19.619000000000014</v>
      </c>
      <c r="J231" s="992">
        <f t="shared" si="18"/>
        <v>-30.64099999999998</v>
      </c>
      <c r="K231" s="992">
        <f>SUM(K226:K230)</f>
        <v>-42.249000000000002</v>
      </c>
      <c r="L231" s="992">
        <f>SUM(L226:L230)</f>
        <v>-6.524217700000019</v>
      </c>
      <c r="M231" s="992">
        <f t="shared" ref="M231:N231" si="19">SUM(M226:M230)</f>
        <v>-18.635554429999956</v>
      </c>
      <c r="N231" s="992">
        <f t="shared" si="19"/>
        <v>-32.5</v>
      </c>
      <c r="O231" s="992">
        <f>SUM(O226:O230)</f>
        <v>-22.4</v>
      </c>
      <c r="P231" s="992">
        <f>SUM(P226:P230)</f>
        <v>-25.999999999999996</v>
      </c>
      <c r="Q231" s="992">
        <f>SUM(Q226:Q230)</f>
        <v>-11.200000000000003</v>
      </c>
    </row>
    <row r="232" spans="1:22" ht="13.15">
      <c r="A232" s="961"/>
      <c r="B232" s="947" t="str">
        <f>Interims!B144</f>
        <v>Leases paid (ex. interest)</v>
      </c>
      <c r="C232" s="988">
        <f>Interims!AT144</f>
        <v>-8.6929999999999996</v>
      </c>
      <c r="D232" s="988">
        <f>Interims!AU144</f>
        <v>-8.9489999999999998</v>
      </c>
      <c r="E232" s="988">
        <f>Interims!AV144</f>
        <v>-9.3620000000000001</v>
      </c>
      <c r="F232" s="988">
        <f>Interims!AW144</f>
        <v>-11.114000000000003</v>
      </c>
      <c r="G232" s="988">
        <f>Interims!AY144</f>
        <v>-8.875</v>
      </c>
      <c r="H232" s="988">
        <f>Interims!AZ144</f>
        <v>-9.2959999999999994</v>
      </c>
      <c r="I232" s="988">
        <f>Interims!BA144</f>
        <v>-10.059000000000001</v>
      </c>
      <c r="J232" s="988">
        <f>Interims!BB144</f>
        <v>-10.5</v>
      </c>
      <c r="K232" s="988">
        <f>Interims!BD144</f>
        <v>-10.252000000000001</v>
      </c>
      <c r="L232" s="988">
        <f>Interims!BE144</f>
        <v>-10.699</v>
      </c>
      <c r="M232" s="988">
        <f>Interims!BF144</f>
        <v>-10.914999999999997</v>
      </c>
      <c r="N232" s="988">
        <f>Interims!BG144</f>
        <v>-13.22</v>
      </c>
      <c r="O232" s="988">
        <f>Interims!BI144</f>
        <v>-13.733000000000001</v>
      </c>
      <c r="P232" s="988">
        <f>Interims!BJ144</f>
        <v>-10.8</v>
      </c>
      <c r="Q232" s="988">
        <f>Interims!BK144</f>
        <v>-10.4</v>
      </c>
    </row>
    <row r="233" spans="1:22" ht="13.15">
      <c r="A233" s="961"/>
      <c r="B233" s="960" t="str">
        <f>Interims!B146</f>
        <v>Dividends</v>
      </c>
      <c r="C233" s="990">
        <f>Interims!AT146</f>
        <v>0</v>
      </c>
      <c r="D233" s="990">
        <f>Interims!AU146</f>
        <v>-1.6659999999999999</v>
      </c>
      <c r="E233" s="990">
        <f>Interims!AV146</f>
        <v>0</v>
      </c>
      <c r="F233" s="990">
        <f>Interims!AW146</f>
        <v>-0.21399999999999997</v>
      </c>
      <c r="G233" s="990">
        <f>Interims!AY146</f>
        <v>0</v>
      </c>
      <c r="H233" s="990">
        <f>Interims!AZ146</f>
        <v>-2.6850000000000001</v>
      </c>
      <c r="I233" s="990">
        <f>Interims!BA146</f>
        <v>0</v>
      </c>
      <c r="J233" s="990">
        <f>Interims!BB146</f>
        <v>-0.1</v>
      </c>
      <c r="K233" s="990">
        <f>Interims!BD146</f>
        <v>0</v>
      </c>
      <c r="L233" s="990">
        <f>Interims!BE146</f>
        <v>0</v>
      </c>
      <c r="M233" s="990">
        <f>Interims!BF146</f>
        <v>-1.294</v>
      </c>
      <c r="N233" s="990">
        <f>Interims!BG146</f>
        <v>-0.1</v>
      </c>
      <c r="O233" s="990">
        <f>Interims!BI146</f>
        <v>0</v>
      </c>
      <c r="P233" s="990">
        <f>Interims!BJ146</f>
        <v>0</v>
      </c>
      <c r="Q233" s="990">
        <f>Interims!BK146</f>
        <v>0</v>
      </c>
    </row>
    <row r="234" spans="1:22" ht="13.15">
      <c r="A234" s="961"/>
      <c r="B234" s="947" t="s">
        <v>1595</v>
      </c>
      <c r="C234" s="988"/>
      <c r="D234" s="988"/>
      <c r="E234" s="988"/>
      <c r="F234" s="988"/>
      <c r="G234" s="988"/>
      <c r="H234" s="988"/>
      <c r="I234" s="988"/>
      <c r="J234" s="988"/>
      <c r="K234" s="988"/>
      <c r="L234" s="988"/>
      <c r="M234" s="988"/>
      <c r="N234" s="988"/>
      <c r="O234" s="988">
        <f>Interims!BI147</f>
        <v>-4</v>
      </c>
      <c r="P234" s="988">
        <f>Interims!BJ147</f>
        <v>-28.450000000000003</v>
      </c>
      <c r="Q234" s="988">
        <f>Interims!BK147</f>
        <v>-28.450000000000003</v>
      </c>
    </row>
    <row r="235" spans="1:22" ht="13.15">
      <c r="A235" s="961"/>
      <c r="B235" s="960" t="str">
        <f>Interims!B148</f>
        <v>Other</v>
      </c>
      <c r="C235" s="986">
        <f>Interims!AT148</f>
        <v>-10.18567724999996</v>
      </c>
      <c r="D235" s="986">
        <f>Interims!AU148</f>
        <v>459.7679999999998</v>
      </c>
      <c r="E235" s="986">
        <f>Interims!AV148</f>
        <v>-0.39000000000013024</v>
      </c>
      <c r="F235" s="986">
        <f>Interims!AW148</f>
        <v>14.740000000000109</v>
      </c>
      <c r="G235" s="986">
        <f>Interims!AY148</f>
        <v>-6.7469999999998223</v>
      </c>
      <c r="H235" s="986">
        <f>Interims!AZ148</f>
        <v>9.6919999999998296</v>
      </c>
      <c r="I235" s="986">
        <f>Interims!BA148</f>
        <v>-2.7469999999998294</v>
      </c>
      <c r="J235" s="986">
        <f>Interims!BB148</f>
        <v>69.639999999999873</v>
      </c>
      <c r="K235" s="986">
        <f>Interims!BD148</f>
        <v>-0.37200000000004252</v>
      </c>
      <c r="L235" s="986">
        <f>Interims!BE148</f>
        <v>5.8192177000002481</v>
      </c>
      <c r="M235" s="986">
        <f>Interims!BF148</f>
        <v>9.9305544299995105</v>
      </c>
      <c r="N235" s="986">
        <f>Interims!BG148</f>
        <v>-43.382999999999747</v>
      </c>
      <c r="O235" s="986">
        <f>Interims!BI148</f>
        <v>-89.068999999999988</v>
      </c>
      <c r="P235" s="986">
        <f>Interims!BJ148</f>
        <v>-6.0540000000000873</v>
      </c>
      <c r="Q235" s="986">
        <f>Interims!BK148</f>
        <v>-7.7499999999997158</v>
      </c>
    </row>
    <row r="236" spans="1:22" ht="13.15">
      <c r="A236" s="961"/>
      <c r="B236" s="948" t="str">
        <f>Interims!B149</f>
        <v>Change in net debt</v>
      </c>
      <c r="C236" s="989">
        <f>Interims!AT149</f>
        <v>-5.6772499999624415E-3</v>
      </c>
      <c r="D236" s="989">
        <f>Interims!AU149</f>
        <v>429.69999999999982</v>
      </c>
      <c r="E236" s="989">
        <f>Interims!AV149</f>
        <v>10.591999999999871</v>
      </c>
      <c r="F236" s="989">
        <f>Interims!AW149</f>
        <v>-24.181999999999903</v>
      </c>
      <c r="G236" s="989">
        <f>Interims!AY149</f>
        <v>-7.9449999999998226</v>
      </c>
      <c r="H236" s="989">
        <f>Interims!AZ149</f>
        <v>-23.123000000000161</v>
      </c>
      <c r="I236" s="989">
        <f>Interims!BA149</f>
        <v>-32.424999999999841</v>
      </c>
      <c r="J236" s="989">
        <f>Interims!BB149</f>
        <v>28.398999999999887</v>
      </c>
      <c r="K236" s="989">
        <f>Interims!BD149</f>
        <v>-52.873000000000047</v>
      </c>
      <c r="L236" s="989">
        <f>Interims!BE149</f>
        <v>-11.403999999999769</v>
      </c>
      <c r="M236" s="989">
        <f>Interims!BF149</f>
        <v>-20.914000000000442</v>
      </c>
      <c r="N236" s="989">
        <f>Interims!BG149</f>
        <v>-89.202999999999747</v>
      </c>
      <c r="O236" s="989">
        <f>Interims!BI149</f>
        <v>-129.202</v>
      </c>
      <c r="P236" s="989">
        <f>Interims!BJ149</f>
        <v>-71.304000000000087</v>
      </c>
      <c r="Q236" s="989">
        <f>Interims!BK149</f>
        <v>-57.799999999999727</v>
      </c>
    </row>
    <row r="237" spans="1:22" ht="13.15">
      <c r="A237" s="961"/>
      <c r="B237" s="960"/>
      <c r="C237" s="992"/>
      <c r="D237" s="992"/>
      <c r="E237" s="992"/>
      <c r="F237" s="992"/>
      <c r="G237" s="992"/>
      <c r="H237" s="992"/>
      <c r="I237" s="992"/>
      <c r="J237" s="992"/>
      <c r="K237" s="992"/>
      <c r="L237" s="992"/>
      <c r="M237" s="992"/>
      <c r="N237" s="992"/>
      <c r="O237" s="992"/>
      <c r="P237" s="992"/>
      <c r="Q237" s="992"/>
    </row>
    <row r="238" spans="1:22" ht="13.15">
      <c r="A238" s="961"/>
      <c r="B238" s="947" t="s">
        <v>160</v>
      </c>
      <c r="C238" s="988">
        <f>Interims!AT155</f>
        <v>1400.5159999999998</v>
      </c>
      <c r="D238" s="988">
        <f>Interims!AU155</f>
        <v>970.81600000000003</v>
      </c>
      <c r="E238" s="988">
        <f>Interims!AV155</f>
        <v>960.22400000000016</v>
      </c>
      <c r="F238" s="988">
        <f>Interims!AW155</f>
        <v>984.40600000000006</v>
      </c>
      <c r="G238" s="988">
        <f>Interims!AY155</f>
        <v>992.35099999999989</v>
      </c>
      <c r="H238" s="988">
        <f>Interims!AZ155</f>
        <v>1015.474</v>
      </c>
      <c r="I238" s="988">
        <f>Interims!BA155</f>
        <v>1047.8989999999999</v>
      </c>
      <c r="J238" s="988">
        <f>Interims!BB155</f>
        <v>1019.5</v>
      </c>
      <c r="K238" s="988">
        <f>Interims!BD155</f>
        <v>1072.373</v>
      </c>
      <c r="L238" s="988">
        <f>Interims!BE155</f>
        <v>1083.7769999999998</v>
      </c>
      <c r="M238" s="988">
        <f>Interims!BF155</f>
        <v>1104.6910000000003</v>
      </c>
      <c r="N238" s="988">
        <f>Interims!BG155</f>
        <v>1193.894</v>
      </c>
      <c r="O238" s="988">
        <f>Interims!BI155</f>
        <v>1323.096</v>
      </c>
      <c r="P238" s="988">
        <f>Interims!BJ155</f>
        <v>1394.4</v>
      </c>
      <c r="Q238" s="988">
        <f>Interims!BK155</f>
        <v>1452.1999999999998</v>
      </c>
    </row>
    <row r="239" spans="1:22" ht="13.15">
      <c r="A239" s="961"/>
      <c r="B239" s="960" t="s">
        <v>159</v>
      </c>
      <c r="C239" s="990">
        <f>Interims!AT154</f>
        <v>64.025000000000006</v>
      </c>
      <c r="D239" s="990">
        <f>Interims!AU154</f>
        <v>143.61699999999999</v>
      </c>
      <c r="E239" s="990">
        <f>Interims!AV154</f>
        <v>154.92599999999999</v>
      </c>
      <c r="F239" s="990">
        <f>Interims!AW154</f>
        <v>124.28400000000001</v>
      </c>
      <c r="G239" s="990">
        <f>Interims!AY154</f>
        <v>123.172</v>
      </c>
      <c r="H239" s="990">
        <f>Interims!AZ154</f>
        <v>94.34</v>
      </c>
      <c r="I239" s="990">
        <f>Interims!BA154</f>
        <v>68.804000000000002</v>
      </c>
      <c r="J239" s="990">
        <f>Interims!BB154</f>
        <v>104.5</v>
      </c>
      <c r="K239" s="990">
        <f>Interims!BD154</f>
        <v>51.8</v>
      </c>
      <c r="L239" s="990">
        <f>Interims!BE154</f>
        <v>34.284999999999997</v>
      </c>
      <c r="M239" s="990">
        <f>Interims!BF154</f>
        <v>30.117999999999999</v>
      </c>
      <c r="N239" s="990">
        <f>Interims!BG154</f>
        <v>23.2</v>
      </c>
      <c r="O239" s="990">
        <f>Interims!BI154</f>
        <v>101.96299999999999</v>
      </c>
      <c r="P239" s="990">
        <f>Interims!BJ154</f>
        <v>65.599999999999994</v>
      </c>
      <c r="Q239" s="990">
        <f>Interims!BK154</f>
        <v>58.4</v>
      </c>
      <c r="U239" s="990"/>
      <c r="V239" s="990"/>
    </row>
    <row r="240" spans="1:22" ht="13.15">
      <c r="A240" s="961"/>
      <c r="B240" s="947"/>
      <c r="C240" s="988"/>
      <c r="D240" s="988"/>
      <c r="E240" s="988"/>
      <c r="F240" s="988"/>
      <c r="G240" s="988"/>
      <c r="H240" s="988"/>
      <c r="I240" s="988"/>
      <c r="J240" s="988"/>
      <c r="K240" s="988"/>
      <c r="L240" s="988"/>
      <c r="M240" s="988"/>
      <c r="N240" s="988"/>
      <c r="O240" s="988"/>
      <c r="P240" s="988"/>
      <c r="Q240" s="988"/>
    </row>
    <row r="241" spans="1:17" ht="13.15">
      <c r="A241" s="961"/>
      <c r="B241" s="991" t="s">
        <v>2076</v>
      </c>
      <c r="C241" s="993">
        <f>Interims!AT156</f>
        <v>6.3346296841706282</v>
      </c>
      <c r="D241" s="993">
        <f>Interims!AU156</f>
        <v>4.5151772785334483</v>
      </c>
      <c r="E241" s="993">
        <f>Interims!AV156</f>
        <v>3.9606596554155069</v>
      </c>
      <c r="F241" s="993">
        <f>Interims!AW156</f>
        <v>4.347065395468376</v>
      </c>
      <c r="G241" s="993">
        <f>Interims!AY156</f>
        <v>5.6675976058300774</v>
      </c>
      <c r="H241" s="993">
        <f>Interims!AZ156</f>
        <v>6.1183083995589644</v>
      </c>
      <c r="I241" s="993">
        <f>Interims!BA156</f>
        <v>6.7456676794726524</v>
      </c>
      <c r="J241" s="993">
        <f>Interims!BB156</f>
        <v>7.1367069645019683</v>
      </c>
      <c r="K241" s="993">
        <f>Interims!BD156</f>
        <v>7.8464977427214651</v>
      </c>
      <c r="L241" s="993">
        <f>Interims!BE156</f>
        <v>8.0062209665965423</v>
      </c>
      <c r="M241" s="993">
        <f>Interims!BF156</f>
        <v>8.1958059941738242</v>
      </c>
      <c r="N241" s="993">
        <f>Interims!BG156</f>
        <v>8.0686311643597861</v>
      </c>
      <c r="O241" s="993">
        <f>Interims!BI156</f>
        <v>8.9261859884599684</v>
      </c>
      <c r="P241" s="993">
        <f>Interims!BJ156</f>
        <v>9.6461893001523773</v>
      </c>
      <c r="Q241" s="993">
        <f>Interims!BK156</f>
        <v>10.01192716843506</v>
      </c>
    </row>
    <row r="242" spans="1:17" ht="13.15">
      <c r="B242" s="1319" t="s">
        <v>2077</v>
      </c>
      <c r="C242" s="1319"/>
      <c r="D242" s="1319"/>
      <c r="E242" s="1319"/>
      <c r="F242" s="1319"/>
      <c r="G242" s="1319"/>
      <c r="H242" s="1319"/>
      <c r="I242" s="1319"/>
      <c r="J242" s="1319"/>
      <c r="K242" s="1319"/>
      <c r="L242" s="1319"/>
      <c r="M242" s="1320"/>
      <c r="N242" s="1319"/>
      <c r="O242" s="1321">
        <f ca="1">(O238-300-Model!$N$171)/O238*O241</f>
        <v>6.3713096727354932</v>
      </c>
      <c r="P242" s="1321">
        <f ca="1">(P238-300-Model!$N$171)/P238*P241</f>
        <v>7.0264160012656118</v>
      </c>
      <c r="Q242" s="1321">
        <f ca="1">(Q238-300-Model!$N$171)/Q238*Q241</f>
        <v>7.4010493150496046</v>
      </c>
    </row>
    <row r="243" spans="1:17" ht="13.15">
      <c r="B243" s="946"/>
      <c r="C243" s="946"/>
      <c r="D243" s="946"/>
      <c r="E243" s="946"/>
      <c r="F243" s="946"/>
      <c r="G243" s="946"/>
      <c r="H243" s="946"/>
      <c r="I243" s="946"/>
      <c r="J243" s="946"/>
      <c r="K243" s="946"/>
      <c r="L243" s="946"/>
      <c r="N243" s="946"/>
      <c r="O243" s="946"/>
    </row>
    <row r="247" spans="1:17">
      <c r="B247" t="s">
        <v>1938</v>
      </c>
      <c r="C247" s="1238" t="s">
        <v>1554</v>
      </c>
      <c r="D247" s="1238" t="s">
        <v>1555</v>
      </c>
      <c r="E247" s="1238" t="s">
        <v>1556</v>
      </c>
      <c r="F247" s="1238" t="s">
        <v>1557</v>
      </c>
      <c r="G247" s="1238" t="s">
        <v>1558</v>
      </c>
      <c r="H247" s="1238" t="s">
        <v>1559</v>
      </c>
      <c r="I247" s="1238" t="s">
        <v>1560</v>
      </c>
      <c r="J247" s="1238" t="s">
        <v>1561</v>
      </c>
      <c r="K247" s="1238" t="s">
        <v>1641</v>
      </c>
      <c r="L247" s="1238" t="s">
        <v>1642</v>
      </c>
      <c r="M247" s="1238" t="s">
        <v>1643</v>
      </c>
      <c r="N247" s="1238" t="s">
        <v>1691</v>
      </c>
      <c r="O247" s="1238" t="s">
        <v>1697</v>
      </c>
      <c r="P247" s="1238" t="s">
        <v>1937</v>
      </c>
      <c r="Q247" s="1238" t="s">
        <v>2057</v>
      </c>
    </row>
    <row r="248" spans="1:17">
      <c r="B248" t="s">
        <v>628</v>
      </c>
      <c r="D248" s="1239"/>
      <c r="E248" s="1239"/>
      <c r="F248" s="1239"/>
      <c r="G248" s="1239"/>
      <c r="H248" s="1239"/>
      <c r="I248" s="1239"/>
      <c r="J248" s="1239"/>
      <c r="K248" s="1239">
        <v>227.98643910129434</v>
      </c>
      <c r="L248" s="1239">
        <v>225.68644002198548</v>
      </c>
      <c r="M248" s="1239">
        <v>219.84037368887567</v>
      </c>
      <c r="N248" s="1239">
        <v>239.14370487385943</v>
      </c>
      <c r="O248" s="1239">
        <v>224.2734382168409</v>
      </c>
      <c r="P248" s="1239">
        <v>306.80122808037908</v>
      </c>
      <c r="Q248" s="1239">
        <v>244</v>
      </c>
    </row>
    <row r="249" spans="1:17">
      <c r="C249" s="155"/>
      <c r="D249" s="155"/>
      <c r="E249" s="155"/>
      <c r="F249" s="155"/>
      <c r="G249" s="155"/>
      <c r="H249" s="155"/>
      <c r="I249" s="155"/>
      <c r="J249" s="155"/>
      <c r="K249" s="155"/>
      <c r="L249" s="155"/>
      <c r="M249" s="155"/>
      <c r="N249" s="155"/>
      <c r="O249" s="155"/>
    </row>
    <row r="271" spans="2:21" ht="13.15">
      <c r="B271" s="984" t="s">
        <v>1589</v>
      </c>
      <c r="C271" s="985" t="s">
        <v>1560</v>
      </c>
      <c r="D271" s="985" t="s">
        <v>1561</v>
      </c>
      <c r="E271" s="985" t="s">
        <v>1641</v>
      </c>
      <c r="F271" s="985" t="s">
        <v>1642</v>
      </c>
      <c r="G271" s="985" t="s">
        <v>1643</v>
      </c>
      <c r="H271" s="985" t="s">
        <v>1691</v>
      </c>
      <c r="I271" s="985" t="s">
        <v>1697</v>
      </c>
      <c r="J271" s="985" t="s">
        <v>1937</v>
      </c>
      <c r="K271" s="985" t="s">
        <v>2057</v>
      </c>
      <c r="M271" s="985" t="s">
        <v>1643</v>
      </c>
      <c r="N271" s="985" t="s">
        <v>1691</v>
      </c>
      <c r="O271" s="985" t="s">
        <v>1697</v>
      </c>
      <c r="P271" s="985" t="s">
        <v>1937</v>
      </c>
      <c r="R271" s="985" t="s">
        <v>1643</v>
      </c>
      <c r="S271" s="985" t="s">
        <v>1691</v>
      </c>
      <c r="T271" s="985" t="s">
        <v>1697</v>
      </c>
      <c r="U271" s="985" t="s">
        <v>1937</v>
      </c>
    </row>
    <row r="272" spans="2:21" ht="13.15">
      <c r="B272" s="947" t="s">
        <v>0</v>
      </c>
      <c r="C272" s="988">
        <f>Interims!BA66</f>
        <v>110.42555842000002</v>
      </c>
      <c r="D272" s="988">
        <f>Interims!BB66</f>
        <v>112.07723925999994</v>
      </c>
      <c r="E272" s="988">
        <f>Interims!BD66</f>
        <v>110.8</v>
      </c>
      <c r="F272" s="988">
        <f>Interims!BE66</f>
        <v>110.40893118999998</v>
      </c>
      <c r="G272" s="988">
        <f>Interims!BF66</f>
        <v>111.38130171000002</v>
      </c>
      <c r="H272" s="988">
        <f>Interims!BG66</f>
        <v>119.47097866000001</v>
      </c>
      <c r="I272" s="988">
        <f>Interims!BI66</f>
        <v>112.3</v>
      </c>
      <c r="J272" s="988">
        <f>Interims!BJ66</f>
        <v>110.39999999999999</v>
      </c>
      <c r="K272" s="988">
        <f>Interims!BK66</f>
        <v>102.39999999999999</v>
      </c>
      <c r="M272" s="1242">
        <f t="shared" ref="M272:P276" si="20">G272/C272-1</f>
        <v>8.6550913001939289E-3</v>
      </c>
      <c r="N272" s="1242">
        <f t="shared" si="20"/>
        <v>6.5970035029573326E-2</v>
      </c>
      <c r="O272" s="1242">
        <f t="shared" si="20"/>
        <v>1.3537906137184086E-2</v>
      </c>
      <c r="P272" s="1242">
        <f t="shared" si="20"/>
        <v>-8.0891916113379203E-5</v>
      </c>
      <c r="R272" s="1243">
        <f t="shared" ref="R272:U276" si="21">G272-C272</f>
        <v>0.95574329000000091</v>
      </c>
      <c r="S272" s="1243">
        <f t="shared" si="21"/>
        <v>7.3937394000000722</v>
      </c>
      <c r="T272" s="1243">
        <f t="shared" si="21"/>
        <v>1.5</v>
      </c>
      <c r="U272" s="1243">
        <f t="shared" si="21"/>
        <v>-8.9311899999842126E-3</v>
      </c>
    </row>
    <row r="273" spans="2:21" ht="13.15">
      <c r="B273" s="946" t="s">
        <v>1941</v>
      </c>
      <c r="C273" s="1243">
        <f>SUM(Interims!BA72:BA73)</f>
        <v>7.7429967100000026</v>
      </c>
      <c r="D273" s="1243">
        <f>SUM(Interims!BB72:BB73)</f>
        <v>10.712033369999999</v>
      </c>
      <c r="E273" s="1243">
        <f>SUM(Interims!BD72:BD73)</f>
        <v>8.3000000000000007</v>
      </c>
      <c r="F273" s="1243">
        <f>SUM(Interims!BE72:BE73)</f>
        <v>8.9326095900000002</v>
      </c>
      <c r="G273" s="1243">
        <f>SUM(Interims!BF72:BF73)</f>
        <v>7.2707326099999978</v>
      </c>
      <c r="H273" s="1243">
        <f>SUM(Interims!BG72:BG73)</f>
        <v>12.711959410000002</v>
      </c>
      <c r="I273" s="1243">
        <f>SUM(Interims!BI72:BI73)</f>
        <v>8.1999999999999993</v>
      </c>
      <c r="J273" s="1243">
        <f>SUM(Interims!BJ72:BJ73)</f>
        <v>8.1999999999999993</v>
      </c>
      <c r="K273" s="1243">
        <f>SUM(Interims!BK72:BK73)</f>
        <v>12.3</v>
      </c>
      <c r="M273" s="1242">
        <f t="shared" si="20"/>
        <v>-6.0992419044952007E-2</v>
      </c>
      <c r="N273" s="1242">
        <f t="shared" si="20"/>
        <v>0.18669901137546629</v>
      </c>
      <c r="O273" s="1242">
        <f t="shared" si="20"/>
        <v>-1.2048192771084487E-2</v>
      </c>
      <c r="P273" s="1242">
        <f t="shared" si="20"/>
        <v>-8.2015180739585025E-2</v>
      </c>
      <c r="R273" s="1243">
        <f t="shared" si="21"/>
        <v>-0.47226410000000474</v>
      </c>
      <c r="S273" s="1243">
        <f t="shared" si="21"/>
        <v>1.9999260400000036</v>
      </c>
      <c r="T273" s="1243">
        <f t="shared" si="21"/>
        <v>-0.10000000000000142</v>
      </c>
      <c r="U273" s="1243">
        <f t="shared" si="21"/>
        <v>-0.73260959000000092</v>
      </c>
    </row>
    <row r="274" spans="2:21" ht="13.15">
      <c r="B274" s="947" t="s">
        <v>1939</v>
      </c>
      <c r="C274" s="988">
        <f>Interims!BA76</f>
        <v>-31.072850560000006</v>
      </c>
      <c r="D274" s="988">
        <f>Interims!BB76</f>
        <v>-37.515471919999982</v>
      </c>
      <c r="E274" s="988">
        <f>Interims!BD76</f>
        <v>-33.799999999999997</v>
      </c>
      <c r="F274" s="988">
        <f>Interims!BE76</f>
        <v>-31.5</v>
      </c>
      <c r="G274" s="988">
        <f>Interims!BF76</f>
        <v>-28.8</v>
      </c>
      <c r="H274" s="988">
        <f>Interims!BG76</f>
        <v>-41.6</v>
      </c>
      <c r="I274" s="988">
        <f>Interims!BI76</f>
        <v>-31.5</v>
      </c>
      <c r="J274" s="988">
        <f>Interims!BJ76</f>
        <v>-29.9</v>
      </c>
      <c r="K274" s="988">
        <f>Interims!BK76</f>
        <v>-23.7</v>
      </c>
      <c r="M274" s="1242">
        <f t="shared" si="20"/>
        <v>-7.3145865893805007E-2</v>
      </c>
      <c r="N274" s="1242">
        <f t="shared" si="20"/>
        <v>0.10887582831718312</v>
      </c>
      <c r="O274" s="1242">
        <f t="shared" si="20"/>
        <v>-6.8047337278106412E-2</v>
      </c>
      <c r="P274" s="1242">
        <f t="shared" si="20"/>
        <v>-5.0793650793650835E-2</v>
      </c>
      <c r="R274" s="1243">
        <f t="shared" si="21"/>
        <v>2.2728505600000055</v>
      </c>
      <c r="S274" s="1243">
        <f t="shared" si="21"/>
        <v>-4.0845280800000197</v>
      </c>
      <c r="T274" s="1243">
        <f t="shared" si="21"/>
        <v>2.2999999999999972</v>
      </c>
      <c r="U274" s="1243">
        <f t="shared" si="21"/>
        <v>1.6000000000000014</v>
      </c>
    </row>
    <row r="275" spans="2:21" ht="13.15">
      <c r="B275" s="946" t="s">
        <v>1940</v>
      </c>
      <c r="C275" s="1243">
        <f>Interims!BA82</f>
        <v>-38.749704570000006</v>
      </c>
      <c r="D275" s="1243">
        <f>Interims!BB82</f>
        <v>-49.573800709999958</v>
      </c>
      <c r="E275" s="1243">
        <f>Interims!BD82</f>
        <v>-41.139999999999993</v>
      </c>
      <c r="F275" s="1243">
        <f>Interims!BE82</f>
        <v>-39.170679869999987</v>
      </c>
      <c r="G275" s="1243">
        <f>Interims!BF82</f>
        <v>-41.229541699999992</v>
      </c>
      <c r="H275" s="1243">
        <f>Interims!BG82</f>
        <v>-38.98293807000001</v>
      </c>
      <c r="I275" s="1243">
        <f>Interims!BI82</f>
        <v>-41.099999999999987</v>
      </c>
      <c r="J275" s="1243">
        <f>Interims!BJ82</f>
        <v>-43.599999999999987</v>
      </c>
      <c r="K275" s="1243">
        <f>Interims!BK82</f>
        <v>-42.399999999999984</v>
      </c>
      <c r="M275" s="1242">
        <f t="shared" si="20"/>
        <v>6.3996284810900805E-2</v>
      </c>
      <c r="N275" s="1242">
        <f t="shared" si="20"/>
        <v>-0.21363830265819372</v>
      </c>
      <c r="O275" s="1242">
        <f t="shared" si="20"/>
        <v>-9.7228974234342402E-4</v>
      </c>
      <c r="P275" s="1242">
        <f t="shared" si="20"/>
        <v>0.11307743814251037</v>
      </c>
      <c r="R275" s="1243">
        <f t="shared" si="21"/>
        <v>-2.4798371299999857</v>
      </c>
      <c r="S275" s="1243">
        <f t="shared" si="21"/>
        <v>10.590862639999948</v>
      </c>
      <c r="T275" s="1243">
        <f t="shared" si="21"/>
        <v>4.0000000000006253E-2</v>
      </c>
      <c r="U275" s="1243">
        <f t="shared" si="21"/>
        <v>-4.4293201300000007</v>
      </c>
    </row>
    <row r="276" spans="2:21" s="1240" customFormat="1" ht="13.15">
      <c r="B276" s="948" t="s">
        <v>28</v>
      </c>
      <c r="C276" s="1244">
        <f t="shared" ref="C276:J276" si="22">SUM(C272:C275)</f>
        <v>48.346000000000004</v>
      </c>
      <c r="D276" s="1244">
        <f t="shared" si="22"/>
        <v>35.700000000000003</v>
      </c>
      <c r="E276" s="1244">
        <f t="shared" si="22"/>
        <v>44.160000000000004</v>
      </c>
      <c r="F276" s="1244">
        <f t="shared" si="22"/>
        <v>48.670860909999988</v>
      </c>
      <c r="G276" s="1244">
        <f t="shared" si="22"/>
        <v>48.622492620000024</v>
      </c>
      <c r="H276" s="1244">
        <f t="shared" si="22"/>
        <v>51.6</v>
      </c>
      <c r="I276" s="1244">
        <f t="shared" si="22"/>
        <v>47.900000000000013</v>
      </c>
      <c r="J276" s="1244">
        <f t="shared" si="22"/>
        <v>45.1</v>
      </c>
      <c r="K276" s="1244">
        <f t="shared" ref="K276" si="23">SUM(K272:K275)</f>
        <v>48.6</v>
      </c>
      <c r="M276" s="1242">
        <f t="shared" si="20"/>
        <v>5.7190381830971582E-3</v>
      </c>
      <c r="N276" s="1242">
        <f t="shared" si="20"/>
        <v>0.44537815126050417</v>
      </c>
      <c r="O276" s="1242">
        <f t="shared" si="20"/>
        <v>8.4692028985507539E-2</v>
      </c>
      <c r="P276" s="1242">
        <f t="shared" si="20"/>
        <v>-7.3367531275090103E-2</v>
      </c>
      <c r="R276" s="1243">
        <f t="shared" si="21"/>
        <v>0.27649262000002039</v>
      </c>
      <c r="S276" s="1243">
        <f t="shared" si="21"/>
        <v>15.899999999999999</v>
      </c>
      <c r="T276" s="1243">
        <f t="shared" si="21"/>
        <v>3.7400000000000091</v>
      </c>
      <c r="U276" s="1243">
        <f t="shared" si="21"/>
        <v>-3.5708609099999862</v>
      </c>
    </row>
    <row r="277" spans="2:21" s="1241" customFormat="1">
      <c r="B277" s="1241" t="s">
        <v>1382</v>
      </c>
      <c r="C277" s="1249">
        <f>Interims!DW86</f>
        <v>-0.17042451697038308</v>
      </c>
      <c r="D277" s="1249">
        <f>Interims!DX86</f>
        <v>-0.26851756992111453</v>
      </c>
      <c r="E277" s="1249">
        <f>Interims!DZ86</f>
        <v>-9.8168154062940216E-2</v>
      </c>
      <c r="F277" s="1249">
        <f>Interims!EA86</f>
        <v>2.0766092238002631E-3</v>
      </c>
      <c r="G277" s="1249">
        <f>Interims!EB86</f>
        <v>5.7190381830971582E-3</v>
      </c>
      <c r="H277" s="1249">
        <f>Interims!EC86</f>
        <v>0.44537815126050417</v>
      </c>
      <c r="I277" s="1249">
        <f>Interims!EE86</f>
        <v>8.4692028985507095E-2</v>
      </c>
      <c r="J277" s="1249">
        <f>Interims!EF86</f>
        <v>-7.3367531275090103E-2</v>
      </c>
      <c r="K277" s="1249">
        <f>Interims!EG86</f>
        <v>-4.6259701607254122E-4</v>
      </c>
    </row>
    <row r="278" spans="2:21">
      <c r="B278" s="1251"/>
      <c r="C278" s="1251"/>
      <c r="D278" s="1251"/>
      <c r="E278" s="1251"/>
      <c r="F278" s="1251"/>
      <c r="G278" s="1251"/>
      <c r="H278" s="1251"/>
      <c r="I278" s="1251"/>
      <c r="J278" s="1251"/>
      <c r="K278" s="1251"/>
    </row>
    <row r="279" spans="2:21" ht="13.15">
      <c r="B279" s="1240" t="s">
        <v>1960</v>
      </c>
    </row>
    <row r="280" spans="2:21" ht="13.15">
      <c r="B280" s="947" t="s">
        <v>0</v>
      </c>
      <c r="C280" s="988"/>
      <c r="D280" s="988"/>
      <c r="E280" s="988"/>
      <c r="F280" s="988"/>
      <c r="G280" s="988">
        <f>G272-C272</f>
        <v>0.95574329000000091</v>
      </c>
      <c r="H280" s="988">
        <f t="shared" ref="H280:K280" si="24">H272-D272</f>
        <v>7.3937394000000722</v>
      </c>
      <c r="I280" s="988">
        <f t="shared" si="24"/>
        <v>1.5</v>
      </c>
      <c r="J280" s="988">
        <f t="shared" si="24"/>
        <v>-8.9311899999842126E-3</v>
      </c>
      <c r="K280" s="988">
        <f t="shared" si="24"/>
        <v>-8.9813017100000252</v>
      </c>
    </row>
    <row r="281" spans="2:21" ht="13.15">
      <c r="B281" s="946" t="s">
        <v>1941</v>
      </c>
      <c r="C281" s="1243"/>
      <c r="D281" s="1243"/>
      <c r="E281" s="1243"/>
      <c r="F281" s="1243"/>
      <c r="G281" s="1243">
        <f t="shared" ref="G281:K281" si="25">G273-C273</f>
        <v>-0.47226410000000474</v>
      </c>
      <c r="H281" s="1243">
        <f t="shared" si="25"/>
        <v>1.9999260400000036</v>
      </c>
      <c r="I281" s="1243">
        <f t="shared" si="25"/>
        <v>-0.10000000000000142</v>
      </c>
      <c r="J281" s="1243">
        <f t="shared" si="25"/>
        <v>-0.73260959000000092</v>
      </c>
      <c r="K281" s="1243">
        <f t="shared" si="25"/>
        <v>5.0292673900000029</v>
      </c>
    </row>
    <row r="282" spans="2:21" ht="13.15">
      <c r="B282" s="947" t="s">
        <v>1939</v>
      </c>
      <c r="C282" s="988"/>
      <c r="D282" s="988"/>
      <c r="E282" s="988"/>
      <c r="F282" s="988"/>
      <c r="G282" s="988">
        <f t="shared" ref="G282:K282" si="26">G274-C274</f>
        <v>2.2728505600000055</v>
      </c>
      <c r="H282" s="988">
        <f t="shared" si="26"/>
        <v>-4.0845280800000197</v>
      </c>
      <c r="I282" s="988">
        <f t="shared" si="26"/>
        <v>2.2999999999999972</v>
      </c>
      <c r="J282" s="988">
        <f t="shared" si="26"/>
        <v>1.6000000000000014</v>
      </c>
      <c r="K282" s="988">
        <f t="shared" si="26"/>
        <v>5.1000000000000014</v>
      </c>
    </row>
    <row r="283" spans="2:21" ht="13.15">
      <c r="B283" s="946" t="s">
        <v>1940</v>
      </c>
      <c r="C283" s="1243"/>
      <c r="D283" s="1243"/>
      <c r="E283" s="1243"/>
      <c r="F283" s="1243"/>
      <c r="G283" s="1243">
        <f t="shared" ref="G283:K283" si="27">G275-C275</f>
        <v>-2.4798371299999857</v>
      </c>
      <c r="H283" s="1243">
        <f t="shared" si="27"/>
        <v>10.590862639999948</v>
      </c>
      <c r="I283" s="1243">
        <f t="shared" si="27"/>
        <v>4.0000000000006253E-2</v>
      </c>
      <c r="J283" s="1243">
        <f t="shared" si="27"/>
        <v>-4.4293201300000007</v>
      </c>
      <c r="K283" s="1243">
        <f t="shared" si="27"/>
        <v>-1.1704582999999928</v>
      </c>
    </row>
    <row r="284" spans="2:21" ht="13.15">
      <c r="B284" s="994" t="s">
        <v>28</v>
      </c>
      <c r="C284" s="1250"/>
      <c r="D284" s="1250"/>
      <c r="E284" s="1250"/>
      <c r="F284" s="1250"/>
      <c r="G284" s="1250">
        <f t="shared" ref="G284:J284" si="28">G276-C276</f>
        <v>0.27649262000002039</v>
      </c>
      <c r="H284" s="1250">
        <f t="shared" si="28"/>
        <v>15.899999999999999</v>
      </c>
      <c r="I284" s="1250">
        <f t="shared" si="28"/>
        <v>3.7400000000000091</v>
      </c>
      <c r="J284" s="1250">
        <f t="shared" si="28"/>
        <v>-3.5708609099999862</v>
      </c>
      <c r="K284" s="1250">
        <f>K276-G276</f>
        <v>-2.2492620000022612E-2</v>
      </c>
    </row>
    <row r="287" spans="2:21" ht="13.15">
      <c r="B287" s="1315"/>
      <c r="C287" s="1316" t="s">
        <v>1657</v>
      </c>
      <c r="D287" s="1316" t="s">
        <v>1693</v>
      </c>
      <c r="E287" s="1316" t="s">
        <v>1694</v>
      </c>
      <c r="F287" s="1316" t="s">
        <v>1695</v>
      </c>
    </row>
    <row r="288" spans="2:21">
      <c r="B288" t="s">
        <v>2065</v>
      </c>
      <c r="C288" s="155">
        <f>Interims!BG10</f>
        <v>101.298</v>
      </c>
      <c r="D288" s="155">
        <f>Interims!BI10</f>
        <v>134</v>
      </c>
      <c r="E288" s="155">
        <f>Interims!BJ10</f>
        <v>145</v>
      </c>
      <c r="F288" s="155">
        <f>Interims!BK10</f>
        <v>157</v>
      </c>
    </row>
    <row r="289" spans="2:9">
      <c r="B289" t="s">
        <v>1883</v>
      </c>
      <c r="C289">
        <f>Interims!BG26</f>
        <v>50</v>
      </c>
      <c r="D289">
        <f>Interims!BI26</f>
        <v>55</v>
      </c>
      <c r="E289">
        <f>Interims!BJ26</f>
        <v>65</v>
      </c>
      <c r="F289">
        <f>Interims!BK26</f>
        <v>71</v>
      </c>
    </row>
    <row r="290" spans="2:9">
      <c r="B290" t="s">
        <v>2066</v>
      </c>
      <c r="C290" s="156">
        <f>C289/C288</f>
        <v>0.49359316077316434</v>
      </c>
      <c r="D290" s="156">
        <f t="shared" ref="D290:F290" si="29">D289/D288</f>
        <v>0.41044776119402987</v>
      </c>
      <c r="E290" s="156">
        <f t="shared" si="29"/>
        <v>0.44827586206896552</v>
      </c>
      <c r="F290" s="156">
        <f t="shared" si="29"/>
        <v>0.45222929936305734</v>
      </c>
    </row>
    <row r="292" spans="2:9">
      <c r="B292" s="1314" t="s">
        <v>2067</v>
      </c>
      <c r="F292" s="954">
        <v>0.45700000000000002</v>
      </c>
    </row>
    <row r="293" spans="2:9">
      <c r="B293" s="1314" t="s">
        <v>2068</v>
      </c>
      <c r="F293" s="954">
        <v>0.498</v>
      </c>
    </row>
    <row r="294" spans="2:9">
      <c r="B294" s="1314" t="s">
        <v>2069</v>
      </c>
      <c r="F294" s="954">
        <v>0.434</v>
      </c>
    </row>
    <row r="297" spans="2:9" ht="13.15">
      <c r="B297" s="1315"/>
      <c r="C297" s="985" t="s">
        <v>1641</v>
      </c>
      <c r="D297" s="985" t="s">
        <v>1642</v>
      </c>
      <c r="E297" s="985" t="s">
        <v>1643</v>
      </c>
      <c r="F297" s="985" t="s">
        <v>1691</v>
      </c>
      <c r="G297" s="985" t="s">
        <v>1697</v>
      </c>
      <c r="H297" s="985" t="s">
        <v>1937</v>
      </c>
      <c r="I297" s="985" t="s">
        <v>2057</v>
      </c>
    </row>
    <row r="298" spans="2:9">
      <c r="B298" t="s">
        <v>2071</v>
      </c>
      <c r="C298" s="3">
        <v>0.59607054000000004</v>
      </c>
      <c r="D298" s="3">
        <v>0.6403192499999999</v>
      </c>
      <c r="E298" s="3">
        <v>0.73832198000000016</v>
      </c>
      <c r="F298" s="3">
        <v>0.81816362000000009</v>
      </c>
      <c r="G298" s="3">
        <v>0.89857139000000008</v>
      </c>
      <c r="H298" s="3">
        <v>0.98399046999999995</v>
      </c>
      <c r="I298" s="3">
        <v>1.0675067200000001</v>
      </c>
    </row>
    <row r="300" spans="2:9">
      <c r="B300" t="s">
        <v>2072</v>
      </c>
      <c r="C300">
        <v>16</v>
      </c>
      <c r="D300">
        <v>16</v>
      </c>
      <c r="E300">
        <v>16</v>
      </c>
      <c r="F300">
        <v>16</v>
      </c>
      <c r="G300">
        <v>16</v>
      </c>
      <c r="H300">
        <v>16</v>
      </c>
      <c r="I300">
        <v>16</v>
      </c>
    </row>
    <row r="301" spans="2:9">
      <c r="B301" t="s">
        <v>2073</v>
      </c>
      <c r="C301" s="155">
        <f t="shared" ref="C301:H301" si="30">C298/3/C300*1000</f>
        <v>12.418136250000002</v>
      </c>
      <c r="D301" s="155">
        <f t="shared" si="30"/>
        <v>13.339984374999997</v>
      </c>
      <c r="E301" s="155">
        <f t="shared" si="30"/>
        <v>15.38170791666667</v>
      </c>
      <c r="F301" s="155">
        <f t="shared" si="30"/>
        <v>17.04507541666667</v>
      </c>
      <c r="G301" s="155">
        <f t="shared" si="30"/>
        <v>18.720237291666667</v>
      </c>
      <c r="H301" s="155">
        <f t="shared" si="30"/>
        <v>20.49980145833333</v>
      </c>
      <c r="I301" s="155">
        <f>I298/3/I300*1000</f>
        <v>22.239723333333338</v>
      </c>
    </row>
  </sheetData>
  <phoneticPr fontId="6"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11D8E-1697-4030-99AD-FB0599870441}">
  <sheetPr codeName="Sheet16"/>
  <dimension ref="B2:M32"/>
  <sheetViews>
    <sheetView topLeftCell="A20" workbookViewId="0">
      <selection activeCell="B5" sqref="B5"/>
    </sheetView>
  </sheetViews>
  <sheetFormatPr defaultRowHeight="12.75"/>
  <cols>
    <col min="2" max="2" width="34.1328125" customWidth="1"/>
  </cols>
  <sheetData>
    <row r="2" spans="2:13" ht="13.9">
      <c r="B2" s="913"/>
      <c r="C2" s="914"/>
      <c r="D2" s="914"/>
      <c r="E2" s="914"/>
      <c r="F2" s="914"/>
      <c r="G2" s="914"/>
      <c r="H2" s="914"/>
      <c r="I2" s="914"/>
      <c r="J2" s="914"/>
      <c r="K2" s="914"/>
      <c r="L2" s="914"/>
      <c r="M2" s="914"/>
    </row>
    <row r="3" spans="2:13" ht="13.9">
      <c r="B3" s="7" t="s">
        <v>554</v>
      </c>
      <c r="C3" s="212"/>
      <c r="D3" s="212"/>
      <c r="E3" s="212"/>
      <c r="F3" s="212"/>
      <c r="G3" s="212"/>
      <c r="H3" s="212"/>
      <c r="I3" s="212"/>
      <c r="J3" s="212"/>
      <c r="K3" s="212"/>
      <c r="L3" s="212"/>
      <c r="M3" s="212"/>
    </row>
    <row r="4" spans="2:13" ht="13.9">
      <c r="B4" s="915" t="s">
        <v>192</v>
      </c>
      <c r="C4" s="915">
        <v>2020</v>
      </c>
      <c r="D4" s="915">
        <v>2021</v>
      </c>
      <c r="E4" s="915">
        <v>2022</v>
      </c>
      <c r="F4" s="915">
        <v>2023</v>
      </c>
      <c r="G4" s="915">
        <v>2024</v>
      </c>
      <c r="H4" s="915">
        <v>2025</v>
      </c>
      <c r="I4" s="915">
        <v>2026</v>
      </c>
      <c r="J4" s="915">
        <v>2027</v>
      </c>
      <c r="K4" s="915">
        <v>2028</v>
      </c>
      <c r="L4" s="915">
        <v>2029</v>
      </c>
      <c r="M4" s="915">
        <v>2030</v>
      </c>
    </row>
    <row r="5" spans="2:13" ht="13.9">
      <c r="B5" s="458" t="s">
        <v>0</v>
      </c>
      <c r="C5" s="916">
        <f>Model!J9</f>
        <v>480</v>
      </c>
      <c r="D5" s="916">
        <f>Model!K9</f>
        <v>462.84366304999998</v>
      </c>
      <c r="E5" s="916">
        <f>Model!L9</f>
        <v>446.53620129000001</v>
      </c>
      <c r="F5" s="916">
        <f>Model!M9</f>
        <v>452.06121156</v>
      </c>
      <c r="G5" s="916">
        <f ca="1">Model!N9</f>
        <v>433.86462054566306</v>
      </c>
      <c r="H5" s="916">
        <f ca="1">Model!O9</f>
        <v>434.14953674314324</v>
      </c>
      <c r="I5" s="916">
        <f ca="1">Model!P9</f>
        <v>462.82185958200864</v>
      </c>
      <c r="J5" s="916">
        <f ca="1">Model!Q9</f>
        <v>489.86188981053959</v>
      </c>
      <c r="K5" s="916">
        <f ca="1">Model!R9</f>
        <v>518.46892095649082</v>
      </c>
      <c r="L5" s="916">
        <f ca="1">Model!S9</f>
        <v>551.9682456787674</v>
      </c>
      <c r="M5" s="916">
        <f ca="1">Model!T9</f>
        <v>585.33632681154825</v>
      </c>
    </row>
    <row r="6" spans="2:13" ht="13.9">
      <c r="B6" s="732" t="s">
        <v>1185</v>
      </c>
      <c r="C6" s="732"/>
      <c r="D6" s="949">
        <f>D5/C5-1</f>
        <v>-3.5742368645833356E-2</v>
      </c>
      <c r="E6" s="949">
        <f t="shared" ref="E6:M6" si="0">E5/D5-1</f>
        <v>-3.5233196566933023E-2</v>
      </c>
      <c r="F6" s="949">
        <f t="shared" si="0"/>
        <v>1.2373039977584765E-2</v>
      </c>
      <c r="G6" s="949">
        <f t="shared" ca="1" si="0"/>
        <v>-4.0252493576131143E-2</v>
      </c>
      <c r="H6" s="949">
        <f t="shared" ca="1" si="0"/>
        <v>6.5669377955246411E-4</v>
      </c>
      <c r="I6" s="949">
        <f t="shared" ca="1" si="0"/>
        <v>6.6042504741468555E-2</v>
      </c>
      <c r="J6" s="949">
        <f t="shared" ca="1" si="0"/>
        <v>5.8424272036225355E-2</v>
      </c>
      <c r="K6" s="949">
        <f t="shared" ca="1" si="0"/>
        <v>5.8398156176254767E-2</v>
      </c>
      <c r="L6" s="949">
        <f t="shared" ca="1" si="0"/>
        <v>6.4612020833333172E-2</v>
      </c>
      <c r="M6" s="949">
        <f t="shared" ca="1" si="0"/>
        <v>6.0452899952147421E-2</v>
      </c>
    </row>
    <row r="7" spans="2:13" ht="13.9">
      <c r="B7" s="564"/>
      <c r="C7" s="564"/>
      <c r="D7" s="917"/>
      <c r="E7" s="917"/>
      <c r="F7" s="917"/>
      <c r="G7" s="917"/>
      <c r="H7" s="917"/>
      <c r="I7" s="917"/>
      <c r="J7" s="917"/>
      <c r="K7" s="917"/>
      <c r="L7" s="917"/>
      <c r="M7" s="917"/>
    </row>
    <row r="8" spans="2:13" ht="13.9">
      <c r="B8" s="733" t="s">
        <v>1551</v>
      </c>
      <c r="C8" s="950">
        <f>Model!J12</f>
        <v>242.18396066</v>
      </c>
      <c r="D8" s="950">
        <f>Model!K12</f>
        <v>226.45299999999997</v>
      </c>
      <c r="E8" s="950">
        <f>Model!L12</f>
        <v>181.58300000000003</v>
      </c>
      <c r="F8" s="950">
        <f ca="1">Model!M12</f>
        <v>190.85454653151407</v>
      </c>
      <c r="G8" s="950">
        <f ca="1">Model!N12</f>
        <v>184.97974954401991</v>
      </c>
      <c r="H8" s="950">
        <f ca="1">Model!O12</f>
        <v>192.26576222893047</v>
      </c>
      <c r="I8" s="950">
        <f ca="1">Model!P12</f>
        <v>209.68398168306288</v>
      </c>
      <c r="J8" s="950">
        <f ca="1">Model!Q12</f>
        <v>228.62711092244257</v>
      </c>
      <c r="K8" s="950">
        <f ca="1">Model!R12</f>
        <v>249.10503433769716</v>
      </c>
      <c r="L8" s="950">
        <f ca="1">Model!S12</f>
        <v>273.47661400054051</v>
      </c>
      <c r="M8" s="950">
        <f ca="1">Model!T12</f>
        <v>298.79495662173173</v>
      </c>
    </row>
    <row r="9" spans="2:13" ht="13.9">
      <c r="B9" s="564" t="s">
        <v>1185</v>
      </c>
      <c r="C9" s="564"/>
      <c r="D9" s="917">
        <f t="shared" ref="D9:M9" si="1">D8/C8-1</f>
        <v>-6.4954593265094784E-2</v>
      </c>
      <c r="E9" s="917">
        <f t="shared" si="1"/>
        <v>-0.19814266094951249</v>
      </c>
      <c r="F9" s="917">
        <f t="shared" ca="1" si="1"/>
        <v>5.1059551453131791E-2</v>
      </c>
      <c r="G9" s="917">
        <f t="shared" ca="1" si="1"/>
        <v>-3.0781540677230379E-2</v>
      </c>
      <c r="H9" s="917">
        <f t="shared" ca="1" si="1"/>
        <v>3.938816385507482E-2</v>
      </c>
      <c r="I9" s="917">
        <f t="shared" ca="1" si="1"/>
        <v>9.0594494059699437E-2</v>
      </c>
      <c r="J9" s="917">
        <f t="shared" ca="1" si="1"/>
        <v>9.0341327398161475E-2</v>
      </c>
      <c r="K9" s="917">
        <f t="shared" ca="1" si="1"/>
        <v>8.9569094988919851E-2</v>
      </c>
      <c r="L9" s="917">
        <f t="shared" ca="1" si="1"/>
        <v>9.7836560098597758E-2</v>
      </c>
      <c r="M9" s="917">
        <f t="shared" ca="1" si="1"/>
        <v>9.2579552784506802E-2</v>
      </c>
    </row>
    <row r="10" spans="2:13" ht="13.9">
      <c r="B10" s="732"/>
      <c r="C10" s="732"/>
      <c r="D10" s="949"/>
      <c r="E10" s="949"/>
      <c r="F10" s="949"/>
      <c r="G10" s="949"/>
      <c r="H10" s="949"/>
      <c r="I10" s="949"/>
      <c r="J10" s="949"/>
      <c r="K10" s="949"/>
      <c r="L10" s="949"/>
      <c r="M10" s="949"/>
    </row>
    <row r="11" spans="2:13" ht="13.9">
      <c r="B11" s="458" t="s">
        <v>161</v>
      </c>
      <c r="C11" s="916">
        <f>Model!J23</f>
        <v>109.13800000000001</v>
      </c>
      <c r="D11" s="916">
        <f>Model!K23</f>
        <v>134.16900000000001</v>
      </c>
      <c r="E11" s="916">
        <f>Model!L23</f>
        <v>186</v>
      </c>
      <c r="F11" s="916">
        <f>Model!M23</f>
        <v>187</v>
      </c>
      <c r="G11" s="916">
        <f ca="1">Model!N23</f>
        <v>193.26969502103239</v>
      </c>
      <c r="H11" s="916">
        <f ca="1">Model!O23</f>
        <v>187.46621537875632</v>
      </c>
      <c r="I11" s="916">
        <f ca="1">Model!P23</f>
        <v>190.60693133023656</v>
      </c>
      <c r="J11" s="916">
        <f ca="1">Model!Q23</f>
        <v>202.94415147376913</v>
      </c>
      <c r="K11" s="916">
        <f ca="1">Model!R23</f>
        <v>202.99840863051455</v>
      </c>
      <c r="L11" s="916">
        <f ca="1">Model!S23</f>
        <v>231.88698917188097</v>
      </c>
      <c r="M11" s="916">
        <f ca="1">Model!T23</f>
        <v>230.4678702221118</v>
      </c>
    </row>
    <row r="12" spans="2:13" ht="13.9">
      <c r="B12" s="732" t="s">
        <v>1185</v>
      </c>
      <c r="C12" s="732"/>
      <c r="D12" s="949">
        <f t="shared" ref="D12:M12" si="2">D11/C11-1</f>
        <v>0.22935182979347246</v>
      </c>
      <c r="E12" s="949">
        <f t="shared" si="2"/>
        <v>0.38631129396507369</v>
      </c>
      <c r="F12" s="949">
        <f t="shared" si="2"/>
        <v>5.3763440860215006E-3</v>
      </c>
      <c r="G12" s="949">
        <f t="shared" ca="1" si="2"/>
        <v>3.3527780861135836E-2</v>
      </c>
      <c r="H12" s="949">
        <f t="shared" ca="1" si="2"/>
        <v>-3.0027882238053527E-2</v>
      </c>
      <c r="I12" s="949">
        <f t="shared" ca="1" si="2"/>
        <v>1.6753503798723202E-2</v>
      </c>
      <c r="J12" s="949">
        <f t="shared" ca="1" si="2"/>
        <v>6.4725978522563121E-2</v>
      </c>
      <c r="K12" s="949">
        <f t="shared" ca="1" si="2"/>
        <v>2.6735018649914899E-4</v>
      </c>
      <c r="L12" s="949">
        <f t="shared" ca="1" si="2"/>
        <v>0.14230939412903321</v>
      </c>
      <c r="M12" s="949">
        <f t="shared" ca="1" si="2"/>
        <v>-6.1198731107646731E-3</v>
      </c>
    </row>
    <row r="13" spans="2:13" ht="13.9">
      <c r="B13" s="564"/>
      <c r="C13" s="564"/>
      <c r="D13" s="917"/>
      <c r="E13" s="917"/>
      <c r="F13" s="917"/>
      <c r="G13" s="917"/>
      <c r="H13" s="917"/>
      <c r="I13" s="917"/>
      <c r="J13" s="917"/>
      <c r="K13" s="917"/>
      <c r="L13" s="917"/>
      <c r="M13" s="917"/>
    </row>
    <row r="14" spans="2:13" ht="13.9">
      <c r="B14" s="733" t="s">
        <v>351</v>
      </c>
      <c r="C14" s="950">
        <f>C8-C11</f>
        <v>133.04596065999999</v>
      </c>
      <c r="D14" s="950">
        <f>D8-D11</f>
        <v>92.283999999999963</v>
      </c>
      <c r="E14" s="950">
        <f t="shared" ref="E14:M14" si="3">E8-E11</f>
        <v>-4.4169999999999732</v>
      </c>
      <c r="F14" s="950">
        <f t="shared" ca="1" si="3"/>
        <v>3.8545465315140746</v>
      </c>
      <c r="G14" s="950">
        <f t="shared" ca="1" si="3"/>
        <v>-8.2899454770124805</v>
      </c>
      <c r="H14" s="950">
        <f t="shared" ca="1" si="3"/>
        <v>4.7995468501741527</v>
      </c>
      <c r="I14" s="950">
        <f t="shared" ca="1" si="3"/>
        <v>19.077050352826319</v>
      </c>
      <c r="J14" s="950">
        <f t="shared" ca="1" si="3"/>
        <v>25.682959448673444</v>
      </c>
      <c r="K14" s="950">
        <f t="shared" ca="1" si="3"/>
        <v>46.106625707182616</v>
      </c>
      <c r="L14" s="950">
        <f t="shared" ca="1" si="3"/>
        <v>41.589624828659538</v>
      </c>
      <c r="M14" s="950">
        <f t="shared" ca="1" si="3"/>
        <v>68.32708639961993</v>
      </c>
    </row>
    <row r="15" spans="2:13" ht="13.9">
      <c r="B15" s="564" t="s">
        <v>1185</v>
      </c>
      <c r="C15" s="564"/>
      <c r="D15" s="917">
        <f t="shared" ref="D15:M15" si="4">D14/C14-1</f>
        <v>-0.30637503354323958</v>
      </c>
      <c r="E15" s="917">
        <f t="shared" si="4"/>
        <v>-1.0478631182003377</v>
      </c>
      <c r="F15" s="917">
        <f t="shared" ca="1" si="4"/>
        <v>-1.8726616553122251</v>
      </c>
      <c r="G15" s="917">
        <f t="shared" ca="1" si="4"/>
        <v>-3.1506928011467465</v>
      </c>
      <c r="H15" s="917">
        <f t="shared" ca="1" si="4"/>
        <v>-1.5789600020269141</v>
      </c>
      <c r="I15" s="917">
        <f t="shared" ca="1" si="4"/>
        <v>2.9747607322833205</v>
      </c>
      <c r="J15" s="917">
        <f t="shared" ca="1" si="4"/>
        <v>0.34627518267615409</v>
      </c>
      <c r="K15" s="917">
        <f t="shared" ca="1" si="4"/>
        <v>0.79522246255635776</v>
      </c>
      <c r="L15" s="917">
        <f t="shared" ca="1" si="4"/>
        <v>-9.7968584975399953E-2</v>
      </c>
      <c r="M15" s="917">
        <f t="shared" ca="1" si="4"/>
        <v>0.64288777985165968</v>
      </c>
    </row>
    <row r="16" spans="2:13" ht="13.9">
      <c r="B16" s="732"/>
      <c r="C16" s="732"/>
      <c r="D16" s="732"/>
      <c r="E16" s="732"/>
      <c r="F16" s="732"/>
      <c r="G16" s="732"/>
      <c r="H16" s="732"/>
      <c r="I16" s="732"/>
      <c r="J16" s="732"/>
      <c r="K16" s="732"/>
      <c r="L16" s="732"/>
      <c r="M16" s="732"/>
    </row>
    <row r="17" spans="2:13" ht="13.9">
      <c r="B17" s="458" t="s">
        <v>351</v>
      </c>
      <c r="C17" s="916"/>
      <c r="D17" s="916">
        <f>D14</f>
        <v>92.283999999999963</v>
      </c>
      <c r="E17" s="916">
        <f t="shared" ref="E17:M17" si="5">E14</f>
        <v>-4.4169999999999732</v>
      </c>
      <c r="F17" s="916">
        <f t="shared" ca="1" si="5"/>
        <v>3.8545465315140746</v>
      </c>
      <c r="G17" s="916">
        <f t="shared" ca="1" si="5"/>
        <v>-8.2899454770124805</v>
      </c>
      <c r="H17" s="916">
        <f t="shared" ca="1" si="5"/>
        <v>4.7995468501741527</v>
      </c>
      <c r="I17" s="916">
        <f t="shared" ca="1" si="5"/>
        <v>19.077050352826319</v>
      </c>
      <c r="J17" s="916">
        <f t="shared" ca="1" si="5"/>
        <v>25.682959448673444</v>
      </c>
      <c r="K17" s="916">
        <f t="shared" ca="1" si="5"/>
        <v>46.106625707182616</v>
      </c>
      <c r="L17" s="916">
        <f t="shared" ca="1" si="5"/>
        <v>41.589624828659538</v>
      </c>
      <c r="M17" s="916">
        <f t="shared" ca="1" si="5"/>
        <v>68.32708639961993</v>
      </c>
    </row>
    <row r="18" spans="2:13" ht="13.9">
      <c r="B18" s="732" t="s">
        <v>299</v>
      </c>
      <c r="C18" s="732"/>
      <c r="D18" s="951">
        <f>Model!K129</f>
        <v>-62.186</v>
      </c>
      <c r="E18" s="951">
        <f>Model!L129</f>
        <v>-48.257999999999996</v>
      </c>
      <c r="F18" s="951">
        <f>Model!M129</f>
        <v>-44.177999999999997</v>
      </c>
      <c r="G18" s="951">
        <f>Model!N129</f>
        <v>-37.31</v>
      </c>
      <c r="H18" s="951">
        <f>Model!O129</f>
        <v>-7.5150000000000006</v>
      </c>
      <c r="I18" s="951">
        <f>Model!P129</f>
        <v>-9.6150000000000002</v>
      </c>
      <c r="J18" s="951">
        <f ca="1">Model!Q129</f>
        <v>-11.648314379180837</v>
      </c>
      <c r="K18" s="951">
        <f ca="1">Model!R129</f>
        <v>-14.515889224316352</v>
      </c>
      <c r="L18" s="951">
        <f ca="1">Model!S129</f>
        <v>-615.01856336828996</v>
      </c>
      <c r="M18" s="951">
        <f ca="1">Model!T129</f>
        <v>-137.19856336828985</v>
      </c>
    </row>
    <row r="19" spans="2:13" ht="13.9">
      <c r="B19" s="564" t="s">
        <v>1534</v>
      </c>
      <c r="C19" s="564"/>
      <c r="D19" s="918">
        <f>Model!K130</f>
        <v>-3.5530000000000004</v>
      </c>
      <c r="E19" s="918">
        <f>Model!L130</f>
        <v>-10.089</v>
      </c>
      <c r="F19" s="918">
        <f>Model!M130</f>
        <v>0.22299999999999998</v>
      </c>
      <c r="G19" s="918">
        <f>Model!N130</f>
        <v>-2</v>
      </c>
      <c r="H19" s="918">
        <f ca="1">Model!O130</f>
        <v>0</v>
      </c>
      <c r="I19" s="918">
        <f ca="1">Model!P130</f>
        <v>0</v>
      </c>
      <c r="J19" s="918">
        <f ca="1">Model!Q130</f>
        <v>0</v>
      </c>
      <c r="K19" s="918">
        <f ca="1">Model!R130</f>
        <v>0</v>
      </c>
      <c r="L19" s="918">
        <f ca="1">Model!S130</f>
        <v>0</v>
      </c>
      <c r="M19" s="918">
        <f ca="1">Model!T130</f>
        <v>0</v>
      </c>
    </row>
    <row r="20" spans="2:13" ht="13.9">
      <c r="B20" s="732" t="s">
        <v>1535</v>
      </c>
      <c r="C20" s="732"/>
      <c r="D20" s="952">
        <f>Model!K132</f>
        <v>-10.285</v>
      </c>
      <c r="E20" s="952">
        <f>Model!L132</f>
        <v>6.5010000000000012</v>
      </c>
      <c r="F20" s="952">
        <f>Model!M132</f>
        <v>-12.202000000000002</v>
      </c>
      <c r="G20" s="952">
        <f>Model!N132</f>
        <v>15</v>
      </c>
      <c r="H20" s="952">
        <f>Model!O132</f>
        <v>-10</v>
      </c>
      <c r="I20" s="952">
        <f>Model!P132</f>
        <v>-5</v>
      </c>
      <c r="J20" s="952">
        <f>Model!Q132</f>
        <v>0</v>
      </c>
      <c r="K20" s="952">
        <f>Model!R132</f>
        <v>0</v>
      </c>
      <c r="L20" s="952">
        <f>Model!S132</f>
        <v>0</v>
      </c>
      <c r="M20" s="952">
        <f>Model!T132</f>
        <v>0</v>
      </c>
    </row>
    <row r="21" spans="2:13" ht="13.9">
      <c r="B21" s="458" t="s">
        <v>1536</v>
      </c>
      <c r="C21" s="564"/>
      <c r="D21" s="916">
        <f>SUM(D17:D20)</f>
        <v>16.259999999999962</v>
      </c>
      <c r="E21" s="916">
        <f t="shared" ref="E21:M21" si="6">SUM(E17:E20)</f>
        <v>-56.262999999999963</v>
      </c>
      <c r="F21" s="916">
        <f t="shared" ca="1" si="6"/>
        <v>-52.302453468485922</v>
      </c>
      <c r="G21" s="916">
        <f t="shared" ca="1" si="6"/>
        <v>-32.599945477012483</v>
      </c>
      <c r="H21" s="916">
        <f t="shared" ca="1" si="6"/>
        <v>-12.715453149825848</v>
      </c>
      <c r="I21" s="916">
        <f t="shared" ca="1" si="6"/>
        <v>4.4620503528263189</v>
      </c>
      <c r="J21" s="916">
        <f t="shared" ca="1" si="6"/>
        <v>14.034645069492607</v>
      </c>
      <c r="K21" s="916">
        <f t="shared" ca="1" si="6"/>
        <v>31.590736482866262</v>
      </c>
      <c r="L21" s="916">
        <f t="shared" ca="1" si="6"/>
        <v>-573.42893853963039</v>
      </c>
      <c r="M21" s="916">
        <f t="shared" ca="1" si="6"/>
        <v>-68.871476968669924</v>
      </c>
    </row>
    <row r="22" spans="2:13" ht="13.9">
      <c r="B22" s="732" t="s">
        <v>1562</v>
      </c>
      <c r="C22" s="733"/>
      <c r="D22" s="951">
        <f>Model!K131</f>
        <v>-38.118000000000002</v>
      </c>
      <c r="E22" s="951">
        <f>Model!L131</f>
        <v>-38.730000000000004</v>
      </c>
      <c r="F22" s="951">
        <f>Model!M131</f>
        <v>-45.085999999999999</v>
      </c>
      <c r="G22" s="951">
        <f>Model!N131</f>
        <v>-45</v>
      </c>
      <c r="H22" s="951">
        <f>Model!O131</f>
        <v>-45</v>
      </c>
      <c r="I22" s="951">
        <f>Model!P131</f>
        <v>-45</v>
      </c>
      <c r="J22" s="951">
        <f>Model!Q131</f>
        <v>-45</v>
      </c>
      <c r="K22" s="951">
        <f>Model!R131</f>
        <v>-45</v>
      </c>
      <c r="L22" s="951">
        <f>Model!S131</f>
        <v>-45</v>
      </c>
      <c r="M22" s="951">
        <f>Model!T131</f>
        <v>-45</v>
      </c>
    </row>
    <row r="23" spans="2:13" ht="13.9">
      <c r="B23" s="564" t="s">
        <v>1537</v>
      </c>
      <c r="C23" s="916"/>
      <c r="D23" s="918">
        <f>Model!K133</f>
        <v>-1.88</v>
      </c>
      <c r="E23" s="918">
        <f>Model!L133</f>
        <v>-2.7850000000000001</v>
      </c>
      <c r="F23" s="918">
        <f>Model!M133</f>
        <v>-1.3940000000000001</v>
      </c>
      <c r="G23" s="918">
        <f>Model!N133</f>
        <v>0</v>
      </c>
      <c r="H23" s="918">
        <f>Model!O133</f>
        <v>0</v>
      </c>
      <c r="I23" s="918">
        <f>Model!P133</f>
        <v>0</v>
      </c>
      <c r="J23" s="918">
        <f>Model!Q133</f>
        <v>0</v>
      </c>
      <c r="K23" s="918">
        <f>Model!R133</f>
        <v>0</v>
      </c>
      <c r="L23" s="918">
        <f>Model!S133</f>
        <v>0</v>
      </c>
      <c r="M23" s="918">
        <f>Model!T133</f>
        <v>0</v>
      </c>
    </row>
    <row r="24" spans="2:13" ht="13.9">
      <c r="B24" s="732" t="s">
        <v>821</v>
      </c>
      <c r="C24" s="950"/>
      <c r="D24" s="952">
        <f ca="1">Model!K135</f>
        <v>-8.0046772500001566</v>
      </c>
      <c r="E24" s="952">
        <f ca="1">Model!L135</f>
        <v>17.167000000000044</v>
      </c>
      <c r="F24" s="952">
        <f>Model!M135</f>
        <v>-4.0570000000000164</v>
      </c>
      <c r="G24" s="952">
        <f>Model!N135</f>
        <v>-120</v>
      </c>
      <c r="H24" s="952">
        <f>Model!O135</f>
        <v>0</v>
      </c>
      <c r="I24" s="952">
        <f>Model!P135</f>
        <v>0</v>
      </c>
      <c r="J24" s="952">
        <f>Model!Q135</f>
        <v>0</v>
      </c>
      <c r="K24" s="952">
        <f>Model!R135</f>
        <v>0</v>
      </c>
      <c r="L24" s="952">
        <f>Model!S135</f>
        <v>80</v>
      </c>
      <c r="M24" s="952">
        <f>Model!T135</f>
        <v>0</v>
      </c>
    </row>
    <row r="25" spans="2:13" ht="13.9">
      <c r="B25" s="564" t="s">
        <v>825</v>
      </c>
      <c r="C25" s="919"/>
      <c r="D25" s="916">
        <f ca="1">Model!K136</f>
        <v>416.10432274999982</v>
      </c>
      <c r="E25" s="916">
        <f ca="1">Model!L136</f>
        <v>-25.093999999999937</v>
      </c>
      <c r="F25" s="916">
        <f>Model!M136</f>
        <v>-150.39400000000001</v>
      </c>
      <c r="G25" s="916">
        <f ca="1">Model!N136</f>
        <v>7.4000545229875172</v>
      </c>
      <c r="H25" s="916">
        <f ca="1">Model!O136</f>
        <v>-32.715453149825848</v>
      </c>
      <c r="I25" s="916">
        <f ca="1">Model!P136</f>
        <v>-60.537949647173683</v>
      </c>
      <c r="J25" s="916">
        <f ca="1">Model!Q136</f>
        <v>-40.965354930507395</v>
      </c>
      <c r="K25" s="916">
        <f ca="1">Model!R136</f>
        <v>-23.409263517133738</v>
      </c>
      <c r="L25" s="916">
        <f ca="1">Model!S136</f>
        <v>-548.42893853963039</v>
      </c>
      <c r="M25" s="916">
        <f ca="1">Model!T136</f>
        <v>-123.87147696866992</v>
      </c>
    </row>
    <row r="26" spans="2:13" ht="13.9">
      <c r="B26" s="732"/>
      <c r="C26" s="734"/>
      <c r="D26" s="734"/>
      <c r="E26" s="734"/>
      <c r="F26" s="734"/>
      <c r="G26" s="734"/>
      <c r="H26" s="734"/>
      <c r="I26" s="734"/>
      <c r="J26" s="734"/>
      <c r="K26" s="734"/>
      <c r="L26" s="734"/>
      <c r="M26" s="734"/>
    </row>
    <row r="27" spans="2:13" ht="13.9">
      <c r="B27" s="564" t="s">
        <v>160</v>
      </c>
      <c r="C27" s="564"/>
      <c r="D27" s="918">
        <f>Model!K175</f>
        <v>984.40600000000006</v>
      </c>
      <c r="E27" s="918">
        <f>Model!L175</f>
        <v>1009.5</v>
      </c>
      <c r="F27" s="918">
        <f>Model!M175</f>
        <v>1159.894</v>
      </c>
      <c r="G27" s="918">
        <f ca="1">Model!N175</f>
        <v>1152.4939454770124</v>
      </c>
      <c r="H27" s="918">
        <f ca="1">Model!O175</f>
        <v>1185.2093986268383</v>
      </c>
      <c r="I27" s="918">
        <f ca="1">Model!P175</f>
        <v>1245.747348274012</v>
      </c>
      <c r="J27" s="918">
        <f ca="1">Model!Q175</f>
        <v>1286.7127032045194</v>
      </c>
      <c r="K27" s="918">
        <f ca="1">Model!R175</f>
        <v>1310.1219667216531</v>
      </c>
      <c r="L27" s="918">
        <f ca="1">Model!S175</f>
        <v>1858.5509052612833</v>
      </c>
      <c r="M27" s="918">
        <f ca="1">Model!T175</f>
        <v>1982.4223822299532</v>
      </c>
    </row>
    <row r="28" spans="2:13" ht="13.9">
      <c r="B28" s="732" t="s">
        <v>282</v>
      </c>
      <c r="C28" s="950"/>
      <c r="D28" s="734">
        <f>D27/D8</f>
        <v>4.347065395468376</v>
      </c>
      <c r="E28" s="734">
        <f t="shared" ref="E28:M28" si="7">E27/E8</f>
        <v>5.5594411371108521</v>
      </c>
      <c r="F28" s="734">
        <f t="shared" ca="1" si="7"/>
        <v>6.0773715956956638</v>
      </c>
      <c r="G28" s="734">
        <f t="shared" ca="1" si="7"/>
        <v>6.2303789918514925</v>
      </c>
      <c r="H28" s="734">
        <f t="shared" ca="1" si="7"/>
        <v>6.1644329436855836</v>
      </c>
      <c r="I28" s="734">
        <f t="shared" ca="1" si="7"/>
        <v>5.9410706448571631</v>
      </c>
      <c r="J28" s="734">
        <f t="shared" ca="1" si="7"/>
        <v>5.6279970385533691</v>
      </c>
      <c r="K28" s="734">
        <f t="shared" ca="1" si="7"/>
        <v>5.2593154939839435</v>
      </c>
      <c r="L28" s="734">
        <f t="shared" ca="1" si="7"/>
        <v>6.7960140286716069</v>
      </c>
      <c r="M28" s="734">
        <f t="shared" ca="1" si="7"/>
        <v>6.6347250457097209</v>
      </c>
    </row>
    <row r="29" spans="2:13" ht="13.9">
      <c r="B29" s="564"/>
      <c r="C29" s="564"/>
      <c r="D29" s="918"/>
      <c r="E29" s="918"/>
      <c r="F29" s="918"/>
      <c r="G29" s="918"/>
      <c r="H29" s="918"/>
      <c r="I29" s="918"/>
      <c r="J29" s="918"/>
      <c r="K29" s="918"/>
      <c r="L29" s="918"/>
      <c r="M29" s="918"/>
    </row>
    <row r="30" spans="2:13" ht="13.9">
      <c r="B30" s="732" t="s">
        <v>1573</v>
      </c>
      <c r="C30" s="732"/>
      <c r="D30" s="951">
        <f>D27</f>
        <v>984.40600000000006</v>
      </c>
      <c r="E30" s="951">
        <f>E27</f>
        <v>1009.5</v>
      </c>
      <c r="F30" s="951">
        <f t="shared" ref="F30:M30" si="8">F27</f>
        <v>1159.894</v>
      </c>
      <c r="G30" s="951">
        <f t="shared" ca="1" si="8"/>
        <v>1152.4939454770124</v>
      </c>
      <c r="H30" s="951">
        <f t="shared" ca="1" si="8"/>
        <v>1185.2093986268383</v>
      </c>
      <c r="I30" s="951">
        <f t="shared" ca="1" si="8"/>
        <v>1245.747348274012</v>
      </c>
      <c r="J30" s="951">
        <f t="shared" ca="1" si="8"/>
        <v>1286.7127032045194</v>
      </c>
      <c r="K30" s="951">
        <f t="shared" ca="1" si="8"/>
        <v>1310.1219667216531</v>
      </c>
      <c r="L30" s="951">
        <f t="shared" ca="1" si="8"/>
        <v>1858.5509052612833</v>
      </c>
      <c r="M30" s="951">
        <f t="shared" ca="1" si="8"/>
        <v>1982.4223822299532</v>
      </c>
    </row>
    <row r="31" spans="2:13" ht="13.9">
      <c r="B31" s="564" t="s">
        <v>1574</v>
      </c>
      <c r="C31" s="564"/>
      <c r="D31" s="918">
        <f ca="1">Model!K125+Model!K131</f>
        <v>164.28200000000001</v>
      </c>
      <c r="E31" s="918">
        <f ca="1">Model!L125+Model!L131</f>
        <v>124.57000000000001</v>
      </c>
      <c r="F31" s="918">
        <f>Model!M125+Model!M131</f>
        <v>98.214000000000013</v>
      </c>
      <c r="G31" s="918">
        <f ca="1">Model!N125+Model!N131</f>
        <v>94.97974954401991</v>
      </c>
      <c r="H31" s="918">
        <f ca="1">Model!O125+Model!O131</f>
        <v>122.26576222893047</v>
      </c>
      <c r="I31" s="918">
        <f ca="1">Model!P125+Model!P131</f>
        <v>144.68398168306288</v>
      </c>
      <c r="J31" s="918">
        <f ca="1">Model!Q125+Model!Q131</f>
        <v>173.62711092244257</v>
      </c>
      <c r="K31" s="918">
        <f ca="1">Model!R125+Model!R131</f>
        <v>194.10503433769716</v>
      </c>
      <c r="L31" s="918">
        <f ca="1">Model!S125+Model!S131</f>
        <v>218.47661400054051</v>
      </c>
      <c r="M31" s="918">
        <f ca="1">Model!T125+Model!T131</f>
        <v>243.79495662173173</v>
      </c>
    </row>
    <row r="32" spans="2:13" ht="13.9">
      <c r="B32" s="733" t="s">
        <v>1575</v>
      </c>
      <c r="C32" s="950"/>
      <c r="D32" s="734">
        <f ca="1">D30/D31</f>
        <v>5.9921719969321048</v>
      </c>
      <c r="E32" s="734">
        <f ca="1">E30/E31</f>
        <v>8.1038773380428673</v>
      </c>
      <c r="F32" s="734">
        <f t="shared" ref="F32:M32" si="9">F30/F31</f>
        <v>11.809864174150324</v>
      </c>
      <c r="G32" s="734">
        <f t="shared" ca="1" si="9"/>
        <v>12.134101753372915</v>
      </c>
      <c r="H32" s="734">
        <f t="shared" ca="1" si="9"/>
        <v>9.6937145527923967</v>
      </c>
      <c r="I32" s="734">
        <f t="shared" ca="1" si="9"/>
        <v>8.6101262474437608</v>
      </c>
      <c r="J32" s="734">
        <f t="shared" ca="1" si="9"/>
        <v>7.4107822008239292</v>
      </c>
      <c r="K32" s="734">
        <f t="shared" ca="1" si="9"/>
        <v>6.7495517114839414</v>
      </c>
      <c r="L32" s="734">
        <f t="shared" ca="1" si="9"/>
        <v>8.5068642873451221</v>
      </c>
      <c r="M32" s="734">
        <f t="shared" ca="1" si="9"/>
        <v>8.1315151457618029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45DFD126F1C944A14E489380A940D9" ma:contentTypeVersion="13" ma:contentTypeDescription="Create a new document." ma:contentTypeScope="" ma:versionID="54a3a045f6e2758a88fefc4509e6ba4d">
  <xsd:schema xmlns:xsd="http://www.w3.org/2001/XMLSchema" xmlns:xs="http://www.w3.org/2001/XMLSchema" xmlns:p="http://schemas.microsoft.com/office/2006/metadata/properties" xmlns:ns2="7a64ecaf-0ff2-4962-b687-c42052c96c69" xmlns:ns3="ac44878d-96d9-4f15-b496-a71362426953" targetNamespace="http://schemas.microsoft.com/office/2006/metadata/properties" ma:root="true" ma:fieldsID="643ec04db5565974903b6764794c1175" ns2:_="" ns3:_="">
    <xsd:import namespace="7a64ecaf-0ff2-4962-b687-c42052c96c69"/>
    <xsd:import namespace="ac44878d-96d9-4f15-b496-a7136242695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64ecaf-0ff2-4962-b687-c42052c96c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47c01aa-fa72-499e-a558-c0906cb7ca65"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c44878d-96d9-4f15-b496-a7136242695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fb3b699d-aa6c-457c-8a6e-4428a86250e7}" ma:internalName="TaxCatchAll" ma:showField="CatchAllData" ma:web="ac44878d-96d9-4f15-b496-a713624269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a64ecaf-0ff2-4962-b687-c42052c96c69">
      <Terms xmlns="http://schemas.microsoft.com/office/infopath/2007/PartnerControls"/>
    </lcf76f155ced4ddcb4097134ff3c332f>
    <TaxCatchAll xmlns="ac44878d-96d9-4f15-b496-a71362426953" xsi:nil="true"/>
  </documentManagement>
</p:properties>
</file>

<file path=customXml/itemProps1.xml><?xml version="1.0" encoding="utf-8"?>
<ds:datastoreItem xmlns:ds="http://schemas.openxmlformats.org/officeDocument/2006/customXml" ds:itemID="{42F731F8-E7AD-4E41-893E-CA6BFB756B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64ecaf-0ff2-4962-b687-c42052c96c69"/>
    <ds:schemaRef ds:uri="ac44878d-96d9-4f15-b496-a713624269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AE2ADA1-64A3-4808-954E-86BA7D54E08F}">
  <ds:schemaRefs>
    <ds:schemaRef ds:uri="http://schemas.microsoft.com/sharepoint/v3/contenttype/forms"/>
  </ds:schemaRefs>
</ds:datastoreItem>
</file>

<file path=customXml/itemProps3.xml><?xml version="1.0" encoding="utf-8"?>
<ds:datastoreItem xmlns:ds="http://schemas.openxmlformats.org/officeDocument/2006/customXml" ds:itemID="{2AAB84F9-D16D-4AB5-AEF9-8317E5C18A6E}">
  <ds:schemaRefs>
    <ds:schemaRef ds:uri="http://purl.org/dc/elements/1.1/"/>
    <ds:schemaRef ds:uri="ac44878d-96d9-4f15-b496-a71362426953"/>
    <ds:schemaRef ds:uri="http://www.w3.org/XML/1998/namespace"/>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7a64ecaf-0ff2-4962-b687-c42052c96c69"/>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4</vt:i4>
      </vt:variant>
    </vt:vector>
  </HeadingPairs>
  <TitlesOfParts>
    <vt:vector size="25" baseType="lpstr">
      <vt:lpstr>Model</vt:lpstr>
      <vt:lpstr>Model also  old</vt:lpstr>
      <vt:lpstr>Fixed</vt:lpstr>
      <vt:lpstr>Interims</vt:lpstr>
      <vt:lpstr>Workings</vt:lpstr>
      <vt:lpstr>Value</vt:lpstr>
      <vt:lpstr>IPO Guidance</vt:lpstr>
      <vt:lpstr>Snaps</vt:lpstr>
      <vt:lpstr>Table</vt:lpstr>
      <vt:lpstr>Beatrice</vt:lpstr>
      <vt:lpstr>Beatrice v2</vt:lpstr>
      <vt:lpstr>EQR</vt:lpstr>
      <vt:lpstr>OLD&gt;&gt;&gt;&gt;&gt;&gt;&gt;&gt;&gt;&gt;&gt;&gt;</vt:lpstr>
      <vt:lpstr>Valuation</vt:lpstr>
      <vt:lpstr>SOP OLD</vt:lpstr>
      <vt:lpstr>Template</vt:lpstr>
      <vt:lpstr>Note Inserts</vt:lpstr>
      <vt:lpstr>Definitions</vt:lpstr>
      <vt:lpstr>MultsComp</vt:lpstr>
      <vt:lpstr>Model Old</vt:lpstr>
      <vt:lpstr>Quarterlies Old</vt:lpstr>
      <vt:lpstr>Definitions!Print_Area</vt:lpstr>
      <vt:lpstr>'Model also  old'!Print_Area</vt:lpstr>
      <vt:lpstr>'Model Old'!Print_Area</vt:lpstr>
      <vt:lpstr>Valuation!Print_Area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james@newstreetresearch.com</dc:creator>
  <cp:lastModifiedBy>James Ratzer</cp:lastModifiedBy>
  <cp:lastPrinted>2019-09-16T12:30:56Z</cp:lastPrinted>
  <dcterms:created xsi:type="dcterms:W3CDTF">2018-09-20T10:09:17Z</dcterms:created>
  <dcterms:modified xsi:type="dcterms:W3CDTF">2025-04-12T20:08:14Z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0x0101004E45DFD126F1C944A14E489380A940D9</vt:lpwstr>
  </property>
  <property fmtid="{D5CDD505-2E9C-101B-9397-08002B2CF9AE}" pid="3" name="Order">
    <vt:r8>12974800</vt:r8>
  </property>
  <property fmtid="{D5CDD505-2E9C-101B-9397-08002B2CF9AE}" pid="4" name="MediaServiceImageTags">
    <vt:lpwstr/>
  </property>
</Properties>
</file>